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/>
  <mc:AlternateContent xmlns:mc="http://schemas.openxmlformats.org/markup-compatibility/2006">
    <mc:Choice Requires="x15">
      <x15ac:absPath xmlns:x15ac="http://schemas.microsoft.com/office/spreadsheetml/2010/11/ac" url="/Users/danniel.kil/Documents/workspace/automation/"/>
    </mc:Choice>
  </mc:AlternateContent>
  <xr:revisionPtr revIDLastSave="0" documentId="13_ncr:1_{139E2A42-137E-B043-8EF3-D2B8B5F5B2E0}" xr6:coauthVersionLast="47" xr6:coauthVersionMax="47" xr10:uidLastSave="{00000000-0000-0000-0000-000000000000}"/>
  <bookViews>
    <workbookView xWindow="0" yWindow="840" windowWidth="34200" windowHeight="21400" xr2:uid="{00000000-000D-0000-FFFF-FFFF00000000}"/>
  </bookViews>
  <sheets>
    <sheet name="★AR종합" sheetId="1" r:id="rId1"/>
    <sheet name="담당자" sheetId="15" r:id="rId2"/>
    <sheet name="(AR)항공사업팀" sheetId="2" r:id="rId3"/>
    <sheet name="(ARAP)항공영업팀" sheetId="3" r:id="rId4"/>
    <sheet name="(ARAP)항공판매" sheetId="4" r:id="rId5"/>
    <sheet name="(ARAP)물류영업판매" sheetId="5" r:id="rId6"/>
    <sheet name="(AR)물류사업부" sheetId="6" r:id="rId7"/>
    <sheet name="(AR)인프라사업팀" sheetId="7" r:id="rId8"/>
    <sheet name="(AR)파트너사업부" sheetId="8" r:id="rId9"/>
    <sheet name="(참고)PJT목록" sheetId="9" r:id="rId10"/>
    <sheet name="★AP종합" sheetId="10" r:id="rId11"/>
    <sheet name="(AP)항공사업부" sheetId="11" r:id="rId12"/>
    <sheet name="(AP)물류사업부" sheetId="12" r:id="rId13"/>
    <sheet name="(AP)파트너사업부" sheetId="13" r:id="rId14"/>
    <sheet name="기타사항" sheetId="14" r:id="rId1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96" i="13" l="1"/>
  <c r="P96" i="13"/>
  <c r="M96" i="13"/>
  <c r="L96" i="13"/>
  <c r="K96" i="13"/>
  <c r="J96" i="13"/>
  <c r="I96" i="13"/>
  <c r="G96" i="13"/>
  <c r="F96" i="13"/>
  <c r="E96" i="13"/>
  <c r="D96" i="13"/>
  <c r="A96" i="13"/>
  <c r="Q95" i="13"/>
  <c r="P95" i="13"/>
  <c r="M95" i="13"/>
  <c r="L95" i="13"/>
  <c r="K95" i="13"/>
  <c r="I95" i="13"/>
  <c r="G95" i="13"/>
  <c r="F95" i="13"/>
  <c r="E95" i="13"/>
  <c r="D95" i="13"/>
  <c r="A95" i="13"/>
  <c r="Q94" i="13"/>
  <c r="P94" i="13"/>
  <c r="M94" i="13"/>
  <c r="L94" i="13"/>
  <c r="K94" i="13"/>
  <c r="I94" i="13"/>
  <c r="G94" i="13"/>
  <c r="F94" i="13"/>
  <c r="E94" i="13"/>
  <c r="D94" i="13"/>
  <c r="A94" i="13"/>
  <c r="Q93" i="13"/>
  <c r="P93" i="13"/>
  <c r="M93" i="13"/>
  <c r="L93" i="13"/>
  <c r="K93" i="13"/>
  <c r="I93" i="13"/>
  <c r="G93" i="13"/>
  <c r="F93" i="13"/>
  <c r="E93" i="13"/>
  <c r="D93" i="13"/>
  <c r="A93" i="13"/>
  <c r="Q92" i="13"/>
  <c r="P92" i="13"/>
  <c r="M92" i="13"/>
  <c r="L92" i="13"/>
  <c r="K92" i="13"/>
  <c r="I92" i="13"/>
  <c r="G92" i="13"/>
  <c r="F92" i="13"/>
  <c r="E92" i="13"/>
  <c r="D92" i="13"/>
  <c r="A92" i="13"/>
  <c r="Q91" i="13"/>
  <c r="Q90" i="13"/>
  <c r="P90" i="13"/>
  <c r="N90" i="13"/>
  <c r="M90" i="13"/>
  <c r="L90" i="13"/>
  <c r="K90" i="13"/>
  <c r="J90" i="13"/>
  <c r="I90" i="13"/>
  <c r="G90" i="13"/>
  <c r="F90" i="13"/>
  <c r="E90" i="13"/>
  <c r="D90" i="13"/>
  <c r="B90" i="13"/>
  <c r="A90" i="13"/>
  <c r="Q89" i="13"/>
  <c r="P89" i="13"/>
  <c r="N89" i="13"/>
  <c r="M89" i="13"/>
  <c r="L89" i="13"/>
  <c r="K89" i="13"/>
  <c r="J89" i="13"/>
  <c r="I89" i="13"/>
  <c r="G89" i="13"/>
  <c r="F89" i="13"/>
  <c r="E89" i="13"/>
  <c r="D89" i="13"/>
  <c r="B89" i="13"/>
  <c r="A89" i="13"/>
  <c r="Q88" i="13"/>
  <c r="P88" i="13"/>
  <c r="N88" i="13"/>
  <c r="M88" i="13"/>
  <c r="L88" i="13"/>
  <c r="K88" i="13"/>
  <c r="J88" i="13"/>
  <c r="I88" i="13"/>
  <c r="G88" i="13"/>
  <c r="F88" i="13"/>
  <c r="E88" i="13"/>
  <c r="D88" i="13"/>
  <c r="B88" i="13"/>
  <c r="A88" i="13"/>
  <c r="Q87" i="13"/>
  <c r="P87" i="13"/>
  <c r="N87" i="13"/>
  <c r="M87" i="13"/>
  <c r="L87" i="13"/>
  <c r="K87" i="13"/>
  <c r="J87" i="13"/>
  <c r="I87" i="13"/>
  <c r="G87" i="13"/>
  <c r="F87" i="13"/>
  <c r="E87" i="13"/>
  <c r="D87" i="13"/>
  <c r="B87" i="13"/>
  <c r="A87" i="13"/>
  <c r="Q86" i="13"/>
  <c r="P86" i="13"/>
  <c r="M86" i="13"/>
  <c r="L86" i="13"/>
  <c r="K86" i="13"/>
  <c r="J86" i="13"/>
  <c r="I86" i="13"/>
  <c r="G86" i="13"/>
  <c r="F86" i="13"/>
  <c r="E86" i="13"/>
  <c r="D86" i="13"/>
  <c r="A86" i="13"/>
  <c r="Q85" i="13"/>
  <c r="P85" i="13"/>
  <c r="M85" i="13"/>
  <c r="L85" i="13"/>
  <c r="K85" i="13"/>
  <c r="I85" i="13"/>
  <c r="G85" i="13"/>
  <c r="F85" i="13"/>
  <c r="E85" i="13"/>
  <c r="D85" i="13"/>
  <c r="A85" i="13"/>
  <c r="Q84" i="13"/>
  <c r="P84" i="13"/>
  <c r="M84" i="13"/>
  <c r="L84" i="13"/>
  <c r="K84" i="13"/>
  <c r="I84" i="13"/>
  <c r="G84" i="13"/>
  <c r="F84" i="13"/>
  <c r="E84" i="13"/>
  <c r="D84" i="13"/>
  <c r="A84" i="13"/>
  <c r="Q83" i="13"/>
  <c r="P83" i="13"/>
  <c r="M83" i="13"/>
  <c r="L83" i="13"/>
  <c r="K83" i="13"/>
  <c r="J83" i="13"/>
  <c r="I83" i="13"/>
  <c r="G83" i="13"/>
  <c r="F83" i="13"/>
  <c r="E83" i="13"/>
  <c r="D83" i="13"/>
  <c r="C83" i="13"/>
  <c r="B83" i="13"/>
  <c r="A83" i="13"/>
  <c r="Q82" i="13"/>
  <c r="P82" i="13"/>
  <c r="O82" i="13"/>
  <c r="M82" i="13"/>
  <c r="L82" i="13"/>
  <c r="K82" i="13"/>
  <c r="J82" i="13"/>
  <c r="I82" i="13"/>
  <c r="H82" i="13"/>
  <c r="G82" i="13"/>
  <c r="F82" i="13"/>
  <c r="E82" i="13"/>
  <c r="D82" i="13"/>
  <c r="C82" i="13"/>
  <c r="B82" i="13"/>
  <c r="A82" i="13"/>
  <c r="A80" i="13"/>
  <c r="Q78" i="13"/>
  <c r="P78" i="13"/>
  <c r="N78" i="13"/>
  <c r="M78" i="13"/>
  <c r="L78" i="13"/>
  <c r="K78" i="13"/>
  <c r="I78" i="13"/>
  <c r="G78" i="13"/>
  <c r="F78" i="13"/>
  <c r="E78" i="13"/>
  <c r="D78" i="13"/>
  <c r="B78" i="13"/>
  <c r="A78" i="13"/>
  <c r="Q77" i="13"/>
  <c r="P77" i="13"/>
  <c r="O77" i="13"/>
  <c r="N77" i="13"/>
  <c r="M77" i="13"/>
  <c r="L77" i="13"/>
  <c r="K77" i="13"/>
  <c r="H77" i="13"/>
  <c r="G77" i="13"/>
  <c r="F77" i="13"/>
  <c r="E77" i="13"/>
  <c r="D77" i="13"/>
  <c r="B77" i="13"/>
  <c r="A77" i="13"/>
  <c r="Q76" i="13"/>
  <c r="P76" i="13"/>
  <c r="N76" i="13"/>
  <c r="M76" i="13"/>
  <c r="L76" i="13"/>
  <c r="K76" i="13"/>
  <c r="J76" i="13"/>
  <c r="H76" i="13"/>
  <c r="G76" i="13"/>
  <c r="F76" i="13"/>
  <c r="E76" i="13"/>
  <c r="D76" i="13"/>
  <c r="B76" i="13"/>
  <c r="A76" i="13"/>
  <c r="Q75" i="13"/>
  <c r="P75" i="13"/>
  <c r="N75" i="13"/>
  <c r="M75" i="13"/>
  <c r="L75" i="13"/>
  <c r="K75" i="13"/>
  <c r="H75" i="13"/>
  <c r="G75" i="13"/>
  <c r="F75" i="13"/>
  <c r="E75" i="13"/>
  <c r="D75" i="13"/>
  <c r="A75" i="13"/>
  <c r="Q74" i="13"/>
  <c r="P74" i="13"/>
  <c r="N74" i="13"/>
  <c r="M74" i="13"/>
  <c r="L74" i="13"/>
  <c r="K74" i="13"/>
  <c r="H74" i="13"/>
  <c r="G74" i="13"/>
  <c r="F74" i="13"/>
  <c r="E74" i="13"/>
  <c r="D74" i="13"/>
  <c r="A74" i="13"/>
  <c r="Q73" i="13"/>
  <c r="P73" i="13"/>
  <c r="N73" i="13"/>
  <c r="M73" i="13"/>
  <c r="L73" i="13"/>
  <c r="K73" i="13"/>
  <c r="H73" i="13"/>
  <c r="G73" i="13"/>
  <c r="F73" i="13"/>
  <c r="E73" i="13"/>
  <c r="D73" i="13"/>
  <c r="A73" i="13"/>
  <c r="Q72" i="13"/>
  <c r="P72" i="13"/>
  <c r="N72" i="13"/>
  <c r="M72" i="13"/>
  <c r="L72" i="13"/>
  <c r="K72" i="13"/>
  <c r="H72" i="13"/>
  <c r="G72" i="13"/>
  <c r="F72" i="13"/>
  <c r="E72" i="13"/>
  <c r="D72" i="13"/>
  <c r="A72" i="13"/>
  <c r="Q71" i="13"/>
  <c r="P71" i="13"/>
  <c r="N71" i="13"/>
  <c r="M71" i="13"/>
  <c r="L71" i="13"/>
  <c r="K71" i="13"/>
  <c r="H71" i="13"/>
  <c r="G71" i="13"/>
  <c r="F71" i="13"/>
  <c r="E71" i="13"/>
  <c r="D71" i="13"/>
  <c r="A71" i="13"/>
  <c r="Q70" i="13"/>
  <c r="P70" i="13"/>
  <c r="N70" i="13"/>
  <c r="M70" i="13"/>
  <c r="L70" i="13"/>
  <c r="K70" i="13"/>
  <c r="I70" i="13"/>
  <c r="H70" i="13"/>
  <c r="G70" i="13"/>
  <c r="F70" i="13"/>
  <c r="E70" i="13"/>
  <c r="D70" i="13"/>
  <c r="A70" i="13"/>
  <c r="Q69" i="13"/>
  <c r="P69" i="13"/>
  <c r="N69" i="13"/>
  <c r="M69" i="13"/>
  <c r="L69" i="13"/>
  <c r="K69" i="13"/>
  <c r="H69" i="13"/>
  <c r="G69" i="13"/>
  <c r="F69" i="13"/>
  <c r="E69" i="13"/>
  <c r="D69" i="13"/>
  <c r="A69" i="13"/>
  <c r="Q68" i="13"/>
  <c r="P68" i="13"/>
  <c r="N68" i="13"/>
  <c r="M68" i="13"/>
  <c r="L68" i="13"/>
  <c r="K68" i="13"/>
  <c r="H68" i="13"/>
  <c r="G68" i="13"/>
  <c r="F68" i="13"/>
  <c r="E68" i="13"/>
  <c r="D68" i="13"/>
  <c r="A68" i="13"/>
  <c r="Q67" i="13"/>
  <c r="L67" i="13"/>
  <c r="K67" i="13"/>
  <c r="F67" i="13"/>
  <c r="E67" i="13"/>
  <c r="Q66" i="13"/>
  <c r="P66" i="13"/>
  <c r="N66" i="13"/>
  <c r="M66" i="13"/>
  <c r="L66" i="13"/>
  <c r="K66" i="13"/>
  <c r="H66" i="13"/>
  <c r="G66" i="13"/>
  <c r="F66" i="13"/>
  <c r="E66" i="13"/>
  <c r="D66" i="13"/>
  <c r="A66" i="13"/>
  <c r="Q65" i="13"/>
  <c r="P65" i="13"/>
  <c r="N65" i="13"/>
  <c r="M65" i="13"/>
  <c r="L65" i="13"/>
  <c r="K65" i="13"/>
  <c r="H65" i="13"/>
  <c r="G65" i="13"/>
  <c r="F65" i="13"/>
  <c r="E65" i="13"/>
  <c r="D65" i="13"/>
  <c r="A65" i="13"/>
  <c r="Q64" i="13"/>
  <c r="P64" i="13"/>
  <c r="N64" i="13"/>
  <c r="M64" i="13"/>
  <c r="L64" i="13"/>
  <c r="K64" i="13"/>
  <c r="H64" i="13"/>
  <c r="G64" i="13"/>
  <c r="F64" i="13"/>
  <c r="E64" i="13"/>
  <c r="D64" i="13"/>
  <c r="A64" i="13"/>
  <c r="Q63" i="13"/>
  <c r="P63" i="13"/>
  <c r="N63" i="13"/>
  <c r="M63" i="13"/>
  <c r="L63" i="13"/>
  <c r="K63" i="13"/>
  <c r="I63" i="13"/>
  <c r="H63" i="13"/>
  <c r="G63" i="13"/>
  <c r="F63" i="13"/>
  <c r="E63" i="13"/>
  <c r="D63" i="13"/>
  <c r="A63" i="13"/>
  <c r="Q62" i="13"/>
  <c r="P62" i="13"/>
  <c r="N62" i="13"/>
  <c r="M62" i="13"/>
  <c r="L62" i="13"/>
  <c r="K62" i="13"/>
  <c r="H62" i="13"/>
  <c r="G62" i="13"/>
  <c r="F62" i="13"/>
  <c r="E62" i="13"/>
  <c r="D62" i="13"/>
  <c r="A62" i="13"/>
  <c r="Q61" i="13"/>
  <c r="P61" i="13"/>
  <c r="N61" i="13"/>
  <c r="M61" i="13"/>
  <c r="L61" i="13"/>
  <c r="K61" i="13"/>
  <c r="H61" i="13"/>
  <c r="G61" i="13"/>
  <c r="F61" i="13"/>
  <c r="E61" i="13"/>
  <c r="D61" i="13"/>
  <c r="B61" i="13"/>
  <c r="A61" i="13"/>
  <c r="Q60" i="13"/>
  <c r="P60" i="13"/>
  <c r="N60" i="13"/>
  <c r="M60" i="13"/>
  <c r="L60" i="13"/>
  <c r="K60" i="13"/>
  <c r="I60" i="13"/>
  <c r="H60" i="13"/>
  <c r="G60" i="13"/>
  <c r="F60" i="13"/>
  <c r="E60" i="13"/>
  <c r="D60" i="13"/>
  <c r="A60" i="13"/>
  <c r="Q59" i="13"/>
  <c r="P59" i="13"/>
  <c r="N59" i="13"/>
  <c r="M59" i="13"/>
  <c r="L59" i="13"/>
  <c r="K59" i="13"/>
  <c r="J59" i="13"/>
  <c r="I59" i="13"/>
  <c r="H59" i="13"/>
  <c r="G59" i="13"/>
  <c r="F59" i="13"/>
  <c r="E59" i="13"/>
  <c r="D59" i="13"/>
  <c r="A59" i="13"/>
  <c r="Q58" i="13"/>
  <c r="P58" i="13"/>
  <c r="N58" i="13"/>
  <c r="M58" i="13"/>
  <c r="L58" i="13"/>
  <c r="K58" i="13"/>
  <c r="J58" i="13"/>
  <c r="I58" i="13"/>
  <c r="H58" i="13"/>
  <c r="G58" i="13"/>
  <c r="F58" i="13"/>
  <c r="E58" i="13"/>
  <c r="D58" i="13"/>
  <c r="A58" i="13"/>
  <c r="Q57" i="13"/>
  <c r="P57" i="13"/>
  <c r="N57" i="13"/>
  <c r="M57" i="13"/>
  <c r="L57" i="13"/>
  <c r="K57" i="13"/>
  <c r="J57" i="13"/>
  <c r="I57" i="13"/>
  <c r="H57" i="13"/>
  <c r="G57" i="13"/>
  <c r="F57" i="13"/>
  <c r="E57" i="13"/>
  <c r="D57" i="13"/>
  <c r="A57" i="13"/>
  <c r="Q56" i="13"/>
  <c r="P56" i="13"/>
  <c r="N56" i="13"/>
  <c r="M56" i="13"/>
  <c r="L56" i="13"/>
  <c r="K56" i="13"/>
  <c r="J56" i="13"/>
  <c r="I56" i="13"/>
  <c r="H56" i="13"/>
  <c r="G56" i="13"/>
  <c r="F56" i="13"/>
  <c r="E56" i="13"/>
  <c r="D56" i="13"/>
  <c r="A56" i="13"/>
  <c r="Q55" i="13"/>
  <c r="P55" i="13"/>
  <c r="N55" i="13"/>
  <c r="M55" i="13"/>
  <c r="L55" i="13"/>
  <c r="K55" i="13"/>
  <c r="J55" i="13"/>
  <c r="I55" i="13"/>
  <c r="H55" i="13"/>
  <c r="G55" i="13"/>
  <c r="F55" i="13"/>
  <c r="E55" i="13"/>
  <c r="D55" i="13"/>
  <c r="A55" i="13"/>
  <c r="Q54" i="13"/>
  <c r="P54" i="13"/>
  <c r="N54" i="13"/>
  <c r="M54" i="13"/>
  <c r="L54" i="13"/>
  <c r="K54" i="13"/>
  <c r="J54" i="13"/>
  <c r="I54" i="13"/>
  <c r="H54" i="13"/>
  <c r="G54" i="13"/>
  <c r="F54" i="13"/>
  <c r="E54" i="13"/>
  <c r="D54" i="13"/>
  <c r="B54" i="13"/>
  <c r="A54" i="13"/>
  <c r="Q53" i="13"/>
  <c r="P53" i="13"/>
  <c r="O53" i="13"/>
  <c r="N53" i="13"/>
  <c r="M53" i="13"/>
  <c r="L53" i="13"/>
  <c r="K53" i="13"/>
  <c r="H53" i="13"/>
  <c r="G53" i="13"/>
  <c r="E53" i="13"/>
  <c r="D53" i="13"/>
  <c r="C53" i="13"/>
  <c r="B53" i="13"/>
  <c r="A53" i="13"/>
  <c r="Q52" i="13"/>
  <c r="P52" i="13"/>
  <c r="O52" i="13"/>
  <c r="N52" i="13"/>
  <c r="M52" i="13"/>
  <c r="L52" i="13"/>
  <c r="K52" i="13"/>
  <c r="H52" i="13"/>
  <c r="G52" i="13"/>
  <c r="E52" i="13"/>
  <c r="D52" i="13"/>
  <c r="C52" i="13"/>
  <c r="B52" i="13"/>
  <c r="A52" i="13"/>
  <c r="Q51" i="13"/>
  <c r="P51" i="13"/>
  <c r="N51" i="13"/>
  <c r="M51" i="13"/>
  <c r="L51" i="13"/>
  <c r="K51" i="13"/>
  <c r="J51" i="13"/>
  <c r="H51" i="13"/>
  <c r="G51" i="13"/>
  <c r="F51" i="13"/>
  <c r="E51" i="13"/>
  <c r="D51" i="13"/>
  <c r="A51" i="13"/>
  <c r="Q50" i="13"/>
  <c r="P50" i="13"/>
  <c r="N50" i="13"/>
  <c r="M50" i="13"/>
  <c r="L50" i="13"/>
  <c r="K50" i="13"/>
  <c r="J50" i="13"/>
  <c r="I50" i="13"/>
  <c r="G50" i="13"/>
  <c r="F50" i="13"/>
  <c r="E50" i="13"/>
  <c r="D50" i="13"/>
  <c r="A50" i="13"/>
  <c r="Q49" i="13"/>
  <c r="P49" i="13"/>
  <c r="N49" i="13"/>
  <c r="M49" i="13"/>
  <c r="L49" i="13"/>
  <c r="K49" i="13"/>
  <c r="J49" i="13"/>
  <c r="I49" i="13"/>
  <c r="G49" i="13"/>
  <c r="F49" i="13"/>
  <c r="E49" i="13"/>
  <c r="D49" i="13"/>
  <c r="A49" i="13"/>
  <c r="Q48" i="13"/>
  <c r="P48" i="13"/>
  <c r="N48" i="13"/>
  <c r="M48" i="13"/>
  <c r="L48" i="13"/>
  <c r="K48" i="13"/>
  <c r="J48" i="13"/>
  <c r="I48" i="13"/>
  <c r="G48" i="13"/>
  <c r="F48" i="13"/>
  <c r="E48" i="13"/>
  <c r="D48" i="13"/>
  <c r="A48" i="13"/>
  <c r="Q47" i="13"/>
  <c r="P47" i="13"/>
  <c r="N47" i="13"/>
  <c r="M47" i="13"/>
  <c r="L47" i="13"/>
  <c r="K47" i="13"/>
  <c r="J47" i="13"/>
  <c r="I47" i="13"/>
  <c r="H47" i="13"/>
  <c r="G47" i="13"/>
  <c r="F47" i="13"/>
  <c r="E47" i="13"/>
  <c r="D47" i="13"/>
  <c r="A47" i="13"/>
  <c r="Q46" i="13"/>
  <c r="P46" i="13"/>
  <c r="N46" i="13"/>
  <c r="M46" i="13"/>
  <c r="L46" i="13"/>
  <c r="K46" i="13"/>
  <c r="J46" i="13"/>
  <c r="I46" i="13"/>
  <c r="H46" i="13"/>
  <c r="G46" i="13"/>
  <c r="F46" i="13"/>
  <c r="E46" i="13"/>
  <c r="D46" i="13"/>
  <c r="A46" i="13"/>
  <c r="Q45" i="13"/>
  <c r="P45" i="13"/>
  <c r="N45" i="13"/>
  <c r="M45" i="13"/>
  <c r="L45" i="13"/>
  <c r="K45" i="13"/>
  <c r="J45" i="13"/>
  <c r="I45" i="13"/>
  <c r="H45" i="13"/>
  <c r="G45" i="13"/>
  <c r="F45" i="13"/>
  <c r="E45" i="13"/>
  <c r="D45" i="13"/>
  <c r="A45" i="13"/>
  <c r="Q44" i="13"/>
  <c r="P44" i="13"/>
  <c r="N44" i="13"/>
  <c r="M44" i="13"/>
  <c r="L44" i="13"/>
  <c r="K44" i="13"/>
  <c r="J44" i="13"/>
  <c r="I44" i="13"/>
  <c r="H44" i="13"/>
  <c r="G44" i="13"/>
  <c r="F44" i="13"/>
  <c r="E44" i="13"/>
  <c r="D44" i="13"/>
  <c r="C44" i="13"/>
  <c r="B44" i="13"/>
  <c r="A44" i="13"/>
  <c r="Q43" i="13"/>
  <c r="P43" i="13"/>
  <c r="N43" i="13"/>
  <c r="M43" i="13"/>
  <c r="L43" i="13"/>
  <c r="K43" i="13"/>
  <c r="J43" i="13"/>
  <c r="I43" i="13"/>
  <c r="H43" i="13"/>
  <c r="G43" i="13"/>
  <c r="F43" i="13"/>
  <c r="E43" i="13"/>
  <c r="D43" i="13"/>
  <c r="A43" i="13"/>
  <c r="Q42" i="13"/>
  <c r="P42" i="13"/>
  <c r="N42" i="13"/>
  <c r="M42" i="13"/>
  <c r="L42" i="13"/>
  <c r="K42" i="13"/>
  <c r="J42" i="13"/>
  <c r="I42" i="13"/>
  <c r="H42" i="13"/>
  <c r="G42" i="13"/>
  <c r="F42" i="13"/>
  <c r="E42" i="13"/>
  <c r="D42" i="13"/>
  <c r="A42" i="13"/>
  <c r="Q41" i="13"/>
  <c r="P41" i="13"/>
  <c r="N41" i="13"/>
  <c r="M41" i="13"/>
  <c r="L41" i="13"/>
  <c r="K41" i="13"/>
  <c r="J41" i="13"/>
  <c r="I41" i="13"/>
  <c r="H41" i="13"/>
  <c r="G41" i="13"/>
  <c r="F41" i="13"/>
  <c r="E41" i="13"/>
  <c r="D41" i="13"/>
  <c r="A41" i="13"/>
  <c r="Q40" i="13"/>
  <c r="P40" i="13"/>
  <c r="N40" i="13"/>
  <c r="M40" i="13"/>
  <c r="L40" i="13"/>
  <c r="K40" i="13"/>
  <c r="J40" i="13"/>
  <c r="I40" i="13"/>
  <c r="H40" i="13"/>
  <c r="G40" i="13"/>
  <c r="F40" i="13"/>
  <c r="E40" i="13"/>
  <c r="D40" i="13"/>
  <c r="A40" i="13"/>
  <c r="Q39" i="13"/>
  <c r="P39" i="13"/>
  <c r="N39" i="13"/>
  <c r="M39" i="13"/>
  <c r="L39" i="13"/>
  <c r="K39" i="13"/>
  <c r="J39" i="13"/>
  <c r="I39" i="13"/>
  <c r="H39" i="13"/>
  <c r="G39" i="13"/>
  <c r="F39" i="13"/>
  <c r="E39" i="13"/>
  <c r="D39" i="13"/>
  <c r="A39" i="13"/>
  <c r="Q38" i="13"/>
  <c r="P38" i="13"/>
  <c r="N38" i="13"/>
  <c r="M38" i="13"/>
  <c r="L38" i="13"/>
  <c r="K38" i="13"/>
  <c r="J38" i="13"/>
  <c r="I38" i="13"/>
  <c r="H38" i="13"/>
  <c r="G38" i="13"/>
  <c r="F38" i="13"/>
  <c r="E38" i="13"/>
  <c r="D38" i="13"/>
  <c r="A38" i="13"/>
  <c r="Q37" i="13"/>
  <c r="P37" i="13"/>
  <c r="N37" i="13"/>
  <c r="M37" i="13"/>
  <c r="L37" i="13"/>
  <c r="K37" i="13"/>
  <c r="J37" i="13"/>
  <c r="I37" i="13"/>
  <c r="H37" i="13"/>
  <c r="G37" i="13"/>
  <c r="F37" i="13"/>
  <c r="E37" i="13"/>
  <c r="D37" i="13"/>
  <c r="A37" i="13"/>
  <c r="Q36" i="13"/>
  <c r="P36" i="13"/>
  <c r="N36" i="13"/>
  <c r="M36" i="13"/>
  <c r="L36" i="13"/>
  <c r="K36" i="13"/>
  <c r="J36" i="13"/>
  <c r="I36" i="13"/>
  <c r="H36" i="13"/>
  <c r="G36" i="13"/>
  <c r="F36" i="13"/>
  <c r="E36" i="13"/>
  <c r="D36" i="13"/>
  <c r="A36" i="13"/>
  <c r="Q35" i="13"/>
  <c r="P35" i="13"/>
  <c r="N35" i="13"/>
  <c r="M35" i="13"/>
  <c r="L35" i="13"/>
  <c r="K35" i="13"/>
  <c r="J35" i="13"/>
  <c r="I35" i="13"/>
  <c r="H35" i="13"/>
  <c r="G35" i="13"/>
  <c r="F35" i="13"/>
  <c r="E35" i="13"/>
  <c r="D35" i="13"/>
  <c r="A35" i="13"/>
  <c r="Q34" i="13"/>
  <c r="P34" i="13"/>
  <c r="N34" i="13"/>
  <c r="M34" i="13"/>
  <c r="L34" i="13"/>
  <c r="K34" i="13"/>
  <c r="J34" i="13"/>
  <c r="I34" i="13"/>
  <c r="H34" i="13"/>
  <c r="G34" i="13"/>
  <c r="F34" i="13"/>
  <c r="E34" i="13"/>
  <c r="D34" i="13"/>
  <c r="A34" i="13"/>
  <c r="Q33" i="13"/>
  <c r="P33" i="13"/>
  <c r="N33" i="13"/>
  <c r="M33" i="13"/>
  <c r="L33" i="13"/>
  <c r="K33" i="13"/>
  <c r="J33" i="13"/>
  <c r="I33" i="13"/>
  <c r="H33" i="13"/>
  <c r="G33" i="13"/>
  <c r="F33" i="13"/>
  <c r="E33" i="13"/>
  <c r="D33" i="13"/>
  <c r="A33" i="13"/>
  <c r="Q32" i="13"/>
  <c r="P32" i="13"/>
  <c r="N32" i="13"/>
  <c r="M32" i="13"/>
  <c r="L32" i="13"/>
  <c r="K32" i="13"/>
  <c r="I32" i="13"/>
  <c r="H32" i="13"/>
  <c r="G32" i="13"/>
  <c r="F32" i="13"/>
  <c r="E32" i="13"/>
  <c r="D32" i="13"/>
  <c r="A32" i="13"/>
  <c r="Q31" i="13"/>
  <c r="P31" i="13"/>
  <c r="N31" i="13"/>
  <c r="M31" i="13"/>
  <c r="L31" i="13"/>
  <c r="K31" i="13"/>
  <c r="J31" i="13"/>
  <c r="I31" i="13"/>
  <c r="H31" i="13"/>
  <c r="G31" i="13"/>
  <c r="F31" i="13"/>
  <c r="E31" i="13"/>
  <c r="D31" i="13"/>
  <c r="A31" i="13"/>
  <c r="Q30" i="13"/>
  <c r="P30" i="13"/>
  <c r="N30" i="13"/>
  <c r="M30" i="13"/>
  <c r="L30" i="13"/>
  <c r="K30" i="13"/>
  <c r="J30" i="13"/>
  <c r="I30" i="13"/>
  <c r="H30" i="13"/>
  <c r="G30" i="13"/>
  <c r="F30" i="13"/>
  <c r="E30" i="13"/>
  <c r="D30" i="13"/>
  <c r="A30" i="13"/>
  <c r="Q29" i="13"/>
  <c r="P29" i="13"/>
  <c r="N29" i="13"/>
  <c r="M29" i="13"/>
  <c r="L29" i="13"/>
  <c r="K29" i="13"/>
  <c r="J29" i="13"/>
  <c r="H29" i="13"/>
  <c r="G29" i="13"/>
  <c r="F29" i="13"/>
  <c r="E29" i="13"/>
  <c r="D29" i="13"/>
  <c r="A29" i="13"/>
  <c r="Q28" i="13"/>
  <c r="P28" i="13"/>
  <c r="N28" i="13"/>
  <c r="M28" i="13"/>
  <c r="L28" i="13"/>
  <c r="K28" i="13"/>
  <c r="J28" i="13"/>
  <c r="I28" i="13"/>
  <c r="H28" i="13"/>
  <c r="G28" i="13"/>
  <c r="F28" i="13"/>
  <c r="E28" i="13"/>
  <c r="D28" i="13"/>
  <c r="A28" i="13"/>
  <c r="Q27" i="13"/>
  <c r="P27" i="13"/>
  <c r="N27" i="13"/>
  <c r="M27" i="13"/>
  <c r="L27" i="13"/>
  <c r="K27" i="13"/>
  <c r="J27" i="13"/>
  <c r="I27" i="13"/>
  <c r="H27" i="13"/>
  <c r="G27" i="13"/>
  <c r="F27" i="13"/>
  <c r="E27" i="13"/>
  <c r="D27" i="13"/>
  <c r="A27" i="13"/>
  <c r="Q26" i="13"/>
  <c r="P26" i="13"/>
  <c r="N26" i="13"/>
  <c r="M26" i="13"/>
  <c r="L26" i="13"/>
  <c r="K26" i="13"/>
  <c r="J26" i="13"/>
  <c r="I26" i="13"/>
  <c r="H26" i="13"/>
  <c r="G26" i="13"/>
  <c r="F26" i="13"/>
  <c r="E26" i="13"/>
  <c r="D26" i="13"/>
  <c r="A26" i="13"/>
  <c r="Q25" i="13"/>
  <c r="P25" i="13"/>
  <c r="N25" i="13"/>
  <c r="M25" i="13"/>
  <c r="L25" i="13"/>
  <c r="K25" i="13"/>
  <c r="J25" i="13"/>
  <c r="I25" i="13"/>
  <c r="H25" i="13"/>
  <c r="G25" i="13"/>
  <c r="F25" i="13"/>
  <c r="E25" i="13"/>
  <c r="D25" i="13"/>
  <c r="A25" i="13"/>
  <c r="Q24" i="13"/>
  <c r="P24" i="13"/>
  <c r="N24" i="13"/>
  <c r="M24" i="13"/>
  <c r="L24" i="13"/>
  <c r="K24" i="13"/>
  <c r="J24" i="13"/>
  <c r="I24" i="13"/>
  <c r="H24" i="13"/>
  <c r="G24" i="13"/>
  <c r="F24" i="13"/>
  <c r="E24" i="13"/>
  <c r="D24" i="13"/>
  <c r="A24" i="13"/>
  <c r="Q23" i="13"/>
  <c r="P23" i="13"/>
  <c r="N23" i="13"/>
  <c r="M23" i="13"/>
  <c r="L23" i="13"/>
  <c r="K23" i="13"/>
  <c r="J23" i="13"/>
  <c r="I23" i="13"/>
  <c r="H23" i="13"/>
  <c r="G23" i="13"/>
  <c r="F23" i="13"/>
  <c r="E23" i="13"/>
  <c r="D23" i="13"/>
  <c r="A23" i="13"/>
  <c r="Q22" i="13"/>
  <c r="P22" i="13"/>
  <c r="N22" i="13"/>
  <c r="M22" i="13"/>
  <c r="L22" i="13"/>
  <c r="K22" i="13"/>
  <c r="J22" i="13"/>
  <c r="H22" i="13"/>
  <c r="G22" i="13"/>
  <c r="F22" i="13"/>
  <c r="E22" i="13"/>
  <c r="D22" i="13"/>
  <c r="A22" i="13"/>
  <c r="Q21" i="13"/>
  <c r="P21" i="13"/>
  <c r="N21" i="13"/>
  <c r="M21" i="13"/>
  <c r="L21" i="13"/>
  <c r="K21" i="13"/>
  <c r="J21" i="13"/>
  <c r="H21" i="13"/>
  <c r="G21" i="13"/>
  <c r="F21" i="13"/>
  <c r="E21" i="13"/>
  <c r="D21" i="13"/>
  <c r="A21" i="13"/>
  <c r="Q20" i="13"/>
  <c r="P20" i="13"/>
  <c r="N20" i="13"/>
  <c r="M20" i="13"/>
  <c r="L20" i="13"/>
  <c r="K20" i="13"/>
  <c r="J20" i="13"/>
  <c r="H20" i="13"/>
  <c r="G20" i="13"/>
  <c r="F20" i="13"/>
  <c r="E20" i="13"/>
  <c r="D20" i="13"/>
  <c r="C20" i="13"/>
  <c r="B20" i="13"/>
  <c r="A20" i="13"/>
  <c r="Q19" i="13"/>
  <c r="P19" i="13"/>
  <c r="N19" i="13"/>
  <c r="M19" i="13"/>
  <c r="L19" i="13"/>
  <c r="K19" i="13"/>
  <c r="J19" i="13"/>
  <c r="I19" i="13"/>
  <c r="G19" i="13"/>
  <c r="F19" i="13"/>
  <c r="E19" i="13"/>
  <c r="D19" i="13"/>
  <c r="C19" i="13"/>
  <c r="B19" i="13"/>
  <c r="A19" i="13"/>
  <c r="Q18" i="13"/>
  <c r="P18" i="13"/>
  <c r="N18" i="13"/>
  <c r="M18" i="13"/>
  <c r="L18" i="13"/>
  <c r="K18" i="13"/>
  <c r="J18" i="13"/>
  <c r="H18" i="13"/>
  <c r="G18" i="13"/>
  <c r="F18" i="13"/>
  <c r="E18" i="13"/>
  <c r="D18" i="13"/>
  <c r="A18" i="13"/>
  <c r="Q17" i="13"/>
  <c r="P17" i="13"/>
  <c r="N17" i="13"/>
  <c r="M17" i="13"/>
  <c r="L17" i="13"/>
  <c r="K17" i="13"/>
  <c r="J17" i="13"/>
  <c r="H17" i="13"/>
  <c r="G17" i="13"/>
  <c r="F17" i="13"/>
  <c r="E17" i="13"/>
  <c r="D17" i="13"/>
  <c r="A17" i="13"/>
  <c r="Q16" i="13"/>
  <c r="P16" i="13"/>
  <c r="N16" i="13"/>
  <c r="M16" i="13"/>
  <c r="L16" i="13"/>
  <c r="K16" i="13"/>
  <c r="J16" i="13"/>
  <c r="H16" i="13"/>
  <c r="G16" i="13"/>
  <c r="F16" i="13"/>
  <c r="E16" i="13"/>
  <c r="D16" i="13"/>
  <c r="A16" i="13"/>
  <c r="Q15" i="13"/>
  <c r="P15" i="13"/>
  <c r="N15" i="13"/>
  <c r="M15" i="13"/>
  <c r="L15" i="13"/>
  <c r="K15" i="13"/>
  <c r="J15" i="13"/>
  <c r="H15" i="13"/>
  <c r="G15" i="13"/>
  <c r="F15" i="13"/>
  <c r="E15" i="13"/>
  <c r="D15" i="13"/>
  <c r="A15" i="13"/>
  <c r="Q14" i="13"/>
  <c r="P14" i="13"/>
  <c r="N14" i="13"/>
  <c r="M14" i="13"/>
  <c r="L14" i="13"/>
  <c r="K14" i="13"/>
  <c r="J14" i="13"/>
  <c r="H14" i="13"/>
  <c r="G14" i="13"/>
  <c r="F14" i="13"/>
  <c r="E14" i="13"/>
  <c r="D14" i="13"/>
  <c r="C14" i="13"/>
  <c r="B14" i="13"/>
  <c r="A14" i="13"/>
  <c r="Q13" i="13"/>
  <c r="P13" i="13"/>
  <c r="N13" i="13"/>
  <c r="M13" i="13"/>
  <c r="L13" i="13"/>
  <c r="K13" i="13"/>
  <c r="H13" i="13"/>
  <c r="G13" i="13"/>
  <c r="F13" i="13"/>
  <c r="E13" i="13"/>
  <c r="D13" i="13"/>
  <c r="A13" i="13"/>
  <c r="Q12" i="13"/>
  <c r="P12" i="13"/>
  <c r="N12" i="13"/>
  <c r="M12" i="13"/>
  <c r="L12" i="13"/>
  <c r="K12" i="13"/>
  <c r="H12" i="13"/>
  <c r="G12" i="13"/>
  <c r="F12" i="13"/>
  <c r="E12" i="13"/>
  <c r="D12" i="13"/>
  <c r="C12" i="13"/>
  <c r="B12" i="13"/>
  <c r="A12" i="13"/>
  <c r="Q11" i="13"/>
  <c r="P11" i="13"/>
  <c r="O11" i="13"/>
  <c r="N11" i="13"/>
  <c r="M11" i="13"/>
  <c r="L11" i="13"/>
  <c r="K11" i="13"/>
  <c r="H11" i="13"/>
  <c r="G11" i="13"/>
  <c r="E11" i="13"/>
  <c r="D11" i="13"/>
  <c r="C11" i="13"/>
  <c r="B11" i="13"/>
  <c r="A11" i="13"/>
  <c r="Q10" i="13"/>
  <c r="P10" i="13"/>
  <c r="O10" i="13"/>
  <c r="N10" i="13"/>
  <c r="M10" i="13"/>
  <c r="L10" i="13"/>
  <c r="K10" i="13"/>
  <c r="H10" i="13"/>
  <c r="G10" i="13"/>
  <c r="E10" i="13"/>
  <c r="D10" i="13"/>
  <c r="C10" i="13"/>
  <c r="B10" i="13"/>
  <c r="A10" i="13"/>
  <c r="Q9" i="13"/>
  <c r="P9" i="13"/>
  <c r="O9" i="13"/>
  <c r="N9" i="13"/>
  <c r="M9" i="13"/>
  <c r="L9" i="13"/>
  <c r="K9" i="13"/>
  <c r="H9" i="13"/>
  <c r="G9" i="13"/>
  <c r="E9" i="13"/>
  <c r="D9" i="13"/>
  <c r="C9" i="13"/>
  <c r="B9" i="13"/>
  <c r="A9" i="13"/>
  <c r="M8" i="13"/>
  <c r="C8" i="13"/>
  <c r="M7" i="13"/>
  <c r="C7" i="13"/>
  <c r="Q6" i="13"/>
  <c r="P6" i="13"/>
  <c r="O6" i="13"/>
  <c r="M6" i="13"/>
  <c r="L6" i="13"/>
  <c r="K6" i="13"/>
  <c r="H6" i="13"/>
  <c r="G6" i="13"/>
  <c r="E6" i="13"/>
  <c r="D6" i="13"/>
  <c r="C6" i="13"/>
  <c r="B6" i="13"/>
  <c r="A6" i="13"/>
  <c r="Q5" i="13"/>
  <c r="P5" i="13"/>
  <c r="O5" i="13"/>
  <c r="N5" i="13"/>
  <c r="M5" i="13"/>
  <c r="L5" i="13"/>
  <c r="K5" i="13"/>
  <c r="H5" i="13"/>
  <c r="G5" i="13"/>
  <c r="E5" i="13"/>
  <c r="D5" i="13"/>
  <c r="C5" i="13"/>
  <c r="B5" i="13"/>
  <c r="A5" i="13"/>
  <c r="Q4" i="13"/>
  <c r="P4" i="13"/>
  <c r="N4" i="13"/>
  <c r="M4" i="13"/>
  <c r="L4" i="13"/>
  <c r="K4" i="13"/>
  <c r="J4" i="13"/>
  <c r="I4" i="13"/>
  <c r="H4" i="13"/>
  <c r="G4" i="13"/>
  <c r="F4" i="13"/>
  <c r="E4" i="13"/>
  <c r="D4" i="13"/>
  <c r="C4" i="13"/>
  <c r="B4" i="13"/>
  <c r="A4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C3" i="13"/>
  <c r="B3" i="13"/>
  <c r="A3" i="13"/>
  <c r="D1" i="13"/>
  <c r="C1" i="13"/>
  <c r="B1" i="13"/>
  <c r="A1" i="13"/>
  <c r="O136" i="12"/>
  <c r="O137" i="12" s="1"/>
  <c r="O116" i="12"/>
  <c r="O117" i="12" s="1"/>
  <c r="O118" i="12" s="1"/>
  <c r="O119" i="12" s="1"/>
  <c r="O120" i="12" s="1"/>
  <c r="O121" i="12" s="1"/>
  <c r="O122" i="12" s="1"/>
  <c r="O123" i="12" s="1"/>
  <c r="O124" i="12" s="1"/>
  <c r="O115" i="12"/>
  <c r="O109" i="12"/>
  <c r="O108" i="12"/>
  <c r="O105" i="12"/>
  <c r="O106" i="12" s="1"/>
  <c r="O104" i="12"/>
  <c r="O102" i="12"/>
  <c r="M100" i="12"/>
  <c r="M99" i="12"/>
  <c r="M98" i="12"/>
  <c r="M97" i="12"/>
  <c r="M96" i="12"/>
  <c r="M95" i="12"/>
  <c r="O76" i="12"/>
  <c r="O94" i="12" s="1"/>
  <c r="O60" i="12"/>
  <c r="O59" i="12"/>
  <c r="O58" i="12"/>
  <c r="O50" i="12"/>
  <c r="O49" i="12"/>
  <c r="O38" i="12"/>
  <c r="O39" i="12" s="1"/>
  <c r="O40" i="12" s="1"/>
  <c r="O41" i="12" s="1"/>
  <c r="O42" i="12" s="1"/>
  <c r="P43" i="12" s="1"/>
  <c r="O46" i="12" s="1"/>
  <c r="O37" i="12"/>
  <c r="O30" i="12"/>
  <c r="O28" i="12"/>
  <c r="O25" i="12"/>
  <c r="O24" i="12"/>
  <c r="O23" i="12"/>
  <c r="O22" i="12"/>
  <c r="O34" i="11"/>
  <c r="O32" i="11"/>
  <c r="O28" i="11"/>
  <c r="O20" i="11"/>
  <c r="O19" i="11"/>
  <c r="O14" i="11"/>
  <c r="O8" i="11"/>
  <c r="O7" i="11"/>
  <c r="O6" i="11"/>
  <c r="O4" i="11"/>
  <c r="P55" i="8"/>
  <c r="O55" i="8"/>
  <c r="N55" i="8"/>
  <c r="L55" i="8"/>
  <c r="K55" i="8"/>
  <c r="J55" i="8"/>
  <c r="H55" i="8"/>
  <c r="E55" i="8"/>
  <c r="D55" i="8"/>
  <c r="C55" i="8"/>
  <c r="A55" i="8"/>
  <c r="P54" i="8"/>
  <c r="L54" i="8"/>
  <c r="J54" i="8"/>
  <c r="H54" i="8"/>
  <c r="C54" i="8"/>
  <c r="P53" i="8"/>
  <c r="L53" i="8"/>
  <c r="J53" i="8"/>
  <c r="H53" i="8"/>
  <c r="C53" i="8"/>
  <c r="P52" i="8"/>
  <c r="L52" i="8"/>
  <c r="J52" i="8"/>
  <c r="H52" i="8"/>
  <c r="C52" i="8"/>
  <c r="P51" i="8"/>
  <c r="O51" i="8"/>
  <c r="N51" i="8"/>
  <c r="L51" i="8"/>
  <c r="K51" i="8"/>
  <c r="J51" i="8"/>
  <c r="H51" i="8"/>
  <c r="E51" i="8"/>
  <c r="D51" i="8"/>
  <c r="C51" i="8"/>
  <c r="A51" i="8"/>
  <c r="P50" i="8"/>
  <c r="L50" i="8"/>
  <c r="A50" i="8"/>
  <c r="P49" i="8"/>
  <c r="O49" i="8"/>
  <c r="N49" i="8"/>
  <c r="L49" i="8"/>
  <c r="K49" i="8"/>
  <c r="J49" i="8"/>
  <c r="H49" i="8"/>
  <c r="E49" i="8"/>
  <c r="D49" i="8"/>
  <c r="C49" i="8"/>
  <c r="B49" i="8"/>
  <c r="A49" i="8"/>
  <c r="P48" i="8"/>
  <c r="O48" i="8"/>
  <c r="N48" i="8"/>
  <c r="L48" i="8"/>
  <c r="K48" i="8"/>
  <c r="J48" i="8"/>
  <c r="H48" i="8"/>
  <c r="E48" i="8"/>
  <c r="D48" i="8"/>
  <c r="C48" i="8"/>
  <c r="B48" i="8"/>
  <c r="A48" i="8"/>
  <c r="P47" i="8"/>
  <c r="O47" i="8"/>
  <c r="N47" i="8"/>
  <c r="L47" i="8"/>
  <c r="K47" i="8"/>
  <c r="J47" i="8"/>
  <c r="H47" i="8"/>
  <c r="E47" i="8"/>
  <c r="D47" i="8"/>
  <c r="C47" i="8"/>
  <c r="B47" i="8"/>
  <c r="A47" i="8"/>
  <c r="P46" i="8"/>
  <c r="O46" i="8"/>
  <c r="N46" i="8"/>
  <c r="L46" i="8"/>
  <c r="K46" i="8"/>
  <c r="J46" i="8"/>
  <c r="H46" i="8"/>
  <c r="E46" i="8"/>
  <c r="D46" i="8"/>
  <c r="C46" i="8"/>
  <c r="B46" i="8"/>
  <c r="A46" i="8"/>
  <c r="P45" i="8"/>
  <c r="L45" i="8"/>
  <c r="A45" i="8"/>
  <c r="P44" i="8"/>
  <c r="O44" i="8"/>
  <c r="N44" i="8"/>
  <c r="L44" i="8"/>
  <c r="J44" i="8"/>
  <c r="H44" i="8"/>
  <c r="B44" i="8"/>
  <c r="A44" i="8"/>
  <c r="P43" i="8"/>
  <c r="O43" i="8"/>
  <c r="N43" i="8"/>
  <c r="L43" i="8"/>
  <c r="J43" i="8"/>
  <c r="H43" i="8"/>
  <c r="B43" i="8"/>
  <c r="A43" i="8"/>
  <c r="P42" i="8"/>
  <c r="O42" i="8"/>
  <c r="N42" i="8"/>
  <c r="L42" i="8"/>
  <c r="K42" i="8"/>
  <c r="J42" i="8"/>
  <c r="H42" i="8"/>
  <c r="G42" i="8"/>
  <c r="F42" i="8"/>
  <c r="E42" i="8"/>
  <c r="D42" i="8"/>
  <c r="C42" i="8"/>
  <c r="B42" i="8"/>
  <c r="A42" i="8"/>
  <c r="P41" i="8"/>
  <c r="O41" i="8"/>
  <c r="N41" i="8"/>
  <c r="L41" i="8"/>
  <c r="K41" i="8"/>
  <c r="J41" i="8"/>
  <c r="H41" i="8"/>
  <c r="G41" i="8"/>
  <c r="F41" i="8"/>
  <c r="E41" i="8"/>
  <c r="D41" i="8"/>
  <c r="C41" i="8"/>
  <c r="B41" i="8"/>
  <c r="A41" i="8"/>
  <c r="A39" i="8"/>
  <c r="P37" i="8"/>
  <c r="O37" i="8"/>
  <c r="N37" i="8"/>
  <c r="L37" i="8"/>
  <c r="K37" i="8"/>
  <c r="J37" i="8"/>
  <c r="I37" i="8"/>
  <c r="H37" i="8"/>
  <c r="F37" i="8"/>
  <c r="E37" i="8"/>
  <c r="D37" i="8"/>
  <c r="C37" i="8"/>
  <c r="B37" i="8"/>
  <c r="A37" i="8"/>
  <c r="P36" i="8"/>
  <c r="O36" i="8"/>
  <c r="N36" i="8"/>
  <c r="L36" i="8"/>
  <c r="K36" i="8"/>
  <c r="J36" i="8"/>
  <c r="I36" i="8"/>
  <c r="H36" i="8"/>
  <c r="F36" i="8"/>
  <c r="E36" i="8"/>
  <c r="D36" i="8"/>
  <c r="C36" i="8"/>
  <c r="B36" i="8"/>
  <c r="A36" i="8"/>
  <c r="P35" i="8"/>
  <c r="O35" i="8"/>
  <c r="N35" i="8"/>
  <c r="L35" i="8"/>
  <c r="K35" i="8"/>
  <c r="J35" i="8"/>
  <c r="I35" i="8"/>
  <c r="H35" i="8"/>
  <c r="G35" i="8"/>
  <c r="F35" i="8"/>
  <c r="E35" i="8"/>
  <c r="D35" i="8"/>
  <c r="C35" i="8"/>
  <c r="B35" i="8"/>
  <c r="A35" i="8"/>
  <c r="P34" i="8"/>
  <c r="O34" i="8"/>
  <c r="N34" i="8"/>
  <c r="L34" i="8"/>
  <c r="K34" i="8"/>
  <c r="J34" i="8"/>
  <c r="I34" i="8"/>
  <c r="H34" i="8"/>
  <c r="G34" i="8"/>
  <c r="F34" i="8"/>
  <c r="E34" i="8"/>
  <c r="D34" i="8"/>
  <c r="C34" i="8"/>
  <c r="B34" i="8"/>
  <c r="A34" i="8"/>
  <c r="P33" i="8"/>
  <c r="O33" i="8"/>
  <c r="N33" i="8"/>
  <c r="L33" i="8"/>
  <c r="K33" i="8"/>
  <c r="J33" i="8"/>
  <c r="I33" i="8"/>
  <c r="H33" i="8"/>
  <c r="G33" i="8"/>
  <c r="F33" i="8"/>
  <c r="E33" i="8"/>
  <c r="D33" i="8"/>
  <c r="C33" i="8"/>
  <c r="B33" i="8"/>
  <c r="A33" i="8"/>
  <c r="P32" i="8"/>
  <c r="O32" i="8"/>
  <c r="N32" i="8"/>
  <c r="L32" i="8"/>
  <c r="K32" i="8"/>
  <c r="J32" i="8"/>
  <c r="I32" i="8"/>
  <c r="H32" i="8"/>
  <c r="G32" i="8"/>
  <c r="F32" i="8"/>
  <c r="E32" i="8"/>
  <c r="D32" i="8"/>
  <c r="C32" i="8"/>
  <c r="B32" i="8"/>
  <c r="A32" i="8"/>
  <c r="P31" i="8"/>
  <c r="O31" i="8"/>
  <c r="N31" i="8"/>
  <c r="L31" i="8"/>
  <c r="K31" i="8"/>
  <c r="J31" i="8"/>
  <c r="I31" i="8"/>
  <c r="H31" i="8"/>
  <c r="G31" i="8"/>
  <c r="F31" i="8"/>
  <c r="E31" i="8"/>
  <c r="D31" i="8"/>
  <c r="C31" i="8"/>
  <c r="B31" i="8"/>
  <c r="A31" i="8"/>
  <c r="P30" i="8"/>
  <c r="O30" i="8"/>
  <c r="N30" i="8"/>
  <c r="L30" i="8"/>
  <c r="K30" i="8"/>
  <c r="J30" i="8"/>
  <c r="I30" i="8"/>
  <c r="H30" i="8"/>
  <c r="G30" i="8"/>
  <c r="F30" i="8"/>
  <c r="E30" i="8"/>
  <c r="D30" i="8"/>
  <c r="C30" i="8"/>
  <c r="B30" i="8"/>
  <c r="A30" i="8"/>
  <c r="P29" i="8"/>
  <c r="O29" i="8"/>
  <c r="N29" i="8"/>
  <c r="L29" i="8"/>
  <c r="K29" i="8"/>
  <c r="J29" i="8"/>
  <c r="I29" i="8"/>
  <c r="H29" i="8"/>
  <c r="G29" i="8"/>
  <c r="F29" i="8"/>
  <c r="E29" i="8"/>
  <c r="D29" i="8"/>
  <c r="C29" i="8"/>
  <c r="B29" i="8"/>
  <c r="A29" i="8"/>
  <c r="P28" i="8"/>
  <c r="O28" i="8"/>
  <c r="N28" i="8"/>
  <c r="L28" i="8"/>
  <c r="K28" i="8"/>
  <c r="J28" i="8"/>
  <c r="I28" i="8"/>
  <c r="H28" i="8"/>
  <c r="G28" i="8"/>
  <c r="F28" i="8"/>
  <c r="E28" i="8"/>
  <c r="D28" i="8"/>
  <c r="C28" i="8"/>
  <c r="B28" i="8"/>
  <c r="A28" i="8"/>
  <c r="P27" i="8"/>
  <c r="O27" i="8"/>
  <c r="N27" i="8"/>
  <c r="L27" i="8"/>
  <c r="K27" i="8"/>
  <c r="J27" i="8"/>
  <c r="I27" i="8"/>
  <c r="H27" i="8"/>
  <c r="G27" i="8"/>
  <c r="F27" i="8"/>
  <c r="E27" i="8"/>
  <c r="D27" i="8"/>
  <c r="C27" i="8"/>
  <c r="B27" i="8"/>
  <c r="A27" i="8"/>
  <c r="P26" i="8"/>
  <c r="O26" i="8"/>
  <c r="N26" i="8"/>
  <c r="L26" i="8"/>
  <c r="K26" i="8"/>
  <c r="J26" i="8"/>
  <c r="I26" i="8"/>
  <c r="H26" i="8"/>
  <c r="G26" i="8"/>
  <c r="F26" i="8"/>
  <c r="E26" i="8"/>
  <c r="D26" i="8"/>
  <c r="C26" i="8"/>
  <c r="B26" i="8"/>
  <c r="A26" i="8"/>
  <c r="P25" i="8"/>
  <c r="O25" i="8"/>
  <c r="N25" i="8"/>
  <c r="L25" i="8"/>
  <c r="K25" i="8"/>
  <c r="J25" i="8"/>
  <c r="I25" i="8"/>
  <c r="H25" i="8"/>
  <c r="G25" i="8"/>
  <c r="F25" i="8"/>
  <c r="E25" i="8"/>
  <c r="D25" i="8"/>
  <c r="C25" i="8"/>
  <c r="B25" i="8"/>
  <c r="A25" i="8"/>
  <c r="P24" i="8"/>
  <c r="O24" i="8"/>
  <c r="N24" i="8"/>
  <c r="L24" i="8"/>
  <c r="K24" i="8"/>
  <c r="J24" i="8"/>
  <c r="I24" i="8"/>
  <c r="H24" i="8"/>
  <c r="G24" i="8"/>
  <c r="F24" i="8"/>
  <c r="E24" i="8"/>
  <c r="D24" i="8"/>
  <c r="C24" i="8"/>
  <c r="B24" i="8"/>
  <c r="A24" i="8"/>
  <c r="P23" i="8"/>
  <c r="O23" i="8"/>
  <c r="N23" i="8"/>
  <c r="L23" i="8"/>
  <c r="K23" i="8"/>
  <c r="J23" i="8"/>
  <c r="I23" i="8"/>
  <c r="H23" i="8"/>
  <c r="G23" i="8"/>
  <c r="F23" i="8"/>
  <c r="E23" i="8"/>
  <c r="D23" i="8"/>
  <c r="C23" i="8"/>
  <c r="B23" i="8"/>
  <c r="A23" i="8"/>
  <c r="P22" i="8"/>
  <c r="O22" i="8"/>
  <c r="N22" i="8"/>
  <c r="L22" i="8"/>
  <c r="K22" i="8"/>
  <c r="J22" i="8"/>
  <c r="I22" i="8"/>
  <c r="H22" i="8"/>
  <c r="G22" i="8"/>
  <c r="F22" i="8"/>
  <c r="E22" i="8"/>
  <c r="D22" i="8"/>
  <c r="C22" i="8"/>
  <c r="B22" i="8"/>
  <c r="A22" i="8"/>
  <c r="I21" i="8"/>
  <c r="H21" i="8"/>
  <c r="P20" i="8"/>
  <c r="O20" i="8"/>
  <c r="N20" i="8"/>
  <c r="L20" i="8"/>
  <c r="K20" i="8"/>
  <c r="J20" i="8"/>
  <c r="I20" i="8"/>
  <c r="H20" i="8"/>
  <c r="G20" i="8"/>
  <c r="F20" i="8"/>
  <c r="E20" i="8"/>
  <c r="D20" i="8"/>
  <c r="C20" i="8"/>
  <c r="B20" i="8"/>
  <c r="A20" i="8"/>
  <c r="P19" i="8"/>
  <c r="O19" i="8"/>
  <c r="N19" i="8"/>
  <c r="L19" i="8"/>
  <c r="K19" i="8"/>
  <c r="J19" i="8"/>
  <c r="I19" i="8"/>
  <c r="H19" i="8"/>
  <c r="G19" i="8"/>
  <c r="F19" i="8"/>
  <c r="E19" i="8"/>
  <c r="D19" i="8"/>
  <c r="C19" i="8"/>
  <c r="B19" i="8"/>
  <c r="A19" i="8"/>
  <c r="P18" i="8"/>
  <c r="O18" i="8"/>
  <c r="N18" i="8"/>
  <c r="L18" i="8"/>
  <c r="K18" i="8"/>
  <c r="J18" i="8"/>
  <c r="I18" i="8"/>
  <c r="H18" i="8"/>
  <c r="G18" i="8"/>
  <c r="F18" i="8"/>
  <c r="E18" i="8"/>
  <c r="D18" i="8"/>
  <c r="C18" i="8"/>
  <c r="B18" i="8"/>
  <c r="A18" i="8"/>
  <c r="P17" i="8"/>
  <c r="O17" i="8"/>
  <c r="N17" i="8"/>
  <c r="L17" i="8"/>
  <c r="K17" i="8"/>
  <c r="J17" i="8"/>
  <c r="I17" i="8"/>
  <c r="H17" i="8"/>
  <c r="G17" i="8"/>
  <c r="F17" i="8"/>
  <c r="E17" i="8"/>
  <c r="D17" i="8"/>
  <c r="C17" i="8"/>
  <c r="B17" i="8"/>
  <c r="A17" i="8"/>
  <c r="P16" i="8"/>
  <c r="O16" i="8"/>
  <c r="N16" i="8"/>
  <c r="L16" i="8"/>
  <c r="K16" i="8"/>
  <c r="J16" i="8"/>
  <c r="I16" i="8"/>
  <c r="H16" i="8"/>
  <c r="G16" i="8"/>
  <c r="F16" i="8"/>
  <c r="E16" i="8"/>
  <c r="D16" i="8"/>
  <c r="C16" i="8"/>
  <c r="B16" i="8"/>
  <c r="A16" i="8"/>
  <c r="P15" i="8"/>
  <c r="O15" i="8"/>
  <c r="N15" i="8"/>
  <c r="L15" i="8"/>
  <c r="K15" i="8"/>
  <c r="J15" i="8"/>
  <c r="I15" i="8"/>
  <c r="H15" i="8"/>
  <c r="G15" i="8"/>
  <c r="F15" i="8"/>
  <c r="E15" i="8"/>
  <c r="D15" i="8"/>
  <c r="C15" i="8"/>
  <c r="B15" i="8"/>
  <c r="A15" i="8"/>
  <c r="P14" i="8"/>
  <c r="O14" i="8"/>
  <c r="N14" i="8"/>
  <c r="L14" i="8"/>
  <c r="K14" i="8"/>
  <c r="J14" i="8"/>
  <c r="I14" i="8"/>
  <c r="H14" i="8"/>
  <c r="G14" i="8"/>
  <c r="F14" i="8"/>
  <c r="E14" i="8"/>
  <c r="D14" i="8"/>
  <c r="C14" i="8"/>
  <c r="B14" i="8"/>
  <c r="A14" i="8"/>
  <c r="P13" i="8"/>
  <c r="O13" i="8"/>
  <c r="N13" i="8"/>
  <c r="L13" i="8"/>
  <c r="K13" i="8"/>
  <c r="J13" i="8"/>
  <c r="I13" i="8"/>
  <c r="H13" i="8"/>
  <c r="G13" i="8"/>
  <c r="F13" i="8"/>
  <c r="E13" i="8"/>
  <c r="D13" i="8"/>
  <c r="C13" i="8"/>
  <c r="B13" i="8"/>
  <c r="A13" i="8"/>
  <c r="P12" i="8"/>
  <c r="O12" i="8"/>
  <c r="N12" i="8"/>
  <c r="L12" i="8"/>
  <c r="K12" i="8"/>
  <c r="J12" i="8"/>
  <c r="I12" i="8"/>
  <c r="H12" i="8"/>
  <c r="G12" i="8"/>
  <c r="F12" i="8"/>
  <c r="E12" i="8"/>
  <c r="D12" i="8"/>
  <c r="C12" i="8"/>
  <c r="B12" i="8"/>
  <c r="A12" i="8"/>
  <c r="P11" i="8"/>
  <c r="O11" i="8"/>
  <c r="N11" i="8"/>
  <c r="L11" i="8"/>
  <c r="K11" i="8"/>
  <c r="J11" i="8"/>
  <c r="I11" i="8"/>
  <c r="H11" i="8"/>
  <c r="G11" i="8"/>
  <c r="F11" i="8"/>
  <c r="E11" i="8"/>
  <c r="D11" i="8"/>
  <c r="C11" i="8"/>
  <c r="B11" i="8"/>
  <c r="A11" i="8"/>
  <c r="P10" i="8"/>
  <c r="O10" i="8"/>
  <c r="N10" i="8"/>
  <c r="L10" i="8"/>
  <c r="K10" i="8"/>
  <c r="J10" i="8"/>
  <c r="I10" i="8"/>
  <c r="H10" i="8"/>
  <c r="G10" i="8"/>
  <c r="F10" i="8"/>
  <c r="E10" i="8"/>
  <c r="D10" i="8"/>
  <c r="C10" i="8"/>
  <c r="B10" i="8"/>
  <c r="A10" i="8"/>
  <c r="P9" i="8"/>
  <c r="O9" i="8"/>
  <c r="N9" i="8"/>
  <c r="L9" i="8"/>
  <c r="K9" i="8"/>
  <c r="J9" i="8"/>
  <c r="I9" i="8"/>
  <c r="H9" i="8"/>
  <c r="G9" i="8"/>
  <c r="F9" i="8"/>
  <c r="E9" i="8"/>
  <c r="D9" i="8"/>
  <c r="C9" i="8"/>
  <c r="B9" i="8"/>
  <c r="A9" i="8"/>
  <c r="P8" i="8"/>
  <c r="O8" i="8"/>
  <c r="N8" i="8"/>
  <c r="L8" i="8"/>
  <c r="K8" i="8"/>
  <c r="J8" i="8"/>
  <c r="I8" i="8"/>
  <c r="H8" i="8"/>
  <c r="G8" i="8"/>
  <c r="F8" i="8"/>
  <c r="E8" i="8"/>
  <c r="D8" i="8"/>
  <c r="C8" i="8"/>
  <c r="B8" i="8"/>
  <c r="A8" i="8"/>
  <c r="P7" i="8"/>
  <c r="O7" i="8"/>
  <c r="N7" i="8"/>
  <c r="L7" i="8"/>
  <c r="K7" i="8"/>
  <c r="J7" i="8"/>
  <c r="I7" i="8"/>
  <c r="H7" i="8"/>
  <c r="G7" i="8"/>
  <c r="F7" i="8"/>
  <c r="E7" i="8"/>
  <c r="D7" i="8"/>
  <c r="C7" i="8"/>
  <c r="B7" i="8"/>
  <c r="A7" i="8"/>
  <c r="P6" i="8"/>
  <c r="O6" i="8"/>
  <c r="N6" i="8"/>
  <c r="L6" i="8"/>
  <c r="K6" i="8"/>
  <c r="J6" i="8"/>
  <c r="I6" i="8"/>
  <c r="H6" i="8"/>
  <c r="G6" i="8"/>
  <c r="F6" i="8"/>
  <c r="E6" i="8"/>
  <c r="D6" i="8"/>
  <c r="C6" i="8"/>
  <c r="B6" i="8"/>
  <c r="A6" i="8"/>
  <c r="P5" i="8"/>
  <c r="O5" i="8"/>
  <c r="N5" i="8"/>
  <c r="L5" i="8"/>
  <c r="K5" i="8"/>
  <c r="J5" i="8"/>
  <c r="I5" i="8"/>
  <c r="H5" i="8"/>
  <c r="G5" i="8"/>
  <c r="F5" i="8"/>
  <c r="E5" i="8"/>
  <c r="D5" i="8"/>
  <c r="C5" i="8"/>
  <c r="B5" i="8"/>
  <c r="A5" i="8"/>
  <c r="P4" i="8"/>
  <c r="N4" i="8"/>
  <c r="L4" i="8"/>
  <c r="K4" i="8"/>
  <c r="J4" i="8"/>
  <c r="F4" i="8"/>
  <c r="D4" i="8"/>
  <c r="A4" i="8"/>
  <c r="P3" i="8"/>
  <c r="O3" i="8"/>
  <c r="N3" i="8"/>
  <c r="L3" i="8"/>
  <c r="K3" i="8"/>
  <c r="J3" i="8"/>
  <c r="I3" i="8"/>
  <c r="H3" i="8"/>
  <c r="G3" i="8"/>
  <c r="F3" i="8"/>
  <c r="E3" i="8"/>
  <c r="D3" i="8"/>
  <c r="C3" i="8"/>
  <c r="B3" i="8"/>
  <c r="A3" i="8"/>
  <c r="N1" i="8"/>
  <c r="C1" i="8"/>
  <c r="B1" i="8"/>
  <c r="A1" i="8"/>
  <c r="M74" i="7"/>
  <c r="J73" i="7"/>
  <c r="I73" i="7"/>
  <c r="J72" i="7"/>
  <c r="I72" i="7"/>
  <c r="M71" i="7"/>
  <c r="J70" i="7"/>
  <c r="I70" i="7"/>
  <c r="J69" i="7"/>
  <c r="I69" i="7"/>
  <c r="J68" i="7"/>
  <c r="I68" i="7"/>
  <c r="J67" i="7"/>
  <c r="I67" i="7"/>
  <c r="M66" i="7"/>
  <c r="J65" i="7"/>
  <c r="I65" i="7"/>
  <c r="J64" i="7"/>
  <c r="I64" i="7"/>
  <c r="J63" i="7"/>
  <c r="I63" i="7"/>
  <c r="J62" i="7"/>
  <c r="I62" i="7"/>
  <c r="M60" i="7"/>
  <c r="J59" i="7"/>
  <c r="I59" i="7"/>
  <c r="J58" i="7"/>
  <c r="I58" i="7"/>
  <c r="J57" i="7"/>
  <c r="I57" i="7"/>
  <c r="J56" i="7"/>
  <c r="I56" i="7"/>
  <c r="M53" i="7"/>
  <c r="M48" i="7"/>
  <c r="J47" i="7"/>
  <c r="I47" i="7"/>
  <c r="J46" i="7"/>
  <c r="I46" i="7"/>
  <c r="M44" i="7"/>
  <c r="J41" i="7"/>
  <c r="I41" i="7"/>
  <c r="J31" i="7"/>
  <c r="I31" i="7"/>
  <c r="J22" i="7"/>
  <c r="I22" i="7"/>
  <c r="J21" i="7"/>
  <c r="I21" i="7"/>
  <c r="J20" i="7"/>
  <c r="I20" i="7"/>
  <c r="J19" i="7"/>
  <c r="I19" i="7"/>
  <c r="J15" i="7"/>
  <c r="I15" i="7"/>
  <c r="J14" i="7"/>
  <c r="I14" i="7"/>
  <c r="J13" i="7"/>
  <c r="I13" i="7"/>
  <c r="J11" i="7"/>
  <c r="I11" i="7"/>
  <c r="J10" i="7"/>
  <c r="I10" i="7"/>
  <c r="J7" i="7"/>
  <c r="I7" i="7"/>
  <c r="J6" i="7"/>
  <c r="I6" i="7"/>
  <c r="J58" i="6"/>
  <c r="I58" i="6"/>
  <c r="J55" i="6"/>
  <c r="I55" i="6"/>
  <c r="J54" i="6"/>
  <c r="I54" i="6"/>
  <c r="J53" i="6"/>
  <c r="I53" i="6"/>
  <c r="J49" i="6"/>
  <c r="I49" i="6"/>
  <c r="J48" i="6"/>
  <c r="I48" i="6"/>
  <c r="J47" i="6"/>
  <c r="I47" i="6"/>
  <c r="J46" i="6"/>
  <c r="I46" i="6"/>
  <c r="J45" i="6"/>
  <c r="I45" i="6"/>
  <c r="J44" i="6"/>
  <c r="I44" i="6"/>
  <c r="J43" i="6"/>
  <c r="I43" i="6"/>
  <c r="J42" i="6"/>
  <c r="I42" i="6"/>
  <c r="J41" i="6"/>
  <c r="I41" i="6"/>
  <c r="J40" i="6"/>
  <c r="I40" i="6"/>
  <c r="J39" i="6"/>
  <c r="I39" i="6"/>
  <c r="J38" i="6"/>
  <c r="I38" i="6"/>
  <c r="J37" i="6"/>
  <c r="I37" i="6"/>
  <c r="J36" i="6"/>
  <c r="I36" i="6"/>
  <c r="J35" i="6"/>
  <c r="I35" i="6"/>
  <c r="J34" i="6"/>
  <c r="I34" i="6"/>
  <c r="J33" i="6"/>
  <c r="I33" i="6"/>
  <c r="J32" i="6"/>
  <c r="I32" i="6"/>
  <c r="J31" i="6"/>
  <c r="I31" i="6"/>
  <c r="J30" i="6"/>
  <c r="I30" i="6"/>
  <c r="J29" i="6"/>
  <c r="I29" i="6"/>
  <c r="J28" i="6"/>
  <c r="I28" i="6"/>
  <c r="J27" i="6"/>
  <c r="I27" i="6"/>
  <c r="J26" i="6"/>
  <c r="I26" i="6"/>
  <c r="J25" i="6"/>
  <c r="I25" i="6"/>
  <c r="J24" i="6"/>
  <c r="I24" i="6"/>
  <c r="J23" i="6"/>
  <c r="I23" i="6"/>
  <c r="J22" i="6"/>
  <c r="I22" i="6"/>
  <c r="J21" i="6"/>
  <c r="I21" i="6"/>
  <c r="J20" i="6"/>
  <c r="I20" i="6"/>
  <c r="J19" i="6"/>
  <c r="I19" i="6"/>
  <c r="J18" i="6"/>
  <c r="I18" i="6"/>
  <c r="J17" i="6"/>
  <c r="I17" i="6"/>
  <c r="J16" i="6"/>
  <c r="I16" i="6"/>
  <c r="J15" i="6"/>
  <c r="I15" i="6"/>
  <c r="J14" i="6"/>
  <c r="I14" i="6"/>
  <c r="J13" i="6"/>
  <c r="I13" i="6"/>
  <c r="J12" i="6"/>
  <c r="I12" i="6"/>
  <c r="J11" i="6"/>
  <c r="I11" i="6"/>
  <c r="J10" i="6"/>
  <c r="I10" i="6"/>
  <c r="J9" i="6"/>
  <c r="I9" i="6"/>
  <c r="J8" i="6"/>
  <c r="I8" i="6"/>
  <c r="J7" i="6"/>
  <c r="I7" i="6"/>
  <c r="J6" i="6"/>
  <c r="I6" i="6"/>
  <c r="J5" i="6"/>
  <c r="I5" i="6"/>
  <c r="J4" i="6"/>
  <c r="I4" i="6"/>
  <c r="H30" i="5"/>
  <c r="C30" i="5"/>
  <c r="C88" i="4"/>
  <c r="H85" i="4"/>
  <c r="C85" i="4"/>
  <c r="H75" i="4"/>
  <c r="C75" i="4"/>
  <c r="H72" i="4"/>
  <c r="C72" i="4"/>
  <c r="H67" i="4"/>
  <c r="H88" i="4" s="1"/>
  <c r="C67" i="4"/>
  <c r="H57" i="4"/>
  <c r="C57" i="4"/>
  <c r="H49" i="4"/>
  <c r="C49" i="4"/>
  <c r="H42" i="4"/>
  <c r="C42" i="4"/>
  <c r="E115" i="3"/>
  <c r="D115" i="3"/>
  <c r="C115" i="3"/>
  <c r="B115" i="3"/>
  <c r="E114" i="3"/>
  <c r="D114" i="3"/>
  <c r="C114" i="3"/>
  <c r="B114" i="3"/>
  <c r="E113" i="3"/>
  <c r="D113" i="3"/>
  <c r="C113" i="3"/>
  <c r="B113" i="3"/>
  <c r="E112" i="3"/>
  <c r="D112" i="3"/>
  <c r="C112" i="3"/>
  <c r="B112" i="3"/>
  <c r="E111" i="3"/>
  <c r="D111" i="3"/>
  <c r="C111" i="3"/>
  <c r="B111" i="3"/>
  <c r="E110" i="3"/>
  <c r="D110" i="3"/>
  <c r="C110" i="3"/>
  <c r="B110" i="3"/>
  <c r="E109" i="3"/>
  <c r="D109" i="3"/>
  <c r="C109" i="3"/>
  <c r="B109" i="3"/>
  <c r="E108" i="3"/>
  <c r="D108" i="3"/>
  <c r="C108" i="3"/>
  <c r="B108" i="3"/>
  <c r="D107" i="3"/>
  <c r="C107" i="3"/>
  <c r="B107" i="3"/>
  <c r="D106" i="3"/>
  <c r="C106" i="3"/>
  <c r="B106" i="3"/>
  <c r="D105" i="3"/>
  <c r="C105" i="3"/>
  <c r="B105" i="3"/>
  <c r="D104" i="3"/>
  <c r="C104" i="3"/>
  <c r="B104" i="3"/>
  <c r="E103" i="3"/>
  <c r="D103" i="3"/>
  <c r="C103" i="3"/>
  <c r="B103" i="3"/>
  <c r="D102" i="3"/>
  <c r="C102" i="3"/>
  <c r="B102" i="3"/>
  <c r="D101" i="3"/>
  <c r="C101" i="3"/>
  <c r="B101" i="3"/>
  <c r="D100" i="3"/>
  <c r="C100" i="3"/>
  <c r="B100" i="3"/>
  <c r="D99" i="3"/>
  <c r="C99" i="3"/>
  <c r="B99" i="3"/>
  <c r="D98" i="3"/>
  <c r="C98" i="3"/>
  <c r="B98" i="3"/>
  <c r="D97" i="3"/>
  <c r="C97" i="3"/>
  <c r="B97" i="3"/>
  <c r="D96" i="3"/>
  <c r="C96" i="3"/>
  <c r="B96" i="3"/>
  <c r="D95" i="3"/>
  <c r="C95" i="3"/>
  <c r="B95" i="3"/>
  <c r="X93" i="3"/>
  <c r="W93" i="3"/>
  <c r="V93" i="3"/>
  <c r="U93" i="3"/>
  <c r="T93" i="3"/>
  <c r="S93" i="3"/>
  <c r="R93" i="3"/>
  <c r="Q93" i="3"/>
  <c r="P93" i="3"/>
  <c r="N93" i="3"/>
  <c r="M93" i="3"/>
  <c r="L93" i="3"/>
  <c r="K93" i="3"/>
  <c r="J93" i="3"/>
  <c r="H93" i="3"/>
  <c r="G93" i="3"/>
  <c r="F93" i="3"/>
  <c r="E93" i="3"/>
  <c r="D93" i="3"/>
  <c r="B93" i="3"/>
  <c r="X92" i="3"/>
  <c r="W92" i="3"/>
  <c r="V92" i="3"/>
  <c r="U92" i="3"/>
  <c r="T92" i="3"/>
  <c r="S92" i="3"/>
  <c r="R92" i="3"/>
  <c r="Q92" i="3"/>
  <c r="P92" i="3"/>
  <c r="N92" i="3"/>
  <c r="M92" i="3"/>
  <c r="L92" i="3"/>
  <c r="K92" i="3"/>
  <c r="J92" i="3"/>
  <c r="G92" i="3"/>
  <c r="E92" i="3"/>
  <c r="D92" i="3"/>
  <c r="B92" i="3"/>
  <c r="X91" i="3"/>
  <c r="W91" i="3"/>
  <c r="V91" i="3"/>
  <c r="T91" i="3"/>
  <c r="S91" i="3"/>
  <c r="R91" i="3"/>
  <c r="Q91" i="3"/>
  <c r="P91" i="3"/>
  <c r="N91" i="3"/>
  <c r="M91" i="3"/>
  <c r="L91" i="3"/>
  <c r="K91" i="3"/>
  <c r="J91" i="3"/>
  <c r="G91" i="3"/>
  <c r="E91" i="3"/>
  <c r="D91" i="3"/>
  <c r="B91" i="3"/>
  <c r="X90" i="3"/>
  <c r="W90" i="3"/>
  <c r="V90" i="3"/>
  <c r="U90" i="3"/>
  <c r="T90" i="3"/>
  <c r="S90" i="3"/>
  <c r="R90" i="3"/>
  <c r="Q90" i="3"/>
  <c r="P90" i="3"/>
  <c r="N90" i="3"/>
  <c r="M90" i="3"/>
  <c r="L90" i="3"/>
  <c r="K90" i="3"/>
  <c r="J90" i="3"/>
  <c r="G90" i="3"/>
  <c r="F90" i="3"/>
  <c r="E90" i="3"/>
  <c r="D90" i="3"/>
  <c r="C90" i="3"/>
  <c r="B90" i="3"/>
  <c r="X89" i="3"/>
  <c r="W89" i="3"/>
  <c r="V89" i="3"/>
  <c r="T89" i="3"/>
  <c r="S89" i="3"/>
  <c r="R89" i="3"/>
  <c r="Q89" i="3"/>
  <c r="P89" i="3"/>
  <c r="E89" i="3"/>
  <c r="B89" i="3"/>
  <c r="X88" i="3"/>
  <c r="W88" i="3"/>
  <c r="V88" i="3"/>
  <c r="T88" i="3"/>
  <c r="S88" i="3"/>
  <c r="R88" i="3"/>
  <c r="Q88" i="3"/>
  <c r="P88" i="3"/>
  <c r="B88" i="3"/>
  <c r="X87" i="3"/>
  <c r="W87" i="3"/>
  <c r="V87" i="3"/>
  <c r="T87" i="3"/>
  <c r="S87" i="3"/>
  <c r="R87" i="3"/>
  <c r="Q87" i="3"/>
  <c r="P87" i="3"/>
  <c r="N87" i="3"/>
  <c r="M87" i="3"/>
  <c r="L87" i="3"/>
  <c r="K87" i="3"/>
  <c r="J87" i="3"/>
  <c r="G87" i="3"/>
  <c r="F87" i="3"/>
  <c r="E87" i="3"/>
  <c r="D87" i="3"/>
  <c r="C87" i="3"/>
  <c r="B87" i="3"/>
  <c r="X86" i="3"/>
  <c r="W86" i="3"/>
  <c r="V86" i="3"/>
  <c r="U86" i="3"/>
  <c r="T86" i="3"/>
  <c r="S86" i="3"/>
  <c r="R86" i="3"/>
  <c r="Q86" i="3"/>
  <c r="P86" i="3"/>
  <c r="E86" i="3"/>
  <c r="B86" i="3"/>
  <c r="X85" i="3"/>
  <c r="W85" i="3"/>
  <c r="V85" i="3"/>
  <c r="T85" i="3"/>
  <c r="S85" i="3"/>
  <c r="R85" i="3"/>
  <c r="Q85" i="3"/>
  <c r="P85" i="3"/>
  <c r="N85" i="3"/>
  <c r="M85" i="3"/>
  <c r="K85" i="3"/>
  <c r="D85" i="3"/>
  <c r="B85" i="3"/>
  <c r="X84" i="3"/>
  <c r="W84" i="3"/>
  <c r="V84" i="3"/>
  <c r="U84" i="3"/>
  <c r="T84" i="3"/>
  <c r="S84" i="3"/>
  <c r="R84" i="3"/>
  <c r="Q84" i="3"/>
  <c r="P84" i="3"/>
  <c r="E84" i="3"/>
  <c r="B84" i="3"/>
  <c r="X83" i="3"/>
  <c r="W83" i="3"/>
  <c r="V83" i="3"/>
  <c r="T83" i="3"/>
  <c r="S83" i="3"/>
  <c r="R83" i="3"/>
  <c r="Q83" i="3"/>
  <c r="P83" i="3"/>
  <c r="E83" i="3"/>
  <c r="B83" i="3"/>
  <c r="X82" i="3"/>
  <c r="W82" i="3"/>
  <c r="V82" i="3"/>
  <c r="U82" i="3"/>
  <c r="T82" i="3"/>
  <c r="S82" i="3"/>
  <c r="R82" i="3"/>
  <c r="Q82" i="3"/>
  <c r="P82" i="3"/>
  <c r="E82" i="3"/>
  <c r="B82" i="3"/>
  <c r="X81" i="3"/>
  <c r="W81" i="3"/>
  <c r="V81" i="3"/>
  <c r="U81" i="3"/>
  <c r="T81" i="3"/>
  <c r="S81" i="3"/>
  <c r="R81" i="3"/>
  <c r="Q81" i="3"/>
  <c r="P81" i="3"/>
  <c r="N81" i="3"/>
  <c r="M81" i="3"/>
  <c r="L81" i="3"/>
  <c r="K81" i="3"/>
  <c r="J81" i="3"/>
  <c r="G81" i="3"/>
  <c r="F81" i="3"/>
  <c r="E81" i="3"/>
  <c r="D81" i="3"/>
  <c r="C81" i="3"/>
  <c r="B81" i="3"/>
  <c r="X80" i="3"/>
  <c r="W80" i="3"/>
  <c r="V80" i="3"/>
  <c r="T80" i="3"/>
  <c r="S80" i="3"/>
  <c r="R80" i="3"/>
  <c r="Q80" i="3"/>
  <c r="P80" i="3"/>
  <c r="N80" i="3"/>
  <c r="M80" i="3"/>
  <c r="L80" i="3"/>
  <c r="K80" i="3"/>
  <c r="J80" i="3"/>
  <c r="G80" i="3"/>
  <c r="F80" i="3"/>
  <c r="E80" i="3"/>
  <c r="D80" i="3"/>
  <c r="B80" i="3"/>
  <c r="X79" i="3"/>
  <c r="W79" i="3"/>
  <c r="V79" i="3"/>
  <c r="T79" i="3"/>
  <c r="Q79" i="3"/>
  <c r="P79" i="3"/>
  <c r="L79" i="3"/>
  <c r="J79" i="3"/>
  <c r="D79" i="3"/>
  <c r="C79" i="3"/>
  <c r="X78" i="3"/>
  <c r="W78" i="3"/>
  <c r="V78" i="3"/>
  <c r="T78" i="3"/>
  <c r="Q78" i="3"/>
  <c r="P78" i="3"/>
  <c r="L78" i="3"/>
  <c r="J78" i="3"/>
  <c r="D78" i="3"/>
  <c r="C78" i="3"/>
  <c r="X77" i="3"/>
  <c r="W77" i="3"/>
  <c r="V77" i="3"/>
  <c r="T77" i="3"/>
  <c r="Q77" i="3"/>
  <c r="P77" i="3"/>
  <c r="L77" i="3"/>
  <c r="J77" i="3"/>
  <c r="D77" i="3"/>
  <c r="C77" i="3"/>
  <c r="X76" i="3"/>
  <c r="W76" i="3"/>
  <c r="V76" i="3"/>
  <c r="T76" i="3"/>
  <c r="Q76" i="3"/>
  <c r="P76" i="3"/>
  <c r="X75" i="3"/>
  <c r="W75" i="3"/>
  <c r="V75" i="3"/>
  <c r="T75" i="3"/>
  <c r="Q75" i="3"/>
  <c r="P75" i="3"/>
  <c r="X74" i="3"/>
  <c r="W74" i="3"/>
  <c r="V74" i="3"/>
  <c r="U74" i="3"/>
  <c r="T74" i="3"/>
  <c r="S74" i="3"/>
  <c r="R74" i="3"/>
  <c r="Q74" i="3"/>
  <c r="P74" i="3"/>
  <c r="N74" i="3"/>
  <c r="M74" i="3"/>
  <c r="K74" i="3"/>
  <c r="B74" i="3"/>
  <c r="A74" i="3"/>
  <c r="W73" i="3"/>
  <c r="P73" i="3"/>
  <c r="D73" i="3"/>
  <c r="A73" i="3"/>
  <c r="P71" i="3"/>
  <c r="N71" i="3"/>
  <c r="M71" i="3"/>
  <c r="L71" i="3"/>
  <c r="K71" i="3"/>
  <c r="J71" i="3"/>
  <c r="G71" i="3"/>
  <c r="F71" i="3"/>
  <c r="E71" i="3"/>
  <c r="D71" i="3"/>
  <c r="C71" i="3"/>
  <c r="B71" i="3"/>
  <c r="X70" i="3"/>
  <c r="W70" i="3"/>
  <c r="V70" i="3"/>
  <c r="U70" i="3"/>
  <c r="T70" i="3"/>
  <c r="S70" i="3"/>
  <c r="R70" i="3"/>
  <c r="Q70" i="3"/>
  <c r="P70" i="3"/>
  <c r="J70" i="3"/>
  <c r="G70" i="3"/>
  <c r="F70" i="3"/>
  <c r="E70" i="3"/>
  <c r="D70" i="3"/>
  <c r="B70" i="3"/>
  <c r="X69" i="3"/>
  <c r="W69" i="3"/>
  <c r="V69" i="3"/>
  <c r="U69" i="3"/>
  <c r="T69" i="3"/>
  <c r="S69" i="3"/>
  <c r="R69" i="3"/>
  <c r="Q69" i="3"/>
  <c r="P69" i="3"/>
  <c r="J69" i="3"/>
  <c r="G69" i="3"/>
  <c r="F69" i="3"/>
  <c r="E69" i="3"/>
  <c r="D69" i="3"/>
  <c r="B69" i="3"/>
  <c r="X68" i="3"/>
  <c r="W68" i="3"/>
  <c r="V68" i="3"/>
  <c r="U68" i="3"/>
  <c r="T68" i="3"/>
  <c r="S68" i="3"/>
  <c r="R68" i="3"/>
  <c r="Q68" i="3"/>
  <c r="P68" i="3"/>
  <c r="K68" i="3"/>
  <c r="B68" i="3"/>
  <c r="A68" i="3"/>
  <c r="X67" i="3"/>
  <c r="W67" i="3"/>
  <c r="V67" i="3"/>
  <c r="U67" i="3"/>
  <c r="T67" i="3"/>
  <c r="S67" i="3"/>
  <c r="R67" i="3"/>
  <c r="Q67" i="3"/>
  <c r="P67" i="3"/>
  <c r="N67" i="3"/>
  <c r="M67" i="3"/>
  <c r="L67" i="3"/>
  <c r="K67" i="3"/>
  <c r="J67" i="3"/>
  <c r="G67" i="3"/>
  <c r="F67" i="3"/>
  <c r="E67" i="3"/>
  <c r="D67" i="3"/>
  <c r="C67" i="3"/>
  <c r="B67" i="3"/>
  <c r="A67" i="3"/>
  <c r="X66" i="3"/>
  <c r="W66" i="3"/>
  <c r="V66" i="3"/>
  <c r="U66" i="3"/>
  <c r="T66" i="3"/>
  <c r="S66" i="3"/>
  <c r="R66" i="3"/>
  <c r="Q66" i="3"/>
  <c r="P66" i="3"/>
  <c r="N66" i="3"/>
  <c r="M66" i="3"/>
  <c r="L66" i="3"/>
  <c r="K66" i="3"/>
  <c r="J66" i="3"/>
  <c r="G66" i="3"/>
  <c r="F66" i="3"/>
  <c r="E66" i="3"/>
  <c r="D66" i="3"/>
  <c r="C66" i="3"/>
  <c r="B66" i="3"/>
  <c r="A66" i="3"/>
  <c r="X65" i="3"/>
  <c r="W65" i="3"/>
  <c r="V65" i="3"/>
  <c r="U65" i="3"/>
  <c r="T65" i="3"/>
  <c r="S65" i="3"/>
  <c r="R65" i="3"/>
  <c r="Q65" i="3"/>
  <c r="P65" i="3"/>
  <c r="N65" i="3"/>
  <c r="M65" i="3"/>
  <c r="L65" i="3"/>
  <c r="K65" i="3"/>
  <c r="J65" i="3"/>
  <c r="G65" i="3"/>
  <c r="F65" i="3"/>
  <c r="E65" i="3"/>
  <c r="D65" i="3"/>
  <c r="C65" i="3"/>
  <c r="B65" i="3"/>
  <c r="A65" i="3"/>
  <c r="X64" i="3"/>
  <c r="W64" i="3"/>
  <c r="V64" i="3"/>
  <c r="U64" i="3"/>
  <c r="T64" i="3"/>
  <c r="S64" i="3"/>
  <c r="R64" i="3"/>
  <c r="Q64" i="3"/>
  <c r="P64" i="3"/>
  <c r="N64" i="3"/>
  <c r="M64" i="3"/>
  <c r="L64" i="3"/>
  <c r="K64" i="3"/>
  <c r="J64" i="3"/>
  <c r="G64" i="3"/>
  <c r="F64" i="3"/>
  <c r="E64" i="3"/>
  <c r="D64" i="3"/>
  <c r="C64" i="3"/>
  <c r="B64" i="3"/>
  <c r="A64" i="3"/>
  <c r="X63" i="3"/>
  <c r="W63" i="3"/>
  <c r="V63" i="3"/>
  <c r="U63" i="3"/>
  <c r="T63" i="3"/>
  <c r="S63" i="3"/>
  <c r="R63" i="3"/>
  <c r="Q63" i="3"/>
  <c r="P63" i="3"/>
  <c r="N63" i="3"/>
  <c r="M63" i="3"/>
  <c r="L63" i="3"/>
  <c r="K63" i="3"/>
  <c r="J63" i="3"/>
  <c r="G63" i="3"/>
  <c r="F63" i="3"/>
  <c r="E63" i="3"/>
  <c r="D63" i="3"/>
  <c r="C63" i="3"/>
  <c r="B63" i="3"/>
  <c r="A63" i="3"/>
  <c r="X62" i="3"/>
  <c r="W62" i="3"/>
  <c r="V62" i="3"/>
  <c r="U62" i="3"/>
  <c r="T62" i="3"/>
  <c r="S62" i="3"/>
  <c r="R62" i="3"/>
  <c r="Q62" i="3"/>
  <c r="P62" i="3"/>
  <c r="N62" i="3"/>
  <c r="M62" i="3"/>
  <c r="L62" i="3"/>
  <c r="K62" i="3"/>
  <c r="J62" i="3"/>
  <c r="G62" i="3"/>
  <c r="F62" i="3"/>
  <c r="E62" i="3"/>
  <c r="D62" i="3"/>
  <c r="C62" i="3"/>
  <c r="B62" i="3"/>
  <c r="A62" i="3"/>
  <c r="X61" i="3"/>
  <c r="W61" i="3"/>
  <c r="V61" i="3"/>
  <c r="U61" i="3"/>
  <c r="T61" i="3"/>
  <c r="S61" i="3"/>
  <c r="R61" i="3"/>
  <c r="Q61" i="3"/>
  <c r="P61" i="3"/>
  <c r="N61" i="3"/>
  <c r="M61" i="3"/>
  <c r="L61" i="3"/>
  <c r="K61" i="3"/>
  <c r="J61" i="3"/>
  <c r="G61" i="3"/>
  <c r="F61" i="3"/>
  <c r="E61" i="3"/>
  <c r="D61" i="3"/>
  <c r="C61" i="3"/>
  <c r="B61" i="3"/>
  <c r="A61" i="3"/>
  <c r="X60" i="3"/>
  <c r="W60" i="3"/>
  <c r="V60" i="3"/>
  <c r="U60" i="3"/>
  <c r="T60" i="3"/>
  <c r="S60" i="3"/>
  <c r="R60" i="3"/>
  <c r="Q60" i="3"/>
  <c r="P60" i="3"/>
  <c r="N60" i="3"/>
  <c r="M60" i="3"/>
  <c r="L60" i="3"/>
  <c r="K60" i="3"/>
  <c r="J60" i="3"/>
  <c r="G60" i="3"/>
  <c r="F60" i="3"/>
  <c r="E60" i="3"/>
  <c r="D60" i="3"/>
  <c r="C60" i="3"/>
  <c r="B60" i="3"/>
  <c r="A60" i="3"/>
  <c r="X59" i="3"/>
  <c r="W59" i="3"/>
  <c r="V59" i="3"/>
  <c r="U59" i="3"/>
  <c r="T59" i="3"/>
  <c r="S59" i="3"/>
  <c r="R59" i="3"/>
  <c r="Q59" i="3"/>
  <c r="P59" i="3"/>
  <c r="K59" i="3"/>
  <c r="B59" i="3"/>
  <c r="A59" i="3"/>
  <c r="X58" i="3"/>
  <c r="W58" i="3"/>
  <c r="V58" i="3"/>
  <c r="U58" i="3"/>
  <c r="T58" i="3"/>
  <c r="S58" i="3"/>
  <c r="R58" i="3"/>
  <c r="Q58" i="3"/>
  <c r="P58" i="3"/>
  <c r="K58" i="3"/>
  <c r="B58" i="3"/>
  <c r="A58" i="3"/>
  <c r="X57" i="3"/>
  <c r="W57" i="3"/>
  <c r="V57" i="3"/>
  <c r="U57" i="3"/>
  <c r="T57" i="3"/>
  <c r="S57" i="3"/>
  <c r="R57" i="3"/>
  <c r="Q57" i="3"/>
  <c r="P57" i="3"/>
  <c r="K57" i="3"/>
  <c r="B57" i="3"/>
  <c r="A57" i="3"/>
  <c r="X56" i="3"/>
  <c r="W56" i="3"/>
  <c r="V56" i="3"/>
  <c r="U56" i="3"/>
  <c r="T56" i="3"/>
  <c r="S56" i="3"/>
  <c r="R56" i="3"/>
  <c r="Q56" i="3"/>
  <c r="P56" i="3"/>
  <c r="N56" i="3"/>
  <c r="M56" i="3"/>
  <c r="L56" i="3"/>
  <c r="K56" i="3"/>
  <c r="J56" i="3"/>
  <c r="G56" i="3"/>
  <c r="F56" i="3"/>
  <c r="E56" i="3"/>
  <c r="D56" i="3"/>
  <c r="C56" i="3"/>
  <c r="B56" i="3"/>
  <c r="A56" i="3"/>
  <c r="P55" i="3"/>
  <c r="J55" i="3"/>
  <c r="D55" i="3"/>
  <c r="A55" i="3"/>
  <c r="P53" i="3"/>
  <c r="N53" i="3"/>
  <c r="M53" i="3"/>
  <c r="L53" i="3"/>
  <c r="K53" i="3"/>
  <c r="J53" i="3"/>
  <c r="G53" i="3"/>
  <c r="F53" i="3"/>
  <c r="E53" i="3"/>
  <c r="D53" i="3"/>
  <c r="C53" i="3"/>
  <c r="B53" i="3"/>
  <c r="Y52" i="3"/>
  <c r="X52" i="3"/>
  <c r="W52" i="3"/>
  <c r="V52" i="3"/>
  <c r="U52" i="3"/>
  <c r="T52" i="3"/>
  <c r="S52" i="3"/>
  <c r="R52" i="3"/>
  <c r="Q52" i="3"/>
  <c r="P52" i="3"/>
  <c r="N52" i="3"/>
  <c r="M52" i="3"/>
  <c r="L52" i="3"/>
  <c r="K52" i="3"/>
  <c r="J52" i="3"/>
  <c r="G52" i="3"/>
  <c r="F52" i="3"/>
  <c r="E52" i="3"/>
  <c r="D52" i="3"/>
  <c r="C52" i="3"/>
  <c r="B52" i="3"/>
  <c r="Y51" i="3"/>
  <c r="X51" i="3"/>
  <c r="W51" i="3"/>
  <c r="V51" i="3"/>
  <c r="U51" i="3"/>
  <c r="T51" i="3"/>
  <c r="Q51" i="3"/>
  <c r="P51" i="3"/>
  <c r="N51" i="3"/>
  <c r="M51" i="3"/>
  <c r="K51" i="3"/>
  <c r="J51" i="3"/>
  <c r="G51" i="3"/>
  <c r="F51" i="3"/>
  <c r="E51" i="3"/>
  <c r="D51" i="3"/>
  <c r="C51" i="3"/>
  <c r="B51" i="3"/>
  <c r="Y50" i="3"/>
  <c r="X50" i="3"/>
  <c r="W50" i="3"/>
  <c r="V50" i="3"/>
  <c r="U50" i="3"/>
  <c r="T50" i="3"/>
  <c r="S50" i="3"/>
  <c r="R50" i="3"/>
  <c r="Q50" i="3"/>
  <c r="P50" i="3"/>
  <c r="N50" i="3"/>
  <c r="M50" i="3"/>
  <c r="L50" i="3"/>
  <c r="K50" i="3"/>
  <c r="J50" i="3"/>
  <c r="G50" i="3"/>
  <c r="F50" i="3"/>
  <c r="E50" i="3"/>
  <c r="D50" i="3"/>
  <c r="C50" i="3"/>
  <c r="B50" i="3"/>
  <c r="Y48" i="3"/>
  <c r="X48" i="3"/>
  <c r="W48" i="3"/>
  <c r="V48" i="3"/>
  <c r="U48" i="3"/>
  <c r="T48" i="3"/>
  <c r="S48" i="3"/>
  <c r="R48" i="3"/>
  <c r="Q48" i="3"/>
  <c r="P48" i="3"/>
  <c r="N48" i="3"/>
  <c r="M48" i="3"/>
  <c r="L48" i="3"/>
  <c r="K48" i="3"/>
  <c r="J48" i="3"/>
  <c r="G48" i="3"/>
  <c r="F48" i="3"/>
  <c r="E48" i="3"/>
  <c r="D48" i="3"/>
  <c r="C48" i="3"/>
  <c r="B48" i="3"/>
  <c r="A48" i="3"/>
  <c r="X47" i="3"/>
  <c r="W47" i="3"/>
  <c r="V47" i="3"/>
  <c r="U47" i="3"/>
  <c r="T47" i="3"/>
  <c r="S47" i="3"/>
  <c r="R47" i="3"/>
  <c r="Q47" i="3"/>
  <c r="P47" i="3"/>
  <c r="N47" i="3"/>
  <c r="M47" i="3"/>
  <c r="L47" i="3"/>
  <c r="K47" i="3"/>
  <c r="J47" i="3"/>
  <c r="G47" i="3"/>
  <c r="F47" i="3"/>
  <c r="E47" i="3"/>
  <c r="D47" i="3"/>
  <c r="C47" i="3"/>
  <c r="B47" i="3"/>
  <c r="A47" i="3"/>
  <c r="X46" i="3"/>
  <c r="W46" i="3"/>
  <c r="V46" i="3"/>
  <c r="U46" i="3"/>
  <c r="T46" i="3"/>
  <c r="S46" i="3"/>
  <c r="R46" i="3"/>
  <c r="Q46" i="3"/>
  <c r="P46" i="3"/>
  <c r="N46" i="3"/>
  <c r="M46" i="3"/>
  <c r="L46" i="3"/>
  <c r="K46" i="3"/>
  <c r="J46" i="3"/>
  <c r="G46" i="3"/>
  <c r="F46" i="3"/>
  <c r="E46" i="3"/>
  <c r="D46" i="3"/>
  <c r="C46" i="3"/>
  <c r="B46" i="3"/>
  <c r="A46" i="3"/>
  <c r="X45" i="3"/>
  <c r="W45" i="3"/>
  <c r="V45" i="3"/>
  <c r="U45" i="3"/>
  <c r="T45" i="3"/>
  <c r="S45" i="3"/>
  <c r="R45" i="3"/>
  <c r="Q45" i="3"/>
  <c r="P45" i="3"/>
  <c r="N45" i="3"/>
  <c r="M45" i="3"/>
  <c r="L45" i="3"/>
  <c r="K45" i="3"/>
  <c r="J45" i="3"/>
  <c r="G45" i="3"/>
  <c r="F45" i="3"/>
  <c r="E45" i="3"/>
  <c r="D45" i="3"/>
  <c r="C45" i="3"/>
  <c r="B45" i="3"/>
  <c r="A45" i="3"/>
  <c r="X44" i="3"/>
  <c r="W44" i="3"/>
  <c r="V44" i="3"/>
  <c r="U44" i="3"/>
  <c r="T44" i="3"/>
  <c r="S44" i="3"/>
  <c r="R44" i="3"/>
  <c r="Q44" i="3"/>
  <c r="P44" i="3"/>
  <c r="N44" i="3"/>
  <c r="M44" i="3"/>
  <c r="L44" i="3"/>
  <c r="K44" i="3"/>
  <c r="J44" i="3"/>
  <c r="G44" i="3"/>
  <c r="F44" i="3"/>
  <c r="E44" i="3"/>
  <c r="D44" i="3"/>
  <c r="C44" i="3"/>
  <c r="B44" i="3"/>
  <c r="A44" i="3"/>
  <c r="A43" i="3"/>
  <c r="V41" i="3"/>
  <c r="Q41" i="3"/>
  <c r="P41" i="3"/>
  <c r="V40" i="3"/>
  <c r="Q40" i="3"/>
  <c r="P40" i="3"/>
  <c r="V39" i="3"/>
  <c r="Q39" i="3"/>
  <c r="P39" i="3"/>
  <c r="V38" i="3"/>
  <c r="Q38" i="3"/>
  <c r="P38" i="3"/>
  <c r="V37" i="3"/>
  <c r="Q37" i="3"/>
  <c r="P37" i="3"/>
  <c r="V36" i="3"/>
  <c r="Q36" i="3"/>
  <c r="P36" i="3"/>
  <c r="V35" i="3"/>
  <c r="Q35" i="3"/>
  <c r="P35" i="3"/>
  <c r="V34" i="3"/>
  <c r="Q34" i="3"/>
  <c r="P34" i="3"/>
  <c r="P29" i="3"/>
  <c r="N29" i="3"/>
  <c r="M29" i="3"/>
  <c r="L29" i="3"/>
  <c r="K29" i="3"/>
  <c r="G29" i="3"/>
  <c r="F29" i="3"/>
  <c r="E29" i="3"/>
  <c r="D29" i="3"/>
  <c r="C29" i="3"/>
  <c r="B29" i="3"/>
  <c r="S28" i="3"/>
  <c r="R28" i="3"/>
  <c r="Q28" i="3"/>
  <c r="P28" i="3"/>
  <c r="L28" i="3"/>
  <c r="G28" i="3"/>
  <c r="F28" i="3"/>
  <c r="D28" i="3"/>
  <c r="B28" i="3"/>
  <c r="V27" i="3"/>
  <c r="U27" i="3"/>
  <c r="T27" i="3"/>
  <c r="Q27" i="3"/>
  <c r="P27" i="3"/>
  <c r="L27" i="3"/>
  <c r="G27" i="3"/>
  <c r="F27" i="3"/>
  <c r="D27" i="3"/>
  <c r="B27" i="3"/>
  <c r="X26" i="3"/>
  <c r="W26" i="3"/>
  <c r="V26" i="3"/>
  <c r="S26" i="3"/>
  <c r="R26" i="3"/>
  <c r="Q26" i="3"/>
  <c r="P26" i="3"/>
  <c r="L26" i="3"/>
  <c r="K26" i="3"/>
  <c r="G26" i="3"/>
  <c r="X25" i="3"/>
  <c r="W25" i="3"/>
  <c r="V25" i="3"/>
  <c r="S25" i="3"/>
  <c r="R25" i="3"/>
  <c r="Q25" i="3"/>
  <c r="P25" i="3"/>
  <c r="L25" i="3"/>
  <c r="K25" i="3"/>
  <c r="G25" i="3"/>
  <c r="D25" i="3"/>
  <c r="B25" i="3"/>
  <c r="X24" i="3"/>
  <c r="W24" i="3"/>
  <c r="V24" i="3"/>
  <c r="R24" i="3"/>
  <c r="Q24" i="3"/>
  <c r="P24" i="3"/>
  <c r="X23" i="3"/>
  <c r="W23" i="3"/>
  <c r="V23" i="3"/>
  <c r="R23" i="3"/>
  <c r="Q23" i="3"/>
  <c r="P23" i="3"/>
  <c r="X22" i="3"/>
  <c r="W22" i="3"/>
  <c r="V22" i="3"/>
  <c r="R22" i="3"/>
  <c r="Q22" i="3"/>
  <c r="P22" i="3"/>
  <c r="X21" i="3"/>
  <c r="W21" i="3"/>
  <c r="V21" i="3"/>
  <c r="S21" i="3"/>
  <c r="R21" i="3"/>
  <c r="Q21" i="3"/>
  <c r="P21" i="3"/>
  <c r="L21" i="3"/>
  <c r="K21" i="3"/>
  <c r="G21" i="3"/>
  <c r="D21" i="3"/>
  <c r="B21" i="3"/>
  <c r="X20" i="3"/>
  <c r="W20" i="3"/>
  <c r="V20" i="3"/>
  <c r="S20" i="3"/>
  <c r="R20" i="3"/>
  <c r="Q20" i="3"/>
  <c r="P20" i="3"/>
  <c r="D20" i="3"/>
  <c r="B20" i="3"/>
  <c r="X19" i="3"/>
  <c r="W19" i="3"/>
  <c r="V19" i="3"/>
  <c r="S19" i="3"/>
  <c r="R19" i="3"/>
  <c r="Q19" i="3"/>
  <c r="P19" i="3"/>
  <c r="D19" i="3"/>
  <c r="B19" i="3"/>
  <c r="X18" i="3"/>
  <c r="W18" i="3"/>
  <c r="V18" i="3"/>
  <c r="S18" i="3"/>
  <c r="R18" i="3"/>
  <c r="Q18" i="3"/>
  <c r="P18" i="3"/>
  <c r="L18" i="3"/>
  <c r="K18" i="3"/>
  <c r="G18" i="3"/>
  <c r="D18" i="3"/>
  <c r="B18" i="3"/>
  <c r="X17" i="3"/>
  <c r="W17" i="3"/>
  <c r="V17" i="3"/>
  <c r="S17" i="3"/>
  <c r="R17" i="3"/>
  <c r="Q17" i="3"/>
  <c r="P17" i="3"/>
  <c r="D17" i="3"/>
  <c r="B17" i="3"/>
  <c r="X16" i="3"/>
  <c r="W16" i="3"/>
  <c r="V16" i="3"/>
  <c r="S16" i="3"/>
  <c r="R16" i="3"/>
  <c r="Q16" i="3"/>
  <c r="P16" i="3"/>
  <c r="L16" i="3"/>
  <c r="K16" i="3"/>
  <c r="G16" i="3"/>
  <c r="D16" i="3"/>
  <c r="B16" i="3"/>
  <c r="D15" i="3"/>
  <c r="A15" i="3"/>
  <c r="L10" i="3"/>
  <c r="J10" i="3"/>
  <c r="X9" i="3"/>
  <c r="W9" i="3"/>
  <c r="V9" i="3"/>
  <c r="T9" i="3"/>
  <c r="Q9" i="3"/>
  <c r="P9" i="3"/>
  <c r="L9" i="3"/>
  <c r="J9" i="3"/>
  <c r="X8" i="3"/>
  <c r="W8" i="3"/>
  <c r="V8" i="3"/>
  <c r="T8" i="3"/>
  <c r="Q8" i="3"/>
  <c r="P8" i="3"/>
  <c r="L8" i="3"/>
  <c r="J8" i="3"/>
  <c r="D8" i="3"/>
  <c r="C8" i="3"/>
  <c r="X7" i="3"/>
  <c r="W7" i="3"/>
  <c r="V7" i="3"/>
  <c r="T7" i="3"/>
  <c r="Q7" i="3"/>
  <c r="P7" i="3"/>
  <c r="L7" i="3"/>
  <c r="J7" i="3"/>
  <c r="D7" i="3"/>
  <c r="X6" i="3"/>
  <c r="W6" i="3"/>
  <c r="V6" i="3"/>
  <c r="T6" i="3"/>
  <c r="Q6" i="3"/>
  <c r="P6" i="3"/>
  <c r="L6" i="3"/>
  <c r="J6" i="3"/>
  <c r="D6" i="3"/>
  <c r="C6" i="3"/>
  <c r="X5" i="3"/>
  <c r="W5" i="3"/>
  <c r="V5" i="3"/>
  <c r="U5" i="3"/>
  <c r="T5" i="3"/>
  <c r="S5" i="3"/>
  <c r="R5" i="3"/>
  <c r="Q5" i="3"/>
  <c r="P5" i="3"/>
  <c r="N5" i="3"/>
  <c r="M5" i="3"/>
  <c r="L5" i="3"/>
  <c r="K5" i="3"/>
  <c r="J5" i="3"/>
  <c r="H5" i="3"/>
  <c r="G5" i="3"/>
  <c r="F5" i="3"/>
  <c r="E5" i="3"/>
  <c r="D5" i="3"/>
  <c r="B5" i="3"/>
  <c r="W4" i="3"/>
  <c r="P4" i="3"/>
  <c r="J4" i="3"/>
  <c r="D4" i="3"/>
  <c r="A4" i="3"/>
  <c r="Y3" i="3"/>
  <c r="X3" i="3"/>
  <c r="W3" i="3"/>
  <c r="V3" i="3"/>
  <c r="U3" i="3"/>
  <c r="T3" i="3"/>
  <c r="S3" i="3"/>
  <c r="R3" i="3"/>
  <c r="Q3" i="3"/>
  <c r="P3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W2" i="3"/>
  <c r="V2" i="3"/>
  <c r="C2" i="3"/>
  <c r="A2" i="3"/>
  <c r="M21" i="2"/>
  <c r="M14" i="2"/>
  <c r="M12" i="2"/>
  <c r="M10" i="2"/>
  <c r="M4" i="2"/>
  <c r="I128" i="1"/>
  <c r="H128" i="1"/>
  <c r="I127" i="1"/>
  <c r="H127" i="1"/>
  <c r="I126" i="1"/>
  <c r="H126" i="1"/>
  <c r="I125" i="1"/>
  <c r="H125" i="1"/>
  <c r="I124" i="1"/>
  <c r="H124" i="1"/>
  <c r="I123" i="1"/>
  <c r="H123" i="1"/>
  <c r="I122" i="1"/>
  <c r="H122" i="1"/>
  <c r="I121" i="1"/>
  <c r="H121" i="1"/>
  <c r="I120" i="1"/>
  <c r="H120" i="1"/>
  <c r="I119" i="1"/>
  <c r="H119" i="1"/>
  <c r="I117" i="1"/>
  <c r="H117" i="1"/>
  <c r="I116" i="1"/>
  <c r="H116" i="1"/>
  <c r="I115" i="1"/>
  <c r="H115" i="1"/>
  <c r="I114" i="1"/>
  <c r="H114" i="1"/>
  <c r="I107" i="1"/>
  <c r="H107" i="1"/>
  <c r="I106" i="1"/>
  <c r="H106" i="1"/>
  <c r="I96" i="1"/>
  <c r="H96" i="1"/>
  <c r="I87" i="1"/>
  <c r="H87" i="1"/>
  <c r="I86" i="1"/>
  <c r="H86" i="1"/>
  <c r="I83" i="1"/>
  <c r="H83" i="1"/>
  <c r="I82" i="1"/>
  <c r="H82" i="1"/>
  <c r="I81" i="1"/>
  <c r="H81" i="1"/>
  <c r="I80" i="1"/>
  <c r="H80" i="1"/>
  <c r="I77" i="1"/>
  <c r="H77" i="1"/>
  <c r="I65" i="1"/>
  <c r="H65" i="1"/>
  <c r="I64" i="1"/>
  <c r="H64" i="1"/>
  <c r="I63" i="1"/>
  <c r="H63" i="1"/>
  <c r="I62" i="1"/>
  <c r="H62" i="1"/>
  <c r="I61" i="1"/>
  <c r="H61" i="1"/>
  <c r="I60" i="1"/>
  <c r="H60" i="1"/>
  <c r="I59" i="1"/>
  <c r="H59" i="1"/>
  <c r="I58" i="1"/>
  <c r="H58" i="1"/>
  <c r="I57" i="1"/>
  <c r="H57" i="1"/>
  <c r="I56" i="1"/>
  <c r="H56" i="1"/>
  <c r="I55" i="1"/>
  <c r="H55" i="1"/>
  <c r="I54" i="1"/>
  <c r="H54" i="1"/>
  <c r="I53" i="1"/>
  <c r="H53" i="1"/>
  <c r="I52" i="1"/>
  <c r="H52" i="1"/>
  <c r="I51" i="1"/>
  <c r="H51" i="1"/>
  <c r="I50" i="1"/>
  <c r="H50" i="1"/>
  <c r="I49" i="1"/>
  <c r="H49" i="1"/>
  <c r="I48" i="1"/>
  <c r="H48" i="1"/>
  <c r="I47" i="1"/>
  <c r="H47" i="1"/>
  <c r="I46" i="1"/>
  <c r="H46" i="1"/>
  <c r="I45" i="1"/>
  <c r="H45" i="1"/>
  <c r="I44" i="1"/>
  <c r="H44" i="1"/>
  <c r="I43" i="1"/>
  <c r="H43" i="1"/>
  <c r="I42" i="1"/>
  <c r="H42" i="1"/>
  <c r="I41" i="1"/>
  <c r="H41" i="1"/>
  <c r="I40" i="1"/>
  <c r="H40" i="1"/>
  <c r="I39" i="1"/>
  <c r="H39" i="1"/>
  <c r="I38" i="1"/>
  <c r="H38" i="1"/>
  <c r="I37" i="1"/>
  <c r="H37" i="1"/>
  <c r="I36" i="1"/>
  <c r="H36" i="1"/>
  <c r="I35" i="1"/>
  <c r="H35" i="1"/>
  <c r="I34" i="1"/>
  <c r="H34" i="1"/>
  <c r="I33" i="1"/>
  <c r="H33" i="1"/>
  <c r="I32" i="1"/>
  <c r="H32" i="1"/>
  <c r="I31" i="1"/>
  <c r="H31" i="1"/>
  <c r="I30" i="1"/>
  <c r="H30" i="1"/>
  <c r="I29" i="1"/>
  <c r="H29" i="1"/>
  <c r="I28" i="1"/>
  <c r="H28" i="1"/>
  <c r="I27" i="1"/>
  <c r="H27" i="1"/>
  <c r="I26" i="1"/>
  <c r="H26" i="1"/>
  <c r="I25" i="1"/>
  <c r="H25" i="1"/>
  <c r="I24" i="1"/>
  <c r="H24" i="1"/>
  <c r="I23" i="1"/>
  <c r="H23" i="1"/>
  <c r="I22" i="1"/>
  <c r="H22" i="1"/>
  <c r="I21" i="1"/>
  <c r="H21" i="1"/>
  <c r="I20" i="1"/>
  <c r="H20" i="1"/>
  <c r="O77" i="12" l="1"/>
  <c r="O103" i="1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93" authorId="0" shapeId="0" xr:uid="{00000000-0006-0000-0000-000001000000}">
      <text>
        <r>
          <rPr>
            <sz val="10"/>
            <color rgb="FF000000"/>
            <rFont val="Arial"/>
            <family val="2"/>
            <scheme val="minor"/>
          </rPr>
          <t>클라우드컨설팅그룹 → ITO운영그룹 변경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5" authorId="0" shapeId="0" xr:uid="{00000000-0006-0000-0500-000001000000}">
      <text>
        <r>
          <rPr>
            <sz val="10"/>
            <color rgb="FF000000"/>
            <rFont val="Arial"/>
            <family val="2"/>
            <scheme val="minor"/>
          </rPr>
          <t>* 재무계정 : 시스템유지보수</t>
        </r>
      </text>
    </comment>
    <comment ref="H8" authorId="0" shapeId="0" xr:uid="{00000000-0006-0000-0500-000002000000}">
      <text>
        <r>
          <rPr>
            <sz val="10"/>
            <color rgb="FF000000"/>
            <rFont val="Arial"/>
            <family val="2"/>
            <scheme val="minor"/>
          </rPr>
          <t>* 재무계정 : 그룹웨어</t>
        </r>
      </text>
    </comment>
    <comment ref="H9" authorId="0" shapeId="0" xr:uid="{00000000-0006-0000-0500-000003000000}">
      <text>
        <r>
          <rPr>
            <sz val="10"/>
            <color rgb="FF000000"/>
            <rFont val="Arial"/>
            <family val="2"/>
            <scheme val="minor"/>
          </rPr>
          <t>* 재무계정 : 그룹웨어</t>
        </r>
      </text>
    </comment>
    <comment ref="H10" authorId="0" shapeId="0" xr:uid="{00000000-0006-0000-0500-000004000000}">
      <text>
        <r>
          <rPr>
            <sz val="10"/>
            <color rgb="FF000000"/>
            <rFont val="Arial"/>
            <family val="2"/>
            <scheme val="minor"/>
          </rPr>
          <t>* 재무계정 : On_Demand</t>
        </r>
      </text>
    </comment>
    <comment ref="H11" authorId="0" shapeId="0" xr:uid="{00000000-0006-0000-0500-000005000000}">
      <text>
        <r>
          <rPr>
            <sz val="10"/>
            <color rgb="FF000000"/>
            <rFont val="Arial"/>
            <family val="2"/>
            <scheme val="minor"/>
          </rPr>
          <t xml:space="preserve">* 재무계정 : 클라우드
</t>
        </r>
      </text>
    </comment>
    <comment ref="H12" authorId="0" shapeId="0" xr:uid="{00000000-0006-0000-0500-000006000000}">
      <text>
        <r>
          <rPr>
            <sz val="10"/>
            <color rgb="FF000000"/>
            <rFont val="Arial"/>
            <family val="2"/>
            <scheme val="minor"/>
          </rPr>
          <t>* 재무계정 : 그룹웨어</t>
        </r>
      </text>
    </comment>
    <comment ref="H13" authorId="0" shapeId="0" xr:uid="{00000000-0006-0000-0500-000007000000}">
      <text>
        <r>
          <rPr>
            <sz val="10"/>
            <color rgb="FF000000"/>
            <rFont val="Arial"/>
            <family val="2"/>
            <scheme val="minor"/>
          </rPr>
          <t>* 재무계정 : 그룹웨어</t>
        </r>
      </text>
    </comment>
    <comment ref="H14" authorId="0" shapeId="0" xr:uid="{00000000-0006-0000-0500-000008000000}">
      <text>
        <r>
          <rPr>
            <sz val="10"/>
            <color rgb="FF000000"/>
            <rFont val="Arial"/>
            <family val="2"/>
            <scheme val="minor"/>
          </rPr>
          <t>* 재무계정 : 클라우드</t>
        </r>
      </text>
    </comment>
    <comment ref="H15" authorId="0" shapeId="0" xr:uid="{00000000-0006-0000-0500-000009000000}">
      <text>
        <r>
          <rPr>
            <sz val="10"/>
            <color rgb="FF000000"/>
            <rFont val="Arial"/>
            <family val="2"/>
            <scheme val="minor"/>
          </rPr>
          <t>* 재무계정 : 그룹웨어</t>
        </r>
      </text>
    </comment>
    <comment ref="H16" authorId="0" shapeId="0" xr:uid="{00000000-0006-0000-0500-00000A000000}">
      <text>
        <r>
          <rPr>
            <sz val="10"/>
            <color rgb="FF000000"/>
            <rFont val="Arial"/>
            <family val="2"/>
            <scheme val="minor"/>
          </rPr>
          <t>* 재무계정 : 그룹웨어</t>
        </r>
      </text>
    </comment>
    <comment ref="H17" authorId="0" shapeId="0" xr:uid="{00000000-0006-0000-0500-00000B000000}">
      <text>
        <r>
          <rPr>
            <sz val="10"/>
            <color rgb="FF000000"/>
            <rFont val="Arial"/>
            <family val="2"/>
            <scheme val="minor"/>
          </rPr>
          <t>* 재무계정 : 클라우드</t>
        </r>
      </text>
    </comment>
    <comment ref="H18" authorId="0" shapeId="0" xr:uid="{00000000-0006-0000-0500-00000C000000}">
      <text>
        <r>
          <rPr>
            <sz val="10"/>
            <color rgb="FF000000"/>
            <rFont val="Arial"/>
            <family val="2"/>
            <scheme val="minor"/>
          </rPr>
          <t>* 재무계정 : 그룹웨어</t>
        </r>
      </text>
    </comment>
    <comment ref="H19" authorId="0" shapeId="0" xr:uid="{00000000-0006-0000-0500-00000D000000}">
      <text>
        <r>
          <rPr>
            <sz val="10"/>
            <color rgb="FF000000"/>
            <rFont val="Arial"/>
            <family val="2"/>
            <scheme val="minor"/>
          </rPr>
          <t>* 재무계정 : 그룹웨어</t>
        </r>
      </text>
    </comment>
    <comment ref="H20" authorId="0" shapeId="0" xr:uid="{00000000-0006-0000-0500-00000E000000}">
      <text>
        <r>
          <rPr>
            <sz val="10"/>
            <color rgb="FF000000"/>
            <rFont val="Arial"/>
            <family val="2"/>
            <scheme val="minor"/>
          </rPr>
          <t xml:space="preserve"> * 재무계정 : 클라우드</t>
        </r>
      </text>
    </comment>
    <comment ref="H21" authorId="0" shapeId="0" xr:uid="{00000000-0006-0000-0500-00000F000000}">
      <text>
        <r>
          <rPr>
            <sz val="10"/>
            <color rgb="FF000000"/>
            <rFont val="Arial"/>
            <family val="2"/>
            <scheme val="minor"/>
          </rPr>
          <t>* 재무계정 : 그룹웨어</t>
        </r>
      </text>
    </comment>
    <comment ref="H22" authorId="0" shapeId="0" xr:uid="{00000000-0006-0000-0500-000010000000}">
      <text>
        <r>
          <rPr>
            <sz val="10"/>
            <color rgb="FF000000"/>
            <rFont val="Arial"/>
            <family val="2"/>
            <scheme val="minor"/>
          </rPr>
          <t>* 재무계정 : 그룹웨어</t>
        </r>
      </text>
    </comment>
    <comment ref="H23" authorId="0" shapeId="0" xr:uid="{00000000-0006-0000-0500-000011000000}">
      <text>
        <r>
          <rPr>
            <sz val="10"/>
            <color rgb="FF000000"/>
            <rFont val="Arial"/>
            <family val="2"/>
            <scheme val="minor"/>
          </rPr>
          <t>* 재무계정 : 클라우드</t>
        </r>
      </text>
    </comment>
    <comment ref="H24" authorId="0" shapeId="0" xr:uid="{00000000-0006-0000-0500-000012000000}">
      <text>
        <r>
          <rPr>
            <sz val="10"/>
            <color rgb="FF000000"/>
            <rFont val="Arial"/>
            <family val="2"/>
            <scheme val="minor"/>
          </rPr>
          <t>* 재무계정 : 그룹웨어</t>
        </r>
      </text>
    </comment>
    <comment ref="H25" authorId="0" shapeId="0" xr:uid="{00000000-0006-0000-0500-000013000000}">
      <text>
        <r>
          <rPr>
            <sz val="10"/>
            <color rgb="FF000000"/>
            <rFont val="Arial"/>
            <family val="2"/>
            <scheme val="minor"/>
          </rPr>
          <t>* 재무계정 : 클라우드</t>
        </r>
      </text>
    </comment>
    <comment ref="H26" authorId="0" shapeId="0" xr:uid="{00000000-0006-0000-0500-000014000000}">
      <text>
        <r>
          <rPr>
            <sz val="10"/>
            <color rgb="FF000000"/>
            <rFont val="Arial"/>
            <family val="2"/>
            <scheme val="minor"/>
          </rPr>
          <t>* 재무계정 : 그룹웨어</t>
        </r>
      </text>
    </comment>
    <comment ref="H27" authorId="0" shapeId="0" xr:uid="{00000000-0006-0000-0500-000015000000}">
      <text>
        <r>
          <rPr>
            <sz val="10"/>
            <color rgb="FF000000"/>
            <rFont val="Arial"/>
            <family val="2"/>
            <scheme val="minor"/>
          </rPr>
          <t>* 재무계정 : 그룹웨어</t>
        </r>
      </text>
    </comment>
    <comment ref="H28" authorId="0" shapeId="0" xr:uid="{00000000-0006-0000-0500-000016000000}">
      <text>
        <r>
          <rPr>
            <sz val="10"/>
            <color rgb="FF000000"/>
            <rFont val="Arial"/>
            <family val="2"/>
            <scheme val="minor"/>
          </rPr>
          <t>* 재무계정 : 클라우드</t>
        </r>
      </text>
    </comment>
    <comment ref="H29" authorId="0" shapeId="0" xr:uid="{00000000-0006-0000-0500-000017000000}">
      <text>
        <r>
          <rPr>
            <sz val="10"/>
            <color rgb="FF000000"/>
            <rFont val="Arial"/>
            <family val="2"/>
            <scheme val="minor"/>
          </rPr>
          <t>* 재무계정 : 그룹웨어</t>
        </r>
      </text>
    </comment>
    <comment ref="H30" authorId="0" shapeId="0" xr:uid="{00000000-0006-0000-0500-000018000000}">
      <text>
        <r>
          <rPr>
            <sz val="10"/>
            <color rgb="FF000000"/>
            <rFont val="Arial"/>
            <family val="2"/>
            <scheme val="minor"/>
          </rPr>
          <t>* 재무계정 : 그룹웨어</t>
        </r>
      </text>
    </comment>
    <comment ref="H31" authorId="0" shapeId="0" xr:uid="{00000000-0006-0000-0500-000019000000}">
      <text>
        <r>
          <rPr>
            <sz val="10"/>
            <color rgb="FF000000"/>
            <rFont val="Arial"/>
            <family val="2"/>
            <scheme val="minor"/>
          </rPr>
          <t>* 재무계정 : 클라우드</t>
        </r>
      </text>
    </comment>
    <comment ref="H32" authorId="0" shapeId="0" xr:uid="{00000000-0006-0000-0500-00001A000000}">
      <text>
        <r>
          <rPr>
            <sz val="10"/>
            <color rgb="FF000000"/>
            <rFont val="Arial"/>
            <family val="2"/>
            <scheme val="minor"/>
          </rPr>
          <t>* 재무계정 : 클라우드</t>
        </r>
      </text>
    </comment>
    <comment ref="H33" authorId="0" shapeId="0" xr:uid="{00000000-0006-0000-0500-00001B000000}">
      <text>
        <r>
          <rPr>
            <sz val="10"/>
            <color rgb="FF000000"/>
            <rFont val="Arial"/>
            <family val="2"/>
            <scheme val="minor"/>
          </rPr>
          <t>* 재무계정 : 클라우드</t>
        </r>
      </text>
    </comment>
    <comment ref="H58" authorId="0" shapeId="0" xr:uid="{00000000-0006-0000-0500-00001C000000}">
      <text>
        <r>
          <rPr>
            <sz val="10"/>
            <color rgb="FF000000"/>
            <rFont val="Arial"/>
            <family val="2"/>
            <scheme val="minor"/>
          </rPr>
          <t xml:space="preserve">R240062,  SELSLUG, 그룹웨어그룹,  411111, 용역수익_일반 </t>
        </r>
      </text>
    </comment>
    <comment ref="H59" authorId="0" shapeId="0" xr:uid="{00000000-0006-0000-0500-00001D000000}">
      <text>
        <r>
          <rPr>
            <sz val="10"/>
            <color rgb="FF000000"/>
            <rFont val="Arial"/>
            <family val="2"/>
            <scheme val="minor"/>
          </rPr>
          <t>R240053,   SELSLUE,  ERP/HR그룹,  411111, 용역수익_일반</t>
        </r>
      </text>
    </comment>
    <comment ref="H60" authorId="0" shapeId="0" xr:uid="{00000000-0006-0000-0500-00001E000000}">
      <text>
        <r>
          <rPr>
            <sz val="10"/>
            <color rgb="FF000000"/>
            <rFont val="Arial"/>
            <family val="2"/>
            <scheme val="minor"/>
          </rPr>
          <t>프로젝트 코드 : P240005(재무:용역수익_중점),SELSLGP(한진택배그룹)</t>
        </r>
      </text>
    </comment>
    <comment ref="H61" authorId="0" shapeId="0" xr:uid="{00000000-0006-0000-0500-00001F000000}">
      <text>
        <r>
          <rPr>
            <sz val="10"/>
            <color rgb="FF000000"/>
            <rFont val="Arial"/>
            <family val="2"/>
            <scheme val="minor"/>
          </rPr>
          <t>프로젝트 코드 : R240064(재무:용역수익_일반),SELSLGP(한진택배그룹)</t>
        </r>
      </text>
    </comment>
    <comment ref="H62" authorId="0" shapeId="0" xr:uid="{00000000-0006-0000-0500-000020000000}">
      <text>
        <r>
          <rPr>
            <sz val="10"/>
            <color rgb="FF000000"/>
            <rFont val="Arial"/>
            <family val="2"/>
            <scheme val="minor"/>
          </rPr>
          <t>프로젝트 코드 : R240064(재무:용역수익_일반),SELSLGP(한진택배그룹)</t>
        </r>
      </text>
    </comment>
    <comment ref="O62" authorId="0" shapeId="0" xr:uid="{00000000-0006-0000-0500-000021000000}">
      <text>
        <r>
          <rPr>
            <sz val="10"/>
            <color rgb="FF000000"/>
            <rFont val="Arial"/>
            <family val="2"/>
            <scheme val="minor"/>
          </rPr>
          <t xml:space="preserve"> 가. 사업 :LG CNS 담당자 
* 김민욱 책임(본 사업 총괄담당), 010-4727-4021, mukim@lgcns.com
* 안진완 선임(본 사업 업무담당), 010-9072-8341, jw.an@lgcns.com
 나. 구매시스템 : https://partnerplus.lgcns.com/lpp/home
     ※ 세금계산서 XML로 업로드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28" authorId="0" shapeId="0" xr:uid="{00000000-0006-0000-0600-000001000000}">
      <text>
        <r>
          <rPr>
            <sz val="10"/>
            <color rgb="FF000000"/>
            <rFont val="Arial"/>
            <family val="2"/>
            <scheme val="minor"/>
          </rPr>
          <t>클라우드컨설팅그룹 → ITO운영그룹 변경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4" authorId="0" shapeId="0" xr:uid="{00000000-0006-0000-0A00-000001000000}">
      <text>
        <r>
          <rPr>
            <sz val="10"/>
            <color rgb="FF000000"/>
            <rFont val="Arial"/>
            <family val="2"/>
            <scheme val="minor"/>
          </rPr>
          <t xml:space="preserve">금액변동 확인
</t>
        </r>
      </text>
    </comment>
    <comment ref="J34" authorId="0" shapeId="0" xr:uid="{00000000-0006-0000-0A00-000002000000}">
      <text>
        <r>
          <rPr>
            <sz val="10"/>
            <color rgb="FF000000"/>
            <rFont val="Arial"/>
            <family val="2"/>
            <scheme val="minor"/>
          </rPr>
          <t>소급분 300,000원 포함 (5월 100,000원 / 6월 200,000원)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58" authorId="0" shapeId="0" xr:uid="{00000000-0006-0000-0B00-000001000000}">
      <text>
        <r>
          <rPr>
            <sz val="10"/>
            <color rgb="FF000000"/>
            <rFont val="Arial"/>
            <family val="2"/>
            <scheme val="minor"/>
          </rPr>
          <t xml:space="preserve">HX-999-SELHFI-SELHFIN-511911-0000-V190020-000000-00000			
</t>
        </r>
      </text>
    </comment>
    <comment ref="C60" authorId="0" shapeId="0" xr:uid="{00000000-0006-0000-0B00-000002000000}">
      <text>
        <r>
          <rPr>
            <sz val="10"/>
            <color rgb="FF000000"/>
            <rFont val="Arial"/>
            <family val="2"/>
            <scheme val="minor"/>
          </rPr>
          <t xml:space="preserve">HX-999-SELHFI-SELHFIN-511911-0000-V200009-000000-00000			
</t>
        </r>
      </text>
    </comment>
    <comment ref="J120" authorId="0" shapeId="0" xr:uid="{00000000-0006-0000-0B00-000003000000}">
      <text>
        <r>
          <rPr>
            <sz val="10"/>
            <color rgb="FF000000"/>
            <rFont val="Arial"/>
            <family val="2"/>
            <scheme val="minor"/>
          </rPr>
          <t>상호	(주)엔키아
담당자	이경현
연락처	031-606-4778
이메일	khlee@nkia.co.kr여기에 입력</t>
        </r>
      </text>
    </comment>
  </commentList>
</comments>
</file>

<file path=xl/sharedStrings.xml><?xml version="1.0" encoding="utf-8"?>
<sst xmlns="http://schemas.openxmlformats.org/spreadsheetml/2006/main" count="83710" uniqueCount="15308">
  <si>
    <r>
      <rPr>
        <b/>
        <sz val="18"/>
        <color theme="1"/>
        <rFont val="Arial"/>
        <family val="2"/>
      </rPr>
      <t>***</t>
    </r>
    <r>
      <rPr>
        <b/>
        <sz val="18"/>
        <color rgb="FFFF0000"/>
        <rFont val="Arial"/>
        <family val="2"/>
      </rPr>
      <t>AR</t>
    </r>
    <r>
      <rPr>
        <b/>
        <sz val="18"/>
        <color theme="1"/>
        <rFont val="Arial"/>
        <family val="2"/>
      </rPr>
      <t xml:space="preserve"> 현황 종합</t>
    </r>
  </si>
  <si>
    <t>☞☞☞☞</t>
  </si>
  <si>
    <t>2024년</t>
  </si>
  <si>
    <t>2025년</t>
  </si>
  <si>
    <t>2026년</t>
  </si>
  <si>
    <t>2027년</t>
  </si>
  <si>
    <t>2028년</t>
  </si>
  <si>
    <t>구분</t>
  </si>
  <si>
    <t>발주처</t>
  </si>
  <si>
    <t>진행</t>
  </si>
  <si>
    <t>Structured Payment Reference</t>
  </si>
  <si>
    <t>Cost Center</t>
  </si>
  <si>
    <t>Account</t>
  </si>
  <si>
    <t>Project</t>
  </si>
  <si>
    <t>계약시작</t>
  </si>
  <si>
    <t>계약종료</t>
  </si>
  <si>
    <t>월금액</t>
  </si>
  <si>
    <t>8월</t>
  </si>
  <si>
    <t>9월</t>
  </si>
  <si>
    <t>10월</t>
  </si>
  <si>
    <t>11월</t>
  </si>
  <si>
    <t>12월</t>
  </si>
  <si>
    <t>1월</t>
  </si>
  <si>
    <t>2월</t>
  </si>
  <si>
    <t>3월</t>
  </si>
  <si>
    <t>4월</t>
  </si>
  <si>
    <t>5월</t>
  </si>
  <si>
    <t>6월</t>
  </si>
  <si>
    <t>7월</t>
  </si>
  <si>
    <t>LG CNS</t>
  </si>
  <si>
    <t>25일</t>
  </si>
  <si>
    <t xml:space="preserve">[8월] 엘지씨엔에스, 대한항공 AMO 사업 </t>
  </si>
  <si>
    <t>SELSPBM</t>
  </si>
  <si>
    <t>V230006</t>
  </si>
  <si>
    <t>*SELSPBU</t>
  </si>
  <si>
    <t>V230007
(UX/UI그룹)</t>
  </si>
  <si>
    <t>[8월] 엘지씨엔에스, 대한항공 PNS시스템 운영 및 개선</t>
  </si>
  <si>
    <t>[8월] 엘지씨엔에스, 대한항공 AI/ML NPS과제 컨설팅</t>
  </si>
  <si>
    <t>용역수익_일반</t>
  </si>
  <si>
    <t>R240043</t>
  </si>
  <si>
    <t>삼성 SDS</t>
  </si>
  <si>
    <t>23일</t>
  </si>
  <si>
    <t>[8월] 삼성에스디에스, 대한항공 Modernization 및 AO 사업</t>
  </si>
  <si>
    <t>SM수익</t>
  </si>
  <si>
    <t>V230008</t>
  </si>
  <si>
    <t>대한항공</t>
  </si>
  <si>
    <t>24일</t>
  </si>
  <si>
    <t>[8월] 대한항공 AMS 서비스 도급대금(홈페이지)</t>
  </si>
  <si>
    <t>V080020</t>
  </si>
  <si>
    <t>V190011</t>
  </si>
  <si>
    <t>[8월] 대한항공 AMS 서비스 도급대금(ERP IT)</t>
  </si>
  <si>
    <t>대한항공 Crew ODS 구축_4회차 청구</t>
  </si>
  <si>
    <t>R230051</t>
  </si>
  <si>
    <t>수시</t>
  </si>
  <si>
    <t>대한항공 종합통제센터(OCC) 포탈 구축</t>
  </si>
  <si>
    <t>P230008</t>
  </si>
  <si>
    <t>[2022] 대한항공, SKYPASS ODS 구축 (그룹사사업그룹)</t>
  </si>
  <si>
    <t>R220048</t>
  </si>
  <si>
    <t>[2022] 대한항공, SKYPASS ODS 구축 (대한항공고객SM그룹)</t>
  </si>
  <si>
    <t>R220049</t>
  </si>
  <si>
    <t>[2024] 대한항공, 주기장관리시스템 개발 사업 (항공사업팀)</t>
  </si>
  <si>
    <t>R240024</t>
  </si>
  <si>
    <t>[2024] 대한항공, 주기장관리시스템 개발 사업 (항공서비스사업팀)</t>
  </si>
  <si>
    <t>R240025</t>
  </si>
  <si>
    <t>진에어</t>
  </si>
  <si>
    <t>월말</t>
  </si>
  <si>
    <t>[8월] 진에어 전산업무 도급대금 청구</t>
  </si>
  <si>
    <t>SELSPBJ</t>
  </si>
  <si>
    <t>V080015</t>
  </si>
  <si>
    <t>[8월] 진에어 대리점/홈페이지 유지보수료 청구</t>
  </si>
  <si>
    <t>한진</t>
  </si>
  <si>
    <t>8월 한진 원클릭 PRO시스템 개발(2차) 청구</t>
  </si>
  <si>
    <t>SELSLG</t>
  </si>
  <si>
    <t>411111
 용역수익_일반</t>
  </si>
  <si>
    <t>R240016</t>
  </si>
  <si>
    <t>1일</t>
  </si>
  <si>
    <t>8월 한진 대전 Mega Hub터미널 IT인프라 운영 지원 청구</t>
  </si>
  <si>
    <t>R240022</t>
  </si>
  <si>
    <t>8월 한진 대전 Mega-Hub 설비 유지보수 전용 
무선 네트워크 구축 청구</t>
  </si>
  <si>
    <t>SELSLIN</t>
  </si>
  <si>
    <t>413111
 시스템유지보수</t>
  </si>
  <si>
    <t>V240006</t>
  </si>
  <si>
    <t>14일</t>
  </si>
  <si>
    <t>8월 한진 중개솔루션 서비스 기획 업무 지원 청구</t>
  </si>
  <si>
    <t>R240030</t>
  </si>
  <si>
    <t>대한항공 전자결재 서비스 사용료(2023년03월)</t>
  </si>
  <si>
    <t>SELSLUG</t>
  </si>
  <si>
    <t>V200011</t>
  </si>
  <si>
    <t>방위사업부 메일 서비스</t>
  </si>
  <si>
    <t>V180029</t>
  </si>
  <si>
    <t>방위사업부 망분리 구축 및 운영</t>
  </si>
  <si>
    <t>SELSCIO</t>
  </si>
  <si>
    <t>414112
온디맨드 수익</t>
  </si>
  <si>
    <t>V180015</t>
  </si>
  <si>
    <t>대한항공 G Suite 운영서비스</t>
  </si>
  <si>
    <t>SELSCBU</t>
  </si>
  <si>
    <t>413141
클라우드수익</t>
  </si>
  <si>
    <t>V190024</t>
  </si>
  <si>
    <t>대한항공 한웨이 서비스 사용료 (AD/VPN)</t>
  </si>
  <si>
    <t>V090041</t>
  </si>
  <si>
    <t xml:space="preserve">한진
</t>
  </si>
  <si>
    <t>한진  New HANWAY(옵션) 서비스</t>
  </si>
  <si>
    <t>V220003</t>
  </si>
  <si>
    <t>인프라 CLOUD 비용(2,064,250월/월)</t>
  </si>
  <si>
    <t>V220019</t>
  </si>
  <si>
    <t>한진  H-SSO 서비스</t>
  </si>
  <si>
    <t>V220011</t>
  </si>
  <si>
    <t>한진인천컨테이너터미널</t>
  </si>
  <si>
    <t>New HANWAY(옵션) 서비스(2023년03월)</t>
  </si>
  <si>
    <t>V220007</t>
  </si>
  <si>
    <t>인프라 사용료</t>
  </si>
  <si>
    <t>V220023</t>
  </si>
  <si>
    <t>H-SSO(8월부터과금</t>
  </si>
  <si>
    <t>정석 기업</t>
  </si>
  <si>
    <t>정석기업  New HANWAY(옵션) 서비스</t>
  </si>
  <si>
    <t>V220004</t>
  </si>
  <si>
    <t>V220020</t>
  </si>
  <si>
    <t>H-SSO(8월부터과금)</t>
  </si>
  <si>
    <t>진에어  New HANWAY(옵션) 서비스</t>
  </si>
  <si>
    <t>V220005</t>
  </si>
  <si>
    <t>V220021</t>
  </si>
  <si>
    <t>싸이버스카이</t>
  </si>
  <si>
    <t>싸이버스카이  New HANWAY(옵션) 서비스(2023년03월)</t>
  </si>
  <si>
    <t>V220006</t>
  </si>
  <si>
    <t>V220022</t>
  </si>
  <si>
    <t>한진칼</t>
  </si>
  <si>
    <t>New 한웨이 시스템 유지/보수 제공 사업(2023년03월)</t>
  </si>
  <si>
    <t>V220012</t>
  </si>
  <si>
    <t>토파스</t>
  </si>
  <si>
    <t>토파스 New HANWAY(옵션) 서비스(2023년03월)</t>
  </si>
  <si>
    <t>V220001</t>
  </si>
  <si>
    <t>V220018</t>
  </si>
  <si>
    <t>인하대병원</t>
  </si>
  <si>
    <t>20일</t>
  </si>
  <si>
    <t>New Hanway 사용료(8월분)</t>
  </si>
  <si>
    <t>V230001</t>
  </si>
  <si>
    <t>V230002</t>
  </si>
  <si>
    <t>V230003</t>
  </si>
  <si>
    <t>SELSLIS</t>
  </si>
  <si>
    <t>V230004</t>
  </si>
  <si>
    <t>한국항공대학교</t>
  </si>
  <si>
    <t>인하공업전문대학</t>
  </si>
  <si>
    <t>말일</t>
  </si>
  <si>
    <t>인하대학교</t>
  </si>
  <si>
    <t>정석인하학원</t>
  </si>
  <si>
    <t>마지막영업일</t>
  </si>
  <si>
    <t>칼호텔네트워크</t>
  </si>
  <si>
    <t>8월분_칼호텔네트워크(서귀포KAL호텔), 교환기 시스템 유지보수 사업</t>
  </si>
  <si>
    <t xml:space="preserve">	R240026</t>
  </si>
  <si>
    <t>8월분_그랜드하얏트인천 PABX 유지보수</t>
  </si>
  <si>
    <t xml:space="preserve">
R230040</t>
  </si>
  <si>
    <t>칼호텔네트워크
본사 OC</t>
  </si>
  <si>
    <r>
      <rPr>
        <sz val="9"/>
        <color rgb="FFFF0000"/>
        <rFont val="Arial"/>
        <family val="2"/>
      </rPr>
      <t>8월분</t>
    </r>
    <r>
      <rPr>
        <sz val="9"/>
        <color theme="1"/>
        <rFont val="Arial"/>
        <family val="2"/>
      </rPr>
      <t>_칼호텔네트워크 본사(OC) 정보시스템 서비스</t>
    </r>
  </si>
  <si>
    <t>413121 
 NW운영</t>
  </si>
  <si>
    <t xml:space="preserve">
V240005</t>
  </si>
  <si>
    <t>8월분_칼호텔네트워크 정보시스템 서비스</t>
  </si>
  <si>
    <t>V130010</t>
  </si>
  <si>
    <t>V130012</t>
  </si>
  <si>
    <t>V130011</t>
  </si>
  <si>
    <t>SKB</t>
  </si>
  <si>
    <t>8월분_기업전용회선 서비스용 트래픽 분석기 유지보수</t>
  </si>
  <si>
    <t>R240001</t>
  </si>
  <si>
    <t>ARINC</t>
  </si>
  <si>
    <t>8월분_제주공항 MUSE 장비 운영 및 유지보수</t>
  </si>
  <si>
    <t>413111
 시스템유지보수</t>
  </si>
  <si>
    <t>V090020</t>
  </si>
  <si>
    <t>8월분_김포공항 MUSE 장비 운영 및 유지보수</t>
  </si>
  <si>
    <t>8월분_대한항공 방산망 DTS 서비스료</t>
  </si>
  <si>
    <t>414114
DTS/DTO</t>
  </si>
  <si>
    <t>V090001</t>
  </si>
  <si>
    <t>토파스여행정보</t>
  </si>
  <si>
    <t>8월분_토파스여행정보 네트워크, 보안 서비스</t>
  </si>
  <si>
    <t>V090003</t>
  </si>
  <si>
    <t>413162 
 보안서비스</t>
  </si>
  <si>
    <t>V190014</t>
  </si>
  <si>
    <t>V160020</t>
  </si>
  <si>
    <t>8월분_진에어 네트워크 서비스 사용료</t>
  </si>
  <si>
    <t>413121
 NW운영</t>
  </si>
  <si>
    <t>V170023</t>
  </si>
  <si>
    <t xml:space="preserve">
8월분_진에어 전산장비 유지보수료 청구</t>
  </si>
  <si>
    <t>413111 
 시스템
 유지보수</t>
  </si>
  <si>
    <t>V170022</t>
  </si>
  <si>
    <t>8월분_한진칼 IT서비스료 사용료</t>
  </si>
  <si>
    <t>414114 
 DTS/DTO</t>
  </si>
  <si>
    <t>V130007</t>
  </si>
  <si>
    <t>413121
  NW운영</t>
  </si>
  <si>
    <t>V130008</t>
  </si>
  <si>
    <t>대한항공CNDS</t>
  </si>
  <si>
    <r>
      <rPr>
        <sz val="9"/>
        <color theme="1"/>
        <rFont val="Arial"/>
        <family val="2"/>
      </rPr>
      <t xml:space="preserve">8월분_대한항공씨앤디서비스 기내식 IT서비스
</t>
    </r>
    <r>
      <rPr>
        <sz val="9"/>
        <color rgb="FFFF00FF"/>
        <rFont val="Arial"/>
        <family val="2"/>
      </rPr>
      <t>매월 금액 변동(인보이스 사용금액 확인 후 말일자 발행)</t>
    </r>
  </si>
  <si>
    <t>V200017</t>
  </si>
  <si>
    <t>8월분_대한항공씨앤디서비스 기내식 IT 보안서비스</t>
  </si>
  <si>
    <t>V210016</t>
  </si>
  <si>
    <t>아이에이티</t>
  </si>
  <si>
    <t>8월분_아이에이티 네트워크 장비 및 회선 유지보수 사업</t>
  </si>
  <si>
    <t xml:space="preserve">
R230039</t>
  </si>
  <si>
    <t>휴데이터스</t>
  </si>
  <si>
    <t xml:space="preserve">8월분_휴데이터스 네트워크 서비스
</t>
  </si>
  <si>
    <t>NW운영</t>
  </si>
  <si>
    <t>V220017</t>
  </si>
  <si>
    <t>8월분_한진 통합콜센터 운영서비스</t>
  </si>
  <si>
    <t>V200009</t>
  </si>
  <si>
    <t>클라우드수익</t>
  </si>
  <si>
    <t>V200010</t>
  </si>
  <si>
    <t>케이에비에이션</t>
  </si>
  <si>
    <t>8월분_케이에비에이션 네트워크 구축 및 운영서비스</t>
  </si>
  <si>
    <t>NW운영수익</t>
  </si>
  <si>
    <t>V220034</t>
  </si>
  <si>
    <t>8월분_정석인하학원 DTO 서비스료</t>
  </si>
  <si>
    <t>414114
 DTS/DTO수익</t>
  </si>
  <si>
    <t>V120008</t>
  </si>
  <si>
    <t>2022-01-01
2023-06-01 
2023-10-01</t>
  </si>
  <si>
    <t>2025.12.30
2027.05.31
2027.09.30</t>
  </si>
  <si>
    <t>8월 한진 작업의뢰 공사대금 청구</t>
  </si>
  <si>
    <t xml:space="preserve">413111 
 시스템유지보수
</t>
  </si>
  <si>
    <t>V090022</t>
  </si>
  <si>
    <t>변동</t>
  </si>
  <si>
    <t>국내선 2024년 8월</t>
  </si>
  <si>
    <t>KE 국제선주간_채팅 2024년 8월</t>
  </si>
  <si>
    <t>KE 국제선야간 2024년 8월 INVOICE</t>
  </si>
  <si>
    <t>8월분_인하대병원 유무선네트워크 ITO서비스</t>
  </si>
  <si>
    <t>414111
 NW아웃소싱</t>
  </si>
  <si>
    <t>V170024</t>
  </si>
  <si>
    <t>8월분_인하대병원(예방관리센터) DTO 서비스료</t>
  </si>
  <si>
    <t>414114
 DTS/DTO</t>
  </si>
  <si>
    <t>V190021</t>
  </si>
  <si>
    <t>한진관광</t>
  </si>
  <si>
    <t>8월분_한진관광 네트워크 서비스</t>
  </si>
  <si>
    <t>V090009</t>
  </si>
  <si>
    <t>413111 
 시스템유지보수</t>
  </si>
  <si>
    <t>V090008</t>
  </si>
  <si>
    <t>V090053
 (전산통신공사
 추가 시)</t>
  </si>
  <si>
    <t>8월분_한진관광 그룹통합콜센터 시스템 서비스 사용료</t>
  </si>
  <si>
    <t>413161 
 컨텍센터시스템</t>
  </si>
  <si>
    <t>V160017</t>
  </si>
  <si>
    <t>에어코리아</t>
  </si>
  <si>
    <t>망일</t>
  </si>
  <si>
    <t>8월분_에어코리아 전산 통신 유지보수료 청구</t>
  </si>
  <si>
    <t>V080030</t>
  </si>
  <si>
    <t>V090057</t>
  </si>
  <si>
    <t>8월분_한진 Total 아웃소싱_NW</t>
  </si>
  <si>
    <t>V080026</t>
  </si>
  <si>
    <t>시스템유지보수</t>
  </si>
  <si>
    <t>V080027</t>
  </si>
  <si>
    <t>SELSLGL</t>
  </si>
  <si>
    <t>V080035</t>
  </si>
  <si>
    <t>8월분_한진 Total 아웃소싱_IT서비스센터</t>
  </si>
  <si>
    <t>8월분_한진 Total 아웃소싱_ServiceHelpDesk</t>
  </si>
  <si>
    <t>8월분_㈜한진 ERP 유지보수 및 INFRA서비스</t>
  </si>
  <si>
    <t>SELSLUE</t>
  </si>
  <si>
    <t>ERP운영</t>
  </si>
  <si>
    <t>V210017</t>
  </si>
  <si>
    <t>보안서비스</t>
  </si>
  <si>
    <t>V210019</t>
  </si>
  <si>
    <t>SELSCI</t>
  </si>
  <si>
    <t>DATA센터수익</t>
  </si>
  <si>
    <t>V210018</t>
  </si>
  <si>
    <t>V210020</t>
  </si>
  <si>
    <t>한국공항</t>
  </si>
  <si>
    <t>8월 한국공항 정보시스템 서비스료 청구</t>
  </si>
  <si>
    <t>414113 
 그룹웨어수익</t>
  </si>
  <si>
    <t>SELSCIS</t>
  </si>
  <si>
    <t>414112 
 On_Demand</t>
  </si>
  <si>
    <t>V090036</t>
  </si>
  <si>
    <t>V090031</t>
  </si>
  <si>
    <t>V090032</t>
  </si>
  <si>
    <t>414114
  DTS/DTO</t>
  </si>
  <si>
    <t>V080032</t>
  </si>
  <si>
    <t>8월 한국공항 정보보호 서비스료 청구</t>
  </si>
  <si>
    <t>V220038</t>
  </si>
  <si>
    <t>V220037</t>
  </si>
  <si>
    <t>8월 한국공항 시스템 유지보수 도급비</t>
  </si>
  <si>
    <t>414122 
 ERP운영</t>
  </si>
  <si>
    <t>V190013</t>
  </si>
  <si>
    <t>SELSPBK</t>
  </si>
  <si>
    <t>414121 
 SM</t>
  </si>
  <si>
    <t>V080036</t>
  </si>
  <si>
    <r>
      <rPr>
        <b/>
        <sz val="17"/>
        <color theme="1"/>
        <rFont val="Malgun Gothic"/>
        <family val="3"/>
        <charset val="129"/>
      </rPr>
      <t xml:space="preserve">2024년 (12월) 항공사업팀 </t>
    </r>
    <r>
      <rPr>
        <b/>
        <sz val="17"/>
        <color rgb="FFFF0000"/>
        <rFont val="Malgun Gothic"/>
        <family val="3"/>
        <charset val="129"/>
      </rPr>
      <t xml:space="preserve">AR </t>
    </r>
    <r>
      <rPr>
        <b/>
        <sz val="17"/>
        <color theme="1"/>
        <rFont val="Malgun Gothic"/>
        <family val="3"/>
        <charset val="129"/>
      </rPr>
      <t>현황</t>
    </r>
  </si>
  <si>
    <t>대한항공고객그룹</t>
  </si>
  <si>
    <t>UX/UI그룹</t>
  </si>
  <si>
    <t>**** 계약현황 링크 (클릭)</t>
  </si>
  <si>
    <t>담당자</t>
  </si>
  <si>
    <t>AR번호</t>
  </si>
  <si>
    <t>역/정</t>
  </si>
  <si>
    <t>청구금액</t>
  </si>
  <si>
    <t>비고</t>
  </si>
  <si>
    <t>업무방법법</t>
  </si>
  <si>
    <t xml:space="preserve">[12월] 엘지씨엔에스, 대한항공 AMO 사업 </t>
  </si>
  <si>
    <t>ART241130이수임1334</t>
  </si>
  <si>
    <t>정</t>
  </si>
  <si>
    <r>
      <rPr>
        <sz val="9"/>
        <color theme="1"/>
        <rFont val="Arial"/>
        <family val="2"/>
      </rPr>
      <t xml:space="preserve">*LG 홈페이지 검수요청 &gt; 검수완료 확인 &gt; </t>
    </r>
    <r>
      <rPr>
        <sz val="9"/>
        <color rgb="FF0000FF"/>
        <rFont val="Arial"/>
        <family val="2"/>
      </rPr>
      <t>AR(정발행)</t>
    </r>
    <r>
      <rPr>
        <sz val="9"/>
        <color theme="1"/>
        <rFont val="Arial"/>
        <family val="2"/>
      </rPr>
      <t xml:space="preserve"> &gt; </t>
    </r>
    <r>
      <rPr>
        <sz val="9"/>
        <color rgb="FF0000FF"/>
        <rFont val="Arial"/>
        <family val="2"/>
      </rPr>
      <t>세금계산서 발송 후 XML저장</t>
    </r>
    <r>
      <rPr>
        <sz val="9"/>
        <color theme="1"/>
        <rFont val="Arial"/>
        <family val="2"/>
      </rPr>
      <t xml:space="preserve">
&gt; LG홈페이지 세금계산서 업로드
*매월 투입인력에 따라 청구금액 변경 &gt; 박종범 부장 확인 요청
*세금계산서 발행일자 : 매월 마지막 영업일
*수신처 : cpo@lgcns.com
</t>
    </r>
    <r>
      <rPr>
        <sz val="9"/>
        <color rgb="FF0000FF"/>
        <rFont val="Arial"/>
        <family val="2"/>
      </rPr>
      <t>*매월 25~26일 검수요청</t>
    </r>
  </si>
  <si>
    <r>
      <rPr>
        <sz val="9"/>
        <color theme="1"/>
        <rFont val="Arial"/>
        <family val="2"/>
      </rPr>
      <t xml:space="preserve">*LG 홈페이지 검수요청
 로그인 &gt; 검수/대금지급 &gt; 검수요청/실적등록 &gt; 계약2건 확인 (청구건 2건) &gt; 지급금액 확인
&gt; 계약번호 클릭 &gt; </t>
    </r>
    <r>
      <rPr>
        <i/>
        <sz val="9"/>
        <color theme="1"/>
        <rFont val="Arial"/>
        <family val="2"/>
      </rPr>
      <t>검수요청내역 입력</t>
    </r>
    <r>
      <rPr>
        <sz val="9"/>
        <color theme="1"/>
        <rFont val="Arial"/>
        <family val="2"/>
      </rPr>
      <t xml:space="preserve"> &gt; 검수일(세금계산서 일자 동일) : 매월 마지막 영업일
&gt; 검수요청 &gt; AR(</t>
    </r>
    <r>
      <rPr>
        <sz val="9"/>
        <color rgb="FFFF0000"/>
        <rFont val="Arial"/>
        <family val="2"/>
      </rPr>
      <t>정발행</t>
    </r>
    <r>
      <rPr>
        <sz val="9"/>
        <color theme="1"/>
        <rFont val="Arial"/>
        <family val="2"/>
      </rPr>
      <t>) &gt; **마지막 영업일에 계산서 업로드 &gt; 검수/대금지급현황 &gt; 세금계산서 XML저장
&gt; 진행상태 : 세금계산서처리대기  선택 &gt; 계산서 처리 &gt; 파일첨부
*</t>
    </r>
    <r>
      <rPr>
        <i/>
        <sz val="9"/>
        <color theme="1"/>
        <rFont val="Arial"/>
        <family val="2"/>
      </rPr>
      <t>검수요청내역</t>
    </r>
    <r>
      <rPr>
        <sz val="9"/>
        <color theme="1"/>
        <rFont val="Arial"/>
        <family val="2"/>
      </rPr>
      <t xml:space="preserve">
1)대한항공 AMO_여객,화물,운항,전사/HR,혁신,UI/UX,클라우드기술 2024년 ()월 검수 요청
2)(주)대한항공_PNS AO_PNS시스템 운영 및 개선 2024년 ()월 검수 요청</t>
    </r>
  </si>
  <si>
    <t>김설영</t>
  </si>
  <si>
    <t>[12월] 엘지씨엔에스, 대한항공 PNS시스템 운영 및 개선</t>
  </si>
  <si>
    <t>ART241130이수임1340</t>
  </si>
  <si>
    <t>[12월] 엘지씨엔에스, 대한항공 AI/ML NPS과제 컨설팅</t>
  </si>
  <si>
    <t>ART241024이수임0925</t>
  </si>
  <si>
    <t>마지막 청구달 13,666,666</t>
  </si>
  <si>
    <t>김형곤</t>
  </si>
  <si>
    <t>엘지씨엔에스, 대한항공 주기장관리시스템 개발 구축 추가개발</t>
  </si>
  <si>
    <t>R240055</t>
  </si>
  <si>
    <t>ART241031이수임1003</t>
  </si>
  <si>
    <t>[12월] 삼성에스디에스, 대한항공 Modernization 및 AO 사업</t>
  </si>
  <si>
    <t>ART241125이수임1611</t>
  </si>
  <si>
    <t>역</t>
  </si>
  <si>
    <r>
      <rPr>
        <sz val="9"/>
        <color theme="1"/>
        <rFont val="Arial"/>
        <family val="2"/>
      </rPr>
      <t xml:space="preserve">*삼성 홈페이지 검수요청 &gt; 검수완료 확인 &gt; </t>
    </r>
    <r>
      <rPr>
        <sz val="9"/>
        <color rgb="FF0000FF"/>
        <rFont val="Arial"/>
        <family val="2"/>
      </rPr>
      <t>스마트빌</t>
    </r>
    <r>
      <rPr>
        <sz val="9"/>
        <color theme="1"/>
        <rFont val="Arial"/>
        <family val="2"/>
      </rPr>
      <t xml:space="preserve"> 미처리문서함  
&gt; 세금계산서 발행 &gt; </t>
    </r>
    <r>
      <rPr>
        <b/>
        <sz val="9"/>
        <color rgb="FF0000FF"/>
        <rFont val="Arial"/>
        <family val="2"/>
      </rPr>
      <t>AR(역발행)</t>
    </r>
    <r>
      <rPr>
        <sz val="9"/>
        <color theme="1"/>
        <rFont val="Arial"/>
        <family val="2"/>
      </rPr>
      <t xml:space="preserve">
*세금계산서 발행일자 : 검수요청일
</t>
    </r>
    <r>
      <rPr>
        <sz val="9"/>
        <color rgb="FF0000FF"/>
        <rFont val="Arial"/>
        <family val="2"/>
      </rPr>
      <t>*매월 23일 검수요청</t>
    </r>
  </si>
  <si>
    <r>
      <rPr>
        <sz val="9"/>
        <color theme="1"/>
        <rFont val="Arial"/>
        <family val="2"/>
      </rPr>
      <t>*삼성홈페이지 검수요청
로그인 &gt; 업무화면 이동 &gt; 검수현황 &gt; 검수현황 &gt; 조회클릭 &gt; 계약1건 &gt; 검수요청 화살표 선택박스 체크
&gt; 목적물(산출물) 제출여부 N &gt; 검수요청 클릭 &gt; 세금계산서 일자 : 검수요청일 &gt; 스마트빌 역발행 &gt; 
&gt; 회사미처리문서함 &gt; 세금계산서 확인 후 발행 &gt; AR(</t>
    </r>
    <r>
      <rPr>
        <sz val="9"/>
        <color rgb="FFFF0000"/>
        <rFont val="Arial"/>
        <family val="2"/>
      </rPr>
      <t>역발행</t>
    </r>
    <r>
      <rPr>
        <sz val="9"/>
        <color theme="1"/>
        <rFont val="Arial"/>
        <family val="2"/>
      </rPr>
      <t>)</t>
    </r>
  </si>
  <si>
    <t>31일</t>
  </si>
  <si>
    <t>김안나</t>
  </si>
  <si>
    <t>[12월] 대한항공 AMS 서비스 도급대금(홈페이지)
**12월 홈페이지 권성현 차장 -1mm</t>
  </si>
  <si>
    <t>ART241130이수임1428</t>
  </si>
  <si>
    <r>
      <rPr>
        <sz val="9"/>
        <rFont val="Arial"/>
        <family val="2"/>
      </rPr>
      <t>*</t>
    </r>
    <r>
      <rPr>
        <u/>
        <sz val="9"/>
        <color rgb="FF1155CC"/>
        <rFont val="Arial"/>
        <family val="2"/>
      </rPr>
      <t>인보이스 작성</t>
    </r>
    <r>
      <rPr>
        <sz val="9"/>
        <rFont val="Arial"/>
        <family val="2"/>
      </rPr>
      <t xml:space="preserve"> &gt; 담당자 확인요청  &gt; </t>
    </r>
    <r>
      <rPr>
        <b/>
        <sz val="9"/>
        <color rgb="FF0000FF"/>
        <rFont val="Arial"/>
        <family val="2"/>
      </rPr>
      <t>AR(역발행)</t>
    </r>
    <r>
      <rPr>
        <sz val="9"/>
        <rFont val="Arial"/>
        <family val="2"/>
      </rPr>
      <t xml:space="preserve"> &gt; </t>
    </r>
    <r>
      <rPr>
        <sz val="9"/>
        <color rgb="FF0000FF"/>
        <rFont val="Arial"/>
        <family val="2"/>
      </rPr>
      <t>스마트빌</t>
    </r>
    <r>
      <rPr>
        <sz val="9"/>
        <rFont val="Arial"/>
        <family val="2"/>
      </rPr>
      <t xml:space="preserve"> 작성
*수신처 : 이동섭 dongsuplee@koreanair.com, 안세진
*참조 :  "신동선[SELCDCDH - SHIN DONG SUN] ‍" &lt;dsshin@koreanair.com&gt;,
"정수현[XW - JUNG SU HYUN] ‍" &lt;shjung@koreanair.com&gt;,
임종화 &lt;jhwalim@koreanair.com&gt;, </t>
    </r>
    <r>
      <rPr>
        <sz val="9"/>
        <color rgb="FF0000FF"/>
        <rFont val="Arial"/>
        <family val="2"/>
      </rPr>
      <t>김안나 추가!!!!!</t>
    </r>
    <r>
      <rPr>
        <sz val="9"/>
        <rFont val="Arial"/>
        <family val="2"/>
      </rPr>
      <t xml:space="preserve">
"박종범[SELSPSPBM - PARK JONG-BEOM] ‍" &lt;jbpark@hist.co.kr&gt;</t>
    </r>
  </si>
  <si>
    <t>박종범</t>
  </si>
  <si>
    <t>[12월] 대한항공 AMS 서비스 도급대금(ERP IT)</t>
  </si>
  <si>
    <t>ART241130이수임1435</t>
  </si>
  <si>
    <r>
      <rPr>
        <sz val="9"/>
        <color theme="1"/>
        <rFont val="Arial"/>
        <family val="2"/>
      </rPr>
      <t xml:space="preserve">*인보이스 작성 &gt; 담당자 확인요청  &gt; </t>
    </r>
    <r>
      <rPr>
        <b/>
        <sz val="9"/>
        <color rgb="FF0000FF"/>
        <rFont val="Arial"/>
        <family val="2"/>
      </rPr>
      <t>AR(역발행) &gt; 스마트빌</t>
    </r>
    <r>
      <rPr>
        <sz val="9"/>
        <color theme="1"/>
        <rFont val="Arial"/>
        <family val="2"/>
      </rPr>
      <t xml:space="preserve"> 작성
*수신처 : 임종화 jhwalim@koreanair.com</t>
    </r>
  </si>
  <si>
    <t>대한항공 Crew ODS 구축_9회차 청구</t>
  </si>
  <si>
    <t>411111
용역_일반</t>
  </si>
  <si>
    <t>ART241123이수임1718</t>
  </si>
  <si>
    <t>작업확인서(박종범 -&gt; 고객사) 확인 후 AR (정발행) *수신자 : 임종화
*세금계산서 일자 : 매월 23일</t>
  </si>
  <si>
    <t>ART240904이수임1325</t>
  </si>
  <si>
    <t>9월 204,600,000원 +추가금액 : 9월에 합산 청구, 1개월 연장</t>
  </si>
  <si>
    <t>ART240830이수임1005</t>
  </si>
  <si>
    <t>Kalhr2024!</t>
  </si>
  <si>
    <t>Dream0825!</t>
  </si>
  <si>
    <t>ART241031이수임1508</t>
  </si>
  <si>
    <r>
      <rPr>
        <sz val="9"/>
        <color rgb="FFFF0000"/>
        <rFont val="Arial"/>
        <family val="2"/>
      </rPr>
      <t>잔금 10월 248,000,000원 =&gt; 항공사업팀 매출로 들어갔는지 확인할 것</t>
    </r>
    <r>
      <rPr>
        <sz val="9"/>
        <color theme="1"/>
        <rFont val="Arial"/>
        <family val="2"/>
      </rPr>
      <t xml:space="preserve">
김형곤 차장님 업무??</t>
    </r>
  </si>
  <si>
    <t>[2024] 대한항공, 주기장관리시스템 개발 사업 (항공영업팀)</t>
  </si>
  <si>
    <t>완료</t>
  </si>
  <si>
    <t>김영천</t>
  </si>
  <si>
    <t>[12월] 진에어 전산업무 도급대금 청구</t>
  </si>
  <si>
    <t>414121
SM수익</t>
  </si>
  <si>
    <t>ART241130이수임1554</t>
  </si>
  <si>
    <t>*수신처 : DT전략실 selxd@jinair.com</t>
  </si>
  <si>
    <t>[12월] 진에어 대리점/홈페이지 유지보수료 청구</t>
  </si>
  <si>
    <t>ART241130이수임1735</t>
  </si>
  <si>
    <t>**항공영업팀</t>
  </si>
  <si>
    <t>람코시스템코리아컴퍼니</t>
  </si>
  <si>
    <t>정동영</t>
  </si>
  <si>
    <t>[12월] Korean Air LInes Co. - Manpower hiring</t>
  </si>
  <si>
    <t>SELSPB</t>
  </si>
  <si>
    <t>R240031</t>
  </si>
  <si>
    <t>ART240630이수임1717
ART240731이수임1610
ART240831이수임1405
ART240930이수임1039
ART241031이수임1526</t>
  </si>
  <si>
    <t>정
NET45</t>
  </si>
  <si>
    <r>
      <rPr>
        <b/>
        <sz val="9"/>
        <color rgb="FF0000FF"/>
        <rFont val="Arial"/>
        <family val="2"/>
      </rPr>
      <t xml:space="preserve">* </t>
    </r>
    <r>
      <rPr>
        <b/>
        <u/>
        <sz val="9"/>
        <color rgb="FF0000FF"/>
        <rFont val="Arial"/>
        <family val="2"/>
      </rPr>
      <t xml:space="preserve">Invoice ★
</t>
    </r>
    <r>
      <rPr>
        <sz val="9"/>
        <color rgb="FF000000"/>
        <rFont val="Arial"/>
        <family val="2"/>
      </rPr>
      <t xml:space="preserve">* </t>
    </r>
    <r>
      <rPr>
        <u/>
        <sz val="9"/>
        <color rgb="FF000000"/>
        <rFont val="Arial"/>
        <family val="2"/>
      </rPr>
      <t xml:space="preserve">은행 통장사본
</t>
    </r>
    <r>
      <rPr>
        <sz val="9"/>
        <color rgb="FF000000"/>
        <rFont val="Arial"/>
        <family val="2"/>
      </rPr>
      <t xml:space="preserve">* </t>
    </r>
    <r>
      <rPr>
        <u/>
        <sz val="9"/>
        <color rgb="FF000000"/>
        <rFont val="Arial"/>
        <family val="2"/>
      </rPr>
      <t xml:space="preserve">사업자등록증
</t>
    </r>
    <r>
      <rPr>
        <sz val="9"/>
        <color rgb="FF000000"/>
        <rFont val="Arial"/>
        <family val="2"/>
      </rPr>
      <t xml:space="preserve">* RAMCO 계산서 수신자
   - daehyun@daehyuncpas.co.kr ,  Shany(고영애) , Senior Manager (실장) 
     Daehyun Accounting Corporation 대현회계법인 
     82-70-7842-9253, 82-10-4281-1288
   - anandaganesh.s@ramco.com , Ananda Ganesh T S (Singapore)
     Ramco systems 
   - gw.seunghyoo@kalmate.net
   - philipkwoo@gmail.com
</t>
    </r>
    <r>
      <rPr>
        <b/>
        <sz val="9"/>
        <color rgb="FF0000FF"/>
        <rFont val="Arial"/>
        <family val="2"/>
      </rPr>
      <t>★ 전자계산서 발급전, 위의 두 이메일로 Invoice (영문) 발송 필요(必)</t>
    </r>
    <r>
      <rPr>
        <sz val="9"/>
        <color rgb="FF000000"/>
        <rFont val="Arial"/>
        <family val="2"/>
      </rPr>
      <t xml:space="preserve">
     전자계산서 발급시 첨부로 Invoice 첨부 필요
*영업:박찬필 *수행 : 정동영</t>
    </r>
  </si>
  <si>
    <r>
      <rPr>
        <sz val="9"/>
        <color theme="1"/>
        <rFont val="Arial"/>
        <family val="2"/>
      </rPr>
      <t>*삼성홈페이지 검수요청
로그인 &gt; 업무화면 이동 &gt; 검수현황 &gt; 검수현황 &gt; 조회클릭 &gt; 계약1건 &gt; 검수요청 화살표 선택박스 체크
&gt; 목적물(산출물) 제출여부 N &gt; 검수요청 클릭 &gt; 세금계산서 일자 : 검수요청일 &gt; 스마트빌 역발행 &gt; 
&gt; 회사미처리문서함 &gt; 세금계산서 확인 후 발행 &gt; AR(</t>
    </r>
    <r>
      <rPr>
        <sz val="9"/>
        <color rgb="FFFF0000"/>
        <rFont val="Arial"/>
        <family val="2"/>
      </rPr>
      <t>역발행</t>
    </r>
    <r>
      <rPr>
        <sz val="9"/>
        <color theme="1"/>
        <rFont val="Arial"/>
        <family val="2"/>
      </rPr>
      <t>)</t>
    </r>
  </si>
  <si>
    <r>
      <rPr>
        <b/>
        <sz val="13"/>
        <color theme="1"/>
        <rFont val="Arial"/>
        <family val="2"/>
      </rPr>
      <t xml:space="preserve">○ 항공영업팀 </t>
    </r>
    <r>
      <rPr>
        <b/>
        <sz val="13"/>
        <color rgb="FFFF0000"/>
        <rFont val="Arial"/>
        <family val="2"/>
      </rPr>
      <t>AR</t>
    </r>
    <r>
      <rPr>
        <b/>
        <sz val="13"/>
        <color theme="1"/>
        <rFont val="Arial"/>
        <family val="2"/>
      </rPr>
      <t>_</t>
    </r>
    <r>
      <rPr>
        <b/>
        <sz val="13"/>
        <color rgb="FF0000FF"/>
        <rFont val="Arial"/>
        <family val="2"/>
      </rPr>
      <t>AP</t>
    </r>
    <r>
      <rPr>
        <b/>
        <sz val="13"/>
        <color theme="1"/>
        <rFont val="Arial"/>
        <family val="2"/>
      </rPr>
      <t>현황</t>
    </r>
  </si>
  <si>
    <t>gykim@hist.co.kr</t>
  </si>
  <si>
    <r>
      <rPr>
        <u/>
        <sz val="10"/>
        <color rgb="FF1155CC"/>
        <rFont val="Arial"/>
        <family val="2"/>
      </rPr>
      <t>원본</t>
    </r>
    <r>
      <rPr>
        <sz val="10"/>
        <color rgb="FF000000"/>
        <rFont val="Arial"/>
        <family val="2"/>
      </rPr>
      <t>(클릭)</t>
    </r>
  </si>
  <si>
    <r>
      <rPr>
        <b/>
        <sz val="17"/>
        <color theme="1"/>
        <rFont val="Arial"/>
        <family val="2"/>
      </rPr>
      <t xml:space="preserve">2024년 항공영업팀 판매 </t>
    </r>
    <r>
      <rPr>
        <b/>
        <sz val="17"/>
        <color rgb="FFFF0000"/>
        <rFont val="Arial"/>
        <family val="2"/>
      </rPr>
      <t>AR</t>
    </r>
    <r>
      <rPr>
        <b/>
        <sz val="17"/>
        <color theme="1"/>
        <rFont val="Arial"/>
        <family val="2"/>
      </rPr>
      <t>_</t>
    </r>
    <r>
      <rPr>
        <b/>
        <sz val="17"/>
        <color rgb="FF0000FF"/>
        <rFont val="Arial"/>
        <family val="2"/>
      </rPr>
      <t>AP</t>
    </r>
    <r>
      <rPr>
        <b/>
        <sz val="17"/>
        <color theme="1"/>
        <rFont val="Arial"/>
        <family val="2"/>
      </rPr>
      <t xml:space="preserve"> 현황</t>
    </r>
  </si>
  <si>
    <t>박찬필</t>
  </si>
  <si>
    <t>cppark@hist.co.kr</t>
  </si>
  <si>
    <t>hgkim@hist.co.kr</t>
  </si>
  <si>
    <t>SELSPA</t>
  </si>
  <si>
    <t>항공영업팀</t>
  </si>
  <si>
    <t>계약명</t>
  </si>
  <si>
    <t>판매금액</t>
  </si>
  <si>
    <t>PJT코드</t>
  </si>
  <si>
    <t>외주업체</t>
  </si>
  <si>
    <t>PO번호</t>
  </si>
  <si>
    <t>AP번호</t>
  </si>
  <si>
    <t>세금계산서 일자</t>
  </si>
  <si>
    <t>공급가액</t>
  </si>
  <si>
    <t xml:space="preserve"> jwcha@kas.co.kr / 010-5268-2439</t>
  </si>
  <si>
    <t>한국공항 한컴오피스(HWP) 판매</t>
  </si>
  <si>
    <t>ART240102이수임1036</t>
  </si>
  <si>
    <t>S230201</t>
  </si>
  <si>
    <t>메가존클라우드</t>
  </si>
  <si>
    <t>HX-PO-14529</t>
  </si>
  <si>
    <t>API240102이수임1105</t>
  </si>
  <si>
    <t>한진 일산택배지점외 2개점소 전산장비(노트북1,IP폰3대) 판매</t>
  </si>
  <si>
    <t>ART240103이수임1603</t>
  </si>
  <si>
    <t>S230232</t>
  </si>
  <si>
    <t>이라인비즈</t>
  </si>
  <si>
    <t>HX-PO-14636</t>
  </si>
  <si>
    <t>API240102이수임1609</t>
  </si>
  <si>
    <t>이아이에스피</t>
  </si>
  <si>
    <t>HX-PO-14638</t>
  </si>
  <si>
    <t>API240103이수임1612</t>
  </si>
  <si>
    <t>한진 컨테이너사업팀 전산장비(노트북1,IP폰1대) 판매</t>
  </si>
  <si>
    <t>ART240105이수임1618</t>
  </si>
  <si>
    <t>S230233</t>
  </si>
  <si>
    <t>HX-PO-14637</t>
  </si>
  <si>
    <t>API240102이수임1622</t>
  </si>
  <si>
    <t>HX-PO-14639</t>
  </si>
  <si>
    <t>API240105이수임1628</t>
  </si>
  <si>
    <t>한진 양주택배지점 전산장비(노트북1,모니터1,IP폰1대) 판매</t>
  </si>
  <si>
    <t>ART240104이수임1634</t>
  </si>
  <si>
    <t>S230234</t>
  </si>
  <si>
    <t>HX-PO-14618</t>
  </si>
  <si>
    <t>API240102이수임1640</t>
  </si>
  <si>
    <t>HX-PO-14619</t>
  </si>
  <si>
    <t>API240103이수임1650</t>
  </si>
  <si>
    <t>씨알비즈니스</t>
  </si>
  <si>
    <t>HX-PO-14617</t>
  </si>
  <si>
    <t>API240104이수임1653</t>
  </si>
  <si>
    <t>한진 인사관리팀 전산장비(노트북25대) 판매</t>
  </si>
  <si>
    <t>ART240108이수임1545</t>
  </si>
  <si>
    <t>S240004</t>
  </si>
  <si>
    <t>HX-PO-14665</t>
  </si>
  <si>
    <t>API240108이수임1557</t>
  </si>
  <si>
    <t>칼호텔네트워크(본사) PC백신 신규 판매</t>
  </si>
  <si>
    <t>ART240112이수임1523</t>
  </si>
  <si>
    <t>S230235</t>
  </si>
  <si>
    <t>에스지나인</t>
  </si>
  <si>
    <t>HX-PO-14641</t>
  </si>
  <si>
    <t>API240112이수임1526</t>
  </si>
  <si>
    <t>한진 물류사업본부외 2개점소 전산장비(노트북1,데스크탑1,모니터1,IP폰2대) 판매</t>
  </si>
  <si>
    <t>ART240105이수임1636</t>
  </si>
  <si>
    <t>S240002</t>
  </si>
  <si>
    <t>HX-PO-14664</t>
  </si>
  <si>
    <t>API240104이수임1700</t>
  </si>
  <si>
    <t>HX-PO-14666</t>
  </si>
  <si>
    <t>API240105이수임1706</t>
  </si>
  <si>
    <t>HX-PO-14667</t>
  </si>
  <si>
    <t>API240105이수임1708</t>
  </si>
  <si>
    <t>한진인천컨테이너터미널 YT(Yard Tractor) TOS 단말기 판매</t>
  </si>
  <si>
    <t>ART240115이수임1433</t>
  </si>
  <si>
    <t>S240006</t>
  </si>
  <si>
    <t>오경컴텍</t>
  </si>
  <si>
    <t>HX-PO-14673</t>
  </si>
  <si>
    <t>API240115이수임1436</t>
  </si>
  <si>
    <t>한진인천컨테이너터미널 CCTV 녹화서버 판매</t>
  </si>
  <si>
    <t>ART240115이수임1349</t>
  </si>
  <si>
    <t>S240005</t>
  </si>
  <si>
    <t>HX-PO-14672</t>
  </si>
  <si>
    <t>API240115이수임1424</t>
  </si>
  <si>
    <t>한진인천컨테이너터미널 리눅스 라이선스 판매</t>
  </si>
  <si>
    <t>ART240118이수임1735</t>
  </si>
  <si>
    <t>S240003</t>
  </si>
  <si>
    <t>락플레이스</t>
  </si>
  <si>
    <t>HX-PO-14679</t>
  </si>
  <si>
    <t>API240118이수임1738</t>
  </si>
  <si>
    <t>한진부산컨테이너터미널 전산장비(노트북1대) 판매</t>
  </si>
  <si>
    <t>ART240104이수임1534</t>
  </si>
  <si>
    <t>S240007</t>
  </si>
  <si>
    <t>HX-PO-14668</t>
  </si>
  <si>
    <t>API240104이수임1537</t>
  </si>
  <si>
    <t>한진 메가허브네트워크운영팀 전산장비(노트북3대) 판매</t>
  </si>
  <si>
    <t>ART240110이수임1050</t>
  </si>
  <si>
    <t>S240009</t>
  </si>
  <si>
    <t>HX-PO-14683</t>
  </si>
  <si>
    <t>API240110이수임1100</t>
  </si>
  <si>
    <t>한진 포워딩운영팀외 2개팀 전산장비(모니터12대) 판매</t>
  </si>
  <si>
    <t>ART240116이수임1102</t>
  </si>
  <si>
    <t>S240008</t>
  </si>
  <si>
    <t>HX-PO-14685</t>
  </si>
  <si>
    <t>API240116이수임1255</t>
  </si>
  <si>
    <t>한진 경인지점 물류영업팀외2개팀 전산장비(노트북1,IP폰3대) 판매</t>
  </si>
  <si>
    <t>ART240112이수임1012</t>
  </si>
  <si>
    <t>S240010</t>
  </si>
  <si>
    <t>HX-PO-14698</t>
  </si>
  <si>
    <t>API240111이수임1022</t>
  </si>
  <si>
    <t>HX-PO-14697</t>
  </si>
  <si>
    <t>API240112이수임1019</t>
  </si>
  <si>
    <t>한진부산컨테이너터미널 전산장비(노트북2,모니터2대) 판매</t>
  </si>
  <si>
    <t>ART240117이수임1046</t>
  </si>
  <si>
    <t>S240014</t>
  </si>
  <si>
    <t>HX-PO-14704</t>
  </si>
  <si>
    <t>API240112이수임1051</t>
  </si>
  <si>
    <t>HX-PO-14703</t>
  </si>
  <si>
    <t>API240117이수임1057</t>
  </si>
  <si>
    <t>한진 미주사업팀외 3개팀 전산장비(노트북2,모니터1,IP폰2대) 판매</t>
  </si>
  <si>
    <t>ART240116이수임1302</t>
  </si>
  <si>
    <t>S240012</t>
  </si>
  <si>
    <t>HX-PO-14686</t>
  </si>
  <si>
    <t>API240112이수임1306</t>
  </si>
  <si>
    <t>HX-PO-14687</t>
  </si>
  <si>
    <t>API240110이수임0916</t>
  </si>
  <si>
    <t>HX-PO-14688</t>
  </si>
  <si>
    <t>API240116이수임0921</t>
  </si>
  <si>
    <t>한진 P&amp;D영업팀 프린터1,모니터1대 판매</t>
  </si>
  <si>
    <t>ART240116이수임0929</t>
  </si>
  <si>
    <t>S240015</t>
  </si>
  <si>
    <t>HX-PO-14705</t>
  </si>
  <si>
    <t>API240116이수임0938</t>
  </si>
  <si>
    <t>HX-PO-14707</t>
  </si>
  <si>
    <t>API240116이수임0952</t>
  </si>
  <si>
    <t>한진인천컨테이너터미널 전산장비(노트북2,모니터2) 판매</t>
  </si>
  <si>
    <t>ART240119이수임1048</t>
  </si>
  <si>
    <t>S240013</t>
  </si>
  <si>
    <t>HX-PO-14702</t>
  </si>
  <si>
    <t>API240111이수임1052</t>
  </si>
  <si>
    <t>HX-PO-14701</t>
  </si>
  <si>
    <t>API240119이수임1053</t>
  </si>
  <si>
    <t>한진 물류사업본부 모니터1대 판매</t>
  </si>
  <si>
    <t>ART240123이수임1035</t>
  </si>
  <si>
    <t>S240016</t>
  </si>
  <si>
    <t>HX-PO-14732</t>
  </si>
  <si>
    <t>API240123이수임1037</t>
  </si>
  <si>
    <t>한진 글로벌이커머스운영팀 전산장비(모니터2,IP폰1대) 판매</t>
  </si>
  <si>
    <t>ART240116이수임1022</t>
  </si>
  <si>
    <t>S240011</t>
  </si>
  <si>
    <t>HX-PO-14700</t>
  </si>
  <si>
    <t>API240116이수임1027</t>
  </si>
  <si>
    <t>HX-PO-14699</t>
  </si>
  <si>
    <t>API240116이수임1025</t>
  </si>
  <si>
    <t>한진 백암지점 B2B센터 전산장비(노트북1대) 판매(변경품의)</t>
  </si>
  <si>
    <t>ART240125이수임1042</t>
  </si>
  <si>
    <t>S240018</t>
  </si>
  <si>
    <t>HX-PO-14738</t>
  </si>
  <si>
    <t>API240125이수임1054</t>
  </si>
  <si>
    <t>한진 대전Mega-Hub설비운영팀외2개팀 전산장비(노트북2,모니터2,IP폰2대) 판매</t>
  </si>
  <si>
    <t>ART240126이수임0957</t>
  </si>
  <si>
    <t>S240017</t>
  </si>
  <si>
    <t>HX-PO-14734</t>
  </si>
  <si>
    <t>API240126이수임1001</t>
  </si>
  <si>
    <t>HX-PO-14735</t>
  </si>
  <si>
    <t>API240123이수임1005</t>
  </si>
  <si>
    <t>HX-PO-14736</t>
  </si>
  <si>
    <t>API240124이수임1003</t>
  </si>
  <si>
    <t>&lt;1월 처리완료&gt;</t>
  </si>
  <si>
    <t>진에어 정비기획팀 IP폰(1대) 판매</t>
  </si>
  <si>
    <t>ART240214이수임1328</t>
  </si>
  <si>
    <t>S240029</t>
  </si>
  <si>
    <t>HX-PO-14799</t>
  </si>
  <si>
    <t>API240206이수임1332</t>
  </si>
  <si>
    <t>케이원</t>
  </si>
  <si>
    <t>HX-PO-14800</t>
  </si>
  <si>
    <t>진에어 운항훈련팀 IP폰(1대) 판매</t>
  </si>
  <si>
    <t>ART240223이수임1030</t>
  </si>
  <si>
    <t>S240033</t>
  </si>
  <si>
    <t>HX-PO-14824</t>
  </si>
  <si>
    <t>API240220이수임1033</t>
  </si>
  <si>
    <t>HX-PO-14825</t>
  </si>
  <si>
    <t>API240223이수임1035</t>
  </si>
  <si>
    <t>진에어 정비기획팀 IP폰(2대) 판매</t>
  </si>
  <si>
    <t>ART240226이수임1054</t>
  </si>
  <si>
    <t>S240035</t>
  </si>
  <si>
    <t>HX-PO-14847</t>
  </si>
  <si>
    <t>API240223이수임1101</t>
  </si>
  <si>
    <t>HX-PO-14848</t>
  </si>
  <si>
    <t>API240226이수임1103</t>
  </si>
  <si>
    <t>&lt;2월 처리완료&gt;</t>
  </si>
  <si>
    <t>진에어 법무실 IP폰(1대) 판매</t>
  </si>
  <si>
    <t>ART240306이수임1010</t>
  </si>
  <si>
    <t>S240051</t>
  </si>
  <si>
    <t>HX-PO-14907</t>
  </si>
  <si>
    <t>API240306이수임1023</t>
  </si>
  <si>
    <t>HX-PO-14897</t>
  </si>
  <si>
    <t>API240306이수임1030</t>
  </si>
  <si>
    <t>진에어 법무실 IP폰(추가분+1대) 판매</t>
  </si>
  <si>
    <t>ART240308이수임1101</t>
  </si>
  <si>
    <t>S240056</t>
  </si>
  <si>
    <t>HX-PO-14911</t>
  </si>
  <si>
    <t>API240307이수임1244</t>
  </si>
  <si>
    <t>HX-PO-14914</t>
  </si>
  <si>
    <t>API240308이수임1325</t>
  </si>
  <si>
    <t>(주)에어코리아 전산장비(모니터1대) 판매</t>
  </si>
  <si>
    <t>ART240311이수임1423</t>
  </si>
  <si>
    <t>S240060</t>
  </si>
  <si>
    <t>HX-PO-14924</t>
  </si>
  <si>
    <t>API240311이수임1450</t>
  </si>
  <si>
    <t xml:space="preserve">담당 : 김해원 대리
연락처 : 010-5003-2985
이메일 : hwkim@k-aviation.co.kr
</t>
  </si>
  <si>
    <t>케이에비에이션 백신(v3_1년) 39COPY 갱신 판매</t>
  </si>
  <si>
    <t>ART240319이수임1504</t>
  </si>
  <si>
    <t>S240066</t>
  </si>
  <si>
    <t>메가존클라우드주식회사</t>
  </si>
  <si>
    <t>HX-PO-14947</t>
  </si>
  <si>
    <t>API240319이수임1508</t>
  </si>
  <si>
    <t>대한항공 전산장비(아이폰케이블1m*51개) 판매</t>
  </si>
  <si>
    <t>ART240304이수임1613</t>
  </si>
  <si>
    <t>S240053</t>
  </si>
  <si>
    <t>디지월드</t>
  </si>
  <si>
    <t>HX-PO-14898</t>
  </si>
  <si>
    <t>API240304이수임1608</t>
  </si>
  <si>
    <t>&lt;3월 처리완료&gt;</t>
  </si>
  <si>
    <t>대한항공 전산장비(아이폰케이블3m*27개) 판매</t>
  </si>
  <si>
    <t>ART240417이수임1010</t>
  </si>
  <si>
    <t>S240087</t>
  </si>
  <si>
    <t>HX-PO-15035</t>
  </si>
  <si>
    <t>API240417이수임1018</t>
  </si>
  <si>
    <t>진에어 운항훈련팀 IP폰(3대) 판매</t>
  </si>
  <si>
    <t>ART240422이수임1332</t>
  </si>
  <si>
    <t>S240085</t>
  </si>
  <si>
    <t>HX-PO-15021</t>
  </si>
  <si>
    <t>API240416이수임1342</t>
  </si>
  <si>
    <t>HX-PO-15028</t>
  </si>
  <si>
    <t>진에어 교육기획그룹 IP폰(1대) 판매</t>
  </si>
  <si>
    <t>ART240424이수임1409</t>
  </si>
  <si>
    <t>S240086</t>
  </si>
  <si>
    <t>HX-PO-15029</t>
  </si>
  <si>
    <t>API240418이수임1411</t>
  </si>
  <si>
    <t>HX-PO-15030</t>
  </si>
  <si>
    <t>API240424이수임1414</t>
  </si>
  <si>
    <t>진에어 운항기술표준팀 IP폰(1대) 판매</t>
  </si>
  <si>
    <t>ART240425이수임1419</t>
  </si>
  <si>
    <t>S240088</t>
  </si>
  <si>
    <t>HX-PO-15040</t>
  </si>
  <si>
    <t>API240418이수임1423</t>
  </si>
  <si>
    <t>HX-PO-15039</t>
  </si>
  <si>
    <t>API240425이수임1424</t>
  </si>
  <si>
    <t>진에어 산업안전보건팀 IP폰(1대) 판매</t>
  </si>
  <si>
    <t>ART240422이수임1444</t>
  </si>
  <si>
    <t>S240083</t>
  </si>
  <si>
    <t>HX-PO-15018</t>
  </si>
  <si>
    <t>API240412이수임1455</t>
  </si>
  <si>
    <t>HX-PO-15019</t>
  </si>
  <si>
    <t>API240422이수임1457</t>
  </si>
  <si>
    <t>&lt;4월 처리완료&gt;</t>
  </si>
  <si>
    <t>진에어 운항기술표준팀 IP폰(추가분 1대) 판매</t>
  </si>
  <si>
    <t>ART240513이수임1410</t>
  </si>
  <si>
    <t>S240095</t>
  </si>
  <si>
    <t>HX-PO-15072</t>
  </si>
  <si>
    <t>API240508이수임1427</t>
  </si>
  <si>
    <t>HX-PO-15074</t>
  </si>
  <si>
    <t>API240513이수임1416</t>
  </si>
  <si>
    <t xml:space="preserve">진에어 운항훈련팀 IP폰(추가1대) 판매
</t>
  </si>
  <si>
    <t>ART240514이수임1505</t>
  </si>
  <si>
    <t>S240098</t>
  </si>
  <si>
    <t>HX-PO-15078</t>
  </si>
  <si>
    <t>API240510이수임1613</t>
  </si>
  <si>
    <t>HX-PO-15079</t>
  </si>
  <si>
    <t>API240514이수임1616</t>
  </si>
  <si>
    <t>&lt;5월 처리완료&gt;</t>
  </si>
  <si>
    <t>담당 : 김성희 대리
이메일 : seonghkim@jinair.com
전화번호 : 02-6011-0825</t>
  </si>
  <si>
    <t>진에어 운항승무팀 IP폰(4대) 판매</t>
  </si>
  <si>
    <t>ART240604이수임1542</t>
  </si>
  <si>
    <t>S240107</t>
  </si>
  <si>
    <t>HX-PO-15124</t>
  </si>
  <si>
    <t>API240604이수임1547</t>
  </si>
  <si>
    <t>HX-PO-15123</t>
  </si>
  <si>
    <t>API240604이수임1552</t>
  </si>
  <si>
    <t>&lt;6월 처리완료&gt;</t>
  </si>
  <si>
    <t>대한항공 전산장비(아이폰케이블1m*42개) 판매</t>
  </si>
  <si>
    <t>ART240704이수임1558</t>
  </si>
  <si>
    <t>S240127</t>
  </si>
  <si>
    <t>HX-PO-15240</t>
  </si>
  <si>
    <t>API240704이수임1713</t>
  </si>
  <si>
    <t xml:space="preserve">조성언
이메일 : scho@jinair.com
연락처 : 02-6011-2304
</t>
  </si>
  <si>
    <t>ART240722이수임1605</t>
  </si>
  <si>
    <t>S240133</t>
  </si>
  <si>
    <t>HX-PO-15260</t>
  </si>
  <si>
    <t>API240719이수임1718</t>
  </si>
  <si>
    <t>HX-PO-15267</t>
  </si>
  <si>
    <t>API240722이수임1730</t>
  </si>
  <si>
    <t>대한항공 중도금_대한항공 주기장 관리시스템 개발 사업</t>
  </si>
  <si>
    <t>ART240731이수임1042</t>
  </si>
  <si>
    <t>에티버스</t>
  </si>
  <si>
    <t>HX-PO-14975</t>
  </si>
  <si>
    <t>API240731이수임1555</t>
  </si>
  <si>
    <t>엘지씨앤에스</t>
  </si>
  <si>
    <t>HX-PO-14972</t>
  </si>
  <si>
    <t>API240731이수임1557</t>
  </si>
  <si>
    <t xml:space="preserve">세금계산서 최유정
이메일 : yjoungchoi@jinair.com
연락처 : 010-7674-8737
</t>
  </si>
  <si>
    <t>진에어 회계팀 IP폰(1대) 판매</t>
  </si>
  <si>
    <t>ART240731이수임1034</t>
  </si>
  <si>
    <t>S240148</t>
  </si>
  <si>
    <t>HX-PO-15283</t>
  </si>
  <si>
    <t>API240731이수임1040</t>
  </si>
  <si>
    <t>HX-PO-15286</t>
  </si>
  <si>
    <t>API240731이수임1045</t>
  </si>
  <si>
    <t>세금계산서 김은영
이메일 : eykimb@jinair.com</t>
  </si>
  <si>
    <t>ART240731이수임1053</t>
  </si>
  <si>
    <t>S240150</t>
  </si>
  <si>
    <t>HX-PO-15289</t>
  </si>
  <si>
    <t>API240731이수임1057</t>
  </si>
  <si>
    <t>HX-PO-15290</t>
  </si>
  <si>
    <t>API240731이수임1059</t>
  </si>
  <si>
    <t>&lt;7월 처리완료&gt;</t>
  </si>
  <si>
    <t>대한항공 RSES System 개발 구축</t>
  </si>
  <si>
    <t>ART240901이수임1418</t>
  </si>
  <si>
    <t>R240052</t>
  </si>
  <si>
    <t>&lt;&lt;총 처리완료 건수&gt;&gt;</t>
  </si>
  <si>
    <t>인드라나비아에이에스, 인천공항 제3활주로 계기착륙 및 표지시설 개량사업(추가)</t>
  </si>
  <si>
    <t>ART240801이수임1434</t>
  </si>
  <si>
    <t>R240048</t>
  </si>
  <si>
    <r>
      <rPr>
        <b/>
        <sz val="17"/>
        <color theme="1"/>
        <rFont val="Arial"/>
        <family val="2"/>
      </rPr>
      <t xml:space="preserve">2024년 12월 물류영업팀 판매 </t>
    </r>
    <r>
      <rPr>
        <b/>
        <sz val="17"/>
        <color rgb="FFFF0000"/>
        <rFont val="Arial"/>
        <family val="2"/>
      </rPr>
      <t>AR</t>
    </r>
    <r>
      <rPr>
        <b/>
        <sz val="17"/>
        <color theme="1"/>
        <rFont val="Arial"/>
        <family val="2"/>
      </rPr>
      <t>_</t>
    </r>
    <r>
      <rPr>
        <b/>
        <sz val="17"/>
        <color rgb="FF0000FF"/>
        <rFont val="Arial"/>
        <family val="2"/>
      </rPr>
      <t>AP</t>
    </r>
    <r>
      <rPr>
        <b/>
        <sz val="17"/>
        <color theme="1"/>
        <rFont val="Arial"/>
        <family val="2"/>
      </rPr>
      <t xml:space="preserve"> 현황</t>
    </r>
  </si>
  <si>
    <t>Cost Center
(수익귀속부서)</t>
  </si>
  <si>
    <t xml:space="preserve">Account     </t>
  </si>
  <si>
    <t>SELSLS</t>
  </si>
  <si>
    <t>412111 _시스템판매수익                 60_NET</t>
  </si>
  <si>
    <t>hjang@hist.co.kr</t>
  </si>
  <si>
    <t>admin747Q!</t>
  </si>
  <si>
    <t>[한진 및 계열사]</t>
  </si>
  <si>
    <t>장희봉</t>
  </si>
  <si>
    <t>물류영업팀</t>
  </si>
  <si>
    <t>(주)한진 구매팀</t>
  </si>
  <si>
    <t>한진 포워딩운영 포워딩영업 중부물류영업 모니터 13대</t>
  </si>
  <si>
    <t>ART241105김행주0918</t>
  </si>
  <si>
    <t>S240192</t>
  </si>
  <si>
    <t>HX-PO-15518</t>
  </si>
  <si>
    <t>API241105김행주1246</t>
  </si>
  <si>
    <t>부산글로벌물류센터 데스크탑1, 모니터 1대</t>
  </si>
  <si>
    <t>ART241115김행주0945</t>
  </si>
  <si>
    <t>S240194</t>
  </si>
  <si>
    <t>HX-PO-15522</t>
  </si>
  <si>
    <t>API241115김행주1032</t>
  </si>
  <si>
    <t>한진 전략기획안전보건 노트북2 모니터2 IP폰 2대</t>
  </si>
  <si>
    <t xml:space="preserve">ART241113김행주1058
</t>
  </si>
  <si>
    <t>S240197</t>
  </si>
  <si>
    <t>HX-PO-15530</t>
  </si>
  <si>
    <t>API241113김행주1539</t>
  </si>
  <si>
    <t>HX-PO-15534</t>
  </si>
  <si>
    <t>API241114김행주1546</t>
  </si>
  <si>
    <t>HX-PO-15532</t>
  </si>
  <si>
    <t>API241114김행주1550</t>
  </si>
  <si>
    <t>한진 물류솔루션팀 노트북1 모니터1 IP폰 1대</t>
  </si>
  <si>
    <t xml:space="preserve">ART241113김행주1613
</t>
  </si>
  <si>
    <t>S240196</t>
  </si>
  <si>
    <t>HX-PO-15531</t>
  </si>
  <si>
    <t>API241113김행주1751</t>
  </si>
  <si>
    <t>HX-PO-15535</t>
  </si>
  <si>
    <t>API241114김행주1755</t>
  </si>
  <si>
    <t>HX-PO-15533</t>
  </si>
  <si>
    <t>API241114김행주1758</t>
  </si>
  <si>
    <t>한진 대표이사님 14인치 노트북 1대</t>
  </si>
  <si>
    <t>ART241120김행주1700</t>
  </si>
  <si>
    <t>S240200</t>
  </si>
  <si>
    <t>HX-PO-15549</t>
  </si>
  <si>
    <t>API241120김행주1706</t>
  </si>
  <si>
    <t>[고객사 정보]</t>
  </si>
  <si>
    <t xml:space="preserve">          - 장희봉 계정  hjang@hist.co.kr, tkaqnsrl21@!Q</t>
  </si>
  <si>
    <t>※ ㈜한진 구매팀</t>
  </si>
  <si>
    <t>담당 (세금계산서 접수) : 최승현 과장, seunghchoi@hanjin.com, 02-728-5993</t>
  </si>
  <si>
    <t>강주현 사원 : jh.kang@hanjin.com, 02-728-5995, 010-5372-0145</t>
  </si>
  <si>
    <t>※ 한진부산컨테이너터미널㈜</t>
  </si>
  <si>
    <t>담당 경영지원팀 구매그룹 구태복 과장 : 051-220-2177, tbkoo@hjnc.co.kr</t>
  </si>
  <si>
    <t>세금계산서 발행처 : IT팀 / 김병관 과장 : bgkim@hjnc.co.kr</t>
  </si>
  <si>
    <t>담당자건별 다를수 있음</t>
  </si>
  <si>
    <t>※ 한진인천컨테이너터미널</t>
  </si>
  <si>
    <t>담당 신유정 사원 : 010-2110-1118, 032-202-4922, yjshin@hjit.co.kr</t>
  </si>
  <si>
    <t>납품처 : 신유정 사원, 010-2110-1118, 032-202-4922, 인천시 연수구 인천신항대로 777 (송도동) 한진인천컨테이너터미널(주) 운영지원팀</t>
  </si>
  <si>
    <t>※ 한진울산신항운영</t>
  </si>
  <si>
    <t>전재욱 과장 052-238-6500, 010-4852-5693, jwjeon@hanjin.com</t>
  </si>
  <si>
    <t>[협력사 정보]</t>
  </si>
  <si>
    <t>○ LG노트북</t>
  </si>
  <si>
    <t>제공업체 : 이라인비즈</t>
  </si>
  <si>
    <t>담당 : 손명국 과장</t>
  </si>
  <si>
    <r>
      <rPr>
        <sz val="10"/>
        <rFont val="Malgun Gothic"/>
        <family val="3"/>
        <charset val="129"/>
      </rPr>
      <t xml:space="preserve">이메일 : </t>
    </r>
    <r>
      <rPr>
        <u/>
        <sz val="10"/>
        <color rgb="FF000000"/>
        <rFont val="Malgun Gothic"/>
        <family val="3"/>
        <charset val="129"/>
      </rPr>
      <t>eline@elinebiz.co.kr</t>
    </r>
  </si>
  <si>
    <t>연락처 : 010-2544-2278</t>
  </si>
  <si>
    <t>○ 삼성 데스크탑/모니터</t>
  </si>
  <si>
    <t>제공업체 : 씨알비즈니스</t>
  </si>
  <si>
    <t>담당 : 조우균 실장</t>
  </si>
  <si>
    <t>이메일 : joy5839@naver.com</t>
  </si>
  <si>
    <t>연락처 : 010-8971-5839</t>
  </si>
  <si>
    <t>○ LG에릭슨 IP폰</t>
  </si>
  <si>
    <t>제공업체 : 이아이에스피</t>
  </si>
  <si>
    <t>담당 : 노재현 이사</t>
  </si>
  <si>
    <t>이메일 : jhroh0813@eisp.co.kr</t>
  </si>
  <si>
    <t>연락처 : 010-7258-1911</t>
  </si>
  <si>
    <r>
      <rPr>
        <b/>
        <sz val="21"/>
        <color theme="1"/>
        <rFont val="Arial"/>
        <family val="2"/>
      </rPr>
      <t xml:space="preserve">2024년 (12월) 물류사업부 </t>
    </r>
    <r>
      <rPr>
        <b/>
        <sz val="21"/>
        <color rgb="FFFF0000"/>
        <rFont val="Arial"/>
        <family val="2"/>
      </rPr>
      <t>AR</t>
    </r>
    <r>
      <rPr>
        <b/>
        <sz val="21"/>
        <color theme="1"/>
        <rFont val="Arial"/>
        <family val="2"/>
      </rPr>
      <t xml:space="preserve"> 현황</t>
    </r>
  </si>
  <si>
    <t>* 재무계정 : 그룹웨어(414113)</t>
  </si>
  <si>
    <t>* 재무계정 : 클라우드(413141)</t>
  </si>
  <si>
    <t>고객사 담당자</t>
  </si>
  <si>
    <t>6월 한진 원클릭 PRO시스템 개발(2차) 청구</t>
  </si>
  <si>
    <t>한진 대전 Mega Hub터미널 IT인프라 운영 지원 청구</t>
  </si>
  <si>
    <t xml:space="preserve">ART241201김행주1334
                </t>
  </si>
  <si>
    <t xml:space="preserve">ART241201김행주1334              </t>
  </si>
  <si>
    <t xml:space="preserve">                     rwm98@hanjin.com 02.728.5704  DT기획팀 유원무차장
                     (주)한진 Mega-Hub설비운영팀 오홍석 팀장 (연락처 조직도 참조) </t>
  </si>
  <si>
    <t>한진 대전 Mega-Hub 설비 유지보수 전용 
무선 네트워크 구축 청구</t>
  </si>
  <si>
    <t xml:space="preserve">ART241201김행주1330
                </t>
  </si>
  <si>
    <t>유용근 차장 (계약 및 계산서 접수)
                     yongkyoo@hanjin.com, 010 4482 8841</t>
  </si>
  <si>
    <t>한진 중개솔루션 서비스 기획 업무 지원 청구</t>
  </si>
  <si>
    <t>ART241114김행주1704</t>
  </si>
  <si>
    <t>조태정</t>
  </si>
  <si>
    <t>대한항공 전자결재 서비스 사용료(12월)</t>
  </si>
  <si>
    <t>ART241130김행주1625</t>
  </si>
  <si>
    <r>
      <rPr>
        <sz val="9"/>
        <color rgb="FFFF0000"/>
        <rFont val="Malgun Gothic"/>
        <family val="3"/>
        <charset val="129"/>
      </rPr>
      <t>인보이스 작성 (7/24)
  ㄴ ad/vpn 과 청구분 정산 반영  
  ㄴ 메일 사용료는 전월 동일금액으로 청구     
      (일할 계산은 KE 검토 완료후 익월 반영)
메일 전달 (7/30 15:00 발송 예약)</t>
    </r>
    <r>
      <rPr>
        <sz val="9"/>
        <color rgb="FF0000FF"/>
        <rFont val="Malgun Gothic"/>
        <family val="3"/>
        <charset val="129"/>
      </rPr>
      <t xml:space="preserve">
</t>
    </r>
    <r>
      <rPr>
        <sz val="9"/>
        <color rgb="FFFF0000"/>
        <rFont val="Malgun Gothic"/>
        <family val="3"/>
        <charset val="129"/>
      </rPr>
      <t>AR 작성 (8/1)
TAX 확정 (8/1)
세금 계산서 발행 (스마트빌 8/1)
[[ 작성완료 ]]</t>
    </r>
    <r>
      <rPr>
        <sz val="9"/>
        <color rgb="FF0000FF"/>
        <rFont val="Malgun Gothic"/>
        <family val="3"/>
        <charset val="129"/>
      </rPr>
      <t xml:space="preserve">
[ AD/VPN 7월 정산금액 : 18,141,500원 ]
- 1)7월분 청구액 : 26,514,500원
- 2)기 청구금액 정산액 (1월~6월) : 27,910,000-
    26,514,500=1,395,500원 x 6개월 = 8,373,000원
- 3)최종 7월 청구액 : 1) - 2) = 18,141,500원</t>
    </r>
    <r>
      <rPr>
        <sz val="9"/>
        <color rgb="FFFF0000"/>
        <rFont val="Malgun Gothic"/>
        <family val="3"/>
        <charset val="129"/>
      </rPr>
      <t xml:space="preserve">
</t>
    </r>
    <r>
      <rPr>
        <sz val="9"/>
        <color rgb="FFFF00FF"/>
        <rFont val="Malgun Gothic"/>
        <family val="3"/>
        <charset val="129"/>
      </rPr>
      <t>※AD/VPN월사용료 정산(2024년 7월 인보이스에 반영)</t>
    </r>
  </si>
  <si>
    <t>임종화 대리
jhwalim@koreanair.com
2669-7212
박수영
parksuy@koreanair.com
박수현과장
spark@koreanair.com
정민정
minjjung@koreanair.com</t>
  </si>
  <si>
    <t>대한항공(역발행)
http://www.smartbill.co.kr 
( hist99 / hist0423 )
사업자 번호 : 2018146253
비밀번호 : hist2018146253
Memo, Desc 해당사항 입력</t>
  </si>
  <si>
    <t>HX-999-99999-SELSLUG-414113-0000-V200011-000000-00000</t>
  </si>
  <si>
    <t xml:space="preserve">방위사업부 메일 서비스
</t>
  </si>
  <si>
    <t>HX-999-99999-SELSLUG-414113-0000-V180029-000000-00000</t>
  </si>
  <si>
    <t xml:space="preserve">방위사업부 망분리 구축 및 운영
</t>
  </si>
  <si>
    <t>환율</t>
  </si>
  <si>
    <t>ART241130김행주1956</t>
  </si>
  <si>
    <t>김정섭
js.kim@hanjin.com
02-728-5751</t>
  </si>
  <si>
    <t>New HANWAY(옵션) 서비스(12월)</t>
  </si>
  <si>
    <t>ART241130김행주1005</t>
  </si>
  <si>
    <t>운영지원팀(인천)
it@hjit.co.kr</t>
  </si>
  <si>
    <t>H-SSO(6월부터과금</t>
  </si>
  <si>
    <t>ART241130김행주1244</t>
  </si>
  <si>
    <t>김철수
cskim@jungseok.co.kr</t>
  </si>
  <si>
    <t>H-SSO(6월부터과금)</t>
  </si>
  <si>
    <t>ART241130김행주1251</t>
  </si>
  <si>
    <t>정연세 대리
02-6011-0979, 
ysejeong@jinair.com</t>
  </si>
  <si>
    <t>싸이버스카이  New HANWAY(옵션) 서비스(12월)</t>
  </si>
  <si>
    <t>ART241130김행주1256</t>
  </si>
  <si>
    <t>이호은
hoeun1008@cyberskyshop.com</t>
  </si>
  <si>
    <t>New 한웨이 시스템 유지/보수 제공 사업(12월)</t>
  </si>
  <si>
    <t>ART241031김행주1623</t>
  </si>
  <si>
    <t>엄민호 mheom@hanjinkal.com</t>
  </si>
  <si>
    <t>토파스 New HANWAY(옵션) 서비스(12월)</t>
  </si>
  <si>
    <t>ART241130김행주1300</t>
  </si>
  <si>
    <t>김준희 부장
junhkim@topas.net</t>
  </si>
  <si>
    <t>인하대병원 New Hanway 사용료(12월분)</t>
  </si>
  <si>
    <t>ART241120김행주0907</t>
  </si>
  <si>
    <t>* 재무계정 확인 필수</t>
  </si>
  <si>
    <t>계산서-이재득 과장
jdlee0816@inhauh.com
(032-890-3996)
검수확인서-주재범 사원
jjoo@hist.co.kr</t>
  </si>
  <si>
    <t>한국항공대학교 New Hanway 사용료(12월분)</t>
  </si>
  <si>
    <t>ART241125김행주1738</t>
  </si>
  <si>
    <t>황의환(ehhwang@kau.ac.kr)
comcenter@kau.ac.k</t>
  </si>
  <si>
    <t>인하공업전문대학 New Hanway 사용료(12월분)</t>
  </si>
  <si>
    <t>ART241130김행주1600</t>
  </si>
  <si>
    <t>조성일 , 서윤철
taxic@inhatc.ac.kr
2,837,640</t>
  </si>
  <si>
    <t>HX-999-99999-SELSLUG-414113-0000-V230001-000000-00000
HX-999-99999-SELSCIO-413141-0000-V230002-000000-00000
HX-999-99999-SELSLIN-413141-0000-V230003-000000-00000
HX-999-99999-SELSLIS-413141-0000-V230004-000000-00000</t>
  </si>
  <si>
    <t>인하대학교 New Hanway 사용료(12월분)</t>
  </si>
  <si>
    <t>ART241130김행주1605</t>
  </si>
  <si>
    <t>노영우
nyw707@inha.ac.kr
9,499,500</t>
  </si>
  <si>
    <t>정석인하학원 New Hanway 사용료(12월분)</t>
  </si>
  <si>
    <t>ART241130김행주1609</t>
  </si>
  <si>
    <t xml:space="preserve">강경화
kh.kang@e-foundation.or.kr
571,335
</t>
  </si>
  <si>
    <t>인하대학교의과대학부속병원</t>
  </si>
  <si>
    <t>이우진</t>
  </si>
  <si>
    <t>인하대병원 시스템 유지보수_2024년(12월)</t>
  </si>
  <si>
    <t>SELSLGI</t>
  </si>
  <si>
    <t>R240038</t>
  </si>
  <si>
    <t>ART241120김행주1636</t>
  </si>
  <si>
    <t>검수 jjoo@hist.co.kr 주재범
세금계산서 이재득 과장
jdlee0816@inhauh.com</t>
  </si>
  <si>
    <t>인하대병원 PACS 유지보수_2024년(12월)</t>
  </si>
  <si>
    <t>R240039</t>
  </si>
  <si>
    <t>ART241120김행주1650</t>
  </si>
  <si>
    <t>인하대병원 홈페이지 유지보수_2024년(12월)</t>
  </si>
  <si>
    <t>R240033</t>
  </si>
  <si>
    <t xml:space="preserve">ART241120김행주1659
                </t>
  </si>
  <si>
    <t>인천국제공항의원
(T1)</t>
  </si>
  <si>
    <t>인천국제공항의원(T1) 정보시스템 운영 및 유지보수(12월분)</t>
  </si>
  <si>
    <t>V210001</t>
  </si>
  <si>
    <t>ART241120김행주1702</t>
  </si>
  <si>
    <t>최기영 과장
iamc@inhauh.com</t>
  </si>
  <si>
    <t>인천국제공항의원
(T2)</t>
  </si>
  <si>
    <t>인천국제공항의원(T2) 정보시스템 운영 및 유지보수(12월분)</t>
  </si>
  <si>
    <t>ART241120김행주1704</t>
  </si>
  <si>
    <t>한진인천컨테이너터미널 통합인프라 운영 및 유지보수(12월분)</t>
  </si>
  <si>
    <t>R240049</t>
  </si>
  <si>
    <t xml:space="preserve">ART241130김행주1403
		</t>
  </si>
  <si>
    <t>거래명세서 양식 첨부</t>
  </si>
  <si>
    <t xml:space="preserve">it@hjit.co.kr </t>
  </si>
  <si>
    <t>R240050</t>
  </si>
  <si>
    <t>010-9936-6274</t>
  </si>
  <si>
    <t>SNA, 이프리키아, 엔키아 / 유클릭</t>
  </si>
  <si>
    <t>R240051</t>
  </si>
  <si>
    <t>넷팜, CMT / 락플레이스, 세중</t>
  </si>
  <si>
    <t>[2024] 한진칼, 한진그룹 통합 HR 확대 구축(중도금)</t>
  </si>
  <si>
    <t>R240062</t>
  </si>
  <si>
    <t>ART241031김행주1520</t>
  </si>
  <si>
    <t>- 계약금 : 60,000,000원,vat별도(30,000,000, 30,000,000)
- 10/31, 중도금, 70%, 30일이내 지급
- 12/31, 잔금, 30%</t>
  </si>
  <si>
    <t>이철주 차장
clee@hanjinkal.com, 010-4046-8747</t>
  </si>
  <si>
    <t>R240053</t>
  </si>
  <si>
    <t>한진택배 수지관리 방식 변경에 따른 시스템 구축(선금)</t>
  </si>
  <si>
    <t>SELSLGP</t>
  </si>
  <si>
    <t>P240005</t>
  </si>
  <si>
    <r>
      <rPr>
        <strike/>
        <sz val="9"/>
        <color rgb="FF0000FF"/>
        <rFont val="Arial"/>
        <family val="2"/>
      </rPr>
      <t>ART241125김행주1357</t>
    </r>
    <r>
      <rPr>
        <sz val="9"/>
        <color rgb="FF0000FF"/>
        <rFont val="Arial"/>
        <family val="2"/>
      </rPr>
      <t xml:space="preserve">
ART241125김행주1303
                </t>
    </r>
  </si>
  <si>
    <t>- 계약금 : 1,411,000,000원,vat별도
- 11/25(선금) : 282,200,000(착수일로부터 30일이내 지급)</t>
  </si>
  <si>
    <t xml:space="preserve"> 조관휘 과장
gwcho@hanjin.com 010-7156-1934</t>
  </si>
  <si>
    <t>한진 저유소 주유소 관리시스템 개발 사업(선금)</t>
  </si>
  <si>
    <t>R240064</t>
  </si>
  <si>
    <r>
      <rPr>
        <strike/>
        <sz val="9"/>
        <color rgb="FF0000FF"/>
        <rFont val="Arial"/>
        <family val="2"/>
      </rPr>
      <t>ART241125김행주1405</t>
    </r>
    <r>
      <rPr>
        <sz val="9"/>
        <color rgb="FF0000FF"/>
        <rFont val="Arial"/>
        <family val="2"/>
      </rPr>
      <t xml:space="preserve">
ART241125김행주1308</t>
    </r>
  </si>
  <si>
    <t>- 계약금 : 320,000,000원,vat별도
- 11/25(선금) : 160,000,000(착수일로부터 30일이내 지급)</t>
  </si>
  <si>
    <t>물류/글로벌DT지원팀 박제현 과장 (jhyeonpark@hanjin.com, 010-7120-1090)
에너지사업팀 이정봉 대리 jungblee@hanjin.com 010-9657-0611</t>
  </si>
  <si>
    <t>엘지씨엔에스</t>
  </si>
  <si>
    <t>※ 세금계산서 XML로 업로드</t>
  </si>
  <si>
    <t>[엘지씨엔에스] 대한항공 영종도 신엔진정비공장 스마트팩토리 인프라 구축(선금)
TaxInvoice_202411264100001158944866.xml</t>
  </si>
  <si>
    <t>R240068</t>
  </si>
  <si>
    <t>ART241126김행주0948
확정번호-2411-00159
증빙조회 : TaxInvoice_202411264100001158944866.xml</t>
  </si>
  <si>
    <t xml:space="preserve">- 계약금 : 2,483,389,000원,vat별도
- 11/26(선금) : 745,016,700(청구일로부터 15일이내 지급)
. lg구매시스템 : https://partnerplus.lgcns.com/lpp/home
※ 장희봉 계정 (rltod21 / admin747!Q)
※ 세금계산서 XML로 업로드
</t>
  </si>
  <si>
    <t>* 김민욱 책임(본 사업 총괄담당), 010-4727-4021, mukim@lgcns.com
* 안진완 선임(본 사업 업무담당), 010-9072-8341, jw.an@lgcns.com</t>
  </si>
  <si>
    <t>**부가세 제외</t>
  </si>
  <si>
    <t>박재민
jpark@hist.co.kr</t>
  </si>
  <si>
    <t>12월분_칼호텔네트워크(서귀포KAL호텔), 교환기 시스템 유지보수 사업</t>
  </si>
  <si>
    <t xml:space="preserve">ART241130김행주1421
                </t>
  </si>
  <si>
    <r>
      <rPr>
        <sz val="9"/>
        <color theme="1"/>
        <rFont val="Arial"/>
        <family val="2"/>
      </rPr>
      <t xml:space="preserve"> 1. 계 약 명 : [2024] 칼호텔네트워크(서귀포KAL호텔), 교환기 시스템 유지보수 사업
 2. 고 객 명 : 칼호텔네트워크(서귀포KAL호텔)
</t>
    </r>
    <r>
      <rPr>
        <sz val="9"/>
        <color rgb="FF0000FF"/>
        <rFont val="Arial"/>
        <family val="2"/>
      </rPr>
      <t xml:space="preserve"> 3. 계약기간 : 2024년 04월 01일 ~ 2025년 03월 31일 (1년)</t>
    </r>
    <r>
      <rPr>
        <sz val="9"/>
        <color theme="1"/>
        <rFont val="Arial"/>
        <family val="2"/>
      </rPr>
      <t xml:space="preserve">
 4. 계약금액 : 24,960,000원 (VAT 별도)
 5. 청구금액 : 2,080,000원 (VAT별도)</t>
    </r>
  </si>
  <si>
    <r>
      <rPr>
        <sz val="9"/>
        <color rgb="FF0000FF"/>
        <rFont val="Arial"/>
        <family val="2"/>
      </rPr>
      <t>수신 : 12월부</t>
    </r>
    <r>
      <rPr>
        <sz val="9"/>
        <color theme="1"/>
        <rFont val="Arial"/>
        <family val="2"/>
      </rPr>
      <t xml:space="preserve">
jsphtr@airtotalsvc.com
신덕규님, 전산담당
참조 : 현은자 차장(서귀포칼호텔)
cjuhta@airtotalsvc.com
064-730-9643
010-5693-5719"</t>
    </r>
  </si>
  <si>
    <t xml:space="preserve">12월분_그랜드하얏트인천 PABX 유지보수
</t>
  </si>
  <si>
    <t>R240044</t>
  </si>
  <si>
    <t xml:space="preserve">ART241201김행주1440
		</t>
  </si>
  <si>
    <r>
      <rPr>
        <sz val="9"/>
        <color theme="1"/>
        <rFont val="Arial"/>
        <family val="2"/>
      </rPr>
      <t xml:space="preserve"> 1. 계 약 명 : 그랜드하얏트인천 PABX 유지보수
 2. 고 객 명 : 칼호`</t>
    </r>
    <r>
      <rPr>
        <b/>
        <sz val="9"/>
        <color theme="1"/>
        <rFont val="Arial"/>
        <family val="2"/>
      </rPr>
      <t>24년 09월 01일 ~ 2025년 08월 31일 (1년)</t>
    </r>
    <r>
      <rPr>
        <sz val="9"/>
        <color theme="1"/>
        <rFont val="Arial"/>
        <family val="2"/>
      </rPr>
      <t xml:space="preserve">
 4. 계약금액 : 69,500,000원 (VAT 별도)
 5. 청구금액 : 5,791,667원 (VAT별도) - 9월분
</t>
    </r>
    <r>
      <rPr>
        <sz val="9"/>
        <color rgb="FFFF0000"/>
        <rFont val="Arial"/>
        <family val="2"/>
      </rPr>
      <t xml:space="preserve">      - 2024.09.01 ~ 2025.08.01 : 5,791,667원</t>
    </r>
    <r>
      <rPr>
        <sz val="9"/>
        <color theme="1"/>
        <rFont val="Arial"/>
        <family val="2"/>
      </rPr>
      <t xml:space="preserve">
      </t>
    </r>
    <r>
      <rPr>
        <sz val="9"/>
        <color rgb="FFFF00FF"/>
        <rFont val="Arial"/>
        <family val="2"/>
      </rPr>
      <t xml:space="preserve">- 2025.09.01 : 5,791,663원   </t>
    </r>
    <r>
      <rPr>
        <sz val="9"/>
        <color theme="1"/>
        <rFont val="Arial"/>
        <family val="2"/>
      </rPr>
      <t xml:space="preserve">            
       - 30 NET</t>
    </r>
  </si>
  <si>
    <t>박준선 IS 코디네이터
#1302 / junsun.park@hyatt.com,
hyattinche@naver.com</t>
  </si>
  <si>
    <t>이형기
hklee@hist.co.kr</t>
  </si>
  <si>
    <t>12월분_칼호텔네트워크 본사(OC) 정보시스템 서비스</t>
  </si>
  <si>
    <t>V240005</t>
  </si>
  <si>
    <t>ART241201김행주1443</t>
  </si>
  <si>
    <r>
      <rPr>
        <sz val="9"/>
        <color theme="1"/>
        <rFont val="Arial"/>
        <family val="2"/>
      </rPr>
      <t xml:space="preserve"> 1. 계 약 명 : 칼호텔네트워크 본사(OC) 정보시스템 서비스
 2. 계약기간 : 24</t>
    </r>
    <r>
      <rPr>
        <b/>
        <sz val="9"/>
        <color theme="1"/>
        <rFont val="Arial"/>
        <family val="2"/>
      </rPr>
      <t>년 04월 01일 ~ 2029년 03월 31일</t>
    </r>
    <r>
      <rPr>
        <sz val="9"/>
        <color theme="1"/>
        <rFont val="Arial"/>
        <family val="2"/>
      </rPr>
      <t xml:space="preserve">
 4. 계약금액 : 1,747,200원 (VAT 별도)
 5. 청구금액 : 월 164,887원 (VAT별도)
</t>
    </r>
  </si>
  <si>
    <t>조아라 대리(11월초까지 출산 휴가)
archo@kalhotelnetwork.com
김채원 사원
cwkim@kalhotelnetwork.com</t>
  </si>
  <si>
    <t>이형기
hklee@hist.co.kr</t>
  </si>
  <si>
    <r>
      <rPr>
        <sz val="9"/>
        <color theme="1"/>
        <rFont val="Arial"/>
        <family val="2"/>
      </rPr>
      <t xml:space="preserve">12월분_칼호텔네트워크 정보시스템 서비스
</t>
    </r>
    <r>
      <rPr>
        <sz val="9"/>
        <color rgb="FF0000FF"/>
        <rFont val="Arial"/>
        <family val="2"/>
      </rPr>
      <t xml:space="preserve">* 11월부터 7개 회선수 제외한 부분에 대해서만 청구
</t>
    </r>
    <r>
      <rPr>
        <sz val="9"/>
        <color theme="1"/>
        <rFont val="Arial"/>
        <family val="2"/>
      </rPr>
      <t xml:space="preserve">  - 교환기 종료
</t>
    </r>
  </si>
  <si>
    <t>ART241120김행주1439</t>
  </si>
  <si>
    <t xml:space="preserve"> 1. 계 약 명 : 칼호텔네트워크 정보시스템 서비스 (서귀포칼호텔)
 2. 계약기간 : 2024.10.01 ~ 2025.09.30 (12개월) 
 3. 계약금액 : 33,604,800원(VAT 별도)
 4. 청구금액 : 2,800,400원(VAT 별도)
 - V130010 : 13,966,800원(45%)
 - V130011 : 403,200원(20%)
 - V130012 : 19,234,800원(35%)</t>
  </si>
  <si>
    <r>
      <rPr>
        <sz val="9"/>
        <color rgb="FF0000FF"/>
        <rFont val="Arial"/>
        <family val="2"/>
      </rPr>
      <t>수신 : 12월부</t>
    </r>
    <r>
      <rPr>
        <sz val="9"/>
        <color theme="1"/>
        <rFont val="Arial"/>
        <family val="2"/>
      </rPr>
      <t xml:space="preserve">
jsphtr@airtotalsvc.com 
신덕규님 전산담당
참조 "현은자 차장(서귀포칼호텔)
cjuhta@airtotalsvc.com
064-730-9643
010-5693-5719"</t>
    </r>
  </si>
  <si>
    <t>10일</t>
  </si>
  <si>
    <t>12월분_기업전용회선 서비스용 트래픽 분석기 유지보수</t>
  </si>
  <si>
    <t>ART241211김행주1404</t>
  </si>
  <si>
    <r>
      <rPr>
        <sz val="9"/>
        <color theme="1"/>
        <rFont val="Arial"/>
        <family val="2"/>
      </rPr>
      <t xml:space="preserve"> 1. 계 약 명 : 기업전용회선 서비스용 트래픽 분석기 유지보수
 2. 발 주 처 : 에스케이브로드밴드㈜
</t>
    </r>
    <r>
      <rPr>
        <b/>
        <sz val="9"/>
        <color theme="1"/>
        <rFont val="Arial"/>
        <family val="2"/>
      </rPr>
      <t xml:space="preserve"> 3. 계약 기간 : 2024년 1월 1일 ~ 2024년 12월 31일 (12개월)</t>
    </r>
    <r>
      <rPr>
        <sz val="9"/>
        <color theme="1"/>
        <rFont val="Arial"/>
        <family val="2"/>
      </rPr>
      <t xml:space="preserve">
 4. 계약 금액 : 10,380,000원(VAT별도)
 5. 금회 청구 : 865,000원 (VAT별도) </t>
    </r>
  </si>
  <si>
    <t>최충권
felixchoi@sk.com
점검서일자로 청구</t>
  </si>
  <si>
    <t>15일</t>
  </si>
  <si>
    <t>김행주
hjkim00@hist.co.kr</t>
  </si>
  <si>
    <t>12월분_제주공항 MUSE 장비 운영 및 유지보수</t>
  </si>
  <si>
    <t>ART241115김행주1737</t>
  </si>
  <si>
    <r>
      <rPr>
        <sz val="9"/>
        <color theme="1"/>
        <rFont val="Arial"/>
        <family val="2"/>
      </rPr>
      <t xml:space="preserve">2023년 청구내역 요약(결재) 문서 첨부
 * 계약금액 : $ 14,149.38/월 (VAT별도)    
</t>
    </r>
    <r>
      <rPr>
        <b/>
        <sz val="9"/>
        <color theme="1"/>
        <rFont val="Arial"/>
        <family val="2"/>
      </rPr>
      <t xml:space="preserve"> * 계약기간 : 2023.8.1 ~ 2026.7.31(3년)</t>
    </r>
    <r>
      <rPr>
        <sz val="9"/>
        <color theme="1"/>
        <rFont val="Arial"/>
        <family val="2"/>
      </rPr>
      <t xml:space="preserve">
 * 금회청구 : 4,910,140원</t>
    </r>
  </si>
  <si>
    <t xml:space="preserve">김은성 부장
eunsung.kim@collins.com
</t>
  </si>
  <si>
    <t>12월분_김포공항 MUSE 장비 운영 및 유지보수</t>
  </si>
  <si>
    <t>ART241115김행주1743</t>
  </si>
  <si>
    <r>
      <rPr>
        <sz val="9"/>
        <color theme="1"/>
        <rFont val="Arial"/>
        <family val="2"/>
      </rPr>
      <t xml:space="preserve">2023년 청구내역 요약(결재) 문서 첨부
 * 계약금액 : $ 3,689.06/월 (VAT별도)    
</t>
    </r>
    <r>
      <rPr>
        <b/>
        <sz val="9"/>
        <color theme="1"/>
        <rFont val="Arial"/>
        <family val="2"/>
      </rPr>
      <t xml:space="preserve"> * 계약기간 : 2019.1.1 ~ 2024.12.31(년)</t>
    </r>
    <r>
      <rPr>
        <sz val="9"/>
        <color theme="1"/>
        <rFont val="Arial"/>
        <family val="2"/>
      </rPr>
      <t xml:space="preserve">
 * 금회청구 : 18,832,820원</t>
    </r>
  </si>
  <si>
    <t>김진유
jykim@hist.co.kr</t>
  </si>
  <si>
    <t>12월분_대한항공 방산망 DTS 서비스료</t>
  </si>
  <si>
    <t xml:space="preserve">* 계약 진행중 11월 이월 소급청구
ART241130김행주1509
</t>
  </si>
  <si>
    <r>
      <rPr>
        <sz val="9"/>
        <color theme="1"/>
        <rFont val="Arial"/>
        <family val="2"/>
      </rPr>
      <t xml:space="preserve">1. 계 약  명 : PC관리 서비스 (방산망 단말 대상)           
2. 계약업체 : 대한항공                    
3. 계약금액 : 8,720,000원/월(VAT별도)       
</t>
    </r>
    <r>
      <rPr>
        <b/>
        <sz val="9"/>
        <color theme="1"/>
        <rFont val="Arial"/>
        <family val="2"/>
      </rPr>
      <t>4. 계약기간 : 2018.10.01 ~ 2024.09.30 (6년)</t>
    </r>
    <r>
      <rPr>
        <sz val="9"/>
        <color theme="1"/>
        <rFont val="Arial"/>
        <family val="2"/>
      </rPr>
      <t xml:space="preserve">
5. 금회청구 :  9,388,000원(VAT별도)</t>
    </r>
  </si>
  <si>
    <t>임종화 대리
jhwalim@koreanair.com</t>
  </si>
  <si>
    <r>
      <rPr>
        <sz val="9"/>
        <color theme="1"/>
        <rFont val="Arial"/>
        <family val="2"/>
      </rPr>
      <t>12월분_대한항공 방산망 DTS 서비스료</t>
    </r>
    <r>
      <rPr>
        <b/>
        <sz val="9"/>
        <color theme="1"/>
        <rFont val="Arial"/>
        <family val="2"/>
      </rPr>
      <t>(차액)</t>
    </r>
  </si>
  <si>
    <t xml:space="preserve">* 10-11월 이월 소급 청구분
ART241130김행주1711
</t>
  </si>
  <si>
    <r>
      <rPr>
        <sz val="9"/>
        <color theme="1"/>
        <rFont val="Arial"/>
        <family val="2"/>
      </rPr>
      <t xml:space="preserve">1. 계 약  명 : PC관리 서비스 (방산망 단말 대상)           
2. 계약업체 : 대한항공                    
3. 계약금액 : 원/월(VAT별도)       
</t>
    </r>
    <r>
      <rPr>
        <b/>
        <sz val="9"/>
        <color theme="1"/>
        <rFont val="Arial"/>
        <family val="2"/>
      </rPr>
      <t>4. 계약기간 :  계약 완료에 따른 10-11월 2개월 차액 청구건</t>
    </r>
    <r>
      <rPr>
        <sz val="9"/>
        <color theme="1"/>
        <rFont val="Arial"/>
        <family val="2"/>
      </rPr>
      <t xml:space="preserve">
5. 금회청구 :  원(VAT별도)</t>
    </r>
  </si>
  <si>
    <t>임종화 대리
jhwalim@koreanair.com
02-2669-7212
010-4720-9889</t>
  </si>
  <si>
    <t>이재현
jaehlee@hist.co.kr</t>
  </si>
  <si>
    <t>12월분_토파스여행정보 네트워크, 보안 서비스</t>
  </si>
  <si>
    <t>ART241130김행주1414</t>
  </si>
  <si>
    <r>
      <rPr>
        <sz val="9"/>
        <color theme="1"/>
        <rFont val="Arial"/>
        <family val="2"/>
      </rPr>
      <t xml:space="preserve">1. 고 객 명 : 토파스여행정보㈜ 
2. 계 약 명 : 네트워크 서비스, 보안 서비스
3. 계약금액 : 359,540,000원(VAT별도)
</t>
    </r>
    <r>
      <rPr>
        <b/>
        <sz val="9"/>
        <color theme="1"/>
        <rFont val="Arial"/>
        <family val="2"/>
      </rPr>
      <t>4. 계약 기간 : 2024.01.01 ~ 2024.12.31 (12개월)</t>
    </r>
    <r>
      <rPr>
        <sz val="9"/>
        <color theme="1"/>
        <rFont val="Arial"/>
        <family val="2"/>
      </rPr>
      <t xml:space="preserve">
5. 청구 금액 : 매월변동 원(VAT별도)
  가. NW 서비스 : 21,689,757원
  나. 보안서비스 :  2,815,000원
       - 보안점검 서비스 : 855,000원
       - Application 보안 점검 툴 : 1,960,000원</t>
    </r>
  </si>
  <si>
    <t>이재호 부장
jaehlee@topas.net</t>
  </si>
  <si>
    <t>박재진
jjpark09@hist.co.kr</t>
  </si>
  <si>
    <t>12월분_진에어 네트워크 서비스 사용료</t>
  </si>
  <si>
    <t>ART241130김행주1534</t>
  </si>
  <si>
    <r>
      <rPr>
        <sz val="9"/>
        <color theme="1"/>
        <rFont val="Arial"/>
        <family val="2"/>
      </rPr>
      <t xml:space="preserve"> 1. 계 약 명 : 네트워크 서비스
</t>
    </r>
    <r>
      <rPr>
        <b/>
        <sz val="9"/>
        <color rgb="FFFF0000"/>
        <rFont val="Arial"/>
        <family val="2"/>
      </rPr>
      <t xml:space="preserve"> 2. 계약기간 : 2017.07.01 ~ 2024.06.30</t>
    </r>
    <r>
      <rPr>
        <sz val="9"/>
        <color theme="1"/>
        <rFont val="Arial"/>
        <family val="2"/>
      </rPr>
      <t xml:space="preserve">
 3. 계약금액 : 305,259,852원 (1년)
 4. 청구금액 : 26,488,109원(VAT별도)
  가. 네트워크 서비스 사용료 : 25,438,321원
  나. 마곡사옥 외 네트워크 서비스 변동내역 : 3,620,723원</t>
    </r>
  </si>
  <si>
    <t xml:space="preserve">인프라그룹
selxdig@jinair.com
</t>
  </si>
  <si>
    <t xml:space="preserve">
12월분_진에어 전산장비 유지보수료 청구</t>
  </si>
  <si>
    <t>ART241130김행주1538</t>
  </si>
  <si>
    <r>
      <rPr>
        <sz val="9"/>
        <color theme="1"/>
        <rFont val="Arial"/>
        <family val="2"/>
      </rPr>
      <t xml:space="preserve"> 1. 사 업 명 : 전산통신장비 유지보수
 2. 발 주 처 : (주)진에어
 3. 계 약 금 : 32,952,000원(VAT별도) (1년)
</t>
    </r>
    <r>
      <rPr>
        <b/>
        <sz val="9"/>
        <color rgb="FFFF0000"/>
        <rFont val="Arial"/>
        <family val="2"/>
      </rPr>
      <t xml:space="preserve"> 4. 계약기간 : 2017.07.01 ~ 2024.06.30 (3년)</t>
    </r>
    <r>
      <rPr>
        <sz val="9"/>
        <color theme="1"/>
        <rFont val="Arial"/>
        <family val="2"/>
      </rPr>
      <t xml:space="preserve">
 5. 청구금액 : 2,541,000원(VAT별도)</t>
    </r>
  </si>
  <si>
    <t>12월분_한진칼 IT서비스료 사용료</t>
  </si>
  <si>
    <r>
      <rPr>
        <sz val="9"/>
        <color rgb="FF0000FF"/>
        <rFont val="Arial"/>
        <family val="2"/>
      </rPr>
      <t xml:space="preserve">ART241130김행주1512
</t>
    </r>
    <r>
      <rPr>
        <b/>
        <sz val="9"/>
        <color rgb="FF0000FF"/>
        <rFont val="Arial"/>
        <family val="2"/>
      </rPr>
      <t>** 계산서 발행시 라인 2개로**</t>
    </r>
  </si>
  <si>
    <r>
      <rPr>
        <sz val="9"/>
        <color theme="1"/>
        <rFont val="Arial"/>
        <family val="2"/>
      </rPr>
      <t xml:space="preserve">1. 계 약 명 : 한진칼 IT서비스료 사용료
 2. 발 주 처 : ㈜ 한진칼
 3. 계약기간
</t>
    </r>
    <r>
      <rPr>
        <b/>
        <sz val="9"/>
        <color rgb="FFFF0000"/>
        <rFont val="Arial"/>
        <family val="2"/>
      </rPr>
      <t xml:space="preserve">  가. DTO : 2023.9.1 ~ 계약 해지 시점까지</t>
    </r>
    <r>
      <rPr>
        <sz val="9"/>
        <color theme="1"/>
        <rFont val="Arial"/>
        <family val="2"/>
      </rPr>
      <t xml:space="preserve">
  라. 네트워크 : 2023.8.1 ~ 2024.7.31 (12개월)
 </t>
    </r>
    <r>
      <rPr>
        <strike/>
        <sz val="9"/>
        <color theme="1"/>
        <rFont val="Arial"/>
        <family val="2"/>
      </rPr>
      <t xml:space="preserve"> 다. HANWAY : 2022.8.1 ~ 2023.07.31 (12개월)</t>
    </r>
    <r>
      <rPr>
        <sz val="9"/>
        <color theme="1"/>
        <rFont val="Arial"/>
        <family val="2"/>
      </rPr>
      <t xml:space="preserve">
 4. 계약금액 (VAT별도)
  가. DTO : </t>
    </r>
    <r>
      <rPr>
        <sz val="9"/>
        <color rgb="FFFF0000"/>
        <rFont val="Arial"/>
        <family val="2"/>
      </rPr>
      <t>변동금액</t>
    </r>
    <r>
      <rPr>
        <sz val="9"/>
        <color theme="1"/>
        <rFont val="Arial"/>
        <family val="2"/>
      </rPr>
      <t xml:space="preserve"> 
  나. 네트워크 : 8,244,000원 (년)
</t>
    </r>
    <r>
      <rPr>
        <strike/>
        <sz val="9"/>
        <color theme="1"/>
        <rFont val="Arial"/>
        <family val="2"/>
      </rPr>
      <t xml:space="preserve">  다. HANWAY : 9,000,000원 (년)</t>
    </r>
    <r>
      <rPr>
        <sz val="9"/>
        <color theme="1"/>
        <rFont val="Arial"/>
        <family val="2"/>
      </rPr>
      <t xml:space="preserve">
 5. 청구금액 : 2,977,210원(VAT별도)
  가. PC DTO 서비스료 : 2,255,500원  
  나. N/W 유지보수 서비스료 : 687,000원
</t>
    </r>
    <r>
      <rPr>
        <strike/>
        <sz val="9"/>
        <color theme="1"/>
        <rFont val="Arial"/>
        <family val="2"/>
      </rPr>
      <t xml:space="preserve">  다. 그룹웨어 서비스료 : 34,710원 (11,570원 X 3 ID)</t>
    </r>
  </si>
  <si>
    <t>엄민호 차장
mheom@hanjinkal.com
02-726-6402</t>
  </si>
  <si>
    <r>
      <rPr>
        <sz val="9"/>
        <color theme="1"/>
        <rFont val="Arial"/>
        <family val="2"/>
      </rPr>
      <t xml:space="preserve">12월분_대한항공씨앤디서비스 기내식 IT서비스
</t>
    </r>
    <r>
      <rPr>
        <sz val="9"/>
        <color rgb="FFFF00FF"/>
        <rFont val="Arial"/>
        <family val="2"/>
      </rPr>
      <t>매월 금액 변동(인보이스 사용금액 확인 후 말일자 발행)</t>
    </r>
  </si>
  <si>
    <t>ART241130김행주1446</t>
  </si>
  <si>
    <r>
      <rPr>
        <sz val="9"/>
        <color theme="1"/>
        <rFont val="Arial"/>
        <family val="2"/>
      </rPr>
      <t xml:space="preserve">1. 계 약 명 : 대한항공씨앤디서비스 기내식 IT서비스
</t>
    </r>
    <r>
      <rPr>
        <b/>
        <sz val="9"/>
        <color theme="1"/>
        <rFont val="Arial"/>
        <family val="2"/>
      </rPr>
      <t xml:space="preserve"> 2. 계약기간 : 2020.12.01 ~ 2025.11.30 (60개월)</t>
    </r>
    <r>
      <rPr>
        <sz val="9"/>
        <color theme="1"/>
        <rFont val="Arial"/>
        <family val="2"/>
      </rPr>
      <t xml:space="preserve">
 3. 계약금액 : 2,410,000,000원(VAT별도)
 4. 청구금액 : 55,485,775원(VAT별도)</t>
    </r>
  </si>
  <si>
    <t>박용성 대리
yspark@koreanaircnd.com
02-2-2656-5237
010-510-1239</t>
  </si>
  <si>
    <t>26일</t>
  </si>
  <si>
    <t>12월분_대한항공씨앤디서비스 기내식 IT 보안서비스</t>
  </si>
  <si>
    <t>ART241127김행주1105</t>
  </si>
  <si>
    <r>
      <rPr>
        <sz val="9"/>
        <color theme="1"/>
        <rFont val="Arial"/>
        <family val="2"/>
      </rPr>
      <t xml:space="preserve">1. 계 약 명 : 대한항공씨앤디서비스 기내식 IT 보안서비스 (인천,김포,부산)
</t>
    </r>
    <r>
      <rPr>
        <b/>
        <sz val="9"/>
        <color theme="1"/>
        <rFont val="Arial"/>
        <family val="2"/>
      </rPr>
      <t xml:space="preserve"> 2. 계약기간 : 2021.04.01 ~ 2026.03.31 (60개월)</t>
    </r>
    <r>
      <rPr>
        <sz val="9"/>
        <color theme="1"/>
        <rFont val="Arial"/>
        <family val="2"/>
      </rPr>
      <t xml:space="preserve">
  ** 21년 7월분부터 청구
 3. 계약금액 : 125,400,000원(VAT별도)
 4. 청구금액 : 2,090,000원(VAT별도)
  가. SDP : 620,000원
  나. NAC : 1,470,000원</t>
    </r>
  </si>
  <si>
    <t>이상준
sang-junlee@hist.co.kr</t>
  </si>
  <si>
    <t>12월분_아이에이티 네트워크 장비 및 회선 유지보수 사업
* 대표자 변경(24/11/26일)</t>
  </si>
  <si>
    <t xml:space="preserve">ART241130김행주
		</t>
  </si>
  <si>
    <r>
      <rPr>
        <sz val="9"/>
        <color theme="1"/>
        <rFont val="Arial"/>
        <family val="2"/>
      </rPr>
      <t xml:space="preserve">1. 계 약 명 : [2023] 아이에이티 네트워크 장비 및 회선 유지보수 사업
</t>
    </r>
    <r>
      <rPr>
        <b/>
        <sz val="9"/>
        <color rgb="FF0000FF"/>
        <rFont val="Arial"/>
        <family val="2"/>
      </rPr>
      <t xml:space="preserve"> 2. 계약기간 :</t>
    </r>
    <r>
      <rPr>
        <b/>
        <sz val="9"/>
        <color theme="1"/>
        <rFont val="Arial"/>
        <family val="2"/>
      </rPr>
      <t xml:space="preserve"> 2023.08.07 ~ 2026.08.06일(3년)</t>
    </r>
    <r>
      <rPr>
        <sz val="9"/>
        <color theme="1"/>
        <rFont val="Arial"/>
        <family val="2"/>
      </rPr>
      <t xml:space="preserve">
 3. 계약금액 : 86,005,000원(VAT별도)
 4. 청구금액 : </t>
    </r>
    <r>
      <rPr>
        <strike/>
        <sz val="9"/>
        <color rgb="FF666666"/>
        <rFont val="Arial"/>
        <family val="2"/>
      </rPr>
      <t xml:space="preserve">2,228,000원(VAT 별도),월(2023년8월~2023년12월, 5개월)
</t>
    </r>
    <r>
      <rPr>
        <sz val="9"/>
        <color rgb="FF666666"/>
        <rFont val="Arial"/>
        <family val="2"/>
      </rPr>
      <t xml:space="preserve">                      장비납품 지연 1개월 연장 청구(한성건과장), 계약서와 상이</t>
    </r>
    <r>
      <rPr>
        <sz val="9"/>
        <color theme="1"/>
        <rFont val="Arial"/>
        <family val="2"/>
      </rPr>
      <t xml:space="preserve">
                     </t>
    </r>
    <r>
      <rPr>
        <sz val="9"/>
        <color rgb="FF0000FF"/>
        <rFont val="Arial"/>
        <family val="2"/>
      </rPr>
      <t xml:space="preserve"> 2,415,000원(VAT 별도)</t>
    </r>
    <r>
      <rPr>
        <sz val="9"/>
        <color theme="1"/>
        <rFont val="Arial"/>
        <family val="2"/>
      </rPr>
      <t>,월(2024년2월~2026년7월, 31개월)</t>
    </r>
  </si>
  <si>
    <t>김기수 차장
kskim7810@naver.com</t>
  </si>
  <si>
    <t xml:space="preserve">12월분_휴데이터스 네트워크 서비스
</t>
  </si>
  <si>
    <t>ART241130김행주1521</t>
  </si>
  <si>
    <r>
      <rPr>
        <sz val="9"/>
        <color theme="1"/>
        <rFont val="Arial"/>
        <family val="2"/>
      </rPr>
      <t xml:space="preserve">1. 계 약 명 : 휴데이터스 네트워크 서비스
</t>
    </r>
    <r>
      <rPr>
        <sz val="9"/>
        <color rgb="FF0000FF"/>
        <rFont val="Arial"/>
        <family val="2"/>
      </rPr>
      <t xml:space="preserve"> </t>
    </r>
    <r>
      <rPr>
        <b/>
        <sz val="9"/>
        <color rgb="FF0000FF"/>
        <rFont val="Arial"/>
        <family val="2"/>
      </rPr>
      <t xml:space="preserve">2. 계약기간 : 2022.03.01 ~ 2025.02.28 (3년) </t>
    </r>
    <r>
      <rPr>
        <sz val="9"/>
        <color theme="1"/>
        <rFont val="Arial"/>
        <family val="2"/>
      </rPr>
      <t xml:space="preserve">
 3. 계약금액 : 5,904,000원(VAT 별도)
 4. 청구금액 : 164,000원(VAT 별도)</t>
    </r>
  </si>
  <si>
    <t>한지윤매니저
jyhan@hudaters.com
박민지매니저
mjpark@hudaters.com</t>
  </si>
  <si>
    <t>박재민
jpark@hist.co.kr</t>
  </si>
  <si>
    <t>12월분_한진 통합콜센터 운영서비스</t>
  </si>
  <si>
    <t>ART241130김행주1410</t>
  </si>
  <si>
    <r>
      <rPr>
        <sz val="9"/>
        <color theme="1"/>
        <rFont val="Arial"/>
        <family val="2"/>
      </rPr>
      <t xml:space="preserve">1. 계 약 명 : 한진 통합콜센터 운영서비스
</t>
    </r>
    <r>
      <rPr>
        <b/>
        <sz val="9"/>
        <color theme="1"/>
        <rFont val="Arial"/>
        <family val="2"/>
      </rPr>
      <t xml:space="preserve"> 2. 계약기간 : 2024.01.01 ~ 2024.12.31</t>
    </r>
    <r>
      <rPr>
        <sz val="9"/>
        <color theme="1"/>
        <rFont val="Arial"/>
        <family val="2"/>
      </rPr>
      <t xml:space="preserve">
 3. 계약금액 : 199,325,856원
    - NW : 167,129,136원(VAT 별도)
    - 클라우드 : 32,196,720(VAT 별도)
 4. 청구금액 :월 16,652,788원(VAT 별도), - 1~8월,</t>
    </r>
    <r>
      <rPr>
        <sz val="10"/>
        <color theme="1"/>
        <rFont val="Arial"/>
        <family val="2"/>
      </rPr>
      <t xml:space="preserve"> </t>
    </r>
    <r>
      <rPr>
        <b/>
        <sz val="10"/>
        <color rgb="FFFF0000"/>
        <rFont val="Arial"/>
        <family val="2"/>
      </rPr>
      <t>9~12월 : 16,525,888</t>
    </r>
  </si>
  <si>
    <t xml:space="preserve"> 배태원
tw.bae@hanjin.com</t>
  </si>
  <si>
    <t xml:space="preserve">최환식
hschoi@hanjin.com
 </t>
  </si>
  <si>
    <t>이상준
sang-junlee@hist.co.kr</t>
  </si>
  <si>
    <t>12월분_케이에비에이션 네트워크 구축 및 운영서비스</t>
  </si>
  <si>
    <t>ART241130김행주1523</t>
  </si>
  <si>
    <r>
      <rPr>
        <sz val="9"/>
        <color theme="1"/>
        <rFont val="Arial"/>
        <family val="2"/>
      </rPr>
      <t xml:space="preserve">1. 계 약 명 : 네트워크 구축 및 운영서비스
</t>
    </r>
    <r>
      <rPr>
        <b/>
        <sz val="9"/>
        <color theme="1"/>
        <rFont val="Arial"/>
        <family val="2"/>
      </rPr>
      <t xml:space="preserve"> 2. 계약기간 : 2022.10.01 ~ 2027.09.30</t>
    </r>
    <r>
      <rPr>
        <sz val="9"/>
        <color theme="1"/>
        <rFont val="Arial"/>
        <family val="2"/>
      </rPr>
      <t xml:space="preserve">
 3. 계약금액 : 원(VAT 별도)
 4. 청구금액 : 591,600원(VAT 별도)</t>
    </r>
  </si>
  <si>
    <t>경영지원 차규빈
selbzg@k-aviation.co.kr</t>
  </si>
  <si>
    <t>김성진
kims@hist.co.kr</t>
  </si>
  <si>
    <t>12월분_정석인하학원 DTO 서비스료</t>
  </si>
  <si>
    <t xml:space="preserve">ART241130김행주1532
                </t>
  </si>
  <si>
    <r>
      <rPr>
        <sz val="9"/>
        <color theme="1"/>
        <rFont val="Arial"/>
        <family val="2"/>
      </rPr>
      <t xml:space="preserve">"1. 계 약 명 : DTO 서비스 계약 
 2. 계약업체 : 정석인하학원 
 3. 계약기간 : 
  가. 2022.01.01 ~ 2025.12.30
  나. 2023.06.01 ~ 2027.05.31
</t>
    </r>
    <r>
      <rPr>
        <b/>
        <sz val="9"/>
        <color theme="1"/>
        <rFont val="Arial"/>
        <family val="2"/>
      </rPr>
      <t xml:space="preserve">  다. 2023.10.01 ~ 2027.09.30</t>
    </r>
    <r>
      <rPr>
        <sz val="9"/>
        <color theme="1"/>
        <rFont val="Arial"/>
        <family val="2"/>
      </rPr>
      <t xml:space="preserve">
4. 청구내역 : 공급 단말 수량 총 9대
  가. 데스크탑 : 3대(모니터 4대)
  나. 노트북 : 8대
   다. 태블릿 : 1대
 5. 금회지급 : 469,800원(VAT별도)</t>
    </r>
  </si>
  <si>
    <t>강경화
02-773-4284
kh.kang@e-foundation.or.kr</t>
  </si>
  <si>
    <t>12월분 한진 작업의뢰 공사대금 청구</t>
  </si>
  <si>
    <t xml:space="preserve">ART241130김행주1741
                </t>
  </si>
  <si>
    <r>
      <rPr>
        <sz val="9"/>
        <color theme="1"/>
        <rFont val="Arial"/>
        <family val="2"/>
      </rPr>
      <t xml:space="preserve">1. 계 약 명 : 한진 24년 11월 작업의뢰 공사대금
</t>
    </r>
    <r>
      <rPr>
        <b/>
        <sz val="9"/>
        <color theme="1"/>
        <rFont val="Arial"/>
        <family val="2"/>
      </rPr>
      <t xml:space="preserve">2. 계약기간 : 2024.11
</t>
    </r>
    <r>
      <rPr>
        <sz val="9"/>
        <color theme="1"/>
        <rFont val="Arial"/>
        <family val="2"/>
      </rPr>
      <t>3. 계약금액 : 원(VAT 별도)
4. 청구금액 : 732,,000원(VAT 별도)</t>
    </r>
  </si>
  <si>
    <t>12월분_한진 남서울 창고동 네트워크 철거 공사</t>
  </si>
  <si>
    <t>ART241126김행주1613</t>
  </si>
  <si>
    <r>
      <rPr>
        <sz val="9"/>
        <color theme="1"/>
        <rFont val="Arial"/>
        <family val="2"/>
      </rPr>
      <t xml:space="preserve">1. 계 약 명 : 한진 인천공항GDC 공사
</t>
    </r>
    <r>
      <rPr>
        <b/>
        <sz val="9"/>
        <color theme="1"/>
        <rFont val="Arial"/>
        <family val="2"/>
      </rPr>
      <t xml:space="preserve">2. 계약기간 : 2024.11.26
</t>
    </r>
    <r>
      <rPr>
        <sz val="9"/>
        <color theme="1"/>
        <rFont val="Arial"/>
        <family val="2"/>
      </rPr>
      <t>3. 계약금액 : 원(VAT 별도)
4. 청구금액 : 872,000원(VAT 별도)</t>
    </r>
  </si>
  <si>
    <t xml:space="preserve">김형렬과장
hy.kim@hanjin.com
010-9481-8111
한진 DT기획팀 유원무 차장
rwm98@hanjin.com 02-728-5704
</t>
  </si>
  <si>
    <t>12월분 한진 블랭크 이천물류 네트워크 철거 공사</t>
  </si>
  <si>
    <t xml:space="preserve">      ART241130김행주1651
		</t>
  </si>
  <si>
    <r>
      <rPr>
        <sz val="9"/>
        <color theme="1"/>
        <rFont val="Arial"/>
        <family val="2"/>
      </rPr>
      <t xml:space="preserve">1. 계 약 명 : 한진 블랭크 이천물류 네트워크 철거 공사
</t>
    </r>
    <r>
      <rPr>
        <b/>
        <sz val="9"/>
        <color theme="1"/>
        <rFont val="Arial"/>
        <family val="2"/>
      </rPr>
      <t xml:space="preserve">2. 계약기간 : 2024.11
</t>
    </r>
    <r>
      <rPr>
        <sz val="9"/>
        <color theme="1"/>
        <rFont val="Arial"/>
        <family val="2"/>
      </rPr>
      <t>3. 계약금액 : 원(VAT 별도)
4. 청구금액 : 1,804,000원(VAT 별도)</t>
    </r>
  </si>
  <si>
    <t xml:space="preserve">김용민
yongmkim@hanjin.com
</t>
  </si>
  <si>
    <t>12월분 JOC 6층 네트워크 신규 설치 공사</t>
  </si>
  <si>
    <t>V090052</t>
  </si>
  <si>
    <t>ART241112김행주1252</t>
  </si>
  <si>
    <r>
      <rPr>
        <sz val="9"/>
        <color theme="1"/>
        <rFont val="Arial"/>
        <family val="2"/>
      </rPr>
      <t xml:space="preserve">1. 계 약 명 : JOC 6층 네트워크 신규 설치 공사
</t>
    </r>
    <r>
      <rPr>
        <b/>
        <sz val="9"/>
        <color theme="1"/>
        <rFont val="Arial"/>
        <family val="2"/>
      </rPr>
      <t xml:space="preserve">2. 계약기간 : 2024.11.12
</t>
    </r>
    <r>
      <rPr>
        <sz val="9"/>
        <color theme="1"/>
        <rFont val="Arial"/>
        <family val="2"/>
      </rPr>
      <t>3. 계약금액 : 원(VAT 별도)
4. 청구금액 : 340,000원(VAT 별도)</t>
    </r>
  </si>
  <si>
    <t>총무지원팀 장한
hjang@jinair.com
박소희
parks@jinair.com</t>
  </si>
  <si>
    <t>12월분 JHQ 1층 네트워크 신규 설치 공사</t>
  </si>
  <si>
    <t>ART241107김행주1411</t>
  </si>
  <si>
    <r>
      <rPr>
        <sz val="9"/>
        <color theme="1"/>
        <rFont val="Arial"/>
        <family val="2"/>
      </rPr>
      <t xml:space="preserve">1. 계 약 명 : JOC 6층 네트워크 신규 설치 공사
</t>
    </r>
    <r>
      <rPr>
        <b/>
        <sz val="9"/>
        <color theme="1"/>
        <rFont val="Arial"/>
        <family val="2"/>
      </rPr>
      <t xml:space="preserve">2. 계약기간 : 2024.11.7
</t>
    </r>
    <r>
      <rPr>
        <sz val="9"/>
        <color theme="1"/>
        <rFont val="Arial"/>
        <family val="2"/>
      </rPr>
      <t>3. 계약금액 : 원(VAT 별도)
4. 청구금액 : 1,309,000원(VAT 별도)</t>
    </r>
  </si>
  <si>
    <t>오민석
moh@hist.co.kr</t>
  </si>
  <si>
    <t>12월분 한진관광 작업의뢰 공사대금 청구</t>
  </si>
  <si>
    <t xml:space="preserve">413111 
 시스템유지보수
</t>
  </si>
  <si>
    <t>V090009
V090053</t>
  </si>
  <si>
    <t>ART241031김행주1313</t>
  </si>
  <si>
    <r>
      <rPr>
        <strike/>
        <sz val="9"/>
        <color rgb="FF000000"/>
        <rFont val="Arial"/>
        <family val="2"/>
      </rPr>
      <t xml:space="preserve">1. 계 약 명 : 한진 24년 10월 작업의뢰 공사대금
</t>
    </r>
    <r>
      <rPr>
        <b/>
        <strike/>
        <sz val="9"/>
        <color rgb="FF000000"/>
        <rFont val="Arial"/>
        <family val="2"/>
      </rPr>
      <t xml:space="preserve">2. 계약기간 : 2024.10
</t>
    </r>
    <r>
      <rPr>
        <strike/>
        <sz val="9"/>
        <color rgb="FF000000"/>
        <rFont val="Arial"/>
        <family val="2"/>
      </rPr>
      <t>3. 계약금액 : 원(VAT 별도)
4. 청구금액 : 2,306,000원(VAT 별도)</t>
    </r>
  </si>
  <si>
    <t>경영관리팀 / 문용환 과장 ☎ 02-726-5547
yhmoon@kaltour.com 
서울 중구 소공로 88 한진빌딩 신관 9층 〒04532</t>
  </si>
  <si>
    <t>신무성
mshin@hist.co.kr</t>
  </si>
  <si>
    <t>12월분_대한항공 국내선 콜센터 도급비용 청구</t>
  </si>
  <si>
    <t>* 스마트빌 세금계산서 발행</t>
  </si>
  <si>
    <t xml:space="preserve">ㅇ 김창옥, 010 5017 8380 
cokim@koreanair.com
ㅇ 백선희, 010 8739 4131
 sheebaek@koreanair.com
</t>
  </si>
  <si>
    <t>12월분_대한항공 국제선주간/채팅 콜센터 도급비용 청구</t>
  </si>
  <si>
    <t>12월분_대한항공 국제선야간 콜센터 도급비용 청구</t>
  </si>
  <si>
    <t>12월분_인하대병원 유무선네트워크 ITO서비스</t>
  </si>
  <si>
    <t>ART241120이수임1416</t>
  </si>
  <si>
    <r>
      <rPr>
        <sz val="9"/>
        <color theme="1"/>
        <rFont val="Arial"/>
        <family val="2"/>
      </rPr>
      <t xml:space="preserve"> 1. 계 약 명 : 인하대병원 유무선네트워크 ITO서비스
 2. 발 주 처 : 인하대학교의과대학부속병원
 3. 계약금액 : 484,363,636원(VAT별도)
</t>
    </r>
    <r>
      <rPr>
        <b/>
        <sz val="9"/>
        <color rgb="FFFF0000"/>
        <rFont val="Arial"/>
        <family val="2"/>
      </rPr>
      <t xml:space="preserve"> 4. 계약기간 : 2023.04.01 ~ 2025.03.31 (24개월)  </t>
    </r>
    <r>
      <rPr>
        <sz val="9"/>
        <color theme="1"/>
        <rFont val="Arial"/>
        <family val="2"/>
      </rPr>
      <t xml:space="preserve">
 5. 금회청구 : 22,200,000원 (부가세포함)
                      </t>
    </r>
    <r>
      <rPr>
        <sz val="9"/>
        <color rgb="FF0000FF"/>
        <rFont val="Arial"/>
        <family val="2"/>
      </rPr>
      <t>*공급가액 : 20,181,818원 / 부가세 : 2,018,182원</t>
    </r>
  </si>
  <si>
    <t>주재범 검수확인서
jjoo@hist.co.kr</t>
  </si>
  <si>
    <r>
      <rPr>
        <sz val="9"/>
        <color theme="1"/>
        <rFont val="Arial"/>
        <family val="2"/>
      </rPr>
      <t xml:space="preserve">12월분_인하대병원(예방관리센터) DTO 서비스료
 검수확인서 전달 (신록 선생님)
</t>
    </r>
    <r>
      <rPr>
        <b/>
        <sz val="9"/>
        <color rgb="FFFF0000"/>
        <rFont val="Arial"/>
        <family val="2"/>
      </rPr>
      <t>변경 유무 김성진과장 문의</t>
    </r>
  </si>
  <si>
    <t>ART241120이수임1426</t>
  </si>
  <si>
    <r>
      <rPr>
        <sz val="9"/>
        <color theme="1"/>
        <rFont val="Arial"/>
        <family val="2"/>
      </rPr>
      <t xml:space="preserve">1. 계 약 명 : DTO 서비스 계약 
 2. 계약업체 : 인하대병원(예방관리센터) 
</t>
    </r>
    <r>
      <rPr>
        <b/>
        <sz val="9"/>
        <color rgb="FFFF0000"/>
        <rFont val="Arial"/>
        <family val="2"/>
      </rPr>
      <t xml:space="preserve"> 3. 계약기간 : 2019.11.01 ~ 2023.10.31</t>
    </r>
    <r>
      <rPr>
        <sz val="9"/>
        <color theme="1"/>
        <rFont val="Arial"/>
        <family val="2"/>
      </rPr>
      <t xml:space="preserve">
 4. 청구내역 : 공급 단말 수량 총 12대
  가. 데스크탑 : 12대
  나. 모니터    : 25대
 5. 금회청구 : 339,400원(VAT별도)</t>
    </r>
  </si>
  <si>
    <t xml:space="preserve">신록
shinrok711@naver.com
</t>
  </si>
  <si>
    <t>12월분_한진관광 네트워크 서비스</t>
  </si>
  <si>
    <t>ART241130이수임1105</t>
  </si>
  <si>
    <r>
      <rPr>
        <sz val="9"/>
        <color theme="1"/>
        <rFont val="Arial"/>
        <family val="2"/>
      </rPr>
      <t xml:space="preserve">1. 고 객 명 : 한진관광
 2. 계 약 명 : 한진관광 네트워크(인프라 Shared 서비스) 서비스
 3. 계약금액 : 110,676,000원 (연간 서비스요금, VAT 별도)
 3. 계약기간 : 2022년 1월 1일 ~ 2024년 12월 31일 (3년)
 4. 청구금액 : 9,423,500(VAT별도)
  가. 한진넷 서비스 : 9,223,500원
  나. 유지보수 서비스 
  - 회선 및 프린터 유지보수 : 200,000원
  다, </t>
    </r>
    <r>
      <rPr>
        <sz val="9"/>
        <color rgb="FFFF0000"/>
        <rFont val="Arial"/>
        <family val="2"/>
      </rPr>
      <t>★★★ 2023.6.30까지 감면 연장 : - 1,074,000원</t>
    </r>
  </si>
  <si>
    <t xml:space="preserve">"info@kaltour.com
 twjeong@kaltour.com
 정태원 대리"
</t>
  </si>
  <si>
    <t>한진관광
(종료)</t>
  </si>
  <si>
    <t>임민욱</t>
  </si>
  <si>
    <r>
      <rPr>
        <strike/>
        <sz val="9"/>
        <color theme="1"/>
        <rFont val="Arial"/>
        <family val="2"/>
      </rPr>
      <t xml:space="preserve">12월분_한진관광 그룹통합콜센터 시스템 서비스 사용료
매월 1일 전화통화료 취합
</t>
    </r>
    <r>
      <rPr>
        <b/>
        <strike/>
        <sz val="9"/>
        <color theme="1"/>
        <rFont val="Arial"/>
        <family val="2"/>
      </rPr>
      <t>2024-12-31일 종료 예정</t>
    </r>
  </si>
  <si>
    <t>ART240930이수임1443</t>
  </si>
  <si>
    <r>
      <rPr>
        <strike/>
        <sz val="9"/>
        <color theme="1"/>
        <rFont val="Arial"/>
        <family val="2"/>
      </rPr>
      <t xml:space="preserve">1. 계 약 명 : 한진관광 그룹통합콜센터 시스템 서비스 사용료
 2. 발 주 처 : 한진관광
 3. 계약금액 : 450,000,000원(VAT별도) 
</t>
    </r>
    <r>
      <rPr>
        <strike/>
        <sz val="9"/>
        <color rgb="FFFF0000"/>
        <rFont val="Arial"/>
        <family val="2"/>
      </rPr>
      <t xml:space="preserve"> 4. 계약기간 : 2018.09.01 ~ 2023.08.31 (5년) </t>
    </r>
    <r>
      <rPr>
        <strike/>
        <sz val="9"/>
        <color theme="1"/>
        <rFont val="Arial"/>
        <family val="2"/>
      </rPr>
      <t xml:space="preserve">
 5. 청구금액 : 8,081,879원(VAT별도)
  가. 인프라 시스템 (고정) : 3,105,000원
  나. 인프라 전용회선 (고정) : 1,800,000원
  다. 콜센터 운영비 (고정) : 1,545,000원
  라. </t>
    </r>
    <r>
      <rPr>
        <strike/>
        <sz val="9"/>
        <color rgb="FF0000FF"/>
        <rFont val="Arial"/>
        <family val="2"/>
      </rPr>
      <t>통신비 (기본료, 대표번호1566, 아웃바운드 콜) : 1,631,879원</t>
    </r>
  </si>
  <si>
    <t>info@kaltour.com
문용환 과장
 - e mail : yhmoon@kaltour.com
 - 내선 : 02 726 5547</t>
  </si>
  <si>
    <t>김성진
이상준
sang-junlee@hist.co.kr</t>
  </si>
  <si>
    <r>
      <rPr>
        <sz val="9"/>
        <color theme="1"/>
        <rFont val="Arial"/>
        <family val="2"/>
      </rPr>
      <t xml:space="preserve">12월분_에어코리아 전산 통신 유지보수료 청구
</t>
    </r>
    <r>
      <rPr>
        <b/>
        <sz val="9"/>
        <color rgb="FF0000FF"/>
        <rFont val="Arial"/>
        <family val="2"/>
      </rPr>
      <t>7월분 추가 금액 8월 소급 정산 요망(김성진 과장)</t>
    </r>
  </si>
  <si>
    <t>ART241130이수임1405</t>
  </si>
  <si>
    <r>
      <rPr>
        <sz val="9"/>
        <color theme="1"/>
        <rFont val="Arial"/>
        <family val="2"/>
      </rPr>
      <t xml:space="preserve">1. 계 약 명 : 전산 통신 유지보수료 청구
 2. 발 주 처 : 에어코리아
 3. 계약금액 : 3,696,0000원 / 년 (VAT 별도) 
   가. PC DTO 서비스료 : 4,000,000원
        (21년 9월 ~ 22년 8월)  
   나. 인터넷회선 유지보수료 : 110,000원 
   다. NW 회선 서비스료 : 910,000원
 </t>
    </r>
    <r>
      <rPr>
        <i/>
        <strike/>
        <sz val="9"/>
        <color theme="1"/>
        <rFont val="Arial"/>
        <family val="2"/>
      </rPr>
      <t xml:space="preserve">  라. 온디맨드 서비스료 : 588,950원
        (22년 6월까지)- 9월분부터 끝   </t>
    </r>
    <r>
      <rPr>
        <sz val="9"/>
        <color theme="1"/>
        <rFont val="Arial"/>
        <family val="2"/>
      </rPr>
      <t xml:space="preserve"> 
  4. 계약기간 : 2009.07.01 ~ 2010.06.30 / 자동연장 
 5. 당월 청구금액 : 5,794,300원(VAT별도)</t>
    </r>
  </si>
  <si>
    <t xml:space="preserve">"김유리
 tax@airkorea.biz
 ★★★★★
 인보이스"
</t>
  </si>
  <si>
    <t>12월분_한진 Total 아웃소싱_NW</t>
  </si>
  <si>
    <t>ART241130이수임1719</t>
  </si>
  <si>
    <r>
      <rPr>
        <sz val="9"/>
        <color theme="1"/>
        <rFont val="Arial"/>
        <family val="2"/>
      </rPr>
      <t xml:space="preserve">1. 계 약 명 : ㈜한진 Total 아웃소싱 
</t>
    </r>
    <r>
      <rPr>
        <sz val="9"/>
        <color rgb="FFFF0000"/>
        <rFont val="Arial"/>
        <family val="2"/>
      </rPr>
      <t xml:space="preserve"> 2. 계약기간 : 2024.01.01 ~ 2024.12.31 (1년) </t>
    </r>
    <r>
      <rPr>
        <sz val="9"/>
        <color theme="1"/>
        <rFont val="Arial"/>
        <family val="2"/>
      </rPr>
      <t xml:space="preserve">
 3. 계약금액 : 6,288,444,000원(VAT 별도)
 4. 청구금액 : 210,895,974VAT 별도)
  가. 데이터센터 운영 (고정) : 47,712,300원
  나. 한진넷 서비스 (변동) : 136,120,253원
  다. 통신장비 유지보수료(고정) : 20,563,421원 
  라. 보안 서비스(고정) : -4,000,000원
  마. Application 보안점검 (변동) : 2,500,000원
  (1) 월간(소스코드 보안취약점 점검서비스) : 2,500,000원 
  (2) 분기(웹사이트 보안취약점 점검서비스) : 12,500,000원
  (3,6,9,12월 분기 청구)</t>
    </r>
  </si>
  <si>
    <t>김형렬과장
hy.kim@hanjin.com</t>
  </si>
  <si>
    <t xml:space="preserve">V210007	</t>
  </si>
  <si>
    <t>12월분_한진 Total 아웃소싱_IT서비스센터</t>
  </si>
  <si>
    <t>ART241130이수임1723</t>
  </si>
  <si>
    <t xml:space="preserve"> 1. 계약기간 : 2024.01.01 ~ 2024.12.31 (1년) </t>
  </si>
  <si>
    <t>12월분_한진 Total 아웃소싱_ServiceHelpDesk</t>
  </si>
  <si>
    <t>ART241130이수임1732</t>
  </si>
  <si>
    <t xml:space="preserve">조성호
sunghocho@hist.co.kr
</t>
  </si>
  <si>
    <t>12월분_㈜한진 ERP 유지보수 및 INFRA서비스</t>
  </si>
  <si>
    <t>ART241130이수임1656</t>
  </si>
  <si>
    <r>
      <rPr>
        <sz val="9"/>
        <color theme="1"/>
        <rFont val="Arial"/>
        <family val="2"/>
      </rPr>
      <t xml:space="preserve">1. 사 업  명 : ERP 유지보수
2. 발 주  처 : ㈜한진
3. 계 약  금 : 183,216,000원
</t>
    </r>
    <r>
      <rPr>
        <sz val="9"/>
        <color rgb="FFFF0000"/>
        <rFont val="Arial"/>
        <family val="2"/>
      </rPr>
      <t xml:space="preserve"> 2. 계약기간 : 2024.01.01 ~ 2024.12.31 (1년) </t>
    </r>
    <r>
      <rPr>
        <sz val="9"/>
        <color theme="1"/>
        <rFont val="Arial"/>
        <family val="2"/>
      </rPr>
      <t xml:space="preserve">
5. 금월청구 : 18,115,728원(VAT별도)
   가. ERP 서비스 : 15,649,728원
   나. 보안 서비스 :    966,000원
   다. 운영 서비스 :   3,000,000원 (7월 50%)</t>
    </r>
  </si>
  <si>
    <t>rwm98@hanjin.com,hy.kim@hanjin.com</t>
  </si>
  <si>
    <t>12월분 한국공항 정보시스템 서비스료 청구</t>
  </si>
  <si>
    <t>ART241130이수임1043</t>
  </si>
  <si>
    <t>H-SSO사용료 2022년1월1일 ~ 2026년12월31일(5년)</t>
  </si>
  <si>
    <t>정현웅</t>
  </si>
  <si>
    <t>Server On-Demend 서비스료 -ERP Tax Solution</t>
  </si>
  <si>
    <t>조성호</t>
  </si>
  <si>
    <t>N/W 서비스료</t>
  </si>
  <si>
    <t>오민석</t>
  </si>
  <si>
    <t>단말장비 유지보수 서비스료</t>
  </si>
  <si>
    <t>PC DTO 서비스료</t>
  </si>
  <si>
    <t>김성진</t>
  </si>
  <si>
    <t>12월분 한국공항 정보보호 서비스료 청구</t>
  </si>
  <si>
    <t>ART241130이수임1051</t>
  </si>
  <si>
    <t>N/W 보안 서비스료</t>
  </si>
  <si>
    <t>이완희</t>
  </si>
  <si>
    <t>Application 보안점검서비스</t>
  </si>
  <si>
    <t>12월분 한국공항 시스템 유지보수 도급비</t>
  </si>
  <si>
    <t>ART241130이수임1058</t>
  </si>
  <si>
    <t>김현주</t>
  </si>
  <si>
    <t>김행주(스마트빌)</t>
  </si>
  <si>
    <t>ID : Hist-20181</t>
  </si>
  <si>
    <r>
      <rPr>
        <sz val="9"/>
        <color theme="1"/>
        <rFont val="Arial"/>
        <family val="2"/>
      </rPr>
      <t xml:space="preserve">PW : </t>
    </r>
    <r>
      <rPr>
        <b/>
        <sz val="9"/>
        <color theme="1"/>
        <rFont val="Arial"/>
        <family val="2"/>
      </rPr>
      <t>nw46253*</t>
    </r>
    <r>
      <rPr>
        <sz val="9"/>
        <color theme="1"/>
        <rFont val="Arial"/>
        <family val="2"/>
      </rPr>
      <t xml:space="preserve"> -&gt; 발송(인증) : hist2018146253</t>
    </r>
  </si>
  <si>
    <t>국세청 홈택스</t>
  </si>
  <si>
    <t>HIST 인증서</t>
  </si>
  <si>
    <t>hist2018146253</t>
  </si>
  <si>
    <t>전자세금계산서발행</t>
  </si>
  <si>
    <t>ID-hjkim00@hist.co.kr</t>
  </si>
  <si>
    <t>▶ PJT목록 List</t>
  </si>
  <si>
    <t>PJT명</t>
  </si>
  <si>
    <t>관리부서</t>
  </si>
  <si>
    <t>시작일</t>
  </si>
  <si>
    <t>종료일</t>
  </si>
  <si>
    <t>계약금</t>
  </si>
  <si>
    <t>PM</t>
  </si>
  <si>
    <t>영업담당</t>
  </si>
  <si>
    <t>고객명</t>
  </si>
  <si>
    <t>세부진행상태</t>
  </si>
  <si>
    <t>산업군</t>
  </si>
  <si>
    <t>수익유형</t>
  </si>
  <si>
    <t>사업유형</t>
  </si>
  <si>
    <t>고객유형</t>
  </si>
  <si>
    <t>재무계정</t>
  </si>
  <si>
    <t>V70004_</t>
  </si>
  <si>
    <t>유니컨버스 환경구축(X)</t>
  </si>
  <si>
    <t>데이터센터그룹</t>
  </si>
  <si>
    <t>전병을</t>
  </si>
  <si>
    <t>유니컨버스(주)</t>
  </si>
  <si>
    <t>종료</t>
  </si>
  <si>
    <t>기타</t>
  </si>
  <si>
    <t>인프라운영</t>
  </si>
  <si>
    <t>데이터센터운영</t>
  </si>
  <si>
    <t>기타그룹사</t>
  </si>
  <si>
    <t>V240016</t>
  </si>
  <si>
    <t>[2024] 한국토요타자동차, AWS 커넥티드카 TSP 인프라 구성 (네트워크그룹)</t>
  </si>
  <si>
    <t>ITO사업팀</t>
  </si>
  <si>
    <t>김준태</t>
  </si>
  <si>
    <t>한국토요타자동차</t>
  </si>
  <si>
    <t>등록 작성완료</t>
  </si>
  <si>
    <t>DT사업</t>
  </si>
  <si>
    <t>클라우드</t>
  </si>
  <si>
    <t>민간기업</t>
  </si>
  <si>
    <t>V240015</t>
  </si>
  <si>
    <t>[2024] 한국토요타자동차, AWS 커넥티드카 TSP 인프라 구성 (ITO사업팀)</t>
  </si>
  <si>
    <t>박한아</t>
  </si>
  <si>
    <t>V240014</t>
  </si>
  <si>
    <t>[2024] 대한항공, 네트워크센터 아웃소싱 사업</t>
  </si>
  <si>
    <t>네트워크그룹</t>
  </si>
  <si>
    <t>윤상필</t>
  </si>
  <si>
    <t>항공</t>
  </si>
  <si>
    <t>토탈인프라운영</t>
  </si>
  <si>
    <t>NW아웃소싱</t>
  </si>
  <si>
    <t>V240013</t>
  </si>
  <si>
    <t>[2024] 한진칼, AWS 클라우드 서비스_그룹 IT 보안 플랫폼 운영 및 유지보수 사업 (보안그룹)</t>
  </si>
  <si>
    <t>V240012</t>
  </si>
  <si>
    <t>[2024] 한진칼, AWS 클라우드 서비스_그룹 IT 보안 플랫폼 운영 및 유지보수 사업 (네트워크그룹)</t>
  </si>
  <si>
    <t>박재진</t>
  </si>
  <si>
    <t>V240011</t>
  </si>
  <si>
    <t>[2024] 한진칼, AWS 클라우드 서비스_그룹 IT 보안 플랫폼 운영 및 유지보수 사업 (ITO사업팀)</t>
  </si>
  <si>
    <t>김창규</t>
  </si>
  <si>
    <t>V240010</t>
  </si>
  <si>
    <t>[2024] 토파스, AWS 클라우드 서비스_모두투어 AWS 인프라 구성 (보안그룹)</t>
  </si>
  <si>
    <t>보안그룹</t>
  </si>
  <si>
    <t>박현미</t>
  </si>
  <si>
    <t>여행</t>
  </si>
  <si>
    <t>V240009</t>
  </si>
  <si>
    <t>[2024] 토파스, AWS 클라우드 서비스_모두투어 AWS 인프라 구성 (네트워크그룹)</t>
  </si>
  <si>
    <t>이재현</t>
  </si>
  <si>
    <t>V240008</t>
  </si>
  <si>
    <t>[2024] 토파스, AWS 클라우드 서비스_모두투어 AWS 인프라 구성 (ITO사업팀)</t>
  </si>
  <si>
    <t>전형빈</t>
  </si>
  <si>
    <t>V240007</t>
  </si>
  <si>
    <t>[2024] Swit 라이선스 공급 및 운영 서비스 대내 사업</t>
  </si>
  <si>
    <t>범용솔루션그룹</t>
  </si>
  <si>
    <t>이달님</t>
  </si>
  <si>
    <t>정인수</t>
  </si>
  <si>
    <t>솔루션사업</t>
  </si>
  <si>
    <t>기타솔루션</t>
  </si>
  <si>
    <t>[2024] (주)한진, 대전 메가허브터미널 무선 네트워크 구축 및 운영 서비스</t>
  </si>
  <si>
    <t>물류</t>
  </si>
  <si>
    <t>[2024] 칼호텔네트워크, 본사 정보시스템 서비스</t>
  </si>
  <si>
    <t>이형기</t>
  </si>
  <si>
    <t>최윤창</t>
  </si>
  <si>
    <t>네트워크운영</t>
  </si>
  <si>
    <t>V240004</t>
  </si>
  <si>
    <t>[2024] 대한항공, 일정관리 시스템 운영서비스</t>
  </si>
  <si>
    <t>정진성</t>
  </si>
  <si>
    <t>김구영</t>
  </si>
  <si>
    <t>V240003</t>
  </si>
  <si>
    <t>[2024] 대한항공, 방산보안 운영 인프라 서비스 (클라우드사업팀)</t>
  </si>
  <si>
    <t>조영탁</t>
  </si>
  <si>
    <t>V240002</t>
  </si>
  <si>
    <t>[2024] 대한항공, 방산보안 운영 인프라 서비스 (KE NOS그룹)</t>
  </si>
  <si>
    <t>V240001</t>
  </si>
  <si>
    <t>[2024] 한진칼, 그룹통합 HR서비스 유지보수 사업</t>
  </si>
  <si>
    <t>ERP/HR그룹</t>
  </si>
  <si>
    <t>고영석</t>
  </si>
  <si>
    <t>이재철</t>
  </si>
  <si>
    <t>V230023</t>
  </si>
  <si>
    <t>[2024] 한진칼, GCP 클라우드 서비스</t>
  </si>
  <si>
    <t>박진수</t>
  </si>
  <si>
    <t>V230022</t>
  </si>
  <si>
    <t>[2023] 한국공항, RPA구축 및 운영서비스</t>
  </si>
  <si>
    <t>유인목</t>
  </si>
  <si>
    <t>김충식</t>
  </si>
  <si>
    <t>V230021</t>
  </si>
  <si>
    <t>[2023] 왕산레저개발, AWS 클라우드 서비스 (보안그룹)</t>
  </si>
  <si>
    <t>김동욱</t>
  </si>
  <si>
    <t>왕산레저개발</t>
  </si>
  <si>
    <t>V230020</t>
  </si>
  <si>
    <t>[2023] 왕산레저개발, AWS 클라우드 서비스 (NW그룹)</t>
  </si>
  <si>
    <t>V230019</t>
  </si>
  <si>
    <t>[2023] 왕산레저개발, AWS 클라우드 서비스 (클라우드서비스그룹)</t>
  </si>
  <si>
    <t>V230018</t>
  </si>
  <si>
    <t>[2023] 한진상해법인, 해외법인 12개사 AWS 클라우드 서비스</t>
  </si>
  <si>
    <t>한진택배그룹</t>
  </si>
  <si>
    <t>백승용</t>
  </si>
  <si>
    <t>한진상해법인</t>
  </si>
  <si>
    <t>V230017</t>
  </si>
  <si>
    <t>[2023] 한국글로발로지스틱스시스템, AWS 클라우드 서비스 (보안그룹)</t>
  </si>
  <si>
    <t>한국글로발로지스틱스시스템</t>
  </si>
  <si>
    <t>V230016</t>
  </si>
  <si>
    <t>[2023] 한국글로발로지스틱스시스템, AWS 클라우드 서비스 (NW그룹)</t>
  </si>
  <si>
    <t>한성건</t>
  </si>
  <si>
    <t>V230015</t>
  </si>
  <si>
    <t>[2023] 한국글로발로지스틱스시스템, AWS 클라우드 서비스 (클라우드서비스그룹)</t>
  </si>
  <si>
    <t>권오현</t>
  </si>
  <si>
    <t>V230014</t>
  </si>
  <si>
    <t>[2023] 케이에비에이션, AWS 클라우드 서비스 (보안그룹)</t>
  </si>
  <si>
    <t>V230013</t>
  </si>
  <si>
    <t>[2023] 케이에비에이션, AWS 클라우드 서비스 (NW그룹)</t>
  </si>
  <si>
    <t>V230012</t>
  </si>
  <si>
    <t>[2023] 케이에비에이션, AWS 클라우드 서비스 (클라우드서비스그룹)</t>
  </si>
  <si>
    <t>V230011</t>
  </si>
  <si>
    <t>[2023] 대한항공 방산망 KMS 서버 인프라 서비스 사업</t>
  </si>
  <si>
    <t>On_Demand</t>
  </si>
  <si>
    <t>V230010</t>
  </si>
  <si>
    <t>[2023] Swit 라이선스 공급 및 운영 서비스 대외 사업</t>
  </si>
  <si>
    <t>인터커머스코리아</t>
  </si>
  <si>
    <t>V230009</t>
  </si>
  <si>
    <t>[2023] 케이에비에이션 DTO 서비스</t>
  </si>
  <si>
    <t>김태광</t>
  </si>
  <si>
    <t>단말장비운영</t>
  </si>
  <si>
    <t>DTS/DTO</t>
  </si>
  <si>
    <t>[2023] 삼성에스디에스, 대한항공 Modernization 및 AO 사업</t>
  </si>
  <si>
    <t>대한항공관리그룹</t>
  </si>
  <si>
    <t>이민호</t>
  </si>
  <si>
    <t>삼성에스디에스</t>
  </si>
  <si>
    <t>APP운영</t>
  </si>
  <si>
    <t>SM</t>
  </si>
  <si>
    <t>V230007</t>
  </si>
  <si>
    <t>[2023] 엘지씨엔에스, 대한항공 Application Management Outsourcing 사업 (UX/UI그룹)</t>
  </si>
  <si>
    <t>UX/UI</t>
  </si>
  <si>
    <t>[2023] 엘지씨엔에스, 대한항공 Application Management Outsourcing 사업</t>
  </si>
  <si>
    <t>V230005</t>
  </si>
  <si>
    <t>[2023] 학원/병원, 구글 GWS 서비스 공급 사업</t>
  </si>
  <si>
    <t>김성훈</t>
  </si>
  <si>
    <t>의료</t>
  </si>
  <si>
    <t>GWS</t>
  </si>
  <si>
    <t>[2023] 학원/병원, 그룹웨어시스템 AWS 클라우드 서비스 (보안그룹)</t>
  </si>
  <si>
    <t>[2023] 학원/병원, 그룹웨어시스템 AWS 클라우드 서비스 (NW그룹)</t>
  </si>
  <si>
    <t>[2023] 학원/병원, 그룹웨어시스템 AWS 클라우드 서비스 (데이터센터그룹)</t>
  </si>
  <si>
    <t>[2022] 학원/병원, New HANWAY(한웨이) 운영 유지보수 서비스</t>
  </si>
  <si>
    <t>그룹웨어그룹</t>
  </si>
  <si>
    <t>학원</t>
  </si>
  <si>
    <t>그룹웨어운영</t>
  </si>
  <si>
    <t>그룹웨어</t>
  </si>
  <si>
    <t>[2022] 한국공항, AWS 클라우드 서비스 (보안그룹)</t>
  </si>
  <si>
    <t>공항</t>
  </si>
  <si>
    <t>[2022] 한국공항, AWS 클라우드 서비스 (NW그룹)</t>
  </si>
  <si>
    <t>노종수</t>
  </si>
  <si>
    <t>V220036</t>
  </si>
  <si>
    <t>[2022] 한국공항, AWS 클라우드 서비스 (데이터센터그룹)</t>
  </si>
  <si>
    <t>V220035</t>
  </si>
  <si>
    <t>[2022] 인하대병원, RPA구축 및 운영서비스</t>
  </si>
  <si>
    <t>김준호</t>
  </si>
  <si>
    <t>[2022] 케이에비에이션, 네트워크 환경 구축 및 운영서비스</t>
  </si>
  <si>
    <t>V220033</t>
  </si>
  <si>
    <t>[2022] (주)한진, iCheck 운영 및 유지보수 서비스</t>
  </si>
  <si>
    <t>박재연</t>
  </si>
  <si>
    <t>V220032</t>
  </si>
  <si>
    <t>[2022] 인천글로벌물류센터, AWS 클라우드 서비스 (보안그룹)</t>
  </si>
  <si>
    <t>인천글로벌물류센터</t>
  </si>
  <si>
    <t>V220031</t>
  </si>
  <si>
    <t>[2022] 인천글로벌물류센터, AWS 클라우드 서비스 (NW그룹)</t>
  </si>
  <si>
    <t>V220030</t>
  </si>
  <si>
    <t>[2022] 인천글로벌물류센터, AWS 클라우드 서비스 (데이터센터그룹)</t>
  </si>
  <si>
    <t>V220029</t>
  </si>
  <si>
    <t>[2022] 에어코리아, AWS 클라우드 서비스 (보안그룹)</t>
  </si>
  <si>
    <t>주식회사 에어코리아</t>
  </si>
  <si>
    <t>V220028</t>
  </si>
  <si>
    <t>[2022] 에어코리아, AWS 클라우드 서비스 (NW그룹)</t>
  </si>
  <si>
    <t>V220027</t>
  </si>
  <si>
    <t>[2022] 에어코리아, AWS 클라우드 서비스 (데이터센터그룹)</t>
  </si>
  <si>
    <t>권창원</t>
  </si>
  <si>
    <t>V220026</t>
  </si>
  <si>
    <t>[2022] 한진관광, AWS 클라우드 서비스 (보안그룹)</t>
  </si>
  <si>
    <t>V220025</t>
  </si>
  <si>
    <t>[2022] 한진관광, AWS 클라우드 서비스 (NW그룹)</t>
  </si>
  <si>
    <t>V220024</t>
  </si>
  <si>
    <t>[2022] 한진관광, AWS 클라우드 서비스 (데이터센터그룹)</t>
  </si>
  <si>
    <t>길도형</t>
  </si>
  <si>
    <t>[2022] 한진인천컨테이너터미널, New HANWAY AWS Infra 비용 배부</t>
  </si>
  <si>
    <t>[2022] 싸이버스카이, New HANWAY AWS Infra 비용 배부</t>
  </si>
  <si>
    <t>[2022] 진에어, New HANWAY AWS Infra 비용 배부</t>
  </si>
  <si>
    <t>[2022] 정석기업, New HANWAY AWS Infra 비용 배부</t>
  </si>
  <si>
    <t>정석기업</t>
  </si>
  <si>
    <t>[2022] (주)한진, New HANWAY AWS Infra 비용 배부</t>
  </si>
  <si>
    <t>[2022] 토파스, New HANWAY AWS Infra 비용 배부</t>
  </si>
  <si>
    <t>[2022] 휴데이터스, 네트워크 서비스</t>
  </si>
  <si>
    <t>V220016</t>
  </si>
  <si>
    <t>[2023] 한진인천컨테이너터미널, AWS 클라우드 서비스 (보안그룹)</t>
  </si>
  <si>
    <t>V220015</t>
  </si>
  <si>
    <t>[2023] 한진인천컨테이너터미널, AWS 클라우드 서비스 (NW그룹)</t>
  </si>
  <si>
    <t>NW그룹</t>
  </si>
  <si>
    <t>V220014</t>
  </si>
  <si>
    <t>[2023] 한진인천컨테이너터미널, AWS 클라우드 서비스 (클라우드서비스그룹)</t>
  </si>
  <si>
    <t>V220013</t>
  </si>
  <si>
    <t>[2022] 대한항공 콜센타 업무대행 도급 (ARS서비스)</t>
  </si>
  <si>
    <t>김지예</t>
  </si>
  <si>
    <t>박상원</t>
  </si>
  <si>
    <t>컨택센터</t>
  </si>
  <si>
    <t>컨택센터사업</t>
  </si>
  <si>
    <t>컨텍센터시스템</t>
  </si>
  <si>
    <t>[2022] 한진칼_New Hanway (뉴한웨이) 시스템 유지보수 제공 사업</t>
  </si>
  <si>
    <t>신정철</t>
  </si>
  <si>
    <t>[2022] 그룹사 H-SSO 서비스 공급 사업</t>
  </si>
  <si>
    <t>허진수</t>
  </si>
  <si>
    <t>V220010</t>
  </si>
  <si>
    <t>[2022] 포탈플랫폼서비스(그룹사)</t>
  </si>
  <si>
    <t>전문솔루션그룹</t>
  </si>
  <si>
    <t>김풍희</t>
  </si>
  <si>
    <t>김영훈</t>
  </si>
  <si>
    <t>메시징</t>
  </si>
  <si>
    <t>메시징사업</t>
  </si>
  <si>
    <t>V220009</t>
  </si>
  <si>
    <t>[2022] 포탈플랫폼서비스(대외)</t>
  </si>
  <si>
    <t>씨제이올리브네트웍스</t>
  </si>
  <si>
    <t>V220008</t>
  </si>
  <si>
    <t>[2022] 한진부산컨테이너터미널_New HANWAY(한웨이) 운영서비스</t>
  </si>
  <si>
    <t>한진부산컨테이너터미널</t>
  </si>
  <si>
    <t>[2022] 한진인천컨테이너터미널_New HANWAY(한웨이) 운영서비스</t>
  </si>
  <si>
    <t>[2022] 싸이버스카이_New HANWAY(한웨이) 운영서비스</t>
  </si>
  <si>
    <t>[2022] 진에어_New HANWAY(한웨이) 운영서비스</t>
  </si>
  <si>
    <t>[2022] 정석기업_New HANWAY(한웨이) 운영서비스</t>
  </si>
  <si>
    <t>[2022] (주)한진_New HANWAY(한웨이) 운영서비스</t>
  </si>
  <si>
    <t>V220002</t>
  </si>
  <si>
    <t>[2022] 한진관광_New HANWAY(한웨이) 운영서비스</t>
  </si>
  <si>
    <t>[2022] 토파스_New HANWAY(한웨이) 운영서비스</t>
  </si>
  <si>
    <t>V210035</t>
  </si>
  <si>
    <t>[2021] 대한항공씨앤디서비스, 기내면세몰(Web) 및 NonERP(기판,COS) 유지보수 사업</t>
  </si>
  <si>
    <t>강성진</t>
  </si>
  <si>
    <t>소병훈</t>
  </si>
  <si>
    <t>대한항공씨앤디서비스</t>
  </si>
  <si>
    <t>V210034</t>
  </si>
  <si>
    <t>대한항공 해외 네트워크 아웃소싱사업 (데이터센터그룹)</t>
  </si>
  <si>
    <t>권장욱</t>
  </si>
  <si>
    <t>유재춘</t>
  </si>
  <si>
    <t>V210033</t>
  </si>
  <si>
    <t>[2021] 구글코리아, 구글 파트너 인센티브 관리 프로젝트</t>
  </si>
  <si>
    <t>구글코리아</t>
  </si>
  <si>
    <t>V210032</t>
  </si>
  <si>
    <t>[2021] 대한항공, 그룹사 UC서비스 업그레이드 조직도 개발 및 운영 (보안그룹)</t>
  </si>
  <si>
    <t>V210031</t>
  </si>
  <si>
    <t>[2021] 대한항공, 그룹사 UC서비스 업그레이드 조직도 개발 및 운영 (NW그룹)</t>
  </si>
  <si>
    <t>V210030</t>
  </si>
  <si>
    <t>[2021] 대한항공, 그룹사 UC서비스 업그레이드 조직도 개발 및 운영 (그룹웨어그룹)</t>
  </si>
  <si>
    <t>V210029</t>
  </si>
  <si>
    <t>[2021] 대한항공, 그룹사 UC서비스 업그레이드 조직도 개발 및 운영 (데이터센터그룹)</t>
  </si>
  <si>
    <t>V210028</t>
  </si>
  <si>
    <t>[2021] (주)한진, 차세대 택배시스템_용역 기술지원 서비스 공급 사업</t>
  </si>
  <si>
    <t>문기성</t>
  </si>
  <si>
    <t>V210027</t>
  </si>
  <si>
    <t>[2021] 인하대병원 AWS 클라우드서비스 임상정보분석시스템 클라우드 운영 (보안그룹)</t>
  </si>
  <si>
    <t>V210026</t>
  </si>
  <si>
    <t>[2021] 인하대병원 AWS 클라우드서비스 임상정보분석시스템 클라우드 운영 (NW그룹)</t>
  </si>
  <si>
    <t>V210025</t>
  </si>
  <si>
    <t>[2021] 인하대병원 AWS 클라우드서비스 임상정보분석시스템 클라우드 운영 (데이터센터그룹)</t>
  </si>
  <si>
    <t>V210024</t>
  </si>
  <si>
    <t>[2021] 정석기업, AWS 클라우드 서비스 (보안그룹)</t>
  </si>
  <si>
    <t>V210023</t>
  </si>
  <si>
    <t>[2021] 정석기업, AWS 클라우드 서비스 (NW그룹)</t>
  </si>
  <si>
    <t>V210022</t>
  </si>
  <si>
    <t>[2021] 정석기업, AWS 클라우드 서비스 (데이터센터그룹)</t>
  </si>
  <si>
    <t>V210021</t>
  </si>
  <si>
    <t>[2021] (주)한진, RPA 구축 및 운영서비스</t>
  </si>
  <si>
    <t>[2021] (주)한진 ERP 유지보수 및 DD(Data Dictionary) 관리 서비스 (NW그룹)</t>
  </si>
  <si>
    <t>[2021] (주)한진 ERP 유지보수 및 DD(Data Dictionary) 관리 서비스 (보안그룹)</t>
  </si>
  <si>
    <t>[2021] (주)한진 ERP 유지보수 및 DD(Data Dictionary) 관리 서비스 (데이터센터그룹)</t>
  </si>
  <si>
    <t>조경래</t>
  </si>
  <si>
    <t>DATA센터</t>
  </si>
  <si>
    <t>[2021] (주)한진 ERP 유지보수 및 DD(Data Dictionary) 관리 서비스 (ERP그룹)</t>
  </si>
  <si>
    <t>이상혁</t>
  </si>
  <si>
    <t>[2021] 대한항공씨앤디서비스 기내식 IT보안서비스 사업</t>
  </si>
  <si>
    <t>V210015</t>
  </si>
  <si>
    <t>[2021] 싸이버스카이, 정보시스템 NW서비스</t>
  </si>
  <si>
    <t>V210014</t>
  </si>
  <si>
    <t>[2021] 싸이버스카이, AWS 클라우드 서비스 업무테스트용 (보안그룹)</t>
  </si>
  <si>
    <t>V210013</t>
  </si>
  <si>
    <t>[2021] 싸이버스카이, AWS 클라우드 서비스 업무테스트용 (NW그룹)</t>
  </si>
  <si>
    <t>V210012</t>
  </si>
  <si>
    <t>[2021] 싸이버스카이, AWS 클라우드 서비스 업무테스트용 (데이터센터그룹)</t>
  </si>
  <si>
    <t>V210011</t>
  </si>
  <si>
    <t>[2021] 대한항공 복합기서버 온디맨드 (On-Demand) 서비스 (NW그룹)</t>
  </si>
  <si>
    <t>김진유</t>
  </si>
  <si>
    <t>V210010</t>
  </si>
  <si>
    <t>[2021] 대한항공 복합기서버 온디맨드 (On-Demand) 서비스 (클라우드그룹)</t>
  </si>
  <si>
    <t>V210009</t>
  </si>
  <si>
    <t>[2021] 케이씨브이씨에스 DTO 서비스</t>
  </si>
  <si>
    <t>케이씨브이씨에스</t>
  </si>
  <si>
    <t>V210008</t>
  </si>
  <si>
    <t>[2021] (주)한진 AWS 클라우드 서비스 (보안그룹)</t>
  </si>
  <si>
    <t>V210007</t>
  </si>
  <si>
    <t>[2021] (주)한진 AWS 클라우드 서비스 (NW그룹)</t>
  </si>
  <si>
    <t>V210006</t>
  </si>
  <si>
    <t>[2021] (주)한진 AWS 클라우드 서비스 (데이터센터그룹)</t>
  </si>
  <si>
    <t>V210005</t>
  </si>
  <si>
    <t>[운영21] 대한항공씨앤디서비스(주) AWS 클라우드 서비스 (보안그룹)</t>
  </si>
  <si>
    <t>V210004</t>
  </si>
  <si>
    <t>[운영21] 대한항공씨앤디서비스(주) AWS 클라우드 서비스 (NW그룹)</t>
  </si>
  <si>
    <t>V210003</t>
  </si>
  <si>
    <t>[운영21] 대한항공씨앤디서비스(주) AWS 클라우드 서비스 (클라우드그룹)</t>
  </si>
  <si>
    <t>V210002</t>
  </si>
  <si>
    <t>대외 Google GSEfE 라이선스 및 기술용역 공급 서비스 사업</t>
  </si>
  <si>
    <t>이성원</t>
  </si>
  <si>
    <t>원치웅</t>
  </si>
  <si>
    <t>조선간호대학교</t>
  </si>
  <si>
    <t>비영리기업</t>
  </si>
  <si>
    <t>[의료21] 인천국제공항의료센터 의료정보시스템 사용 및 운영유지 서비스</t>
  </si>
  <si>
    <t>인하대병원그룹</t>
  </si>
  <si>
    <t>인천국제공항의원</t>
  </si>
  <si>
    <t>계획 작성중</t>
  </si>
  <si>
    <t>V200020</t>
  </si>
  <si>
    <t>[운영20] 대한항공 KOC / 인재개발원 차량 출입통제 시스템 IT서비스 (NW그룹)</t>
  </si>
  <si>
    <t>박재민</t>
  </si>
  <si>
    <t>V200019</t>
  </si>
  <si>
    <t>[운영20] 대한항공 KOC / 인재개발원 차량 출입통제 시스템 IT서비스 (클라우드그룹)</t>
  </si>
  <si>
    <t>V200018</t>
  </si>
  <si>
    <t>[운영20] 대한항공 항공우주사업본부 IoT 적용 네트워크 납품 및 서비스 운영</t>
  </si>
  <si>
    <t>서창우</t>
  </si>
  <si>
    <t>[운영20] 대한항공씨앤디서비스(주) 기내식 IT 서비스 계약</t>
  </si>
  <si>
    <t>V200016</t>
  </si>
  <si>
    <t>[운영20] 왕산레저개발 서버 On-Demand 서비스 사업</t>
  </si>
  <si>
    <t>V200015</t>
  </si>
  <si>
    <t>[항공20] 아이에이티 네트워크 장비 및 회선 유지보수 서비스</t>
  </si>
  <si>
    <t>V200014</t>
  </si>
  <si>
    <t>[신사업20] 그룹사 Plug and Play 멤버십 컨설팅 서비스</t>
  </si>
  <si>
    <t>항공사업팀</t>
  </si>
  <si>
    <t>강준수</t>
  </si>
  <si>
    <t>시스템구축</t>
  </si>
  <si>
    <t>V200013</t>
  </si>
  <si>
    <t>[IT20] 그룹사 한진그룹 RPA Shared Service 사업 (투자)</t>
  </si>
  <si>
    <t>V200012</t>
  </si>
  <si>
    <t>[IT20] 대한항공 전자결재 시스템(GCP) 사용료 (솔루션그룹)</t>
  </si>
  <si>
    <t>[운영20] 대한항공 전자결재 서비스 (한웨이그룹)</t>
  </si>
  <si>
    <t>[운영20] (주)한진 통합콜센터 운영서비스 (클라우드그룹)</t>
  </si>
  <si>
    <t>[운영20] (주)한진 통합콜센터 운영서비스</t>
  </si>
  <si>
    <t>V200008</t>
  </si>
  <si>
    <t>[IT20] (주)한진 홈페이지 개발서버용 AWS 클라우드 서비스 (NW그룹)</t>
  </si>
  <si>
    <t>박수영</t>
  </si>
  <si>
    <t>V200007</t>
  </si>
  <si>
    <t>[IT20] (주)한진 홈페이지 개발서버용 AWS 클라우드 서비스 (클라우드그룹)</t>
  </si>
  <si>
    <t>V200006</t>
  </si>
  <si>
    <t>[물류20] 평택컨테이너터미널 AWS Cloud 서비스 (NW납품설치)</t>
  </si>
  <si>
    <t>김병우</t>
  </si>
  <si>
    <t>한진평택컨테이너터미널</t>
  </si>
  <si>
    <t>V200005</t>
  </si>
  <si>
    <t>[물류20] 평택컨테이너터미널 AWS Cloud 서비스 (보안그룹)</t>
  </si>
  <si>
    <t>V200004</t>
  </si>
  <si>
    <t>[물류20] 평택컨테이너터미널 AWS Cloud 서비스 (NW그룹)</t>
  </si>
  <si>
    <t>V200003</t>
  </si>
  <si>
    <t>[물류20] 평택컨테이너터미널 AWS Cloud 서비스 (클라우드그룹)</t>
  </si>
  <si>
    <t>V200002</t>
  </si>
  <si>
    <t>그룹사 구글 G 스위트 운영서비스</t>
  </si>
  <si>
    <t>V200001</t>
  </si>
  <si>
    <t>[2020] KC그린홀딩스 DTO서비스</t>
  </si>
  <si>
    <t>KC그린홀딩스</t>
  </si>
  <si>
    <t>V190026</t>
  </si>
  <si>
    <t>[2020] 대한항공 G-suite 모바일 중계서버 및 회의실 앱 서비스</t>
  </si>
  <si>
    <t>박성진</t>
  </si>
  <si>
    <t>V190025</t>
  </si>
  <si>
    <t>진에어 전자세금계산서 수집대사 시스템 이용</t>
  </si>
  <si>
    <t>임채영</t>
  </si>
  <si>
    <t>홍윤표</t>
  </si>
  <si>
    <t>EDI</t>
  </si>
  <si>
    <t>[2019] 대한항공 G Suite 운영 서비스 (Google TAM 포함)</t>
  </si>
  <si>
    <t>V190023</t>
  </si>
  <si>
    <t>그룹사 구글 G스위트 서비스 공급 사업</t>
  </si>
  <si>
    <t>V190022</t>
  </si>
  <si>
    <t>[2019] 토파스 개발서버 DB접근제어 서비스</t>
  </si>
  <si>
    <t>김민경</t>
  </si>
  <si>
    <t>[2019] 인하대병원 예방관리센터 DTO 서비스</t>
  </si>
  <si>
    <t>V190020</t>
  </si>
  <si>
    <t>[2019] 대한항공 DTO서비스</t>
  </si>
  <si>
    <t>V190019</t>
  </si>
  <si>
    <t>[2019] 토파스 신용인증 IVR 고도화 서비스</t>
  </si>
  <si>
    <t>V190018</t>
  </si>
  <si>
    <t>AWS 클라우드 서비스 대외 사업 (INFRA거버넌스)</t>
  </si>
  <si>
    <t>주식회사 하얀풍차투어</t>
  </si>
  <si>
    <t>V190017</t>
  </si>
  <si>
    <t>AWS 클라우드 서비스 대외 사업 (NW서비스)</t>
  </si>
  <si>
    <t>임규엽</t>
  </si>
  <si>
    <t>V190016</t>
  </si>
  <si>
    <t>AWS 클라우드 서비스 대외 사업 (DC서비스)</t>
  </si>
  <si>
    <t>V190015</t>
  </si>
  <si>
    <t>[2019] 한진 보안관제 서비스</t>
  </si>
  <si>
    <t>[2019] 토파스여행정보 보안점검 서비스</t>
  </si>
  <si>
    <t>[SW Shared] 한국공항 ERP 유지보수 서비스</t>
  </si>
  <si>
    <t>V190012</t>
  </si>
  <si>
    <t>[SW19] 대한항공 구글 G Suite 서비스 공급 사업</t>
  </si>
  <si>
    <t>김성득</t>
  </si>
  <si>
    <t>[SM]대한항공 디자인 업무대행 도급</t>
  </si>
  <si>
    <t>V190010</t>
  </si>
  <si>
    <t>[2019] 싸이버스카이 모바일 어플리케이션 유지보수 서비스</t>
  </si>
  <si>
    <t>여행사업팀</t>
  </si>
  <si>
    <t>V190009</t>
  </si>
  <si>
    <t>한진관광 보안점검 서비스</t>
  </si>
  <si>
    <t>김민석</t>
  </si>
  <si>
    <t>V190008</t>
  </si>
  <si>
    <t>싸이버스카이 메시징서비스 유통 사업</t>
  </si>
  <si>
    <t>V190007</t>
  </si>
  <si>
    <t>한진 메시징서비스 유통 사업</t>
  </si>
  <si>
    <t>V190006</t>
  </si>
  <si>
    <t>한진관광 메시징서비스 유통 사업</t>
  </si>
  <si>
    <t>V190005</t>
  </si>
  <si>
    <t>칼호텔네트워크 메시징서비스 유통 사업</t>
  </si>
  <si>
    <t>V190004</t>
  </si>
  <si>
    <t>토파스 메시징서비스 유통 사업</t>
  </si>
  <si>
    <t>V190003</t>
  </si>
  <si>
    <t>[2019] (주)엘지스포츠 전산장비 리스</t>
  </si>
  <si>
    <t>엘지스포츠</t>
  </si>
  <si>
    <t>리스수익</t>
  </si>
  <si>
    <t>V190002</t>
  </si>
  <si>
    <t>[2019] 칼호텔네트워크 전산장비 리스</t>
  </si>
  <si>
    <t>파트너사업팀</t>
  </si>
  <si>
    <t>V190001</t>
  </si>
  <si>
    <t>[2019] 대한항공 전산장비 리스</t>
  </si>
  <si>
    <t>V180030</t>
  </si>
  <si>
    <t>MS CSP 서비스 대외사업 (AZURE - NW서비스그룹)</t>
  </si>
  <si>
    <t>성화기업택배</t>
  </si>
  <si>
    <t>대한항공 방위사업부문 메일 서비스</t>
  </si>
  <si>
    <t>V180028</t>
  </si>
  <si>
    <t>MS CSP 서비스 대외사업 (OFFICE365)</t>
  </si>
  <si>
    <t>주식회사한스프롬</t>
  </si>
  <si>
    <t>V180027</t>
  </si>
  <si>
    <t>MS CSP 서비스 대외사업 (AZURE)</t>
  </si>
  <si>
    <t>V180026</t>
  </si>
  <si>
    <t>[2018] 대한항공 방산일반망 서비스</t>
  </si>
  <si>
    <t>김기범</t>
  </si>
  <si>
    <t>V180025</t>
  </si>
  <si>
    <t>KT G-Cloud 서비스 대외 사업</t>
  </si>
  <si>
    <t>재단법인 한국이민재단</t>
  </si>
  <si>
    <t>V180024</t>
  </si>
  <si>
    <t>토파스 보안점검 서비스</t>
  </si>
  <si>
    <t>완료 승인</t>
  </si>
  <si>
    <t>V180023</t>
  </si>
  <si>
    <t>[2018] (주)진에어 업무용 전산장비 리스</t>
  </si>
  <si>
    <t>조경훈</t>
  </si>
  <si>
    <t>V180022</t>
  </si>
  <si>
    <t>한진칼(한진그룹) 홈페이지 운영 AWS 클라우드(보안)</t>
  </si>
  <si>
    <t>V180021</t>
  </si>
  <si>
    <t>[2018] 한진칼(한진그룹) 홈페이지 운영 AWS 클라우드 서비스(NW)</t>
  </si>
  <si>
    <t>V180020</t>
  </si>
  <si>
    <t>한진칼(한진그룹) 홈페이지 AWS 클라우드 (SYS)</t>
  </si>
  <si>
    <t>홍성욱</t>
  </si>
  <si>
    <t>V180019</t>
  </si>
  <si>
    <t>토파스 AWS 클라우드 (보안)</t>
  </si>
  <si>
    <t>V180018</t>
  </si>
  <si>
    <t>[2018] 토파스 AWS 클라우드(NW)</t>
  </si>
  <si>
    <t>V180017</t>
  </si>
  <si>
    <t>토파스 AWS 클라우드 (SYS)</t>
  </si>
  <si>
    <t>V180016</t>
  </si>
  <si>
    <t>아이에이티 내부회계관리 시스템 운영</t>
  </si>
  <si>
    <t>아이에이티 주식회사</t>
  </si>
  <si>
    <t>대한항공 방위사업부문 서버 구축 및 운영 서비스</t>
  </si>
  <si>
    <t>이한영</t>
  </si>
  <si>
    <t>V180014</t>
  </si>
  <si>
    <t>토파스 DB암호화 서비스</t>
  </si>
  <si>
    <t>V180013</t>
  </si>
  <si>
    <t>(주)진에어 MS CSP 서비스 사업</t>
  </si>
  <si>
    <t>임석규</t>
  </si>
  <si>
    <t>V180012</t>
  </si>
  <si>
    <t>MS CSP 서비스 대외 사업</t>
  </si>
  <si>
    <t>V180011</t>
  </si>
  <si>
    <t>[2018] 토파스 고객서비스센터 업무대행 도급(시스템)</t>
  </si>
  <si>
    <t>김근태</t>
  </si>
  <si>
    <t>V180010</t>
  </si>
  <si>
    <t>[2018] 진에어 고객서비스센터 업무대행 도급(시스템)</t>
  </si>
  <si>
    <t>정민균</t>
  </si>
  <si>
    <t>V180009</t>
  </si>
  <si>
    <t>[2018] 대한항공 채팅 콜센타 업무대행 도급(시스템)</t>
  </si>
  <si>
    <t>V180008</t>
  </si>
  <si>
    <t>[2018] 대한항공 국제선 주간 콜센타 업무대행 도급(시스템)</t>
  </si>
  <si>
    <t>V180007</t>
  </si>
  <si>
    <t>[2018] 대한항공 국제선 야간 콜센타 업무대행 도급(시스템)</t>
  </si>
  <si>
    <t>V180006</t>
  </si>
  <si>
    <t>[2018] 대한항공 국내선 콜센타 업무대행 도급(시스템)</t>
  </si>
  <si>
    <t>V180005</t>
  </si>
  <si>
    <t>[2018] 토파스 DLP 시스템 구축운영 서비스</t>
  </si>
  <si>
    <t>윤현우</t>
  </si>
  <si>
    <t>김행주</t>
  </si>
  <si>
    <t>V180004</t>
  </si>
  <si>
    <t>[SM]진에어 ERP 유지보수 업무 대행</t>
  </si>
  <si>
    <t>V180003</t>
  </si>
  <si>
    <t>[2018] (주)엘지스포츠 전산장비 리스</t>
  </si>
  <si>
    <t>V180002</t>
  </si>
  <si>
    <t>[2018] 칼호텔네트워크 전산장비 리스</t>
  </si>
  <si>
    <t>인더스트리사업팀</t>
  </si>
  <si>
    <t>V180001</t>
  </si>
  <si>
    <t>[2018] 대한항공 전산장비 리스</t>
  </si>
  <si>
    <t>항공서비스사업팀</t>
  </si>
  <si>
    <t>V170027</t>
  </si>
  <si>
    <t>[2018] 진에어 New PSS용 AWS 클라우드 서비스(보안서비스)</t>
  </si>
  <si>
    <t>V170026</t>
  </si>
  <si>
    <t>[2018] 진에어 New PSS용 AWS 클라우드 서비스(NW서비스)</t>
  </si>
  <si>
    <t>V170025</t>
  </si>
  <si>
    <t>진에어 New PSS용 AWS 클라우드 서비스</t>
  </si>
  <si>
    <t>[2017] 인하대병원 유무선네트워크 IT아웃소싱</t>
  </si>
  <si>
    <t>[2017] 진에어 네트워크서비스</t>
  </si>
  <si>
    <t>[2017] 진에어 전산장비 유지보수</t>
  </si>
  <si>
    <t>V170021</t>
  </si>
  <si>
    <t>[SM]한진칼 홈페이지 유지보수</t>
  </si>
  <si>
    <t>정승교</t>
  </si>
  <si>
    <t>김영민</t>
  </si>
  <si>
    <t>V170020</t>
  </si>
  <si>
    <t>토파스 가상화서비스</t>
  </si>
  <si>
    <t>V170019</t>
  </si>
  <si>
    <t>녹취서비스 그룹사 사업</t>
  </si>
  <si>
    <t>V170018</t>
  </si>
  <si>
    <t>Meeting Center Pro(webex)</t>
  </si>
  <si>
    <t>V170017</t>
  </si>
  <si>
    <t>G 스위트 운영 대외 사업</t>
  </si>
  <si>
    <t>쿠팡 주식회사</t>
  </si>
  <si>
    <t>V170016</t>
  </si>
  <si>
    <t>메시징서비스 유통 대외 사업</t>
  </si>
  <si>
    <t>씨제이올리브네트웍스 주식회사</t>
  </si>
  <si>
    <t>V170015</t>
  </si>
  <si>
    <t>UC 서비스 그룹사 사업</t>
  </si>
  <si>
    <t>V170014</t>
  </si>
  <si>
    <t>UC 서비스 대외 사업</t>
  </si>
  <si>
    <t>유니에스</t>
  </si>
  <si>
    <t>V170013</t>
  </si>
  <si>
    <t>(주)칼호텔네트워크 그룹웨어 서비스</t>
  </si>
  <si>
    <t>V170012</t>
  </si>
  <si>
    <t>항공종합서비스 그룹웨어 서비스</t>
  </si>
  <si>
    <t>항공종합서비스</t>
  </si>
  <si>
    <t>V170011</t>
  </si>
  <si>
    <t>싸이버스카이 VAN 사업</t>
  </si>
  <si>
    <t>메시징그룹</t>
  </si>
  <si>
    <t>오주영</t>
  </si>
  <si>
    <t>V170010</t>
  </si>
  <si>
    <t>인천항3부두운영(주) 그룹웨어 서비스</t>
  </si>
  <si>
    <t>인천항3부두운영(주)</t>
  </si>
  <si>
    <t>V170009</t>
  </si>
  <si>
    <t>마산항제4부두운영(주) 그룹웨어 서비스</t>
  </si>
  <si>
    <t>마산항제4부두운영(주)</t>
  </si>
  <si>
    <t>V170008</t>
  </si>
  <si>
    <t>포항항7부두운영(주) 그룹웨어 서비스</t>
  </si>
  <si>
    <t>포항항7부두운영(주)</t>
  </si>
  <si>
    <t>V170007</t>
  </si>
  <si>
    <t>(주)에어코리아 그룹웨어 서비스</t>
  </si>
  <si>
    <t>V170006</t>
  </si>
  <si>
    <t>[2017] 한진칼 전산통신공사</t>
  </si>
  <si>
    <t>원관희</t>
  </si>
  <si>
    <t>V170005</t>
  </si>
  <si>
    <t>KTNET와 HIST 간 망간 접속에 관한 약정 변경</t>
  </si>
  <si>
    <t>한국무역정보통신</t>
  </si>
  <si>
    <t>V170004</t>
  </si>
  <si>
    <t>[2017] (주)엘지스포츠 업무용 전산장비 리스</t>
  </si>
  <si>
    <t>V170003</t>
  </si>
  <si>
    <t>[2017] 항공종합서비스 전산장비 리스</t>
  </si>
  <si>
    <t>그룹사사업그룹</t>
  </si>
  <si>
    <t>V170002</t>
  </si>
  <si>
    <t>[2017] 칼호텔네트워크 전산장비 리스</t>
  </si>
  <si>
    <t>V170001</t>
  </si>
  <si>
    <t>[2017] 대한항공 전산장비 리스</t>
  </si>
  <si>
    <t>V160034</t>
  </si>
  <si>
    <t>싸이버스카이 온디맨드 서비스</t>
  </si>
  <si>
    <t>V160033</t>
  </si>
  <si>
    <t>아이에이티(주) 통합그룹웨어 서비스</t>
  </si>
  <si>
    <t>V160032</t>
  </si>
  <si>
    <t>[SM보안]인하대병원 Application 보안 점검 서비스</t>
  </si>
  <si>
    <t>전영희</t>
  </si>
  <si>
    <t>V160031</t>
  </si>
  <si>
    <t>(주)대한항공 기내 POS 모바일 어플리케이션 유지보수 서비스</t>
  </si>
  <si>
    <t>V160030</t>
  </si>
  <si>
    <t>(주)왕산레저개발 통합그룹웨어 서비스</t>
  </si>
  <si>
    <t>주식회사 왕산레저개발</t>
  </si>
  <si>
    <t>V160029</t>
  </si>
  <si>
    <t>진에어 모바일 어플리케이션 유지보수 서비스</t>
  </si>
  <si>
    <t>진에어그룹</t>
  </si>
  <si>
    <t>V160028</t>
  </si>
  <si>
    <t>[SM보안]에어코리아 Application 보안 점검 서비스</t>
  </si>
  <si>
    <t>V160027</t>
  </si>
  <si>
    <t>한진인천컨테이너터미널 운영시스템 IT인프라 운영유지보수</t>
  </si>
  <si>
    <t>윤영훈</t>
  </si>
  <si>
    <t>한진인천컨테이너터미널 주식회사</t>
  </si>
  <si>
    <t>V160026</t>
  </si>
  <si>
    <t>[SM보안]유니컨버스 Application 보안 점검 서비스</t>
  </si>
  <si>
    <t>양기령</t>
  </si>
  <si>
    <t>V160025</t>
  </si>
  <si>
    <t>[SM보안]트랙슨 Application 보안 점검 서비스</t>
  </si>
  <si>
    <t>V160024</t>
  </si>
  <si>
    <t>[2016] 놀텍코리아 DTO서비스 계약</t>
  </si>
  <si>
    <t>놀텍코리아</t>
  </si>
  <si>
    <t>V160023</t>
  </si>
  <si>
    <t>[SM보안]진에어 Application 보안 점검 서비스</t>
  </si>
  <si>
    <t>V160022</t>
  </si>
  <si>
    <t>[2016] 대한항공 모바일 유지보수 서비스</t>
  </si>
  <si>
    <t>V160021</t>
  </si>
  <si>
    <t>한진 모바일 어플리케이션 유지보수 서비스</t>
  </si>
  <si>
    <t>물류사업팀</t>
  </si>
  <si>
    <t>[보안]그룹사 Application 보안 점검 서비스</t>
  </si>
  <si>
    <t>V160019</t>
  </si>
  <si>
    <t>인하공전 인터넷 전화서비스</t>
  </si>
  <si>
    <t>V160018</t>
  </si>
  <si>
    <t>인하대병원 전화시스템 서비스</t>
  </si>
  <si>
    <t>한진관광 그룹 통합콜센타 시스템</t>
  </si>
  <si>
    <t>V160016</t>
  </si>
  <si>
    <t>인하대병원 콜센터 시스템</t>
  </si>
  <si>
    <t>V160015</t>
  </si>
  <si>
    <t>토파스 고객서비스센터 업무대행 도급</t>
  </si>
  <si>
    <t>오택남</t>
  </si>
  <si>
    <t>컨텍센터도급</t>
  </si>
  <si>
    <t>V160014</t>
  </si>
  <si>
    <t>진에어 고객서비스센터 업무대행 도급</t>
  </si>
  <si>
    <t>V160013</t>
  </si>
  <si>
    <t>대한항공 채팅 콜센타 업무 대행 도급</t>
  </si>
  <si>
    <t>V160012</t>
  </si>
  <si>
    <t>대한항공 국제선 주간 콜센타 업무대행 도급</t>
  </si>
  <si>
    <t>V160011</t>
  </si>
  <si>
    <t>대한항공 국제선 야간 콜센타 업무대행 도급</t>
  </si>
  <si>
    <t>V160010</t>
  </si>
  <si>
    <t>대한항공 국내선 콜센타 업무대행 도급</t>
  </si>
  <si>
    <t>V160009</t>
  </si>
  <si>
    <t>한진인천컨테이너터미널 통합그룹웨어 서비스</t>
  </si>
  <si>
    <t>V160008</t>
  </si>
  <si>
    <t>[2016] 정석 전사정보시스템 (NW부문)</t>
  </si>
  <si>
    <t>V160007</t>
  </si>
  <si>
    <t>한진부산컨테이너터미널(주) 통합그룹웨어 서비스</t>
  </si>
  <si>
    <t>한진부산컨테이너터미널(주)</t>
  </si>
  <si>
    <t>V160006</t>
  </si>
  <si>
    <t>[SM]싸이버스카이 전산 유지보수 업무대행</t>
  </si>
  <si>
    <t>성명빈</t>
  </si>
  <si>
    <t>V160005</t>
  </si>
  <si>
    <t>[2016] 정석기업 전사정보시스템 (서버부문)</t>
  </si>
  <si>
    <t>V160004</t>
  </si>
  <si>
    <t>[2016] (주)엘지스포츠 업무용 전산장비 리스</t>
  </si>
  <si>
    <t>V160003</t>
  </si>
  <si>
    <t>[2016] 항공종합서비스 전산장비 리스</t>
  </si>
  <si>
    <t>V160002</t>
  </si>
  <si>
    <t>[2016] 칼호텔네트워크 전산장비 리스</t>
  </si>
  <si>
    <t>V160001</t>
  </si>
  <si>
    <t>[2016] 대한항공 전산장비 리스</t>
  </si>
  <si>
    <t>V150019</t>
  </si>
  <si>
    <t>[SM]그룹 홈페이지 운영 및 유지보수</t>
  </si>
  <si>
    <t>기타아웃소싱</t>
  </si>
  <si>
    <t>V150018</t>
  </si>
  <si>
    <t>진에어 SMS 서비스</t>
  </si>
  <si>
    <t>V150017</t>
  </si>
  <si>
    <t>한진칼 서버 온디맨드 서비스</t>
  </si>
  <si>
    <t>V150016</t>
  </si>
  <si>
    <t>항공종합서비스 서버 온디맨드 서비스</t>
  </si>
  <si>
    <t>V150015</t>
  </si>
  <si>
    <t>(주)왕산레저개발 내부회계관리시스템 운영 서비스</t>
  </si>
  <si>
    <t>V150014</t>
  </si>
  <si>
    <t>(주)한진칼 내부회계관리시스템 운영 서비스</t>
  </si>
  <si>
    <t>V150013</t>
  </si>
  <si>
    <t>한진인천북항운영(주) 통합그룹웨어 서비스</t>
  </si>
  <si>
    <t>한진인천북항운영(주)</t>
  </si>
  <si>
    <t>V150012</t>
  </si>
  <si>
    <t>한진울산신항운영(주) 통합그룹웨어 서비스</t>
  </si>
  <si>
    <t>한진울산신항운영주식회사</t>
  </si>
  <si>
    <t>V150011</t>
  </si>
  <si>
    <t>평택컨테이너터미널(주) 통합그룹웨어 서비스</t>
  </si>
  <si>
    <t>평택컨테이너터미날(주)</t>
  </si>
  <si>
    <t>V150010</t>
  </si>
  <si>
    <t>부산글로벌물류센터(주) 통합그룹웨어 서비스</t>
  </si>
  <si>
    <t>부산글로벌물류센터</t>
  </si>
  <si>
    <t>V150009</t>
  </si>
  <si>
    <t>[2015] 아이에이티(주) ETC 신축 네트워크장비 및 회선 아웃소싱 서비스</t>
  </si>
  <si>
    <t>사호철</t>
  </si>
  <si>
    <t>V150008</t>
  </si>
  <si>
    <t>[지원]인하대병원 관련사업 지원</t>
  </si>
  <si>
    <t>윤여원</t>
  </si>
  <si>
    <t>인하대병원SM그룹</t>
  </si>
  <si>
    <t>V150007</t>
  </si>
  <si>
    <t>[지원]진에어 관련사업 지원</t>
  </si>
  <si>
    <t>김용현</t>
  </si>
  <si>
    <t>V150006</t>
  </si>
  <si>
    <t>한진 무증빙 전표시스템 도입 서비스</t>
  </si>
  <si>
    <t>V150005</t>
  </si>
  <si>
    <t>[2015] 한진인천컨테이너터미널 정보통신공사</t>
  </si>
  <si>
    <t>V150004</t>
  </si>
  <si>
    <t>[2015] (주)엘지스포츠 업무용 전산장비 리스</t>
  </si>
  <si>
    <t>V150003</t>
  </si>
  <si>
    <t>[2015] 항공종합서비스 전산장비 리스</t>
  </si>
  <si>
    <t>V150002</t>
  </si>
  <si>
    <t>[2015] 칼호텔네트워크 전산장비 리스</t>
  </si>
  <si>
    <t>V150001</t>
  </si>
  <si>
    <t>[2015] 대한항공 전산장비 리스</t>
  </si>
  <si>
    <t>V140015</t>
  </si>
  <si>
    <t>[2014] 유니컨버스 IT기술지원</t>
  </si>
  <si>
    <t>V140014</t>
  </si>
  <si>
    <t>인하국제의료센터 상용SW 유지보수 서비스</t>
  </si>
  <si>
    <t>인하국제의료센터</t>
  </si>
  <si>
    <t>V140013</t>
  </si>
  <si>
    <t>[지원]토파스 관련사업 지원</t>
  </si>
  <si>
    <t>토파스그룹</t>
  </si>
  <si>
    <t>정원성</t>
  </si>
  <si>
    <t>V140012</t>
  </si>
  <si>
    <t>[지원]한진 관련사업 지원</t>
  </si>
  <si>
    <t>조정규</t>
  </si>
  <si>
    <t>V140011</t>
  </si>
  <si>
    <t>[지원]대한항공 관련사업 지원</t>
  </si>
  <si>
    <t>황성진</t>
  </si>
  <si>
    <t>V140010</t>
  </si>
  <si>
    <t>대한항공 서버 온디맨드 서비스</t>
  </si>
  <si>
    <t>V140009</t>
  </si>
  <si>
    <t>칼호텔네트워크 VAN 사업</t>
  </si>
  <si>
    <t>V140008</t>
  </si>
  <si>
    <t>인하대 산학협력단 전자세금계산서 수집대사 시스템 이용</t>
  </si>
  <si>
    <t>인하대학교 산학협력단</t>
  </si>
  <si>
    <t>V140007</t>
  </si>
  <si>
    <t>대한항공 해외 네트워크 아웃소싱사업</t>
  </si>
  <si>
    <t>정철준</t>
  </si>
  <si>
    <t>V140006</t>
  </si>
  <si>
    <t>대한항공 국내 네트워크 아웃소싱사업</t>
  </si>
  <si>
    <t>V140005</t>
  </si>
  <si>
    <t>[2014] KC코트렐 DTO서비스</t>
  </si>
  <si>
    <t>KC코트렐</t>
  </si>
  <si>
    <t>V140004</t>
  </si>
  <si>
    <t>[2014] 항공종합서비스 전산장비 리스</t>
  </si>
  <si>
    <t>V140003</t>
  </si>
  <si>
    <t>[2014] 칼호텔네트워크 전산장비 리스</t>
  </si>
  <si>
    <t>V140002</t>
  </si>
  <si>
    <t>[2014] 대한항공 전산장비 리스</t>
  </si>
  <si>
    <t>V140001</t>
  </si>
  <si>
    <t>[2013] 하얏트리젠시인천(H1)호텔 객실인터넷 서비스</t>
  </si>
  <si>
    <t>송세호</t>
  </si>
  <si>
    <t>칼호텔네트워크(그랜드하얏트인천)</t>
  </si>
  <si>
    <t>[2013] 칼호텔네트워크 구내통신서비스</t>
  </si>
  <si>
    <t>[2013] 칼호텔네트워크 단말장비 유지보수</t>
  </si>
  <si>
    <t>전종남</t>
  </si>
  <si>
    <t>[2013] 칼호텔네트워크 네트워크 서비스</t>
  </si>
  <si>
    <t>V130009</t>
  </si>
  <si>
    <t>(주)칼호텔네트워크 서버온디멘드서비스</t>
  </si>
  <si>
    <t>[2013] 한진칼 정보시스템 서비스</t>
  </si>
  <si>
    <t>[2013] 한진칼 DTO서비스</t>
  </si>
  <si>
    <t>V130006</t>
  </si>
  <si>
    <t>(주)한진칼 통합그룹웨어 서비스</t>
  </si>
  <si>
    <t>V130005</t>
  </si>
  <si>
    <t>한진관광 전산장비 임대 서비스 사업 (데이터센터)</t>
  </si>
  <si>
    <t>V130004</t>
  </si>
  <si>
    <t>[2013] (주)엘지스포츠 업무용 전산장비 리스</t>
  </si>
  <si>
    <t>V130003</t>
  </si>
  <si>
    <t>한진물류연구원 통합그룹웨어 서비스</t>
  </si>
  <si>
    <t>한진물류연구원</t>
  </si>
  <si>
    <t>V130002</t>
  </si>
  <si>
    <t>[2013] 미쓰비시도쿄UFJ은행 금융결재원용 전용회선 서비스</t>
  </si>
  <si>
    <t>주식회사 엠유에프지은행(MUFG Bank, Ltd.)</t>
  </si>
  <si>
    <t>금융</t>
  </si>
  <si>
    <t>V130001</t>
  </si>
  <si>
    <t>한국글로발로지스틱스시스템 e-AWB 중계서비스</t>
  </si>
  <si>
    <t>V120017</t>
  </si>
  <si>
    <t>[SM]인하국제의료센터 전산운영유지보수</t>
  </si>
  <si>
    <t>김대성</t>
  </si>
  <si>
    <t>V120016</t>
  </si>
  <si>
    <t>[2012] 인하국제의료센터 데이터회선 서비스</t>
  </si>
  <si>
    <t>V120015</t>
  </si>
  <si>
    <t>인하국제의료센터 통합그룹웨어 서비스</t>
  </si>
  <si>
    <t>V120014</t>
  </si>
  <si>
    <t>한국글로발로지스틱스시스템 적하목록 중계서비스</t>
  </si>
  <si>
    <t>V120013</t>
  </si>
  <si>
    <t>케이씨넷 외국항공사 화물 적하목록 변환 서비스</t>
  </si>
  <si>
    <t>케이씨넷</t>
  </si>
  <si>
    <t>V120012</t>
  </si>
  <si>
    <t>한진 전자세금계산서 수집대사 시스템 이용</t>
  </si>
  <si>
    <t>V120011</t>
  </si>
  <si>
    <t>한덱스 On-Demnd 서비스 사업</t>
  </si>
  <si>
    <t>(주)한진드림익스프레스(독산)(폐업 2014.12.31)</t>
  </si>
  <si>
    <t>V120010</t>
  </si>
  <si>
    <t>[2012] 진에어 DTO서비스</t>
  </si>
  <si>
    <t>V120009</t>
  </si>
  <si>
    <t>[2012] S-OIL Reuse 장비 유지보수</t>
  </si>
  <si>
    <t>한국아이비엠(주)</t>
  </si>
  <si>
    <t>[2012] 정석학원 DTO서비스</t>
  </si>
  <si>
    <t>V120007</t>
  </si>
  <si>
    <t>[2012] S-OIL IT 아웃소싱 OA유지보수</t>
  </si>
  <si>
    <t>전철희</t>
  </si>
  <si>
    <t>V120006</t>
  </si>
  <si>
    <t>[2012] 진에어 전산장비 유지보수</t>
  </si>
  <si>
    <t>V120005</t>
  </si>
  <si>
    <t>[2012] 대한항공 리스장비 관리 및 설치,운송</t>
  </si>
  <si>
    <t>V120004</t>
  </si>
  <si>
    <t>[2012] S-OIL 자산관리 및 유지보수 용역 계약</t>
  </si>
  <si>
    <t>맥쿼리파이낸스코리아주식회사</t>
  </si>
  <si>
    <t>V120003</t>
  </si>
  <si>
    <t>[2012] 유니컨버스 그룹통합콜센터 IPCC 시스템 및 Network 운영 계약</t>
  </si>
  <si>
    <t>V120002</t>
  </si>
  <si>
    <t>[2012] SK브로드밴드 기업전용회선 서비스용 장비 유지보수</t>
  </si>
  <si>
    <t>에스케이브로드밴드주식회사</t>
  </si>
  <si>
    <t>V120001</t>
  </si>
  <si>
    <t>[2012] S-OIL IPS SMS 및 NSM 유지보수 계약</t>
  </si>
  <si>
    <t>V110014</t>
  </si>
  <si>
    <t>싸이버스카이 통합그룹웨어 사업</t>
  </si>
  <si>
    <t>V110013</t>
  </si>
  <si>
    <t>그룹 홈페이지 운영 및 유지보수</t>
  </si>
  <si>
    <t>최성식</t>
  </si>
  <si>
    <t>V110012</t>
  </si>
  <si>
    <t>[2011] (주)케이원정보통신 한진넷서비스</t>
  </si>
  <si>
    <t>V110011</t>
  </si>
  <si>
    <t>[SM]대한항공 PSS 추진본부</t>
  </si>
  <si>
    <t>대한항공고객SM그룹</t>
  </si>
  <si>
    <t>박명준</t>
  </si>
  <si>
    <t>위효식</t>
  </si>
  <si>
    <t>V110010</t>
  </si>
  <si>
    <t>한국글로발로지스틱스시스템 AMS Application 유지보수</t>
  </si>
  <si>
    <t>V110008</t>
  </si>
  <si>
    <t>S-OIL 온산공장 FA네트워크 장비 운영</t>
  </si>
  <si>
    <t>V110007</t>
  </si>
  <si>
    <t>[2010] 한국아이비엠 회선대행서비스</t>
  </si>
  <si>
    <t>V110006</t>
  </si>
  <si>
    <t>인하공업전문대학 통합그룹웨어 서비스 사업</t>
  </si>
  <si>
    <t>V110005</t>
  </si>
  <si>
    <t>항공대학교 통합그룹웨어 서비스 사업</t>
  </si>
  <si>
    <t>V110004</t>
  </si>
  <si>
    <t>인하대병원 통합그룹웨어 서비스 사업</t>
  </si>
  <si>
    <t>V110003</t>
  </si>
  <si>
    <t>[2011] KC그린홀딩스 DTO서비스</t>
  </si>
  <si>
    <t>V110002</t>
  </si>
  <si>
    <t>한덱스 홈페이지 유지보수 서비스사업</t>
  </si>
  <si>
    <t>그룹사팀</t>
  </si>
  <si>
    <t>서경배</t>
  </si>
  <si>
    <t>V110001</t>
  </si>
  <si>
    <t>[2011] (주)한국글로발로지스틱스시스템 DTO서비스</t>
  </si>
  <si>
    <t>V100014</t>
  </si>
  <si>
    <t>[2010] 대한항공 리스장비 관리 및 설치지원</t>
  </si>
  <si>
    <t>V100013</t>
  </si>
  <si>
    <t>[2010] S-OIL(주) DR센터운영서비스</t>
  </si>
  <si>
    <t>V100012</t>
  </si>
  <si>
    <t>[2010] 한국공항 화물터미널C동 및 지상조업A동 네트워크장비</t>
  </si>
  <si>
    <t>V100011</t>
  </si>
  <si>
    <t>인하대학교 통합그룹웨어 서비스 사업</t>
  </si>
  <si>
    <t>V100010</t>
  </si>
  <si>
    <t>[2010] 대한항공 프린터 출력물관리서비스</t>
  </si>
  <si>
    <t>대한항공NOS그룹</t>
  </si>
  <si>
    <t>류현동</t>
  </si>
  <si>
    <t>V100009</t>
  </si>
  <si>
    <t>[2010] 한진드림익스프레스 단말장비 유지보수</t>
  </si>
  <si>
    <t>V100008</t>
  </si>
  <si>
    <t>[2010] 유니컨버스(주) DTO서비스</t>
  </si>
  <si>
    <t>V100007</t>
  </si>
  <si>
    <t>[2010] 인하대병원 유선네트워크 및 원격 백업체계 아웃소싱</t>
  </si>
  <si>
    <t>V100006</t>
  </si>
  <si>
    <t>[2010] SITA 서울사무소와 대한항공 전산센터간 네트워크 서비스</t>
  </si>
  <si>
    <t>신학섭</t>
  </si>
  <si>
    <t>시타인포메이션네트워킹컴퓨터비브이</t>
  </si>
  <si>
    <t>V100005</t>
  </si>
  <si>
    <t>한국글로발로지스틱스시스템 통합그룹웨어 사업</t>
  </si>
  <si>
    <t>V100004</t>
  </si>
  <si>
    <t>한덱스 VAN 사업</t>
  </si>
  <si>
    <t>V100003</t>
  </si>
  <si>
    <t>토파스 UMS Application 운영 및 유지보수</t>
  </si>
  <si>
    <t>V100002</t>
  </si>
  <si>
    <t>한국글로발로지스틱스시스템 CDMP Application 유지보수</t>
  </si>
  <si>
    <t>V100001</t>
  </si>
  <si>
    <t>한진관광 VAN 서비스 사업</t>
  </si>
  <si>
    <t>V090069</t>
  </si>
  <si>
    <t>[2009] 진에어-아마데우스 네트워크 연동서비스</t>
  </si>
  <si>
    <t>박영헌</t>
  </si>
  <si>
    <t>박장호</t>
  </si>
  <si>
    <t>V090068</t>
  </si>
  <si>
    <t>전자세금계산서 ASP 서비스 사업</t>
  </si>
  <si>
    <t>넷매니아</t>
  </si>
  <si>
    <t>V090067</t>
  </si>
  <si>
    <t>호미오세라피 통합그룹웨어 서비스 사업</t>
  </si>
  <si>
    <t>호미오세라피(주)(폐업 2014.6.17)</t>
  </si>
  <si>
    <t>V090066</t>
  </si>
  <si>
    <t>정석기업 통합그룹웨어 서비스 사업</t>
  </si>
  <si>
    <t>V090065</t>
  </si>
  <si>
    <t>[2009] 한진 PDA 단말장비 유지보수사업</t>
  </si>
  <si>
    <t>V090064</t>
  </si>
  <si>
    <t>[2009] 유니컨버스 Hosting 서비스운영 계약</t>
  </si>
  <si>
    <t>V090063</t>
  </si>
  <si>
    <t>[2009] 정석기업 DTO서비스</t>
  </si>
  <si>
    <t>V090062</t>
  </si>
  <si>
    <t>[2009] 정석기업 전산통신공사</t>
  </si>
  <si>
    <t>V090061</t>
  </si>
  <si>
    <t>인하대병원 시스템 유지보수</t>
  </si>
  <si>
    <t>V090060</t>
  </si>
  <si>
    <t>㈜한진지티앤에스 통합그룹웨어 서비스 사업</t>
  </si>
  <si>
    <t>김제묵</t>
  </si>
  <si>
    <t>주식회사 한진지티앤에스(폐업 2012.4.3)</t>
  </si>
  <si>
    <t>V090059</t>
  </si>
  <si>
    <t>정석학원 통합그룹웨어서비스 사업</t>
  </si>
  <si>
    <t>(학)정석학원</t>
  </si>
  <si>
    <t>V090058</t>
  </si>
  <si>
    <t>[SM]한덱스 전산 유지보수 업무 대행 도급</t>
  </si>
  <si>
    <t>한진SM그룹</t>
  </si>
  <si>
    <t>차영규</t>
  </si>
  <si>
    <t>박상하</t>
  </si>
  <si>
    <t>[2009] 에어코리아 한진넷사업</t>
  </si>
  <si>
    <t>V090056</t>
  </si>
  <si>
    <t>유니컨버스 통합그룹웨어 서비스 사업</t>
  </si>
  <si>
    <t>V090055</t>
  </si>
  <si>
    <t>[SM]대한항공 ERP Appl 유지보수</t>
  </si>
  <si>
    <t>V090054</t>
  </si>
  <si>
    <t>[2009] 한국공항 전산통신공사</t>
  </si>
  <si>
    <t>V090053</t>
  </si>
  <si>
    <t>[2009] 한진관광 전산통신공사</t>
  </si>
  <si>
    <t>[2009] 진에어 전산통신공사</t>
  </si>
  <si>
    <t>V090051</t>
  </si>
  <si>
    <t>[2009] 대한항공 전산통신공사</t>
  </si>
  <si>
    <t>V090050</t>
  </si>
  <si>
    <t>[2009] S-OIL 단말장비 유지보수사업</t>
  </si>
  <si>
    <t>V090049</t>
  </si>
  <si>
    <t>[2009] S-OIL 네트워크 아웃소싱사업</t>
  </si>
  <si>
    <t>V090048</t>
  </si>
  <si>
    <t>[2009] 한진드림익스프레스 한진넷사업</t>
  </si>
  <si>
    <t>신창수</t>
  </si>
  <si>
    <t>V090047</t>
  </si>
  <si>
    <t>한덱스 데이타센타 사업</t>
  </si>
  <si>
    <t>V090046</t>
  </si>
  <si>
    <t>[2009] 인천급유시설 정비사업</t>
  </si>
  <si>
    <t>인천국제공항급유시설(주)</t>
  </si>
  <si>
    <t>V090045</t>
  </si>
  <si>
    <t>대한항공 ERP Tech S/W 운영/유지보수(IT)</t>
  </si>
  <si>
    <t>심일남</t>
  </si>
  <si>
    <t>V090044</t>
  </si>
  <si>
    <t>한국공항 VAN사업</t>
  </si>
  <si>
    <t>V090043</t>
  </si>
  <si>
    <t>대한항공 VAN사업</t>
  </si>
  <si>
    <t>V090042</t>
  </si>
  <si>
    <t>인천국제공항 급유시설 메일계정 서비스</t>
  </si>
  <si>
    <t>대한항공 통합그룹웨어(한웨이)서비스사업</t>
  </si>
  <si>
    <t>V090040</t>
  </si>
  <si>
    <t>(주)한진 On-Demand사업</t>
  </si>
  <si>
    <t>V090039</t>
  </si>
  <si>
    <t>토파스 On-Demand사업</t>
  </si>
  <si>
    <t>V090038</t>
  </si>
  <si>
    <t>한진관광 On-Demand 사업</t>
  </si>
  <si>
    <t>V090037</t>
  </si>
  <si>
    <t>한국공항 데이타센타사업</t>
  </si>
  <si>
    <t>한국공항(주) On-Demand 사업</t>
  </si>
  <si>
    <t>V090035</t>
  </si>
  <si>
    <t>토파스 데이타센타사업</t>
  </si>
  <si>
    <t>V090034</t>
  </si>
  <si>
    <t>한진 물류연구원 웹호스팅 서비스 사업</t>
  </si>
  <si>
    <t>V090033</t>
  </si>
  <si>
    <t>싸이버스카이 데이타센타 사업</t>
  </si>
  <si>
    <t>[2009] 한국공항 정비사업</t>
  </si>
  <si>
    <t>[2009] 한국공항 한진넷사업</t>
  </si>
  <si>
    <t>V090030</t>
  </si>
  <si>
    <t>[SM]인하대병원 전산운영 서비스</t>
  </si>
  <si>
    <t>이광수</t>
  </si>
  <si>
    <t>V090029</t>
  </si>
  <si>
    <t>[SM]토파스 TAS 전산운영 업무</t>
  </si>
  <si>
    <t>홍환구</t>
  </si>
  <si>
    <t>V090028</t>
  </si>
  <si>
    <t>[2009] 인천하얏트호텔 별정통신사업</t>
  </si>
  <si>
    <t>V090027</t>
  </si>
  <si>
    <t>[2009] 진에어 별정통신사업</t>
  </si>
  <si>
    <t>재과금(별정)</t>
  </si>
  <si>
    <t>V090026</t>
  </si>
  <si>
    <t>[2009] 토파스여행정보 별정통신사업</t>
  </si>
  <si>
    <t>V090025</t>
  </si>
  <si>
    <t>[2009] 한국공항 별정통신사업</t>
  </si>
  <si>
    <t>V090024</t>
  </si>
  <si>
    <t>[2009] SK브로드밴드 재과금수수료</t>
  </si>
  <si>
    <t>V090023</t>
  </si>
  <si>
    <t>[2009] KT 재과금수수료</t>
  </si>
  <si>
    <t>KT</t>
  </si>
  <si>
    <t>[2009] 한진 전산통신공사</t>
  </si>
  <si>
    <t>V090021</t>
  </si>
  <si>
    <t>[2009] 별정통신사업(재과금서비스)</t>
  </si>
  <si>
    <t>케이티</t>
  </si>
  <si>
    <t>[2009] ARINC CUS_BRS 서비스</t>
  </si>
  <si>
    <t>ARINC INCORPORATED</t>
  </si>
  <si>
    <t>V090019</t>
  </si>
  <si>
    <t>[2009] 한국씨티은행 한진넷사업</t>
  </si>
  <si>
    <t>(주)한국씨티은행</t>
  </si>
  <si>
    <t>V090018</t>
  </si>
  <si>
    <t>[2009] 현대카드 한진넷사업</t>
  </si>
  <si>
    <t>현대카드(주)</t>
  </si>
  <si>
    <t>V090017</t>
  </si>
  <si>
    <t>[2009] 비씨카드 한진넷사업</t>
  </si>
  <si>
    <t>이한웅</t>
  </si>
  <si>
    <t>비씨카드</t>
  </si>
  <si>
    <t>V090016</t>
  </si>
  <si>
    <t>[2009] IBM Operation 서비스 계약</t>
  </si>
  <si>
    <t>V090015</t>
  </si>
  <si>
    <t>[2009] 한진 PDA유지보수사업</t>
  </si>
  <si>
    <t>V090014</t>
  </si>
  <si>
    <t>[2009] 인하대병원 정비사업</t>
  </si>
  <si>
    <t>V090013</t>
  </si>
  <si>
    <t>[2009] 하이큐스 정비사업(시스템 서비스)</t>
  </si>
  <si>
    <t>하이큐스</t>
  </si>
  <si>
    <t>V090012</t>
  </si>
  <si>
    <t>[2009] 인천하얏트호텔 정비사업</t>
  </si>
  <si>
    <t>칼호텔네트워크(인천하얏트)</t>
  </si>
  <si>
    <t>V090011</t>
  </si>
  <si>
    <t>[2009] 대한항공 정비사업</t>
  </si>
  <si>
    <t>V090010</t>
  </si>
  <si>
    <t>[2009] 유니에스 한진넷사업</t>
  </si>
  <si>
    <t>[2009] 한진관광 한진넷사업</t>
  </si>
  <si>
    <t>[2009] 한진관광 정비사업</t>
  </si>
  <si>
    <t>V090007</t>
  </si>
  <si>
    <t>[2009] 대한항공 네트워크 아웃소싱사업</t>
  </si>
  <si>
    <t>V090006</t>
  </si>
  <si>
    <t>테스트 서비스 프로젝트</t>
  </si>
  <si>
    <t>제일제당 (주) 대한항공점(폐업)</t>
  </si>
  <si>
    <t>V090005</t>
  </si>
  <si>
    <t>[2009] 대한항공 서비스센타운영사업</t>
  </si>
  <si>
    <t>신수철</t>
  </si>
  <si>
    <t>V090004</t>
  </si>
  <si>
    <t>[2009] 토파스여행정보 정비사업</t>
  </si>
  <si>
    <t>[2009] 토파스여행정보 한진넷사업</t>
  </si>
  <si>
    <t>V090002</t>
  </si>
  <si>
    <t>[2009] 아카넷티비 DTO사업</t>
  </si>
  <si>
    <t>(주)아카넷티비</t>
  </si>
  <si>
    <t>[2009] 대한항공 DTS사업</t>
  </si>
  <si>
    <t>V080043</t>
  </si>
  <si>
    <t>(주)한진 VAN사업</t>
  </si>
  <si>
    <t>V080042</t>
  </si>
  <si>
    <t>토파스 VAN 서비스 사업</t>
  </si>
  <si>
    <t>강대철</t>
  </si>
  <si>
    <t>V080041</t>
  </si>
  <si>
    <t>V080040</t>
  </si>
  <si>
    <t>하이큐스 데이타센타 사업</t>
  </si>
  <si>
    <t>V080039</t>
  </si>
  <si>
    <t>한진관광 데이타센타 사업</t>
  </si>
  <si>
    <t>(주)한진관광 (폐업2013.2.1)</t>
  </si>
  <si>
    <t>V080038</t>
  </si>
  <si>
    <t>유니컨버스 Hosting 기술지원 및 SW 유지보수 (INFRA서비스1팀)</t>
  </si>
  <si>
    <t>V080037</t>
  </si>
  <si>
    <t>(주)한진 데이타센타 사업</t>
  </si>
  <si>
    <t>[SM]한국공항 전산업무 대행 도급</t>
  </si>
  <si>
    <t>한국공항그룹</t>
  </si>
  <si>
    <t>[SM](주)한진 전산업무 대행 도급</t>
  </si>
  <si>
    <t>박종수</t>
  </si>
  <si>
    <t>V080034</t>
  </si>
  <si>
    <t>[2008-SYS]인하대병원 PACS 유지보수</t>
  </si>
  <si>
    <t>V080033</t>
  </si>
  <si>
    <t>[2008] 인하대병원 DTO사업</t>
  </si>
  <si>
    <t>[2008] 한국공항 DTO사업</t>
  </si>
  <si>
    <t>V080031</t>
  </si>
  <si>
    <t>[2008] 인천급유시설 DTO사업</t>
  </si>
  <si>
    <t>[2008] 에어코리아 DTO사업</t>
  </si>
  <si>
    <t>V080029</t>
  </si>
  <si>
    <t>[2008] 한진관광 DTO사업</t>
  </si>
  <si>
    <t>V080028</t>
  </si>
  <si>
    <t>[2008] 토파스여행정보 DTO사업</t>
  </si>
  <si>
    <t>[2008] 한진 정비사업</t>
  </si>
  <si>
    <t>[2008] 한진 한진넷서비스</t>
  </si>
  <si>
    <t>V080025</t>
  </si>
  <si>
    <t>[2008] 유니컨버스 SBC 라이센스 업그레이드(물품판매)</t>
  </si>
  <si>
    <t>시스템판매</t>
  </si>
  <si>
    <t>시스템판매수익</t>
  </si>
  <si>
    <t>V080024</t>
  </si>
  <si>
    <t>[2008] 한국글로발로지스틱스 한진넷사업</t>
  </si>
  <si>
    <t>V080023</t>
  </si>
  <si>
    <t>[SM]대한항공 인력개발센터 지원</t>
  </si>
  <si>
    <t>이정보</t>
  </si>
  <si>
    <t>V080022</t>
  </si>
  <si>
    <t>[SM]대한항공 항공우주 전산업무 도급-XW에 통합(사용불가)</t>
  </si>
  <si>
    <t>김정섭</t>
  </si>
  <si>
    <t>V080021</t>
  </si>
  <si>
    <t>[SM]대한항공 인천공항 화물/기내식 전산운영(SM)</t>
  </si>
  <si>
    <t>[SM]대한항공 XW 전산업무 대행 도급</t>
  </si>
  <si>
    <t>V080019</t>
  </si>
  <si>
    <t>정석인하학원 통합그룹웨어서비스 사업</t>
  </si>
  <si>
    <t>V080018</t>
  </si>
  <si>
    <t>한국공항 통합그룹웨어서비스 사업</t>
  </si>
  <si>
    <t>V080017</t>
  </si>
  <si>
    <t>한덱스 통합그룹웨어서비스 사업</t>
  </si>
  <si>
    <t>V080016</t>
  </si>
  <si>
    <t>[2008]인하대병원 시스템 유지보수(SM)</t>
  </si>
  <si>
    <t>[SM]진에어 전산 유지보수 업무 대행</t>
  </si>
  <si>
    <t>V080014</t>
  </si>
  <si>
    <t>[SM2008]토파스 Value Office Pro 시스템 유지보수</t>
  </si>
  <si>
    <t>토파스SM그룹</t>
  </si>
  <si>
    <t>정성호</t>
  </si>
  <si>
    <t>V080013</t>
  </si>
  <si>
    <t>㈜에어코리아 Server On-Demand 서비스 사업</t>
  </si>
  <si>
    <t>V080012</t>
  </si>
  <si>
    <t>[2008] 에어코리아 정비사업(정보시스템 서비스)</t>
  </si>
  <si>
    <t>V080011</t>
  </si>
  <si>
    <t>[2008] 유니컨버스 네트워크 이중화 구축 (물품판매)</t>
  </si>
  <si>
    <t>V080010</t>
  </si>
  <si>
    <t>정림건축 IT아웃소싱 사업</t>
  </si>
  <si>
    <t>정림건축종합건축사사무소</t>
  </si>
  <si>
    <t>V080009</t>
  </si>
  <si>
    <t>진에어 On-Demand 사업</t>
  </si>
  <si>
    <t>V080008</t>
  </si>
  <si>
    <t>대한항공 무인발권기 (kiosk) 유지보수사업</t>
  </si>
  <si>
    <t>V080007</t>
  </si>
  <si>
    <t>[2008] 진에어 한진넷사업</t>
  </si>
  <si>
    <t>V080006</t>
  </si>
  <si>
    <t>진에어 환경구축 시스템 물품공급</t>
  </si>
  <si>
    <t>원수연</t>
  </si>
  <si>
    <t>조철호</t>
  </si>
  <si>
    <t>V080005</t>
  </si>
  <si>
    <t>[2008] 유니컨버스 LAB시스템 환경구축(물품판매)</t>
  </si>
  <si>
    <t>V080004</t>
  </si>
  <si>
    <t>진에어 통합그룹웨어서비스사업</t>
  </si>
  <si>
    <t>V080002</t>
  </si>
  <si>
    <t>토파스 통합그룹웨어서비스사업</t>
  </si>
  <si>
    <t>V080001</t>
  </si>
  <si>
    <t>한국글로발로지스틱스시스템 On-Demand</t>
  </si>
  <si>
    <t>V070011</t>
  </si>
  <si>
    <t>[SM]대한항공 ERP Legacy시스템 유지보수</t>
  </si>
  <si>
    <t>홍순언</t>
  </si>
  <si>
    <t>박중식</t>
  </si>
  <si>
    <t>V070010</t>
  </si>
  <si>
    <t>[2007] 유니컨버스 한진넷사업(EVS 운영서비스)</t>
  </si>
  <si>
    <t>V070009</t>
  </si>
  <si>
    <t>유니컨버스 HMC 운영서비스 (IT사업팀)</t>
  </si>
  <si>
    <t>V070008</t>
  </si>
  <si>
    <t>[SM2007]토파스 Value Office II 유지보수</t>
  </si>
  <si>
    <t>V070007</t>
  </si>
  <si>
    <t>한진관광 통합그룹웨어서비스사업</t>
  </si>
  <si>
    <t>V070006</t>
  </si>
  <si>
    <t>V070005</t>
  </si>
  <si>
    <t>유니컨버스 On-Demand 사업</t>
  </si>
  <si>
    <t>V070004</t>
  </si>
  <si>
    <t>유니컨버스 UC서비스 환경구축(IT사업팀)</t>
  </si>
  <si>
    <t>임준호</t>
  </si>
  <si>
    <t>V070003</t>
  </si>
  <si>
    <t>[2008] 유니컨버스 UC서비스 환경구축(물품판매)</t>
  </si>
  <si>
    <t>V070002</t>
  </si>
  <si>
    <t>그룹사 내부회계관리시스템 서비스</t>
  </si>
  <si>
    <t>V061865</t>
  </si>
  <si>
    <t>[2008]그룹사 홈페이지 유지보수(SM)</t>
  </si>
  <si>
    <t>이진아</t>
  </si>
  <si>
    <t>V061864</t>
  </si>
  <si>
    <t>V061863</t>
  </si>
  <si>
    <t>[2006] 정석기업 DTO서비스</t>
  </si>
  <si>
    <t>V061862</t>
  </si>
  <si>
    <t>V061831</t>
  </si>
  <si>
    <t>인천국제공항 CUS/BRS 사업</t>
  </si>
  <si>
    <t>V061767</t>
  </si>
  <si>
    <t>기타회사 Ondemand사업</t>
  </si>
  <si>
    <t>기타회사(NW사업관련)</t>
  </si>
  <si>
    <t>V061759</t>
  </si>
  <si>
    <t>한진-통합그룹웨어서비스사업</t>
  </si>
  <si>
    <t>V061758</t>
  </si>
  <si>
    <t>대한항공-통합그룹웨어서비스사업</t>
  </si>
  <si>
    <t>V061729</t>
  </si>
  <si>
    <t>인천공항 CUS Up-Grade 및 교체</t>
  </si>
  <si>
    <t>ICT/미디어플랫폼그룹</t>
  </si>
  <si>
    <t>김명동</t>
  </si>
  <si>
    <t>V061670</t>
  </si>
  <si>
    <t>인하대병원 PACS 유지보수(SM)</t>
  </si>
  <si>
    <t>V051626</t>
  </si>
  <si>
    <t>V051593</t>
  </si>
  <si>
    <t>대한항공 화학물질관리시스템 구축</t>
  </si>
  <si>
    <t>V051592</t>
  </si>
  <si>
    <t>대한항공 항공기부품 회계처리 개선사업</t>
  </si>
  <si>
    <t>V051543</t>
  </si>
  <si>
    <t>토파스 ECS 개발</t>
  </si>
  <si>
    <t>김종학</t>
  </si>
  <si>
    <t>V051542</t>
  </si>
  <si>
    <t>토파스 WAS 유지보수</t>
  </si>
  <si>
    <t>V051541</t>
  </si>
  <si>
    <t>인하대병원 시스템 유지보수(SM)</t>
  </si>
  <si>
    <t>V051529</t>
  </si>
  <si>
    <t>하나로 별정통신사업</t>
  </si>
  <si>
    <t>하나로통신</t>
  </si>
  <si>
    <t>V051527</t>
  </si>
  <si>
    <t>하얏트 별정통신사업</t>
  </si>
  <si>
    <t>V051526</t>
  </si>
  <si>
    <t>토파스 별정통신사업</t>
  </si>
  <si>
    <t>V051525</t>
  </si>
  <si>
    <t>(주)한진 별정통신사업</t>
  </si>
  <si>
    <t>V051524</t>
  </si>
  <si>
    <t>한국공항 별정통신사업</t>
  </si>
  <si>
    <t>V051523</t>
  </si>
  <si>
    <t>대한항공 별정통신사업</t>
  </si>
  <si>
    <t>V051514</t>
  </si>
  <si>
    <t>KAL 객실 통합승무지원시스템 개발</t>
  </si>
  <si>
    <t>윤경봉</t>
  </si>
  <si>
    <t>V051501</t>
  </si>
  <si>
    <t>한진관광 DTO사업</t>
  </si>
  <si>
    <t>V051478</t>
  </si>
  <si>
    <t>V051477</t>
  </si>
  <si>
    <t>V051362</t>
  </si>
  <si>
    <t>기타회사 DTO사업</t>
  </si>
  <si>
    <t>V051361</t>
  </si>
  <si>
    <t>토파스 DTO사업</t>
  </si>
  <si>
    <t>V051352</t>
  </si>
  <si>
    <t>대한항공 DTO사업</t>
  </si>
  <si>
    <t>V051351</t>
  </si>
  <si>
    <t>인천급유 DTO사업</t>
  </si>
  <si>
    <t>V051350</t>
  </si>
  <si>
    <t>인하대병원 DTO사업</t>
  </si>
  <si>
    <t>V051349</t>
  </si>
  <si>
    <t>한국공항 DTO사업</t>
  </si>
  <si>
    <t>V051348</t>
  </si>
  <si>
    <t>(주)한진 DTO사업</t>
  </si>
  <si>
    <t>박상진</t>
  </si>
  <si>
    <t>V051208</t>
  </si>
  <si>
    <t>기타회사 데이타센타사업</t>
  </si>
  <si>
    <t>V051207</t>
  </si>
  <si>
    <t>기타회사 VAN사업</t>
  </si>
  <si>
    <t>V051186</t>
  </si>
  <si>
    <t>V051178</t>
  </si>
  <si>
    <t>V051176</t>
  </si>
  <si>
    <t>V051174</t>
  </si>
  <si>
    <t>(주)한진 데이타센타사업</t>
  </si>
  <si>
    <t>V051166</t>
  </si>
  <si>
    <t>V041319</t>
  </si>
  <si>
    <t>대한항공 인천공항/기내식 전산운영(SM)</t>
  </si>
  <si>
    <t>V041318</t>
  </si>
  <si>
    <t>토파스 TAS 전산운영 업무(SM)</t>
  </si>
  <si>
    <t>V041317</t>
  </si>
  <si>
    <t>대한항공 항공우주 전산업무 도급(SM)</t>
  </si>
  <si>
    <t>V041316</t>
  </si>
  <si>
    <t>대한항공 인력개발센터 지원(SM)</t>
  </si>
  <si>
    <t>V041313</t>
  </si>
  <si>
    <t>대한항공 XW 전산업무 대행 도급(SM)</t>
  </si>
  <si>
    <t>V041310</t>
  </si>
  <si>
    <t>인하대병원 전산운영 서비스(SM)</t>
  </si>
  <si>
    <t>V041308</t>
  </si>
  <si>
    <t>(주)한진 전산업무 대행 도급(SM)</t>
  </si>
  <si>
    <t>V041307</t>
  </si>
  <si>
    <t>한국공항 전산업무 대행 도급(SM)</t>
  </si>
  <si>
    <t>한국공항SM그룹</t>
  </si>
  <si>
    <t>김영대</t>
  </si>
  <si>
    <t>V041227</t>
  </si>
  <si>
    <t>(주)한진 정비사업</t>
  </si>
  <si>
    <t>V041210</t>
  </si>
  <si>
    <t>기타회사 정비사업</t>
  </si>
  <si>
    <t>V041206</t>
  </si>
  <si>
    <t>기타회사 별정통신사업</t>
  </si>
  <si>
    <t>V041204</t>
  </si>
  <si>
    <t>기타회사 한진넷사업</t>
  </si>
  <si>
    <t>V041191</t>
  </si>
  <si>
    <t>한진관광 정비사업</t>
  </si>
  <si>
    <t>V041189</t>
  </si>
  <si>
    <t>한진관광 한진넷사업</t>
  </si>
  <si>
    <t>V041188</t>
  </si>
  <si>
    <t>한국공항 정비사업</t>
  </si>
  <si>
    <t>V041185</t>
  </si>
  <si>
    <t>V041183</t>
  </si>
  <si>
    <t>한국공항 한진넷사업</t>
  </si>
  <si>
    <t>V041182</t>
  </si>
  <si>
    <t>대한항공 서비스센타운영</t>
  </si>
  <si>
    <t>V041181</t>
  </si>
  <si>
    <t>대한항공 아웃소싱사업</t>
  </si>
  <si>
    <t>V041179</t>
  </si>
  <si>
    <t>대한항공 정비사업</t>
  </si>
  <si>
    <t>V041177</t>
  </si>
  <si>
    <t>KT 별정통신사업</t>
  </si>
  <si>
    <t>V041172</t>
  </si>
  <si>
    <t>(주)한진 한진넷사업</t>
  </si>
  <si>
    <t>V041171</t>
  </si>
  <si>
    <t>메리츠화재 정비사업</t>
  </si>
  <si>
    <t>메리츠화재</t>
  </si>
  <si>
    <t>V041169</t>
  </si>
  <si>
    <t>메리츠화재 한진넷사업</t>
  </si>
  <si>
    <t>V041168</t>
  </si>
  <si>
    <t>토파스 정비사업</t>
  </si>
  <si>
    <t>V041164</t>
  </si>
  <si>
    <t>토파스 한진넷사업</t>
  </si>
  <si>
    <t>V021540</t>
  </si>
  <si>
    <t>인하대병원 PACS장비임대</t>
  </si>
  <si>
    <t>T240007</t>
  </si>
  <si>
    <t>[2024] HIST 사내 GWS 유지보수 TF</t>
  </si>
  <si>
    <t>경영지원팀</t>
  </si>
  <si>
    <t>한진정보통신(사용하지마세요)</t>
  </si>
  <si>
    <t>T240006</t>
  </si>
  <si>
    <t>[2024] HIST 자산관리시스템 고도화 TF</t>
  </si>
  <si>
    <t>사업전략팀</t>
  </si>
  <si>
    <t>계획 작성완료</t>
  </si>
  <si>
    <t>T240005</t>
  </si>
  <si>
    <t>[2024] HIST, 아시아나IDT 통합 추진 T/F</t>
  </si>
  <si>
    <t>T240004</t>
  </si>
  <si>
    <t>[2024] HIST 사내 RPA 개발 및 유지보수 TF</t>
  </si>
  <si>
    <t>T240003</t>
  </si>
  <si>
    <t>[2024] 국토교통과학기술진흥원(KAIA) UAM 교통관리 및 운항관리 자동화 핵심기술 개발 TF</t>
  </si>
  <si>
    <t>공항사업팀</t>
  </si>
  <si>
    <t>성노성</t>
  </si>
  <si>
    <t>국토교통과학기술진흥원</t>
  </si>
  <si>
    <t>공기업</t>
  </si>
  <si>
    <t>T240002</t>
  </si>
  <si>
    <t>[2024] 한진칼, 한웨이(New HANWAY) 2.0 프로젝트 추진 TF</t>
  </si>
  <si>
    <t>T240001</t>
  </si>
  <si>
    <t>[2024] 대한항공, 네트워크 센터 아웃소싱 제안 추진 T/F</t>
  </si>
  <si>
    <t>T230004</t>
  </si>
  <si>
    <t>[2023] 그룹사 IPCC 클라우드 전환 추진 TF</t>
  </si>
  <si>
    <t>박은상</t>
  </si>
  <si>
    <t>T230003</t>
  </si>
  <si>
    <t>[2023] 대한항공 방산망 사업 대응 TF</t>
  </si>
  <si>
    <t>T230002</t>
  </si>
  <si>
    <t>[2023] 대한항공, UAM 교통관리시스템 개발 공동구축 TF</t>
  </si>
  <si>
    <t>T230001</t>
  </si>
  <si>
    <t>대한항공 운항종합통제 포탈 구축 TF</t>
  </si>
  <si>
    <t>T220007</t>
  </si>
  <si>
    <t>[2022] HIST 역량 전환 TF</t>
  </si>
  <si>
    <t>방민석</t>
  </si>
  <si>
    <t>T220006</t>
  </si>
  <si>
    <t>[2022] New HR 시스템 구축 T/F</t>
  </si>
  <si>
    <t>T220005</t>
  </si>
  <si>
    <t>고운학원(수원대학교&amp;amp;amp;amp;amp;수원과학대) 정보시스템 통합 컨설팅</t>
  </si>
  <si>
    <t>김신영</t>
  </si>
  <si>
    <t>T220004</t>
  </si>
  <si>
    <t>[2022] 사내전산 시스템 클라우드 전환 TF</t>
  </si>
  <si>
    <t>T220003</t>
  </si>
  <si>
    <t>대한항공 3기 NOS 제안/입찰 T/F</t>
  </si>
  <si>
    <t>T220002</t>
  </si>
  <si>
    <t>[2022] 그룹사 AWS Connect 검토 추진 TF</t>
  </si>
  <si>
    <t>T220001</t>
  </si>
  <si>
    <t>[2022] 그룹사 IT서비스 관리체계 재구축 TF</t>
  </si>
  <si>
    <t>최대용</t>
  </si>
  <si>
    <t>T210005</t>
  </si>
  <si>
    <t>[2021] 한진관광 차세대정보시스템 구축을 위한 분석/설계 수립 용역 TF</t>
  </si>
  <si>
    <t>양승원</t>
  </si>
  <si>
    <t>T210004</t>
  </si>
  <si>
    <t>[2021] 그룹사 IT서비스 관리시스템 운영 TF</t>
  </si>
  <si>
    <t>T210003</t>
  </si>
  <si>
    <t>T210002</t>
  </si>
  <si>
    <t>HIST 사내 업무 시스템 운영 및 관리</t>
  </si>
  <si>
    <t>김성경</t>
  </si>
  <si>
    <t>변경 승인</t>
  </si>
  <si>
    <t>T210001</t>
  </si>
  <si>
    <t>[2021] HIST ERP 운영 PJT</t>
  </si>
  <si>
    <t>T200005</t>
  </si>
  <si>
    <t>[2020] 그룹사 IT서비스 관리시스템 구축 TF</t>
  </si>
  <si>
    <t>남궁철</t>
  </si>
  <si>
    <t>T200004</t>
  </si>
  <si>
    <t>[2020] 그룹사 UC 서비스 업그레이드 추진 TF</t>
  </si>
  <si>
    <t>인프라사업팀</t>
  </si>
  <si>
    <t>T200003</t>
  </si>
  <si>
    <t>[2020] 그룹사 단말장비 통합유지보수 계약갱신 추진 TF</t>
  </si>
  <si>
    <t>T200002</t>
  </si>
  <si>
    <t>HIST 관리회계 시스템 운영 및 유지보수 TF</t>
  </si>
  <si>
    <t>정태한</t>
  </si>
  <si>
    <t>계획 승인</t>
  </si>
  <si>
    <t>T200001</t>
  </si>
  <si>
    <t>[2020] 사내 전산 시스템 클라우드 전환 TF</t>
  </si>
  <si>
    <t>T195001</t>
  </si>
  <si>
    <t>[2019] HIST ERP Cloud 구축 PJT</t>
  </si>
  <si>
    <t>오경철</t>
  </si>
  <si>
    <t>T190003</t>
  </si>
  <si>
    <t>[2019] Cloud Migration Tiger Team 구성 TF</t>
  </si>
  <si>
    <t>클라우드사업팀</t>
  </si>
  <si>
    <t>INFRA Shared서비스팀</t>
  </si>
  <si>
    <t>T190002</t>
  </si>
  <si>
    <t>[2019] 한진정보통신 IT서비스 대가체계 개선 추진 TF</t>
  </si>
  <si>
    <t>SW거버넌스그룹</t>
  </si>
  <si>
    <t>T190001</t>
  </si>
  <si>
    <t>[2019] 대한항공 DTO 우선협상 TF</t>
  </si>
  <si>
    <t>T180004</t>
  </si>
  <si>
    <t>그룹사 서비스개선 Task</t>
  </si>
  <si>
    <t>신사업개발그룹</t>
  </si>
  <si>
    <t>BIZ서비스사업부</t>
  </si>
  <si>
    <t>T180003</t>
  </si>
  <si>
    <t>[TASK] 대한항공 DTO(Desktop Total Outsourcing) 제안</t>
  </si>
  <si>
    <t>T180002</t>
  </si>
  <si>
    <t>[TASK] 그룹통합콜센터시스템 업그레이드 구축</t>
  </si>
  <si>
    <t>컨텍센터운영팀</t>
  </si>
  <si>
    <t>T180001</t>
  </si>
  <si>
    <t>[TASK] CLOUD 전환 TF</t>
  </si>
  <si>
    <t>양성은</t>
  </si>
  <si>
    <t>INFRA서비스1팀</t>
  </si>
  <si>
    <t>T170004</t>
  </si>
  <si>
    <t>콜센터 운영 개선 TASK</t>
  </si>
  <si>
    <t>T170003</t>
  </si>
  <si>
    <t>모니터링테크 워킹그룹 운영 TASK</t>
  </si>
  <si>
    <t>유상훈</t>
  </si>
  <si>
    <t>IT사업부</t>
  </si>
  <si>
    <t>T170002</t>
  </si>
  <si>
    <t>클라우드 워킹그룹 운영 TASK</t>
  </si>
  <si>
    <t>INFRA서비스사업부</t>
  </si>
  <si>
    <t>T170001</t>
  </si>
  <si>
    <t>디지털테크 워킹그룹 운영 TASK</t>
  </si>
  <si>
    <t>김은희</t>
  </si>
  <si>
    <t>T160004</t>
  </si>
  <si>
    <t>[2016] 보안 거버넌스 체계 및 보안조직 구성 TASK</t>
  </si>
  <si>
    <t>T160003</t>
  </si>
  <si>
    <t>[2016] 그룹 통합 콜센타 시스템 재구축</t>
  </si>
  <si>
    <t>T160002</t>
  </si>
  <si>
    <t>학원 ERP 사전작업 TF [SM지원]</t>
  </si>
  <si>
    <t>심성현</t>
  </si>
  <si>
    <t>T160001</t>
  </si>
  <si>
    <t>[TASK] 건축구조물 측량관리 모니터링 시스템 솔루션 개발 상품화</t>
  </si>
  <si>
    <t>황원순</t>
  </si>
  <si>
    <t>ITO/솔루션사업팀</t>
  </si>
  <si>
    <t>건설</t>
  </si>
  <si>
    <t>T150002</t>
  </si>
  <si>
    <t>디지털 비즈니스 추진 TF</t>
  </si>
  <si>
    <t>솔루션사업그룹</t>
  </si>
  <si>
    <t>김성욱</t>
  </si>
  <si>
    <t>T150001</t>
  </si>
  <si>
    <t>[TASK] 항공관제시스템 사업화 추진</t>
  </si>
  <si>
    <t>IT사업팀</t>
  </si>
  <si>
    <t>국토해양부</t>
  </si>
  <si>
    <t>중앙정부</t>
  </si>
  <si>
    <t>T140002</t>
  </si>
  <si>
    <t>그룹사 ERP 추진전 사전 표준화 TF</t>
  </si>
  <si>
    <t>ERP그룹</t>
  </si>
  <si>
    <t>김원회</t>
  </si>
  <si>
    <t>임성재</t>
  </si>
  <si>
    <t>프로젝트서비스팀</t>
  </si>
  <si>
    <t>T140001</t>
  </si>
  <si>
    <t>2기 온디맨드 사업 추진 Task</t>
  </si>
  <si>
    <t>SYS기술그룹</t>
  </si>
  <si>
    <t>T135001</t>
  </si>
  <si>
    <t>13년 관리회계시스템 운영 T/F</t>
  </si>
  <si>
    <t>경영기획그룹</t>
  </si>
  <si>
    <t>권태정</t>
  </si>
  <si>
    <t>T130002</t>
  </si>
  <si>
    <t>(7차년도)연구과제_항공관제용 통합정보처리시스템(2단계)사업</t>
  </si>
  <si>
    <t>인하대학교산학협력단</t>
  </si>
  <si>
    <t>T130001</t>
  </si>
  <si>
    <t>우즈베키스탄 신규사업 추진</t>
  </si>
  <si>
    <t>변철호</t>
  </si>
  <si>
    <t>이상훈</t>
  </si>
  <si>
    <t>한국국제협력단</t>
  </si>
  <si>
    <t>T123001</t>
  </si>
  <si>
    <t>[공간정보2012]항공기 탑재용 수심측량장비 국산화 기술개발 기획연구</t>
  </si>
  <si>
    <t>공공사업팀</t>
  </si>
  <si>
    <t>위광재</t>
  </si>
  <si>
    <t>(주)한국해양과학기술</t>
  </si>
  <si>
    <t>GIS사업</t>
  </si>
  <si>
    <t>공간정보</t>
  </si>
  <si>
    <t>T120002</t>
  </si>
  <si>
    <t>(6차년도)연구과제_항공관제용 통합정보처리시스템(2단계)사업</t>
  </si>
  <si>
    <t>T120001</t>
  </si>
  <si>
    <t>한웨이 System Upgrade</t>
  </si>
  <si>
    <t>SW서비스그룹</t>
  </si>
  <si>
    <t>T115002</t>
  </si>
  <si>
    <t>사내 정보시스템(인사/급여/재무) 개선 T/F</t>
  </si>
  <si>
    <t>운영PMO그룹</t>
  </si>
  <si>
    <t>이복</t>
  </si>
  <si>
    <t>민병조</t>
  </si>
  <si>
    <t>인재개발그룹</t>
  </si>
  <si>
    <t>T115001</t>
  </si>
  <si>
    <t>원가관리체계 개선 T/F</t>
  </si>
  <si>
    <t>이용구</t>
  </si>
  <si>
    <t>T113001</t>
  </si>
  <si>
    <t>[task]목표달성을 위한 실천과제 추진</t>
  </si>
  <si>
    <t>GIS사업부문</t>
  </si>
  <si>
    <t>김승용</t>
  </si>
  <si>
    <t>T110002</t>
  </si>
  <si>
    <t>(5차년도)연구과제_항공관제용 통합정보처리시스템(2단계)사업</t>
  </si>
  <si>
    <t>T110001</t>
  </si>
  <si>
    <t>[Task]학원/병원 IT현안 추진</t>
  </si>
  <si>
    <t>T100003</t>
  </si>
  <si>
    <t>(4차년도)항공선진화를 위한 시스템 감시제어 및 S/W 정비시스템 개발 사업</t>
  </si>
  <si>
    <t>정우철</t>
  </si>
  <si>
    <t>T100002</t>
  </si>
  <si>
    <t>[2010] 그룹사 유지보수 Open Bidding TASK</t>
  </si>
  <si>
    <t>T100001</t>
  </si>
  <si>
    <t>모바일 Application 개발 Task</t>
  </si>
  <si>
    <t>T095001</t>
  </si>
  <si>
    <t>HIST-IBM 전략적 파트너쉽 TFT</t>
  </si>
  <si>
    <t>이기욱</t>
  </si>
  <si>
    <t>T093001</t>
  </si>
  <si>
    <t>[task]송현동부지 측량</t>
  </si>
  <si>
    <t>신영철</t>
  </si>
  <si>
    <t>정철두</t>
  </si>
  <si>
    <t>T090002</t>
  </si>
  <si>
    <t>(3차년도)항공선진화를 위한 시스템 감시제어 및 S/W 정비시스템 개발 사업</t>
  </si>
  <si>
    <t>T090001</t>
  </si>
  <si>
    <t>Oracle KAIST 학사행정구축 사업</t>
  </si>
  <si>
    <t>김태우</t>
  </si>
  <si>
    <t>한국오라클유한회사</t>
  </si>
  <si>
    <t>T083001</t>
  </si>
  <si>
    <t>[task]U-Eco City구축 사업</t>
  </si>
  <si>
    <t>용역수익</t>
  </si>
  <si>
    <t>T080003</t>
  </si>
  <si>
    <t>[task]항공사진측량기법을 적용한 지적 경계선 추출방안 연구</t>
  </si>
  <si>
    <t>대한지적공사</t>
  </si>
  <si>
    <t>T080002</t>
  </si>
  <si>
    <t>[task]1/25,000 대축척 수치지도 구축방안 연구</t>
  </si>
  <si>
    <t>이석재</t>
  </si>
  <si>
    <t>양정화</t>
  </si>
  <si>
    <t>T080001</t>
  </si>
  <si>
    <t>(2차년도)항공선진화를 위한 시스템 감시제어 및 S/W 정비시스템 개발 사업</t>
  </si>
  <si>
    <t>T074002</t>
  </si>
  <si>
    <t>[Task]Windows Vista 및 IE 7.0 호환성점검 T/F</t>
  </si>
  <si>
    <t>최명석</t>
  </si>
  <si>
    <t>아웃소싱수익</t>
  </si>
  <si>
    <t>T074001</t>
  </si>
  <si>
    <t>[Task]유니컨버스 설립/운영 관련</t>
  </si>
  <si>
    <t>INFRA서비스2팀</t>
  </si>
  <si>
    <t>신무성</t>
  </si>
  <si>
    <t>Infra운영수익</t>
  </si>
  <si>
    <t>T073002</t>
  </si>
  <si>
    <t>[사내PJT]수치사진측량 시스템(DPW) 개발</t>
  </si>
  <si>
    <t>김덕인</t>
  </si>
  <si>
    <t>T073001</t>
  </si>
  <si>
    <t>[사내PJT]측량내업 자동화(지상기준점의 조서)</t>
  </si>
  <si>
    <t>박효근</t>
  </si>
  <si>
    <t>T070007</t>
  </si>
  <si>
    <t>[task]서울형 공간정보 기술기반 구축</t>
  </si>
  <si>
    <t>INFRA서비스그룹</t>
  </si>
  <si>
    <t>이정일</t>
  </si>
  <si>
    <t>조형진</t>
  </si>
  <si>
    <t>서울시청</t>
  </si>
  <si>
    <t>지방정부</t>
  </si>
  <si>
    <t>T070006</t>
  </si>
  <si>
    <t>[task]지능형 국토정보 혁신과제</t>
  </si>
  <si>
    <t>김기옥</t>
  </si>
  <si>
    <t>T070005</t>
  </si>
  <si>
    <t>[Task]Mobile 엔진개발</t>
  </si>
  <si>
    <t>장영민</t>
  </si>
  <si>
    <t>T070004</t>
  </si>
  <si>
    <t>[Task]GVS 3D Image 엔진개발</t>
  </si>
  <si>
    <t>T070003</t>
  </si>
  <si>
    <t>[연구TF]디지털카메라 도입추진 타스크</t>
  </si>
  <si>
    <t>김갑진</t>
  </si>
  <si>
    <t>신형일</t>
  </si>
  <si>
    <t>T070002</t>
  </si>
  <si>
    <t>항공선진화를 위한 시스템 감시제어 및 소프트웨어 정비시스템 개발 사업</t>
  </si>
  <si>
    <t>이성대</t>
  </si>
  <si>
    <t>T070001</t>
  </si>
  <si>
    <t>[인천진흥원]RFID OS 임베디드 연구사업(2년차)</t>
  </si>
  <si>
    <t>장봉준</t>
  </si>
  <si>
    <t>인천정보산업진흥원</t>
  </si>
  <si>
    <t>T063001</t>
  </si>
  <si>
    <t>[관리Task]GIS S/W신기술개발(SDW)</t>
  </si>
  <si>
    <t>윤종선</t>
  </si>
  <si>
    <t>T060004</t>
  </si>
  <si>
    <t>모바일 엔진 개발 PJT</t>
  </si>
  <si>
    <t>공간정보기술팀</t>
  </si>
  <si>
    <t>T060003</t>
  </si>
  <si>
    <t>GVS 3D 엔진 개발 PJT</t>
  </si>
  <si>
    <t>성환두</t>
  </si>
  <si>
    <t>T060002</t>
  </si>
  <si>
    <t>대축적지도제작용 디지털카메라 실용화 연구(2차)</t>
  </si>
  <si>
    <t>공간정보산업협회</t>
  </si>
  <si>
    <t>T060001</t>
  </si>
  <si>
    <t>[인천진흥원]RFID OS 임베디드 연구사업</t>
  </si>
  <si>
    <t>S240187</t>
  </si>
  <si>
    <t>[판매품의] 국민대학교 시스템 접근제어/패스워드 관리시스템/웹 접근제어 Software</t>
  </si>
  <si>
    <t>국민대학교</t>
  </si>
  <si>
    <t>S240186</t>
  </si>
  <si>
    <t>대한항공 로봇작업 프로그래밍 라이선스</t>
  </si>
  <si>
    <t>S240185</t>
  </si>
  <si>
    <t>대한항공 전산장비(아이폰케이블3m*30개) 판매</t>
  </si>
  <si>
    <t>S240184</t>
  </si>
  <si>
    <t>판매품의_칼호텔네트워크 서귀포KAL호텔 한글ALA 9.0</t>
  </si>
  <si>
    <t>칼호텔네트워크(서귀포KAL호텔)</t>
  </si>
  <si>
    <t>S240183</t>
  </si>
  <si>
    <t>판매품의_한국공항 UiPath Studio X 솔루션 판매</t>
  </si>
  <si>
    <t>S240182</t>
  </si>
  <si>
    <t>한진 터미널기획운영팀 장비 판매 건(노트북3대, 모니터1대, IP폰1대)</t>
  </si>
  <si>
    <t>S240181</t>
  </si>
  <si>
    <t>한진 인력개발,수원택배 장비 판매 건(노트북2대,IP폰2대)</t>
  </si>
  <si>
    <t>S240180</t>
  </si>
  <si>
    <t>판매품의_에티버스, ㈜원티드랩 KT정보보안서비스용 보안장비(AXGATE)공급</t>
  </si>
  <si>
    <t>S240179</t>
  </si>
  <si>
    <t>한진 정보보안 메가허브팀 장비 판매 건(노트북1대,모니터1대,IP폰2대))</t>
  </si>
  <si>
    <t>S240178</t>
  </si>
  <si>
    <t>대한항공 항공우주사업본부 라이선스 (23년 4분기)</t>
  </si>
  <si>
    <t>S240177</t>
  </si>
  <si>
    <t>한진인천컨테이너터미널 장비 판매 건(노트북1, 모니터3)</t>
  </si>
  <si>
    <t>S240176</t>
  </si>
  <si>
    <t>메가스터디교육(주) Tgate SDP 보안솔루션 판매</t>
  </si>
  <si>
    <t>메가스터디교육</t>
  </si>
  <si>
    <t>S240175</t>
  </si>
  <si>
    <t>한진 글로벌사업개발 용인택배 장비 판매 건(노트북2 모니터3)</t>
  </si>
  <si>
    <t>S240174</t>
  </si>
  <si>
    <t>인천글로벌물류센터 장비 판매건 (IP폰 4대)</t>
  </si>
  <si>
    <t>S240173</t>
  </si>
  <si>
    <t>한진인천컨테이너터미널 장비 판매건 (PC1대, 모니터2대)</t>
  </si>
  <si>
    <t>S240172</t>
  </si>
  <si>
    <t>판매품의_에티버스,나무경영아카데미 KT정보보안서비스용 보안장비(AXGATE)공급</t>
  </si>
  <si>
    <t>S240171</t>
  </si>
  <si>
    <t>한진 평택택배지점 장비 판매 건(노트북1 모니터1)</t>
  </si>
  <si>
    <t>S240170</t>
  </si>
  <si>
    <t>한진 글로벌사업개발팀 장비 판매 건(노트북3 모니터1)</t>
  </si>
  <si>
    <t>S240169</t>
  </si>
  <si>
    <t>(주)휴데이터스 백신(알약) 갱신 판매</t>
  </si>
  <si>
    <t>S240168</t>
  </si>
  <si>
    <t>롯데웰푸드 외 Axgate RMA사업</t>
  </si>
  <si>
    <t>손주원</t>
  </si>
  <si>
    <t>에이치포넷</t>
  </si>
  <si>
    <t>S240167</t>
  </si>
  <si>
    <t>광주광역시교육청 외 Axgate RMA 사업</t>
  </si>
  <si>
    <t>S240166</t>
  </si>
  <si>
    <t>NHN두레이 외 Axgate RMA 사업</t>
  </si>
  <si>
    <t>S240165</t>
  </si>
  <si>
    <t>매일경제신문사 외 Axgate RMA사업</t>
  </si>
  <si>
    <t>S240164</t>
  </si>
  <si>
    <t>한진 남양주,양주 장비 판매 건(노트북 2대)</t>
  </si>
  <si>
    <t>S240163</t>
  </si>
  <si>
    <t>한진 해외재무관리팀 외 지점 4개 장비판매 (노트북1 IP폰5 모니터3)</t>
  </si>
  <si>
    <t>S240162</t>
  </si>
  <si>
    <t>한진 수입운영팀 장비 판매 건(데스크탑9대, 모니터9대)</t>
  </si>
  <si>
    <t>S240161</t>
  </si>
  <si>
    <t>[판매품의] 국민대학교 ON국민 서비스 운영플랫폼 Subscription 구입 (가상화)</t>
  </si>
  <si>
    <t>S240160</t>
  </si>
  <si>
    <t>[판매품의] 국민대학교 ON국민 서비스 운영플랫폼 Subscription 구입 (CVP)</t>
  </si>
  <si>
    <t>S240159</t>
  </si>
  <si>
    <t>한진인천컨테이너터미널 장비 판매건 (PC3대, 모니터1대)</t>
  </si>
  <si>
    <t>S240158</t>
  </si>
  <si>
    <t>한진 이커머스영업팀 장비 판매 건(노트북1대)</t>
  </si>
  <si>
    <t>S240157</t>
  </si>
  <si>
    <t>판매_대한항공 ADFS서버 전자인증서 판매 (갱신)</t>
  </si>
  <si>
    <t>S240156</t>
  </si>
  <si>
    <t>한진 인사관리팀 장비 판매 노트북 1대 IP폰 1대</t>
  </si>
  <si>
    <t>S240155</t>
  </si>
  <si>
    <t>한국자산관리공사 차세대 조세 정리시스템 서버 판매(1차 임대서버 판매)</t>
  </si>
  <si>
    <t>씨아이피시스템</t>
  </si>
  <si>
    <t>S240154</t>
  </si>
  <si>
    <t>인하대병원 PC본체 및 모니터 통합구매 7차</t>
  </si>
  <si>
    <t>S240153</t>
  </si>
  <si>
    <t>판매품의_한진 아시아미주 노트북2대</t>
  </si>
  <si>
    <t>S240152</t>
  </si>
  <si>
    <t>한진 포워딩영업울산물류 장비 판매 건(노트북2대)</t>
  </si>
  <si>
    <t>S240151</t>
  </si>
  <si>
    <t>한진 물류영업3팀 장비 판매 건(노트북1대)</t>
  </si>
  <si>
    <t>S240147</t>
  </si>
  <si>
    <t>대한항공 문서비교 라이선스 판매</t>
  </si>
  <si>
    <t>S240146</t>
  </si>
  <si>
    <t>한진 K패션솔루션팀 장비판매 건(노트북1대,모니터1대)</t>
  </si>
  <si>
    <t>S240145</t>
  </si>
  <si>
    <t>한진 법무팀 장비 판매 건(노트북1대)</t>
  </si>
  <si>
    <t>S240144</t>
  </si>
  <si>
    <t>[판매품의] 국민대학교 온라인강의 운영플랫폼 Subscription 구입 (UTM)</t>
  </si>
  <si>
    <t>S240143</t>
  </si>
  <si>
    <t>[판매품의] 국민대학교 온라인강의 운영플랫폼 Subscription 구입 (CVP)</t>
  </si>
  <si>
    <t>S240142</t>
  </si>
  <si>
    <t>[판매품의] 국민대학교 온라인강의 운영플랫폼 Subscription 구입 (VMware)</t>
  </si>
  <si>
    <t>S240141</t>
  </si>
  <si>
    <t>판매품의_한진울산신항운영 데스크탑2대 모니터2대 장비판매_202407</t>
  </si>
  <si>
    <t>한진울산신항운영</t>
  </si>
  <si>
    <t>S240140</t>
  </si>
  <si>
    <t>대한항공 항공우주사업본부 라이선스 (23년 3분기_2차.대전)</t>
  </si>
  <si>
    <t>S240139</t>
  </si>
  <si>
    <t>한진울산신항운영 장비 판매 건(데스크탑2대 모니터2대)</t>
  </si>
  <si>
    <t>S240138</t>
  </si>
  <si>
    <t>한진 포워딩운영팀 제주물류센터 장비 판매 건(노트북3대)</t>
  </si>
  <si>
    <t>S240137</t>
  </si>
  <si>
    <t>한진 마케팅 청주택배 장비 판매 건(노트북2대,모니터1대)</t>
  </si>
  <si>
    <t>S240136</t>
  </si>
  <si>
    <t>판매품의_에티버스, 신안군상하수도사업소 KT정보보안서비스용 보안장비(AXGATE)공급</t>
  </si>
  <si>
    <t>S240135</t>
  </si>
  <si>
    <t>인하대병원 PC본체 및 모니터 통합구매 6차</t>
  </si>
  <si>
    <t>S240134</t>
  </si>
  <si>
    <t>판매품의_한진 DT풀필집배점 노트북 3대 장비판매_202407</t>
  </si>
  <si>
    <t>S240132</t>
  </si>
  <si>
    <t>판매품의_에티버스, 아시아퍼시픽국제외국인학교 KT정보보안서비스용 보안장비(AXGATE)공급</t>
  </si>
  <si>
    <t>S240131</t>
  </si>
  <si>
    <t>판매품의_한진 80주년캠페인TF팀 노트북1대 장비판매_202407</t>
  </si>
  <si>
    <t>S240130</t>
  </si>
  <si>
    <t>판매품의_한진인천컨테이너터미널 데스크탑1대, 모니터2대 장비판매_202407</t>
  </si>
  <si>
    <t>S240129</t>
  </si>
  <si>
    <t>판매품의_한진부산컨테이너터미널 노트북3대 장비판매_202407</t>
  </si>
  <si>
    <t>S240128</t>
  </si>
  <si>
    <t>판매품의_에티버스, ㈜그린씨에스 KT정보보안서비스용 보안장비(AXGATE)공급</t>
  </si>
  <si>
    <t>S240126</t>
  </si>
  <si>
    <t>판매품의_한진 해상특송팀 노트북 2대, 프린터 3대 장비판매_202406</t>
  </si>
  <si>
    <t>S240125</t>
  </si>
  <si>
    <t>판매품의_한진 물류솔루션팀 노트북3대 장비판매_202406</t>
  </si>
  <si>
    <t>S240124</t>
  </si>
  <si>
    <t>판매품의_한진 인천택배지점 모니터1대_202406</t>
  </si>
  <si>
    <t>S240123</t>
  </si>
  <si>
    <t>대한항공 항공우주사업본부 라이선스 (23년 3분기_1차.부산)</t>
  </si>
  <si>
    <t>S240122</t>
  </si>
  <si>
    <t>판매품의_에티버스,㈜글로벌리서치 KT정보보안서비스용 보안장비(AXGATE)공급</t>
  </si>
  <si>
    <t>S240121</t>
  </si>
  <si>
    <t>판매품의_에티버스,㈜엔엔소프트 KT정보보안서비스용 보안장비(AXGATE)공급</t>
  </si>
  <si>
    <t>S240120</t>
  </si>
  <si>
    <t>한진 구매팀,안전보건,미주 장비 판매 건(노트북3대)</t>
  </si>
  <si>
    <t>S240119</t>
  </si>
  <si>
    <t>판매품의_한진 본사 수입관리팀(노트북1 모니터1) 장비 판매</t>
  </si>
  <si>
    <t>S240118</t>
  </si>
  <si>
    <t>판매품의_문화원 AI 인프라 사업</t>
  </si>
  <si>
    <t>S240117</t>
  </si>
  <si>
    <t>판매품의_한진 수입관리팀 전산장비(노트북1) 판매</t>
  </si>
  <si>
    <t>S240116</t>
  </si>
  <si>
    <t>한국공항 한컴오피스 한글(HWP) 판매</t>
  </si>
  <si>
    <t>S240115</t>
  </si>
  <si>
    <t>2024년 한진그룹 MS-EAS 판매(3년차)</t>
  </si>
  <si>
    <t>S240114</t>
  </si>
  <si>
    <t>판매품의_한진 국제물류팀 전산장비(모니터5) 판매</t>
  </si>
  <si>
    <t>S240113</t>
  </si>
  <si>
    <t>판매품의_한진 인천공항영업소 외 전산장비(노트북2) 판매</t>
  </si>
  <si>
    <t>S240112</t>
  </si>
  <si>
    <t>판매품의_한진 Mega-Hub 설비운영팀(노트북2) 전산장비 판매</t>
  </si>
  <si>
    <t>S240111</t>
  </si>
  <si>
    <t>판매품의_한진 재무팀 전산장비 판매(모니터3)</t>
  </si>
  <si>
    <t>S240110</t>
  </si>
  <si>
    <t>[변경품의]디지털아이텍 방사청 통합 시험시스템 인프라 공급 판매</t>
  </si>
  <si>
    <t>디지털아이텍</t>
  </si>
  <si>
    <t>S240109</t>
  </si>
  <si>
    <t>디지털아이텍 방사청 통합 시험시스템 인프라 공급 판매</t>
  </si>
  <si>
    <t>S240108</t>
  </si>
  <si>
    <t>판매품의_한진 글로벌사업개발팀(노트북1) 전산장비 판매</t>
  </si>
  <si>
    <t>S240106</t>
  </si>
  <si>
    <t>인하대병원 PC본체 및 모니터 통합구매 5차</t>
  </si>
  <si>
    <t>S240105</t>
  </si>
  <si>
    <t>판매품의_한진 본사 포워딩영업팀 전산장비 판매</t>
  </si>
  <si>
    <t>S240104</t>
  </si>
  <si>
    <t>판매품의_한진 안산택배지점 외 전산장비 판매</t>
  </si>
  <si>
    <t>S240103</t>
  </si>
  <si>
    <t>한진 인천국제지점 전산장비 판매</t>
  </si>
  <si>
    <t>S240102</t>
  </si>
  <si>
    <t>판매품의_한진 본사 설비운영팀 전산장비 판매</t>
  </si>
  <si>
    <t>S240101</t>
  </si>
  <si>
    <t>[판매품의] 인하대학교 전산실 항온항습기 및 공조기 압축기 교체건</t>
  </si>
  <si>
    <t>S240100</t>
  </si>
  <si>
    <t>대한항공 항공우주사업 발사체용 라이선스 판매</t>
  </si>
  <si>
    <t>S240099</t>
  </si>
  <si>
    <t>판매품의_한진인천컨테이너터미널 전산장비(모니터2, 0513발주) 판매</t>
  </si>
  <si>
    <t>진에어 운항훈련팀 IP폰(추가1대) 판매</t>
  </si>
  <si>
    <t>S240097</t>
  </si>
  <si>
    <t>판매품의_한진 인천택배지점(모니터1) 전산장비 판매</t>
  </si>
  <si>
    <t>S240096</t>
  </si>
  <si>
    <t>판매품의_에티버스,충남보건환경연구원 KT정보보안서비스용 보안장비(AXGATE)공급</t>
  </si>
  <si>
    <t>S240094</t>
  </si>
  <si>
    <t>판매품의_한양증권 UiPath Test 솔루션 판매</t>
  </si>
  <si>
    <t>아이디오티</t>
  </si>
  <si>
    <t>S240093</t>
  </si>
  <si>
    <t>2024년도 소형기상레이더 관측망 예비품 구매</t>
  </si>
  <si>
    <t>기상레이더센터</t>
  </si>
  <si>
    <t>S240092</t>
  </si>
  <si>
    <t>판매품의_에티버스,이도프라퍼티스(코어밸류) KT정보보안서비스용 보안장비(AXGATE)공급</t>
  </si>
  <si>
    <t>S240091</t>
  </si>
  <si>
    <t>판매품의_한진 포항 안전담당실 외 전산장비 판매</t>
  </si>
  <si>
    <t>S240090</t>
  </si>
  <si>
    <t>판매품의_한진인천컨테이너터미널 전산장비(모니터2) 판매</t>
  </si>
  <si>
    <t>S240089</t>
  </si>
  <si>
    <t>판매품의_한진 본사 법무실 전산장비 판매</t>
  </si>
  <si>
    <t>S240084</t>
  </si>
  <si>
    <t>한국공항 MS-Office 단품(엑셀 외) 판매</t>
  </si>
  <si>
    <t>S240082</t>
  </si>
  <si>
    <t>판매품의_한진인천컨테이너터미널 전산장비(IP폰) 판매</t>
  </si>
  <si>
    <t>S240081</t>
  </si>
  <si>
    <t>판매품의_한진 세종물류센터 외 전산장비 판매</t>
  </si>
  <si>
    <t>S240080</t>
  </si>
  <si>
    <t>대한항공 항전개조사업용 AutoCAD 라이선스 납품</t>
  </si>
  <si>
    <t>S240079</t>
  </si>
  <si>
    <t>판매품의_한진 고객서비스센터 외 전산장비 판매</t>
  </si>
  <si>
    <t>S240078</t>
  </si>
  <si>
    <t>판매품의_한진 중국아시아사업팀 전산장비 판매</t>
  </si>
  <si>
    <t>S240077</t>
  </si>
  <si>
    <t>케이에비에이션, 한컴 오피스 한글 ALA 1년 사용권 판매</t>
  </si>
  <si>
    <t>S240076</t>
  </si>
  <si>
    <t>한진관광 백신(알약) 판매(1년, 24년 갱신)</t>
  </si>
  <si>
    <t>S240075</t>
  </si>
  <si>
    <t>판매품의_CJ올리브네트웍스, 메일 아카이빙 솔루션 판매(Veritas)</t>
  </si>
  <si>
    <t>플랫폼영업그룹</t>
  </si>
  <si>
    <t>디에스티인터내셔날</t>
  </si>
  <si>
    <t>S240074</t>
  </si>
  <si>
    <t>대한항공 항공우주사업본부 라이선스 (24년 2분기)</t>
  </si>
  <si>
    <t>S240073</t>
  </si>
  <si>
    <t>판매품의_한진 고양시 일산동구지점 외(노트북3)</t>
  </si>
  <si>
    <t>S240072</t>
  </si>
  <si>
    <t>판매품의_한진 평택 및 대전유성지점 전산장비 판매</t>
  </si>
  <si>
    <t>S240071</t>
  </si>
  <si>
    <t>판매품의_한진 글로벌지원팀 외</t>
  </si>
  <si>
    <t>S240070</t>
  </si>
  <si>
    <t>판매품의_무안울산여수공항 레이더 현대화 사업_이동식 트랜스폰더 킷트 납품</t>
  </si>
  <si>
    <t>Thales LAS France SAS</t>
  </si>
  <si>
    <t>S240069</t>
  </si>
  <si>
    <t>판매품의_에티버스,시노트란스코리아쉬핑㈜ KT정보보안서비스용 보안장비(AXGATE)공급</t>
  </si>
  <si>
    <t>S240068</t>
  </si>
  <si>
    <t>판매품의_칼호텔네트워 IP-PHONE 1대 판매</t>
  </si>
  <si>
    <t>S240067</t>
  </si>
  <si>
    <t>판매품의_한진 광주광역시 택배지점 외 전산장비 판매</t>
  </si>
  <si>
    <t>S240065</t>
  </si>
  <si>
    <t>판매품의_한진부산컨테이너터미널 전산장비(노트북2) 판매</t>
  </si>
  <si>
    <t>S240064</t>
  </si>
  <si>
    <t>판매품의_한진 대구 동구지점 외 전산장비 판매</t>
  </si>
  <si>
    <t>S240063</t>
  </si>
  <si>
    <t>판매품의_한진 대전 유성지점 외 전산장비 판매</t>
  </si>
  <si>
    <t>S240062</t>
  </si>
  <si>
    <t>판매품의_부산 남구지점 외 전산장비 판매</t>
  </si>
  <si>
    <t>S240061</t>
  </si>
  <si>
    <t>판매품의_한진 군포지점 외 전산장비 판매</t>
  </si>
  <si>
    <t>S240059</t>
  </si>
  <si>
    <t>판매품의_한진 본사 외 전산장비 판매 (노트북 161대 외)</t>
  </si>
  <si>
    <t>S240058</t>
  </si>
  <si>
    <t>대한항공 3D 공파분석용(3DCS) 라이선스</t>
  </si>
  <si>
    <t>S240057</t>
  </si>
  <si>
    <t>대한항공 스텔스 메타구조 과제용</t>
  </si>
  <si>
    <t>S240055</t>
  </si>
  <si>
    <t>대한항공 KALMED(항공의료정보) 전자서명 솔루션 라이선스</t>
  </si>
  <si>
    <t>S240054</t>
  </si>
  <si>
    <t>판매품의_이씨뱅크 IP-PHONE 2대 판매</t>
  </si>
  <si>
    <t>이씨뱅크</t>
  </si>
  <si>
    <t>S240052</t>
  </si>
  <si>
    <t>판매품의_한진 중부지점 전산장비 판매</t>
  </si>
  <si>
    <t>S240050</t>
  </si>
  <si>
    <t>인하대병원 PC본체 및 모니터 통합구매 4차</t>
  </si>
  <si>
    <t>S240049</t>
  </si>
  <si>
    <t>판매품의_한진 인천택배지점 전산장비 판매</t>
  </si>
  <si>
    <t>S240048</t>
  </si>
  <si>
    <t>대한항공 무인항공기 라이선스 (24년 3월분)_변경품의</t>
  </si>
  <si>
    <t>S240047</t>
  </si>
  <si>
    <t>판매품의_Mega-Hub 설비운영팀 전산장비 판매(노트북3대 외)</t>
  </si>
  <si>
    <t>S240046</t>
  </si>
  <si>
    <t>판매품의_한진 Mega-Hub 설비운영팀 전산장비 판매(노트북2대 외)</t>
  </si>
  <si>
    <t>S240045</t>
  </si>
  <si>
    <t>판매품의_한진 강북택배지점 전산장비 판매</t>
  </si>
  <si>
    <t>S240044</t>
  </si>
  <si>
    <t>판매품의_한진 글로벌이커머스영업팀 전산장비 판매(노트북1 외)</t>
  </si>
  <si>
    <t>S240043</t>
  </si>
  <si>
    <t>판매품의_한진 평택택배지점 전산장비 판매</t>
  </si>
  <si>
    <t>S240042</t>
  </si>
  <si>
    <t>판매품의_인천택배지점 전산장비 판매</t>
  </si>
  <si>
    <t>S240041</t>
  </si>
  <si>
    <t>판매품의_Mega-Hub 설비운영팀 전산장비 판매</t>
  </si>
  <si>
    <t>S240040</t>
  </si>
  <si>
    <t>판매품의_한진 Mega-Hub 설비운영팀 전산장비 판매</t>
  </si>
  <si>
    <t>S240039</t>
  </si>
  <si>
    <t>S240038</t>
  </si>
  <si>
    <t>판매품의_한진 인천 부평지점 등 전산장비 판매</t>
  </si>
  <si>
    <t>S240037</t>
  </si>
  <si>
    <t>판매품의_한진 글로벌이커머스영업팀 전산장비 판매</t>
  </si>
  <si>
    <t>S240036</t>
  </si>
  <si>
    <t>인하대병원 PC본체 및 모니터 통합구매 3차</t>
  </si>
  <si>
    <t>S240034</t>
  </si>
  <si>
    <t>대한항공 무인항공기 라이선스 (24년 3월분)</t>
  </si>
  <si>
    <t>S240032</t>
  </si>
  <si>
    <t>대한항공 관세통관시스템용 S/W 라이선스(갱신)</t>
  </si>
  <si>
    <t>S240031</t>
  </si>
  <si>
    <t>(주)한진 대전지점 및 본사 전산장비(IP폰 25식) 판매</t>
  </si>
  <si>
    <t>S240030</t>
  </si>
  <si>
    <t>판매품의_한진 의정부 및 미주사업팀 전산장비(노트북) 판매</t>
  </si>
  <si>
    <t>S240028</t>
  </si>
  <si>
    <t>대한항공 무인항공기 SW 라이선스 공급 (24.1월)</t>
  </si>
  <si>
    <t>S240027</t>
  </si>
  <si>
    <t>대한항공 전사용 리포트 툴(OZ) 라이선스 판매</t>
  </si>
  <si>
    <t>S240026</t>
  </si>
  <si>
    <t>판매품의_한진 울산지점 전산장비(노트북) 판매</t>
  </si>
  <si>
    <t>S240025</t>
  </si>
  <si>
    <t>2023년 경기도교육청 미디어교육센터 방송 시스템 구축 사업 물품 구매 요청</t>
  </si>
  <si>
    <t>ICT영업그룹</t>
  </si>
  <si>
    <t>성호준</t>
  </si>
  <si>
    <t>경기도교육청북부청사</t>
  </si>
  <si>
    <t>미디어</t>
  </si>
  <si>
    <t>S240024</t>
  </si>
  <si>
    <t>판매품의_한진부산컨테이너터미널 전산장비 판매</t>
  </si>
  <si>
    <t>S240023</t>
  </si>
  <si>
    <t>(주)한진 목포택배지점 전산장비(노트북1,IP폰1) 판매</t>
  </si>
  <si>
    <t>S240022</t>
  </si>
  <si>
    <t>(주)한진 Mega-Hub 관리팀외1개지점 전산장비(노트북2대) 판매</t>
  </si>
  <si>
    <t>S240021</t>
  </si>
  <si>
    <t>대한항공 보잉 로봇장비 도입용</t>
  </si>
  <si>
    <t>S240020</t>
  </si>
  <si>
    <t>대한항공 우주개발사업용 MATLAB 패키지 판매</t>
  </si>
  <si>
    <t>S240019</t>
  </si>
  <si>
    <t>대한항공 중고도무인기 양산사업</t>
  </si>
  <si>
    <t>(주)한진 백암지점 B2B센터 전산장비(노트북1대) 판매</t>
  </si>
  <si>
    <t>(주)한진 대전Mega-Hub설비운영팀외2개팀 전산장비(노트북2,모니터2,IP폰2대) 판매</t>
  </si>
  <si>
    <t>(주)한진 물류사업본부 모니터1대 판매</t>
  </si>
  <si>
    <t>(주)한진 P&amp;amp;D영업팀 프린터1,모니터1대 판매</t>
  </si>
  <si>
    <t>(주)한진 미주사업팀외 3개팀 전산장비(노트북2,모니터1,IP폰2대) 판매</t>
  </si>
  <si>
    <t>(주)한진 글로벌이커머스운영팀 전산장비(모니터2,IP폰1대) 판매</t>
  </si>
  <si>
    <t>(주)한진 경인지점 물류영업팀외2개팀 전산장비(노트북1,IP폰3대) 판매</t>
  </si>
  <si>
    <t>(주)한진 메가허브네트워크운영팀 전산장비(노트북3대) 판매</t>
  </si>
  <si>
    <t>(주)한진 포워딩운영팀외 2개팀 전산장비(모니터12대) 판매</t>
  </si>
  <si>
    <t>(주)한진 인사관리팀 전산장비(노트북25대) 판매</t>
  </si>
  <si>
    <t>한진인천컨테이너터미널 리눅스 라이선스 판매(1년사용권)</t>
  </si>
  <si>
    <t>(주)한진 물류사업본부외 2개점소 전산장비(노트북1,데스크탑1,모니터1,IP폰2대) 판매</t>
  </si>
  <si>
    <t>S240001</t>
  </si>
  <si>
    <t>한진인천컨테이너터미널 전산장비(노트북1,데스크탑1,모니터2) 판매</t>
  </si>
  <si>
    <t>(주)한진 양주택배지점 전산장비(노트북1,모니터1,IP폰1대) 판매</t>
  </si>
  <si>
    <t>(주)한진 컨테이너사업팀 전산장비(노트북1,IP폰1대) 판매</t>
  </si>
  <si>
    <t>(주)한진 일산택배지점외 2개점소 전산장비(노트북1,IP폰3대) 판매</t>
  </si>
  <si>
    <t>S230231</t>
  </si>
  <si>
    <t>(주)한진 글로벌지원팀 전산장비(태블릿PC1대,모니터1대) 판매</t>
  </si>
  <si>
    <t>S230230</t>
  </si>
  <si>
    <t>한진칼 Google Meet 화상장비 구축</t>
  </si>
  <si>
    <t>S230229</t>
  </si>
  <si>
    <t>판매품의_에티버스, 세한피엔씨㈜ KT정보보안서비스용 보안장비(AXGATE)공급</t>
  </si>
  <si>
    <t>S230228</t>
  </si>
  <si>
    <t>판매품의_에티버스,㈜하이스틸(3차) KT정보보안서비스용 보안장비(AXGATE)공급</t>
  </si>
  <si>
    <t>S230227</t>
  </si>
  <si>
    <t>(주)한진 컴플라이언스팀외1팀 전산장비(노트북2대) 판매</t>
  </si>
  <si>
    <t>S230226</t>
  </si>
  <si>
    <t>(주)한진 김포공항운영팀외1개점소 전산장비(모니터3,IP폰1대) 판매</t>
  </si>
  <si>
    <t>S230225</t>
  </si>
  <si>
    <t>(주)한진 GDC운영팀 전산장비(노트북1,IP폰1대) 판매</t>
  </si>
  <si>
    <t>S230224</t>
  </si>
  <si>
    <t>한진인천컨테이너터미널 전산장비(노트북3대) 판매</t>
  </si>
  <si>
    <t>S230223</t>
  </si>
  <si>
    <t>토파스 원격지원솔루션 라이센스 판매(2024년)</t>
  </si>
  <si>
    <t>S230222</t>
  </si>
  <si>
    <t>(주)한진 GDC팀외1팀 전산장비(노트북2,모니터2,IP폰2대) 판매</t>
  </si>
  <si>
    <t>S230221</t>
  </si>
  <si>
    <t>(주)한진 총무팀외1팀 전산장비(노트북1,모니터1,IP폰2대) 판매</t>
  </si>
  <si>
    <t>S230220</t>
  </si>
  <si>
    <t>(주)한진 하남택배지점외1개팀 전산장비(노트북2,IP폰1대) 판매</t>
  </si>
  <si>
    <t>S230219</t>
  </si>
  <si>
    <t>(주)한진 인사전략실 전산장비(노트북5대) 판매</t>
  </si>
  <si>
    <t>S230218</t>
  </si>
  <si>
    <t>(주)한진 Mega-Hub 설비운영팀 전산장비(노트북2,IP폰2대) 판매</t>
  </si>
  <si>
    <t>S230217</t>
  </si>
  <si>
    <t>(주)한진 법무팀외1개팀 전산장비(노트북3,IP폰2대) 판매</t>
  </si>
  <si>
    <t>S230216</t>
  </si>
  <si>
    <t>(주)한진 구로택배지점 전산장비(노트북1,IP폰1대) 판매</t>
  </si>
  <si>
    <t>S230215</t>
  </si>
  <si>
    <t>인하대병원 PC본체 및 모니터 통합구매(개별1차)</t>
  </si>
  <si>
    <t>S230214</t>
  </si>
  <si>
    <t>(주)한진 택배운영팀 전산장비(노트북 2대) 판매</t>
  </si>
  <si>
    <t>S230213</t>
  </si>
  <si>
    <t>칼호텔네트워크(서귀포칼호텔) PC백신 판매(23년 1년 갱신)</t>
  </si>
  <si>
    <t>S230212</t>
  </si>
  <si>
    <t>한국공항 MS-Office 단품(엑셀) 판매</t>
  </si>
  <si>
    <t>S230211</t>
  </si>
  <si>
    <t>(주)한진 재무관리실외1개팀 전산장비(모니터2대) 판매</t>
  </si>
  <si>
    <t>S230210</t>
  </si>
  <si>
    <t>(주)한진 택배영업팀 전산장비(노트북 3대) 판매</t>
  </si>
  <si>
    <t>S230209</t>
  </si>
  <si>
    <t>(주)한진 DT기획팀 전산장비(프린터 1대) 판매</t>
  </si>
  <si>
    <t>S230208</t>
  </si>
  <si>
    <t>(주)한진 비용심사팀 전산장비(노트북1,모니터1,IP폰1대) 판매</t>
  </si>
  <si>
    <t>S230207</t>
  </si>
  <si>
    <t>(주)한진 마포택배지점외 2개점소 전산장비(노트북3,IP폰1대) 판매</t>
  </si>
  <si>
    <t>S230206</t>
  </si>
  <si>
    <t>(주)한진 DT기획팀 전산장비(노트북 3대) 판매</t>
  </si>
  <si>
    <t>S230205</t>
  </si>
  <si>
    <t>(주)한진 인사관리팀 전산장비(노트북 3대) 판매</t>
  </si>
  <si>
    <t>S230204</t>
  </si>
  <si>
    <t>싸이버스카이 오라클 DBMS 라이선스 판매(갱신, 2024년)</t>
  </si>
  <si>
    <t>S230203</t>
  </si>
  <si>
    <t>(주)한진 포워딩운팀 전산장비(노트북2,IP폰2대) 판매</t>
  </si>
  <si>
    <t>S230202</t>
  </si>
  <si>
    <t>(주)한진 경인지점외 1개점소 전산장비(노트북2,IP폰1대) 판매</t>
  </si>
  <si>
    <t>S230200</t>
  </si>
  <si>
    <t>S230199</t>
  </si>
  <si>
    <t>항공종합서비스 PC백신 판매(23년 1년 갱신)</t>
  </si>
  <si>
    <t>S230198</t>
  </si>
  <si>
    <t>항공종합서비스(서귀포칼호텔) PC백신 판매(23년 1년 갱신)</t>
  </si>
  <si>
    <t>항공종합서비스칼호텔</t>
  </si>
  <si>
    <t>S230197</t>
  </si>
  <si>
    <t>(주)한진 인사관리팀 전산장비(노트북1,IP폰1대) 판매</t>
  </si>
  <si>
    <t>S230196</t>
  </si>
  <si>
    <t>(주)한진 하남택배지점 전산장비(노트북1대) 판매</t>
  </si>
  <si>
    <t>S230195</t>
  </si>
  <si>
    <t>(주)한진 순천택배지점외 1개팀 전산장비(노트북3,IP폰3대) 판매</t>
  </si>
  <si>
    <t>S230194</t>
  </si>
  <si>
    <t>(주)한진 GDC운영팀외 1개점소 전산장비(노트북3,모니터2,IP폰2대) 판매</t>
  </si>
  <si>
    <t>S230193</t>
  </si>
  <si>
    <t>(2차)인하대병원 PC본체 및 모니터 통합구매</t>
  </si>
  <si>
    <t>S230192</t>
  </si>
  <si>
    <t>대한항공 전산장비(아이폰케이블1m*28개) 판매</t>
  </si>
  <si>
    <t>S230191</t>
  </si>
  <si>
    <t>진에어 생산관리그룹 IP폰(2대) 판매</t>
  </si>
  <si>
    <t>S230190</t>
  </si>
  <si>
    <t>S230189</t>
  </si>
  <si>
    <t>진에어 정비통팀 IP폰(2대) 판매</t>
  </si>
  <si>
    <t>S230188</t>
  </si>
  <si>
    <t>토파스여행정보(주) 전산장비(아답터3대) 판매</t>
  </si>
  <si>
    <t>S230187</t>
  </si>
  <si>
    <t>대한항공 단간연결과제용 포트란 컴파일러 판매</t>
  </si>
  <si>
    <t>S230186</t>
  </si>
  <si>
    <t>(주)한진 아시아팀,송파택배지점 전산장비(노트북 2대) 판매</t>
  </si>
  <si>
    <t>S230185</t>
  </si>
  <si>
    <t>(주)한진 안전팀 재무팀 전산장비(노트북 2대) 판매</t>
  </si>
  <si>
    <t>S230184</t>
  </si>
  <si>
    <t>(주)한진 마케팅팀 비용심사팀 전산장비(노트북 1대 모니터2대 IP폰1대) 판매</t>
  </si>
  <si>
    <t>S230183</t>
  </si>
  <si>
    <t>(주)한진 DT기획팀 전산장비(노트북 1대) 판매</t>
  </si>
  <si>
    <t>S230182</t>
  </si>
  <si>
    <t>대한항공 다목적 스텔스 사업용</t>
  </si>
  <si>
    <t>S230181</t>
  </si>
  <si>
    <t>진에어 정비기술그룹 IP폰(1대) 판매</t>
  </si>
  <si>
    <t>S230180</t>
  </si>
  <si>
    <t>(주)한진 전산장비(노트북, 모니터) 판매</t>
  </si>
  <si>
    <t>S230179</t>
  </si>
  <si>
    <t>케이에비에이션 백신(v3_1년) 27COPY 추가 판매</t>
  </si>
  <si>
    <t>S230178</t>
  </si>
  <si>
    <t>진에어 정비품질팀 IP폰(1대) 판매</t>
  </si>
  <si>
    <t>S230177</t>
  </si>
  <si>
    <t>(주)한진 남양주택배지점 전산장비(IP폰2대) 판매</t>
  </si>
  <si>
    <t>S230176</t>
  </si>
  <si>
    <t>진에어 화물사업팀 IP폰(1대) 판매</t>
  </si>
  <si>
    <t>S230175</t>
  </si>
  <si>
    <t>한진관광 V3NET 서버용 판매(갱신)</t>
  </si>
  <si>
    <t>S230174</t>
  </si>
  <si>
    <t>대한항공 전산장비(아이폰케이블1m*40개) 판매</t>
  </si>
  <si>
    <t>S230173</t>
  </si>
  <si>
    <t>(주)한진 포워딩운영팀 전산장비(노트북2대) 판매</t>
  </si>
  <si>
    <t>S230172</t>
  </si>
  <si>
    <t>(주)한진 포워딩영업외 2개팀 전산장비(노트북3,IP폰1대) 판매</t>
  </si>
  <si>
    <t>S230171</t>
  </si>
  <si>
    <t>칼호텔네트워크(서귀포KAL칼호텔) 한컴오피스SW 계약(갱신)</t>
  </si>
  <si>
    <t>S230170</t>
  </si>
  <si>
    <t>판매품의_에티버스,노원구청(6차) KT정보보안서비스용 보안장비(AXGATE)공급</t>
  </si>
  <si>
    <t>S230169</t>
  </si>
  <si>
    <t>(주)한진 구미지점 물류영업팀 전산장비(IP폰1대) 판매</t>
  </si>
  <si>
    <t>S230168</t>
  </si>
  <si>
    <t>인하대병원 PC본체 및 모니터 통합구매</t>
  </si>
  <si>
    <t>S230167</t>
  </si>
  <si>
    <t>(주)한진 비용심사팀외 3개팀 전산장비(노트북2,IP폰2대) 판매</t>
  </si>
  <si>
    <t>S230166</t>
  </si>
  <si>
    <t>&amp;#039;23 인하대병원 RPA 라이센스 갱신</t>
  </si>
  <si>
    <t>S230165</t>
  </si>
  <si>
    <t>(주)한진 임원용 전산장비(태블릿pc 1대) 판매</t>
  </si>
  <si>
    <t>S230164</t>
  </si>
  <si>
    <t>판매품의_대한항공 연구용 ADS-B 장비</t>
  </si>
  <si>
    <t>킴스앤</t>
  </si>
  <si>
    <t>S230163</t>
  </si>
  <si>
    <t>대한항공 다목적 스텔스 무인기 사업용</t>
  </si>
  <si>
    <t>S230162</t>
  </si>
  <si>
    <t>대한항공 공중발사체 임무설계 S/W 구매(ASTOS)</t>
  </si>
  <si>
    <t>S230161</t>
  </si>
  <si>
    <t>(주)한진 DT기획팀 전산장비(애플 모니터1대) 판매</t>
  </si>
  <si>
    <t>S230160</t>
  </si>
  <si>
    <t>S230159</t>
  </si>
  <si>
    <t>판매품의_에티버스, (재)서울산업진흥원 KT정보보안서비스용 보안장비(AXGATE)공급</t>
  </si>
  <si>
    <t>S230158</t>
  </si>
  <si>
    <t>(주)한진 중개솔루션팀 전산장비(노트북1,모니터1대) 판매</t>
  </si>
  <si>
    <t>S230157</t>
  </si>
  <si>
    <t>(주)한진 아시아팀외 1개팀 전산장비(노트북2대) 판매</t>
  </si>
  <si>
    <t>S230156</t>
  </si>
  <si>
    <t>(주)한진 순천택배지점외 1개점소 전산장비(노트북2,IP폰2,모니터1대) 판매</t>
  </si>
  <si>
    <t>S230155</t>
  </si>
  <si>
    <t>(주)한진 수원택배지점외 2개점소 전산장비(노트북2,IP폰3대) 판매</t>
  </si>
  <si>
    <t>S230154</t>
  </si>
  <si>
    <t>(주)한진 재무팀외 1개점소 전산장비(노트북1,IP폰1대) 판매</t>
  </si>
  <si>
    <t>S230153</t>
  </si>
  <si>
    <t>(주)한진 물류솔루션팀외 1개점소 전산장비(노트북2대) 판매</t>
  </si>
  <si>
    <t>S230152</t>
  </si>
  <si>
    <t>대한항공 신호처리모듈 판매</t>
  </si>
  <si>
    <t>S230151</t>
  </si>
  <si>
    <t>(주)한진 고객지원팀외 3개점소 전산장비(노트북5,IP폰1,모니터2대) 판매</t>
  </si>
  <si>
    <t>S230150</t>
  </si>
  <si>
    <t>판매품의_에티버스,노원구청(5차) KT정보보안서비스용 보안장비(AXGATE)공급</t>
  </si>
  <si>
    <t>S230149</t>
  </si>
  <si>
    <t>(주)한진 DT기획팀 전산장비(데스크탑13대) 판매</t>
  </si>
  <si>
    <t>S230148</t>
  </si>
  <si>
    <t>한진인천컨테이너터미널 전산장비(IP폰5대) 판매</t>
  </si>
  <si>
    <t>S230147</t>
  </si>
  <si>
    <t>(주)한진 컴플라이언스외 1개점소 전산장비(노트북2대,IP폰1대) 판매</t>
  </si>
  <si>
    <t>S230146</t>
  </si>
  <si>
    <t>(주)한진 DT기획팀 전산장비(모니터13대,IP폰13대) 판매</t>
  </si>
  <si>
    <t>S230145</t>
  </si>
  <si>
    <t>(주)한진 포워딩운영팀 전산장비(노트북1대) 판매</t>
  </si>
  <si>
    <t>S230144</t>
  </si>
  <si>
    <t>(주)한진 중개솔루션팀 전산장비(IP폰3대) 판매</t>
  </si>
  <si>
    <t>S230143</t>
  </si>
  <si>
    <t>(주)한진 재무팀외 2개점소 전산장비(노트북1,IP폰1,모니터1,데스크탑1대) 판매</t>
  </si>
  <si>
    <t>S230142</t>
  </si>
  <si>
    <t>진에어 인천공항 지점 IP폰(10대) 판매</t>
  </si>
  <si>
    <t>S230141</t>
  </si>
  <si>
    <t>판매품의_에티버스,서울시청소년시설협회(2차) KT정보보안서비스용 보안장비(AXGATE)공급</t>
  </si>
  <si>
    <t>S230140</t>
  </si>
  <si>
    <t>판매품의_대한항공 ADFS서버 전자인증서 판매 (갱신)</t>
  </si>
  <si>
    <t>S230139</t>
  </si>
  <si>
    <t>(주)한진 충청지부외 2개점소 전산장비(노트북3대,IP폰1대) 판매</t>
  </si>
  <si>
    <t>S230138</t>
  </si>
  <si>
    <t>S230137</t>
  </si>
  <si>
    <t>S230136</t>
  </si>
  <si>
    <t>인천글로벌물류센터 전산장비(IP폰 아답터 1개) 판매</t>
  </si>
  <si>
    <t>S230135</t>
  </si>
  <si>
    <t>(주)한진 중부지점외 4개점소 전산장비(노트북5대,IP폰7대) 판매</t>
  </si>
  <si>
    <t>S230134</t>
  </si>
  <si>
    <t>한진부산컨테이너터미널 전산장비(모니터62대) 판매</t>
  </si>
  <si>
    <t>S230133</t>
  </si>
  <si>
    <t>대한항공 전산장비(아이폰케이블1m*15개) 판매</t>
  </si>
  <si>
    <t>S230132</t>
  </si>
  <si>
    <t>한진인천컨테이너터미널 전산장비(노트북1,모니터1) 판매</t>
  </si>
  <si>
    <t>S230131</t>
  </si>
  <si>
    <t>진에어 화물사업팀 IP폰(2대) 판매</t>
  </si>
  <si>
    <t>S230130</t>
  </si>
  <si>
    <t>진에어 객실편조그룹 IP폰(1대) 판매</t>
  </si>
  <si>
    <t>S230129</t>
  </si>
  <si>
    <t>(주)한진 동대문택배지점외 1개점소 전산장비(모니터1대,IP폰2대) 판매</t>
  </si>
  <si>
    <t>S230128</t>
  </si>
  <si>
    <t>대한항공 항공우주사업본부 라이선스 (23년 3분기_2차)</t>
  </si>
  <si>
    <t>S230127</t>
  </si>
  <si>
    <t>한진인천컨테이너터미널 NMS(네트워크 관리시스템) 판매</t>
  </si>
  <si>
    <t>S230126</t>
  </si>
  <si>
    <t>대한항공 항공우주사업본부 라이선스 (23년 3분기_1차)</t>
  </si>
  <si>
    <t>S230125</t>
  </si>
  <si>
    <t>(주)한진 마포택배지점외 1개점소 전산장비(IP폰3대) 판매</t>
  </si>
  <si>
    <t>S230124</t>
  </si>
  <si>
    <t>(주)한진 중개솔루션팀외 2개점소 전산장비(노트북2대,IP폰1대) 판매</t>
  </si>
  <si>
    <t>S230123</t>
  </si>
  <si>
    <t>판매품의_에티버스, 아이엠에스원 KT정보보안서비스용 보안장비(AXGATE)공급</t>
  </si>
  <si>
    <t>S230122</t>
  </si>
  <si>
    <t>(주)한진 수원택배지점외 1개점소 전산장비(노트북2) 판매</t>
  </si>
  <si>
    <t>S230121</t>
  </si>
  <si>
    <t>진에어 운항훈련팀 IP폰(2대) 판매</t>
  </si>
  <si>
    <t>S230120</t>
  </si>
  <si>
    <t>토파스여행정보(주) 전산장비(아답터5대) 판매</t>
  </si>
  <si>
    <t>S230119</t>
  </si>
  <si>
    <t>(주)한진 DT기획팀외 2개점소 전산장비(노트북4) 판매</t>
  </si>
  <si>
    <t>S230118</t>
  </si>
  <si>
    <t>2023년 싸이버스카이 백신(v3) 판매(1년, 갱신)</t>
  </si>
  <si>
    <t>S230117</t>
  </si>
  <si>
    <t>진에어 객실표준훈련팀 IP폰(1대) 판매</t>
  </si>
  <si>
    <t>S230116</t>
  </si>
  <si>
    <t>진에어 기획관리팀 IP폰(1대) 판매</t>
  </si>
  <si>
    <t>S230115</t>
  </si>
  <si>
    <t>S230114</t>
  </si>
  <si>
    <t>부산글로벌물류센터(주) 전산장비(모니터2) 판매</t>
  </si>
  <si>
    <t>S230113</t>
  </si>
  <si>
    <t>진에어 안전보안실 IP폰(1대) 판매</t>
  </si>
  <si>
    <t>S230112</t>
  </si>
  <si>
    <t>판매품의_에티버스,씨앤에프시스템㈜[2차] KT정보보안서비스용 보안장비(AXGATE)공급</t>
  </si>
  <si>
    <t>S230111</t>
  </si>
  <si>
    <t>진에어 정보보호그룹 IP폰(5대) 판매</t>
  </si>
  <si>
    <t>S230110</t>
  </si>
  <si>
    <t>진에어 기획관리팀 IP폰(2대) 판매</t>
  </si>
  <si>
    <t>S230109</t>
  </si>
  <si>
    <t>(주)한진 택배운영팀 전산장비(노트북1대) 판매</t>
  </si>
  <si>
    <t>S230108</t>
  </si>
  <si>
    <t>진에어 안전보안실 IP폰(2대) 판매</t>
  </si>
  <si>
    <t>S230107</t>
  </si>
  <si>
    <t>판매품의_에티버스,씨앤에프시스템㈜ KT정보보안서비스용 보안장비(AXGATE)공급</t>
  </si>
  <si>
    <t>S230106</t>
  </si>
  <si>
    <t>S230105</t>
  </si>
  <si>
    <t>(주)한진 SW(Office 365 E1) 라이선스 판매</t>
  </si>
  <si>
    <t>S230104</t>
  </si>
  <si>
    <t>판매품의_에티버스, 노원구청(4차) KT정보보안서비스용 보안장비(AXGATE)공급</t>
  </si>
  <si>
    <t>S230103</t>
  </si>
  <si>
    <t>(주)한진 수도권 동부지부 전산장비(노트북1대) 판매</t>
  </si>
  <si>
    <t>S230102</t>
  </si>
  <si>
    <t>한진칼 MS OFFICE_단품 판매</t>
  </si>
  <si>
    <t>S230101</t>
  </si>
  <si>
    <t>케이에비에이션 백신(v3_1년) 추가 판매</t>
  </si>
  <si>
    <t>S230100</t>
  </si>
  <si>
    <t>2023년 한진그룹 MS-EAS 판매(2년차)</t>
  </si>
  <si>
    <t>S230099</t>
  </si>
  <si>
    <t>판매품의_에티버스, ㈜파빌리온프라이빗에쿼티 KT정보보안서비스용 보안장비(AXGATE)공급</t>
  </si>
  <si>
    <t>S230098</t>
  </si>
  <si>
    <t>진에어, 알약 PC백신 판매(1년 갱신 계약 / 2023년)</t>
  </si>
  <si>
    <t>S230097</t>
  </si>
  <si>
    <t>에어코피아 IP폰(5대) 판매</t>
  </si>
  <si>
    <t>S230096</t>
  </si>
  <si>
    <t>(주)한진 경인지점 물류운송팀외 1개점소 전산장비(노트북2,IP폰1) 판매</t>
  </si>
  <si>
    <t>S230095</t>
  </si>
  <si>
    <t>(주)한진 울산,광주택배지점 전산장비(노트북2) 판매</t>
  </si>
  <si>
    <t>S230094</t>
  </si>
  <si>
    <t>에어코리아, 알약 PC백신 판매(1년 갱신 계약 / 2023년)</t>
  </si>
  <si>
    <t>S230093</t>
  </si>
  <si>
    <t>한진칼 SW(MS OFFICE_단품) 판매</t>
  </si>
  <si>
    <t>S230092</t>
  </si>
  <si>
    <t>(주)한진 총무팀 전산장비(노트북1대) 판매</t>
  </si>
  <si>
    <t>S230091</t>
  </si>
  <si>
    <t>S230090</t>
  </si>
  <si>
    <t>휴데이터스 전산장비(노트북1대) 판매</t>
  </si>
  <si>
    <t>S230089</t>
  </si>
  <si>
    <t>(주)한진 영남지점 항만물류팀외 1개점소 전산장비(노트북1,IP폰2) 판매</t>
  </si>
  <si>
    <t>S230088</t>
  </si>
  <si>
    <t>판매품의_에티버스, 김해국토관리사무소 KT정보보안서비스용 보안장비(AXGATE)공급</t>
  </si>
  <si>
    <t>S230087</t>
  </si>
  <si>
    <t>S230086</t>
  </si>
  <si>
    <t>판매품의_에티버스,서울시청소년시설협회 KT정보보안서비스용 보안장비(AXGATE)공급</t>
  </si>
  <si>
    <t>S230085</t>
  </si>
  <si>
    <t>한국공항 SW(MS OFFICE_단품) 판매</t>
  </si>
  <si>
    <t>S230084</t>
  </si>
  <si>
    <t>(주)한진 대전SMART Mega-Hub운영 TF 전산장비(노트북1대) 판매</t>
  </si>
  <si>
    <t>S230083</t>
  </si>
  <si>
    <t>진에어 정비통제팀 IP폰(1대) 판매</t>
  </si>
  <si>
    <t>S230082</t>
  </si>
  <si>
    <t>인하국제의료센터 MS 오피스 판매</t>
  </si>
  <si>
    <t>S230081</t>
  </si>
  <si>
    <t>(주)한진 물류솔루션팀 전산장비(노트북1대) 판매</t>
  </si>
  <si>
    <t>S230080</t>
  </si>
  <si>
    <t>(주)한진 전남지점 물류영업팀 전산장비(노트북1대) 판매</t>
  </si>
  <si>
    <t>S230079</t>
  </si>
  <si>
    <t>한국글로발로지스틱스 백신(알약) 판매(1년, 갱신)</t>
  </si>
  <si>
    <t>S230078</t>
  </si>
  <si>
    <t>정석기업 백신(알약) 판매(1년, 갱신)</t>
  </si>
  <si>
    <t>S230077</t>
  </si>
  <si>
    <t>(주)휴데이터스 전산장비(모니터1대) 판매</t>
  </si>
  <si>
    <t>S230076</t>
  </si>
  <si>
    <t>(주)한진 홍보팀외1개점소 전산장비(노트북2,모니터1,IP폰1) 판매</t>
  </si>
  <si>
    <t>S230075</t>
  </si>
  <si>
    <t>2023년도 소형기상레이더 관측망 예비품 구매</t>
  </si>
  <si>
    <t>S230074</t>
  </si>
  <si>
    <t>대한항공 무인항공기 SW 라이선스 공급 (23.4월)</t>
  </si>
  <si>
    <t>S230073</t>
  </si>
  <si>
    <t>한진부산컨테이너터미널 전산장비(노트북2대) 판매</t>
  </si>
  <si>
    <t>S230072</t>
  </si>
  <si>
    <t>S230071</t>
  </si>
  <si>
    <t>판매품의_에티버스,㈜정도설비 KT정보보안서비스용 보안장비(AXGATE)공급</t>
  </si>
  <si>
    <t>S230070</t>
  </si>
  <si>
    <t>(주)한진 정보보안팀외 1개팀 전산장비(노트북2,IP폰1) 판매</t>
  </si>
  <si>
    <t>S230069</t>
  </si>
  <si>
    <t>판매품의_주식회사 데이터온, KT정보보안서비스용 보안장비(AXGATE)공급</t>
  </si>
  <si>
    <t>S230068</t>
  </si>
  <si>
    <t>판매품의_에티버스,노원구청(3차) KT정보보안서비스용 보안장비(AXGATE)공급</t>
  </si>
  <si>
    <t>S230067</t>
  </si>
  <si>
    <t>인천글로벌물류센터 전산장비(노트북1,모니터1,IP폰1) 판매</t>
  </si>
  <si>
    <t>S230066</t>
  </si>
  <si>
    <t>대한항공 항공우주사업본부 라이선스 (23년 2분기)</t>
  </si>
  <si>
    <t>S230065</t>
  </si>
  <si>
    <t>대한항공 항공우주사업본부 라이선스 (23년 1분기)</t>
  </si>
  <si>
    <t>S230064</t>
  </si>
  <si>
    <t>(주)한진 법무팀 전산장비(노트북1대) 판매</t>
  </si>
  <si>
    <t>S230063</t>
  </si>
  <si>
    <t>대한항공 항공우주사업용 SW 판매</t>
  </si>
  <si>
    <t>S230062</t>
  </si>
  <si>
    <t>토파스여행정보(주) 전산장비(IP폰9대,아답터2대) 판매</t>
  </si>
  <si>
    <t>S230061</t>
  </si>
  <si>
    <t>S230060</t>
  </si>
  <si>
    <t>(주)한진 디지털사업팀외 2개점소 전산장비(노트북3,IP폰2) 판매</t>
  </si>
  <si>
    <t>S230059</t>
  </si>
  <si>
    <t>(주)한진 정보보안팀외 1개점소 전산장비(노트북2,IP폰1) 판매</t>
  </si>
  <si>
    <t>S230058</t>
  </si>
  <si>
    <t>대한항공 항공우주사업용 NAS장비 납품</t>
  </si>
  <si>
    <t>S230057</t>
  </si>
  <si>
    <t>진에어 정비훈련그룹 IP폰(2대) 판매</t>
  </si>
  <si>
    <t>S230056</t>
  </si>
  <si>
    <t>진에어 운항훈련그룹 IP폰(2대) 판매</t>
  </si>
  <si>
    <t>S230055</t>
  </si>
  <si>
    <t>(주)한진 구미물류센터 전산장비(노트북2대,IP폰2대) 판매</t>
  </si>
  <si>
    <t>S230054</t>
  </si>
  <si>
    <t>한진부산컨테이너터미널 전산장비(노트북3대) 판매</t>
  </si>
  <si>
    <t>S230053</t>
  </si>
  <si>
    <t>(주)한진 DX팀,IT운영팀 전산장비(노트북3대) 판매</t>
  </si>
  <si>
    <t>S230052</t>
  </si>
  <si>
    <t>대한항공 사단 무인기사업용 3-3차 SW 라이선스 (매스웍스)</t>
  </si>
  <si>
    <t>S230051</t>
  </si>
  <si>
    <t>한진인천컨테이너터미널 전산장비(모니터6대) 판매</t>
  </si>
  <si>
    <t>S230050</t>
  </si>
  <si>
    <t>한진관광 백신(알약) 판매(1년, 갱신)</t>
  </si>
  <si>
    <t>S230049</t>
  </si>
  <si>
    <t>판매품의_에티버스,도요엔지니어링코리아 KT정보보안서비스용 보안장비(AXGATE)공급</t>
  </si>
  <si>
    <t>S230048</t>
  </si>
  <si>
    <t>(주)한진 미래전략팀 전산장비(모니터1대) 판매</t>
  </si>
  <si>
    <t>S230047</t>
  </si>
  <si>
    <t>S230046</t>
  </si>
  <si>
    <t>진에어 서비스개선팀 IP폰(1대) 판매</t>
  </si>
  <si>
    <t>S230045</t>
  </si>
  <si>
    <t>판매품의_에티버스, 한국저작권보호원 KT정보보안서비스용 보안장비(AXGATE)공급</t>
  </si>
  <si>
    <t>S230044</t>
  </si>
  <si>
    <t>정석기업 SW(AutoCAD*3년 사용권) 판매(23년도)</t>
  </si>
  <si>
    <t>S230043</t>
  </si>
  <si>
    <t>한국공항 PC백신(알약)판매(3년형)</t>
  </si>
  <si>
    <t>S230042</t>
  </si>
  <si>
    <t>케이에비에이션 IP폰(5대),백신(v3_1년) 신규 판매</t>
  </si>
  <si>
    <t>S230041</t>
  </si>
  <si>
    <t>(주)한진 홍보팀,경인지점 전산장비(노트북1대,모니터1대) 판매</t>
  </si>
  <si>
    <t>S230040</t>
  </si>
  <si>
    <t>판매품의_에티버스,고려제약(주) KT정보보안서비스용 보안장비(AXGATE)공급</t>
  </si>
  <si>
    <t>S230039</t>
  </si>
  <si>
    <t>S230038</t>
  </si>
  <si>
    <t>대한항공 항공우주사업본부 스텔스 무인기 개발용</t>
  </si>
  <si>
    <t>S230037</t>
  </si>
  <si>
    <t>판매품의_에티버스,예원예술대학교 KT정보보안서비스용 보안장비(AXGATE)공급</t>
  </si>
  <si>
    <t>S230036</t>
  </si>
  <si>
    <t>판매품의_에티버스,노원구청(2차) KT정보보안서비스용 보안장비(AXGATE)공급</t>
  </si>
  <si>
    <t>S230035</t>
  </si>
  <si>
    <t>판매품의_에티버스,화성시청(19차) KT정보보안서비스용 보안장비(AXGATE)공급</t>
  </si>
  <si>
    <t>S230034</t>
  </si>
  <si>
    <t>(주)한진 이하넥스팀 전산장비(IP폰1대) 판매</t>
  </si>
  <si>
    <t>S230033</t>
  </si>
  <si>
    <t>판매품의_에티버스,삼덕회계법인 KT정보보안서비스용 보안장비(AXGATE)공급</t>
  </si>
  <si>
    <t>S230032</t>
  </si>
  <si>
    <t>판매품의_에티버스,이씨에스텔레콤(주) KT정보보안서비스용 보안장비(AXGATE)공급</t>
  </si>
  <si>
    <t>S230031</t>
  </si>
  <si>
    <t>(주)한진 군산물류센터 전산장비(노트북1대,IP폰1대) 판매</t>
  </si>
  <si>
    <t>S230030</t>
  </si>
  <si>
    <t>진에어 IP폰(1대) 판매</t>
  </si>
  <si>
    <t>S230029</t>
  </si>
  <si>
    <t>(주)한진 IT기획팀 전산장비(노트북1대,IP폰1대) 판매</t>
  </si>
  <si>
    <t>S230028</t>
  </si>
  <si>
    <t>한진울산신항운영 MS-Office 단품(PowerPoint) 판매</t>
  </si>
  <si>
    <t>S230027</t>
  </si>
  <si>
    <t>(주)한진 B2B센터외 3개점소 전산장비(노트북3,IP폰2) 판매</t>
  </si>
  <si>
    <t>S230026</t>
  </si>
  <si>
    <t>대한항공 무인항공기 SW 라이선스 공급 (23.1월)_(변경)</t>
  </si>
  <si>
    <t>S230025</t>
  </si>
  <si>
    <t>부산글로벌물류센터(주) 전산장비(데스크탑3,모니터3) 판매</t>
  </si>
  <si>
    <t>S230024</t>
  </si>
  <si>
    <t>한진인천컨테이너터미널 MS-Office 단품(word) 판매</t>
  </si>
  <si>
    <t>S230023</t>
  </si>
  <si>
    <t>S230022</t>
  </si>
  <si>
    <t>(주)한진 제주물류센터 전산장비(IP폰1대) 판매</t>
  </si>
  <si>
    <t>S230021</t>
  </si>
  <si>
    <t>(주)한진 군산물류센터 전산장비(데스크탑2,모니터2,노트북1,IP폰3) 판매</t>
  </si>
  <si>
    <t>S230020</t>
  </si>
  <si>
    <t>S230019</t>
  </si>
  <si>
    <t>(주)한진 안동,군포택배지점 전산장비(노트북2대,IP폰1대) 판매</t>
  </si>
  <si>
    <t>S230018</t>
  </si>
  <si>
    <t>대한항공 무인항공기 SW 라이선스 공급 (23.2월)</t>
  </si>
  <si>
    <t>S230017</t>
  </si>
  <si>
    <t>(주)한진 저사양 PC교체 전산장비(노트북121대, 데스크탑+모니터16대) 판매</t>
  </si>
  <si>
    <t>S230016</t>
  </si>
  <si>
    <t>(주)한진 구미물류센터 전산장비(IP폰1대) 판매</t>
  </si>
  <si>
    <t>S230015</t>
  </si>
  <si>
    <t>대한항공 청력검사 장비 인터페이스 솔루션 도입</t>
  </si>
  <si>
    <t>S230014</t>
  </si>
  <si>
    <t>진에어 IP폰(2대) 판매</t>
  </si>
  <si>
    <t>S230013</t>
  </si>
  <si>
    <t>항공종합서비스칼호텔 업무용 PC 백신 판매(갱신)</t>
  </si>
  <si>
    <t>S230012</t>
  </si>
  <si>
    <t>인하대병원 시큐어코딩 점검 툴 판매</t>
  </si>
  <si>
    <t>S230011</t>
  </si>
  <si>
    <t>대한항공 무인편대기 시작품 사업용 SW</t>
  </si>
  <si>
    <t>S230010</t>
  </si>
  <si>
    <t>(주)한진 부산국제지점 전산장비(노트북1대) 판매</t>
  </si>
  <si>
    <t>S230009</t>
  </si>
  <si>
    <t>진에어 MS-Office(단품) 판매</t>
  </si>
  <si>
    <t>S230008</t>
  </si>
  <si>
    <t>판매품의_에티버스,한국교육개발원 KT정보보안서비스용 보안장비(AXGATE)공급</t>
  </si>
  <si>
    <t>S230007</t>
  </si>
  <si>
    <t>토파스여행정보(주) 전산장비(IP폰 아답터) 판매</t>
  </si>
  <si>
    <t>S230006</t>
  </si>
  <si>
    <t>한진칼 백신 카스퍼스키 판매(갱신)</t>
  </si>
  <si>
    <t>S230005</t>
  </si>
  <si>
    <t>한진인천컨테이너터미널(HJIT) 전산장비(데스크탑4대,모니터8대,랩탑5대) 판매</t>
  </si>
  <si>
    <t>S230004</t>
  </si>
  <si>
    <t>한진인천컨테이너터미널 전산장비(HDD &amp;amp; 스토리지) 판매</t>
  </si>
  <si>
    <t>S230003</t>
  </si>
  <si>
    <t>(주)한진 포워딩운영2팀 전산장비(노트북1대) 판매</t>
  </si>
  <si>
    <t>S230002</t>
  </si>
  <si>
    <t>판매품의_에티버스,가스파워주식회사 KT정보보안서비스용 보안장비(AXGATE)공급</t>
  </si>
  <si>
    <t>S230001</t>
  </si>
  <si>
    <t>판매품의_에티버스,(주)하이스틸(2차) KT정보보안서비스용 보안장비(AXGATE)공급</t>
  </si>
  <si>
    <t>S220225</t>
  </si>
  <si>
    <t>(주)한진 포워딩사업부 임원용 전산장비(모니터1대,IP폰1대) 판매</t>
  </si>
  <si>
    <t>S220224</t>
  </si>
  <si>
    <t>S220223</t>
  </si>
  <si>
    <t>(주)한진 원주택배지점 전산장비(IP폰1대) 판매</t>
  </si>
  <si>
    <t>S220222</t>
  </si>
  <si>
    <t>(주)한진 부산지점 전산장비(IP폰 아답터) 판매</t>
  </si>
  <si>
    <t>S220221</t>
  </si>
  <si>
    <t>판매품의_에티버스,주식회사 데이터온 KT정보보안서비스용 보안장비(AXGATE)공급</t>
  </si>
  <si>
    <t>S220220</t>
  </si>
  <si>
    <t>(주)한진 송파택배지점 전산장비(노트북1대) 판매</t>
  </si>
  <si>
    <t>S220219</t>
  </si>
  <si>
    <t>토파스 원격지원솔루션 라이센스 판매(2023년)</t>
  </si>
  <si>
    <t>S220218</t>
  </si>
  <si>
    <t>싸이버스카이 오라클 DBMS 라이선스 판매(갱신, 2023년)</t>
  </si>
  <si>
    <t>S220217</t>
  </si>
  <si>
    <t>대한항공 항공기 설계용 SW 라이선스 구매</t>
  </si>
  <si>
    <t>S220216</t>
  </si>
  <si>
    <t>휴데이터스 한컴오피스 SW판매</t>
  </si>
  <si>
    <t>S220215</t>
  </si>
  <si>
    <t>진에어 AFTN망 접근제어시스템 납품 (변경)</t>
  </si>
  <si>
    <t>S220214</t>
  </si>
  <si>
    <t>진에어 AFTN망 접근제어시스템 납품</t>
  </si>
  <si>
    <t>그룹사영업그룹</t>
  </si>
  <si>
    <t>S220213</t>
  </si>
  <si>
    <t>대한항공 UAM 운항통제시스템 장비납품 (변경)</t>
  </si>
  <si>
    <t>S220212</t>
  </si>
  <si>
    <t>(주)한진 포워딩영업팀 전산장비(노트북1대) 판매</t>
  </si>
  <si>
    <t>S220211</t>
  </si>
  <si>
    <t>대한항공 UAM 운항통제시스템 장비납품</t>
  </si>
  <si>
    <t>S220210</t>
  </si>
  <si>
    <t>2022년 칼호텔네트워크 서귀포 칼호텔 PC 백신 판매(1년 갱신)</t>
  </si>
  <si>
    <t>S220209</t>
  </si>
  <si>
    <t>(주)한진 (추가발주1)중부지점 물류운송팀 전산장비(노트북3대,IP폰3대) 판매</t>
  </si>
  <si>
    <t>S220208</t>
  </si>
  <si>
    <t>(주)한진 중부지점 물류운송팀 전산장비(노트북3대,IP폰3대) 판매</t>
  </si>
  <si>
    <t>S220207</t>
  </si>
  <si>
    <t>(주)한진 평택택배지점외2곳 전산장비(노트북3대,IP폰1대) 판매</t>
  </si>
  <si>
    <t>S220206</t>
  </si>
  <si>
    <t>(주)한진 강서택배지점 전산장비(노트북,IP폰) 판매</t>
  </si>
  <si>
    <t>S220205</t>
  </si>
  <si>
    <t>S220204</t>
  </si>
  <si>
    <t>대한항공 무인항공기 SW 라이선스 공급 (12월)</t>
  </si>
  <si>
    <t>S220203</t>
  </si>
  <si>
    <t>진에어 기내판매용 모바일 프린트기 납품</t>
  </si>
  <si>
    <t>S220202</t>
  </si>
  <si>
    <t>한진인천컨테이너터미널(HJIT) 전산장비(데스크탑1대) 판매</t>
  </si>
  <si>
    <t>S220201</t>
  </si>
  <si>
    <t>(주)KAL호텔네트워크 한컴 오피스 한글 2002 판매</t>
  </si>
  <si>
    <t>S220200</t>
  </si>
  <si>
    <t>판매품의_KC그린홀딩스 Tape Library 판매</t>
  </si>
  <si>
    <t>S220199</t>
  </si>
  <si>
    <t>(주)한진 에너지사업팀외2곳 전산장비(노트북,모니터,IP폰) 판매</t>
  </si>
  <si>
    <t>S220198</t>
  </si>
  <si>
    <t>(주)한진 인사팀 전산장비(노트북3대) 판매</t>
  </si>
  <si>
    <t>S220197</t>
  </si>
  <si>
    <t>S220196</t>
  </si>
  <si>
    <t>S220195</t>
  </si>
  <si>
    <t>판매품의_에티버스,주식회사 센코 KT정보보안서비스용 보안장비(AXGATE)공급</t>
  </si>
  <si>
    <t>S220194</t>
  </si>
  <si>
    <t>한국공항(주)_Google Meet Kit 판매(품의)</t>
  </si>
  <si>
    <t>S220193</t>
  </si>
  <si>
    <t>상상인, 모아저축은행 보안용 지정맥솔루션(단말기) 판매</t>
  </si>
  <si>
    <t>상상인</t>
  </si>
  <si>
    <t>S220192</t>
  </si>
  <si>
    <t>대한항공, IBM SPSS Modeler S/W 유지보수 (22년, 갱신)</t>
  </si>
  <si>
    <t>S220191</t>
  </si>
  <si>
    <t>(주)한진 전산장비(임원용 노트북1대) 판매</t>
  </si>
  <si>
    <t>S220190</t>
  </si>
  <si>
    <t>[변경판매품의](주)한진 전산장비(태블릿,키보드북커버) 판매</t>
  </si>
  <si>
    <t>S220189</t>
  </si>
  <si>
    <t>(주)한진 총무팀 전산장비(노트북,IP폰) 판매</t>
  </si>
  <si>
    <t>S220188</t>
  </si>
  <si>
    <t>(주)한진 전산장비(태블릿,키보드북커버) 판매</t>
  </si>
  <si>
    <t>S220187</t>
  </si>
  <si>
    <t>S220186</t>
  </si>
  <si>
    <t>유니에스 IP-PHONE 3대판매</t>
  </si>
  <si>
    <t>S220185</t>
  </si>
  <si>
    <t>(주)한진 대전,군포,정보보안그룹 전산장비(노트북2대, IP폰1대) 판매</t>
  </si>
  <si>
    <t>S220184</t>
  </si>
  <si>
    <t>S220183</t>
  </si>
  <si>
    <t>(주)한진 군산/수도권동부지점 전산장비(노트북 2대) 판매</t>
  </si>
  <si>
    <t>S220182</t>
  </si>
  <si>
    <t>대한항공 전산장비(아이폰케이블3m) 판매</t>
  </si>
  <si>
    <t>S220181</t>
  </si>
  <si>
    <t>(주)한진 이커머스 운영1그룹 전산장비(NAS용 HDD 6대) 판매</t>
  </si>
  <si>
    <t>S220180</t>
  </si>
  <si>
    <t>한진부산컨테이너터미널(HJNC) 전산장비(노트북1대) 판매</t>
  </si>
  <si>
    <t>S220179</t>
  </si>
  <si>
    <t>(주)한진 안전보건컴플라이언스팀 전산장비(모니터1대) 판매</t>
  </si>
  <si>
    <t>S220178</t>
  </si>
  <si>
    <t>(주)한진 W&amp;amp;amp;D운영팀 전산장비(노트북 IP폰) 판매</t>
  </si>
  <si>
    <t>S220177</t>
  </si>
  <si>
    <t>(주)왕산레저개발 전산장비(IP폰+어댑터) 판매</t>
  </si>
  <si>
    <t>S220176</t>
  </si>
  <si>
    <t>(주)한진 미주구주팀 전산장비(노트북 2대) 판매</t>
  </si>
  <si>
    <t>S220175</t>
  </si>
  <si>
    <t>인천글로벌물류센터 전산장비(데스크탑,모니터,IP폰) 판매</t>
  </si>
  <si>
    <t>S220174</t>
  </si>
  <si>
    <t>(주)한진 본사 전산장비(IP폰 아답터) 판매</t>
  </si>
  <si>
    <t>S220173</t>
  </si>
  <si>
    <t>(주)한진 영남지점 전산장비(IP폰 아답터) 판매</t>
  </si>
  <si>
    <t>S220172</t>
  </si>
  <si>
    <t>(주)한진 IT기획팀 전산장비(모니터2대,IP폰2대)판매</t>
  </si>
  <si>
    <t>S220171</t>
  </si>
  <si>
    <t>(주)한진 IT기획팀 전산장비(노트북 2대) 판매</t>
  </si>
  <si>
    <t>S220170</t>
  </si>
  <si>
    <t>대한항공 무인항공기 SW 라이선스 공급 (10월)</t>
  </si>
  <si>
    <t>S220169</t>
  </si>
  <si>
    <t>대한항공 무인항공기 SW 라이선스 공급 (9월)</t>
  </si>
  <si>
    <t>S220168</t>
  </si>
  <si>
    <t>(주)한진_Google Kit 스피커폰 판매(품의)</t>
  </si>
  <si>
    <t>S220167</t>
  </si>
  <si>
    <t>(주)한진 제주물류센터 제주항9부두 전산장비(모니터,IP폰) 판매</t>
  </si>
  <si>
    <t>S220166</t>
  </si>
  <si>
    <t>인천글로벌물류센터 전산장비(노트북) 판매</t>
  </si>
  <si>
    <t>S220165</t>
  </si>
  <si>
    <t>S220164</t>
  </si>
  <si>
    <t>(주)한진 목포 / 전주택배지점 전산장비(노트북 IP폰) 판매</t>
  </si>
  <si>
    <t>S220163</t>
  </si>
  <si>
    <t>S220162</t>
  </si>
  <si>
    <t>진에어 IP폰(3대) 판매</t>
  </si>
  <si>
    <t>S220161</t>
  </si>
  <si>
    <t>인천글로벌물류센터 SW(MS Office std) 판매</t>
  </si>
  <si>
    <t>S220160</t>
  </si>
  <si>
    <t>S220159</t>
  </si>
  <si>
    <t>S220158</t>
  </si>
  <si>
    <t>인천글로벌물류센터 IP폰(2대) 판매</t>
  </si>
  <si>
    <t>S220157</t>
  </si>
  <si>
    <t>S220156</t>
  </si>
  <si>
    <t>S220155</t>
  </si>
  <si>
    <t>(주)한진 중역실/구로/부산택배지점 전산장비(노트북) 판매</t>
  </si>
  <si>
    <t>S220154</t>
  </si>
  <si>
    <t>한진인천컨테이너터미널(HJIT) IP폰 (5대) 판매</t>
  </si>
  <si>
    <t>S220153</t>
  </si>
  <si>
    <t>대한항공 중고도무인기사업용 전산장비 (2차 도입분) 라이선스 (8-1)</t>
  </si>
  <si>
    <t>S220152</t>
  </si>
  <si>
    <t>한진칼 SW 판매(MS OFFICE_단품)</t>
  </si>
  <si>
    <t>S220151</t>
  </si>
  <si>
    <t>(주)한진(동대문택배지점) 전산장비(노트북 IP폰) 판매</t>
  </si>
  <si>
    <t>S220150</t>
  </si>
  <si>
    <t>판매품의_에티버스,디지털국제공조(주) KT정보보안서비스용 보안장비(AXGATE)공급</t>
  </si>
  <si>
    <t>S220149</t>
  </si>
  <si>
    <t>(주)휴데이터스 SW (MS Office) 판매</t>
  </si>
  <si>
    <t>S220148</t>
  </si>
  <si>
    <t>(주)한진(광주택배지점) 전산장비(노트북 IP폰) 판매</t>
  </si>
  <si>
    <t>S220147</t>
  </si>
  <si>
    <t>(주)한진(강릉택배지점) 전산장비(노트북 IP폰) 판매</t>
  </si>
  <si>
    <t>S220146</t>
  </si>
  <si>
    <t>항공종합서비스 PC백신 판매(22년 1년 갱신)</t>
  </si>
  <si>
    <t>S220145</t>
  </si>
  <si>
    <t>판매품의_에티버스, 에이블컴(주) KT정보보안서비스용 보안장비(AXGATE)공급</t>
  </si>
  <si>
    <t>S220144</t>
  </si>
  <si>
    <t>판매품의_에티버스, 재단법인 강동문화재단 KT정보보안서비스용 보안장비(AXGATE)공급</t>
  </si>
  <si>
    <t>S220143</t>
  </si>
  <si>
    <t>판매품의_에티버스, 경기도노인전문남양주병원 KT정보보안서비스용 보안장비(AXGATE)공급</t>
  </si>
  <si>
    <t>S220142</t>
  </si>
  <si>
    <t>(주)한진(홍보팀 인천택배지점) 전산장비(노트북 IP폰) 판매</t>
  </si>
  <si>
    <t>S220141</t>
  </si>
  <si>
    <t>판매품의_에티버스, 한라엠엔디석관점 KT정보보안서비스용 보안장비(AXGATE)공급</t>
  </si>
  <si>
    <t>S220140</t>
  </si>
  <si>
    <t>한진칼 SW(MS-Office pro) 판매</t>
  </si>
  <si>
    <t>S220139</t>
  </si>
  <si>
    <t>인천글로벌물류센터 전산장비(데스크탑 모니터 IP폰) 판매</t>
  </si>
  <si>
    <t>S220138</t>
  </si>
  <si>
    <t>판매품의_에티버스, 노원구청 KT정보보안서비스용 보안장비(AXGATE)공급</t>
  </si>
  <si>
    <t>S220137</t>
  </si>
  <si>
    <t>비츠로넥스텍, 액체로켓엔진 설계용 SW 판매</t>
  </si>
  <si>
    <t>비츠로넥스텍</t>
  </si>
  <si>
    <t>S220136</t>
  </si>
  <si>
    <t>한진인천컨테이너터미널 전산장비(데스크탑 모니터) 판매</t>
  </si>
  <si>
    <t>S220135</t>
  </si>
  <si>
    <t>(주)한진(복리후생팀, 수원택배지점) 전산장비(노트북) 판매</t>
  </si>
  <si>
    <t>S220134</t>
  </si>
  <si>
    <t>2022년 한진그룹 MS-EAS 및 단품(Office, CAL) 판매</t>
  </si>
  <si>
    <t>S220133</t>
  </si>
  <si>
    <t>S220132</t>
  </si>
  <si>
    <t>대한항공 무인항공기 SW 라이선스 공급 (7월, 8월)</t>
  </si>
  <si>
    <t>S220131</t>
  </si>
  <si>
    <t>[판매품의서]사내시스템 클라우드 전환 테스트</t>
  </si>
  <si>
    <t>이시용</t>
  </si>
  <si>
    <t>S220130</t>
  </si>
  <si>
    <t>S220129</t>
  </si>
  <si>
    <t>S220128</t>
  </si>
  <si>
    <t>한진부산컨테이너터미널 전산장비(17&amp;amp;quot;노트북*2대) 판매</t>
  </si>
  <si>
    <t>S220127</t>
  </si>
  <si>
    <t>2022년 칼호텔네트워크 노트북 1대 판매</t>
  </si>
  <si>
    <t>S220126</t>
  </si>
  <si>
    <t>(주)한진(임원용) 전산장비(노트북) 판매</t>
  </si>
  <si>
    <t>S220125</t>
  </si>
  <si>
    <t>칼호텔네트워크 ERP솔루션 iScala ERP 라이선스 갱신</t>
  </si>
  <si>
    <t>S220124</t>
  </si>
  <si>
    <t>칼호텔네트워크 iScala ERP 라이선스 갱신</t>
  </si>
  <si>
    <t>S220123</t>
  </si>
  <si>
    <t>(주)한진(구로택배 CS 택배영업팀, 마포택배) 전산장비(데스크탑 모니터 IP폰) 판매</t>
  </si>
  <si>
    <t>S220122</t>
  </si>
  <si>
    <t>(주)한진(이커머스기획팀) 태블릿 판매</t>
  </si>
  <si>
    <t>S220121</t>
  </si>
  <si>
    <t>2022년 싸이버스카이 백신(v3) 판매(1년, 갱신)</t>
  </si>
  <si>
    <t>S220120</t>
  </si>
  <si>
    <t>(주)휴데이터스 백신(알약) 추가 판매</t>
  </si>
  <si>
    <t>S220119</t>
  </si>
  <si>
    <t>인천글로벌물류센터 전산장비(데스크탑 모니터) 판매</t>
  </si>
  <si>
    <t>S220118</t>
  </si>
  <si>
    <t>정석기업 SW(AutoCAD*3년 사용권) 판매</t>
  </si>
  <si>
    <t>S220117</t>
  </si>
  <si>
    <t>판매품의_KC그린홀딩스 UPS 배터리 교체사업</t>
  </si>
  <si>
    <t>S220116</t>
  </si>
  <si>
    <t>(주)한진(IT기획팀) 전산장비(데스크탑3 모니터3 IP폰7) 판매</t>
  </si>
  <si>
    <t>S220115</t>
  </si>
  <si>
    <t>(주)한진(IT팀) 전산장비(데스크탑3 모니터3 IP폰3) 판매</t>
  </si>
  <si>
    <t>S220114</t>
  </si>
  <si>
    <t>(주)한진(제주물류센터) 전산장비(데스크탑 모니터 IP폰) 판매</t>
  </si>
  <si>
    <t>S220113</t>
  </si>
  <si>
    <t>(주)한진(부곡지점 유통물류2팀) 전산장비(노트북) 판매</t>
  </si>
  <si>
    <t>S220112</t>
  </si>
  <si>
    <t>판매품의_에티버스, 주식회사 에스에프이노텍 KT정보보안서비스용 보안장비(AXGATE)공급</t>
  </si>
  <si>
    <t>S220111</t>
  </si>
  <si>
    <t>2022년도 소형기상레이더 관측망 예비품 구매</t>
  </si>
  <si>
    <t>S220110</t>
  </si>
  <si>
    <t>판매품의_에티버스, (주)대성방재 KT정보보안서비스용 보안장비(AXGATE)공급</t>
  </si>
  <si>
    <t>S220109</t>
  </si>
  <si>
    <t>(주)한진(IT기획팀) 전산장비(고사양 데스크탑) 판매</t>
  </si>
  <si>
    <t>S220108</t>
  </si>
  <si>
    <t>판매품의_에티버스, 주식회사 진코어 KT정보보안서비스용 보안장비(AXGATE)공급</t>
  </si>
  <si>
    <t>S220107</t>
  </si>
  <si>
    <t>S220106</t>
  </si>
  <si>
    <t>인천글로벌물류센터 네트워크 판매</t>
  </si>
  <si>
    <t>S220105</t>
  </si>
  <si>
    <t>판매품의_에티버스, 나무경영아카데미 KT정보보안서비스용 보안장비(AXGATE)공급</t>
  </si>
  <si>
    <t>S220104</t>
  </si>
  <si>
    <t>(주)휴데이터스 전산장비(노트북 모니터) 판매</t>
  </si>
  <si>
    <t>S220103</t>
  </si>
  <si>
    <t>에어코리아, 알약 PC백신 판매(1년 갱신 계약 / 2022년)</t>
  </si>
  <si>
    <t>S220102</t>
  </si>
  <si>
    <t>판매품의_에티버스, 화성시청(18차) KT정보보안서비스용 보안장비(AXGATE)공급</t>
  </si>
  <si>
    <t>S220101</t>
  </si>
  <si>
    <t>(주)한진(천안택배지점 외 4팀) 전산장비(노트북 IP폰) 판매</t>
  </si>
  <si>
    <t>S220100</t>
  </si>
  <si>
    <t>(주)한진(인천택배 본사(집배송지원그룹)) 전산장비(노트북) 판매</t>
  </si>
  <si>
    <t>S220099</t>
  </si>
  <si>
    <t>대한항공 무인항공기 SW 라이선스 공급_</t>
  </si>
  <si>
    <t>S220098</t>
  </si>
  <si>
    <t>진에어, 알약 PC백신 판매(1년 갱신 계약 / 2022년)</t>
  </si>
  <si>
    <t>S220097</t>
  </si>
  <si>
    <t>(주)한진(부산국제,진주,대전 외) 전산장비(노트북 IP폰) 판매</t>
  </si>
  <si>
    <t>S220096</t>
  </si>
  <si>
    <t>판매품의_에티버스,진영국도유지지건설사무소 KT정보보안서비스용 보안장비(AXGATE)공급</t>
  </si>
  <si>
    <t>S220095</t>
  </si>
  <si>
    <t>판매품의_에티버스, 주식회사 입셀 KT정보보안서비스용 보안장비(AXGATE)공급</t>
  </si>
  <si>
    <t>S220094</t>
  </si>
  <si>
    <t>2022년 인하대병원 NAS 스토리지 구매</t>
  </si>
  <si>
    <t>S220093</t>
  </si>
  <si>
    <t>[변경판매품의] (주)한진(포워딩운영1팀) 전산장비(태블릿,북커버) 판매</t>
  </si>
  <si>
    <t>S220092</t>
  </si>
  <si>
    <t>(주)한진 IT기획팀 전원 어댑터(IP폰 9000시리즈용) 판매</t>
  </si>
  <si>
    <t>S220091</t>
  </si>
  <si>
    <t>대한항공 아이폰 충전케이블(1m*25ea) 판매</t>
  </si>
  <si>
    <t>S220090</t>
  </si>
  <si>
    <t>한진인천컨테이너터미널 전산장비(데스크탑 IP폰) 판매</t>
  </si>
  <si>
    <t>S220089</t>
  </si>
  <si>
    <t>(주)한진(포워딩운영1팀) 전산장비(태블릿,북커버) 판매</t>
  </si>
  <si>
    <t>S220088</t>
  </si>
  <si>
    <t>(주)한진(인사관리 중국팀) 전산장비(노트북 IP폰) 판매</t>
  </si>
  <si>
    <t>S220087</t>
  </si>
  <si>
    <t>판매품의_이즈파크 IP-PHONE 1대 판매</t>
  </si>
  <si>
    <t>이즈파크</t>
  </si>
  <si>
    <t>S220086</t>
  </si>
  <si>
    <t>(주)한진(부곡유통물류1팀 Data팀) 전산장비(노트북 모니터) 판매</t>
  </si>
  <si>
    <t>S220085</t>
  </si>
  <si>
    <t>대한항공 아이폰 충전케이블(1m*20ea) 판매</t>
  </si>
  <si>
    <t>S220084</t>
  </si>
  <si>
    <t>(주)한진(전남울산증평) 전산장비(노트북 IP폰 데스크탑/모니터) 판매</t>
  </si>
  <si>
    <t>S220083</t>
  </si>
  <si>
    <t>(주)한진(미래성장전략실) 전산장비(노트북 IP폰) 판매</t>
  </si>
  <si>
    <t>S220082</t>
  </si>
  <si>
    <t>한국글로발로지스틱스시스템 PC백신 판매</t>
  </si>
  <si>
    <t>S220081</t>
  </si>
  <si>
    <t>인천글로벌물류센터 신입직원용 전산장비(데스크탑 노트북 외) 판매</t>
  </si>
  <si>
    <t>S220080</t>
  </si>
  <si>
    <t>정석기업 백신(알약) 판매</t>
  </si>
  <si>
    <t>S220079</t>
  </si>
  <si>
    <t>판매품의_영우디지탈, 재외동포재단 KT정보보안서비스용 보안장비(AXGATE)공급</t>
  </si>
  <si>
    <t>S220078</t>
  </si>
  <si>
    <t>한국글로발로지스틱스시스템 PC백신 판매(1년 갱신계약)</t>
  </si>
  <si>
    <t>S220077</t>
  </si>
  <si>
    <t>판매품의_영우디지탈,(주)디에이그룹엔지니어링 KT정보보안서비스용 보안장비(AXGATE)공급</t>
  </si>
  <si>
    <t>S220076</t>
  </si>
  <si>
    <t>판매품의_영우디지탈, 랜드소프트주식회사 KT정보보안서비스용 보안장비(AXGATE)공급</t>
  </si>
  <si>
    <t>S220075</t>
  </si>
  <si>
    <t>판매품의_영우디지탈, 승일테크(주) KT정보보안서비스용 보안장비(AXGATE)공급</t>
  </si>
  <si>
    <t>S220074</t>
  </si>
  <si>
    <t>한진인천컨테이너터미널 전산장비(데스크탑, 모니터) 판매</t>
  </si>
  <si>
    <t>S220073</t>
  </si>
  <si>
    <t>(주)한진(포워딩사업부) 전산장비(노트북 IP폰) 판매</t>
  </si>
  <si>
    <t>S220072</t>
  </si>
  <si>
    <t>판매품의_영우디지탈, (주)글로벌패시지 KT정보보안서비스용 보안장비(AXGATE)공급</t>
  </si>
  <si>
    <t>S220071</t>
  </si>
  <si>
    <t>한진부산컨테이너터미널 전산장비(17&amp;amp;quot;노트북*1대) 판매</t>
  </si>
  <si>
    <t>S220070</t>
  </si>
  <si>
    <t>(주)한진_경영기획실 부평택배지점 전산장비(노트북 모니터) 판매</t>
  </si>
  <si>
    <t>S220069</t>
  </si>
  <si>
    <t>한진부산컨테이너터미널 전산장비(17&amp;amp;quot;노트북) 판매</t>
  </si>
  <si>
    <t>S220068</t>
  </si>
  <si>
    <t>(주)한진_경북지부 인천택배지점(노트북, IP폰) 판매</t>
  </si>
  <si>
    <t>S220067</t>
  </si>
  <si>
    <t>(주)한진_미래성장전략실,복리후생팀,글로벌지원팀 판매</t>
  </si>
  <si>
    <t>S220066</t>
  </si>
  <si>
    <t>(주)한진 SW 판매(MS RDS 라이선스)</t>
  </si>
  <si>
    <t>S220065</t>
  </si>
  <si>
    <t>(주)휴데이터스 백신(알약) 판매</t>
  </si>
  <si>
    <t>S220064</t>
  </si>
  <si>
    <t>대한항공 Portable 운영용 아이폰 충전케이블(1m*20ea) 판매</t>
  </si>
  <si>
    <t>S220063</t>
  </si>
  <si>
    <t>대한항공 B787사업용(2006.5도입) CATIA (4-3)</t>
  </si>
  <si>
    <t>S220062</t>
  </si>
  <si>
    <t>대한항공 QTWBT KHP사업용(2007.4도입) CATIA (4-2)</t>
  </si>
  <si>
    <t>S220061</t>
  </si>
  <si>
    <t>대한항공 중고도무인기사업용 전산(1차 도입) 라이선스 (4-1)</t>
  </si>
  <si>
    <t>S220060</t>
  </si>
  <si>
    <t>(주)한진_풀필먼트팀 부곡유통물류2팀_전산장비(노트북) 판매</t>
  </si>
  <si>
    <t>S220059</t>
  </si>
  <si>
    <t>(주)휴데이터스 SW 전산장비(IP폰) 판매</t>
  </si>
  <si>
    <t>S220058</t>
  </si>
  <si>
    <t>대한항공 광대역 저피탐 UAV 기체구조 SW 판매</t>
  </si>
  <si>
    <t>S220057</t>
  </si>
  <si>
    <t>(주)한진_전남물류운송팀_전산장비(노트북, IP폰) 판매</t>
  </si>
  <si>
    <t>S220056</t>
  </si>
  <si>
    <t>대한항공 액체로켓엔진 SW 라이선스</t>
  </si>
  <si>
    <t>S220055</t>
  </si>
  <si>
    <t>(주)한진_상생협력팀_전산장비(노트북, IP폰) 판매</t>
  </si>
  <si>
    <t>S220054</t>
  </si>
  <si>
    <t>한국공항 전산장비 판매(노트북 1대)</t>
  </si>
  <si>
    <t>김태훈</t>
  </si>
  <si>
    <t>S220053</t>
  </si>
  <si>
    <t>(주)휴데이터스 전산장비(노트북, 모니터) 판매</t>
  </si>
  <si>
    <t>S220052</t>
  </si>
  <si>
    <t>(주)한진_IT기획,해외사업부,하남지점 전산장비(데스크탑 외) 판매</t>
  </si>
  <si>
    <t>S220051</t>
  </si>
  <si>
    <t>판매품의_영우디지탈, (재)송파문화재단 KT정보보안서비스용 보안장비(AXGATE)공급</t>
  </si>
  <si>
    <t>S220050</t>
  </si>
  <si>
    <t>한진관광 백신(알약) 판매</t>
  </si>
  <si>
    <t>S220049</t>
  </si>
  <si>
    <t>한진부산컨테이너터미널 전산장비(노트북) 판매</t>
  </si>
  <si>
    <t>S220048</t>
  </si>
  <si>
    <t>(주)한진(부곡 물류운송팀) 전산장비(노트북 IP폰) 판매</t>
  </si>
  <si>
    <t>S220047</t>
  </si>
  <si>
    <t>대한항공 항공우주사업본부 701 신호정보기 사업용 SW (3-3)</t>
  </si>
  <si>
    <t>S220046</t>
  </si>
  <si>
    <t>대한항공 B787사업용(2007.3도입) PLM CATIA RLC (3-2)</t>
  </si>
  <si>
    <t>S220045</t>
  </si>
  <si>
    <t>대한항공 사단 무인기사업용 3-3차 SW 라이선스 (3-1)</t>
  </si>
  <si>
    <t>S220044</t>
  </si>
  <si>
    <t>대한항공 피아식별장비 성능개량사업(IFF) (3-4)</t>
  </si>
  <si>
    <t>S220043</t>
  </si>
  <si>
    <t>대한항공 PUSBB MUAV 사업용 CATIA (1-1)</t>
  </si>
  <si>
    <t>S220042</t>
  </si>
  <si>
    <t>대한항공 항공우주사업 장비 구동용 SW (1-3)</t>
  </si>
  <si>
    <t>S220041</t>
  </si>
  <si>
    <t>(주)한진(구로,수원,부곡유통물류2팀) 전산장비 판매</t>
  </si>
  <si>
    <t>S220040</t>
  </si>
  <si>
    <t>휴데이터스 전산장비(노트북,모니터,IP폰) 및 상용S/W 판매</t>
  </si>
  <si>
    <t>S220039</t>
  </si>
  <si>
    <t>판매품의_영우디지탈, 화성시청 KT정보보안서비스용 보안장비(AXGATE)공급(17차)</t>
  </si>
  <si>
    <t>S220038</t>
  </si>
  <si>
    <t>(주)한진 개발자 전산장비 KIT 판매</t>
  </si>
  <si>
    <t>S220037</t>
  </si>
  <si>
    <t>(주)한진(중역실,복리후생,전남지점) 전산장비 판매</t>
  </si>
  <si>
    <t>S220036</t>
  </si>
  <si>
    <t>부산글로벌물류센터 전산장비(데스크탑,모니터, 프린터) 판매</t>
  </si>
  <si>
    <t>S220035</t>
  </si>
  <si>
    <t>대한항공 A350 Cargo Door 개발용 S/W 라이선스_Samcef (1-2)</t>
  </si>
  <si>
    <t>S220034</t>
  </si>
  <si>
    <t>인천글로벌물류센터 업무용 전산장비(데스크탑 외) 판매</t>
  </si>
  <si>
    <t>S220033</t>
  </si>
  <si>
    <t>(주)한진(신입직원,인사관리) 전산장비 판매</t>
  </si>
  <si>
    <t>S220032</t>
  </si>
  <si>
    <t>인천글로벌물류센터 신입직원용 전산장비(데스크탑,모니터, IP폰) 판매</t>
  </si>
  <si>
    <t>S220031</t>
  </si>
  <si>
    <t>판매품의_대한항공 상담도우미솔루션 라이선스 갱신</t>
  </si>
  <si>
    <t>S220030</t>
  </si>
  <si>
    <t>(주)한진(중역실_농협 감사실, 글로벌안전팀) 전산장비 판매</t>
  </si>
  <si>
    <t>S220029</t>
  </si>
  <si>
    <t>S220028</t>
  </si>
  <si>
    <t>대한항공 Portable 운영용 아이폰 충전케이블(3m*45ea) 판매</t>
  </si>
  <si>
    <t>S220027</t>
  </si>
  <si>
    <t>판매품의_영우디지탈, (주)한길통상 KT정보보안서비스 보안장비(AXGATE)공급</t>
  </si>
  <si>
    <t>S220026</t>
  </si>
  <si>
    <t>(주)한진 개발자용 S/W 판매</t>
  </si>
  <si>
    <t>S220025</t>
  </si>
  <si>
    <t>판매품의_영우디지탈, (주)밸류마크 KT정보보안서비스 보안장비(AXGATE)공급</t>
  </si>
  <si>
    <t>S220024</t>
  </si>
  <si>
    <t>(주)한진 유류사업팀 외 2곳 전산장비(노트북) 판매</t>
  </si>
  <si>
    <t>S220023</t>
  </si>
  <si>
    <t>(주)한진 중역실,인사,택배안전팀 전산장비(노트북 외) 판매</t>
  </si>
  <si>
    <t>S220022</t>
  </si>
  <si>
    <t>(주)한진 중역실,글로벌,프로젝트팀 전산장비(노트북 외) 판매</t>
  </si>
  <si>
    <t>S220021</t>
  </si>
  <si>
    <t>판매품의_영우디지탈,(주)하이스틸(제3공장) KT정보보안서비스 보안장비(AXGATE)공급</t>
  </si>
  <si>
    <t>S220020</t>
  </si>
  <si>
    <t>판매품의_대한항공 관세통관시스템(MPRO) SW 라이선스(갱신)</t>
  </si>
  <si>
    <t>S220019</t>
  </si>
  <si>
    <t>(주)한진 물류안전팀, B2B센터 전산장비(노트북 IP폰) 판매</t>
  </si>
  <si>
    <t>S220018</t>
  </si>
  <si>
    <t>인천글로벌물류센터 전산장비(데스크탑,모니터, IP폰) 판매</t>
  </si>
  <si>
    <t>S220017</t>
  </si>
  <si>
    <t>(주)한진 휴데이터스 전산장비(노트북,모니터,IP폰) 판매</t>
  </si>
  <si>
    <t>S220016</t>
  </si>
  <si>
    <t>판매품의_정석비행장 AMOS(기상장비) 운고계 부품 판매</t>
  </si>
  <si>
    <t>S220015</t>
  </si>
  <si>
    <t>(주)한진 중역실 및 총무지원실 전산장비(데스크탑 외) 판매</t>
  </si>
  <si>
    <t>S220014</t>
  </si>
  <si>
    <t>판매품의_영우디지탈,한국건강증진개발원 KT정보보안서비스 보안장비(AXGATE)공급</t>
  </si>
  <si>
    <t>S220013</t>
  </si>
  <si>
    <t>진에어 사천공항 전산장비(IP폰, 설치포함) 판매</t>
  </si>
  <si>
    <t>S220012</t>
  </si>
  <si>
    <t>(주)한진 광주택배지점 전산장비(IP폰) 판매</t>
  </si>
  <si>
    <t>S220011</t>
  </si>
  <si>
    <t>한진인천컨테이너터미널(주) 전산장비 판매</t>
  </si>
  <si>
    <t>S220010</t>
  </si>
  <si>
    <t>(주)한진 디지털사업팀 전산장비(노트북, IP폰) 판매</t>
  </si>
  <si>
    <t>S220009</t>
  </si>
  <si>
    <t>(주)한진 노사협력팀 전산장비(노트북, IP폰) 판매</t>
  </si>
  <si>
    <t>S220008</t>
  </si>
  <si>
    <t>인천글로벌물류센터(주) 전산장비(데스크탑 외) 판매</t>
  </si>
  <si>
    <t>S220007</t>
  </si>
  <si>
    <t>(주)한진 IP폰(9000시리즈) 전원아답터 판매</t>
  </si>
  <si>
    <t>S220006</t>
  </si>
  <si>
    <t>(주)한진 춘천택배지점 노트북 IP폰 판매</t>
  </si>
  <si>
    <t>S220005</t>
  </si>
  <si>
    <t>(주)한진 시설관재팀 IP폰 판매</t>
  </si>
  <si>
    <t>S220004</t>
  </si>
  <si>
    <t>(주)한진 포워딩운영 프로젝트영업팀 전산장비(노트북 3대) 판매</t>
  </si>
  <si>
    <t>S220003</t>
  </si>
  <si>
    <t>(주)한진 시설관재팀 전산장비(노트북 2대) 판매</t>
  </si>
  <si>
    <t>S220002</t>
  </si>
  <si>
    <t>(주)한진 택배사업본부장실 전산장비(노트북 2대) 판매</t>
  </si>
  <si>
    <t>S220001</t>
  </si>
  <si>
    <t>판매품의_영우디지탈, (주)윈택디자인 KT정보보안서비스 보안장비(AXGATE)공급</t>
  </si>
  <si>
    <t>S210265</t>
  </si>
  <si>
    <t>(주)한진 수원택배지점 전산장비(IP폰) 판매</t>
  </si>
  <si>
    <t>S210264</t>
  </si>
  <si>
    <t>S210263</t>
  </si>
  <si>
    <t>(주)한진 K패션 부곡유통 전산장비(노트북, IP폰) 판매</t>
  </si>
  <si>
    <t>S210262</t>
  </si>
  <si>
    <t>라이나생명 네트워크 보안장비 교체 사업(방화벽 솔루션 공급)</t>
  </si>
  <si>
    <t>씨엠티정보통신</t>
  </si>
  <si>
    <t>S210261</t>
  </si>
  <si>
    <t>(주)한진 아시아팀 전산장비(노트북, IP폰) 판매</t>
  </si>
  <si>
    <t>S210260</t>
  </si>
  <si>
    <t>(주)한진 영남, 전남지점(광양) 전산장비(노트북 IP폰) 판매</t>
  </si>
  <si>
    <t>S210259</t>
  </si>
  <si>
    <t>(주)한진 경영층 전산장비(데스크탑,모니터) 판매</t>
  </si>
  <si>
    <t>S210258</t>
  </si>
  <si>
    <t>(주)한진 부산국제지점 전산장비(데스크탑,IP폰) 판매</t>
  </si>
  <si>
    <t>S210257</t>
  </si>
  <si>
    <t>판매품의_유니에스 IP-PHONE 7대 판매</t>
  </si>
  <si>
    <t>S210256</t>
  </si>
  <si>
    <t>판매품의_영우디지탈,진영국토유지지건설사무소 KT정보보안서비스 보안장비(AXGATE)공급</t>
  </si>
  <si>
    <t>S210255</t>
  </si>
  <si>
    <t>싸이버스카이 오라클 DBMS 라이선스 판매(갱신, 2022년)</t>
  </si>
  <si>
    <t>S210254</t>
  </si>
  <si>
    <t>판매품의_영우디지탈,신안군시설관리사업소(2차) KT정보보안서비스 보안장비(AXGATE)공급</t>
  </si>
  <si>
    <t>S210253</t>
  </si>
  <si>
    <t>토파스 원격지원솔루션 라이센스 판매</t>
  </si>
  <si>
    <t>S210252</t>
  </si>
  <si>
    <t>칼호텔네트워크(서귀포KAL호텔) 서버백신 판매(1년 갱신)</t>
  </si>
  <si>
    <t>S210251</t>
  </si>
  <si>
    <t>칼호텔네트워크(제주KAL호텔) 서버백신 판매(1년 갱신)</t>
  </si>
  <si>
    <t>칼호텔네트워크(제주KAL호텔)</t>
  </si>
  <si>
    <t>S210250</t>
  </si>
  <si>
    <t>(변경) 2021년도 소형기상레이더 관측망 예비품 구매</t>
  </si>
  <si>
    <t>S210249</t>
  </si>
  <si>
    <t>대한항공 A320 SL개발용 CAESAM (12-3)</t>
  </si>
  <si>
    <t>S210248</t>
  </si>
  <si>
    <t>대한항공 중형기 탐색개발 사업용(지경부 주관) (12-6)</t>
  </si>
  <si>
    <t>S210247</t>
  </si>
  <si>
    <t>대한항공 PAM(차세대 날개 개발) 사업용 SW 라이선스 (12-7)</t>
  </si>
  <si>
    <t>S210246</t>
  </si>
  <si>
    <t>대한항공 103 차기 군 위성통신 체계개발사업용 (12-5)</t>
  </si>
  <si>
    <t>S210245</t>
  </si>
  <si>
    <t>대한항공 제주사옥 CCTV 배선공사</t>
  </si>
  <si>
    <t>S210244</t>
  </si>
  <si>
    <t>(주)한진 전남, 천안택배지점 전산장비 판매</t>
  </si>
  <si>
    <t>S210243</t>
  </si>
  <si>
    <t>한진인천컨테이너터미널 데스크탑 1대 외 판매</t>
  </si>
  <si>
    <t>S210242</t>
  </si>
  <si>
    <t>판매품의_영우디지탈, (주)앙츠 KT정보보안서비스용 보안장비(AXGATE)공급</t>
  </si>
  <si>
    <t>S210241</t>
  </si>
  <si>
    <t>(주)한진 용인택배지점 전산장비(노트북,IP폰) 판매</t>
  </si>
  <si>
    <t>S210240</t>
  </si>
  <si>
    <t>칼호텔네트워크 서귀포 칼호텔 PC 백신 판매(1년 갱신)</t>
  </si>
  <si>
    <t>S210239</t>
  </si>
  <si>
    <t>칼호텔네트워크 제주칼호텔 PC 백신 판매(1년 갱신)</t>
  </si>
  <si>
    <t>S210238</t>
  </si>
  <si>
    <t>(주)한진 원주, 강릉택배지점 전산장비 판매</t>
  </si>
  <si>
    <t>S210237</t>
  </si>
  <si>
    <t>판매품의_동축케이블(포항표지소) 판매</t>
  </si>
  <si>
    <t>Thales Deutschland GmbH</t>
  </si>
  <si>
    <t>S210236</t>
  </si>
  <si>
    <t>(주)한진 군산물류 및 IT운영팀(정보보안그룹) 전산장비(노트북 IP폰) 판매</t>
  </si>
  <si>
    <t>S210235</t>
  </si>
  <si>
    <t>인천공항의원 T2 코로나 검사센터 문진 키오스크 3대 판매</t>
  </si>
  <si>
    <t>S210234</t>
  </si>
  <si>
    <t>한진부산컨테이너터미널 노후 PC 교체 판매</t>
  </si>
  <si>
    <t>S210233</t>
  </si>
  <si>
    <t>판매품의_영우디지탈, 신안군시설관리사업소 KT정보보안서비스용 보안장비(AXGATE)공급</t>
  </si>
  <si>
    <t>S210232</t>
  </si>
  <si>
    <t>GS칼텍스 보안인프라 개선 사업(네트워크 보안솔루션 공급)</t>
  </si>
  <si>
    <t>에스컴</t>
  </si>
  <si>
    <t>S210231</t>
  </si>
  <si>
    <t>항공종합서비스 PC백신 판매(21년 1년 갱신)</t>
  </si>
  <si>
    <t>S210230</t>
  </si>
  <si>
    <t>인천글로벌물류센터 전산장비(노트북, IP폰) 판매</t>
  </si>
  <si>
    <t>S210229</t>
  </si>
  <si>
    <t>항공종합서비스칼호텔 PC백신 판매(21년 1년 갱신)</t>
  </si>
  <si>
    <t>S210228</t>
  </si>
  <si>
    <t>대한항공 밸킨 라이트닝 충전케이블(1m*25) 판매</t>
  </si>
  <si>
    <t>S210227</t>
  </si>
  <si>
    <t>(주)한진 일산택배 충청지부 IP폰 판매</t>
  </si>
  <si>
    <t>S210226</t>
  </si>
  <si>
    <t>대한항공, IBM SPSS Modeler S/W 유지보수 (갱신)</t>
  </si>
  <si>
    <t>S210225</t>
  </si>
  <si>
    <t>(주)한진 중부지점(당진)_고객지원팀(본사) 전산장비(노트북 IP폰) 판매</t>
  </si>
  <si>
    <t>S210224</t>
  </si>
  <si>
    <t>HJIT 전산장비(데스크탑 모니터) 판매</t>
  </si>
  <si>
    <t>S210223</t>
  </si>
  <si>
    <t>(주)한진 제주물류 전산장비(노트북 IP폰) 판매</t>
  </si>
  <si>
    <t>S210222</t>
  </si>
  <si>
    <t>(주)한진 저사양 PC교체 판매</t>
  </si>
  <si>
    <t>S210221</t>
  </si>
  <si>
    <t>S210220</t>
  </si>
  <si>
    <t>(주)한진 부산지점 구미물류 전산장비(노트북 IP폰) 판매</t>
  </si>
  <si>
    <t>S210219</t>
  </si>
  <si>
    <t>칼호텔네트워크(제주KAL호텔) 판매지원팀 PC 판매</t>
  </si>
  <si>
    <t>S210218</t>
  </si>
  <si>
    <t>S210217</t>
  </si>
  <si>
    <t>칼호텔네트워크(제주KAL칼호텔) 한컴오피스SW 계약(갱신)</t>
  </si>
  <si>
    <t>S210216</t>
  </si>
  <si>
    <t>(주)한진 노사협력 산업안전조사팀 전산장비(노트북 IP폰) 판매</t>
  </si>
  <si>
    <t>S210215</t>
  </si>
  <si>
    <t>(주)한진 중역실(택배기획팀) 전산장비(태블릿PC S7+) 판매</t>
  </si>
  <si>
    <t>S210214</t>
  </si>
  <si>
    <t>(주)한진 IT기획팀 전산장비(태블릿PC S7+) 판매</t>
  </si>
  <si>
    <t>S210213</t>
  </si>
  <si>
    <t>판매품의_유니에스 IP-PHONE 2대 판매</t>
  </si>
  <si>
    <t>S210212</t>
  </si>
  <si>
    <t>(변경) 판매품의_한진칼, 그룹사 New 한웨이 도입용 SSL인증서(Wildcard) 공급</t>
  </si>
  <si>
    <t>S210211</t>
  </si>
  <si>
    <t>(주)한진 인력개발팀 전산장비(IP폰) 판매</t>
  </si>
  <si>
    <t>S210210</t>
  </si>
  <si>
    <t>(주)한진 부곡지점유통운송팀 IT기획팀 전산장비(노트북 IP폰) 판매</t>
  </si>
  <si>
    <t>S210209</t>
  </si>
  <si>
    <t>대한항공 저피탐 지상시험용 도입SW 라이선스 (9-7)</t>
  </si>
  <si>
    <t>S210208</t>
  </si>
  <si>
    <t>대한항공 B787 사업용(2005.1 도입) CATIA (12-2)</t>
  </si>
  <si>
    <t>S210207</t>
  </si>
  <si>
    <t>정석기업 더존ERP 사용자 라이선스 추가 판매</t>
  </si>
  <si>
    <t>S210206</t>
  </si>
  <si>
    <t>판매품의_한진칼, 그룹사 New Hanway 도입용 SSL인증서(Wildcard) 공급</t>
  </si>
  <si>
    <t>클라우드서비스그룹</t>
  </si>
  <si>
    <t>S210205</t>
  </si>
  <si>
    <t>(주)한진 부곡지점 전산장비(IP폰) 판매</t>
  </si>
  <si>
    <t>S210204</t>
  </si>
  <si>
    <t>판매품의_영우디지탈, 키비스키즈잉글리쉬어학원 KT정보보안서비스용 보안장비(AXGATE)공급</t>
  </si>
  <si>
    <t>S210203</t>
  </si>
  <si>
    <t>(주)한진 전산장비(Voice Gateway) 판매</t>
  </si>
  <si>
    <t>S210202</t>
  </si>
  <si>
    <t>(주)한진 IT기획팀 전산장비(삼성노트북) 판매</t>
  </si>
  <si>
    <t>S210201</t>
  </si>
  <si>
    <t>(주)한진 data팀 포워딩팀 전산장비(노트북,모니터) 판매</t>
  </si>
  <si>
    <t>S210200</t>
  </si>
  <si>
    <t>인천글로벌물류센터 전산장비(데스트탑 외) 판매</t>
  </si>
  <si>
    <t>S210199</t>
  </si>
  <si>
    <t>판매품의_RF케이블 및 커넥터(제주, 포항표지소) 판매</t>
  </si>
  <si>
    <t>S210198</t>
  </si>
  <si>
    <t>(주)한진 WD운영팀 전산장비(노트북,IP폰) 판매</t>
  </si>
  <si>
    <t>S210197</t>
  </si>
  <si>
    <t>판매품의_영우디지탈, 진영국토유지지건설사무소 KT정보보안서비스용 보안장비(AXGATE)공급</t>
  </si>
  <si>
    <t>S210196</t>
  </si>
  <si>
    <t>공항영업그룹</t>
  </si>
  <si>
    <t>S210195</t>
  </si>
  <si>
    <t>대한항공 Portable 운영용 아이폰 충전케이블(1m) 판매</t>
  </si>
  <si>
    <t>S210194</t>
  </si>
  <si>
    <t>(주)한진 Data팀 전산장비(노트북 IP폰) 판매</t>
  </si>
  <si>
    <t>S210193</t>
  </si>
  <si>
    <t>판매품의_영우디지탈, 에스케이테크 KT정보보안서비스용 보안장비(AXGATE)공급</t>
  </si>
  <si>
    <t>S210192</t>
  </si>
  <si>
    <t>한진 DXPI팀 Data팀 특송운영팀 전산장비(노트북 IP폰) 판매</t>
  </si>
  <si>
    <t>S210191</t>
  </si>
  <si>
    <t>한진 부곡유통운송팀 구미물류센터 군포택배지점 전산장비(노트북,IP폰) 판매</t>
  </si>
  <si>
    <t>S210190</t>
  </si>
  <si>
    <t>한진 _천안 일산택배지점 법무팀 전산장비(노트북,IP폰) 판매</t>
  </si>
  <si>
    <t>S210189</t>
  </si>
  <si>
    <t>판매품의_영우디지탈, (재)서울산업진흥원 KT정보보안서비스용 보안장비(AXGATE)공급</t>
  </si>
  <si>
    <t>S210188</t>
  </si>
  <si>
    <t>(주)한진 아시아팀 중부물류팀 외 전산장비(노트북,IP폰) 판매</t>
  </si>
  <si>
    <t>S210187</t>
  </si>
  <si>
    <t>인천공항의원 T2 코로나 검사센터 문진 키오스크 판매</t>
  </si>
  <si>
    <t>S210186</t>
  </si>
  <si>
    <t>판매품의_영우디지탈, 대항병원 KT정보보안서비스용 보안장비(AXGATE)공급</t>
  </si>
  <si>
    <t>S210185</t>
  </si>
  <si>
    <t>(주)한진, 산업안전기획팀 전산장비(노트북) 판매</t>
  </si>
  <si>
    <t>S210184</t>
  </si>
  <si>
    <t>판매품의_영우디지탈, 양주시청 KT정보보안서비스용 보안장비(AXGATE)공급</t>
  </si>
  <si>
    <t>S210183</t>
  </si>
  <si>
    <t>(주)한진 전남항만물류팀 홍보팀(본사) 전산장비 판매</t>
  </si>
  <si>
    <t>S210182</t>
  </si>
  <si>
    <t>판매품의_영우디지탈, 에스지메디칼주식회사 KT정보보안서비스용 보안장비(AXGATE)공급</t>
  </si>
  <si>
    <t>S210181</t>
  </si>
  <si>
    <t>대한항공 Portable 운영용 아이폰 충전케이블(3m) 판매</t>
  </si>
  <si>
    <t>S210180</t>
  </si>
  <si>
    <t>(주)한진 이하넥스팀 외 전산장비(노트북3, IP폰1) 판매</t>
  </si>
  <si>
    <t>S210179</t>
  </si>
  <si>
    <t>(주)한진 창원/울산/용인 전산장비 판매</t>
  </si>
  <si>
    <t>S210178</t>
  </si>
  <si>
    <t>(주)한진 구미물류 및 IT기획팀 전산장비 판매</t>
  </si>
  <si>
    <t>S210177</t>
  </si>
  <si>
    <t>(주)한진 산업안전실 전산장비(태블릿PC S7+) 판매</t>
  </si>
  <si>
    <t>S210176</t>
  </si>
  <si>
    <t>인천글로벌물류센터(주), 전산장비(노트북,IP폰) 판매</t>
  </si>
  <si>
    <t>S210175</t>
  </si>
  <si>
    <t>(주)한진 부산 양산택배지점 정보보안그룹 전산장비(노트북) 판매</t>
  </si>
  <si>
    <t>S210174</t>
  </si>
  <si>
    <t>한진부산컨테이너터미널, 노트북(2대) 판매</t>
  </si>
  <si>
    <t>S210173</t>
  </si>
  <si>
    <t>판매품의_영우디지탈, (주)아림인터텍스 KT정보보안서비스용 보안장비(AXGATE)공급</t>
  </si>
  <si>
    <t>S210172</t>
  </si>
  <si>
    <t>대한항공 항공우주사업본부 해상초계기(P-3C 성능개량) 사업용 (9-5)</t>
  </si>
  <si>
    <t>S210171</t>
  </si>
  <si>
    <t>대한항공 항공우주사업본부 지경부 샤크렛 과제용 SW (9-2)</t>
  </si>
  <si>
    <t>S210170</t>
  </si>
  <si>
    <t>인천공항 4단계 공항지상관제시스템(ASDE) 장비 구매 납품</t>
  </si>
  <si>
    <t>Indra Navia AS</t>
  </si>
  <si>
    <t>S210169</t>
  </si>
  <si>
    <t>대한항공 수출사업 SHIM 설계용 CATIA SW(9-3)</t>
  </si>
  <si>
    <t>S210168</t>
  </si>
  <si>
    <t>인하대병원 메인 방화벽 판매</t>
  </si>
  <si>
    <t>S210167</t>
  </si>
  <si>
    <t>대한항공 MUAV-OO 개발 사업 및 507사업용 라이선스(9-6.)</t>
  </si>
  <si>
    <t>S210166</t>
  </si>
  <si>
    <t>대한항공 A320 SL 개발용 S/W 라이선스 (9-4)</t>
  </si>
  <si>
    <t>S210165</t>
  </si>
  <si>
    <t>(주)한진 회계팀 전산장비(노트북1대) 판매</t>
  </si>
  <si>
    <t>S210164</t>
  </si>
  <si>
    <t>(주)한진 회계팀, LDP팀 IP폰 판매</t>
  </si>
  <si>
    <t>S210163</t>
  </si>
  <si>
    <t>대한항공 항공우주사업본부 검사 계획서(IP) 및 NC SW (8-5.)</t>
  </si>
  <si>
    <t>S210162</t>
  </si>
  <si>
    <t>대한항공 중고도무인기사업용 전산장비 (2차 도입분) 라이선스 (8-1.)</t>
  </si>
  <si>
    <t>S210161</t>
  </si>
  <si>
    <t>대한항공 A320 SL 개발용(2010.9도입) CATIA (9-1)</t>
  </si>
  <si>
    <t>S210160</t>
  </si>
  <si>
    <t>판매품의_영우디지탈,(주)하이스틸(제3공장) KT정보보안서비스용 보안장비(AXGATE)공급</t>
  </si>
  <si>
    <t>S210159</t>
  </si>
  <si>
    <t>(변경) 판매품의_대한항공 ADFS서버 전자인증서 판매 (갱신)</t>
  </si>
  <si>
    <t>S210158</t>
  </si>
  <si>
    <t>(주)한진 LDP팀 전산장비(노트북,IP폰) 판매</t>
  </si>
  <si>
    <t>S210157</t>
  </si>
  <si>
    <t>(주)한진 총무팀 DXPI팀 강서택배지점 전산장비(노트북) 판매</t>
  </si>
  <si>
    <t>S210156</t>
  </si>
  <si>
    <t>S210155</t>
  </si>
  <si>
    <t>한진, 구미물류센터,본사 전산장비(노트북) 판매</t>
  </si>
  <si>
    <t>S210154</t>
  </si>
  <si>
    <t>한진인천컨테이너터미널, IP폰(5대) 판매</t>
  </si>
  <si>
    <t>S210153</t>
  </si>
  <si>
    <t>(주)한진 정보보안그룹,부산물류,전주택배 전산장비 판매</t>
  </si>
  <si>
    <t>S210152</t>
  </si>
  <si>
    <t>판매품의_유니에스 IP-Phone 1대 추가 판매</t>
  </si>
  <si>
    <t>S210151</t>
  </si>
  <si>
    <t>판매품의_영우디지탈, 이씨에스텔레콤(주) KT정보보안서비스용 보안장비(AXGATE)공급</t>
  </si>
  <si>
    <t>S210150</t>
  </si>
  <si>
    <t>판매품의_유니에스 IP-Phone 2대 판매</t>
  </si>
  <si>
    <t>S210149</t>
  </si>
  <si>
    <t>인천글로벌물류센터㈜, 전산장비(데스크탑,프린터 외) 판매</t>
  </si>
  <si>
    <t>S210148</t>
  </si>
  <si>
    <t>(주)한진 분당택배지점 및 본사 전산장비(노트북,IP폰) 판매</t>
  </si>
  <si>
    <t>S210147</t>
  </si>
  <si>
    <t>대한항공 사단UAV 사업용(2011.8 도입) CATIA (7-5)</t>
  </si>
  <si>
    <t>S210146</t>
  </si>
  <si>
    <t>대한항공 PUSBB KUH사업용(2011.8) CATIA (7-4)</t>
  </si>
  <si>
    <t>S210145</t>
  </si>
  <si>
    <t>대한항공 A350 Cargo Door 개발용 라이선스 (7-3)</t>
  </si>
  <si>
    <t>S210144</t>
  </si>
  <si>
    <t>판매품의_유니에스 IP-Phone 1대판매</t>
  </si>
  <si>
    <t>S210143</t>
  </si>
  <si>
    <t>판매품의_영우디지탈, 신우산전 KT정보보안서비스용 보안장비(AXGATE)공급</t>
  </si>
  <si>
    <t>S210142</t>
  </si>
  <si>
    <t>대한항공 A350 Door 개발용(2009.7도입) CATIA (7-2)</t>
  </si>
  <si>
    <t>S210141</t>
  </si>
  <si>
    <t>인하대병원 NAS 디스크 판매</t>
  </si>
  <si>
    <t>S210140</t>
  </si>
  <si>
    <t>(주)한진 구로택배 울산물류 LDP팀 전산장비(노트북,IP폰) 판매</t>
  </si>
  <si>
    <t>S210139</t>
  </si>
  <si>
    <t>한진인천컨테이너터미널 전산장비(데스트탑,모니터) 판매</t>
  </si>
  <si>
    <t>S210138</t>
  </si>
  <si>
    <t>판매품의_영우디지탈, 앨트웰텍(주) KT정보보안서비스용 보안장비(AXGATE)공급</t>
  </si>
  <si>
    <t>S210137</t>
  </si>
  <si>
    <t>순복음강남교회 아카이브 시스템 구축건</t>
  </si>
  <si>
    <t>순복음강남교회</t>
  </si>
  <si>
    <t>S210136</t>
  </si>
  <si>
    <t>S210135</t>
  </si>
  <si>
    <t>(주)한진 셀러솔루션팀, 인사전략팀 전산장비(노트북,IP폰)판매</t>
  </si>
  <si>
    <t>S210134</t>
  </si>
  <si>
    <t>싸이버스카이 백신(v3) 판매(1년, 갱신)</t>
  </si>
  <si>
    <t>S210133</t>
  </si>
  <si>
    <t>(주)한진 부곡운송팀(2곳), W&amp;amp;D팀(1곳) 등 총 3곳 전산장비 판매</t>
  </si>
  <si>
    <t>S210132</t>
  </si>
  <si>
    <t>S210131</t>
  </si>
  <si>
    <t>(주)한진 영남물류영업 및 전남물류운송 전산장비(노트북 IP폰) 판매</t>
  </si>
  <si>
    <t>S210130</t>
  </si>
  <si>
    <t>[재품의] (주)한진 백암지점 중고 서버 판매(ITEM정정)</t>
  </si>
  <si>
    <t>S210129</t>
  </si>
  <si>
    <t>(주)한진 서산, 군포지점 전산장비 판매</t>
  </si>
  <si>
    <t>S210128</t>
  </si>
  <si>
    <t>(주)한진 e-logiX 사업부 노트북 1대 외 판매</t>
  </si>
  <si>
    <t>S210127</t>
  </si>
  <si>
    <t>(주)한진 백암지점 서버 판매</t>
  </si>
  <si>
    <t>S210126</t>
  </si>
  <si>
    <t>소울시스템즈 LAMPAD서비스 판매</t>
  </si>
  <si>
    <t>소울시스템즈</t>
  </si>
  <si>
    <t>S210125</t>
  </si>
  <si>
    <t>판매품의_영우디지탈, (주)하나원비즈마켓 KT정보보안서비스용 보안장비(AXGATE)공급</t>
  </si>
  <si>
    <t>S210124</t>
  </si>
  <si>
    <t>(주)한진 IP폰 전원아답터 판매</t>
  </si>
  <si>
    <t>S210123</t>
  </si>
  <si>
    <t>2021년도 연구용 소형기상레이더 관측망 예비품 구매</t>
  </si>
  <si>
    <t>S210122</t>
  </si>
  <si>
    <t>인하대병원 CDP 및 VTL (백업 솔루션) 판매</t>
  </si>
  <si>
    <t>S210121</t>
  </si>
  <si>
    <t>인하대병원 메인 DB 스토리지 판매</t>
  </si>
  <si>
    <t>S210120</t>
  </si>
  <si>
    <t>(주)한진 인력개발팀 전산장비(노트북3대) 판매</t>
  </si>
  <si>
    <t>S210119</t>
  </si>
  <si>
    <t>에어코리아, 알약 PC백신 판매(1년 갱신 계약 / 2021년)</t>
  </si>
  <si>
    <t>S210118</t>
  </si>
  <si>
    <t>인하대병원 의료정보시스템용 백업 소프트웨어 판매</t>
  </si>
  <si>
    <t>S210117</t>
  </si>
  <si>
    <t>진에어, 알약 PC백신 판매(1년 갱신 계약 / 2021년)</t>
  </si>
  <si>
    <t>S210116</t>
  </si>
  <si>
    <t>2021년 대한한공외 19개사 MS-EAS(Pro/M365 E3)공급서비스 판매(3년차)</t>
  </si>
  <si>
    <t>S210115</t>
  </si>
  <si>
    <t>(주)한진 상근고문용 전산장비(노트북,모니터,IP폰) 판매</t>
  </si>
  <si>
    <t>S210114</t>
  </si>
  <si>
    <t>S210113</t>
  </si>
  <si>
    <t>판매품의_영우디지탈, 글로벌리서치 KT정보보안서비스용 보안장비(AXGATE)공급</t>
  </si>
  <si>
    <t>S210112</t>
  </si>
  <si>
    <t>한진_본사 화상회의시스템 구축</t>
  </si>
  <si>
    <t>S210111</t>
  </si>
  <si>
    <t>인하대병원 PACS DB 서버 메모리 증설</t>
  </si>
  <si>
    <t>S210110</t>
  </si>
  <si>
    <t>인하대병원 널싱카트 설치용 노트북 30대 판매</t>
  </si>
  <si>
    <t>S210109</t>
  </si>
  <si>
    <t>대한항공 탁구단 CCTV시스템 설치공사</t>
  </si>
  <si>
    <t>S210108</t>
  </si>
  <si>
    <t>한진울산신항운영(주) 데스크탐 모니터 판매</t>
  </si>
  <si>
    <t>S210107</t>
  </si>
  <si>
    <t>(주)한진 사업총괄팀 노트북 3대 판매</t>
  </si>
  <si>
    <t>S210106</t>
  </si>
  <si>
    <t>판매품의_영우디지탈, 한국사토리(주) KT정보보안서비스용 보안장비(AXGATE)공급</t>
  </si>
  <si>
    <t>S210105</t>
  </si>
  <si>
    <t>판매품의_영우디지탈, 북부도로사업소 KT정보보안서비스용 보안장비(AXGATE)공급(2차)</t>
  </si>
  <si>
    <t>S210104</t>
  </si>
  <si>
    <t>판매품의_영우디지탈,화성시청 KT정보보안서비스용 보안장비(AXGATE)공급(16차)</t>
  </si>
  <si>
    <t>S210103</t>
  </si>
  <si>
    <t>(주)한진 산업안전실 노트북 외 판매</t>
  </si>
  <si>
    <t>S210102</t>
  </si>
  <si>
    <t>(주)한진 미래성장전략실 노트북 외 판매</t>
  </si>
  <si>
    <t>S210101</t>
  </si>
  <si>
    <t>2021년 인하대병원 노트북 2 대 판매</t>
  </si>
  <si>
    <t>S210100</t>
  </si>
  <si>
    <t>판매품의_영우디지탈, 북부도로사업소 KT정보보안서비스용 보안장비(AXGATE)공급(1차)</t>
  </si>
  <si>
    <t>S210099</t>
  </si>
  <si>
    <t>(주)한진 중역실(산업안전실) 태블릿PC 1대 판매</t>
  </si>
  <si>
    <t>S210098</t>
  </si>
  <si>
    <t>판매품의_영우디지탈, 충청남도보건환경연구원 KT정보보안서비스용 보안장비(AXGATE)공급</t>
  </si>
  <si>
    <t>S210097</t>
  </si>
  <si>
    <t>대한항공 사단 무인기사업용 3-3차 SW 라이선스</t>
  </si>
  <si>
    <t>S210096</t>
  </si>
  <si>
    <t>판매품의_KC코트렐 오라클 DBMS 라이선스 판매</t>
  </si>
  <si>
    <t>S210095</t>
  </si>
  <si>
    <t>(주)한진 DX PI팀 전산장비(노트북 IP폰) 판매</t>
  </si>
  <si>
    <t>S210094</t>
  </si>
  <si>
    <t>대한항공 MUAV 체계개발 사업용(중고도급 정찰용) (6-3)</t>
  </si>
  <si>
    <t>S210093</t>
  </si>
  <si>
    <t>(주)한진 총무팀 노트북 1대, IP폰 1대 판매</t>
  </si>
  <si>
    <t>S210092</t>
  </si>
  <si>
    <t>한진, 수도권지원팀 전산장비(노트북, IP폰) 판매</t>
  </si>
  <si>
    <t>S210091</t>
  </si>
  <si>
    <t>(주)한진 본사 비서실용 IP폰 4대 판매</t>
  </si>
  <si>
    <t>S210090</t>
  </si>
  <si>
    <t>한진,비서실 전산장비(노트북 모니터) 판매</t>
  </si>
  <si>
    <t>S210089</t>
  </si>
  <si>
    <t>판매품의_영우디지탈, (재)한국과학창의재단 KT정보보안서비스용 보안장비(AXGATE)공급</t>
  </si>
  <si>
    <t>S210088</t>
  </si>
  <si>
    <t>S210087</t>
  </si>
  <si>
    <t>한진, 인천공항택배영업소 데스크탑 4set 판매</t>
  </si>
  <si>
    <t>S210086</t>
  </si>
  <si>
    <t>한진인천컨테이너터미널 업무용 데스크탑4대/모니터6대 판매</t>
  </si>
  <si>
    <t>S210085</t>
  </si>
  <si>
    <t>(주)한진 본사 및 부산사무실 노트북 2대 외 판매</t>
  </si>
  <si>
    <t>S210084</t>
  </si>
  <si>
    <t>한진인천컨테이너터미널 YT(Yard Tractor) 전산 단말기 판매</t>
  </si>
  <si>
    <t>S210083</t>
  </si>
  <si>
    <t>S210082</t>
  </si>
  <si>
    <t>판매품의_KC코트렐 전자구매시스템용 서버 판매</t>
  </si>
  <si>
    <t>S210081</t>
  </si>
  <si>
    <t>판매품의_유니에스 IP-Phone 6대판매</t>
  </si>
  <si>
    <t>S210080</t>
  </si>
  <si>
    <t>판매품의_영우디지탈,대한예수교장로회왕십리교회 KT정보보안서비스용 보안장비(AXGATE)공급</t>
  </si>
  <si>
    <t>S210079</t>
  </si>
  <si>
    <t>대한항공 사단 무인기사업용 PLM 라이선스 (6-1)</t>
  </si>
  <si>
    <t>S210078</t>
  </si>
  <si>
    <t>대한항공 AH-6 헬기 동체부품 제작용 (5-1)</t>
  </si>
  <si>
    <t>S210077</t>
  </si>
  <si>
    <t>대한항공 QTWBT 무인기 사업용(2005.6도입) CATIA 라이선스 (6-2)</t>
  </si>
  <si>
    <t>S210076</t>
  </si>
  <si>
    <t>한진, 시설관재팀 노트북1대 판매</t>
  </si>
  <si>
    <t>S210075</t>
  </si>
  <si>
    <t>판매품의_영우디지탈,(주)나우스 KT정보보안서비스용 보안장비(AXGATE) 공급</t>
  </si>
  <si>
    <t>S210074</t>
  </si>
  <si>
    <t>(주)한진 해외법인지원팀 태블릿 1대 외 판매</t>
  </si>
  <si>
    <t>S210073</t>
  </si>
  <si>
    <t>한진, 신입사원용 노트북/IP폰 26대 판매</t>
  </si>
  <si>
    <t>S210072</t>
  </si>
  <si>
    <t>(주)한진 미래전략실 노트북 1대 외 판매</t>
  </si>
  <si>
    <t>S210071</t>
  </si>
  <si>
    <t>대한항공 아이폰 충전아답터 및 케이블(1m*41ea) 판매</t>
  </si>
  <si>
    <t>S210070</t>
  </si>
  <si>
    <t>S210069</t>
  </si>
  <si>
    <t>S210068</t>
  </si>
  <si>
    <t>S210067</t>
  </si>
  <si>
    <t>(주)한진 중부지점물류운송팀 외 노트북 2대 IP폰 4대 판매</t>
  </si>
  <si>
    <t>S210066</t>
  </si>
  <si>
    <t>판매품의_영우디지탈,주식회사 자연과환경 KT정보보안서비스용 보안장비(AXGATE) 공급</t>
  </si>
  <si>
    <t>S210065</t>
  </si>
  <si>
    <t>한진인천컨테이너터미널, 데스크탑 2대 외 판매</t>
  </si>
  <si>
    <t>S210064</t>
  </si>
  <si>
    <t>(주)한진 노트북(1대 외, 안전보안팀) 판매</t>
  </si>
  <si>
    <t>S210063</t>
  </si>
  <si>
    <t>(주)한진 노트북(3대 외, IT기획팀) 판매</t>
  </si>
  <si>
    <t>S210062</t>
  </si>
  <si>
    <t>(주)한진 노트북(3대 외, 중역실) 판매</t>
  </si>
  <si>
    <t>S210061</t>
  </si>
  <si>
    <t>인하대병원 연구용 노트북 1대 판매</t>
  </si>
  <si>
    <t>S210060</t>
  </si>
  <si>
    <t>2021년 인하대병원 V3 백신 라이센스 갱신</t>
  </si>
  <si>
    <t>S210059</t>
  </si>
  <si>
    <t>인하대병원 데스크탑18대 및 노트북1대 판매</t>
  </si>
  <si>
    <t>S210058</t>
  </si>
  <si>
    <t>그랜드하얏트인천, 네트워크 장비 판매(Cisco)</t>
  </si>
  <si>
    <t>S210057</t>
  </si>
  <si>
    <t>한진인천컨테이너터미널, IP폰 판매(3대)</t>
  </si>
  <si>
    <t>S210056</t>
  </si>
  <si>
    <t>판매품의_영우디지탈, 모두렌탈(주) 2차 KT정보보안서비스용 보안장비(AXGATE)공급</t>
  </si>
  <si>
    <t>S210055</t>
  </si>
  <si>
    <t>판매품의_KC코트렐 근태관리서버 및 워크스테이션 판매</t>
  </si>
  <si>
    <t>S210054</t>
  </si>
  <si>
    <t>판매품의_영우디지탈, 인카금융서비스(주) KT정보보안서비스용 보안장비(AXGATE) 공급</t>
  </si>
  <si>
    <t>S210053</t>
  </si>
  <si>
    <t>(주)한진 업무용 노트북(1대 외, 대전택배HUB) 판매</t>
  </si>
  <si>
    <t>S210052</t>
  </si>
  <si>
    <t>S210051</t>
  </si>
  <si>
    <t>S210050</t>
  </si>
  <si>
    <t>S210049</t>
  </si>
  <si>
    <t>S210048</t>
  </si>
  <si>
    <t>S210047</t>
  </si>
  <si>
    <t>판매품의_영우디지탈,(주)덕성하이텍안성공장 KT정보보안서비스용 보안장비(AXGATE) 공급</t>
  </si>
  <si>
    <t>S210046</t>
  </si>
  <si>
    <t>판매품의_영우디지탈, 화성시청 15차 KT정보보안서비스용 보안장비(AXGATE) 공급</t>
  </si>
  <si>
    <t>S210045</t>
  </si>
  <si>
    <t>(주)한진 업무용 노트북(2대, 양주택배지점/동서울HUB) 판매</t>
  </si>
  <si>
    <t>S210044</t>
  </si>
  <si>
    <t>한진부산컨테이너터미널 업무용 전산장비(모니터 6등) 판매</t>
  </si>
  <si>
    <t>S210043</t>
  </si>
  <si>
    <t>대한항공 기내 아이폰 충전용 롱케이블(3m*45ea) 판매</t>
  </si>
  <si>
    <t>S210042</t>
  </si>
  <si>
    <t>한진관광 백신(알약) 판매(갱신)</t>
  </si>
  <si>
    <t>S210041</t>
  </si>
  <si>
    <t>판매품의_영우디지탈, 대한체육회선수촌 KT정보보안서비스용 보안장비(AXGATE) 공급</t>
  </si>
  <si>
    <t>S210040</t>
  </si>
  <si>
    <t>판매품의_영우디지탈, 한국저작권보호원 KT정보보안서비스용 보안장비(AXGATE) 공급</t>
  </si>
  <si>
    <t>S210039</t>
  </si>
  <si>
    <t>(주)한진 업무용 노트북(1대 외, 강북택배지점) 판매</t>
  </si>
  <si>
    <t>S210038</t>
  </si>
  <si>
    <t>(주)한진 업무용 노트북(1대, 국제특송팀) 판매</t>
  </si>
  <si>
    <t>S210037</t>
  </si>
  <si>
    <t>한진인천컨테이너터미널 업무용 데스크탑/모니터 1set 판매</t>
  </si>
  <si>
    <t>S210036</t>
  </si>
  <si>
    <t>(주)한진 업무용 전산장비(모니터 1대) 판매</t>
  </si>
  <si>
    <t>S210035</t>
  </si>
  <si>
    <t>(주)한진 업무용 전산장비(데스크탑 3set등) 판매</t>
  </si>
  <si>
    <t>S210034</t>
  </si>
  <si>
    <t>인하대병원 모니터 100대 판매</t>
  </si>
  <si>
    <t>S210033</t>
  </si>
  <si>
    <t>인하대병원 PACS 스토리지 판매</t>
  </si>
  <si>
    <t>S210032</t>
  </si>
  <si>
    <t>판매품의_영우디지탈, (주)잭팟디앤엠 KT정보보안서비스용 보안장비(AXGATE) 공급</t>
  </si>
  <si>
    <t>S210031</t>
  </si>
  <si>
    <t>한진인천컨테이너터미널 업무용 전산장비(데스크탑 1대등) 판매</t>
  </si>
  <si>
    <t>S210030</t>
  </si>
  <si>
    <t>한진부산컨테이너터미널 업무용 전산장비(데스크탑 25대등) 판매</t>
  </si>
  <si>
    <t>S210029</t>
  </si>
  <si>
    <t>(주)한진 데스크탑 2Set 및 임원용 IP Phone 1EA 판매</t>
  </si>
  <si>
    <t>S210028</t>
  </si>
  <si>
    <t>(주)한진 업무용 전산장비(데스크탑 3Set 등) 판매</t>
  </si>
  <si>
    <t>노태화</t>
  </si>
  <si>
    <t>S210027</t>
  </si>
  <si>
    <t>(주)한진 업무용 전산장비(데스크탑 Set, IP Phone) 판매</t>
  </si>
  <si>
    <t>S210026</t>
  </si>
  <si>
    <t>S210025</t>
  </si>
  <si>
    <t>(주)한진 임원용 전산장비(노트북 등) 판매</t>
  </si>
  <si>
    <t>S210024</t>
  </si>
  <si>
    <t>인하대병원 가정의학과용데스크탑1대모니터2대</t>
  </si>
  <si>
    <t>S210023</t>
  </si>
  <si>
    <t>판매품의_영우디지탈,서울역사박물관 KT정보보안서비스용 보안장비(AXGATE) 공급</t>
  </si>
  <si>
    <t>S210022</t>
  </si>
  <si>
    <t>(주)한진 업무용 노트북(3EA) 및 데스크탑(1Set) 판매</t>
  </si>
  <si>
    <t>S210021</t>
  </si>
  <si>
    <t>판매품의_영우디지탈, (주)현대기전(2차) KT정보보안서비스용 라이센스(VPN-M2M)공급</t>
  </si>
  <si>
    <t>S210020</t>
  </si>
  <si>
    <t>(주)한진 갤럭시탭 S7(키보드 북커버 포함) 1EA 판매</t>
  </si>
  <si>
    <t>S210019</t>
  </si>
  <si>
    <t>(주)한진 전산장비(데스크탑 3Set, 노트북/IP Phone 1EA) 판매</t>
  </si>
  <si>
    <t>S210018</t>
  </si>
  <si>
    <t>판매품의_영우디지탈, 화성시청(14차) KT정보보안서비스용 보안장비(AXGATE) 공급</t>
  </si>
  <si>
    <t>S210017</t>
  </si>
  <si>
    <t>정석기업 24 Port Analog Gateway 판매</t>
  </si>
  <si>
    <t>S210016</t>
  </si>
  <si>
    <t>판매품의_영우디지탈, 비오람요양병원 KT정보보안서비스용 보안장비(AXGATE)공급</t>
  </si>
  <si>
    <t>S210015</t>
  </si>
  <si>
    <t>판매품의_영우디지탈, 신한벽지(주) KT정보보안서비스용 보안장비(AXGATE)공급</t>
  </si>
  <si>
    <t>S210014</t>
  </si>
  <si>
    <t>S210013</t>
  </si>
  <si>
    <t>(주)한진 데스크탑 3Set 등 전산장비 판매</t>
  </si>
  <si>
    <t>S210012</t>
  </si>
  <si>
    <t>대한항공 PUSBB MUAV 사업용 CATIA ALC [1-1].</t>
  </si>
  <si>
    <t>S210011</t>
  </si>
  <si>
    <t>S210010</t>
  </si>
  <si>
    <t>(주)한진 갤럭시탭 S7 및 키보드 북커버 1EA 판매</t>
  </si>
  <si>
    <t>S210009</t>
  </si>
  <si>
    <t>판매품의_영우디지탈, (주)밸류마크 KT정보보안서비스용 보안장비(AXGATE)공급</t>
  </si>
  <si>
    <t>S210008</t>
  </si>
  <si>
    <t>(주)한진 데스크탑 1Set 및 IP Phone 1EA 판매</t>
  </si>
  <si>
    <t>S210007</t>
  </si>
  <si>
    <t>대한항공 PUSBB MUAV 사업용 CATIA ALC [1-1]</t>
  </si>
  <si>
    <t>S210006</t>
  </si>
  <si>
    <t>대한항공 항공우주사업 장비 구동용 SW [1-3]</t>
  </si>
  <si>
    <t>S210005</t>
  </si>
  <si>
    <t>인하대병원 연구지원팀의학도서관용데스크탑8대모니터9대</t>
  </si>
  <si>
    <t>S210004</t>
  </si>
  <si>
    <t>S210003</t>
  </si>
  <si>
    <t>판매품의_영우디지탈, (주)서흥인터내셔날 KT정보보안서비스용 보안장비(AXGATE)공급</t>
  </si>
  <si>
    <t>S210002</t>
  </si>
  <si>
    <t>(주)한진 데스크탑 등 전산장비 판매</t>
  </si>
  <si>
    <t>S210001</t>
  </si>
  <si>
    <t>인하대병원 데스크탑16대모니터70대노트북3대</t>
  </si>
  <si>
    <t>S200269</t>
  </si>
  <si>
    <t>인하대병원 인천국제공항의료센터 서버 교체</t>
  </si>
  <si>
    <t>S200268</t>
  </si>
  <si>
    <t>한진칼 백신 카스퍼스키 판매</t>
  </si>
  <si>
    <t>S200267</t>
  </si>
  <si>
    <t>대한항공 회의실 Google Meet Kit 등 공급(품목변경)</t>
  </si>
  <si>
    <t>S200266</t>
  </si>
  <si>
    <t>(주)한진 업무용 데스크탑 Set 등 판매</t>
  </si>
  <si>
    <t>S200265</t>
  </si>
  <si>
    <t>인하대병원 EMR전자인증모듈 사용료 및 유지보수(2021년)</t>
  </si>
  <si>
    <t>S200264</t>
  </si>
  <si>
    <t>인천국제공항의원용 모니터 21대</t>
  </si>
  <si>
    <t>S200263</t>
  </si>
  <si>
    <t>인천공항공사 코로나검사결과서 발급용 키오스크 판매</t>
  </si>
  <si>
    <t>인천국제공항공사</t>
  </si>
  <si>
    <t>S200262</t>
  </si>
  <si>
    <t>(주)싸이버스카이 오라클 DBMS 라이선스 판매(갱신, 2021년)</t>
  </si>
  <si>
    <t>S200261</t>
  </si>
  <si>
    <t>판매품의_대한항공 관세통관시스템용 S/W 라이선스(갱신)</t>
  </si>
  <si>
    <t>S200260</t>
  </si>
  <si>
    <t>S200259</t>
  </si>
  <si>
    <t>판매_대한항공 연결재무제표 시스템 S/W 라이선스 갱신</t>
  </si>
  <si>
    <t>S200258</t>
  </si>
  <si>
    <t>판매품의_대한항공 헬기정비관리시스템(ATOMS) SW</t>
  </si>
  <si>
    <t>S200257</t>
  </si>
  <si>
    <t>S200256</t>
  </si>
  <si>
    <t>S200255</t>
  </si>
  <si>
    <t>S200254</t>
  </si>
  <si>
    <t>대한항공 기내 아이폰 충전용 롱케이블(1m*90ea) 판매</t>
  </si>
  <si>
    <t>S200253</t>
  </si>
  <si>
    <t>판매품의_디비엔, 아름방송 아카이빙 스토리지 증설 사업</t>
  </si>
  <si>
    <t>임원택</t>
  </si>
  <si>
    <t>디에스디엘-남대문</t>
  </si>
  <si>
    <t>S200252</t>
  </si>
  <si>
    <t>(주)한진 모니터 및 임원용 IP Phone 판매</t>
  </si>
  <si>
    <t>S200251</t>
  </si>
  <si>
    <t>(주)한진 업무용 노트북 1EA 판매</t>
  </si>
  <si>
    <t>S200250</t>
  </si>
  <si>
    <t>판매품의_영우디지탈, 목포시청 KT정보보안서비스용 보안장비(AXGATE)공급</t>
  </si>
  <si>
    <t>S200249</t>
  </si>
  <si>
    <t>항공종합서비스칼호텔 PC백신 판매(1년 갱신)</t>
  </si>
  <si>
    <t>S200248</t>
  </si>
  <si>
    <t>판매품의_영우디지탈, 상명대학교서울산학협력단 KT정보보안서비스용 보안장비(AXGATE)공급</t>
  </si>
  <si>
    <t>S200247</t>
  </si>
  <si>
    <t>인하대병원 코로나진단센터용 데스크탑6대모니터7대</t>
  </si>
  <si>
    <t>S200246</t>
  </si>
  <si>
    <t>(주)한진 업무용 갤럭시탭(키보드북커버 포함) 1EA 판매</t>
  </si>
  <si>
    <t>S200245</t>
  </si>
  <si>
    <t>판매품의_영우디지탈, 좌수영의료재단 KT정보보안서비스용 보안장비(AXGATE)공급</t>
  </si>
  <si>
    <t>S200244</t>
  </si>
  <si>
    <t>칼호텔네트워크(제주KAL호텔) PC백신 판매(1년 갱신)</t>
  </si>
  <si>
    <t>S200243</t>
  </si>
  <si>
    <t>칼호텔네트워크(서귀포KAL호텔) PC백신 판매(1년 갱신)</t>
  </si>
  <si>
    <t>S200242</t>
  </si>
  <si>
    <t>(주)한진 IP Phone 어댑터 10EA 판매</t>
  </si>
  <si>
    <t>S200241</t>
  </si>
  <si>
    <t>판매품의_영우디지탈, 국제법률경영대학원대학교 KT정보보안서비스용 보안장비(AXGATE)공급</t>
  </si>
  <si>
    <t>S200240</t>
  </si>
  <si>
    <t>한진인천컨테이너터미널 노트북 1EA 및 데스크탑 1Set 판매</t>
  </si>
  <si>
    <t>S200239</t>
  </si>
  <si>
    <t>S200238</t>
  </si>
  <si>
    <t>대한항공, IBM SPSS Modeler S/W 유지보수 갱신 계약</t>
  </si>
  <si>
    <t>S200237</t>
  </si>
  <si>
    <t>대한항공 기내 아이폰 충전용 롱케이블(1m*85ea) 판매</t>
  </si>
  <si>
    <t>S200236</t>
  </si>
  <si>
    <t>판매품의_영우디지탈,랜퍼스키즈잉글리쉬어학학원 KT정보보안서비스용 보안장비(AXGATE)공급</t>
  </si>
  <si>
    <t>S200235</t>
  </si>
  <si>
    <t>(주)한진 업무용 노트북 2EA 판매</t>
  </si>
  <si>
    <t>S200234</t>
  </si>
  <si>
    <t>항공종합서비스 PC백신 판매(1년 갱신)</t>
  </si>
  <si>
    <t>S200233</t>
  </si>
  <si>
    <t>한진관광 V3NET 서버용 판매</t>
  </si>
  <si>
    <t>S200232</t>
  </si>
  <si>
    <t>대한항공 기내 아이폰 충전용 롱케이블(1m, 3m) 판매</t>
  </si>
  <si>
    <t>S200231</t>
  </si>
  <si>
    <t>(주)한진 저사양 PC 교체관련 노트북(59EA) 및 데스크탑(88Set) 판매</t>
  </si>
  <si>
    <t>S200230</t>
  </si>
  <si>
    <t>2020년도 연구용 소형기상레이더 관측망 예비품 구매</t>
  </si>
  <si>
    <t>S200229</t>
  </si>
  <si>
    <t>한진울산신항운영 데스크탑 3Set 판매</t>
  </si>
  <si>
    <t>S200228</t>
  </si>
  <si>
    <t>대한항공 기내 아이폰 충전용 롱케이블(1m*25ea) 판매</t>
  </si>
  <si>
    <t>S200227</t>
  </si>
  <si>
    <t>판매품의_디에스플러스텍, SKB 티브로드 노후 제작장비 대개체 구매/설치 사업</t>
  </si>
  <si>
    <t>디에스플러스텍</t>
  </si>
  <si>
    <t>S200226</t>
  </si>
  <si>
    <t>(주)한진 업무용 노트북 2 EA 판매</t>
  </si>
  <si>
    <t>S200225</t>
  </si>
  <si>
    <t>[계약변경품의]신재생에너지 태양광발전소 장비 공급_계약기간 변경(2차)</t>
  </si>
  <si>
    <t>제이씨에너지</t>
  </si>
  <si>
    <t>S200224</t>
  </si>
  <si>
    <t>(주)한진 데스크탑 2Set 판매</t>
  </si>
  <si>
    <t>S200223</t>
  </si>
  <si>
    <t>진에어(원주공항지점) 업무용 IP-Phone 판매</t>
  </si>
  <si>
    <t>S200222</t>
  </si>
  <si>
    <t>판매품의_영우디지탈,성서병원(이재구) 3차 KT정보보안서비스용 보안장비(AXGATE) 공급</t>
  </si>
  <si>
    <t>S200221</t>
  </si>
  <si>
    <t>인하대병원 고사양 데스크탑2대모니터1대노트북1대_연구지원팀용</t>
  </si>
  <si>
    <t>S200220</t>
  </si>
  <si>
    <t>인하대병원 데스크탑2대모니터3대_혈액종양내과용</t>
  </si>
  <si>
    <t>S200219</t>
  </si>
  <si>
    <t>(주)한진 MS Teams 판매</t>
  </si>
  <si>
    <t>S200218</t>
  </si>
  <si>
    <t>한진인천컨테이너터미널(HJIT) IP Phone 1대 판매</t>
  </si>
  <si>
    <t>S200217</t>
  </si>
  <si>
    <t>판매품의_영우디지탈, 화성시청(13차) KT정보보안서비스용 보안장비(AXGATE) 공급</t>
  </si>
  <si>
    <t>S200216</t>
  </si>
  <si>
    <t>대한항공 회의실 Google Meet Kit 등 공급</t>
  </si>
  <si>
    <t>S200215</t>
  </si>
  <si>
    <t>(주)한진 동영상 제작용 데스크탑 2Set 판매</t>
  </si>
  <si>
    <t>S200214</t>
  </si>
  <si>
    <t>판매품의_영우디지탈,서울특별시서울기술연구원 KT정보보안서비스용 보안장비(AXGATE) 공급</t>
  </si>
  <si>
    <t>S200213</t>
  </si>
  <si>
    <t>인하대병원 중개연구센터용 데스크탑5대모니터2대 판매</t>
  </si>
  <si>
    <t>S200212</t>
  </si>
  <si>
    <t>대한항공 프로세스 시각화 Tool (신규)</t>
  </si>
  <si>
    <t>S200211</t>
  </si>
  <si>
    <t>GS칼텍스 법무관련시스템 개선 프로젝트 S/W 공급</t>
  </si>
  <si>
    <t>지에스아이티엠</t>
  </si>
  <si>
    <t>S200210</t>
  </si>
  <si>
    <t>칼호텔네트워크(제주KAL칼호텔) 한컴오피스SW 계약</t>
  </si>
  <si>
    <t>S200209</t>
  </si>
  <si>
    <t>칼호텔네트워크(서귀포KAL칼호텔) 한컴오피스SW 계약</t>
  </si>
  <si>
    <t>S200208</t>
  </si>
  <si>
    <t>KC그린홀딩스_네트워크 장비판매</t>
  </si>
  <si>
    <t>S200207</t>
  </si>
  <si>
    <t>판매품의_엘지스포츠 업무용 전산장비 공급 (기존리스장비)</t>
  </si>
  <si>
    <t>S200206</t>
  </si>
  <si>
    <t>(주)한진 업무용 데스크탑 2Set 및 노트북 1EA 판매</t>
  </si>
  <si>
    <t>S200205</t>
  </si>
  <si>
    <t>판매품의_영우디지탈, 울산남구청(20차) KT정보보안서비스용 보안장비(AXGATE) 공급</t>
  </si>
  <si>
    <t>S200204</t>
  </si>
  <si>
    <t>한진인천컨테이너터미널(HJIT) IP Phone 3대 판매</t>
  </si>
  <si>
    <t>S200203</t>
  </si>
  <si>
    <t>인하대병원 지역장애인보건의료센터용 데스크탑8대모니터15대노트북2대</t>
  </si>
  <si>
    <t>S200202</t>
  </si>
  <si>
    <t>(주)아리네트웍스 네트워크 트래픽분석솔루션 판매</t>
  </si>
  <si>
    <t>아리네트웍스</t>
  </si>
  <si>
    <t>S200201</t>
  </si>
  <si>
    <t>대한항공 MUAV-OO 개발 사업용 라이선스 (9-6 변경)</t>
  </si>
  <si>
    <t>S200200</t>
  </si>
  <si>
    <t>판매품의_영우디지탈, 한국사토리(주) KT정보보안서비스용 보안장비(AXGATE) 공급</t>
  </si>
  <si>
    <t>S200199</t>
  </si>
  <si>
    <t>판매품의_영우디지탈,진영국도유지지건설사무소 KT정보보안서비스용 보안장비(AXGATE) 공급</t>
  </si>
  <si>
    <t>S200198</t>
  </si>
  <si>
    <t>인하대병원 외부영상저장용 스토리지 증설</t>
  </si>
  <si>
    <t>S200197</t>
  </si>
  <si>
    <t>HJIT 업무용 데스크탑 1 Set 판매</t>
  </si>
  <si>
    <t>S200196</t>
  </si>
  <si>
    <t>(주)한진 업무용 데스크탑 1 Set 판매</t>
  </si>
  <si>
    <t>S200195</t>
  </si>
  <si>
    <t>S200194</t>
  </si>
  <si>
    <t>인하대병원 데스크탑7대모니터62대 판매</t>
  </si>
  <si>
    <t>S200193</t>
  </si>
  <si>
    <t>인하대병원 데스크탑50대 판매</t>
  </si>
  <si>
    <t>S200192</t>
  </si>
  <si>
    <t>(주)한진 업무용 데스크탑(8Set) 및 IP Phone(6EA) 판매</t>
  </si>
  <si>
    <t>S200191</t>
  </si>
  <si>
    <t>S200190</t>
  </si>
  <si>
    <t>판매품의_영우디지탈, (주)제일뢰스텍 KT정보보안서비스용 보안장비(AXGATE)공급</t>
  </si>
  <si>
    <t>S200189</t>
  </si>
  <si>
    <t>진에어(군산공항지점) 업무용 IP-Phone 판매</t>
  </si>
  <si>
    <t>S200188</t>
  </si>
  <si>
    <t>대한항공 기내 아이폰 충전용 롱케이블(1m) 판매</t>
  </si>
  <si>
    <t>S200187</t>
  </si>
  <si>
    <t>판매품의_영우디지탈,시노트란스코리아쉬핑(주) KT정보보안서비스용 보안장비(AXGATE)공급</t>
  </si>
  <si>
    <t>S200186</t>
  </si>
  <si>
    <t>S200185</t>
  </si>
  <si>
    <t>판매품의_영우디지탈, 엘지히다찌(주) KT정보보안서비스용 보안장비(AXGATE) 공급</t>
  </si>
  <si>
    <t>S200184</t>
  </si>
  <si>
    <t>대한항공 기내 아이폰 충전용 롱케이블 판매</t>
  </si>
  <si>
    <t>S200183</t>
  </si>
  <si>
    <t>S200182</t>
  </si>
  <si>
    <t>(주)한진 임원용 모니터 1EA 판매</t>
  </si>
  <si>
    <t>S200181</t>
  </si>
  <si>
    <t>대한항공 B787 사업용(2005.1 도입) CATIA (SL3,AM2 외)</t>
  </si>
  <si>
    <t>S200180</t>
  </si>
  <si>
    <t>S200179</t>
  </si>
  <si>
    <t>대한항공 항공우주사업본부 무인기 개발용 (11-2)</t>
  </si>
  <si>
    <t>S200178</t>
  </si>
  <si>
    <t>S200177</t>
  </si>
  <si>
    <t>S200176</t>
  </si>
  <si>
    <t>S200175</t>
  </si>
  <si>
    <t>대한항공 MUAV-OO 개발 사업용 라이선스 (9-6)</t>
  </si>
  <si>
    <t>S200174</t>
  </si>
  <si>
    <t>S200173</t>
  </si>
  <si>
    <t>S200172</t>
  </si>
  <si>
    <t>S200171</t>
  </si>
  <si>
    <t>S200170</t>
  </si>
  <si>
    <t>S200169</t>
  </si>
  <si>
    <t>S200168</t>
  </si>
  <si>
    <t>판매품의_영우디지탈, 파란손해사정 KT정보보안서비스용 보안장비(AXGATE) 공급</t>
  </si>
  <si>
    <t>S200167</t>
  </si>
  <si>
    <t>(주)한진 업무용 데스크탑/모니터 각 2EA 판매</t>
  </si>
  <si>
    <t>S200166</t>
  </si>
  <si>
    <t>대한항공 항공우주사업본부 검사 계획서(IP) 작성용 SW (9-8)</t>
  </si>
  <si>
    <t>S200165</t>
  </si>
  <si>
    <t>인하대병원 전자동의서용타블렛단말기 94대</t>
  </si>
  <si>
    <t>S200164</t>
  </si>
  <si>
    <t>판매품의_디에스플러스텍, 센트럴넷 신규채널 런칭 및 노후화 장비 교체</t>
  </si>
  <si>
    <t>S200163</t>
  </si>
  <si>
    <t>한진인천컨테이너터미널(HJIT) 노트북 1EA 판매</t>
  </si>
  <si>
    <t>S200162</t>
  </si>
  <si>
    <t>대한항공 항공우주사업 NC기계용 Austin APT (8-4)</t>
  </si>
  <si>
    <t>S200161</t>
  </si>
  <si>
    <t>S200160</t>
  </si>
  <si>
    <t>S200159</t>
  </si>
  <si>
    <t>대한항공 사단 무인기사업용 Sandia Tiger Cluster (8-2)</t>
  </si>
  <si>
    <t>S200158</t>
  </si>
  <si>
    <t>[판매] (주)팀스톤 RPA 솔루션 판매</t>
  </si>
  <si>
    <t>팀스톤</t>
  </si>
  <si>
    <t>S200157</t>
  </si>
  <si>
    <t>S200156</t>
  </si>
  <si>
    <t>판매품의_영우디지탈, 모두렌탈(주)KT정보보안서비스용 보안장비(AXGATE) 공급</t>
  </si>
  <si>
    <t>S200155</t>
  </si>
  <si>
    <t>판매품의_영우디지탈, (주)미소디앤씨 KT정보보안서비스용 보안장비(AXGATE) 공급</t>
  </si>
  <si>
    <t>S200154</t>
  </si>
  <si>
    <t>대한항공 항공기술연구원 KHP사업용- PATRAN 라이선스 (4-4)</t>
  </si>
  <si>
    <t>S200153</t>
  </si>
  <si>
    <t>S200152</t>
  </si>
  <si>
    <t>S200151</t>
  </si>
  <si>
    <t>판매품의_영우디지탈, 에스브이에스(주) KT정보보안서비스용 보안장비(AXGATE) 공급</t>
  </si>
  <si>
    <t>S200150</t>
  </si>
  <si>
    <t>S200149</t>
  </si>
  <si>
    <t>S200148</t>
  </si>
  <si>
    <t>S200147</t>
  </si>
  <si>
    <t>S200146</t>
  </si>
  <si>
    <t>S200145</t>
  </si>
  <si>
    <t>S200144</t>
  </si>
  <si>
    <t>대한항공 항공우주사업본부 507사업용 라이선스 (7-1)</t>
  </si>
  <si>
    <t>S200143</t>
  </si>
  <si>
    <t>S200142</t>
  </si>
  <si>
    <t>S200141</t>
  </si>
  <si>
    <t>S200140</t>
  </si>
  <si>
    <t>판매품의_코리아교육그룹, LMS 인프라 구축(HPE DL380) 공급</t>
  </si>
  <si>
    <t>휴렛팩커드파이낸셜서비스대부 유한회사</t>
  </si>
  <si>
    <t>S200139</t>
  </si>
  <si>
    <t>판매품의_영우디지탈,에이치알투자자문주식회사 KT정보보안서비스용 보안장비(AXGATE) 공급</t>
  </si>
  <si>
    <t>S200138</t>
  </si>
  <si>
    <t>(주)한진 워크스테이션 1대 판매</t>
  </si>
  <si>
    <t>S200136</t>
  </si>
  <si>
    <t>판매품의_영우디지탈,의료법인행복나눔의료재단 KT정보보안서비스용 보안장비(AXGATE) 공급</t>
  </si>
  <si>
    <t>S200135</t>
  </si>
  <si>
    <t>판매품의_영우디지탈, (주)현대기전 KT정보보안서비스용 보안장비(AXGATE) 공급</t>
  </si>
  <si>
    <t>S200134</t>
  </si>
  <si>
    <t>진에어(포항공항지점) 업무용 IP-Phone 판매</t>
  </si>
  <si>
    <t>S200133</t>
  </si>
  <si>
    <t>판매품의_영우디지탈, (주)효원상조 KT정보보안서비스용 보안장비(AXGATE) 공급</t>
  </si>
  <si>
    <t>S200131</t>
  </si>
  <si>
    <t>인하대병원 데스크탑3대모니터5대_연구지원팀용</t>
  </si>
  <si>
    <t>S200130</t>
  </si>
  <si>
    <t>인하대병원 노트북 84대 판매</t>
  </si>
  <si>
    <t>S200129</t>
  </si>
  <si>
    <t>S200128</t>
  </si>
  <si>
    <t>인하대병원 연구용워크스테이션 판매</t>
  </si>
  <si>
    <t>S200127</t>
  </si>
  <si>
    <t>인하대병원 피부과유전자분석용 서버 판매</t>
  </si>
  <si>
    <t>S200126</t>
  </si>
  <si>
    <t>진에어(울산지점) 업무용 IP-Phone 판매</t>
  </si>
  <si>
    <t>S200125</t>
  </si>
  <si>
    <t>(주)한진 데스크탑 및 모니터 등 판매</t>
  </si>
  <si>
    <t>S200124</t>
  </si>
  <si>
    <t>판매품의_영우디지탈, 길음종합사회복지관 KT정보보안서비스용 보안장비(AXGATE) 공급</t>
  </si>
  <si>
    <t>S200123</t>
  </si>
  <si>
    <t>싸이버스카이 PC백신 판매(1년 갱신)</t>
  </si>
  <si>
    <t>S200122</t>
  </si>
  <si>
    <t>(주)한진 노트북 및 데스크탑 등 판매</t>
  </si>
  <si>
    <t>S200121</t>
  </si>
  <si>
    <t>(주)한진 외 4개사 MS-EAS 계약(2년차)</t>
  </si>
  <si>
    <t>S200120</t>
  </si>
  <si>
    <t>2020 대한한공외 4개사 MS-EAS(Pro/M365 E3)공급서비스 계약(2년차)</t>
  </si>
  <si>
    <t>S200119</t>
  </si>
  <si>
    <t>한진관광 외 9개사 MS-EAS 계약(2년차)</t>
  </si>
  <si>
    <t>S200118</t>
  </si>
  <si>
    <t>에어코리아, 알약 PC백신 판매(1년 갱신 계약)</t>
  </si>
  <si>
    <t>S200117</t>
  </si>
  <si>
    <t>S200116</t>
  </si>
  <si>
    <t>판매품의_KC코트렐 리포트용 서버 판매</t>
  </si>
  <si>
    <t>S200115</t>
  </si>
  <si>
    <t>진에어, 알약 PC백신 판매(1년 갱신 계약)</t>
  </si>
  <si>
    <t>S200114</t>
  </si>
  <si>
    <t>인하대병원 데스크탑4대모니터6대</t>
  </si>
  <si>
    <t>S200113</t>
  </si>
  <si>
    <t>(주)한진 업무용 노트북(9EA) 및 IP Phone(4EA) 판매</t>
  </si>
  <si>
    <t>S200112</t>
  </si>
  <si>
    <t>S200111</t>
  </si>
  <si>
    <t>S200110</t>
  </si>
  <si>
    <t>인하대병원 모니터100대</t>
  </si>
  <si>
    <t>S200109</t>
  </si>
  <si>
    <t>판매품의_영우디지탈, 북부도로교통사업소 KT정보보안서비스용 보안장비(AXGATE) 공급</t>
  </si>
  <si>
    <t>S200108</t>
  </si>
  <si>
    <t>인하대병원 데스크탑1대모니터1대_연구지원팀용</t>
  </si>
  <si>
    <t>S200107</t>
  </si>
  <si>
    <t>진에어(여수지점) 업무용 IP-Phone 판매</t>
  </si>
  <si>
    <t>S200106</t>
  </si>
  <si>
    <t>인하대병원 데스크탑 110대</t>
  </si>
  <si>
    <t>S200105</t>
  </si>
  <si>
    <t>한국공항 Google Meet Kit 공급</t>
  </si>
  <si>
    <t>S200104</t>
  </si>
  <si>
    <t>TEST</t>
  </si>
  <si>
    <t>외주구매그룹</t>
  </si>
  <si>
    <t>S200103</t>
  </si>
  <si>
    <t>신재생에너지 태양광발전소 장비(인버터 외) 공급_[제이씨평창 태양광발전소]</t>
  </si>
  <si>
    <t>S200102</t>
  </si>
  <si>
    <t>(주)한진 CCTV용 워크스테이션 1대 판매</t>
  </si>
  <si>
    <t>S200101</t>
  </si>
  <si>
    <t>판매품의_영우디지탈, 구리시청 KT정보보안서비스용 보안장비(AXGATE) 공급</t>
  </si>
  <si>
    <t>S200100</t>
  </si>
  <si>
    <t>(주)한진 업무용 노트북(1EA) 및 데스크탑(1Set) 판매 품의</t>
  </si>
  <si>
    <t>S200099</t>
  </si>
  <si>
    <t>판매품의(변경)_KC코트렐 DB서버용 오라클 DBMS 라이선스</t>
  </si>
  <si>
    <t>S200098</t>
  </si>
  <si>
    <t>인천공항 GDC 업무용 IP Phone 13EA 판매</t>
  </si>
  <si>
    <t>S200097</t>
  </si>
  <si>
    <t>HJIT 데스크탑(1EA) 및 모니터(2EA) 판매</t>
  </si>
  <si>
    <t>S200096</t>
  </si>
  <si>
    <t>(주)프리죤 IP Phone(6EA) 판매</t>
  </si>
  <si>
    <t>프리죤</t>
  </si>
  <si>
    <t>S200095</t>
  </si>
  <si>
    <t>가상화서버용 스토리지 디스크 증설</t>
  </si>
  <si>
    <t>S200094</t>
  </si>
  <si>
    <t>(주)한진 업무용 데스크탑 및 IP Phone(각 18 EA)판매</t>
  </si>
  <si>
    <t>S200093</t>
  </si>
  <si>
    <t>판매품의_KC코트렐 DB서버용 오라클 DBMS 라이선스</t>
  </si>
  <si>
    <t>S200092</t>
  </si>
  <si>
    <t>신재생에너지 태양광발전소 장비(인버터 외) 공급</t>
  </si>
  <si>
    <t>S200091</t>
  </si>
  <si>
    <t>(주)한진 CCTV용 워크스테이션 및 업무용 데스크탑 판매</t>
  </si>
  <si>
    <t>S200090</t>
  </si>
  <si>
    <t>정석기업 백신 알약 판매</t>
  </si>
  <si>
    <t>S200089</t>
  </si>
  <si>
    <t>판매품의_영우디지탈, (주)헬스허브 KT정보보안서비스용 보안장비(AXGATE) 공급</t>
  </si>
  <si>
    <t>S200088</t>
  </si>
  <si>
    <t>판매품의_영우디지탈, 바로정형외과내과 KT정보보안서비스용 보안장비(AXGATE) 공</t>
  </si>
  <si>
    <t>S200087</t>
  </si>
  <si>
    <t>(주)한국글로발로지스틱스시스템 PC백신 판매(1년 갱신계약)</t>
  </si>
  <si>
    <t>S200086</t>
  </si>
  <si>
    <t>(주)한진 업무용 전산장비(데스크탑 4Set) 판매</t>
  </si>
  <si>
    <t>S200085</t>
  </si>
  <si>
    <t>S200084</t>
  </si>
  <si>
    <t>인하대병원데스크탑29대27인치모니터17대24인치모니터24대</t>
  </si>
  <si>
    <t>S200083</t>
  </si>
  <si>
    <t>인하대병원데스크탑19대24인치모니터21대베어본PC1대</t>
  </si>
  <si>
    <t>S200082</t>
  </si>
  <si>
    <t>판매품의_영우디지탈, 의료법인다현의료재단 KT정보보안서비스용 보안장비(AXGATE) 공급</t>
  </si>
  <si>
    <t>S200081</t>
  </si>
  <si>
    <t>인하대병원 데스크탑100대</t>
  </si>
  <si>
    <t>S200080</t>
  </si>
  <si>
    <t>인하대병원 판독시스템 4대 구축</t>
  </si>
  <si>
    <t>S200079</t>
  </si>
  <si>
    <t>진에어(대구지점) 업무용 IP-Phone 판매</t>
  </si>
  <si>
    <t>S200078</t>
  </si>
  <si>
    <t>판매품의_영우디지탈, 에스케이테크 KT정보보안서비스용 보안장비(AXGATE) 공급</t>
  </si>
  <si>
    <t>S200077</t>
  </si>
  <si>
    <t>인하국제의료센터 컴퓨터바이러스백신 바이로봇 사용료(2020년3개월)</t>
  </si>
  <si>
    <t>S200076</t>
  </si>
  <si>
    <t>S200075</t>
  </si>
  <si>
    <t>판매품의_영우디지탈, 연아통증의학과의원 KT정보보안서비스용 보안장비(AXGATE) 공급</t>
  </si>
  <si>
    <t>S200074</t>
  </si>
  <si>
    <t>(주)한진, 업무용_대전메가허브TF 노트북 판매</t>
  </si>
  <si>
    <t>S200073</t>
  </si>
  <si>
    <t>판매품의_영우디지탈, 화성시청(12차) KT정보보안서비스용 보안장비(AXGATE) 공급</t>
  </si>
  <si>
    <t>S200072</t>
  </si>
  <si>
    <t>판매품의_영우디지탈, 나무경영아카데미 KT정보보안서비스용 보안장비(AXGATE) 공급</t>
  </si>
  <si>
    <t>S200071</t>
  </si>
  <si>
    <t>판매품의_영우디지탈, ㈜고고밴코리아 KT정보보안서비스용 보안장비(AXGATE) 공급</t>
  </si>
  <si>
    <t>S200070</t>
  </si>
  <si>
    <t>(주)한진, 업무용 노트북 판매</t>
  </si>
  <si>
    <t>S200069</t>
  </si>
  <si>
    <t>인하대병원 재무전표용 싱글SSL</t>
  </si>
  <si>
    <t>S200068</t>
  </si>
  <si>
    <t>인하대병원 멀티SSL1대싱글SSL1대</t>
  </si>
  <si>
    <t>S200067</t>
  </si>
  <si>
    <t>인하대병원 백신1대</t>
  </si>
  <si>
    <t>S200066</t>
  </si>
  <si>
    <t>판매품의_영우디지탈, 울산남구청 KT정보보안서비스용 보안장비(AXGATE) 공급</t>
  </si>
  <si>
    <t>S200065</t>
  </si>
  <si>
    <t>S200064</t>
  </si>
  <si>
    <t>판매품의_영우디지탈, 온누리요양병원 KT정보보안서비스용 보안장비(AXGATE) 공급</t>
  </si>
  <si>
    <t>S200063</t>
  </si>
  <si>
    <t>진에어(운송관리팀) 업무용 IP-Phone 판매</t>
  </si>
  <si>
    <t>S200062</t>
  </si>
  <si>
    <t>(주)한진, 임원용 노트북 판매</t>
  </si>
  <si>
    <t>S200061</t>
  </si>
  <si>
    <t>인하대병원 데스크탑1대 모니터1대</t>
  </si>
  <si>
    <t>S200059</t>
  </si>
  <si>
    <t>판매품의_영우디지탈, ㈜바이포유 KT정보보안서비스용 보안장비(AXGATE) 공급</t>
  </si>
  <si>
    <t>S200058</t>
  </si>
  <si>
    <t>정석기업, AutoCAD LT(3년) 판매</t>
  </si>
  <si>
    <t>S200057</t>
  </si>
  <si>
    <t>판매품의_영우디지탈, 에스큐엔지니어링㈜ KT정보보안서비스용 보안장비(AXGATE) 공급</t>
  </si>
  <si>
    <t>S200056</t>
  </si>
  <si>
    <t>인하대병원 데스크탑2대모니터4대무선마우스수신기1대</t>
  </si>
  <si>
    <t>S200055</t>
  </si>
  <si>
    <t>판매품의_영우디지탈, ㈜정도설비 KT정보보안서비스용 보안장비(AXGATE) 공급</t>
  </si>
  <si>
    <t>S200054</t>
  </si>
  <si>
    <t>대한항공 기내 아이폰 충전용 롱케이블(3m) 판매</t>
  </si>
  <si>
    <t>S200053</t>
  </si>
  <si>
    <t>S200052</t>
  </si>
  <si>
    <t>S200051</t>
  </si>
  <si>
    <t>S200050</t>
  </si>
  <si>
    <t>한국공항, PC백신(알약) 판매(3년형)</t>
  </si>
  <si>
    <t>S200049</t>
  </si>
  <si>
    <t>(주)한진, IP폰 부품(전원아답터) 판매</t>
  </si>
  <si>
    <t>S200048</t>
  </si>
  <si>
    <t>진에어(운항팀) 업무용 IP-Phone 판매</t>
  </si>
  <si>
    <t>S200047</t>
  </si>
  <si>
    <t>진에어(회계팀) 업무용 IP-Phone 판매</t>
  </si>
  <si>
    <t>S200046</t>
  </si>
  <si>
    <t>진에어(총무지원팀) 업무용 IP-Phone 판매</t>
  </si>
  <si>
    <t>S200045</t>
  </si>
  <si>
    <t>대한항공 피아식별장비 성능개량사업(IFF)_변경품의</t>
  </si>
  <si>
    <t>S200044</t>
  </si>
  <si>
    <t>인하대병원 모니터821대</t>
  </si>
  <si>
    <t>S200043</t>
  </si>
  <si>
    <t>인하대병원 신체계측장비연동솔루션</t>
  </si>
  <si>
    <t>S200042</t>
  </si>
  <si>
    <t>한진관광 백신 알약 판매</t>
  </si>
  <si>
    <t>S200041</t>
  </si>
  <si>
    <t>(주)한진, 인천/세종 업무용 전산 장비(PC 3 SET, IP폰 2대) 판매</t>
  </si>
  <si>
    <t>S200040</t>
  </si>
  <si>
    <t>S200039</t>
  </si>
  <si>
    <t>인하대병원 데스크탑150대</t>
  </si>
  <si>
    <t>S200038</t>
  </si>
  <si>
    <t>판매품의(변경)_KC그린홀딩스 네트워크 스위치판매</t>
  </si>
  <si>
    <t>S200037</t>
  </si>
  <si>
    <t>인하대병원 서버1대데스크탑1대모니터1대</t>
  </si>
  <si>
    <t>S200036</t>
  </si>
  <si>
    <t>대한항공 피아식별장비 성능개량사업(IFF)</t>
  </si>
  <si>
    <t>S200035</t>
  </si>
  <si>
    <t>진에어(내부회계관리그룹) 업무용 IP-Phone 판매</t>
  </si>
  <si>
    <t>S200034</t>
  </si>
  <si>
    <t>(주)한진, 업무용(ERP 타스크)노트북 판매</t>
  </si>
  <si>
    <t>S200033</t>
  </si>
  <si>
    <t>판매품의_KC그린홀딩스 네트워크 스위치판매</t>
  </si>
  <si>
    <t>S200032</t>
  </si>
  <si>
    <t>S200031</t>
  </si>
  <si>
    <t>S200030</t>
  </si>
  <si>
    <t>(주)한진, 업무용 전산 장비(PC 1SET, IP폰 1대) 판매</t>
  </si>
  <si>
    <t>S200029</t>
  </si>
  <si>
    <t>(주)싸이버스카이 오라클 DBMS 라이선스 판매(갱신, 2020년)</t>
  </si>
  <si>
    <t>S200028</t>
  </si>
  <si>
    <t>판매품의_영우디지탈, 화성시청(11차) KT정보보안서비스용 보안장비(AXGATE) 공급</t>
  </si>
  <si>
    <t>S200027</t>
  </si>
  <si>
    <t>(주)한진, 업무용 전산 장비(노트북_lg 14Z980) 판매</t>
  </si>
  <si>
    <t>S200026</t>
  </si>
  <si>
    <t>판매품의_대한항공, M0사업 CBT(전자식교보재) 판매 (변경)</t>
  </si>
  <si>
    <t>S200025</t>
  </si>
  <si>
    <t>판매품의_대한항공 비행가시화 SW 라이선스</t>
  </si>
  <si>
    <t>S200023</t>
  </si>
  <si>
    <t>판매품의_영우디지탈, 세진전자통신㈜ KT정보보안서비스용 보안장비(AXGATE) 공급</t>
  </si>
  <si>
    <t>S200022</t>
  </si>
  <si>
    <t>인하국제의료센터 데스크탑7대모니터7대</t>
  </si>
  <si>
    <t>S200021</t>
  </si>
  <si>
    <t>포항항8부두운영(주), 업무용 전산 장비 판매</t>
  </si>
  <si>
    <t>포항항7부두운영</t>
  </si>
  <si>
    <t>S200020</t>
  </si>
  <si>
    <t>포항항7부두운영(주), 업무용 전산 장비 판매</t>
  </si>
  <si>
    <t>S200019</t>
  </si>
  <si>
    <t>S200015</t>
  </si>
  <si>
    <t>S200014</t>
  </si>
  <si>
    <t>판매품의_영우디지탈, 국립과천과학관 KT정보보안서비스용 보안장비(AXGATE) 공급</t>
  </si>
  <si>
    <t>S200013</t>
  </si>
  <si>
    <t>(주)한진 업무용 전산 장비 판매</t>
  </si>
  <si>
    <t>S200012</t>
  </si>
  <si>
    <t>인하대병원 데스크탑10대 모니터15대 베어본PC1대</t>
  </si>
  <si>
    <t>S200011</t>
  </si>
  <si>
    <t>항공종합서비스KAL리무진 업무용 데스크탑, 모니터 판매_2차</t>
  </si>
  <si>
    <t>항공종합서비스칼리무진</t>
  </si>
  <si>
    <t>S200010</t>
  </si>
  <si>
    <t>항공종합서비스KAL리무진 업무용 데스크탑, 모니터 판매</t>
  </si>
  <si>
    <t>S200009</t>
  </si>
  <si>
    <t>인하대병원 베사 확장 브라켓 100개</t>
  </si>
  <si>
    <t>S200008</t>
  </si>
  <si>
    <t>인하대병원 EMR전자인증모듈 사용료 및 유지보수(2020년)</t>
  </si>
  <si>
    <t>S200007</t>
  </si>
  <si>
    <t>S200006</t>
  </si>
  <si>
    <t>S200005</t>
  </si>
  <si>
    <t>판매품의_영우디지탈, ㈜오디바이크 KT정보보안서비스용 보안장비(AXGATE) 공급</t>
  </si>
  <si>
    <t>S200004</t>
  </si>
  <si>
    <t>대한항공 PUSBB MUAV 사업용 CATIA ALC (1-1)</t>
  </si>
  <si>
    <t>S200003</t>
  </si>
  <si>
    <t>대한항공 항공우주사업본부 Laser Tracker 장비 구동용 SW (1-3)</t>
  </si>
  <si>
    <t>S200002</t>
  </si>
  <si>
    <t>판매품의_영우디지탈, 모두렌탈㈜ KT정보보안서비스용 보안장비(AXGATE) 공급</t>
  </si>
  <si>
    <t>S200001</t>
  </si>
  <si>
    <t>물품판매수익</t>
  </si>
  <si>
    <t>S190371</t>
  </si>
  <si>
    <t>S190356</t>
  </si>
  <si>
    <t>판매품의 ERP연동 테스트 20191230_001</t>
  </si>
  <si>
    <t>S190355</t>
  </si>
  <si>
    <t>판매품의(3차_변경)_대한항공, M0사업 CBT(전자식교보재) 판매</t>
  </si>
  <si>
    <t>S190352</t>
  </si>
  <si>
    <t>변경판매품의[납품일자변경]_신재생에너지 태양광발전소 장비(인버터 외) 공급</t>
  </si>
  <si>
    <t>주식회사 제이씨에너지</t>
  </si>
  <si>
    <t>S190351</t>
  </si>
  <si>
    <t>S190350</t>
  </si>
  <si>
    <t>S190349</t>
  </si>
  <si>
    <t>인하대병원 연구지원팀 데스크탑1대모니터1대</t>
  </si>
  <si>
    <t>S190348</t>
  </si>
  <si>
    <t>(주)한진, 노후PC교체 및 노트북 판매_오토캐드용노트북1대 판매</t>
  </si>
  <si>
    <t>S190347</t>
  </si>
  <si>
    <t>S190346</t>
  </si>
  <si>
    <t>판매품의(부분취소)_노원구청(SS190290) KT매니지드용 보안장비(AXGATE) 공급</t>
  </si>
  <si>
    <t>(주)영우디지탈</t>
  </si>
  <si>
    <t>S190345</t>
  </si>
  <si>
    <t>대한항공 PAM(차세대 날개 개발) 사업용 SW 라이선스</t>
  </si>
  <si>
    <t>S190344</t>
  </si>
  <si>
    <t>(주)한진, 비서 지급용 전산 장비(PC) 판매</t>
  </si>
  <si>
    <t>S190343</t>
  </si>
  <si>
    <t>(주)한진, 임원 지급용 노트북 및 데스크탑 판매</t>
  </si>
  <si>
    <t>S190342</t>
  </si>
  <si>
    <t>한진인천컨테이너터미널(주), 임원용 모니터 판매</t>
  </si>
  <si>
    <t>S190341</t>
  </si>
  <si>
    <t>S190340</t>
  </si>
  <si>
    <t>S190339</t>
  </si>
  <si>
    <t>대한항공 연결재무제표 시스템 S/W 라이선스 갱신</t>
  </si>
  <si>
    <t>S190337</t>
  </si>
  <si>
    <t>(주)한진, IP폰 부품 판매</t>
  </si>
  <si>
    <t>S190336</t>
  </si>
  <si>
    <t>S190335</t>
  </si>
  <si>
    <t>S190334</t>
  </si>
  <si>
    <t>S190333</t>
  </si>
  <si>
    <t>S190332</t>
  </si>
  <si>
    <t>판매품의_영우디지탈, 진영국도관리사무소 KT정보보안서비스용 보안장비(AXGATE) 공급</t>
  </si>
  <si>
    <t>S190331</t>
  </si>
  <si>
    <t>대한항공 업무용 전산장비 리스(38차 추가 재연장)(1개월)</t>
  </si>
  <si>
    <t>S190330</t>
  </si>
  <si>
    <t>[판매품의_변경]한진부산컨테이너터미널, 정비용 노트북 판매</t>
  </si>
  <si>
    <t>S190329</t>
  </si>
  <si>
    <t>S190328</t>
  </si>
  <si>
    <t>진에어(정비지원팀), 업무용 IP-Phone 판매</t>
  </si>
  <si>
    <t>S190327</t>
  </si>
  <si>
    <t>판매품의_대한항공 헬기정비관리시스템(ATOMS) SW_클라우드</t>
  </si>
  <si>
    <t>S190326</t>
  </si>
  <si>
    <t>판매품의_대한항공 헬기정비관리시스템(ATOMS) SW 갱신</t>
  </si>
  <si>
    <t>S190325</t>
  </si>
  <si>
    <t>판매품의_영우디지탈, 새힘병원 KT정보보안서비스용 보안장비(AXGATE) 공급</t>
  </si>
  <si>
    <t>S190324</t>
  </si>
  <si>
    <t>한진부산컨테이너터미널, 정비용 노트북 판매</t>
  </si>
  <si>
    <t>S190323</t>
  </si>
  <si>
    <t>주식회사 항공종합서비스칼호텔</t>
  </si>
  <si>
    <t>S190322</t>
  </si>
  <si>
    <t>인하대병원 NAS스토리지 Disk 추가</t>
  </si>
  <si>
    <t>S190321</t>
  </si>
  <si>
    <t>인하대병원 전산용 데스크탑5대모니터5대</t>
  </si>
  <si>
    <t>S190320</t>
  </si>
  <si>
    <t>인하대병원 약재팀 데스크탑6대모니터6대</t>
  </si>
  <si>
    <t>S190319</t>
  </si>
  <si>
    <t>S190318</t>
  </si>
  <si>
    <t>BGDC, 업무용 노트북 판매</t>
  </si>
  <si>
    <t>S190317</t>
  </si>
  <si>
    <t>(주)한진, 업무용 전산,통신 장비(IP폰_7대) 판매</t>
  </si>
  <si>
    <t>S190316</t>
  </si>
  <si>
    <t>대한항공 업무용 전산장비 리스(37차 추가 재재연장)(4개월)</t>
  </si>
  <si>
    <t>S190315</t>
  </si>
  <si>
    <t>대한항공 업무용 전산장비 리스(36차 추가 재재연장)(4개월)</t>
  </si>
  <si>
    <t>S190314</t>
  </si>
  <si>
    <t>대한항공 업무용 전산장비 리스(47차 재연장)(12개월)</t>
  </si>
  <si>
    <t>S190313</t>
  </si>
  <si>
    <t>한진인천컨테이너터미널(주) 업무용 전산 장비(AP) 판매</t>
  </si>
  <si>
    <t>S190312</t>
  </si>
  <si>
    <t>(주)한진, 신입직원 지급용</t>
  </si>
  <si>
    <t>S190311</t>
  </si>
  <si>
    <t>인하대병원 데스크탑2대 모니터1대</t>
  </si>
  <si>
    <t>S190310</t>
  </si>
  <si>
    <t>SK브로드밴드 전용회선 서비스용 트래픽 분석기 납품</t>
  </si>
  <si>
    <t>S190309</t>
  </si>
  <si>
    <t>대한항공 벨킨 아이폰 충전케이블(1.2M) 공급 판매</t>
  </si>
  <si>
    <t>S190308</t>
  </si>
  <si>
    <t>S190307</t>
  </si>
  <si>
    <t>진에어(김포운항정비그룹 외 4대) 업무용 IP-Phone 판매</t>
  </si>
  <si>
    <t>S190305</t>
  </si>
  <si>
    <t>그랜드하얏트 인천 서버 판매</t>
  </si>
  <si>
    <t>S190304</t>
  </si>
  <si>
    <t>(주)한진, 업무용 전산,통신 장비(IP폰) 판매</t>
  </si>
  <si>
    <t>S190303</t>
  </si>
  <si>
    <t>판매품의_영우디지탈, 노원구청(추가) KT정보보안서비스용 보안장비(AXGATE) 공급</t>
  </si>
  <si>
    <t>S190302</t>
  </si>
  <si>
    <t>대한항공 직원업무용 Tablet PC 할부판매</t>
  </si>
  <si>
    <t>S190301</t>
  </si>
  <si>
    <t>S190300</t>
  </si>
  <si>
    <t>S190299</t>
  </si>
  <si>
    <t>S190298</t>
  </si>
  <si>
    <t>(주)엘지스포츠 업무용 전산장비 리스(15차 연장)</t>
  </si>
  <si>
    <t>S190297</t>
  </si>
  <si>
    <t>판매품의_KC솔라에너지 빅데이터용 서버판매</t>
  </si>
  <si>
    <t>케이씨솔라에너지(주)</t>
  </si>
  <si>
    <t>S190296</t>
  </si>
  <si>
    <t>판매품의_영우디지탈, 용인시청 KT정보보안서비스용 보안장비(AXGATE) 공급</t>
  </si>
  <si>
    <t>S190295</t>
  </si>
  <si>
    <t>(주)한진, 임원 및 직원 지급용 노트북 판매</t>
  </si>
  <si>
    <t>S190294</t>
  </si>
  <si>
    <t>인하대병원 데스크탑15대</t>
  </si>
  <si>
    <t>S190293</t>
  </si>
  <si>
    <t>KE 직원용 표준 데스크탑(50),모니터(50) 전산장비 할부판매</t>
  </si>
  <si>
    <t>S190292</t>
  </si>
  <si>
    <t>판매품의_영우디지탈, 송파구청 KT정보보안서비스용 보안장비(AXGATE) 공급</t>
  </si>
  <si>
    <t>S190291</t>
  </si>
  <si>
    <t>판매품의_영우디지탈, 백지영W산부인과의원 KT정보보안서비스용 보안장비(AXGATE) 공급</t>
  </si>
  <si>
    <t>S190290</t>
  </si>
  <si>
    <t>판매품의_영우디지탈, 노원구청 KT정보보안서비스용 보안장비(AXGATE) 공급</t>
  </si>
  <si>
    <t>S190289</t>
  </si>
  <si>
    <t>칼호텔네트워크(서귀포KAL호텔) 업무용 데스크탑, 모니터 판매(할부)</t>
  </si>
  <si>
    <t>S190288</t>
  </si>
  <si>
    <t>칼호텔네트워크(제주KAL호텔) 업무용 데스크탑, 모니터 판매(할부)</t>
  </si>
  <si>
    <t>S190287</t>
  </si>
  <si>
    <t>판매품의_영우디지탈, 축령복음병원 KT정보보안서비스용 보안장비(AXGATE) 공급</t>
  </si>
  <si>
    <t>S190286</t>
  </si>
  <si>
    <t>판매품의_영우디지탈, ㈜케이포엠 KT정보보안서비스용 보안장비(AXGATE) 공급</t>
  </si>
  <si>
    <t>S190285</t>
  </si>
  <si>
    <t>S190284</t>
  </si>
  <si>
    <t>2019년도 연구용 소형기상레이더 관측망 예비품 구매</t>
  </si>
  <si>
    <t>손승식</t>
  </si>
  <si>
    <t>기상청</t>
  </si>
  <si>
    <t>S190283</t>
  </si>
  <si>
    <t>판매품의_제주공항 국제선 체크인카운터 안내시스템(FIA) 핀메</t>
  </si>
  <si>
    <t>S190282</t>
  </si>
  <si>
    <t>청주공항 공용여객처리시스템 장비 납품</t>
  </si>
  <si>
    <t>S190281</t>
  </si>
  <si>
    <t>인하대병원 모니터 126대</t>
  </si>
  <si>
    <t>S190280</t>
  </si>
  <si>
    <t>판매품의_HP파이낸셜, 코리아교육그룹 인프라시스템 성능 강화 사업</t>
  </si>
  <si>
    <t>S190278</t>
  </si>
  <si>
    <t>대한항공 항공우주사업본부 Fluent병렬서버용(중형기탐색) SW</t>
  </si>
  <si>
    <t>S190277</t>
  </si>
  <si>
    <t>S190276</t>
  </si>
  <si>
    <t>대한항공 103 차기 군 위성통신 체계개발사업용 SW</t>
  </si>
  <si>
    <t>S190275</t>
  </si>
  <si>
    <t>대한항공 중형기 탐색개발 사업용(지경부 주관) SW</t>
  </si>
  <si>
    <t>S190274</t>
  </si>
  <si>
    <t>대한항공 항공우주사업본부 무인기 개발용 서버 유지보수</t>
  </si>
  <si>
    <t>S190273</t>
  </si>
  <si>
    <t>대한항공 A320 SL 개발용 CASEAM(ISAMI) SW 라이선스</t>
  </si>
  <si>
    <t>S190272</t>
  </si>
  <si>
    <t>대한항공 B787 사업용(2011.12도입) CATIA_MD2</t>
  </si>
  <si>
    <t>S190271</t>
  </si>
  <si>
    <t>대한항공 A350 Door 개발용(2007.11도입) CATIA SW라이선스</t>
  </si>
  <si>
    <t>S190270</t>
  </si>
  <si>
    <t>판매품의_KC그린홀딩스 전원 케이블 납품</t>
  </si>
  <si>
    <t>S190269</t>
  </si>
  <si>
    <t>KE 총괄대책본부 IBR구성 전산장비(데스크탑(30),모니터(50) 장기할부 판매</t>
  </si>
  <si>
    <t>S190268</t>
  </si>
  <si>
    <t>인하대병원 정보보호솔루션 중 DLP 공급 기한 변경</t>
  </si>
  <si>
    <t>S190267</t>
  </si>
  <si>
    <t>대한항공 저피탐 지상시험용 도입SW 라이선스</t>
  </si>
  <si>
    <t>S190266</t>
  </si>
  <si>
    <t>대한항공 항공우주사업본부 MUAV-OO 개발 사업용 SW 라이선스</t>
  </si>
  <si>
    <t>S190265</t>
  </si>
  <si>
    <t>대한항공 수출사업 SHIM설계용 CATIA SW 라이선스</t>
  </si>
  <si>
    <t>S190264</t>
  </si>
  <si>
    <t>인하대병원 데스크탑1대모니터2대</t>
  </si>
  <si>
    <t>S190263</t>
  </si>
  <si>
    <t>인하대병원 판독시스템 3대 구축</t>
  </si>
  <si>
    <t>S190262</t>
  </si>
  <si>
    <t>왕산레저개발 업무용 IP폰 판매</t>
  </si>
  <si>
    <t>S190261</t>
  </si>
  <si>
    <t>대한항공 업무용 전산장비 리스(46차 재연장)(12개월)</t>
  </si>
  <si>
    <t>S190260</t>
  </si>
  <si>
    <t>KE 하반기 CDP 전입직원용(데스크탑(30),모니터(50) 장기할부 판매</t>
  </si>
  <si>
    <t>S190259</t>
  </si>
  <si>
    <t>판매품의_영우디지탈, 경동렌트카㈜ KT정보보안서비스용 보안장비(AXGATE) 공급</t>
  </si>
  <si>
    <t>S190258</t>
  </si>
  <si>
    <t>KE 전사 협업 솔루션도입 T/F 지원용 Tablet PC 장기할부 판매</t>
  </si>
  <si>
    <t>S190257</t>
  </si>
  <si>
    <t>(주)한진, 업무용 전산 장비(PC) 판매</t>
  </si>
  <si>
    <t>S190256</t>
  </si>
  <si>
    <t>(주)엘지스포츠 업무용 전산장비 리스(9차 재연장)_3개월</t>
  </si>
  <si>
    <t>S190255</t>
  </si>
  <si>
    <t>정석기업 IP폰 아답터 판매</t>
  </si>
  <si>
    <t>S190254</t>
  </si>
  <si>
    <t>대한항공 G Suite 마이그레이션 툴 추가판매</t>
  </si>
  <si>
    <t>S190253</t>
  </si>
  <si>
    <t>대한항공 임원(신상준상무) 업무용 노트북 장기할부 교체 판매</t>
  </si>
  <si>
    <t>S190252</t>
  </si>
  <si>
    <t>대한항공 항공우주사업본부 검사 계획서(IP) 작성용 SW 라이선스</t>
  </si>
  <si>
    <t>S190251</t>
  </si>
  <si>
    <t>KE 직원용 전산장비(데스크탑(30),모니터(50) 장기할부 판매</t>
  </si>
  <si>
    <t>S190250</t>
  </si>
  <si>
    <t>대한항공 항공기술연구원 M0사업 SW(AutoCAD)</t>
  </si>
  <si>
    <t>S190249</t>
  </si>
  <si>
    <t>(주)한진 외 6개사 MS-EAS 계약</t>
  </si>
  <si>
    <t>S190248</t>
  </si>
  <si>
    <t>인하국제의료센터 MS-EAS 라이센스 판매</t>
  </si>
  <si>
    <t>S190247</t>
  </si>
  <si>
    <t>인하대병원 데스크탑40대노트북6대모니터60대</t>
  </si>
  <si>
    <t>S190246</t>
  </si>
  <si>
    <t>대한항공 임원(MMC) 업무용 노트북 교체 장기할부 판매</t>
  </si>
  <si>
    <t>S190245</t>
  </si>
  <si>
    <t>대한항공, 신규 선임 사외이사용 태블릿 PC 지원 일시불 판매</t>
  </si>
  <si>
    <t>S190244</t>
  </si>
  <si>
    <t>한진관광 외 9개사 MS-EAS 계약</t>
  </si>
  <si>
    <t>S190243</t>
  </si>
  <si>
    <t>2019 대한한공외 2개사 MS-EAS(Pro/M365 E3)공급서비스 갱신계약</t>
  </si>
  <si>
    <t>S190242</t>
  </si>
  <si>
    <t>대한항공 PSS 연동 서비스 모니터링 시스템 라이선스 갱신</t>
  </si>
  <si>
    <t>S190241</t>
  </si>
  <si>
    <t>판매품의_영우디지탈, 동진산업 KT정보보안서비스용 보안장비(AXGATE) 공급</t>
  </si>
  <si>
    <t>S190240</t>
  </si>
  <si>
    <t>판매품의_영우디지탈, 경희요양병원 KT정보보안서비스용 보안장비(AXGATE) 공급</t>
  </si>
  <si>
    <t>S190239</t>
  </si>
  <si>
    <t>대한항공 업무용 전산장비 리스(45차 재연장)(12개월)</t>
  </si>
  <si>
    <t>S190238</t>
  </si>
  <si>
    <t>대한항공, 협업 솔루션 도입 T/F 지원용 태블릿PC 장기할부 판매</t>
  </si>
  <si>
    <t>S190237</t>
  </si>
  <si>
    <t>대한항공, 화물 Pricing RM부 업무용 데스크탑 장기할부 판매</t>
  </si>
  <si>
    <t>S190236</t>
  </si>
  <si>
    <t>대한항공 벨킨 라이트닝 충전 아이폰 롱케이블(3M) 공급 판매</t>
  </si>
  <si>
    <t>S190235</t>
  </si>
  <si>
    <t>대한항공 Sales-Rep 직원용 LG 노트북 장기할부 판매</t>
  </si>
  <si>
    <t>S190234</t>
  </si>
  <si>
    <t>대한한공 임원(DFG) 업무용 노트북 교체 장기할부 판매</t>
  </si>
  <si>
    <t>S190233</t>
  </si>
  <si>
    <t>S190232</t>
  </si>
  <si>
    <t>한진인천컨테이너터미널(주) 업무용 전산 장비 판매</t>
  </si>
  <si>
    <t>S190231</t>
  </si>
  <si>
    <t>판매품의_영우디지탈, 고려택배 KT정보보안서비스용 보안장비(AXGATE) 공급</t>
  </si>
  <si>
    <t>S190230</t>
  </si>
  <si>
    <t>한진울산신항운영(주) 업무용 전산 장비 판매</t>
  </si>
  <si>
    <t>S190229</t>
  </si>
  <si>
    <t>대한항공 항공우주사업본부 APT S/W 판매</t>
  </si>
  <si>
    <t>S190228</t>
  </si>
  <si>
    <t>판매품의_영우디지탈, 윤서병원 KT정보보안서비스용 보안장비(AXGATE) 공급</t>
  </si>
  <si>
    <t>S190227</t>
  </si>
  <si>
    <t>S190226</t>
  </si>
  <si>
    <t>판매품의_영우디지탈, 노인전문 남양주병원 KT정보보안서비스용 보안장비(AXGATE) 공급</t>
  </si>
  <si>
    <t>S190225</t>
  </si>
  <si>
    <t>2019년 대한항공 임원 업무용 노트북 정기교체 할부 판매</t>
  </si>
  <si>
    <t>S190224</t>
  </si>
  <si>
    <t>대한항공, 임원(GMR) 업무용 노트북 장기할부 판매</t>
  </si>
  <si>
    <t>S190223</t>
  </si>
  <si>
    <t>판매품의_영우디지탈, 삼원폴리텍㈜ KT정보보안서비스용 보안장비(AXGATE) 공급</t>
  </si>
  <si>
    <t>S190222</t>
  </si>
  <si>
    <t>KAL 업무용 전산장비(데스크탑(30),모니터(50) 장기할부 판매</t>
  </si>
  <si>
    <t>S190221</t>
  </si>
  <si>
    <t>판매품의(변경)_영우디지탈,강진군상하수도 KT정보보안서비스용 보안장비(AXGATE) 공급</t>
  </si>
  <si>
    <t>S190220</t>
  </si>
  <si>
    <t>진에어(회계팀), 업무용 IP-Phone 판매</t>
  </si>
  <si>
    <t>S190219</t>
  </si>
  <si>
    <t>판매품의_영우디지탈, 강진군상하수도(3차) KT정보보안서비스용 보안장비(AXGATE) 공급</t>
  </si>
  <si>
    <t>S190218</t>
  </si>
  <si>
    <t>한길씨앤씨_대한항공 MO사업용 SW 판매</t>
  </si>
  <si>
    <t>한길씨앤씨(주)</t>
  </si>
  <si>
    <t>S190217</t>
  </si>
  <si>
    <t>[변경품의] 신재생에너지 태양광발전소 장비(인버터 외) 공급</t>
  </si>
  <si>
    <t>S190216</t>
  </si>
  <si>
    <t>정석기업(주) 오트캐드 LT 판매</t>
  </si>
  <si>
    <t>S190215</t>
  </si>
  <si>
    <t>(주)엘지스포츠 업무용 전산장비 리스(14차 연장)</t>
  </si>
  <si>
    <t>S190214</t>
  </si>
  <si>
    <t>판매품의_영우디지탈, 화성시청(10차) KT정보보안서비스용 보안장비(AXGATE) 공급</t>
  </si>
  <si>
    <t>S190213</t>
  </si>
  <si>
    <t>판매품의_영우디지탈, 디지털국제공조㈜ KT정보보안서비스용 보안장비(AXGATE) 공급</t>
  </si>
  <si>
    <t>S190212</t>
  </si>
  <si>
    <t>유니에스, 업무용 IP-Phone 판매</t>
  </si>
  <si>
    <t>S190211</t>
  </si>
  <si>
    <t>판매품의_영우디지탈, ㈜아주뉴스코퍼레이션 KT정보보안서비스용 보안장비(AXGATE) 공급</t>
  </si>
  <si>
    <t>S190210</t>
  </si>
  <si>
    <t>판매품의_신재생에너지 태양광발전소 장비(인버터 외) 공급</t>
  </si>
  <si>
    <t>S190209</t>
  </si>
  <si>
    <t>(주)한진, 업무용 전산 장비(노트북) 판매</t>
  </si>
  <si>
    <t>S190208</t>
  </si>
  <si>
    <t>판매품의_영우디지탈, 호정메디칼요양병원 KT정보보안서비스용 보안장비(AXGATE) 공급</t>
  </si>
  <si>
    <t>S190207</t>
  </si>
  <si>
    <t>인하대병원 모니터 60대</t>
  </si>
  <si>
    <t>S190206</t>
  </si>
  <si>
    <t>판매품의_진에어(수입관리팀), 업무용 IP-Phone 판매</t>
  </si>
  <si>
    <t>S190205</t>
  </si>
  <si>
    <t>진에어(운항팀), 업무용 IP-Phone 판매</t>
  </si>
  <si>
    <t>S190204</t>
  </si>
  <si>
    <t>대한항공, 임원(GAD) 업무용 노트북 장기할부 판매</t>
  </si>
  <si>
    <t>S190203</t>
  </si>
  <si>
    <t>판매품의_영우디지탈, 메트로아이센터안과 KT정보보안서비스용 보안장비(AXGATE) 공급</t>
  </si>
  <si>
    <t>S190202</t>
  </si>
  <si>
    <t>대한항공 항공우주사업본부 해상초계기(P-3C 성능개량) 사업용 SW</t>
  </si>
  <si>
    <t>S190201</t>
  </si>
  <si>
    <t>대한항공 중고도무인기사업용 전산장비 (2차 도입분) SW 라이선스</t>
  </si>
  <si>
    <t>S190200</t>
  </si>
  <si>
    <t>대한항공 사단 무인기사업용 Sandia Tiger Cluster</t>
  </si>
  <si>
    <t>S190199</t>
  </si>
  <si>
    <t>대한항공 항공우주사업본부 지경부 샤크렛 과제용 SW</t>
  </si>
  <si>
    <t>S190198</t>
  </si>
  <si>
    <t>대한항공 A320 SL 개발용 SW</t>
  </si>
  <si>
    <t>S190197</t>
  </si>
  <si>
    <t>대한항공 A320 SL 개발용(2010.9도입) CATIA SW</t>
  </si>
  <si>
    <t>S190196</t>
  </si>
  <si>
    <t>S190195</t>
  </si>
  <si>
    <t>대한항공 A350 Cargo Door 개발용 S/W_CAESAM</t>
  </si>
  <si>
    <t>S190194</t>
  </si>
  <si>
    <t>대한항공 A350 Cargo Door 개발용 S/W_PATRAN</t>
  </si>
  <si>
    <t>S190193</t>
  </si>
  <si>
    <t>대한항공 사단UAV 사업용(2011.8 도입) CATIA 라이선스</t>
  </si>
  <si>
    <t>S190192</t>
  </si>
  <si>
    <t>대한항공 PUSBB KUH사업용 (다목적헬기) CATIA 라이선스</t>
  </si>
  <si>
    <t>S190191</t>
  </si>
  <si>
    <t>대한항공 항공우주사업본부 507사업용 SW 라이선스</t>
  </si>
  <si>
    <t>S190190</t>
  </si>
  <si>
    <t>대한항공 MUAV 체계개발 사업용(중고도급 정찰용) SW</t>
  </si>
  <si>
    <t>S190189</t>
  </si>
  <si>
    <t>대한항공 A350 Door 개발용(2009.7도입) CATIA SW 라이선스</t>
  </si>
  <si>
    <t>S190188</t>
  </si>
  <si>
    <t>판매품의_대한항공 ADFS서버 전자인증서 판매</t>
  </si>
  <si>
    <t>S190187</t>
  </si>
  <si>
    <t>인하대병원 데스크탑34대모니터49대AutoCAD2개</t>
  </si>
  <si>
    <t>S190186</t>
  </si>
  <si>
    <t>인하대병원 데스크탑40대노트북3대</t>
  </si>
  <si>
    <t>S190185</t>
  </si>
  <si>
    <t>인하대병원 3차 서버가상화 구축</t>
  </si>
  <si>
    <t>S190184</t>
  </si>
  <si>
    <t>한진칼 IP폰 납품</t>
  </si>
  <si>
    <t>S190183</t>
  </si>
  <si>
    <t>대한항공 업무용 전산장비 리스(44차 재연장)(12개월)</t>
  </si>
  <si>
    <t>S190182</t>
  </si>
  <si>
    <t>(주)한진, 업무용 전산 장비 판매</t>
  </si>
  <si>
    <t>S190181</t>
  </si>
  <si>
    <t>S190180</t>
  </si>
  <si>
    <t>판매품의_영우디지탈, 이썸테크㈜ KT정보보안서비스용 보안장비(AXGATE) 공급</t>
  </si>
  <si>
    <t>S190179</t>
  </si>
  <si>
    <t>대한항공, 협업 솔루션도입 T/F지원용 Tablet PC 추가 할부판매(4대)</t>
  </si>
  <si>
    <t>S190178</t>
  </si>
  <si>
    <t>대한항공, 객실본부 업무용 Tablet 전용 키패드 일시불 판매(30대)</t>
  </si>
  <si>
    <t>S190177</t>
  </si>
  <si>
    <t>한진인천컨테이너터미널(주), 임원용 전산장비(노트북) 판매</t>
  </si>
  <si>
    <t>S190176</t>
  </si>
  <si>
    <t>판매품의_영우디지탈, 의령군청 KT정보보안서비스용 보안장비(AXGATE) 공급</t>
  </si>
  <si>
    <t>S190175</t>
  </si>
  <si>
    <t>S190174</t>
  </si>
  <si>
    <t>(주)한진, PC백신 판매(1년 갱신)</t>
  </si>
  <si>
    <t>S190173</t>
  </si>
  <si>
    <t>판매품의_영우디지탈, 김수현내과의원 KT정보보안서비스용 보안장비(AXGATE) 공급</t>
  </si>
  <si>
    <t>S190172</t>
  </si>
  <si>
    <t>대한항공 정보시스템실 업무용 LCD 모니터 장기할부판매 (44대)</t>
  </si>
  <si>
    <t>S190170</t>
  </si>
  <si>
    <t>인하대병원 Cache DBMS 20user와 베어본PC 2대</t>
  </si>
  <si>
    <t>S190169</t>
  </si>
  <si>
    <t>판매품의_영우디지탈, 노원문화재단 KT정보보안서비스용 보안장비(AXGATE) 공급</t>
  </si>
  <si>
    <t>S190168</t>
  </si>
  <si>
    <t>판매품의_영우디지탈, ㈜바른에프엔비 KT정보보안서비스용 보안장비(AXGATE) 공급</t>
  </si>
  <si>
    <t>S190167</t>
  </si>
  <si>
    <t>한진인천컨테이너터미널(주), 외부 업체용 IP폰 판매</t>
  </si>
  <si>
    <t>S190166</t>
  </si>
  <si>
    <t>S190165</t>
  </si>
  <si>
    <t>대한항공, 객실본부 승무원 Tablet PC 할부 판매(30대)</t>
  </si>
  <si>
    <t>S190164</t>
  </si>
  <si>
    <t>진에어(안전보안실), 업무용 IP-Phone 판매</t>
  </si>
  <si>
    <t>S190163</t>
  </si>
  <si>
    <t>대한항공, 협업 솔루션 도입 T/F 지원용 Tablet PC 할부판매(21대)</t>
  </si>
  <si>
    <t>S190162</t>
  </si>
  <si>
    <t>(주)에어코리아, PC백신 판매(1년 갱신)</t>
  </si>
  <si>
    <t>S190161</t>
  </si>
  <si>
    <t>대한항공, 업무용 전산장비(데스크탑(30),모니터(50) 장기할부 판매</t>
  </si>
  <si>
    <t>S190160</t>
  </si>
  <si>
    <t>(주)한진, 웹사이트 보안인증서 추가 판매(2년)</t>
  </si>
  <si>
    <t>S190159</t>
  </si>
  <si>
    <t>대한항공 B787사업용(2006.5도입) CATIA SW 라이선스 갱신</t>
  </si>
  <si>
    <t>S190158</t>
  </si>
  <si>
    <t>대한항공 QTWBT KHP사업용(2007.4도입) CATIA SW 라이선스 갱신</t>
  </si>
  <si>
    <t>S190157</t>
  </si>
  <si>
    <t>대한항공 사단 무인기사업용 PLM SW 라이선스 (2011.6도입)</t>
  </si>
  <si>
    <t>S190156</t>
  </si>
  <si>
    <t>대한항공 QTWBT 무인기 사업용(2005.6도입) CATIA SW 라이선스</t>
  </si>
  <si>
    <t>S190155</t>
  </si>
  <si>
    <t>대한항공 항공기술연구원 KHP사업용- PATRAN SW라이선스 갱신</t>
  </si>
  <si>
    <t>S190154</t>
  </si>
  <si>
    <t>대한항공 중고도무인기사업용 전산(1차 도입) SW라이선스 갱신</t>
  </si>
  <si>
    <t>S190153</t>
  </si>
  <si>
    <t>(주)한진, 임원용 전산장비(노트북) 판매</t>
  </si>
  <si>
    <t>S190152</t>
  </si>
  <si>
    <t>칼호텔네트워크, 업무용 데스크탑, 모니터, 노트북 판매</t>
  </si>
  <si>
    <t>S190151</t>
  </si>
  <si>
    <t>대한항공 업무용 전산장비 리스(32차 추가 재연장)(4개월)</t>
  </si>
  <si>
    <t>S190150</t>
  </si>
  <si>
    <t>판매품의_영우디지탈, 한국학술정보㈜ KT정보보안서비스용 보안장비(AXGATE) 공급</t>
  </si>
  <si>
    <t>S190149</t>
  </si>
  <si>
    <t>판매품의(취소)_한국시험교정기술원 KT정보보안서비스용 엑스게이트 장비 공급_SS190074</t>
  </si>
  <si>
    <t>S190148</t>
  </si>
  <si>
    <t>판매품의_트랙슨 항공화물정보처리 업무용 S/W (2019년도 사용권 갱신)</t>
  </si>
  <si>
    <t>S190147</t>
  </si>
  <si>
    <t>판매품의_영우디지탈, 한일철강㈜ KT정보보안서비스용 보안장비(AXGATE) 공급</t>
  </si>
  <si>
    <t>S190146</t>
  </si>
  <si>
    <t>판매품의(2차_변경)_대한항공, M0사업 CBT(전자식교보재) 판매</t>
  </si>
  <si>
    <t>S190145</t>
  </si>
  <si>
    <t>판매품의_KC코트렐 DB서버용 오라클 DBMS 라이선스(1년 연장)</t>
  </si>
  <si>
    <t>S190144</t>
  </si>
  <si>
    <t>IAT(주) 그룹사 전산장비 업무용 PC 일시불 판매</t>
  </si>
  <si>
    <t>S190143</t>
  </si>
  <si>
    <t>판매품의_영우디지탈, 화성시청(9차) KT정보보안서비스용 보안장비(AXGATE) 공급</t>
  </si>
  <si>
    <t>S190142</t>
  </si>
  <si>
    <t>진에어(김포공항 객실브리핑실), 업무용 IP-Phone 판매</t>
  </si>
  <si>
    <t>S190141</t>
  </si>
  <si>
    <t>진에어(서비스개선팀), 업무용 IP-Phone 판매</t>
  </si>
  <si>
    <t>S190140</t>
  </si>
  <si>
    <t>정석기업(주) PC백신 판매(1년 갱신)</t>
  </si>
  <si>
    <t>S190139</t>
  </si>
  <si>
    <t>판매품의_대한항공 AH-6헬기 동체부품 제작사업 SW 판매</t>
  </si>
  <si>
    <t>S190138</t>
  </si>
  <si>
    <t>(주)엘지스포츠 업무용 전산장비 리스(13차 연장)</t>
  </si>
  <si>
    <t>S190137</t>
  </si>
  <si>
    <t>(주)엘지스포츠 업무용 전산장비 리스(3차 재연장_8개월)</t>
  </si>
  <si>
    <t>S190136</t>
  </si>
  <si>
    <t>대한항공 업무용 전산장비 리스(30차 추가 재연장)(4개월)</t>
  </si>
  <si>
    <t>S190135</t>
  </si>
  <si>
    <t>대한항공 업무용 전산장비 리스(31차 추가 재연장)(4개월)</t>
  </si>
  <si>
    <t>S190134</t>
  </si>
  <si>
    <t>대한항공 업무용 전산장비 리스(43차 재연장)(12개월)</t>
  </si>
  <si>
    <t>S190133</t>
  </si>
  <si>
    <t>대한항공 경영층 업무용 노트북 장기할부 판매</t>
  </si>
  <si>
    <t>S190132</t>
  </si>
  <si>
    <t>진에어(화물사업팀), 업무용 IP-Phone 판매</t>
  </si>
  <si>
    <t>S190131</t>
  </si>
  <si>
    <t>대한항공 미주지역 본부장(LAXDA) 업무용 노트북 장기할부 판매</t>
  </si>
  <si>
    <t>S190130</t>
  </si>
  <si>
    <t>판매품의_영우디지탈, 하이콘엔지니어링㈜ KT정보보안서비스용 보안장비(AXGATE) 공급</t>
  </si>
  <si>
    <t>S190128</t>
  </si>
  <si>
    <t>S190127</t>
  </si>
  <si>
    <t>S190126</t>
  </si>
  <si>
    <t>신세계I&amp;amp;C 김포IDC 보안관제용 장비 납품/구축</t>
  </si>
  <si>
    <t>씨엠티정보통신(주)</t>
  </si>
  <si>
    <t>S190125</t>
  </si>
  <si>
    <t>판매품의 _ SK증권, 세이프토큰(Safe Token) 솔루션 공급</t>
  </si>
  <si>
    <t>에스케이증권주식회사</t>
  </si>
  <si>
    <t>S190124</t>
  </si>
  <si>
    <t>판매품의_영우디지탈, ㈜글로벌리서치 KT정보보안서비스용 보안장비(AXGATE) 공급</t>
  </si>
  <si>
    <t>S190123</t>
  </si>
  <si>
    <t>판매품의_영우디지탈, 익산지방국토청 KT정보보안서비스용 보안장비(AXGATE) 공급</t>
  </si>
  <si>
    <t>S190122</t>
  </si>
  <si>
    <t>판매품의_영우디지탈, ㈜대성방재 KT정보보안서비스용 보안장비(AXGATE) 공급</t>
  </si>
  <si>
    <t>S190121</t>
  </si>
  <si>
    <t>판매품의_영우디지탈, ㈜글로벌패시지아이앤씨 KT정보보안서비스용 보안장비(AXGATE) 공급</t>
  </si>
  <si>
    <t>S190120</t>
  </si>
  <si>
    <t>인하국제의료센터 파인프린터&amp;amp;한글라이센스 판매</t>
  </si>
  <si>
    <t>S190119</t>
  </si>
  <si>
    <t>인하대병원 PACS및영상기록NAS디스크 납품</t>
  </si>
  <si>
    <t>S190118</t>
  </si>
  <si>
    <t>S190117</t>
  </si>
  <si>
    <t>대한항공, 업무용 전산장비(데스크탑,모니터,노트북) 장기할부 판매</t>
  </si>
  <si>
    <t>S190116</t>
  </si>
  <si>
    <t>판매품의_대한항공, 여객 홈페이지 개인화 솔루션 라이선스(갱신)</t>
  </si>
  <si>
    <t>S190115</t>
  </si>
  <si>
    <t>한진인천컨테이너터미널(주), 업무용 전산장비 판매</t>
  </si>
  <si>
    <t>S190114</t>
  </si>
  <si>
    <t>S190113</t>
  </si>
  <si>
    <t>대한항공, 임원(GBT) 업무용 노트북 장기할부 판매</t>
  </si>
  <si>
    <t>S190112</t>
  </si>
  <si>
    <t>대한항공 Portable EFB 충전 iPad 롱 케이블(3M) 추가 공급</t>
  </si>
  <si>
    <t>S190111</t>
  </si>
  <si>
    <t>대한항공 중고도무인기사업용 (1차 도입분)S/W 라이선스_일부</t>
  </si>
  <si>
    <t>S190110</t>
  </si>
  <si>
    <t>대한항공 701 신호정보기 사업용 SW 라이선스 (갱신 계약)</t>
  </si>
  <si>
    <t>S190109</t>
  </si>
  <si>
    <t>대한항공 사단무인기 3-3차 SW 라이선스 (갱신)</t>
  </si>
  <si>
    <t>S190108</t>
  </si>
  <si>
    <t>대한항공.B787사업용 PLM CATIA RLC 판매 (갱신계약)</t>
  </si>
  <si>
    <t>S190107</t>
  </si>
  <si>
    <t>인하대병원, 웹사이트(2개 사이트) 보안인증서(SSL) 판매(1년)</t>
  </si>
  <si>
    <t>S190106</t>
  </si>
  <si>
    <t>판매품의_영우디지탈, 법무법인정세 KT정보보안서비스용 보안장비(AXGATE) 공급</t>
  </si>
  <si>
    <t>S190105</t>
  </si>
  <si>
    <t>판매품의(취소)_전주시청 KT정보보안서비스용 엑스게이트 장비 공급_SS180307</t>
  </si>
  <si>
    <t>S190104</t>
  </si>
  <si>
    <t>판매품의_영우디지탈, 예원예술대학교 KT정보보안서비스용 보안장비(AXGATE) 공급</t>
  </si>
  <si>
    <t>S190103</t>
  </si>
  <si>
    <t>대한항공 업무용 전산장비 리스(42차 재연장)(12개월)</t>
  </si>
  <si>
    <t>S190102</t>
  </si>
  <si>
    <t>(주)대한항공 업무용 전산장비 리스(41차 재연장)(12개월)</t>
  </si>
  <si>
    <t>S190101</t>
  </si>
  <si>
    <t>판매품의_영우디지탈, ㈜하이스틸(제3공장) KT정보보안서비스용 보안장비(AXGATE) 공급</t>
  </si>
  <si>
    <t>S190100</t>
  </si>
  <si>
    <t>대한항공, IBM SPSS Modeler S/W 유지보수 계약</t>
  </si>
  <si>
    <t>S190099</t>
  </si>
  <si>
    <t>(주)한진, 웹사이트 보안인증서 판매(2년)</t>
  </si>
  <si>
    <t>S190098</t>
  </si>
  <si>
    <t>S190097</t>
  </si>
  <si>
    <t>S190096</t>
  </si>
  <si>
    <t>코운디티, 업무용 IP-Phone 판매</t>
  </si>
  <si>
    <t>코운디티 유한회사</t>
  </si>
  <si>
    <t>S190095</t>
  </si>
  <si>
    <t>판매품의_영우디지탈, 보듬의료재단 KT정보보안서비스용 보안장비(AXGATE) 공급</t>
  </si>
  <si>
    <t>S190094</t>
  </si>
  <si>
    <t>S190093</t>
  </si>
  <si>
    <t>판매품의_영우디지탈, 시흥시청 KT정보보안서비스용 보안장비(AXGATE) 공급</t>
  </si>
  <si>
    <t>S190092</t>
  </si>
  <si>
    <t>인하국제의료센터 컴퓨터바이러스백신 바이로봇 사용료(2019년)</t>
  </si>
  <si>
    <t>S190091</t>
  </si>
  <si>
    <t>인하대병원 컴퓨터바이러스백신 바이로봇 사용료(2019년)</t>
  </si>
  <si>
    <t>S190090</t>
  </si>
  <si>
    <t>진에어(정비기획그룹), 업무용 IP-Phone 판매</t>
  </si>
  <si>
    <t>S190089</t>
  </si>
  <si>
    <t>한진관광 컴퓨터바이러스 백신 알약 사용(2019년)</t>
  </si>
  <si>
    <t>S190088</t>
  </si>
  <si>
    <t>판매품의_영우디지탈, 테진테크㈜ KT정보보안서비스용 보안장비(AXGATE) 공급</t>
  </si>
  <si>
    <t>S190087</t>
  </si>
  <si>
    <t>인하대병원 정보보호솔루션 공급</t>
  </si>
  <si>
    <t>S190086</t>
  </si>
  <si>
    <t>(주)한진, 신입직원용 전산/통신 장비 판매</t>
  </si>
  <si>
    <t>S190085</t>
  </si>
  <si>
    <t>S190084</t>
  </si>
  <si>
    <t>인천공항 ILS/VOR 드론기반 전파측정장비</t>
  </si>
  <si>
    <t>주식회사 씨엔테크</t>
  </si>
  <si>
    <t>S190083</t>
  </si>
  <si>
    <t>판매품의_영우디지탈, 청담오라클피부과의원 KT정보보안서비스용 보안장비(AXGATE) 공급</t>
  </si>
  <si>
    <t>S190082</t>
  </si>
  <si>
    <t>KC그린홀딩스_그룹웨어 라이선스 추가 판매</t>
  </si>
  <si>
    <t>S190081</t>
  </si>
  <si>
    <t>S190080</t>
  </si>
  <si>
    <t>대한항공, 임원(GUI) 업무용 노트북 장기할부 판매</t>
  </si>
  <si>
    <t>S190079</t>
  </si>
  <si>
    <t>(주)엘지스포츠 업무용 전산장비 리스(11,12차 연장)</t>
  </si>
  <si>
    <t>S190078</t>
  </si>
  <si>
    <t>(주)엘지스포츠 업무용 전산장비 리스(8차 재연장[3개월])</t>
  </si>
  <si>
    <t>S190077</t>
  </si>
  <si>
    <t>판매품의_영우디지탈, 순천국토관리사무소 KT정보보안서비스용 보안장비(AXGATE) 공급</t>
  </si>
  <si>
    <t>S190076</t>
  </si>
  <si>
    <t>판매품의_영우디지탈, 진주국토관리사무소 KT정보보안서비스용 보안장비(AXGATE) 공급</t>
  </si>
  <si>
    <t>S190075</t>
  </si>
  <si>
    <t>진에어(객실팀), 업무용 IP-Phone 판매</t>
  </si>
  <si>
    <t>S190074</t>
  </si>
  <si>
    <t>판매품의_영우디지탈, ㈜한국시험교정기술원 KT정보보안서비스용 보안장비(AXGATE) 공급</t>
  </si>
  <si>
    <t>S190073</t>
  </si>
  <si>
    <t>판매품의_영우디지탈, 송화의료재단 KT정보보안서비스용 보안장비(AXGATE) 공급</t>
  </si>
  <si>
    <t>S190072</t>
  </si>
  <si>
    <t>판매품의_진에어(운항팀), 업무용 IP-Phone 판매</t>
  </si>
  <si>
    <t>S190071</t>
  </si>
  <si>
    <t>대한항공, 해외 업무용 전산장비 노트북(추가) 장기할부 판매</t>
  </si>
  <si>
    <t>S190070</t>
  </si>
  <si>
    <t>대한항공, 임원(GCS) 업무용 노트북 장기할부 판매</t>
  </si>
  <si>
    <t>S190069</t>
  </si>
  <si>
    <t>대한항공 여객/화물 RM 부서 업무용 PC 장기할부 판매 (3차 추가)</t>
  </si>
  <si>
    <t>S190068</t>
  </si>
  <si>
    <t>S190067</t>
  </si>
  <si>
    <t>S190066</t>
  </si>
  <si>
    <t>판매품의(변경)_진에어(정비기획그룹), 업무용 IP-Phone 판매</t>
  </si>
  <si>
    <t>S190065</t>
  </si>
  <si>
    <t>판매품의(변경)_진에어(회계팀), 업무용 IP-Phone 판매</t>
  </si>
  <si>
    <t>S190064</t>
  </si>
  <si>
    <t>판매품의(변경)_진에어(서비스개선팀), 업무용 IP-Phone 판매</t>
  </si>
  <si>
    <t>S190063</t>
  </si>
  <si>
    <t>판매품의(변경)_진에어(안전보안실), 업무용 IP-Phone 판매</t>
  </si>
  <si>
    <t>S190062</t>
  </si>
  <si>
    <t>인하대병원 의료정보시스템 프레임워크 서버 납품</t>
  </si>
  <si>
    <t>S190061</t>
  </si>
  <si>
    <t>(주)대한항공 정비결함분석 인지컴퓨팅(Watson) 라이선스 리뉴얼 계약(3차)</t>
  </si>
  <si>
    <t>S190060</t>
  </si>
  <si>
    <t>(주)대한항공 보스턴 신규취항 업무용 모니터 공급(10대)</t>
  </si>
  <si>
    <t>S190059</t>
  </si>
  <si>
    <t>판매품의_영우디지탈, 화성시청(8차) KT정보보안서비스용 보안장비(AXGATE) 공급</t>
  </si>
  <si>
    <t>S190058</t>
  </si>
  <si>
    <t>판매품의_영우디지탈, ㈜아이티아이즈 KT정보보안서비스용 보안장비(AXGATE) 공급</t>
  </si>
  <si>
    <t>S190057</t>
  </si>
  <si>
    <t>KC그린홀딩스, IT아웃소싱 노후 방화벽 교체대상 장비공급</t>
  </si>
  <si>
    <t>S190056</t>
  </si>
  <si>
    <t>판매품의_영우디지탈, ㈜13마일 KT정보보안서비스용 보안장비(AXGATE) 공급</t>
  </si>
  <si>
    <t>S190055</t>
  </si>
  <si>
    <t>S190054</t>
  </si>
  <si>
    <t>S190053</t>
  </si>
  <si>
    <t>진에어(수입관리팀), 업무용 IP-Phone 판매</t>
  </si>
  <si>
    <t>S190052</t>
  </si>
  <si>
    <t>S190051</t>
  </si>
  <si>
    <t>S190050</t>
  </si>
  <si>
    <t>대한항공 국내/해외 지점 업무용 노후 모니터 정기 교체</t>
  </si>
  <si>
    <t>S190049</t>
  </si>
  <si>
    <t>대한항공, 해외 업무용 전산장비(노트북) 장기할부 판매</t>
  </si>
  <si>
    <t>S190048</t>
  </si>
  <si>
    <t>(주)한진, 업무용 전산장비(노트북) 판매</t>
  </si>
  <si>
    <t>S190047</t>
  </si>
  <si>
    <t>판매품의_영우디지탈, 사회복지 어린이재단 KT정보보안서비스용 보안장비(AXGATE) 공급</t>
  </si>
  <si>
    <t>S190046</t>
  </si>
  <si>
    <t>유니에스, IP Phone용 어댑터 공급</t>
  </si>
  <si>
    <t>S190045</t>
  </si>
  <si>
    <t>HJIT(주) 야드운영 PDA용 밧데리 납품</t>
  </si>
  <si>
    <t>S190044</t>
  </si>
  <si>
    <t>판매품의_영우디지탈, 한신메디피아(3차) KT정보보안서비스용 보안장비(AXGATE) 공급</t>
  </si>
  <si>
    <t>S190043</t>
  </si>
  <si>
    <t>대한항공, 임원용 노트북 장기할부 판매</t>
  </si>
  <si>
    <t>S190042</t>
  </si>
  <si>
    <t>판매품의_대한항공 A320 SL 개발용 CAESAM(ISAMI) S/W 업그레이드</t>
  </si>
  <si>
    <t>S190041</t>
  </si>
  <si>
    <t>(주)대한항공 업무용 전산장비 리스(40차 재연장)(12개월)</t>
  </si>
  <si>
    <t>S190040</t>
  </si>
  <si>
    <t>판매품의_세화전설, 해운대 골든튤립 신축공사 중 네트워크장비(무선부문) 납품설치</t>
  </si>
  <si>
    <t>(주)세화전설</t>
  </si>
  <si>
    <t>S190039</t>
  </si>
  <si>
    <t>판매품의_영동건설, 해운대 골든튤립 신축공사 중 네트워크장비(유선부문) 납품설치</t>
  </si>
  <si>
    <t>영동건설</t>
  </si>
  <si>
    <t>S190038</t>
  </si>
  <si>
    <t>판매품의(변경)_대한항공 인천기내식 자동화설비시스템 구축용 H/W, S/W 판매</t>
  </si>
  <si>
    <t>S190037</t>
  </si>
  <si>
    <t>진에어(인력개발팀), 업무용 IP-Phone 판매</t>
  </si>
  <si>
    <t>S190036</t>
  </si>
  <si>
    <t>S190035</t>
  </si>
  <si>
    <t>진에어(김포공항지점), 업무용 IP-Phone 및 교환기 판매</t>
  </si>
  <si>
    <t>S190034</t>
  </si>
  <si>
    <t>유니에스, 업무용 IP-Phone 판매(10ea)</t>
  </si>
  <si>
    <t>S190033</t>
  </si>
  <si>
    <t>진에어(인천공항지점), 업무용 IP-Phone 판매</t>
  </si>
  <si>
    <t>S190032</t>
  </si>
  <si>
    <t>판매품의_영우디지탈, 울산남구청(16차) KT정보보안서비스용 보안장비(AXGATE) 공급</t>
  </si>
  <si>
    <t>S190031</t>
  </si>
  <si>
    <t>(주)한진, 업무용 전산장비(모니터) 판매</t>
  </si>
  <si>
    <t>S190030</t>
  </si>
  <si>
    <t>대한항공 Portable EFB(ELECTRIC FLIGHT BAG) iPad 케이블 공급</t>
  </si>
  <si>
    <t>S190029</t>
  </si>
  <si>
    <t>판매품의(변경)_(주)한진, 업무용 전산장비(노트북) 판매</t>
  </si>
  <si>
    <t>S190028</t>
  </si>
  <si>
    <t>(주)엘지스포츠 업무용 전산장비 리스(10연장)</t>
  </si>
  <si>
    <t>S190027</t>
  </si>
  <si>
    <t>한진인천컨테이너터미널, 업무용 PC 판매</t>
  </si>
  <si>
    <t>S190026</t>
  </si>
  <si>
    <t>대한항공, 업무용 전산장비 장기할부 판매</t>
  </si>
  <si>
    <t>S190025</t>
  </si>
  <si>
    <t>S190024</t>
  </si>
  <si>
    <t>판매품의_대한항공 PUSBB MUAV 사업용 CATIA ALC 사용권</t>
  </si>
  <si>
    <t>S190023</t>
  </si>
  <si>
    <t>[판매품의]인하대병원 임상의사결정지원시스템(CDSS)구축용 서버</t>
  </si>
  <si>
    <t>S190022</t>
  </si>
  <si>
    <t>판매품의_대한항공 관세통관시스템용 S/W 라이선스</t>
  </si>
  <si>
    <t>S190021</t>
  </si>
  <si>
    <t>판매품의_대한항공 A350 Cargo Door 개발용 S/W 라이선스 갱신_Samcef</t>
  </si>
  <si>
    <t>S190020</t>
  </si>
  <si>
    <t>판매품의_영우디지탈, ㈜서흥인터내셔날 KT정보보안서비스용 보안장비(AXGATE) 공급</t>
  </si>
  <si>
    <t>S190019</t>
  </si>
  <si>
    <t>진에어(부산여객), 업무용 IP-Phone 판매</t>
  </si>
  <si>
    <t>S190018</t>
  </si>
  <si>
    <t>[판매취소]인하국제의료센터 HP 프린터 판매</t>
  </si>
  <si>
    <t>S190017</t>
  </si>
  <si>
    <t>인하대병원 시스코 L2스위치 공급</t>
  </si>
  <si>
    <t>S190016</t>
  </si>
  <si>
    <t>한진인천컨테이너터미널, 업무용 IP-Phone 판매</t>
  </si>
  <si>
    <t>S190015</t>
  </si>
  <si>
    <t>진에어(자금팀), 업무용 IP-Phone 판매</t>
  </si>
  <si>
    <t>S190014</t>
  </si>
  <si>
    <t>인하대병원 EMR전자인증모듈 사용료 및 유지보수(2019년)</t>
  </si>
  <si>
    <t>S190013</t>
  </si>
  <si>
    <t>(주)대한항공 업무용 전산장비 리스(39차 재연장)(12개월)</t>
  </si>
  <si>
    <t>S190012</t>
  </si>
  <si>
    <t>S190011</t>
  </si>
  <si>
    <t>대한항공, 인천 기내식 자동화설비시스템 구축용 거치대 공급</t>
  </si>
  <si>
    <t>S190010</t>
  </si>
  <si>
    <t>칼호텔네트워크(제주), 서버백신 라이선스 갱신</t>
  </si>
  <si>
    <t>S190009</t>
  </si>
  <si>
    <t>칼호텔네트워크(서귀포), 서버백신 라이선스 갱신</t>
  </si>
  <si>
    <t>S190008</t>
  </si>
  <si>
    <t>유니에스, 업무용 IP-Phone 판매(1ea)</t>
  </si>
  <si>
    <t>S190007</t>
  </si>
  <si>
    <t>대한항공, 업무용 표준 모니터 장기할부 판매</t>
  </si>
  <si>
    <t>S190006</t>
  </si>
  <si>
    <t>칼호텔네트워크, 업무용 IP-Phone 판매</t>
  </si>
  <si>
    <t>S190005</t>
  </si>
  <si>
    <t>SK브로드밴드, 인하학원 노후 IPT교환시스템 교체 H/W판매</t>
  </si>
  <si>
    <t>S190004</t>
  </si>
  <si>
    <t>(주)싸이버스카이 DBMS 유지보수 판매(갱신, 2019년)</t>
  </si>
  <si>
    <t>S190003</t>
  </si>
  <si>
    <t>판매품의_대한항공 민항기제조공장 Laser Tracker 장비 구동용 S/W 라이선스 갱신</t>
  </si>
  <si>
    <t>손병철</t>
  </si>
  <si>
    <t>S190002</t>
  </si>
  <si>
    <t>판매품의_영우디지탈, 위더스병원 KT정보보안서비스용 보안장비(AXGATE) 공급</t>
  </si>
  <si>
    <t>S190001</t>
  </si>
  <si>
    <t>S180367</t>
  </si>
  <si>
    <t>대한항공 인천정비기지 CCTV 1대 설치</t>
  </si>
  <si>
    <t>S180366</t>
  </si>
  <si>
    <t>판매품의(변경)_한진인천컨테이너터미널, 업무용 PC 판매</t>
  </si>
  <si>
    <t>S180365</t>
  </si>
  <si>
    <t>판매품의_신재생에너지 태양광발전소 장비(인버터외) 공급</t>
  </si>
  <si>
    <t>주식회사 한진솔라</t>
  </si>
  <si>
    <t>S180364</t>
  </si>
  <si>
    <t>판매품의_영우디지탈, 강진군상하수도(2차) KT정보보안서비스용 보안장비(AXGATE) 공급</t>
  </si>
  <si>
    <t>S180363</t>
  </si>
  <si>
    <t>판매품의_영우디지탈, ㈜제이앤드제이글로벌 KT정보보안서비스용 보안장비(AXGATE) 공급</t>
  </si>
  <si>
    <t>S180362</t>
  </si>
  <si>
    <t>[판매품의서] 인하국제의료센터 HP 프린터 판매</t>
  </si>
  <si>
    <t>S180361</t>
  </si>
  <si>
    <t>(주)한진칼 백신 판매(갱신, 1년형)_2019년</t>
  </si>
  <si>
    <t>S180360</t>
  </si>
  <si>
    <t>KC코트렐, 본사 사무실 확장에 따른 장비(보안/NW) 판매</t>
  </si>
  <si>
    <t>S180359</t>
  </si>
  <si>
    <t>S180358</t>
  </si>
  <si>
    <t>[판매품의서] 인하대병원 고객포탈(홈페이지) 서버 판매</t>
  </si>
  <si>
    <t>S180357</t>
  </si>
  <si>
    <t>판매품의_영우디지탈, 국립현대미술관진흥재단 KT정보보안서비스용 보안장비(AXGATE) 공급</t>
  </si>
  <si>
    <t>S180356</t>
  </si>
  <si>
    <t>한진부산컨테이너터미널(주), 업무용 노트북 판매</t>
  </si>
  <si>
    <t>S180355</t>
  </si>
  <si>
    <t>S180354</t>
  </si>
  <si>
    <t>[판매품의서] 인하대병원 행위별 원가용 서버 판매</t>
  </si>
  <si>
    <t>S180353</t>
  </si>
  <si>
    <t>(주)칼호텔네트워크(서귀포KAL칼호텔) PC 백신S/W 갱신계약</t>
  </si>
  <si>
    <t>S180352</t>
  </si>
  <si>
    <t>항공종합서비스 PC 백신 S/W 라이선스 계약</t>
  </si>
  <si>
    <t>S180351</t>
  </si>
  <si>
    <t>(주)칼호텔네트워크(제주KAL칼호텔) PC 백신S/W 갱신계약</t>
  </si>
  <si>
    <t>S180350</t>
  </si>
  <si>
    <t>(주)한진, 임원용 전산장비(데스크탑) 판매</t>
  </si>
  <si>
    <t>S180349</t>
  </si>
  <si>
    <t>판매품의_대한항공 항공우주사업본부 FLUENT 병렬서버용(중형기탐색) S/W 라이선스 갱신</t>
  </si>
  <si>
    <t>S180348</t>
  </si>
  <si>
    <t>판매품의_대한항공 103 군 위성통신 체계개발사업 S/W 라이선스 갱신</t>
  </si>
  <si>
    <t>S180347</t>
  </si>
  <si>
    <t>판매품의_대한항공 A320 SL 개발용 S/W 라이선스 갱신</t>
  </si>
  <si>
    <t>S180346</t>
  </si>
  <si>
    <t>판매품의_대한항공 B787 사업용 CATIA S/W ALC 판매 (갱신계약)</t>
  </si>
  <si>
    <t>S180345</t>
  </si>
  <si>
    <t>판매품의_대한항공 중형기 탐색개발사업용 S/W 라이선스 갱신</t>
  </si>
  <si>
    <t>S180344</t>
  </si>
  <si>
    <t>판매품의_대한항공 연결재무제표 시스템 S/W 라이선스 갱신</t>
  </si>
  <si>
    <t>S180343</t>
  </si>
  <si>
    <t>판매품의_대한항공 B787사업용 CATIA V5 ALC 판매 (갱신계약)</t>
  </si>
  <si>
    <t>S180342</t>
  </si>
  <si>
    <t>(주)대한항공 업무용 전산장비 리스(38차 재연장)(12개월)</t>
  </si>
  <si>
    <t>S180341</t>
  </si>
  <si>
    <t>S180340</t>
  </si>
  <si>
    <t>S180339</t>
  </si>
  <si>
    <t>판매품의(변경)_한진인천컨테이너터미널, 업무용 모니터 판매</t>
  </si>
  <si>
    <t>S180338</t>
  </si>
  <si>
    <t>진에어(자금팀) 업무용 IP-Phone 판매</t>
  </si>
  <si>
    <t>S180337</t>
  </si>
  <si>
    <t>한진인천컨테이너터미널, 업무용 모니터 판매</t>
  </si>
  <si>
    <t>S180336</t>
  </si>
  <si>
    <t>판매품의_대한항공 항공우주사업본부 리스크 분석용 H/W 판매</t>
  </si>
  <si>
    <t>S180335</t>
  </si>
  <si>
    <t>판매품의_대한항공 항공우주사업본부 리스크 분석용 S/W 판매</t>
  </si>
  <si>
    <t>S180334</t>
  </si>
  <si>
    <t>판매품의(변경)_토파스여행정보(주) 업무용 IP-Phone 판매</t>
  </si>
  <si>
    <t>S180333</t>
  </si>
  <si>
    <t>대한항공, 임원용(GME) 노트북 장기할부 판매</t>
  </si>
  <si>
    <t>S180332</t>
  </si>
  <si>
    <t>(주)한진 웹서버보안인증서 판매(1년)</t>
  </si>
  <si>
    <t>S180331</t>
  </si>
  <si>
    <t>(주)진에어, Tablet 리스(2018년 11월 신규, 36개월)</t>
  </si>
  <si>
    <t>S180330</t>
  </si>
  <si>
    <t>진에어(정비고) 업무용 IP-Phone 판매</t>
  </si>
  <si>
    <t>S180329</t>
  </si>
  <si>
    <t>한국글로발로지스틱스시스템 업무용 IP-Phone 판매</t>
  </si>
  <si>
    <t>S180328</t>
  </si>
  <si>
    <t>진에어(안전보안실) 업무용 IP-Phone 판매</t>
  </si>
  <si>
    <t>S180327</t>
  </si>
  <si>
    <t>판매품의_영우디지탈, 서울역사박물관 KT정보보안서비스용 보안장비(AXGATE) 공급</t>
  </si>
  <si>
    <t>S180326</t>
  </si>
  <si>
    <t>(주)한진, 신입사원용 IP-Phone 판매</t>
  </si>
  <si>
    <t>S180325</t>
  </si>
  <si>
    <t>(주)한진 전산장비 노후PC 판매(299대)</t>
  </si>
  <si>
    <t>S180324</t>
  </si>
  <si>
    <t>(주)한진, 신입사원용 전산장비 판매</t>
  </si>
  <si>
    <t>S180323</t>
  </si>
  <si>
    <t>판매품의_대한항공 항공우주사업본부 검사 계획서(IP) 작성용 S/W 라이선스 갱신</t>
  </si>
  <si>
    <t>S180322</t>
  </si>
  <si>
    <t>판매품의_대한항공 저피탐 지상시험용 및 구성품 제작사업용 S/W 라이선스 갱신</t>
  </si>
  <si>
    <t>S180321</t>
  </si>
  <si>
    <t>칼호텔네트워크, 업무용 PC 판매</t>
  </si>
  <si>
    <t>S180320</t>
  </si>
  <si>
    <t>(주)대한항공, 업무용 데스크탑, 모니터 장기 할부판매</t>
  </si>
  <si>
    <t>S180319</t>
  </si>
  <si>
    <t>(주)한진관광 서버 백신 판매(1년 갱신계약)_2018년</t>
  </si>
  <si>
    <t>S180318</t>
  </si>
  <si>
    <t>한진관광, 업무용 IP-Phone 어댑터 판매</t>
  </si>
  <si>
    <t>S180317</t>
  </si>
  <si>
    <t>(주)대한항공 업무용 전산장비 리스(37차 재연장)(12개월)</t>
  </si>
  <si>
    <t>S180316</t>
  </si>
  <si>
    <t>(주)대한항공 업무용 전산장비 리스(47차 연장)(12개월)</t>
  </si>
  <si>
    <t>S180315</t>
  </si>
  <si>
    <t>판매품의(변경)_대한항공, M0사업 CBT(전자식교보재) 판매</t>
  </si>
  <si>
    <t>S180314</t>
  </si>
  <si>
    <t>토파스여행정보(주) 업무용 IP-Phone 판매</t>
  </si>
  <si>
    <t>S180313</t>
  </si>
  <si>
    <t>그랜드하얏트인천_H1 업무용 네트워크 장비판매</t>
  </si>
  <si>
    <t>S180312</t>
  </si>
  <si>
    <t>판매품의_영우디지탈, 은평구청(4차) KT정보보안서비스용 보안장비(AXGATE) 공급</t>
  </si>
  <si>
    <t>S180311</t>
  </si>
  <si>
    <t>판매품의_대한항공 항공우주사업본부 개발용 클러스터서버 라이선스 갱신</t>
  </si>
  <si>
    <t>S180310</t>
  </si>
  <si>
    <t>판매품의_대한항공 A350 Door 개발용 CATIA ALC 판매</t>
  </si>
  <si>
    <t>S180309</t>
  </si>
  <si>
    <t>판매품의_KC그린홀딩스 UPS용 Battery 교체 장비납품</t>
  </si>
  <si>
    <t>S180308</t>
  </si>
  <si>
    <t>칼호텔네트워크(제주KAL호텔) , 전산장비(노트북) 판매</t>
  </si>
  <si>
    <t>S180307</t>
  </si>
  <si>
    <t>판매품의_영우디지탈, 전주시청 KT정보보안서비스용 보안장비(AXGATE) 공급</t>
  </si>
  <si>
    <t>S180306</t>
  </si>
  <si>
    <t>판매품의_영우디지탈, ㈜씨채널방송 KT정보보안서비스용 보안장비(AXGATE) 공급</t>
  </si>
  <si>
    <t>S180305</t>
  </si>
  <si>
    <t>대한항공, 임원용 경량 노트북 장기할부 판매</t>
  </si>
  <si>
    <t>S180304</t>
  </si>
  <si>
    <t>칼호텔네트워크(서귀포KAL호텔) , 전산장비(노트북) 판매</t>
  </si>
  <si>
    <t>S180303</t>
  </si>
  <si>
    <t>S180302</t>
  </si>
  <si>
    <t>진에어(법무실) 업무용 IP-Phone 판매</t>
  </si>
  <si>
    <t>S180301</t>
  </si>
  <si>
    <t>판매품의_영우디지탈, 청주시상수도사업본부 KT정보보안서비스용 보안장비(AXGATE) 공급</t>
  </si>
  <si>
    <t>S180300</t>
  </si>
  <si>
    <t>(주)한진, 업무용 전산장비 판매 (PC 5set)</t>
  </si>
  <si>
    <t>S180299</t>
  </si>
  <si>
    <t>(주)대한항공 업무용 전산장비 리스(36차 재연장)(12개월)</t>
  </si>
  <si>
    <t>S180298</t>
  </si>
  <si>
    <t>S180297</t>
  </si>
  <si>
    <t>판매품의_영우디지탈, ㈜달콤소프트 KT정보보안서비스용 보안장비(AXGATE) 공급</t>
  </si>
  <si>
    <t>S180296</t>
  </si>
  <si>
    <t>판매품의_영우디지탈, 중랑구시설관리공단 KT정보보안서비스용 보안장비(AXGATE) 공급</t>
  </si>
  <si>
    <t>S180295</t>
  </si>
  <si>
    <t>(주)엘지스포츠 업무용 전산장비 리스(9연장)</t>
  </si>
  <si>
    <t>S180294</t>
  </si>
  <si>
    <t>S180293</t>
  </si>
  <si>
    <t>진에어(부산여객지점) 업무용 IP-Phone 판매</t>
  </si>
  <si>
    <t>S180292</t>
  </si>
  <si>
    <t>S180291</t>
  </si>
  <si>
    <t>S180290</t>
  </si>
  <si>
    <t>진에어(객실팀) 업무용 IP-Phone 판매</t>
  </si>
  <si>
    <t>S180289</t>
  </si>
  <si>
    <t>한진인천컨테이너터미널(주) 업무용 IP-Phone 판매</t>
  </si>
  <si>
    <t>S180288</t>
  </si>
  <si>
    <t>판매품의_영우디지탈, 차충량신경외과의원 KT정보보안서비스용 보안장비(AXGATE) 공급</t>
  </si>
  <si>
    <t>S180287</t>
  </si>
  <si>
    <t>칼호텔네트워크(제주KAL칼호텔) 한컴오피스SW 계약(3년차)</t>
  </si>
  <si>
    <t>S180286</t>
  </si>
  <si>
    <t>칼호텔네트워크(서귀포KAL칼호텔) 한컴오피스SW 계약(3년차)</t>
  </si>
  <si>
    <t>S180285</t>
  </si>
  <si>
    <t>판매품의_영우디지탈, 전주시설관리공단 KT정보보안서비스용 보안장비(AXGATE) 공급</t>
  </si>
  <si>
    <t>S180284</t>
  </si>
  <si>
    <t>한진인천컨테이너터미널, 전산장비 판매(PC)</t>
  </si>
  <si>
    <t>S180283</t>
  </si>
  <si>
    <t>대한항공, 화물노선부 TF 직원용 경량 노트북 장기할부 판매</t>
  </si>
  <si>
    <t>S180282</t>
  </si>
  <si>
    <t>판매품의_영우디지탈, 국가생명윤리정책연구원 KT정보보안서비스용 보안장비(AXGATE) 공급</t>
  </si>
  <si>
    <t>S180281</t>
  </si>
  <si>
    <t>부산글로벌물류센터(주) 전산장비 판매(PC)</t>
  </si>
  <si>
    <t>S180280</t>
  </si>
  <si>
    <t>(주)대한항공 업무용 전산장비 리스(35차 재연장)(12개월)</t>
  </si>
  <si>
    <t>S180279</t>
  </si>
  <si>
    <t>(주)대한항공 업무용 전산장비 리스(46차 연장)(12개월)</t>
  </si>
  <si>
    <t>S180278</t>
  </si>
  <si>
    <t>대한항공, 업무용 데스크탑, 모니터, 노트북 장기 할부판매</t>
  </si>
  <si>
    <t>S180277</t>
  </si>
  <si>
    <t>판매품의_대한항공 내부회계통제 시스템 라이선스 갱신</t>
  </si>
  <si>
    <t>S180276</t>
  </si>
  <si>
    <t>그랜드하얏트인천 업무용 L2스위치 판매</t>
  </si>
  <si>
    <t>S180275</t>
  </si>
  <si>
    <t>S180274</t>
  </si>
  <si>
    <t>(주)한진 전산장비 판매(PC 2Set)</t>
  </si>
  <si>
    <t>S180273</t>
  </si>
  <si>
    <t>대한항공, 본사 회의실 예약 정보 조회용 Tablet PC 공급(13대)</t>
  </si>
  <si>
    <t>S180272</t>
  </si>
  <si>
    <t>판매품의_대한항공 항공우주사업본부, 지경부 샤크렛 과제용 S/W 라이선스 갱신</t>
  </si>
  <si>
    <t>S180271</t>
  </si>
  <si>
    <t>판매품의_대한항공 수출사업 SHIM 설계용 S/W 라이선스 갱신</t>
  </si>
  <si>
    <t>S180270</t>
  </si>
  <si>
    <t>판매품의_대한항공 해상초계기(P-3C) 성능개량 사업용 S/W 라이선스 갱신</t>
  </si>
  <si>
    <t>S180269</t>
  </si>
  <si>
    <t>S180268</t>
  </si>
  <si>
    <t>판매품의_대한항공 A320 SL 개발용 CATIA S/W ACL 판매</t>
  </si>
  <si>
    <t>S180267</t>
  </si>
  <si>
    <t>판매품의_대한항공 MUAV-00 개발 사업용 S/W 라이선스 갱신</t>
  </si>
  <si>
    <t>S180266</t>
  </si>
  <si>
    <t>판매품의_영우디지탈, 도봉구청(3차_추가) KT정보보안서비스용 보안장비(AXGATE) 공급</t>
  </si>
  <si>
    <t>S180265</t>
  </si>
  <si>
    <t>대한항공, Weighing Scale 시스템 연계 서버 장비(MOXA) 구매</t>
  </si>
  <si>
    <t>S180264</t>
  </si>
  <si>
    <t>(주)진에어 회계팀 업무용 IP-Phone 판매</t>
  </si>
  <si>
    <t>S180263</t>
  </si>
  <si>
    <t>(주)진에어 인력개발팀 업무용 IP-Phone 판매</t>
  </si>
  <si>
    <t>S180262</t>
  </si>
  <si>
    <t>대한항공. 한국지역본부 부산여객지점 노트북 교체(2대)</t>
  </si>
  <si>
    <t>S180261</t>
  </si>
  <si>
    <t>판매품의_대한항공 중고도무인기사업용 전산장비(2차 도입분) S/W 라이선스 갱신</t>
  </si>
  <si>
    <t>S180260</t>
  </si>
  <si>
    <t>판매품의_영우디지탈, 도봉구청(3차) KT정보보안서비스용 보안장비(AXGATE) 공급</t>
  </si>
  <si>
    <t>S180259</t>
  </si>
  <si>
    <t>판매품의_영우디지탈, ㈜우리별텔레콤 KT정보보안서비스용 보안장비(AXGATE) 공급</t>
  </si>
  <si>
    <t>S180258</t>
  </si>
  <si>
    <t>장비판매(품의)_HJIT(주) 야드 운영용 무전기 납품/이설</t>
  </si>
  <si>
    <t>S180257</t>
  </si>
  <si>
    <t>한진인천컨테이너터미널 전산장비 판매(PC-2Set)</t>
  </si>
  <si>
    <t>S180256</t>
  </si>
  <si>
    <t>대한항공, 객실본부 업무용 노후 Tablet PC 교체(450대)</t>
  </si>
  <si>
    <t>S180255</t>
  </si>
  <si>
    <t>대한항공, 객실본부 업무용 Tablet 전용 키패드 판매(450대)</t>
  </si>
  <si>
    <t>S180254</t>
  </si>
  <si>
    <t>대한항공, 항공우주사업본부 방위사업 망 분리 전산장비 장기 할부판매</t>
  </si>
  <si>
    <t>S180253</t>
  </si>
  <si>
    <t>판매품의_영우디지탈, 서울은마취통증의학과 KT정보보안서비스용 보안장비(AXGATE) 공급</t>
  </si>
  <si>
    <t>S180252</t>
  </si>
  <si>
    <t>대한항공 여객/화물 RM 부서 업무용 PC 교체(추가)</t>
  </si>
  <si>
    <t>S180251</t>
  </si>
  <si>
    <t>S180250</t>
  </si>
  <si>
    <t>쉐라톤서울팔래스강남호텔 인터넷 운용장비 공급(추가 계약)</t>
  </si>
  <si>
    <t>서주산업개발</t>
  </si>
  <si>
    <t>S180249</t>
  </si>
  <si>
    <t>(주)대한항공 업무용 전산장비 장기할부판매(10대)</t>
  </si>
  <si>
    <t>S180248</t>
  </si>
  <si>
    <t>SK브로드밴드, 그룹 통합 콜센타 기업회선용 장비공급</t>
  </si>
  <si>
    <t>S180247</t>
  </si>
  <si>
    <t>판매품의_대한항공 항공기술연구원 MS 사업용 S/W(AutoCAD) 판매</t>
  </si>
  <si>
    <t>S180246</t>
  </si>
  <si>
    <t>[판매품의서] 인하국제의료센터 PC 데스크톱</t>
  </si>
  <si>
    <t>S180245</t>
  </si>
  <si>
    <t>대한항공 인천기내식 자동화설비시스템 구축용 H/W, S/W 판매</t>
  </si>
  <si>
    <t>S180244</t>
  </si>
  <si>
    <t>판매품의_대한항공 사단무인기 개발 및 사업관리용 H/W 기술지원 갱신</t>
  </si>
  <si>
    <t>S180243</t>
  </si>
  <si>
    <t>(주)대한항공 업무용 전산장비 리스(44차 연장)(12개월)</t>
  </si>
  <si>
    <t>S180242</t>
  </si>
  <si>
    <t>판매품의_영우디지탈, ㈜창원 KT정보보안서비스용 보안장비(AXGATE) 공급</t>
  </si>
  <si>
    <t>S180241</t>
  </si>
  <si>
    <t>(주)싸이버스카이 백신 판매(1년 갱신계약)</t>
  </si>
  <si>
    <t>S180240</t>
  </si>
  <si>
    <t>(주)대한항공 업무용 전산장비 리스(33차 연장)(12개월)</t>
  </si>
  <si>
    <t>S180239</t>
  </si>
  <si>
    <t>판매품의_영우디지탈, 하남시장애인연합회 KT정보보안서비스용 보안장비(AXGATE) 공급</t>
  </si>
  <si>
    <t>S180238</t>
  </si>
  <si>
    <t>(주)대한항공 업무용 전산장비 장기할부판매(1대)</t>
  </si>
  <si>
    <t>S180237</t>
  </si>
  <si>
    <t>S180236</t>
  </si>
  <si>
    <t>한진인천컨테이너터미널(주) 전산장비 판매(PC)</t>
  </si>
  <si>
    <t>S180235</t>
  </si>
  <si>
    <t>토파스여행정보(주), IVR시스템 서버 PART 교체 / 공급</t>
  </si>
  <si>
    <t>S180234</t>
  </si>
  <si>
    <t>판매품의_영우디지탈, ㈜큐에스아이 KT정보보안서비스용 보안장비(AXGATE) 공급</t>
  </si>
  <si>
    <t>S180233</t>
  </si>
  <si>
    <t>(주)한진칼 업무용 IP-Phone 판매(Adaptor)</t>
  </si>
  <si>
    <t>S180232</t>
  </si>
  <si>
    <t>판매품의_대한항공, 여객 홈페이지 개인화 솔루션 라이선스 갱신</t>
  </si>
  <si>
    <t>S180231</t>
  </si>
  <si>
    <t>KC코트렐 당진 프로젝트 사무소 신규 방화벽 판매</t>
  </si>
  <si>
    <t>S180230</t>
  </si>
  <si>
    <t>판매품의_영우디지탈, ㈜비엔씨 KT정보보안서비스용 보안장비(AXGATE) 공급</t>
  </si>
  <si>
    <t>S180229</t>
  </si>
  <si>
    <t>인하대병원 헤드셋 판매</t>
  </si>
  <si>
    <t>S180228</t>
  </si>
  <si>
    <t>칼호텔네트워크, 제주KAL호텔 무선네트워크 구축</t>
  </si>
  <si>
    <t>S180227</t>
  </si>
  <si>
    <t>(주)대한항공 업무용 전산장비 장기할부판매(46대)</t>
  </si>
  <si>
    <t>S180226</t>
  </si>
  <si>
    <t>(주)대한항공 업무용 전산장비 장기할부판매(100대)</t>
  </si>
  <si>
    <t>S180225</t>
  </si>
  <si>
    <t>S180224</t>
  </si>
  <si>
    <t>판매품의_영우디지탈, 체이너블㈜ KT정보보안서비스용 보안장비(AXGATE) 공급</t>
  </si>
  <si>
    <t>S180223</t>
  </si>
  <si>
    <t>S180222</t>
  </si>
  <si>
    <t>판매품의(취소)_은평구청(2차), KT정보보안서비스용 엑스게이트 장비 공급_SS180076</t>
  </si>
  <si>
    <t>S180221</t>
  </si>
  <si>
    <t>한진부산컨테이너터미널(주) 전산장비 판매(PC)</t>
  </si>
  <si>
    <t>S180220</t>
  </si>
  <si>
    <t>[판매품의] 더케이저축은행 보안인프라 개선</t>
  </si>
  <si>
    <t>더케이저축은행(주)</t>
  </si>
  <si>
    <t>S180219</t>
  </si>
  <si>
    <t>판매품의_영우디지탈, 발아정형외과의원 KT정보보안서비스용 보안장비(AXGATE) 공급</t>
  </si>
  <si>
    <t>S180218</t>
  </si>
  <si>
    <t>(주)칼호텔네트워크, 업무용 전산장비 리스(본사 재연장) (12개월)</t>
  </si>
  <si>
    <t>S180217</t>
  </si>
  <si>
    <t>(주)대한항공 업무용 전산장비 리스(32차 재연장)(12개월)</t>
  </si>
  <si>
    <t>S180216</t>
  </si>
  <si>
    <t>(재)한진사내근로복지기금 전산장비 판매(PC)</t>
  </si>
  <si>
    <t>한진사내근로복지기금</t>
  </si>
  <si>
    <t>S180215</t>
  </si>
  <si>
    <t>인하대병원 업무용 모니터 판매</t>
  </si>
  <si>
    <t>S180214</t>
  </si>
  <si>
    <t>(주)한진 PC백신 판매(1년 갱신)</t>
  </si>
  <si>
    <t>S180213</t>
  </si>
  <si>
    <t>인하대병원 업무용 PC, 모니터 판매</t>
  </si>
  <si>
    <t>S180212</t>
  </si>
  <si>
    <t>(주)에어코리아 PC백신 판매(1년, 갱신)</t>
  </si>
  <si>
    <t>S180211</t>
  </si>
  <si>
    <t>S180210</t>
  </si>
  <si>
    <t>판매품의_대한항공 A350 Cargo Door 개발용 S/W 라이선스 갱신</t>
  </si>
  <si>
    <t>S180209</t>
  </si>
  <si>
    <t>판매품의_대한항공 KUH(다목적헬기) 사업용 CATIA ALC 판매 (갱신계약)</t>
  </si>
  <si>
    <t>S180208</t>
  </si>
  <si>
    <t>판매품의_대한항공 사단무인기 사업용 CATIA S/W ALC 판매 (갱신계약)</t>
  </si>
  <si>
    <t>S180207</t>
  </si>
  <si>
    <t>판매품의_대한항공 항공우주사업본부 507사업용 S/W 라이선스 갱신</t>
  </si>
  <si>
    <t>S180206</t>
  </si>
  <si>
    <t>판매품의_대한항공 A350 Door 개발용 CATIA S/W ALC 판매 (갱신계약)</t>
  </si>
  <si>
    <t>S180205</t>
  </si>
  <si>
    <t>판매품의_영우디지탈, 은평구청(3차) KT정보보안서비스용 보안장비(AXGATE) 공급</t>
  </si>
  <si>
    <t>S180204</t>
  </si>
  <si>
    <t>판매품의_영우디지탈, 한신메디피아(2차) KT정보보안서비스용 보안장비(AXGATE) 공급</t>
  </si>
  <si>
    <t>S180203</t>
  </si>
  <si>
    <t>판매품의_영우디지탈, ㈜메이크스타 KT정보보안서비스용 보안장비(AXGATE) 공급</t>
  </si>
  <si>
    <t>S180202</t>
  </si>
  <si>
    <t>HJIT(주) 핸드형 무전기 및 부속품 판매</t>
  </si>
  <si>
    <t>S180201</t>
  </si>
  <si>
    <t>판매품의_세종 SB플라자 보안장비 공급 사업</t>
  </si>
  <si>
    <t>디에스지엔 주식회사</t>
  </si>
  <si>
    <t>S180200</t>
  </si>
  <si>
    <t>2018년 대한항공外 20개사 MS-EAS 갱신계약(3년차)</t>
  </si>
  <si>
    <t>S180199</t>
  </si>
  <si>
    <t>판매품의_영우디지탈, 울산남구청(15차) KT정보보안서비스용 보안장비(AXGATE) 공급</t>
  </si>
  <si>
    <t>S180198</t>
  </si>
  <si>
    <t>판매품의_대한항공 DB암호화 솔루션 유지보수</t>
  </si>
  <si>
    <t>S180197</t>
  </si>
  <si>
    <t>(주)진에어 업무용 IP-Phone 판매</t>
  </si>
  <si>
    <t>S180196</t>
  </si>
  <si>
    <t>(주)대한항공 업무용 전산장비 장기할부판매(30대)</t>
  </si>
  <si>
    <t>S180195</t>
  </si>
  <si>
    <t>S180194</t>
  </si>
  <si>
    <t>[판매품의서] 인하국제의료센터 HP 칼라레이저 프린터</t>
  </si>
  <si>
    <t>S180193</t>
  </si>
  <si>
    <t>인하대병원 장례식장용 전산단말장비(재품의)</t>
  </si>
  <si>
    <t>S180192</t>
  </si>
  <si>
    <t>(주)대한항공 MS-EAS 클라우드 라이선스 도입</t>
  </si>
  <si>
    <t>S180191</t>
  </si>
  <si>
    <t>(주)한진 전산장비 판매(PC)</t>
  </si>
  <si>
    <t>S180190</t>
  </si>
  <si>
    <t>(주)진에어 백신 판매(1년)</t>
  </si>
  <si>
    <t>S180189</t>
  </si>
  <si>
    <t>판매품의_대한항공, M0사업 CBT(전자식교보재) 판매</t>
  </si>
  <si>
    <t>S180188</t>
  </si>
  <si>
    <t>쉐라톤서울팔래스강남호텔 인터넷 운용장비 공급</t>
  </si>
  <si>
    <t>S180187</t>
  </si>
  <si>
    <t>판매품의_영우디지탈, 한신메디피아 KT정보보안서비스용 보안장비(AXGATE) 공급</t>
  </si>
  <si>
    <t>S180186</t>
  </si>
  <si>
    <t>판매품의_영우디지탈, ㈜하나원비즈마켓 KT정보보안서비스용 보안장비(AXGATE) 공급</t>
  </si>
  <si>
    <t>S180185</t>
  </si>
  <si>
    <t>한진 전산장비 판매(PC)</t>
  </si>
  <si>
    <t>S180184</t>
  </si>
  <si>
    <t>판매품의_영우디지탈, 손지연편한내과 KT정보보안서비스용 보안장비(AXGATE) 공급</t>
  </si>
  <si>
    <t>S180183</t>
  </si>
  <si>
    <t>KC코트렐 오라클 DBMS 연장 계약(1년)</t>
  </si>
  <si>
    <t>S180182</t>
  </si>
  <si>
    <t>(주)엘지스포츠 업무용 전산장비 리스(3,4재연장)</t>
  </si>
  <si>
    <t>S180181</t>
  </si>
  <si>
    <t>S180180</t>
  </si>
  <si>
    <t>판매품의_영우디지탈, 화성시청_7차 KT정보보안서비스용 보안장비(AXGATE) 공급</t>
  </si>
  <si>
    <t>S180179</t>
  </si>
  <si>
    <t>S180178</t>
  </si>
  <si>
    <t>(주)대한항공 업무용 전산장비 리스(43차 연장)(12개월)</t>
  </si>
  <si>
    <t>S180177</t>
  </si>
  <si>
    <t>판매품의_영우디지탈, 상산고등학교 KT정보보안서비스용 보안장비(AXGATE) 공급</t>
  </si>
  <si>
    <t>S180176</t>
  </si>
  <si>
    <t>(주)대한항공 업무용 전산장비 리스(31차 재연장)(12개월)</t>
  </si>
  <si>
    <t>S180175</t>
  </si>
  <si>
    <t>판매품의(취소)_안양시시설관리공단, KT정보보안서비스용 보안장비(AXGATE) 공급</t>
  </si>
  <si>
    <t>S180174</t>
  </si>
  <si>
    <t>S180173</t>
  </si>
  <si>
    <t>판매품의_제주KAL호텔 CCTV 보수공사</t>
  </si>
  <si>
    <t>김상현</t>
  </si>
  <si>
    <t>S180172</t>
  </si>
  <si>
    <t>대한항공 중고도무인기 체계개발사업 관련 S/W 라이선스 갱신</t>
  </si>
  <si>
    <t>S180171</t>
  </si>
  <si>
    <t>판매품의_영우디지탈, 대항병원 KT정보보안서비스용 보안장비(AXGATE) 공급</t>
  </si>
  <si>
    <t>S180170</t>
  </si>
  <si>
    <t>(주)한진 Windows Terminal CAL라이선스 판매</t>
  </si>
  <si>
    <t>S180169</t>
  </si>
  <si>
    <t>[판매품의서] 인하대병원 PC 보호/복구툴</t>
  </si>
  <si>
    <t>S180168</t>
  </si>
  <si>
    <t>대한항공 사단무인기 개발용 S/W 라이선스 갱신</t>
  </si>
  <si>
    <t>S180167</t>
  </si>
  <si>
    <t>대한항공 무인기 사업용 CATIA S/W ALC 판매 (갱신계약)</t>
  </si>
  <si>
    <t>S180166</t>
  </si>
  <si>
    <t>판매품의_제주KAL호텔 후문 경비실 CCTV카메라 보수</t>
  </si>
  <si>
    <t>S180165</t>
  </si>
  <si>
    <t>판매품의(변경)_영우디지탈,㈜에스케이에너텍 KT정보보안서비스용 보안장비(AXGATE) 공급</t>
  </si>
  <si>
    <t>S180164</t>
  </si>
  <si>
    <t>판매품의_트랙슨 항공화물정보처리 업무용 S/W (2018년도 사용권 갱신)</t>
  </si>
  <si>
    <t>S180163</t>
  </si>
  <si>
    <t>S180162</t>
  </si>
  <si>
    <t>인하대병원 인천금연지원센터 그래픽툴 라이선스 구입</t>
  </si>
  <si>
    <t>S180161</t>
  </si>
  <si>
    <t>판매품의_영우디지탈, 안양시시설관리공단 KT정보보안서비스용 보안장비(AXGATE) 공급</t>
  </si>
  <si>
    <t>S180160</t>
  </si>
  <si>
    <t>판매품의_영우디지탈, 동두천시청 KT정보보안서비스용 보안장비(AXGATE) 공급</t>
  </si>
  <si>
    <t>S180159</t>
  </si>
  <si>
    <t>판매품의(변경)_영우디지탈, 여수시청 KT정보보안서비스용 보안장비(AXGATE) 공급</t>
  </si>
  <si>
    <t>S180158</t>
  </si>
  <si>
    <t>대한항공 인천기내식 냉장/냉동설비 노후 감시제어시스템 교체 판매</t>
  </si>
  <si>
    <t>S180157</t>
  </si>
  <si>
    <t>S180156</t>
  </si>
  <si>
    <t>S180155</t>
  </si>
  <si>
    <t>S180154</t>
  </si>
  <si>
    <t>S180153</t>
  </si>
  <si>
    <t>인하대병원 듀얼용 19인치 모니터 판매</t>
  </si>
  <si>
    <t>S180152</t>
  </si>
  <si>
    <t>인하대병원 PACS영상 Backup Disk 판매</t>
  </si>
  <si>
    <t>S180151</t>
  </si>
  <si>
    <t>S180150</t>
  </si>
  <si>
    <t>(주)항공종합서비스 PC백신 판매(1년 갱신계약)</t>
  </si>
  <si>
    <t>S180149</t>
  </si>
  <si>
    <t>판매품의_영우디지탈, GH웨딩스튜디오 KT정보보안서비스용 보안장비(AXGATE) 공급</t>
  </si>
  <si>
    <t>S180148</t>
  </si>
  <si>
    <t>(주)진에어 PDF 문서 편집용 S/W 판매</t>
  </si>
  <si>
    <t>S180147</t>
  </si>
  <si>
    <t>판매품의_영우디지탈, 여수시청 KT정보보안서비스용 보안장비(AXGATE) 공급</t>
  </si>
  <si>
    <t>S180146</t>
  </si>
  <si>
    <t>(주)대한항공 업무용 전산장비 리스(42차 연장)(12개월)</t>
  </si>
  <si>
    <t>S180145</t>
  </si>
  <si>
    <t>(주)대한항공 업무용 전산장비 리스(30차 재연장)(12개월)</t>
  </si>
  <si>
    <t>S180144</t>
  </si>
  <si>
    <t>S180143</t>
  </si>
  <si>
    <t>판매품의_영우디지탈, 비타민하우스 벌크 KT정보보안서비스용 보안장비(AXGATE) 공급</t>
  </si>
  <si>
    <t>S180142</t>
  </si>
  <si>
    <t>(주)대한항공 MS-EAS(O365E3) 라이선스 추가적용</t>
  </si>
  <si>
    <t>S180141</t>
  </si>
  <si>
    <t>판매품의_영우디지탈, ㈜서울프린스호텔 KT정보보안서비스용 보안장비(AXGATE) 공급</t>
  </si>
  <si>
    <t>S180140</t>
  </si>
  <si>
    <t>인천내항 통합항만시스템 인프라 구축용 H/W 공급</t>
  </si>
  <si>
    <t>이앤에스글로벌 주식회사</t>
  </si>
  <si>
    <t>S180139</t>
  </si>
  <si>
    <t>판매품의_영우디지탈, 삼덕회계법인부산지사 KT정보보안서비스용 보안장비(AXGATE) 공급</t>
  </si>
  <si>
    <t>S180138</t>
  </si>
  <si>
    <t>판매품의_영우디지탈, ㈜튜링겐코리아 KT정보보안서비스용 보안장비(AXGATE) 공급</t>
  </si>
  <si>
    <t>S180137</t>
  </si>
  <si>
    <t>(주)칼호텔네트워크 전산장비 판매(PC)</t>
  </si>
  <si>
    <t>S180136</t>
  </si>
  <si>
    <t>인하국제의료센터 컴퓨터바이러스백신 바이로봇 사용료(2018년)</t>
  </si>
  <si>
    <t>S180135</t>
  </si>
  <si>
    <t>판매품의_영우디지탈, 진주국도유지건설사무소 KT정보보안서비스용 보안장비(AXGATE) 공급</t>
  </si>
  <si>
    <t>S180134</t>
  </si>
  <si>
    <t>(주)대한항공 업무용 전산장비 장기할부판매(60대)</t>
  </si>
  <si>
    <t>S180133</t>
  </si>
  <si>
    <t>판매품의_영우디지탈, 씨젠의료재단(2차) KT정보보안서비스용 보안장비(AXGATE) 공급</t>
  </si>
  <si>
    <t>S180132</t>
  </si>
  <si>
    <t>(주)대한항공 업무용 전산장비 장기할부판매(459대)</t>
  </si>
  <si>
    <t>S180131</t>
  </si>
  <si>
    <t>S180130</t>
  </si>
  <si>
    <t>SKB 방송제작용 스튜디오 구축 설비 추가 장비 납품</t>
  </si>
  <si>
    <t>S180129</t>
  </si>
  <si>
    <t>진에어 기판용 PDA 및 프린터 밧데리 공급</t>
  </si>
  <si>
    <t>S180128</t>
  </si>
  <si>
    <t>(주)진에어 운송서비스 업무용 전산장비 판매(부산)</t>
  </si>
  <si>
    <t>S180127</t>
  </si>
  <si>
    <t>S180126</t>
  </si>
  <si>
    <t>판매품의_영우디지탈, ㈜탑항공관철지점 KT정보보안서비스용 장비(AXGATE) 공급</t>
  </si>
  <si>
    <t>S180125</t>
  </si>
  <si>
    <t>판매품의_영우디지탈, ㈜아림인터텍스 KT정보보안서비스용 보안장비(AXGATE) 공급</t>
  </si>
  <si>
    <t>S180124</t>
  </si>
  <si>
    <t>S180123</t>
  </si>
  <si>
    <t>판매품의_영우디지탈, 서울시북부도로교통사업소 KT정보보안서비스용 장비(AXGATE) 공급</t>
  </si>
  <si>
    <t>S180122</t>
  </si>
  <si>
    <t>판매품의_영우디지탈, 와이앤티파워텍㈜ KT정보보안서비스용 보안장비(AXGATE) 공급</t>
  </si>
  <si>
    <t>S180121</t>
  </si>
  <si>
    <t>(주)칼호텔네트워크(서소문) PC 판매</t>
  </si>
  <si>
    <t>S180120</t>
  </si>
  <si>
    <t>대한항공 B787사업용 CATIA S/W ALC 판매 (갱신계약)</t>
  </si>
  <si>
    <t>S180119</t>
  </si>
  <si>
    <t>대한항공 중고도무인기사업용 전산장비(1차 도입) S/W 라이선스 갱신</t>
  </si>
  <si>
    <t>S180118</t>
  </si>
  <si>
    <t>판매품의_영우디지탈, 참빛원주도시가스㈜ KT정보보안서비스용 보안장비(AXGATE) 공급</t>
  </si>
  <si>
    <t>S180117</t>
  </si>
  <si>
    <t>인하대병원 컴퓨터바이러스백신 바이로봇 사용료(2018년)</t>
  </si>
  <si>
    <t>S180116</t>
  </si>
  <si>
    <t>(주)진에어 운송서비스 업무용 전산장비 판매(프린터)</t>
  </si>
  <si>
    <t>S180115</t>
  </si>
  <si>
    <t>판매품의_영우디지탈, 남풍산업㈜ KT정보보안서비스용 보안장비(AXGATE) 공급</t>
  </si>
  <si>
    <t>S180114</t>
  </si>
  <si>
    <t>대한항공 항공우주사업본부 업무용 Workstation 장비 판매</t>
  </si>
  <si>
    <t>S180113</t>
  </si>
  <si>
    <t>인하대병원 영상판독용및방사선종양학과진료정보안내용전산장비</t>
  </si>
  <si>
    <t>S180112</t>
  </si>
  <si>
    <t>(주)대한항공 업무용 전산장비 리스(41차 연장)(12개월)</t>
  </si>
  <si>
    <t>S180111</t>
  </si>
  <si>
    <t>S180110</t>
  </si>
  <si>
    <t>대한항공, 업무용 통계분석툴(IBM-SPSS Modeler) 라이선스 2018 리뉴얼 계약</t>
  </si>
  <si>
    <t>S180109</t>
  </si>
  <si>
    <t>판매품의_영우디지탈, ㈜에스케이에너텍 KT정보보안서비스용 보안장비(AXGATE) 공급</t>
  </si>
  <si>
    <t>S180108</t>
  </si>
  <si>
    <t>(주)대한항공 업무용 전산장비 장기할부판매(35대)</t>
  </si>
  <si>
    <t>S180107</t>
  </si>
  <si>
    <t>S180106</t>
  </si>
  <si>
    <t>(주)엘지스포츠 업무용 전산장비 리스(8연장)</t>
  </si>
  <si>
    <t>S180105</t>
  </si>
  <si>
    <t>대한항공 KHP사업용 CATIA S/W ALC 판매 (갱신계약)</t>
  </si>
  <si>
    <t>S180104</t>
  </si>
  <si>
    <t>대한항공 KHP(한국형헬기) 사업용 S/W 라이선스 갱신</t>
  </si>
  <si>
    <t>S180103</t>
  </si>
  <si>
    <t>S180102</t>
  </si>
  <si>
    <t>(주)대한항공 업무용(항공기탑재용)PC 장기할부판매</t>
  </si>
  <si>
    <t>S180101</t>
  </si>
  <si>
    <t>판매품의_영우디지탈, ㈜앙츠 KT정보보안서비스용 보안장비(AXGATE) 공급</t>
  </si>
  <si>
    <t>S180100</t>
  </si>
  <si>
    <t>S180099</t>
  </si>
  <si>
    <t>판매품의_영우디지탈, ㈜나우스 KT정보보안서비스용 보안장비(AXGATE) 공급</t>
  </si>
  <si>
    <t>S180098</t>
  </si>
  <si>
    <t>S180097</t>
  </si>
  <si>
    <t>판매품의_영우디지탈, 울산남구청(14차) KT정보보안서비스용 보안장비(AXGATE) 공급</t>
  </si>
  <si>
    <t>S180096</t>
  </si>
  <si>
    <t>S180095</t>
  </si>
  <si>
    <t>판매품의_영우디지탈, ㈜조세데이터연구소 KT정보보안서비스용 보안장비(AXGATE) 공급</t>
  </si>
  <si>
    <t>S180094</t>
  </si>
  <si>
    <t>인하대병원 장례식장용 전산단말장비</t>
  </si>
  <si>
    <t>S180093</t>
  </si>
  <si>
    <t>인하대병원 노후서버OS Upgrade</t>
  </si>
  <si>
    <t>S180092</t>
  </si>
  <si>
    <t>판매품의_영우디지탈, 재단법인 씨젠의료재단 KT정보보안서비스용 보안장비(AXGATE) 공급</t>
  </si>
  <si>
    <t>S180091</t>
  </si>
  <si>
    <t>판매품의_영우디지탈, ㈜들풀에프앤에스 KT정보보안서비스용 보안장비(AXGATE) 공급</t>
  </si>
  <si>
    <t>S180090</t>
  </si>
  <si>
    <t>(주)한진관광 PC백신 S/W판매(1년, 갱신계약)</t>
  </si>
  <si>
    <t>S180089</t>
  </si>
  <si>
    <t>판매품의_영우디지탈, 한라엠엔디양천점 KT정보보안서비스용 보안장비(AXGATE) 공급</t>
  </si>
  <si>
    <t>S180088</t>
  </si>
  <si>
    <t>토파스여행정보(주) 업무용 IP-Phone 판매(Adaptor)</t>
  </si>
  <si>
    <t>S180087</t>
  </si>
  <si>
    <t>S180086</t>
  </si>
  <si>
    <t>S180085</t>
  </si>
  <si>
    <t>맥쿼리파이낸스, 리스(진에어 태블릿PC) 장비 판매 건</t>
  </si>
  <si>
    <t>S180084</t>
  </si>
  <si>
    <t>(주)엘지스포츠 업무용 전산장비 리스(2018년 2월 시작분)</t>
  </si>
  <si>
    <t>S180083</t>
  </si>
  <si>
    <t>(주)진에어 운송서비스 업무용 전산장비 판매(스캐너)</t>
  </si>
  <si>
    <t>S180082</t>
  </si>
  <si>
    <t>항공대_워크그룹 L2 스위치 판매</t>
  </si>
  <si>
    <t>S180081</t>
  </si>
  <si>
    <t>한진물류연구원 DRM 라이선스 공급 건</t>
  </si>
  <si>
    <t>S180080</t>
  </si>
  <si>
    <t>대한항공 사단 무인기사업용 3-3차 S/W 라이선스 및 임차 계약 갱신</t>
  </si>
  <si>
    <t>S180079</t>
  </si>
  <si>
    <t>판매품의_영우디지탈, 경찰공제회 KT정보보안서비스용 보안장비(AXGATE) 공급</t>
  </si>
  <si>
    <t>S180078</t>
  </si>
  <si>
    <t>대한항공 B787사업용 PLM CATIA ALC 판매 (갱신계약)</t>
  </si>
  <si>
    <t>S180077</t>
  </si>
  <si>
    <t>대한항공 701 신호정보기 사업용 S/W 라이선스 갱신</t>
  </si>
  <si>
    <t>S180076</t>
  </si>
  <si>
    <t>판매품의_영우디지탈, 은평구청(2차) KT정보보안서비스용 보안장비(AXGATE) 공급</t>
  </si>
  <si>
    <t>S180075</t>
  </si>
  <si>
    <t>판매품의_영우디지탈, 제일요양병원 KT정보보안서비스용 보안장비(AXGATE) 공급</t>
  </si>
  <si>
    <t>S180074</t>
  </si>
  <si>
    <t>판매품의_영우디지탈, 한국전자통신연구원 KT정보보안서비스용 보안장비(AXGATE) 공급</t>
  </si>
  <si>
    <t>S180073</t>
  </si>
  <si>
    <t>판매품의_영우디지탈, ㈜아이티지 KT정보보안서비스용 보안장비(AXGATE) 공급</t>
  </si>
  <si>
    <t>S180072</t>
  </si>
  <si>
    <t>판매품의_영우디지탈, ㈜서울랜드 KT정보보안서비스용 보안장비(AXGATE) 공급</t>
  </si>
  <si>
    <t>S180071</t>
  </si>
  <si>
    <t>판매품의_영우디지탈, 나주시청(2차) KT정보보안서비스용 보안장비(AXGATE) 공급</t>
  </si>
  <si>
    <t>S180070</t>
  </si>
  <si>
    <t>S180069</t>
  </si>
  <si>
    <t>판매품의_영우디지탈, ㈜엔포텍디에스 KT정보보안서비스용 보안장비(AXGATE) 공급</t>
  </si>
  <si>
    <t>S180068</t>
  </si>
  <si>
    <t>판매품의_영우디지탈, 신동훈재활의학과의원 KT정보보안서비스용 보안장비(AXGATE) 공급</t>
  </si>
  <si>
    <t>S180067</t>
  </si>
  <si>
    <t>판매품의_영우디지탈, 양주시청 KT정보보안서비스용 보안장비(AXGATE) 공급</t>
  </si>
  <si>
    <t>S180066</t>
  </si>
  <si>
    <t>진에어 New PSS용 AWS 클라우드 서비스(AWS 시스템사용료, 2018년 1월분)</t>
  </si>
  <si>
    <t>S180065</t>
  </si>
  <si>
    <t>판매품의_영우디지탈, 울산광역시청 KT정보보안서비스용 보안장비(AXGATE) 공급</t>
  </si>
  <si>
    <t>S180064</t>
  </si>
  <si>
    <t>판매품의_영우디지탈, 한라엠엔디석관점 KT정보보안서비스용 보안장비(AXGATE) 공급</t>
  </si>
  <si>
    <t>S180063</t>
  </si>
  <si>
    <t>대한항공, 운항승무원 EFB운영 태블릿 Mount 및 보관함 공급(추가도입)</t>
  </si>
  <si>
    <t>S180062</t>
  </si>
  <si>
    <t>판매품의_영우디지탈,괴산군환경수도사업소 KT정보보안서비스용 보안장비(AXGATE) 공급</t>
  </si>
  <si>
    <t>S180061</t>
  </si>
  <si>
    <t>판매품의_영우디지탈, 모락스트레이딩㈜ KT정보보안서비스용 보안장비(AXGATE) 공급</t>
  </si>
  <si>
    <t>S180060</t>
  </si>
  <si>
    <t>판매품의_영우디지탈, 수원시청 KT정보보안서비스용 보안장비(AXGATE) 공급</t>
  </si>
  <si>
    <t>S180059</t>
  </si>
  <si>
    <t>판매품의_영우디지탈, ㈜젠리코 KT정보보안서비스용 보안장비(AXGATE) 공급</t>
  </si>
  <si>
    <t>S180058</t>
  </si>
  <si>
    <t>판매품의_영우디지탈, 울산남구청(13차) KT정보보안서비스용 보안장비(AXGATE) 공급</t>
  </si>
  <si>
    <t>S180057</t>
  </si>
  <si>
    <t>한국공항(주) 外 계열사 모바일장치제어(MDM)용 MS-EAS라이선스 추가적용</t>
  </si>
  <si>
    <t>S180056</t>
  </si>
  <si>
    <t>판매품의(취소)_조태연(조앤파트너스), KT정보보안서비스용 보안장비(AXGATE) 공급</t>
  </si>
  <si>
    <t>S180055</t>
  </si>
  <si>
    <t>판매품의_영우디지탈, 문촌9사회복지관 KT정보보안서비스용 보안장비(AXGATE) 공급</t>
  </si>
  <si>
    <t>S180054</t>
  </si>
  <si>
    <t>판매품의_영우디지탈, ㈜에스엠엔지니어링 KT정보보안서비스용 보안장비(AXGATE) 공급</t>
  </si>
  <si>
    <t>S180053</t>
  </si>
  <si>
    <t>판매품의(변경)_제주공항 공용여객처리시스템 장비 납품</t>
  </si>
  <si>
    <t>S180052</t>
  </si>
  <si>
    <t>(주)한진 S/W(AutoCAD)판매</t>
  </si>
  <si>
    <t>S180051</t>
  </si>
  <si>
    <t>진에어 New PSS용 AWS 클라우드 서비스(AWS 시스템사용료, 2017년 12월분)</t>
  </si>
  <si>
    <t>S180050</t>
  </si>
  <si>
    <t>(주)대한항공 메일 클라우드 MS-EAS라이선스 추가적용</t>
  </si>
  <si>
    <t>S180049</t>
  </si>
  <si>
    <t>인하대병원 적정진료팀용 22인치모니터외 2종</t>
  </si>
  <si>
    <t>S180048</t>
  </si>
  <si>
    <t>(주)대한항공 정비결함분석 인지컴퓨팅(Watson) 라이선스 리뉴얼 계약(2차)</t>
  </si>
  <si>
    <t>S180047</t>
  </si>
  <si>
    <t>인하대병원 2017년 4차 전산단말장비(노후교체) 판매</t>
  </si>
  <si>
    <t>S180046</t>
  </si>
  <si>
    <t>대한항공 임원 메일사서함 클라우드 이전/구축 기술지원서비스 판매</t>
  </si>
  <si>
    <t>S180045</t>
  </si>
  <si>
    <t>진에어 기판용 PDA 밧데리 공급</t>
  </si>
  <si>
    <t>S180044</t>
  </si>
  <si>
    <t>(주)대한항공 업무용 전산장비 리스(40차 연장)(12개월)</t>
  </si>
  <si>
    <t>S180043</t>
  </si>
  <si>
    <t>S180042</t>
  </si>
  <si>
    <t>(주)한진 업무용 IP-Phone 판매</t>
  </si>
  <si>
    <t>S180041</t>
  </si>
  <si>
    <t>인하대병원_정석동 교수실 L2스위치 납품판매</t>
  </si>
  <si>
    <t>S180040</t>
  </si>
  <si>
    <t>S180039</t>
  </si>
  <si>
    <t>S180038</t>
  </si>
  <si>
    <t>대한항공 A350 Cargo Door 개발용 S/W 라이선스 갱신_PRIMES</t>
  </si>
  <si>
    <t>S180037</t>
  </si>
  <si>
    <t>인하공전_기숙사 신축 통합방범시스템(출입통제) 추가구축</t>
  </si>
  <si>
    <t>S180036</t>
  </si>
  <si>
    <t>S180035</t>
  </si>
  <si>
    <t>S180034</t>
  </si>
  <si>
    <t>S180033</t>
  </si>
  <si>
    <t>대한항공 관세통관시스템용(종합물류망) SW 판매</t>
  </si>
  <si>
    <t>S180032</t>
  </si>
  <si>
    <t>S180031</t>
  </si>
  <si>
    <t>한진울산신항운영(주) 전산장비 판매(PC)</t>
  </si>
  <si>
    <t>S180030</t>
  </si>
  <si>
    <t>(주)대한항공 업무용 전산장비 리스(39차 연장)(12개월)</t>
  </si>
  <si>
    <t>S180029</t>
  </si>
  <si>
    <t>대한항공 저피탐 지상시험용 Mock-up 및 구성품 제작 사업용 PLM 판매</t>
  </si>
  <si>
    <t>S180028</t>
  </si>
  <si>
    <t>대한항공, 운항승무원 EFB 운영용 태블릿 보관함 공급</t>
  </si>
  <si>
    <t>S180027</t>
  </si>
  <si>
    <t>(주)대한항공 보안 FTP 솔루션 공급</t>
  </si>
  <si>
    <t>S180026</t>
  </si>
  <si>
    <t>(주)한진칼 백신 판매(갱신, 1년형)</t>
  </si>
  <si>
    <t>S180025</t>
  </si>
  <si>
    <t>인하대병원 EMR전자인증모듈 사용료 및 유지보수(2018년)</t>
  </si>
  <si>
    <t>S180024</t>
  </si>
  <si>
    <t>S180023</t>
  </si>
  <si>
    <t>S180022</t>
  </si>
  <si>
    <t>(주)대한항공 업무용 전산장비 장기할부판매(3대)</t>
  </si>
  <si>
    <t>S180021</t>
  </si>
  <si>
    <t>S180020</t>
  </si>
  <si>
    <t>판매품의(변경)_영우디지탈, 파주시청 KT정보보안서비스용 보안장비(AXGATE) 공급</t>
  </si>
  <si>
    <t>S180019</t>
  </si>
  <si>
    <t>(주)대한항공 업무용 전산장비 장기할부판매(50대)</t>
  </si>
  <si>
    <t>S180018</t>
  </si>
  <si>
    <t>인하대병원 2017년 노후전산단말장비교체용OMR스캐너외 2종</t>
  </si>
  <si>
    <t>S180017</t>
  </si>
  <si>
    <t>인하대병원 2017년 3차 신규전산단말장비AutoCAD외3종</t>
  </si>
  <si>
    <t>S180016</t>
  </si>
  <si>
    <t>[판매품의] 인하대병원 MS S/W 사용권(2018)</t>
  </si>
  <si>
    <t>S180015</t>
  </si>
  <si>
    <t>대한항공, 운항승무원 EFB 운영용 태블릿 마운트장비 공급</t>
  </si>
  <si>
    <t>S180014</t>
  </si>
  <si>
    <t>대한항공 PUSBB MUAV 사업용 CATIA ALC 사용권 판매</t>
  </si>
  <si>
    <t>S180013</t>
  </si>
  <si>
    <t>대한항공 A350 Cargo Door 개발용 S/W 라이선스 갱신_Samcef</t>
  </si>
  <si>
    <t>S180012</t>
  </si>
  <si>
    <t>S180011</t>
  </si>
  <si>
    <t>S180010</t>
  </si>
  <si>
    <t>(주)대한항공 업무용 전산장비 장기할부판매(89대)</t>
  </si>
  <si>
    <t>S180009</t>
  </si>
  <si>
    <t>S180008</t>
  </si>
  <si>
    <t>(주)한진 웹서버보안인증서 판매(3년, 갱신)</t>
  </si>
  <si>
    <t>S180007</t>
  </si>
  <si>
    <t>항공종합서비스 KAL리무진 전산장비 판매(1SET)</t>
  </si>
  <si>
    <t>항공종합서비스 KAL리무진</t>
  </si>
  <si>
    <t>S180006</t>
  </si>
  <si>
    <t>대한항공 항공의료정보시스템(KALMED)용 SW 판매</t>
  </si>
  <si>
    <t>S180005</t>
  </si>
  <si>
    <t>맥쿼리(LG스포츠) 리스 장비 판매</t>
  </si>
  <si>
    <t>S180004</t>
  </si>
  <si>
    <t>(주)대한항공 운항승무원용 부속장비 공급(노트북 1대)</t>
  </si>
  <si>
    <t>S180003</t>
  </si>
  <si>
    <t>[판매품의] 인하대병원 한글과 컴퓨터 S/W 사용권(2018)</t>
  </si>
  <si>
    <t>S180002</t>
  </si>
  <si>
    <t>제주공항 공용여객처리시스템 장비 납품</t>
  </si>
  <si>
    <t>S180001</t>
  </si>
  <si>
    <t>인하공전 업무용 IP-Phone 판매(7대)</t>
  </si>
  <si>
    <t>S170335</t>
  </si>
  <si>
    <t>(주)싸이버스카이 DBMS 유지보수 판매(갱신, 2018년)</t>
  </si>
  <si>
    <t>S170334</t>
  </si>
  <si>
    <t>인하대병원 심뇌혈관센터 모바일홈페이지S/W공급</t>
  </si>
  <si>
    <t>S170333</t>
  </si>
  <si>
    <t>인하공전 업무용 IP-Phone 및 케이블 판매</t>
  </si>
  <si>
    <t>S170332</t>
  </si>
  <si>
    <t>S170331</t>
  </si>
  <si>
    <t>(사)대한민국항공회, 업무용 S/W 판매</t>
  </si>
  <si>
    <t>대한민국항공회</t>
  </si>
  <si>
    <t>S170330</t>
  </si>
  <si>
    <t>S170329</t>
  </si>
  <si>
    <t>S170328</t>
  </si>
  <si>
    <t>(주)대한항공 업무용 전산장비 리스(38차 연장)(12개월)</t>
  </si>
  <si>
    <t>S170327</t>
  </si>
  <si>
    <t>판매품의_대한항공 청주화물터미널 CCTV 신규설치</t>
  </si>
  <si>
    <t>S170326</t>
  </si>
  <si>
    <t>(주)대한항공 Tablet 장기할부판매(10대)</t>
  </si>
  <si>
    <t>S170325</t>
  </si>
  <si>
    <t>(주)대한항공 업무용 전산장비 판매(5대)</t>
  </si>
  <si>
    <t>S170324</t>
  </si>
  <si>
    <t>S170323</t>
  </si>
  <si>
    <t>(주)칼호텔네트워크(제주) PC 판매</t>
  </si>
  <si>
    <t>S170322</t>
  </si>
  <si>
    <t>S170321</t>
  </si>
  <si>
    <t>클라우드사업그룹</t>
  </si>
  <si>
    <t>S170320</t>
  </si>
  <si>
    <t>S170319</t>
  </si>
  <si>
    <t>대한항공 B787 사업용 CATIA S/W ALC 판매 (갱신계약)</t>
  </si>
  <si>
    <t>S170318</t>
  </si>
  <si>
    <t>인하대병원 2017년 3차 전산단말장비(노후교체) 구매</t>
  </si>
  <si>
    <t>S170317</t>
  </si>
  <si>
    <t>S170316</t>
  </si>
  <si>
    <t>(주)대한항공 Tablet 장기할부판매(1대)</t>
  </si>
  <si>
    <t>S170315</t>
  </si>
  <si>
    <t>대한항공 항공우주사업본부 FLUENT 병렬서버용(중형기탐색) S/W 라이선스 갱신</t>
  </si>
  <si>
    <t>S170314</t>
  </si>
  <si>
    <t>대한항공 103 군 위성통신 체계개발사업 S/W 라이선스 갱신</t>
  </si>
  <si>
    <t>S170313</t>
  </si>
  <si>
    <t>대한항공 B787사업용 CATIA V5 ALC 판매 (갱신계약)</t>
  </si>
  <si>
    <t>S170312</t>
  </si>
  <si>
    <t>대한항공 A320 SL 개발용 S/W 라이선스 갱신</t>
  </si>
  <si>
    <t>S170311</t>
  </si>
  <si>
    <t>S170310</t>
  </si>
  <si>
    <t>대한항공 중형기 탐색개발사업용 S/W 라이선스 갱신</t>
  </si>
  <si>
    <t>S170309</t>
  </si>
  <si>
    <t>(주)대한항공 업무용 전산장비 장기할부판매(40대)</t>
  </si>
  <si>
    <t>S170308</t>
  </si>
  <si>
    <t>S170307</t>
  </si>
  <si>
    <t>S170306</t>
  </si>
  <si>
    <t>UC승계계약(품의)_AK인터넷쇼핑몰 PUSH솔루션 공급 (AKS&amp;amp;D(주) 계약 분)</t>
  </si>
  <si>
    <t>정우경</t>
  </si>
  <si>
    <t>에이케이에스앤디(주)AK인터넷쇼핑몰</t>
  </si>
  <si>
    <t>S170305</t>
  </si>
  <si>
    <t>UC승계계약(품의)_AK인터넷쇼핑몰 PUSH솔루션 공급 (애경유지공업(주) 계약 분)</t>
  </si>
  <si>
    <t>애경유지공업(주)</t>
  </si>
  <si>
    <t>S170304</t>
  </si>
  <si>
    <t>SK브로드밴드, 국방기술품질원 전용회선 제공을 위한 보안장비 공급</t>
  </si>
  <si>
    <t>S170303</t>
  </si>
  <si>
    <t>판매품의(변경)_영우디지탈, ㈜하이스틸 KT정보보안서비스용 보안장비(AXGATE) 공급</t>
  </si>
  <si>
    <t>S170302</t>
  </si>
  <si>
    <t>S170301</t>
  </si>
  <si>
    <t>판매품의_LGU+, 인하대 시내전화 서비스용 교환기 공급</t>
  </si>
  <si>
    <t>엘지유플러스</t>
  </si>
  <si>
    <t>S170300</t>
  </si>
  <si>
    <t>S170299</t>
  </si>
  <si>
    <t>S170298</t>
  </si>
  <si>
    <t>S170297</t>
  </si>
  <si>
    <t>S170296</t>
  </si>
  <si>
    <t>(주)대한항공 업무용 전산장비 장기할부판매(17대)</t>
  </si>
  <si>
    <t>S170295</t>
  </si>
  <si>
    <t>판매품의(취소)_서울시북부수도사업소, KT정보보안서비스용 보안장비(AXGATE) 공급</t>
  </si>
  <si>
    <t>S170294</t>
  </si>
  <si>
    <t>판매품의_영우디지탈, 파주시청 KT정보보안서비스용 보안장비(AXGATE) 공급</t>
  </si>
  <si>
    <t>S170293</t>
  </si>
  <si>
    <t>판매품의_영우디지탈, 충남보건환경연구원 KT정보보안서비스용 보안장비(AXGATE) 공급</t>
  </si>
  <si>
    <t>S170292</t>
  </si>
  <si>
    <t>판매변경(품의)_진에어 업무용 IP-Phone (공급가격 인하)</t>
  </si>
  <si>
    <t>S170291</t>
  </si>
  <si>
    <t>대한항공 항공우주사업본부 개발용 클러스터서버 라이선스 갱신</t>
  </si>
  <si>
    <t>S170290</t>
  </si>
  <si>
    <t>(주)한진 전산장비 노후PC 판매(178대)</t>
  </si>
  <si>
    <t>S170289</t>
  </si>
  <si>
    <t>S170288</t>
  </si>
  <si>
    <t>(주)칼호텔네트워크(서귀포) PC 판매</t>
  </si>
  <si>
    <t>S170287</t>
  </si>
  <si>
    <t>대한항공 헬기운영시스템(ATOMS) SW 갱신권 판매</t>
  </si>
  <si>
    <t>S170286</t>
  </si>
  <si>
    <t>S170285</t>
  </si>
  <si>
    <t>(주)대한항공 Tablet 장기할부판매(61대)</t>
  </si>
  <si>
    <t>S170284</t>
  </si>
  <si>
    <t>(주)엘지스포츠 업무용 전산장비 리스(2017년 11월 시작분)</t>
  </si>
  <si>
    <t>S170283</t>
  </si>
  <si>
    <t>인하대병원 의료기기안정성센터홈페이지S/W공급</t>
  </si>
  <si>
    <t>S170282</t>
  </si>
  <si>
    <t>코스모티어 대외사업용 무선랜 License 납품 판매</t>
  </si>
  <si>
    <t>코스모티어</t>
  </si>
  <si>
    <t>S170281</t>
  </si>
  <si>
    <t>판매품의(계약기간변경)_보미건설, 인하공전 기숙사 신축공사중 통합방범시스템 납품</t>
  </si>
  <si>
    <t>보미건설</t>
  </si>
  <si>
    <t>S170280</t>
  </si>
  <si>
    <t>AXGATE 판매품의(변경)_KT정보보안서비스용 공급(영광군상하수도사업소)</t>
  </si>
  <si>
    <t>S170279</t>
  </si>
  <si>
    <t>AXGATE 판매품의(변경)_KT정보보안서비스용 공급(㈜비엔씨)</t>
  </si>
  <si>
    <t>S170278</t>
  </si>
  <si>
    <t>판매품의_세종텔레콤 광통신망 구축용 장비 공급</t>
  </si>
  <si>
    <t>홍성훈</t>
  </si>
  <si>
    <t>세종텔레콤</t>
  </si>
  <si>
    <t>S170277</t>
  </si>
  <si>
    <t>판매품의_인하공전 기숙사 객실용 L2스위치 납품</t>
  </si>
  <si>
    <t>S170276</t>
  </si>
  <si>
    <t>S170275</t>
  </si>
  <si>
    <t>코스모티어 대외사업용 무선랜 AP 납품 판매</t>
  </si>
  <si>
    <t>S170274</t>
  </si>
  <si>
    <t>인하대병원 SSL인증서</t>
  </si>
  <si>
    <t>S170273</t>
  </si>
  <si>
    <t>S170272</t>
  </si>
  <si>
    <t>S170271</t>
  </si>
  <si>
    <t>(주)대한항공 업무용 전산장비 리스(37차 연장)(12개월)</t>
  </si>
  <si>
    <t>S170270</t>
  </si>
  <si>
    <t>(주)한진관광 서버 백신 판매(1년 갱신계약)</t>
  </si>
  <si>
    <t>S170269</t>
  </si>
  <si>
    <t>인하대병원 T2공항의료센터 개설관련 프린터</t>
  </si>
  <si>
    <t>S170268</t>
  </si>
  <si>
    <t>AXGATE 판매품의_KT정보보안서비스용 공급(한국에스에스아이㈜)</t>
  </si>
  <si>
    <t>S170267</t>
  </si>
  <si>
    <t>S170266</t>
  </si>
  <si>
    <t>인하대병원 T2공항의료센터 개설관련 전산단말장비</t>
  </si>
  <si>
    <t>S170265</t>
  </si>
  <si>
    <t>AXGATE 판매품의_KT정보보안서비스용 보안장비 공급(함평군청)</t>
  </si>
  <si>
    <t>S170264</t>
  </si>
  <si>
    <t>판매품의_KTB투자증권 노후 L4스위치 교체 사업</t>
  </si>
  <si>
    <t>콤텍시스템</t>
  </si>
  <si>
    <t>S170263</t>
  </si>
  <si>
    <t>AXGATE 판매품의_KT정보보안서비스용 공급(㈜비엔씨)</t>
  </si>
  <si>
    <t>S170262</t>
  </si>
  <si>
    <t>판매품의_나이스페이먼츠 APT 방어 장비 공급</t>
  </si>
  <si>
    <t>에스지아이코리아</t>
  </si>
  <si>
    <t>S170261</t>
  </si>
  <si>
    <t>S170260</t>
  </si>
  <si>
    <t>인하대병원 영상의학과 판독모니터 노후장비 2대 교체</t>
  </si>
  <si>
    <t>S170259</t>
  </si>
  <si>
    <t>S170258</t>
  </si>
  <si>
    <t>대한항공 A350 Door 개발용 CATIA ALC 판매</t>
  </si>
  <si>
    <t>S170257</t>
  </si>
  <si>
    <t>한국항공대학교 무선랜 AP 및 네트워크 접근관리 시스템 납품</t>
  </si>
  <si>
    <t>S170256</t>
  </si>
  <si>
    <t>인하대병원 정밀의료분석센터 및 노동조합 사무실 전산단말장비</t>
  </si>
  <si>
    <t>S170255</t>
  </si>
  <si>
    <t>(주)칼호텔네트워크 객실용 전화기 공급</t>
  </si>
  <si>
    <t>S170254</t>
  </si>
  <si>
    <t>AXGATE 판매품의_KT정보보안서비스용 공급(함평군청)</t>
  </si>
  <si>
    <t>S170253</t>
  </si>
  <si>
    <t>AXGATE 판매품의_KT정보보안서비스용 공급(㈜날리지큐브)</t>
  </si>
  <si>
    <t>S170252</t>
  </si>
  <si>
    <t>AXGATE 판매품의_KT정보보안서비스용 공급(나주시청)</t>
  </si>
  <si>
    <t>S170251</t>
  </si>
  <si>
    <t>인하대병원 2017년 노후프린터 교체용</t>
  </si>
  <si>
    <t>S170250</t>
  </si>
  <si>
    <t>AXGATE 판매품의_KT정보보안서비스용 공급(부산지방해양항만청)</t>
  </si>
  <si>
    <t>S170249</t>
  </si>
  <si>
    <t>AXGATE 판매품의_KT정보보안서비스용 공급(에스피엘㈜)</t>
  </si>
  <si>
    <t>S170248</t>
  </si>
  <si>
    <t>AXGATE 판매품의_KT정보보안서비스용 공급(㈜하이스틸(제3공장))</t>
  </si>
  <si>
    <t>S170247</t>
  </si>
  <si>
    <t>인하대병원 2017년 2차 전산단말장비(노후교체) 구매</t>
  </si>
  <si>
    <t>S170246</t>
  </si>
  <si>
    <t>AXGATE 판매품의_KT정보보안서비스용 공급(영광군상하수도사업소)</t>
  </si>
  <si>
    <t>S170245</t>
  </si>
  <si>
    <t>AXGATE 판매품의_KT정보보안서비스용 공급(셀트리온엔터테인먼트)</t>
  </si>
  <si>
    <t>S170244</t>
  </si>
  <si>
    <t>AXGATE 판매품의_KT정보보안서비스용 보안장비 공급(UC 미정산분&amp;amp;9월분)</t>
  </si>
  <si>
    <t>S170243</t>
  </si>
  <si>
    <t>S170242</t>
  </si>
  <si>
    <t>(주)엘지스포츠 업무용 전산장비 리스(5,6,7연장)</t>
  </si>
  <si>
    <t>S170241</t>
  </si>
  <si>
    <t>S170240</t>
  </si>
  <si>
    <t>(주)한진 웹서버보안인증서 판매(1년, 갱신)</t>
  </si>
  <si>
    <t>S170239</t>
  </si>
  <si>
    <t>칼호텔네트워크(제주KAL칼호텔) 한컴오피스SW 계약(2년차)</t>
  </si>
  <si>
    <t>S170238</t>
  </si>
  <si>
    <t>S170237</t>
  </si>
  <si>
    <t>칼호텔네트워크(서귀포KAL칼호텔) 한컴오피스SW 계약(2년차)</t>
  </si>
  <si>
    <t>S170236</t>
  </si>
  <si>
    <t>S170235</t>
  </si>
  <si>
    <t>(주)대한항공 업무용 전산장비 리스(36차 연장)(12개월)</t>
  </si>
  <si>
    <t>S170234</t>
  </si>
  <si>
    <t>(주)엘지스포츠 업무용 전산장비 리스(2017년 09월 시작분)</t>
  </si>
  <si>
    <t>S170233</t>
  </si>
  <si>
    <t>(주)대한항공 업무용 전산장비 리스(25차 재연장)(12개월)</t>
  </si>
  <si>
    <t>S170232</t>
  </si>
  <si>
    <t>(주)대한항공 업무용 전산장비 리스(26차 재연장)(12개월)</t>
  </si>
  <si>
    <t>S170231</t>
  </si>
  <si>
    <t>(주)대한항공 업무용 전산장비 리스(35차 연장)(12개월)</t>
  </si>
  <si>
    <t>S170230</t>
  </si>
  <si>
    <t>판매품의_제동목장 보안시스템 보수</t>
  </si>
  <si>
    <t>S170229</t>
  </si>
  <si>
    <t>대한항공 전산장비(PC) 장기 할부판매(하반기 국내분 1,596대)</t>
  </si>
  <si>
    <t>S170228</t>
  </si>
  <si>
    <t>인하대병원 2차 서버가상화 서버 판매</t>
  </si>
  <si>
    <t>S170227</t>
  </si>
  <si>
    <t>변경품의_(주)항공종합서비스 업무용 전산장비 판매</t>
  </si>
  <si>
    <t>S170226</t>
  </si>
  <si>
    <t>대한항공 저피탐 지상시험용 및 구성품 제작사업용 S/W 및 H/W 판매</t>
  </si>
  <si>
    <t>S170225</t>
  </si>
  <si>
    <t>S170224</t>
  </si>
  <si>
    <t>대한항공 상담도우미솔루션 라이선스 갱신</t>
  </si>
  <si>
    <t>S170223</t>
  </si>
  <si>
    <t>S170222</t>
  </si>
  <si>
    <t>S170221</t>
  </si>
  <si>
    <t>[판매품의서] 인하대병원 2017년 PACS영상 Backup Disk 2차</t>
  </si>
  <si>
    <t>S170220</t>
  </si>
  <si>
    <t>KC그린홀딩스 그룹웨어 웹서버 하드디스크 증설</t>
  </si>
  <si>
    <t>S170219</t>
  </si>
  <si>
    <t>S170218</t>
  </si>
  <si>
    <t>(주)진에어 업무용 IP-Phone 판매(마곡)</t>
  </si>
  <si>
    <t>S170217</t>
  </si>
  <si>
    <t>대한항공 해상초계기(P-3C) 성능개량 사업용 S/W 라이선스 갱신</t>
  </si>
  <si>
    <t>S170216</t>
  </si>
  <si>
    <t>(주)진에어 업무용 IP-Phone 판매(부산)</t>
  </si>
  <si>
    <t>S170215</t>
  </si>
  <si>
    <t>(주)대한항공 업무용 전산장비 장기할부판매(70대)</t>
  </si>
  <si>
    <t>S170214</t>
  </si>
  <si>
    <t>S170213</t>
  </si>
  <si>
    <t>(주)진에어 운송서비스 업무용 전산장비 판매(PSS)</t>
  </si>
  <si>
    <t>S170212</t>
  </si>
  <si>
    <t>대한항공 항공우주사업본부 지경부 샤크렛 과제용 S/W 라이선스 갱신</t>
  </si>
  <si>
    <t>S170211</t>
  </si>
  <si>
    <t>S170210</t>
  </si>
  <si>
    <t>대한항공 수출사업 SHIM 설계용 S/W 라이선스 갱신</t>
  </si>
  <si>
    <t>S170209</t>
  </si>
  <si>
    <t>대한항공 내부회계통제 시스템 라이선스 갱신</t>
  </si>
  <si>
    <t>S170208</t>
  </si>
  <si>
    <t>대한항공 A320 SL 개발용 CATIA S/W ACL 판매</t>
  </si>
  <si>
    <t>S170207</t>
  </si>
  <si>
    <t>인하대병원 2017년 2차 신규전산단말장비</t>
  </si>
  <si>
    <t>S170206</t>
  </si>
  <si>
    <t>S170205</t>
  </si>
  <si>
    <t>(주)대한항공 업무용 전산장비 장기할부판매(하반기 해외분 1,021대)</t>
  </si>
  <si>
    <t>S170204</t>
  </si>
  <si>
    <t>대한항공 MUAV-00 개발 사업용 S/W 라이선스 갱신</t>
  </si>
  <si>
    <t>S170203</t>
  </si>
  <si>
    <t>S170202</t>
  </si>
  <si>
    <t>S170201</t>
  </si>
  <si>
    <t>S170200</t>
  </si>
  <si>
    <t>판매품의_대한항공 KOC P1주차장 CCTV 이전 설치</t>
  </si>
  <si>
    <t>S170199</t>
  </si>
  <si>
    <t>대한항공 항공우주사업본부 507사업용 S/W 라이선스 갱신</t>
  </si>
  <si>
    <t>S170198</t>
  </si>
  <si>
    <t>(주)대한항공 업무용 전산장비 리스(34차 연장)(12개월)</t>
  </si>
  <si>
    <t>S170197</t>
  </si>
  <si>
    <t>(주)대한항공 업무용 전산장비 장기할부판매(80대)</t>
  </si>
  <si>
    <t>S170196</t>
  </si>
  <si>
    <t>(주)대한항공 업무용 전산장비 리스(24차 재연장)(12개월)</t>
  </si>
  <si>
    <t>S170195</t>
  </si>
  <si>
    <t>S170194</t>
  </si>
  <si>
    <t>S170193</t>
  </si>
  <si>
    <t>S170192</t>
  </si>
  <si>
    <t>S170191</t>
  </si>
  <si>
    <t>S170190</t>
  </si>
  <si>
    <t>S170189</t>
  </si>
  <si>
    <t>대한항공 사단무인기 개발 및 사업관리용 H/W 기술지원 갱신</t>
  </si>
  <si>
    <t>S170188</t>
  </si>
  <si>
    <t>칼호텔네트워크 그룹웨어 공인인증서 판매</t>
  </si>
  <si>
    <t>S170187</t>
  </si>
  <si>
    <t>S170186</t>
  </si>
  <si>
    <t>대한항공 중고도무인기사업용 전산장비(2차 도입분) S/W 라이선스 갱신</t>
  </si>
  <si>
    <t>S170185</t>
  </si>
  <si>
    <t>(주)항공종합서비스 업무용 전산장비 장기할부판매(2대)</t>
  </si>
  <si>
    <t>S170184</t>
  </si>
  <si>
    <t>(주)한국공항 웹서버보안인증서 판매(3년)</t>
  </si>
  <si>
    <t>S170183</t>
  </si>
  <si>
    <t>(주)엘지스포츠 업무용 전산장비 리스(2017년 07월 시작분)</t>
  </si>
  <si>
    <t>S170182</t>
  </si>
  <si>
    <t>(주)대한항공 모바일장치제어(MDM)용 MS-EAS라이선스 추가적용</t>
  </si>
  <si>
    <t>S170181</t>
  </si>
  <si>
    <t>대한항공 항공우주사업본부 검사 계획서(IP) 작성용 S/W 판매</t>
  </si>
  <si>
    <t>S170180</t>
  </si>
  <si>
    <t>S170179</t>
  </si>
  <si>
    <t>(주)대한항공 업무용 전산장비 리스(23차 재연장)(12개월)</t>
  </si>
  <si>
    <t>S170178</t>
  </si>
  <si>
    <t>(주)항공종합서비스 업무용 전산장비 장기할부판매(16대)</t>
  </si>
  <si>
    <t>S170177</t>
  </si>
  <si>
    <t>대한항공 전산장비(PC) 장기 할부판매(하반기 노트북 499대)</t>
  </si>
  <si>
    <t>S170176</t>
  </si>
  <si>
    <t>S170175</t>
  </si>
  <si>
    <t>(주)진에어 키폰 전화 회선 증설용 카드 공급</t>
  </si>
  <si>
    <t>S170174</t>
  </si>
  <si>
    <t>S170173</t>
  </si>
  <si>
    <t>S170172</t>
  </si>
  <si>
    <t>S170171</t>
  </si>
  <si>
    <t>S170170</t>
  </si>
  <si>
    <t>(주)한진 웹서버보안인증서 판매(3년)</t>
  </si>
  <si>
    <t>S170169</t>
  </si>
  <si>
    <t>[판매품의서] 인하대병원 2017년 신규 전산단말장비 10대</t>
  </si>
  <si>
    <t>S170168</t>
  </si>
  <si>
    <t>KC그린홀딩스 IT 전산장비 공급</t>
  </si>
  <si>
    <t>S170167</t>
  </si>
  <si>
    <t>(주)대한항공 배구단 영상분석시스템 구축/도입</t>
  </si>
  <si>
    <t>S170166</t>
  </si>
  <si>
    <t>판매품의(계약변경)_포항성모병원, 재난거점병원 재난의료 장비/물품 공급</t>
  </si>
  <si>
    <t>포항성모병원</t>
  </si>
  <si>
    <t>S170165</t>
  </si>
  <si>
    <t>S170164</t>
  </si>
  <si>
    <t>S170163</t>
  </si>
  <si>
    <t>S170162</t>
  </si>
  <si>
    <t>2017년 대한항공外 16개사 MS-EAS 갱신계약(2년차)</t>
  </si>
  <si>
    <t>S170161</t>
  </si>
  <si>
    <t>S170160</t>
  </si>
  <si>
    <t>대한항공, 업무용 통계분석툴(IBM-SPSS Modeler) 유지보수 라이선스 공급(갱신)</t>
  </si>
  <si>
    <t>S170159</t>
  </si>
  <si>
    <t>대한항공 사단무인기 사업용 CATIA S/W ALC 판매 (갱신계약)</t>
  </si>
  <si>
    <t>S170158</t>
  </si>
  <si>
    <t>(주)대한항공 업무용 전산장비 장기할부판매(8대)</t>
  </si>
  <si>
    <t>S170157</t>
  </si>
  <si>
    <t>S170156</t>
  </si>
  <si>
    <t>(주)대한항공, 업무용 전산장비 리스(12차분 추가재연장) (4개월)</t>
  </si>
  <si>
    <t>S170155</t>
  </si>
  <si>
    <t>(주)대한항공 업무용 전산장비 장기할부판매(20대)</t>
  </si>
  <si>
    <t>S170154</t>
  </si>
  <si>
    <t>S170153</t>
  </si>
  <si>
    <t>S170152</t>
  </si>
  <si>
    <t>대한항공 A350 Door 개발용 CATIA S/W ALC 판매 (갱신계약)</t>
  </si>
  <si>
    <t>S170151</t>
  </si>
  <si>
    <t>S170150</t>
  </si>
  <si>
    <t>대한항공 KUH(다목적헬기) 사업용 CATIA ALC 판매 (갱신계약)</t>
  </si>
  <si>
    <t>S170149</t>
  </si>
  <si>
    <t>대한항공 A350 Cargo Door 개발용 S/W 라이선스 갱신</t>
  </si>
  <si>
    <t>S170148</t>
  </si>
  <si>
    <t>[판매품의서] 인하대병원 5층 집중치료실용 모니터 69대</t>
  </si>
  <si>
    <t>S170147</t>
  </si>
  <si>
    <t>S170146</t>
  </si>
  <si>
    <t>(주)엘지스포츠 업무용 전산장비 리스(3,4연장)</t>
  </si>
  <si>
    <t>S170145</t>
  </si>
  <si>
    <t>(주)칼호텔네트워크, 업무용 전산장비 리스(본사 연장) (12개월)</t>
  </si>
  <si>
    <t>S170144</t>
  </si>
  <si>
    <t>(주)엘지스포츠 업무용 전산장비 리스(2017년 06월 시작분)</t>
  </si>
  <si>
    <t>S170143</t>
  </si>
  <si>
    <t>놀텍코리아(KC그린홀딩스 계열), 네트워크 장비 공급</t>
  </si>
  <si>
    <t>S170142</t>
  </si>
  <si>
    <t>(주)대한항공 업무용 전산장비 리스(22차 재연장)(12개월)</t>
  </si>
  <si>
    <t>S170141</t>
  </si>
  <si>
    <t>S170140</t>
  </si>
  <si>
    <t>(주)대한항공 업무용 전산장비 리스(32차 연장)(12개월)</t>
  </si>
  <si>
    <t>S170139</t>
  </si>
  <si>
    <t>(주)진에어 업무용 IP-Phone 판매(광주)</t>
  </si>
  <si>
    <t>S170138</t>
  </si>
  <si>
    <t>(주)대한항공 업무용 전산장비 리스(21차 재연장)(12개월)</t>
  </si>
  <si>
    <t>S170137</t>
  </si>
  <si>
    <t>(주)대한항공 업무용 전산장비 리스(31차 연장)(12개월)</t>
  </si>
  <si>
    <t>S170136</t>
  </si>
  <si>
    <t>HJIT(주) RMQC(신규)용 인프라 장비 납품/설치</t>
  </si>
  <si>
    <t>S170135</t>
  </si>
  <si>
    <t>진에어 기판용 장비 공급 2차</t>
  </si>
  <si>
    <t>S170134</t>
  </si>
  <si>
    <t>[판매품의서] 인하대병원 검체출력용PC9대</t>
  </si>
  <si>
    <t>S170133</t>
  </si>
  <si>
    <t>OS업그레이 테스트를 위한 판매품의서 등록</t>
  </si>
  <si>
    <t>S170132</t>
  </si>
  <si>
    <t>대한항공 전산장비(PC) 장기 할부판매(상반기 2,515대)</t>
  </si>
  <si>
    <t>S170131</t>
  </si>
  <si>
    <t>[판매품의서] 인하대병원 응급실기반 사후관리용 PC1대</t>
  </si>
  <si>
    <t>S170130</t>
  </si>
  <si>
    <t>S170129</t>
  </si>
  <si>
    <t>[판매품의서] 인하대병원 2017년 노후단말기 1차 교체용 데스크탑 60대</t>
  </si>
  <si>
    <t>S170128</t>
  </si>
  <si>
    <t>(주)싸이버스카이 한컴오피스SW 패키지 판매</t>
  </si>
  <si>
    <t>S170127</t>
  </si>
  <si>
    <t>대한항공 DB암호화 솔루션 유지보수</t>
  </si>
  <si>
    <t>S170126</t>
  </si>
  <si>
    <t>S170125</t>
  </si>
  <si>
    <t>S170124</t>
  </si>
  <si>
    <t>S170123</t>
  </si>
  <si>
    <t>S170122</t>
  </si>
  <si>
    <t>S170121</t>
  </si>
  <si>
    <t>[판매품의서] 인하대병원 2017년 PACS영상 Backup Disk 1차</t>
  </si>
  <si>
    <t>S170120</t>
  </si>
  <si>
    <t>S170119</t>
  </si>
  <si>
    <t>S170118</t>
  </si>
  <si>
    <t>(주)한국글로발로지스틱스시스템 PC백신 판매(1년, 갱신)</t>
  </si>
  <si>
    <t>S170117</t>
  </si>
  <si>
    <t>S170116</t>
  </si>
  <si>
    <t>[판매품의서] 인하대병원 보안관제모니터링용 데스크탑 2대 판매</t>
  </si>
  <si>
    <t>S170115</t>
  </si>
  <si>
    <t>S170114</t>
  </si>
  <si>
    <t>(주)대한항공 업무용 전산장비 장기할부판매(6대)</t>
  </si>
  <si>
    <t>S170113</t>
  </si>
  <si>
    <t>[판매품의서] 인하대병원 집중치료실용 1대 판매</t>
  </si>
  <si>
    <t>S170112</t>
  </si>
  <si>
    <t>S170111</t>
  </si>
  <si>
    <t>S170110</t>
  </si>
  <si>
    <t>S170109</t>
  </si>
  <si>
    <t>S170108</t>
  </si>
  <si>
    <t>(주)진에어 운송서비스 업무용 전산장비 판매(광주)</t>
  </si>
  <si>
    <t>S170107</t>
  </si>
  <si>
    <t>트랙슨 항공화물정보처리 업무용 (사용권 갱신)</t>
  </si>
  <si>
    <t>S170106</t>
  </si>
  <si>
    <t>S170105</t>
  </si>
  <si>
    <t>S170104</t>
  </si>
  <si>
    <t>S170103</t>
  </si>
  <si>
    <t>S170102</t>
  </si>
  <si>
    <t>S170101</t>
  </si>
  <si>
    <t>(주)대한항공 업무용 전산장비 리스(20차 재연장)(12개월)</t>
  </si>
  <si>
    <t>S170100</t>
  </si>
  <si>
    <t>(주)대한항공 업무용 전산장비 리스(30차 연장)(12개월)</t>
  </si>
  <si>
    <t>S170099</t>
  </si>
  <si>
    <t>S170098</t>
  </si>
  <si>
    <t>(주)한진 전산장비 판매(PC, 1대)</t>
  </si>
  <si>
    <t>S170097</t>
  </si>
  <si>
    <t>S170096</t>
  </si>
  <si>
    <t>진에어 전산(통신)장비 판매(IP Phone)</t>
  </si>
  <si>
    <t>S170095</t>
  </si>
  <si>
    <t>대한항공 국방통합원가 수집체계 연계 S/W 유지보수</t>
  </si>
  <si>
    <t>S170094</t>
  </si>
  <si>
    <t>S170093</t>
  </si>
  <si>
    <t>인하국제의료센터 컴퓨터바이러스백신 바이로봇 사용료(2017년)</t>
  </si>
  <si>
    <t>S170092</t>
  </si>
  <si>
    <t>항공종합서비스HOS 전산장비 판매(1SET)</t>
  </si>
  <si>
    <t>주식회사 항공종합서비스 HOS</t>
  </si>
  <si>
    <t>S170091</t>
  </si>
  <si>
    <t>항공종합서비스 전산장비 판매</t>
  </si>
  <si>
    <t>S170090</t>
  </si>
  <si>
    <t>[판매품의서] 인하대병원 금연지원센터 전산용품2대 판매</t>
  </si>
  <si>
    <t>S170089</t>
  </si>
  <si>
    <t>[판매품의서] 인하대병원 양방향의사소통시스템용 SSL보안 인증</t>
  </si>
  <si>
    <t>S170088</t>
  </si>
  <si>
    <t>[판매품의서] 인하대병원 외래진료실설명용모니터45대</t>
  </si>
  <si>
    <t>S170087</t>
  </si>
  <si>
    <t>S170086</t>
  </si>
  <si>
    <t>S170085</t>
  </si>
  <si>
    <t>(주)대한항공 업무용 전산장비 장기할부판매(90대)</t>
  </si>
  <si>
    <t>S170084</t>
  </si>
  <si>
    <t>한국공항(주) 백신 S/W 사용권 판매(3년, 갱신)</t>
  </si>
  <si>
    <t>S170083</t>
  </si>
  <si>
    <t>S170082</t>
  </si>
  <si>
    <t>(주)대한항공 업무용 전산장비 장기할부판매(32대)</t>
  </si>
  <si>
    <t>S170081</t>
  </si>
  <si>
    <t>S170080</t>
  </si>
  <si>
    <t>(주)대한항공 정비결함분석 인지컴퓨팅(Watson) 라이선스 리뉴얼 계약</t>
  </si>
  <si>
    <t>S170079</t>
  </si>
  <si>
    <t>(주)대한항공 업무용 전산장비 리스(19차 재연장)(12개월)</t>
  </si>
  <si>
    <t>S170078</t>
  </si>
  <si>
    <t>대한항공 여객 홈페이지 개인화 솔루션 판매</t>
  </si>
  <si>
    <t>S170077</t>
  </si>
  <si>
    <t>KC그린홀딩스, 신규 네트워크 장비 구매</t>
  </si>
  <si>
    <t>S170076</t>
  </si>
  <si>
    <t>S170075</t>
  </si>
  <si>
    <t>S170074</t>
  </si>
  <si>
    <t>토파스여행정보(주) PC 백신 S/W판매(1년, 갱신)</t>
  </si>
  <si>
    <t>S170073</t>
  </si>
  <si>
    <t>칼호텔네트워크 업무용</t>
  </si>
  <si>
    <t>S170072</t>
  </si>
  <si>
    <t>S170071</t>
  </si>
  <si>
    <t>S170070</t>
  </si>
  <si>
    <t>[판매품의서] 인하대병원 유방갑상선외과센터 노후 교체용 판독용 모니터1대</t>
  </si>
  <si>
    <t>S170069</t>
  </si>
  <si>
    <t>(주)대한항공 업무용 전산장비 리스(29차 연장)(12개월)</t>
  </si>
  <si>
    <t>S170068</t>
  </si>
  <si>
    <t>[판매품의서] 인하대병원 국가지정음압치료병상 전산단말장비 구입</t>
  </si>
  <si>
    <t>S170067</t>
  </si>
  <si>
    <t>대한항공 103 군 위성통신 체계개발사업 유지보수 계약_신규</t>
  </si>
  <si>
    <t>S170066</t>
  </si>
  <si>
    <t>판매품의_대한항공 김포정비고 계류장 CCTV 개선</t>
  </si>
  <si>
    <t>S170065</t>
  </si>
  <si>
    <t>판매품의_대한항공 인천정비기지 CCTV 개선</t>
  </si>
  <si>
    <t>S170064</t>
  </si>
  <si>
    <t>S170063</t>
  </si>
  <si>
    <t>(주)대한항공 업무용 전산장비 장기할부판매(2대)</t>
  </si>
  <si>
    <t>S170062</t>
  </si>
  <si>
    <t>(주)대한항공 업무용 전산장비 장기할부판매(24대)</t>
  </si>
  <si>
    <t>S170061</t>
  </si>
  <si>
    <t>대한항공 사단 무인기사업용 3-3차 S/W 유지보수 및 임차 계약갱신</t>
  </si>
  <si>
    <t>S170060</t>
  </si>
  <si>
    <t>(주)대한항공 업무용 전산장비 장기할부판매(41대)</t>
  </si>
  <si>
    <t>S170059</t>
  </si>
  <si>
    <t>제이티비그룹 보안파일서버솔루션 및 IT인프라 판매</t>
  </si>
  <si>
    <t>S170058</t>
  </si>
  <si>
    <t>[판매품의서] 인하대병원 외래진료실노후모니터교체</t>
  </si>
  <si>
    <t>S170057</t>
  </si>
  <si>
    <t>S170056</t>
  </si>
  <si>
    <t>(주)대한항공 업무용 전산장비 장기할부판매(43대)</t>
  </si>
  <si>
    <t>S170055</t>
  </si>
  <si>
    <t>(주)진에어 전산(통신)장비 판매(키폰 10대)</t>
  </si>
  <si>
    <t>S170054</t>
  </si>
  <si>
    <t>S170053</t>
  </si>
  <si>
    <t>S170052</t>
  </si>
  <si>
    <t>[판매품의서] 인하대병원 호흡기공공전문진료센터 전산단말장비 판매</t>
  </si>
  <si>
    <t>S170051</t>
  </si>
  <si>
    <t>[판매품의서] 인하대병원 장기이식센터홈페이지개선 S/W공급</t>
  </si>
  <si>
    <t>S170050</t>
  </si>
  <si>
    <t>(주)한진 웹서버보안인증서 갱신계약</t>
  </si>
  <si>
    <t>S170049</t>
  </si>
  <si>
    <t>HJIT(주) 고정형 무전기 납품 및 이전 설치</t>
  </si>
  <si>
    <t>S170048</t>
  </si>
  <si>
    <t>판매품의_대한항공, 인천기내식센터 출입통제시스템 개선 구축</t>
  </si>
  <si>
    <t>S170047</t>
  </si>
  <si>
    <t>S170046</t>
  </si>
  <si>
    <t>S170045</t>
  </si>
  <si>
    <t>S170044</t>
  </si>
  <si>
    <t>S170043</t>
  </si>
  <si>
    <t>판매품의_보미건설, 인하공전 기숙사 신축공사중 통합방범시스템 납품</t>
  </si>
  <si>
    <t>S170042</t>
  </si>
  <si>
    <t>계약물품변경(품목/수량) 품의_테미스, 인하대병원 현장응급의료소 재난의료 장비/물품 공급</t>
  </si>
  <si>
    <t>주식회사 테미스</t>
  </si>
  <si>
    <t>S170041</t>
  </si>
  <si>
    <t>[판매품의서] 인하대병원 의무기록용 스캐너 2대</t>
  </si>
  <si>
    <t>S170040</t>
  </si>
  <si>
    <t>(주)엘지스포츠 업무용 전산장비 리스(2연장)</t>
  </si>
  <si>
    <t>S170039</t>
  </si>
  <si>
    <t>S170038</t>
  </si>
  <si>
    <t>대한항공 PUSBB MUAV 사업용 CATIA ALC_DM1 사용권 판매 (갱신계약)</t>
  </si>
  <si>
    <t>S170037</t>
  </si>
  <si>
    <t>대한항공 A350 Cargo Door 개발용 S/W 유지보수_PRIMES</t>
  </si>
  <si>
    <t>S170036</t>
  </si>
  <si>
    <t>미니스톱 점포용 NT서버 추가공급(8차)</t>
  </si>
  <si>
    <t>도시바글로벌커머스솔루션즈코리아 유한회사</t>
  </si>
  <si>
    <t>S170035</t>
  </si>
  <si>
    <t>S170034</t>
  </si>
  <si>
    <t>S170033</t>
  </si>
  <si>
    <t>(주)대한항공 Tablet 장기할부판매(정비, 28대)</t>
  </si>
  <si>
    <t>S170032</t>
  </si>
  <si>
    <t>(주)대한항공 업무용 전산장비 장기할부판매(42대)</t>
  </si>
  <si>
    <t>S170031</t>
  </si>
  <si>
    <t>(주)대한항공 업무용 전산장비 장기할부판매(4대)</t>
  </si>
  <si>
    <t>S170030</t>
  </si>
  <si>
    <t>(주)대한항공 업무용 전산장비 장기할부판매(26대)</t>
  </si>
  <si>
    <t>S170029</t>
  </si>
  <si>
    <t>인하대병원 2016년 전산단말장비 3차 교체</t>
  </si>
  <si>
    <t>S170028</t>
  </si>
  <si>
    <t>[판매품의] 악성코드 차단전용 보안솔루션 납품</t>
  </si>
  <si>
    <t>다온기술</t>
  </si>
  <si>
    <t>S170027</t>
  </si>
  <si>
    <t>S170026</t>
  </si>
  <si>
    <t>S170025</t>
  </si>
  <si>
    <t>S170024</t>
  </si>
  <si>
    <t>(주)대한항공 업무용 전산장비 장기할부판매(5대)</t>
  </si>
  <si>
    <t>S170023</t>
  </si>
  <si>
    <t>(주)대한항공 업무용 전산장비 리스(28차 연장)(12개월)</t>
  </si>
  <si>
    <t>S170022</t>
  </si>
  <si>
    <t>(주)대한항공, 업무용 전산장비 리스(18차분 재연장) (12개월)</t>
  </si>
  <si>
    <t>S170021</t>
  </si>
  <si>
    <t>(주)칼호텔네트워크, 업무용 전산장비 리스(18차분 재연장) (12개월)</t>
  </si>
  <si>
    <t>S170020</t>
  </si>
  <si>
    <t>(주)대한항공 업무용 전산장비 장기할부판매(36대)</t>
  </si>
  <si>
    <t>S170019</t>
  </si>
  <si>
    <t>S170018</t>
  </si>
  <si>
    <t>(주)왕산레저개발 전산장비 판매(PC)</t>
  </si>
  <si>
    <t>S170017</t>
  </si>
  <si>
    <t>4세대 관세통관시스템(종합물류망) 유지보수</t>
  </si>
  <si>
    <t>S170016</t>
  </si>
  <si>
    <t>[판매품의서] 인하대병원 MS S/W 사용권(2017년)</t>
  </si>
  <si>
    <t>S170015</t>
  </si>
  <si>
    <t>[판매품의서] 인하대병원 EMR전자인증모듈 사용료 및 유지보수(2017년)</t>
  </si>
  <si>
    <t>S170014</t>
  </si>
  <si>
    <t>[판매품의서] 인하대병원 한글과컴퓨터 S/W 사용권(2017년)</t>
  </si>
  <si>
    <t>S170013</t>
  </si>
  <si>
    <t>[판매품의서] 인하대병원 컴퓨터바이러스백신 바이로봇 사용료(2017년)</t>
  </si>
  <si>
    <t>S170012</t>
  </si>
  <si>
    <t>인하대병원 의생명연구원홈페이지개선 S/W공급</t>
  </si>
  <si>
    <t>S170011</t>
  </si>
  <si>
    <t>S170010</t>
  </si>
  <si>
    <t>S170009</t>
  </si>
  <si>
    <t>대한항공 A320 SL 개발용 S/W 유지보수</t>
  </si>
  <si>
    <t>S170008</t>
  </si>
  <si>
    <t>대한항공 중형기 탐색개발사업용 S/W 유지보수</t>
  </si>
  <si>
    <t>S170007</t>
  </si>
  <si>
    <t>대한항공 여객 판매관리 시스템(SMILE) 검색엔진 추가 도입 계약</t>
  </si>
  <si>
    <t>S170006</t>
  </si>
  <si>
    <t>대한항공 A350 Cargo Door 개발용 S/W 유지보수_SAMCEF</t>
  </si>
  <si>
    <t>S170005</t>
  </si>
  <si>
    <t>대한항공 그룹웨어 공인인증서 판매</t>
  </si>
  <si>
    <t>S170004</t>
  </si>
  <si>
    <t>대한항공 연결재무제표 시스템 S/W 유지보수 계약</t>
  </si>
  <si>
    <t>S170003</t>
  </si>
  <si>
    <t>대한항공 항공우주사업본부 FLUENT 병렬서버용(중형기탐색) S/W 유지보수</t>
  </si>
  <si>
    <t>S170002</t>
  </si>
  <si>
    <t>포항성모병원, 재난거점병원 재난의료 장비/물품 공급</t>
  </si>
  <si>
    <t>S170001</t>
  </si>
  <si>
    <t>춘천성심병원, 재난거점병원 재난의료 장비/물품 공급(품목추가)</t>
  </si>
  <si>
    <t>춘천성심병원</t>
  </si>
  <si>
    <t>S160287</t>
  </si>
  <si>
    <t>(주)싸이버스카이 DBMS 유지보수 판매(갱신, 2017년)</t>
  </si>
  <si>
    <t>S160286</t>
  </si>
  <si>
    <t>그랜드하얏트인천호텔 서버 메모리 판매</t>
  </si>
  <si>
    <t>S160285</t>
  </si>
  <si>
    <t>대한항공 항공우주사업본부 개발용 클러스터서버 유지보수</t>
  </si>
  <si>
    <t>S160284</t>
  </si>
  <si>
    <t>춘천성심병원, 재난거점병원 재난의료 장비/물품 공급</t>
  </si>
  <si>
    <t>S160283</t>
  </si>
  <si>
    <t>S160282</t>
  </si>
  <si>
    <t>(주)칼호텔네트워크 서귀포KAL호텔 서버용 백신S/W판매(1년, 추가)</t>
  </si>
  <si>
    <t>S160281</t>
  </si>
  <si>
    <t>(주)칼호텔네트워크 제주KAL호텔 서버용 백신S/W판매(1년, 추가)</t>
  </si>
  <si>
    <t>S160280</t>
  </si>
  <si>
    <t>S160279</t>
  </si>
  <si>
    <t>(주)대한항공 업무용 전산장비 장기할부판매(69대)</t>
  </si>
  <si>
    <t>S160278</t>
  </si>
  <si>
    <t>S160277</t>
  </si>
  <si>
    <t>[판매품의서] 인하대병원 연구용 모니터 &amp;amp; 모니터 암 판매</t>
  </si>
  <si>
    <t>S160276</t>
  </si>
  <si>
    <t>HJIT(주) 무전기 납품</t>
  </si>
  <si>
    <t>S160275</t>
  </si>
  <si>
    <t>S-OIL 업무용 PC (7차분_48대)공급</t>
  </si>
  <si>
    <t>한국오릭스렌텍주식회사</t>
  </si>
  <si>
    <t>S160274</t>
  </si>
  <si>
    <t>(주)대한항공, 업무용 전산장비 리스(17차분 재연장) (12개월)</t>
  </si>
  <si>
    <t>S160273</t>
  </si>
  <si>
    <t>(주)대한항공 업무용 전산장비 리스(27차 연장)(12개월)</t>
  </si>
  <si>
    <t>S160272</t>
  </si>
  <si>
    <t>테미스, 재난거점병원(인하대병원) 현장응급의료소 재난의료 장비/물품 공급</t>
  </si>
  <si>
    <t>S160271</t>
  </si>
  <si>
    <t>(주)한진 웹서버보안인증서 갱신계약(3년)</t>
  </si>
  <si>
    <t>S160270</t>
  </si>
  <si>
    <t>[판매품의서] 인하대병원 SSL보안인증서갱신</t>
  </si>
  <si>
    <t>S160269</t>
  </si>
  <si>
    <t>[판매품의서] 인하대병원 인천금연지원센터 전산용품판매</t>
  </si>
  <si>
    <t>S160268</t>
  </si>
  <si>
    <t>S160267</t>
  </si>
  <si>
    <t>(주)왕산레저개발 MS-EAS 판매 건(1년차)</t>
  </si>
  <si>
    <t>S160266</t>
  </si>
  <si>
    <t>한국공항 화물터미널 수입통관화물 RFID 태그 (관세청 전송용) 판매 건</t>
  </si>
  <si>
    <t>박봉진</t>
  </si>
  <si>
    <t>S160265</t>
  </si>
  <si>
    <t>세일여행사 항공예약시스템 구축용 L4 장비 판매</t>
  </si>
  <si>
    <t>세일여행사</t>
  </si>
  <si>
    <t>S160264</t>
  </si>
  <si>
    <t>(주)항공종합서비스 전산장비판매(PC)</t>
  </si>
  <si>
    <t>S160263</t>
  </si>
  <si>
    <t>S160262</t>
  </si>
  <si>
    <t>[판매품의서] 인하대병원 영상의학과 판독모니터 노후장비 2대 교체</t>
  </si>
  <si>
    <t>S160261</t>
  </si>
  <si>
    <t>SK브로드밴드, 국가통신망 고도화 보안장비 공급</t>
  </si>
  <si>
    <t>S160260</t>
  </si>
  <si>
    <t>세일여행사 항공예약 구축용 HW SW 판매</t>
  </si>
  <si>
    <t>S160259</t>
  </si>
  <si>
    <t>[판매품의서] 인하대병원2016년도 신규 전산단말장비 판매</t>
  </si>
  <si>
    <t>S160258</t>
  </si>
  <si>
    <t>판매품의_하얏트인천 장애대비 예비용 무선AP 판매</t>
  </si>
  <si>
    <t>S160257</t>
  </si>
  <si>
    <t>[판매품의서] 인하대병원2016년 PACS영상Backup Disk 2차</t>
  </si>
  <si>
    <t>S160256</t>
  </si>
  <si>
    <t>(주)대한항공, 업무용 전산장비 리스(16차분 재연장) (12개월)</t>
  </si>
  <si>
    <t>S160255</t>
  </si>
  <si>
    <t>대한항공 상담도우미솔루션 라이센스(갱신) 계약 건</t>
  </si>
  <si>
    <t>S160254</t>
  </si>
  <si>
    <t>대한항공 A350 Door 개발용 CATIA ALC 판매 (갱신계약)</t>
  </si>
  <si>
    <t>S160253</t>
  </si>
  <si>
    <t>(주)칼호텔네트워크 제주KAL호텔 단말장비(복합기) 공급</t>
  </si>
  <si>
    <t>S160252</t>
  </si>
  <si>
    <t>S160251</t>
  </si>
  <si>
    <t>토파스 개발용 UI Tool 판매</t>
  </si>
  <si>
    <t>S160250</t>
  </si>
  <si>
    <t>[판매품의서] 제이에스메드 심근효소측정장비인터페이스용PC1대</t>
  </si>
  <si>
    <t>제이에스메드</t>
  </si>
  <si>
    <t>S160249</t>
  </si>
  <si>
    <t>S160248</t>
  </si>
  <si>
    <t>대한항공 헬기운영시스템(ATOMS) SW판매</t>
  </si>
  <si>
    <t>S160247</t>
  </si>
  <si>
    <t>S160246</t>
  </si>
  <si>
    <t>S160245</t>
  </si>
  <si>
    <t>S160244</t>
  </si>
  <si>
    <t>S160243</t>
  </si>
  <si>
    <t>S160242</t>
  </si>
  <si>
    <t>S160241</t>
  </si>
  <si>
    <t>(주)대한항공 업무용 전산장비 리스(26차 연장)(12개월)</t>
  </si>
  <si>
    <t>S160240</t>
  </si>
  <si>
    <t>(주)엘지스포츠 업무용 전산장비 리스(2016년 10월 시작분)</t>
  </si>
  <si>
    <t>S160239</t>
  </si>
  <si>
    <t>(변경품의)테미스, 재난거점병원(영남대병원) 현장응급의료소 재난의료 장비/물품 공급</t>
  </si>
  <si>
    <t>S160238</t>
  </si>
  <si>
    <t>[판매품의서] 인하대병원 노후단말기 2차교체용 데스크탑 60대</t>
  </si>
  <si>
    <t>S160237</t>
  </si>
  <si>
    <t>대한항공 MUAV-00 개발 사업용 S/W 유지보수</t>
  </si>
  <si>
    <t>S160236</t>
  </si>
  <si>
    <t>대한항공 P-3C 성능개량 사업용 S/W 유지보수</t>
  </si>
  <si>
    <t>S160235</t>
  </si>
  <si>
    <t>대한항공 A320 SL 개발용 S/W 유지보수 (갱신 계약)</t>
  </si>
  <si>
    <t>S160234</t>
  </si>
  <si>
    <t>S-OIL 업무용 PC (6차분_34대)공급</t>
  </si>
  <si>
    <t>S160233</t>
  </si>
  <si>
    <t>테미스, 재난거점병원(영남대병원) 현장응급의료소 재난의료 장비/물품 공급</t>
  </si>
  <si>
    <t>S160232</t>
  </si>
  <si>
    <t>(주)한진 DRM 64bit용 라이센스 납품</t>
  </si>
  <si>
    <t>S160231</t>
  </si>
  <si>
    <t>판매품의_메가박스, 위성 통합수신디코더(IRD) 구매설치사업</t>
  </si>
  <si>
    <t>문지훈</t>
  </si>
  <si>
    <t>주식회사 천조글로벌</t>
  </si>
  <si>
    <t>S160230</t>
  </si>
  <si>
    <t>S160229</t>
  </si>
  <si>
    <t>(주)대한항공 업무용 전산장비 장기할부판매(21 SET)</t>
  </si>
  <si>
    <t>S160228</t>
  </si>
  <si>
    <t>한국공항 화물터미널 수입통관화물 RFID 태그 (관세청 전송용) 판매 건 (긴급요청)</t>
  </si>
  <si>
    <t>S160227</t>
  </si>
  <si>
    <t>대한항공 사단무인기 양산사업 비행체 및 지상체 지원 공구/소모품류 판매</t>
  </si>
  <si>
    <t>S160226</t>
  </si>
  <si>
    <t>대한항공 여객 판매관리 시스템(SMILE) Upgrade 판매</t>
  </si>
  <si>
    <t>S160225</t>
  </si>
  <si>
    <t>프로젝트 기능 개선 테스트 No2</t>
  </si>
  <si>
    <t>S160224</t>
  </si>
  <si>
    <t>S160223</t>
  </si>
  <si>
    <t>평창동계올림픽 삼성전자 무선AP 판매 (3차)</t>
  </si>
  <si>
    <t>공항플랫폼그룹</t>
  </si>
  <si>
    <t>AJ네트웍스</t>
  </si>
  <si>
    <t>S160222</t>
  </si>
  <si>
    <t>S160221</t>
  </si>
  <si>
    <t>S160220</t>
  </si>
  <si>
    <t>S160219</t>
  </si>
  <si>
    <t>인하대병원 콜센터용 전산단말장비 판매</t>
  </si>
  <si>
    <t>S160218</t>
  </si>
  <si>
    <t>S160217</t>
  </si>
  <si>
    <t>(주)진에어 운송서비스 업무용 전산장비 판매(김포)</t>
  </si>
  <si>
    <t>S160216</t>
  </si>
  <si>
    <t>대한항공 수출사업 SHIM 설계용 S/W 유지보수</t>
  </si>
  <si>
    <t>S160215</t>
  </si>
  <si>
    <t>대한항공 내부회계통제 시스템 유지보수</t>
  </si>
  <si>
    <t>S160214</t>
  </si>
  <si>
    <t>S160213</t>
  </si>
  <si>
    <t>(주)한진 저사양 및 노후PC 교체(293대)</t>
  </si>
  <si>
    <t>S160212</t>
  </si>
  <si>
    <t>한진해운신항만(HJNC) 저사양/노후 PC 교체 공급</t>
  </si>
  <si>
    <t>S160211</t>
  </si>
  <si>
    <t>(주)칼호텔네트워크 제주KAL호텔 서버용 백신S/W판매(1년, 갱신)</t>
  </si>
  <si>
    <t>S160210</t>
  </si>
  <si>
    <t>(주)칼호텔네트워크 서귀포KAL호텔 서버용 백신S/W판매(1년, 갱신)</t>
  </si>
  <si>
    <t>S160209</t>
  </si>
  <si>
    <t>S160208</t>
  </si>
  <si>
    <t>김포공항(국내선),대구,청주공항 공용여객처리시스템 장비 납품 및 설치</t>
  </si>
  <si>
    <t>S160207</t>
  </si>
  <si>
    <t>[판매품의서] 인하대병원 의료행위용어세트 연구용PC2대</t>
  </si>
  <si>
    <t>S160206</t>
  </si>
  <si>
    <t>[판매품의서] 인하대병원 전공의용 전산장비 17대</t>
  </si>
  <si>
    <t>S160205</t>
  </si>
  <si>
    <t>(주)칼호텔네트워크, 업무용 전산장비 리스(15차분 재연장) (12개월)</t>
  </si>
  <si>
    <t>S160204</t>
  </si>
  <si>
    <t>(주)대한항공, 업무용 전산장비 리스(15차분 재연장) (12개월)</t>
  </si>
  <si>
    <t>S160203</t>
  </si>
  <si>
    <t>(주)대한항공 업무용 전산장비 리스(25차 연장)(12개월)</t>
  </si>
  <si>
    <t>S160202</t>
  </si>
  <si>
    <t>한국공항 화물터미널 수입통관화물 RFID 태그 (관세청 전송용) 판매 건 (9월)</t>
  </si>
  <si>
    <t>S160201</t>
  </si>
  <si>
    <t>진에어 기판 PDA 공급</t>
  </si>
  <si>
    <t>S160200</t>
  </si>
  <si>
    <t>대한항공 중고도무인기사업용 전산장비(2차 도입분) S/W 유지보수</t>
  </si>
  <si>
    <t>S160199</t>
  </si>
  <si>
    <t>(주)대한항공 업무용 전산장비 장기할부판매(15대)</t>
  </si>
  <si>
    <t>S160198</t>
  </si>
  <si>
    <t>대한항공 지경부 샤크렛 과제용 S/W 유지보수</t>
  </si>
  <si>
    <t>S160197</t>
  </si>
  <si>
    <t>대한항공 A320 SL 개발용 CATIA S/W ALC 판매 (갱신계약)</t>
  </si>
  <si>
    <t>S160196</t>
  </si>
  <si>
    <t>S160195</t>
  </si>
  <si>
    <t>인하대병원 의료장비용 데스크탑 1대 판매</t>
  </si>
  <si>
    <t>S160194</t>
  </si>
  <si>
    <t>[판매품의서] 인하대병원 건강증진센터 노후장비교체용 판독스테이션 판매</t>
  </si>
  <si>
    <t>S160193</t>
  </si>
  <si>
    <t>[판매품의서] 인하대병원 홈페이지용SSL보안인증서갱신</t>
  </si>
  <si>
    <t>S160191</t>
  </si>
  <si>
    <t>S160190</t>
  </si>
  <si>
    <t>(주)진에어 운송서비스 업무용 전산장비 판매(제주)</t>
  </si>
  <si>
    <t>S160189</t>
  </si>
  <si>
    <t>S160188</t>
  </si>
  <si>
    <t>S-OIL 업무용 PC (5차분_41대)공급</t>
  </si>
  <si>
    <t>S160187</t>
  </si>
  <si>
    <t>(주)한진 업무용S/W 판매(어도비, 갱신)</t>
  </si>
  <si>
    <t>S160186</t>
  </si>
  <si>
    <t>(주)대한항공 업무용 전산장비 리스(24차 연장)(12개월)</t>
  </si>
  <si>
    <t>S160185</t>
  </si>
  <si>
    <t>대한항공 A350 Cargo Door 개발용 S/W 유지보수</t>
  </si>
  <si>
    <t>S160184</t>
  </si>
  <si>
    <t>S160183</t>
  </si>
  <si>
    <t>대한항공 사단무인기 개발 및 사업관리용 H/W 유지보수 (갱신계약)</t>
  </si>
  <si>
    <t>S160182</t>
  </si>
  <si>
    <t>대한항공 중고도무인기 체계개발사업 고장이력관장비 판매</t>
  </si>
  <si>
    <t>S160181</t>
  </si>
  <si>
    <t>(주)한진 전산장비 판매(탭북)</t>
  </si>
  <si>
    <t>S160180</t>
  </si>
  <si>
    <t>S160179</t>
  </si>
  <si>
    <t>(주)엘지스포츠 업무용 전산장비 리스(2016년 7월 시작분)</t>
  </si>
  <si>
    <t>S160178</t>
  </si>
  <si>
    <t>(주)대한항공 업무용 전산장비 리스(23차 연장)(12개월)</t>
  </si>
  <si>
    <t>S160177</t>
  </si>
  <si>
    <t>S160176</t>
  </si>
  <si>
    <t>(주)칼호텔네트워크, 업무용 전산장비 리스(14차분 재연장) (12개월)</t>
  </si>
  <si>
    <t>S160175</t>
  </si>
  <si>
    <t>(주)대한항공, 업무용 전산장비 리스(14차분 재연장) (12개월)</t>
  </si>
  <si>
    <t>S160174</t>
  </si>
  <si>
    <t>평창동계올림픽 삼성전자 무선AP 판매 (2차)</t>
  </si>
  <si>
    <t>평창동계올림픽조직위원회</t>
  </si>
  <si>
    <t>S160173</t>
  </si>
  <si>
    <t>인하대병원 응급중환자실용 전산장비</t>
  </si>
  <si>
    <t>S160172</t>
  </si>
  <si>
    <t>오상자이엘 PLM 데이터 저장 및 관리용 H/W 장비 판매 건</t>
  </si>
  <si>
    <t>오상자이엘(주)</t>
  </si>
  <si>
    <t>S160171</t>
  </si>
  <si>
    <t>HJIT(주) 무전기 및 PDA 판매</t>
  </si>
  <si>
    <t>S160168</t>
  </si>
  <si>
    <t>S160167</t>
  </si>
  <si>
    <t>S160166</t>
  </si>
  <si>
    <t>S160165</t>
  </si>
  <si>
    <t>S160164</t>
  </si>
  <si>
    <t>(주)대한항공 업무용 전산장비 장기할부판매(14대)</t>
  </si>
  <si>
    <t>S160163</t>
  </si>
  <si>
    <t>S160162</t>
  </si>
  <si>
    <t>S160161</t>
  </si>
  <si>
    <t>한진 DB접근제어솔루션 공급 추가</t>
  </si>
  <si>
    <t>S160160</t>
  </si>
  <si>
    <t>대한항공 사단정찰용 무인기 초도 양산사업 지원시스템 판매</t>
  </si>
  <si>
    <t>S160159</t>
  </si>
  <si>
    <t>2016년 대한항공外 16개사 MS-EAS 갱신계약(1년차)</t>
  </si>
  <si>
    <t>S160158</t>
  </si>
  <si>
    <t>S160157</t>
  </si>
  <si>
    <t>S160156</t>
  </si>
  <si>
    <t>전문건설공제조합 그룹웨어용 스토리지 장비 판매</t>
  </si>
  <si>
    <t>에스엔에이글로벌</t>
  </si>
  <si>
    <t>S160155</t>
  </si>
  <si>
    <t>한진인천컨테이너(주) 전산장비 판매(PC)</t>
  </si>
  <si>
    <t>S160154</t>
  </si>
  <si>
    <t>대한항공 FORCS 리포팅 툴 HTML5 Viewer SW 판매</t>
  </si>
  <si>
    <t>S160153</t>
  </si>
  <si>
    <t>한국공항 화물터미널 수입통관화물 RFID 태그(관세청 전송용) 판매(7월)</t>
  </si>
  <si>
    <t>S160152</t>
  </si>
  <si>
    <t>대한항공 중고도무인기 체계개발사업 관련 S/W 유지보수</t>
  </si>
  <si>
    <t>S160151</t>
  </si>
  <si>
    <t>[판매품의서] 인하대병원2016년 PACS영상Backup Disk 1차</t>
  </si>
  <si>
    <t>S160150</t>
  </si>
  <si>
    <t>[변경품의] 대한항공 유인헬기 무인화 비행제어시스템 개발과제 신규 유지보수</t>
  </si>
  <si>
    <t>S160149</t>
  </si>
  <si>
    <t>[판매품의서] 인하대병원 통신보안관제용모니터 2대</t>
  </si>
  <si>
    <t>S160148</t>
  </si>
  <si>
    <t>S160147</t>
  </si>
  <si>
    <t>S160146</t>
  </si>
  <si>
    <t>S160145</t>
  </si>
  <si>
    <t>(주)대한항공 Tablet 장기할부판매(정비, 35대)</t>
  </si>
  <si>
    <t>S160144</t>
  </si>
  <si>
    <t>대한항공 사단무인기 개발 및 사업관리용 S/W 유지보수 (갱신계약)</t>
  </si>
  <si>
    <t>S160143</t>
  </si>
  <si>
    <t>S160142</t>
  </si>
  <si>
    <t>S160141</t>
  </si>
  <si>
    <t>(주)대한항공 업무용 전산장비 리스(22차 연장)(12개월)</t>
  </si>
  <si>
    <t>S160140</t>
  </si>
  <si>
    <t>(주)항공종합서비스, 업무용 전산장비 리스(13차분 재연장) (12개월)</t>
  </si>
  <si>
    <t>S160139</t>
  </si>
  <si>
    <t>S160138</t>
  </si>
  <si>
    <t>(주)한진 웹서버보안인증서 판매(2년)</t>
  </si>
  <si>
    <t>S160137</t>
  </si>
  <si>
    <t>(주)칼호텔네트워크, 업무용 전산장비 리스(13차분 재연장) (12개월)</t>
  </si>
  <si>
    <t>S160136</t>
  </si>
  <si>
    <t>(주)대한항공, 업무용 전산장비 리스(13차분 재연장) (12개월)</t>
  </si>
  <si>
    <t>S160135</t>
  </si>
  <si>
    <t>S160134</t>
  </si>
  <si>
    <t>[판매품의서] 인하대병원 외래채혈실 바코드프린터3대</t>
  </si>
  <si>
    <t>S160133</t>
  </si>
  <si>
    <t>[판매품의서] 인하대병원 연구용 PC 2대</t>
  </si>
  <si>
    <t>S160132</t>
  </si>
  <si>
    <t>(주)진에어 운송 서비스용 전산장비 판매(프린터 외)</t>
  </si>
  <si>
    <t>S160131</t>
  </si>
  <si>
    <t>대한항공 유인헬기 무인화 비행제어시스템 개발과제 신규 유지보수 (SS160150로 변경)</t>
  </si>
  <si>
    <t>S160130</t>
  </si>
  <si>
    <t>S160129</t>
  </si>
  <si>
    <t>판매(변경)품의_인하대병원 권역응급의료센터 네트워크장비 구축</t>
  </si>
  <si>
    <t>S160128</t>
  </si>
  <si>
    <t>S160127</t>
  </si>
  <si>
    <t>부산 테크센터 외곽 CCTV 시스템 노후설비 보완공사</t>
  </si>
  <si>
    <t>S160126</t>
  </si>
  <si>
    <t>파인앤애플시스템즈</t>
  </si>
  <si>
    <t>S160125</t>
  </si>
  <si>
    <t>판매(품의)_한국경제TV&amp;amp;해피독 라우드니스 방송시스템 구축</t>
  </si>
  <si>
    <t>한국경제티브이</t>
  </si>
  <si>
    <t>S160124</t>
  </si>
  <si>
    <t>(주)대한항공 업무용 전산장비 장기할부판매(11대)</t>
  </si>
  <si>
    <t>S160123</t>
  </si>
  <si>
    <t>S160122</t>
  </si>
  <si>
    <t>S160121</t>
  </si>
  <si>
    <t>S160120</t>
  </si>
  <si>
    <t>S160119</t>
  </si>
  <si>
    <t>제이티비그룹 IT인프라 공급</t>
  </si>
  <si>
    <t>S160118</t>
  </si>
  <si>
    <t>S160117</t>
  </si>
  <si>
    <t>S160116</t>
  </si>
  <si>
    <t>판매품의_항공대, GRRC사업 연구센터 구축용 N/W장비 공급</t>
  </si>
  <si>
    <t>S160115</t>
  </si>
  <si>
    <t>[판매품의서] 인하대병원 노후단말기교체용 데스크탑 60대</t>
  </si>
  <si>
    <t>S160114</t>
  </si>
  <si>
    <t>[판매품의서] 인하대병원 연구용 PC 1대</t>
  </si>
  <si>
    <t>S160113</t>
  </si>
  <si>
    <t>S160112</t>
  </si>
  <si>
    <t>S160111</t>
  </si>
  <si>
    <t>[판매품의서] 인하대병원 열화상카메라용 데스크탑 1대</t>
  </si>
  <si>
    <t>S160110</t>
  </si>
  <si>
    <t>[판매품의서] 인하대병원 노후모니터교체 20대</t>
  </si>
  <si>
    <t>S160109</t>
  </si>
  <si>
    <t>(주)엘지스포츠 업무용 전산장비 리스(2016년 5월 시작분)</t>
  </si>
  <si>
    <t>S160108</t>
  </si>
  <si>
    <t>S160107</t>
  </si>
  <si>
    <t>S160106</t>
  </si>
  <si>
    <t>(주)대한항공 업무용 전산장비 리스(21차 연장)(12개월)</t>
  </si>
  <si>
    <t>S160105</t>
  </si>
  <si>
    <t>S-OIL 업무용 PC (4차분_20대)공급</t>
  </si>
  <si>
    <t>S160104</t>
  </si>
  <si>
    <t>S160103</t>
  </si>
  <si>
    <t>[판매품의서] 인하대병원 포괄간호병동용PC18대</t>
  </si>
  <si>
    <t>S160102</t>
  </si>
  <si>
    <t>대한항공 화물터미널 수입통관화물 RFID 태그(관세청 전송용) 판매건(추가)</t>
  </si>
  <si>
    <t>S160101</t>
  </si>
  <si>
    <t>S160100</t>
  </si>
  <si>
    <t>(주)진에어 운송 서비스용 단말장비 판매</t>
  </si>
  <si>
    <t>S160099</t>
  </si>
  <si>
    <t>S160098</t>
  </si>
  <si>
    <t>S160097</t>
  </si>
  <si>
    <t>S160096</t>
  </si>
  <si>
    <t>판매품의_인하대병원 권역응급의료센터 네트워크장비 구축</t>
  </si>
  <si>
    <t>S160095</t>
  </si>
  <si>
    <t>대한항공 KHP(한국형헬기) 사업용 S/W 유지보수</t>
  </si>
  <si>
    <t>S160094</t>
  </si>
  <si>
    <t>S160093</t>
  </si>
  <si>
    <t>S160092</t>
  </si>
  <si>
    <t>판매품의_진에어_인천 정비 사무소 IP-Phone 판매</t>
  </si>
  <si>
    <t>S160091</t>
  </si>
  <si>
    <t>S160090</t>
  </si>
  <si>
    <t>대한항공 국내/해외 전산장비(PC) 장기 할부판매(8대)</t>
  </si>
  <si>
    <t>S160089</t>
  </si>
  <si>
    <t>판매품의_진에어_김포공항 정비사무소 IP-Phone 판매</t>
  </si>
  <si>
    <t>S160088</t>
  </si>
  <si>
    <t>(주)엘지스포츠 업무용 전산장비 리스(1연장)</t>
  </si>
  <si>
    <t>S160087</t>
  </si>
  <si>
    <t>(주)항공종합서비스, 업무용 전산장비 리스(12차분 재연장) (12개월)</t>
  </si>
  <si>
    <t>S160086</t>
  </si>
  <si>
    <t>(주)칼호텔네트워크, 업무용 전산장비 리스(15차분 연장) (12개월)</t>
  </si>
  <si>
    <t>S160085</t>
  </si>
  <si>
    <t>(주)대한항공, 업무용 전산장비 리스(3차분 재연장) (4개월)</t>
  </si>
  <si>
    <t>S160084</t>
  </si>
  <si>
    <t>대한항공 중고도무인기사업용 전산장비(1차 도입) 유지보수</t>
  </si>
  <si>
    <t>S160083</t>
  </si>
  <si>
    <t>S160082</t>
  </si>
  <si>
    <t>(주)대한항공 업무용 전산장비 리스(20차 연장)(12개월)</t>
  </si>
  <si>
    <t>S160081</t>
  </si>
  <si>
    <t>(주)진에어 전산(통신)장비 판매(키폰 20대)</t>
  </si>
  <si>
    <t>S160080</t>
  </si>
  <si>
    <t>(주)대한항공, 업무용 전산장비 리스(12차분 재연장) (12개월)</t>
  </si>
  <si>
    <t>S160079</t>
  </si>
  <si>
    <t>(주)칼호텔네트워크, 업무용 전산장비 리스(12차분 재연장) (12개월)</t>
  </si>
  <si>
    <t>S160078</t>
  </si>
  <si>
    <t>S160077</t>
  </si>
  <si>
    <t>S160076</t>
  </si>
  <si>
    <t>S160075</t>
  </si>
  <si>
    <t>대한항공 701 신호정보기 사업용 S/W 유지보수</t>
  </si>
  <si>
    <t>S160074</t>
  </si>
  <si>
    <t>판매품의_부산기내식사업소 CCTV교체 및 추가설치</t>
  </si>
  <si>
    <t>S160073</t>
  </si>
  <si>
    <t>항공종합서비스 KAL리무진 전산장비 판매(PC)</t>
  </si>
  <si>
    <t>S160072</t>
  </si>
  <si>
    <t>인하국제의료센터 컴퓨터바이러스백신 바이로봇 사용료(2016년)</t>
  </si>
  <si>
    <t>S160071</t>
  </si>
  <si>
    <t>판매품의_그랜드하얏트인천(H1) 연회장 무선랜추가 구축</t>
  </si>
  <si>
    <t>S160070</t>
  </si>
  <si>
    <t>판매품의_진에어_김해공항 브리핑실 IP-Phone 판매</t>
  </si>
  <si>
    <t>S160069</t>
  </si>
  <si>
    <t>아이에이티(주) 전산장비 판매</t>
  </si>
  <si>
    <t>S160068</t>
  </si>
  <si>
    <t>한한국공항 화물터미널 수입통관화물 RFID 태그(관세청 전송용) 판매(3월)</t>
  </si>
  <si>
    <t>S160067</t>
  </si>
  <si>
    <t>한진 자료반출관리솔루션 판매</t>
  </si>
  <si>
    <t>S160066</t>
  </si>
  <si>
    <t>S160065</t>
  </si>
  <si>
    <t>(주)엘지스포츠 업무용 전산장비 리스(2016년 3월 시작분)</t>
  </si>
  <si>
    <t>S160064</t>
  </si>
  <si>
    <t>S160063</t>
  </si>
  <si>
    <t>S160062</t>
  </si>
  <si>
    <t>S160061</t>
  </si>
  <si>
    <t>S160060</t>
  </si>
  <si>
    <t>S160059</t>
  </si>
  <si>
    <t>(주)대한항공 항공기탑재 전산장비 판매</t>
  </si>
  <si>
    <t>S160058</t>
  </si>
  <si>
    <t>한진인천컨테이너터미널(주) 전산장비 판매(PC 5SET)</t>
  </si>
  <si>
    <t>S160057</t>
  </si>
  <si>
    <t>한진인천컨테이너터미널(주) 전산장비 판매(운영, PC 3SET)</t>
  </si>
  <si>
    <t>S160056</t>
  </si>
  <si>
    <t>한진인천컨테이너터미널(주) 전산장비 판매(정비, PC 3SET)</t>
  </si>
  <si>
    <t>S160055</t>
  </si>
  <si>
    <t>대한항공_대전항공기술연구원 출입통제시스템 장비 납품/설치</t>
  </si>
  <si>
    <t>S160054</t>
  </si>
  <si>
    <t>S160053</t>
  </si>
  <si>
    <t>S160052</t>
  </si>
  <si>
    <t>S160051</t>
  </si>
  <si>
    <t>(주)대한항공, 업무용 전산장비 리스(18차분 연장) (12개월)</t>
  </si>
  <si>
    <t>S160050</t>
  </si>
  <si>
    <t>평창동계올림픽 삼성전자 무선AP 판매</t>
  </si>
  <si>
    <t>평창동계올림픽유치위원회</t>
  </si>
  <si>
    <t>S160049</t>
  </si>
  <si>
    <t>(주)대한항공 업무용 전산장비 판매(노트북 1대)</t>
  </si>
  <si>
    <t>S160048</t>
  </si>
  <si>
    <t>(주)칼호텔네트워크, 업무용 전산장비 리스(18차분 연장) (12개월)</t>
  </si>
  <si>
    <t>S160047</t>
  </si>
  <si>
    <t>(주)엘지스포츠 업무용 전산장비 리스(2016년 2월 시작분)</t>
  </si>
  <si>
    <t>S160046</t>
  </si>
  <si>
    <t>(주)대한항공, 업무용 전산장비 리스(11차분 재연장, 1년)</t>
  </si>
  <si>
    <t>S160045</t>
  </si>
  <si>
    <t>(주)대한항공, 업무용 전산장비 리스(19차분 연장) (12개월)</t>
  </si>
  <si>
    <t>S160044</t>
  </si>
  <si>
    <t>S160043</t>
  </si>
  <si>
    <t>(주)진에어 전산(통신)장비 판매(키폰 5대)</t>
  </si>
  <si>
    <t>S160042</t>
  </si>
  <si>
    <t>[판매품의] 한국관광대학교 워크스테이션 공급</t>
  </si>
  <si>
    <t>한국관광대학교</t>
  </si>
  <si>
    <t>S160041</t>
  </si>
  <si>
    <t>[판매품의] 한국관광대학교 전산지원시스템 공급</t>
  </si>
  <si>
    <t>S160040</t>
  </si>
  <si>
    <t>대한항공, 정비결함분석 인지컴퓨팅(Watson) 솔루션 공급</t>
  </si>
  <si>
    <t>S160039</t>
  </si>
  <si>
    <t>[긴급]판매품의_항공대 생활관 증축 네트워크 스위치 장비구축</t>
  </si>
  <si>
    <t>S160038</t>
  </si>
  <si>
    <t>S160037</t>
  </si>
  <si>
    <t>(주)한진 전산장비 판매(PC 3SET, 노트북 1대)</t>
  </si>
  <si>
    <t>S160036</t>
  </si>
  <si>
    <t>S160035</t>
  </si>
  <si>
    <t>미니스톱 점포용 NT서버 추가공급(7차)</t>
  </si>
  <si>
    <t>도시바테크코리아주식회사</t>
  </si>
  <si>
    <t>S160034</t>
  </si>
  <si>
    <t>판매품의_인하대병원 정석B 중개연구센터 L2스위치 판매</t>
  </si>
  <si>
    <t>S160033</t>
  </si>
  <si>
    <t>대한항공 국내/해외 전산장비(PC) 장기 할부판매(41대)</t>
  </si>
  <si>
    <t>S160032</t>
  </si>
  <si>
    <t>판매품의_PNK파워시스_항공대 생활관 증축공사 중 통신장비 납품/설치</t>
  </si>
  <si>
    <t>주식회사 피앤케이파워시스</t>
  </si>
  <si>
    <t>S160031</t>
  </si>
  <si>
    <t>S-OIL 업무용 PC (3차분_229대)공급</t>
  </si>
  <si>
    <t>S160030</t>
  </si>
  <si>
    <t>(주)한진 전산장비 판매(PC 33SET)</t>
  </si>
  <si>
    <t>S160029</t>
  </si>
  <si>
    <t>S160028</t>
  </si>
  <si>
    <t>S160027</t>
  </si>
  <si>
    <t>대한항공 화물터미널 수입통관화물 RFID 태그(관세청 전송용) 판매건 (추가)</t>
  </si>
  <si>
    <t>S160026</t>
  </si>
  <si>
    <t>(주)한진 업무용S/W 판매(어도비, 오토캐드)</t>
  </si>
  <si>
    <t>S160025</t>
  </si>
  <si>
    <t>인하대병원 한글과컴퓨터 S/W사용권계약(2016년)</t>
  </si>
  <si>
    <t>S160024</t>
  </si>
  <si>
    <t>(주)한진 전산장비 판매(PC 3SET, 노트북 2대)</t>
  </si>
  <si>
    <t>S160023</t>
  </si>
  <si>
    <t>인하대병원 MS S/W 사용권 계약(2016년)</t>
  </si>
  <si>
    <t>S160022</t>
  </si>
  <si>
    <t>(주)엘지스포츠 업무용 전산장비 리스(2016년 1월 시작분, 2대)</t>
  </si>
  <si>
    <t>S160021</t>
  </si>
  <si>
    <t>S160020</t>
  </si>
  <si>
    <t>S160019</t>
  </si>
  <si>
    <t>한진 전산장비(PC 5SET, 탭북 1대) 판매</t>
  </si>
  <si>
    <t>S160018</t>
  </si>
  <si>
    <t>S160017</t>
  </si>
  <si>
    <t>[판매품의] S/W 라이선스 판매(시스템접근제어, 망연계솔루션)</t>
  </si>
  <si>
    <t>조영신</t>
  </si>
  <si>
    <t>대성산업정보시스템사업부</t>
  </si>
  <si>
    <t>S160016</t>
  </si>
  <si>
    <t>진에어 호놀룰루 지점 카운터 운송서비스용 장비 판매(추가)</t>
  </si>
  <si>
    <t>S160015</t>
  </si>
  <si>
    <t>대한항공 중고도무인기 체계개발사업 및 중형기 탐색개발사업 관련 S/W 유지보수</t>
  </si>
  <si>
    <t>S160014</t>
  </si>
  <si>
    <t>S160013</t>
  </si>
  <si>
    <t>대한항공 전산장비PC 판매(워크스테이션PC 1ea)</t>
  </si>
  <si>
    <t>S160012</t>
  </si>
  <si>
    <t>S-OIL 업무용 PC (2차분_835대)공급</t>
  </si>
  <si>
    <t>S160011</t>
  </si>
  <si>
    <t>한진 전산장비(PC 3SET) 판매</t>
  </si>
  <si>
    <t>S160010</t>
  </si>
  <si>
    <t>대한항공 전산장비(모니터) 장기 할부판매(디자인업무용1대)</t>
  </si>
  <si>
    <t>S160009</t>
  </si>
  <si>
    <t>S160008</t>
  </si>
  <si>
    <t>[판매품의]대한항공 중형기 탐색개발 전산장비(S/W) 유지보수</t>
  </si>
  <si>
    <t>S160007</t>
  </si>
  <si>
    <t>S160006</t>
  </si>
  <si>
    <t>한국공항 화물터미널 수입통관화물 RFID 태그 (관세청 전송용) 판매 건 (3차)</t>
  </si>
  <si>
    <t>S160005</t>
  </si>
  <si>
    <t>운북지구 운항훈련센터 신축공사 통신장비 납품/설치</t>
  </si>
  <si>
    <t>대림산업</t>
  </si>
  <si>
    <t>S160004</t>
  </si>
  <si>
    <t>S160003</t>
  </si>
  <si>
    <t>인하대병원 EMR전자인증모듈 사용료 및 유지보수(2016년)</t>
  </si>
  <si>
    <t>S160002</t>
  </si>
  <si>
    <t>인하대병원 컴퓨터바이러스백신 바이로봇 사용료(2016년)</t>
  </si>
  <si>
    <t>S160001</t>
  </si>
  <si>
    <t>(주)싸이버스카이 DBMS 유지보수 판매(갱신, 2016년)</t>
  </si>
  <si>
    <t>S150338</t>
  </si>
  <si>
    <t>한진 전산장비(PC 6SET) 판매</t>
  </si>
  <si>
    <t>S150337</t>
  </si>
  <si>
    <t>(주)대한항공 업무용(항공기탑재용)PC 판매 건</t>
  </si>
  <si>
    <t>S150336</t>
  </si>
  <si>
    <t>인하대병원 금연지원센터업무용PC2대</t>
  </si>
  <si>
    <t>S150335</t>
  </si>
  <si>
    <t>한진 전산장비(PC 4SET) 판매</t>
  </si>
  <si>
    <t>S150334</t>
  </si>
  <si>
    <t>인하대병원 노후단말기 3차교체용데스크탑54대</t>
  </si>
  <si>
    <t>S150333</t>
  </si>
  <si>
    <t>인하대병원응급의료센터홈페이지개선</t>
  </si>
  <si>
    <t>S150332</t>
  </si>
  <si>
    <t>[판매품의] 한국아이비엠 서버용 시만텍 백신 S/W 라이선스 판매</t>
  </si>
  <si>
    <t>S150331</t>
  </si>
  <si>
    <t>대한항공 인천 정비기지 CCTV교체장비 납품 및 설치</t>
  </si>
  <si>
    <t>S150330</t>
  </si>
  <si>
    <t>진에어 호놀룰루 지점 카운터 운송서비스용 장비 판매</t>
  </si>
  <si>
    <t>S150329</t>
  </si>
  <si>
    <t>(Urgent) S-OIL 업무용 PC (동경지사 업무용_4대) 긴급 공급</t>
  </si>
  <si>
    <t>에쓰오일(S-OIL)</t>
  </si>
  <si>
    <t>S150328</t>
  </si>
  <si>
    <t>(주)한진 전산장비 판매(PC 1SET, 모니터 2EA)</t>
  </si>
  <si>
    <t>S150327</t>
  </si>
  <si>
    <t>대한항공 차기 군 위성통신 체계개발사업 전산장비 판매 및 구축</t>
  </si>
  <si>
    <t>S150326</t>
  </si>
  <si>
    <t>S150325</t>
  </si>
  <si>
    <t>대한항공 유지보수용 SW 판매 (갱신)</t>
  </si>
  <si>
    <t>S150324</t>
  </si>
  <si>
    <t>(주)대한항공, 업무용 전산장비 리스(17차분 연장) (12개월)</t>
  </si>
  <si>
    <t>S150323</t>
  </si>
  <si>
    <t>(주)대한항공, 업무용 전산장비 리스(10차분 재연장, 1년)</t>
  </si>
  <si>
    <t>S150322</t>
  </si>
  <si>
    <t>S150321</t>
  </si>
  <si>
    <t>S150320</t>
  </si>
  <si>
    <t>한진 전산장비(노트북, 태블릿)판매</t>
  </si>
  <si>
    <t>S150319</t>
  </si>
  <si>
    <t>인하대병원 마약류통합관리용RFID리더기2대판매</t>
  </si>
  <si>
    <t>S150318</t>
  </si>
  <si>
    <t>S150317</t>
  </si>
  <si>
    <t>S150316</t>
  </si>
  <si>
    <t>인하대병원 SSL보안인증서 갱신</t>
  </si>
  <si>
    <t>S150315</t>
  </si>
  <si>
    <t>대한항공 항공우주사업본부 설계, 해석용 Workstation 업그레이드 부품 판매</t>
  </si>
  <si>
    <t>S150314</t>
  </si>
  <si>
    <t>S150313</t>
  </si>
  <si>
    <t>[변경품의] 인하대병원마약류통합관리용전산장비납품</t>
  </si>
  <si>
    <t>S150312</t>
  </si>
  <si>
    <t>(주)한진 영상 편집S/W 판매</t>
  </si>
  <si>
    <t>S150311</t>
  </si>
  <si>
    <t>대한항공 채팅상담시스템(추가) 판매</t>
  </si>
  <si>
    <t>S150310</t>
  </si>
  <si>
    <t>(주)한진칼 업무용 소프트웨어 라이선스 판매</t>
  </si>
  <si>
    <t>S150309</t>
  </si>
  <si>
    <t>대한항공 사단무인기 양산사업 전산투자 장비 판매</t>
  </si>
  <si>
    <t>S150308</t>
  </si>
  <si>
    <t>S150307</t>
  </si>
  <si>
    <t>인하대병원 PACS영상Backup Disk</t>
  </si>
  <si>
    <t>S150306</t>
  </si>
  <si>
    <t>인하대병원 판독스테이션노후교체용1Set</t>
  </si>
  <si>
    <t>S150305</t>
  </si>
  <si>
    <t>인하대병원 PACS영상NAS Disk</t>
  </si>
  <si>
    <t>S150304</t>
  </si>
  <si>
    <t>전기공사공제조합 재해복구시스템 (추가)</t>
  </si>
  <si>
    <t>전기공사공제조합</t>
  </si>
  <si>
    <t>S150303</t>
  </si>
  <si>
    <t>(주)대한항공, 업무용 전산장비 리스(2015년 11월 신규, 36개월)</t>
  </si>
  <si>
    <t>S150302</t>
  </si>
  <si>
    <t>인하대병원 금연지원센터전산장비판매</t>
  </si>
  <si>
    <t>S150301</t>
  </si>
  <si>
    <t>대한항공 인천화물청사 수입/수출지역 CCTV구매설치</t>
  </si>
  <si>
    <t>S150300</t>
  </si>
  <si>
    <t>(주)칼호텔네트워크 소프트웨어(한컴) 판매(신규)</t>
  </si>
  <si>
    <t>S150299</t>
  </si>
  <si>
    <t>항공종합서비스 KAL리무진 전산장비 판매</t>
  </si>
  <si>
    <t>S150298</t>
  </si>
  <si>
    <t>맥쿼리(LG스포츠) 리스 장비 판매(재품의, 제품변경)</t>
  </si>
  <si>
    <t>S150297</t>
  </si>
  <si>
    <t>대한항공 국내/해외 전산장비(PC) 장기 할부판매(32대)</t>
  </si>
  <si>
    <t>S150296</t>
  </si>
  <si>
    <t>대한항공 전산장비(PC) 장기 할부판매(10대)</t>
  </si>
  <si>
    <t>S150295</t>
  </si>
  <si>
    <t>S150294</t>
  </si>
  <si>
    <t>(주)대한항공, 업무용 전산장비 리스(9차분 재연장, 1년)</t>
  </si>
  <si>
    <t>S150293</t>
  </si>
  <si>
    <t>(주)대한항공, 업무용 전산장비 리스(16차분 연장) (12개월)</t>
  </si>
  <si>
    <t>S150292</t>
  </si>
  <si>
    <t>(주)대한항공, 업무용 전산장비 리스(1차분 재연장, 4개월)</t>
  </si>
  <si>
    <t>S150291</t>
  </si>
  <si>
    <t>한진 전산장비(PC 2SET, 노트북 1대) 판매</t>
  </si>
  <si>
    <t>S150290</t>
  </si>
  <si>
    <t>대한항공, KOC 직원주차장(P3) CCTV 설치</t>
  </si>
  <si>
    <t>S150289</t>
  </si>
  <si>
    <t>S150288</t>
  </si>
  <si>
    <t>S150287</t>
  </si>
  <si>
    <t>S150286</t>
  </si>
  <si>
    <t>S150285</t>
  </si>
  <si>
    <t>대한항공 전산장비(PC) 장기 할부판매(18대)</t>
  </si>
  <si>
    <t>S150284</t>
  </si>
  <si>
    <t>KT IDC 페이스북 서버장비 납품 및 트레이 시공구축 사업</t>
  </si>
  <si>
    <t>넷케이티아이</t>
  </si>
  <si>
    <t>S150283</t>
  </si>
  <si>
    <t>세아네트웍스, 세아제강 ERP 서버시스템 개선 사업용 장비 판매</t>
  </si>
  <si>
    <t>세아네트웍스</t>
  </si>
  <si>
    <t>S150282</t>
  </si>
  <si>
    <t>한진 전산장비(노트북 1대) 판매</t>
  </si>
  <si>
    <t>S150281</t>
  </si>
  <si>
    <t>대한항공 관세 통관시스템 판매</t>
  </si>
  <si>
    <t>S150280</t>
  </si>
  <si>
    <t>인하대병원 피폭선량측정관리용서버판매</t>
  </si>
  <si>
    <t>S150279</t>
  </si>
  <si>
    <t>S150278</t>
  </si>
  <si>
    <t>칼호텔네트워크(서귀포KAL칼호텔) 한컴오피스SW 갱신 계약</t>
  </si>
  <si>
    <t>S150277</t>
  </si>
  <si>
    <t>칼호텔네트워크(제주KAL칼호텔) 한컴오피스SW 갱신 계약</t>
  </si>
  <si>
    <t>S150276</t>
  </si>
  <si>
    <t>인하대병원 정석C동 L2스위치 판매</t>
  </si>
  <si>
    <t>S150274</t>
  </si>
  <si>
    <t>미사용(SS150313으로 변경)</t>
  </si>
  <si>
    <t>S150273</t>
  </si>
  <si>
    <t>S150272</t>
  </si>
  <si>
    <t>(주)대한항공 전산장비 판매(IP Phone)</t>
  </si>
  <si>
    <t>S150271</t>
  </si>
  <si>
    <t>인하대병원 L2스위치 판매</t>
  </si>
  <si>
    <t>S150270</t>
  </si>
  <si>
    <t>(주)한진 전산장비(PC 1SET, 노트북 1대) 판매</t>
  </si>
  <si>
    <t>S150269</t>
  </si>
  <si>
    <t>대한항공 대량메일 발송엔진 SW 판매</t>
  </si>
  <si>
    <t>S150268</t>
  </si>
  <si>
    <t>S150267</t>
  </si>
  <si>
    <t>(주)대한항공, 업무용 전산장비 리스(8차분 재연장, 1년)</t>
  </si>
  <si>
    <t>S150266</t>
  </si>
  <si>
    <t>KC코트렐 ECM,PMS 구축 및 개발용역 사업</t>
  </si>
  <si>
    <t>S150265</t>
  </si>
  <si>
    <t>[판매품의] 대한항공 S/W 유지보수 갱신(해상초계기, 중고도무인기 비밀 체계개발)</t>
  </si>
  <si>
    <t>S150264</t>
  </si>
  <si>
    <t>대한항공 국내/해외 전산장비(PC) 장기 할부판매(20대)</t>
  </si>
  <si>
    <t>S150263</t>
  </si>
  <si>
    <t>(Urgent) S-OIL 업무용 PC (1차분_523대) 긴급 공급</t>
  </si>
  <si>
    <t>S150262</t>
  </si>
  <si>
    <t>S150261</t>
  </si>
  <si>
    <t>(주)한진 전산장비 판매(PC 2SET)</t>
  </si>
  <si>
    <t>S150260</t>
  </si>
  <si>
    <t>S150259</t>
  </si>
  <si>
    <t>한진 전산장비(PC 2SET, 노트북 2대) 판매</t>
  </si>
  <si>
    <t>S150258</t>
  </si>
  <si>
    <t>(주)진에어 전산(통신, 운송)장비 판매(키폰, 리더기)</t>
  </si>
  <si>
    <t>S150257</t>
  </si>
  <si>
    <t>[판매품의] 한국아이비엠(주) 신규 서버용 백신 S/W 라이선스 판매</t>
  </si>
  <si>
    <t>S150256</t>
  </si>
  <si>
    <t>[판매품의] 대한항공, 수출사업 SHIM 제작용 S/W 판매</t>
  </si>
  <si>
    <t>S150255</t>
  </si>
  <si>
    <t>S150254</t>
  </si>
  <si>
    <t>(주)칼호텔네트워크 서귀포KAL호텔 서버용 백신S/W판매(1년, 갱신계약)</t>
  </si>
  <si>
    <t>S150253</t>
  </si>
  <si>
    <t>(주)한진관광 개발S/W 라이선스 판매</t>
  </si>
  <si>
    <t>S150252</t>
  </si>
  <si>
    <t>항공대 강의동 유선랜 L2스위치 판매</t>
  </si>
  <si>
    <t>S150251</t>
  </si>
  <si>
    <t>(주)칼호텔네트워크 제주KAL호텔 서버용 백신S/W판매(1년, 갱신계약)</t>
  </si>
  <si>
    <t>S150250</t>
  </si>
  <si>
    <t>(주)한진 전산장비 판매(PC 1SET, 노트북 2대)</t>
  </si>
  <si>
    <t>S150249</t>
  </si>
  <si>
    <t>항공대, 강의동 무선랜 시스템 구축</t>
  </si>
  <si>
    <t>S150248</t>
  </si>
  <si>
    <t>(주)엘지스포츠 업무용 전산장비 리스(2015년 9월 시작분, 1대)</t>
  </si>
  <si>
    <t>S150247</t>
  </si>
  <si>
    <t>인하대병원 노후단말기교체2차 65대</t>
  </si>
  <si>
    <t>S150246</t>
  </si>
  <si>
    <t>(주)대한항공 Tablet 장기할부판매(항공, 1대)</t>
  </si>
  <si>
    <t>S150245</t>
  </si>
  <si>
    <t>대한항공 국내/해외 전산장비(PC) 장기 할부판매(26대, 추가 2차)</t>
  </si>
  <si>
    <t>S150244</t>
  </si>
  <si>
    <t>(주)대한항공, 업무용 전산장비 리스(2015년 9월 신규, 36개월)</t>
  </si>
  <si>
    <t>S150243</t>
  </si>
  <si>
    <t>(주)한진 전산장비 판매(PC 14SET)</t>
  </si>
  <si>
    <t>S150242</t>
  </si>
  <si>
    <t>진에어_청주지점 사무소 IP-Phone 판매</t>
  </si>
  <si>
    <t>S150241</t>
  </si>
  <si>
    <t>(주)대한항공, 업무용 전산장비 리스(15차분 연장) (12개월)</t>
  </si>
  <si>
    <t>S150240</t>
  </si>
  <si>
    <t>S150239</t>
  </si>
  <si>
    <t>(주)대한항공, 업무용 전산장비 리스(7차분 재연장, 1년)</t>
  </si>
  <si>
    <t>S150238</t>
  </si>
  <si>
    <t>미사용(SS150245으로 변경)</t>
  </si>
  <si>
    <t>S150237</t>
  </si>
  <si>
    <t>(주)대한항공 Tablet 장기할부판매(정비, 1대)</t>
  </si>
  <si>
    <t>S150236</t>
  </si>
  <si>
    <t>S150235</t>
  </si>
  <si>
    <t>(주)한진 전산장비 판매(PC 5SET)</t>
  </si>
  <si>
    <t>S150234</t>
  </si>
  <si>
    <t>[판매품의] 대한항공, 내부회계관리제도 평가 시스템 판매</t>
  </si>
  <si>
    <t>S150233</t>
  </si>
  <si>
    <t>대한항공 국내/해외 전산장비(PC) 장기 할부판매(7,273대)</t>
  </si>
  <si>
    <t>S150232</t>
  </si>
  <si>
    <t>S150231</t>
  </si>
  <si>
    <t>S150230</t>
  </si>
  <si>
    <t>(주)한진 전산장비 판매(노트북 1대)</t>
  </si>
  <si>
    <t>S150229</t>
  </si>
  <si>
    <t>인하국제의료센터 LAN 케이블 납품/설치</t>
  </si>
  <si>
    <t>한일건설(주)</t>
  </si>
  <si>
    <t>S150228</t>
  </si>
  <si>
    <t>대한항공 국내/해외 전산장비(PC) 장기 할부판매(428대, 추가 1차)</t>
  </si>
  <si>
    <t>S150227</t>
  </si>
  <si>
    <t>미니스톱 점포용 NT서버 추가공급(6차)</t>
  </si>
  <si>
    <t>S150226</t>
  </si>
  <si>
    <t>(주)대한항공 Tablet 장기할부판매(운항, 1대)</t>
  </si>
  <si>
    <t>S150225</t>
  </si>
  <si>
    <t>시스템 판매(품의)_진에어, 청주공항 카운터 업무용 단말장비</t>
  </si>
  <si>
    <t>S150224</t>
  </si>
  <si>
    <t>대림산업_대한항공 인천운북지구 운항훈련센터 CCTV 장비 납품 구축</t>
  </si>
  <si>
    <t>S150223</t>
  </si>
  <si>
    <t>S150222</t>
  </si>
  <si>
    <t>인하대병원 포괄간호병동용 2차 PC13대</t>
  </si>
  <si>
    <t>S150221</t>
  </si>
  <si>
    <t>[판매품의]중고도무인기사업용 전산장비(2차 도입분) S/W 유지보수</t>
  </si>
  <si>
    <t>S150220</t>
  </si>
  <si>
    <t>한국IBM, S-OIL 리스 PC 공급 판매(6차분, 3대)</t>
  </si>
  <si>
    <t>S150219</t>
  </si>
  <si>
    <t>(주)한진 전산장비 판매(탭북 1대)</t>
  </si>
  <si>
    <t>S150218</t>
  </si>
  <si>
    <t>S150217</t>
  </si>
  <si>
    <t>S150216</t>
  </si>
  <si>
    <t>(주)한진 전산장비 판매(PC 1SET)</t>
  </si>
  <si>
    <t>S150215</t>
  </si>
  <si>
    <t>S150214</t>
  </si>
  <si>
    <t>한국IBM, S-OIL 리스 PC 공급 판매(5차분, 노트북1대)</t>
  </si>
  <si>
    <t>S150213</t>
  </si>
  <si>
    <t>맥쿼리파이낸스, 리스(대한항공 업무용 PC) 장비 판매 건</t>
  </si>
  <si>
    <t>S150212</t>
  </si>
  <si>
    <t>S150211</t>
  </si>
  <si>
    <t>S150210</t>
  </si>
  <si>
    <t>(주)대한항공, 업무용 전산장비 리스(2015년 8월 신규, 36개월)</t>
  </si>
  <si>
    <t>S150209</t>
  </si>
  <si>
    <t>S150208</t>
  </si>
  <si>
    <t>(주)한진 전산장비 판매(PC 4SET, 노트북 1대)</t>
  </si>
  <si>
    <t>S150207</t>
  </si>
  <si>
    <t>(주)싸이버스카이 전산장비 판매(PC 1SET)</t>
  </si>
  <si>
    <t>S150206</t>
  </si>
  <si>
    <t>S150205</t>
  </si>
  <si>
    <t>(주)한진 전산장비 판매(PC 2SET, 노트북 1대)</t>
  </si>
  <si>
    <t>S150204</t>
  </si>
  <si>
    <t>한국IBM, S-OIL 리스 PC 공급 판매(4차분, 11대)</t>
  </si>
  <si>
    <t>S150203</t>
  </si>
  <si>
    <t>S150202</t>
  </si>
  <si>
    <t>S150201</t>
  </si>
  <si>
    <t>인하대병원 금연지원센터업무용PC10대</t>
  </si>
  <si>
    <t>S150200</t>
  </si>
  <si>
    <t>S150199</t>
  </si>
  <si>
    <t>한진 영업지원시스템(force.com) 라이센스 추가 납품</t>
  </si>
  <si>
    <t>S150198</t>
  </si>
  <si>
    <t>[판매품의] 대한항공, 유인헬기 무인화 비행제어시스템 개발과제 전산장비 판매</t>
  </si>
  <si>
    <t>S150197</t>
  </si>
  <si>
    <t>인하대병원 홈페이지용 SSL보안인증서</t>
  </si>
  <si>
    <t>S150196</t>
  </si>
  <si>
    <t>판매품의_항공대 서버팜 네트워크 시스템 1식 구축</t>
  </si>
  <si>
    <t>S150195</t>
  </si>
  <si>
    <t>인천국제공항의원 큰의사랑솔루션 2015년 사용료 판매</t>
  </si>
  <si>
    <t>S150194</t>
  </si>
  <si>
    <t>S150193</t>
  </si>
  <si>
    <t>인하대병원 포괄간호병동용PC6대</t>
  </si>
  <si>
    <t>S150192</t>
  </si>
  <si>
    <t>판매(품의)_CESCO TOUCH CENTER 데이터베이스서버 물품공급</t>
  </si>
  <si>
    <t>세스코</t>
  </si>
  <si>
    <t>S150191</t>
  </si>
  <si>
    <t>S150190</t>
  </si>
  <si>
    <t>S150189</t>
  </si>
  <si>
    <t>국군수도병원 의무장비(MRI) 공급</t>
  </si>
  <si>
    <t>서울지방조달청</t>
  </si>
  <si>
    <t>S150188</t>
  </si>
  <si>
    <t>(주)대한항공, 업무용 전산장비 리스(2015년 7월 신규, 36개월)</t>
  </si>
  <si>
    <t>S150187</t>
  </si>
  <si>
    <t>S150186</t>
  </si>
  <si>
    <t>S150185</t>
  </si>
  <si>
    <t>S150184</t>
  </si>
  <si>
    <t>S150183</t>
  </si>
  <si>
    <t>(주)칼호텔네트워크, 업무용 전산장비 리스(14차분 연장) (12개월)</t>
  </si>
  <si>
    <t>S150182</t>
  </si>
  <si>
    <t>(주)대한항공, 업무용 전산장비 리스(14차분 연장) (12개월)</t>
  </si>
  <si>
    <t>S150181</t>
  </si>
  <si>
    <t>(주)대한항공, 업무용 전산장비 리스(6차 재연장, 1년)</t>
  </si>
  <si>
    <t>S150180</t>
  </si>
  <si>
    <t>판매품의_정석기업 한진빌딩 입주사(대한항공) LAN케이블 납품/설치</t>
  </si>
  <si>
    <t>S150179</t>
  </si>
  <si>
    <t>판매품의_정석기업, 한진빌딩 본관 12층 다끼히요 LAN케이블 납품/설치</t>
  </si>
  <si>
    <t>S150178</t>
  </si>
  <si>
    <t>인하국제의료센터 KALMED개발툴외 1품목</t>
  </si>
  <si>
    <t>S150177</t>
  </si>
  <si>
    <t>판매품의_항공대 네트워크 QOS 시스템 외 3종 구축</t>
  </si>
  <si>
    <t>S150176</t>
  </si>
  <si>
    <t>한진인천컨테이너터미널(주) 전산장비 판매(PC 1SET)</t>
  </si>
  <si>
    <t>S150175</t>
  </si>
  <si>
    <t>S150174</t>
  </si>
  <si>
    <t>대한항공 사단무인기 개발 및 사업관리용 S/W 및 H/W 유지보수 (갱신계약)</t>
  </si>
  <si>
    <t>S150173</t>
  </si>
  <si>
    <t>S150172</t>
  </si>
  <si>
    <t>한진 영업지원시스템(force.com) 라이센스 계약 갱신</t>
  </si>
  <si>
    <t>S150171</t>
  </si>
  <si>
    <t>[판매품의] 대한항공, 웹에디터 및 업로드 컴포넌트 교체</t>
  </si>
  <si>
    <t>S150170</t>
  </si>
  <si>
    <t>(주)대한항공 업무용 전산장비 판매(노트북 2대)</t>
  </si>
  <si>
    <t>S150169</t>
  </si>
  <si>
    <t>(주)대한항공 업무용 전산장비 장기할부판매(283대)</t>
  </si>
  <si>
    <t>S150168</t>
  </si>
  <si>
    <t>S150167</t>
  </si>
  <si>
    <t>S150166</t>
  </si>
  <si>
    <t>인하대병원 바코드스캐너 1대(유선) 판매</t>
  </si>
  <si>
    <t>S150165</t>
  </si>
  <si>
    <t>(주)대한항공 업무용 전산장비 판매(노트북 3대)</t>
  </si>
  <si>
    <t>S150164</t>
  </si>
  <si>
    <t>(주)한진 디자인 S/W 판매(어도비, 신규)</t>
  </si>
  <si>
    <t>S150163</t>
  </si>
  <si>
    <t>제동목장 관사 CCTV 렌즈 구매(2대)</t>
  </si>
  <si>
    <t>S150162</t>
  </si>
  <si>
    <t>경우이앤씨_대한항공 운북지구 운항훈련센터 출입통제시스템 자재 납품/설치</t>
  </si>
  <si>
    <t>경우이앤씨</t>
  </si>
  <si>
    <t>S150161</t>
  </si>
  <si>
    <t>S150160</t>
  </si>
  <si>
    <t>경우이엔씨_대한항공 운북지구 운항훈련센터 정보통신, CATV 자재 납품/설치</t>
  </si>
  <si>
    <t>S150159</t>
  </si>
  <si>
    <t>S150158</t>
  </si>
  <si>
    <t>(주)한진 전산장비 판매(노트북 2대)</t>
  </si>
  <si>
    <t>S150157</t>
  </si>
  <si>
    <t>(주)항공종합서비스, 업무용 전산장비 리스(13차분 연장) (12개월)</t>
  </si>
  <si>
    <t>S150156</t>
  </si>
  <si>
    <t>(주)칼호텔네트워크, 업무용 전산장비 리스(13차분 연장) (12개월)</t>
  </si>
  <si>
    <t>S150155</t>
  </si>
  <si>
    <t>대한항공 제주지점사옥 보안용 CCTV납품/설치</t>
  </si>
  <si>
    <t>S150154</t>
  </si>
  <si>
    <t>(주)대한항공 Tablet 장기할부판매(2대)</t>
  </si>
  <si>
    <t>S150153</t>
  </si>
  <si>
    <t>(주)대한항공, 업무용 전산장비 리스(5차분 재연장, 1년)</t>
  </si>
  <si>
    <t>S150152</t>
  </si>
  <si>
    <t>S150151</t>
  </si>
  <si>
    <t>(주)대한항공, 업무용 전산장비 리스(4차분 재연장, 1년)</t>
  </si>
  <si>
    <t>S150150</t>
  </si>
  <si>
    <t>한국공항(주) 웹서버보안인증서 판매(갱신, 2년형)</t>
  </si>
  <si>
    <t>S150149</t>
  </si>
  <si>
    <t>판매(품의)_국회 상임위원회 멀티미디어 회의환경 개선</t>
  </si>
  <si>
    <t>국회사무처</t>
  </si>
  <si>
    <t>S150148</t>
  </si>
  <si>
    <t>한진인천컨테이너터미널(주) 전산장비 판매(노트북 1대)</t>
  </si>
  <si>
    <t>S150147</t>
  </si>
  <si>
    <t>S150146</t>
  </si>
  <si>
    <t>(주)대한항공, 업무용 전산장비 리스(13차분 연장) (12개월)</t>
  </si>
  <si>
    <t>S150145</t>
  </si>
  <si>
    <t>S150144</t>
  </si>
  <si>
    <t>한진그룹 MS-EAS(대한항공포함 23개 그룹사) 판매건(3년차)</t>
  </si>
  <si>
    <t>S150143</t>
  </si>
  <si>
    <t>S150142</t>
  </si>
  <si>
    <t>S150141</t>
  </si>
  <si>
    <t>S150140</t>
  </si>
  <si>
    <t>S150139</t>
  </si>
  <si>
    <t>S150138</t>
  </si>
  <si>
    <t>S150137</t>
  </si>
  <si>
    <t>(주)한진 전산장비 판매(PC 3SET)</t>
  </si>
  <si>
    <t>S150136</t>
  </si>
  <si>
    <t>(주)한진 전산장비 판매(PC 8SET)</t>
  </si>
  <si>
    <t>S150135</t>
  </si>
  <si>
    <t>(주)대한항공 라우팅 시스템 개선 판매</t>
  </si>
  <si>
    <t>S150134</t>
  </si>
  <si>
    <t>개인정보보호 솔루션 판매</t>
  </si>
  <si>
    <t>S150133</t>
  </si>
  <si>
    <t>인하대병원 PACS백업디스크외 5품목 판매</t>
  </si>
  <si>
    <t>S150132</t>
  </si>
  <si>
    <t>(주)진에어 업무용 전산장비 판매(PC 2SET)</t>
  </si>
  <si>
    <t>S150131</t>
  </si>
  <si>
    <t>(주)싸이버스카이 전산장비 판매(모니터 1대)</t>
  </si>
  <si>
    <t>S150130</t>
  </si>
  <si>
    <t>정석기업(주) PC 백신 판매(1년 갱신)</t>
  </si>
  <si>
    <t>S150129</t>
  </si>
  <si>
    <t>(주)대한항공, 업무용 전산장비 리스(2015년 5월 신규, 36개월)</t>
  </si>
  <si>
    <t>S150128</t>
  </si>
  <si>
    <t>(주)한진 전산장비 판매(PC 9SET, 노트북 2대)</t>
  </si>
  <si>
    <t>S150127</t>
  </si>
  <si>
    <t>S150126</t>
  </si>
  <si>
    <t>S-OIL 노후PC 판매</t>
  </si>
  <si>
    <t>에이치앤티(주)</t>
  </si>
  <si>
    <t>S150125</t>
  </si>
  <si>
    <t>(주)대한항공, 업무용 전산장비 리스(2015년 4월 신규, 36개월)</t>
  </si>
  <si>
    <t>S150124</t>
  </si>
  <si>
    <t>S150123</t>
  </si>
  <si>
    <t>S150122</t>
  </si>
  <si>
    <t>(주)항공종합서비스 PC 백신 판매(1년 갱신계약)</t>
  </si>
  <si>
    <t>S150121</t>
  </si>
  <si>
    <t>S150120</t>
  </si>
  <si>
    <t>(주)한진 전산장비 판매(PC 11SET)</t>
  </si>
  <si>
    <t>S150119</t>
  </si>
  <si>
    <t>(주)한국글로발로지스틱스시스템 PC 백신 판매(1년, 갱신)</t>
  </si>
  <si>
    <t>S150118</t>
  </si>
  <si>
    <t>S150117</t>
  </si>
  <si>
    <t>S150116</t>
  </si>
  <si>
    <t>S150115</t>
  </si>
  <si>
    <t>인하대병원 노후단말기교체PC 63대</t>
  </si>
  <si>
    <t>S150114</t>
  </si>
  <si>
    <t>(주)대한항공 업무용(항공기탑재용)PC 판매 건(No. 1)</t>
  </si>
  <si>
    <t>S150113</t>
  </si>
  <si>
    <t>(주)대한항공 업무용(항공기탑재용)PC 판매 건(No. 2)</t>
  </si>
  <si>
    <t>S150112</t>
  </si>
  <si>
    <t>솔루션(데이타 백업) 라이선스 판매</t>
  </si>
  <si>
    <t>주식회사 블루엔텍</t>
  </si>
  <si>
    <t>S150111</t>
  </si>
  <si>
    <t>대한항공, 중고도무인기 전산투자 1차분 라이선스 갱신 판매</t>
  </si>
  <si>
    <t>S150110</t>
  </si>
  <si>
    <t>S150109</t>
  </si>
  <si>
    <t>S150108</t>
  </si>
  <si>
    <t>인하대병원 판독스테이션 1set 판매</t>
  </si>
  <si>
    <t>S150107</t>
  </si>
  <si>
    <t>한진해운 통합DB 및 분석BI 인프라 판매</t>
  </si>
  <si>
    <t>한진해운</t>
  </si>
  <si>
    <t>S150106</t>
  </si>
  <si>
    <t>(주)한진 전산장비 판매(PC 7SET)</t>
  </si>
  <si>
    <t>S150105</t>
  </si>
  <si>
    <t>S150104</t>
  </si>
  <si>
    <t>S150103</t>
  </si>
  <si>
    <t>한국공항 화물터미널 수입통관화물 RFID 태그 (관세청 전송용) 판매 건 (4월)</t>
  </si>
  <si>
    <t>S150102</t>
  </si>
  <si>
    <t>(주)한진 전산장비 판매(PC 4SET)</t>
  </si>
  <si>
    <t>S150101</t>
  </si>
  <si>
    <t>S150100</t>
  </si>
  <si>
    <t>S150099</t>
  </si>
  <si>
    <t>KC코트렐 백업서버 판매</t>
  </si>
  <si>
    <t>S150098</t>
  </si>
  <si>
    <t>(주)칼호텔네트워크, 업무용 전산장비 리스(12차분 연장) (12개월)</t>
  </si>
  <si>
    <t>S150097</t>
  </si>
  <si>
    <t>그랜드하얏트인천 서버시스템 유지보수 서비스(1개월)</t>
  </si>
  <si>
    <t>S150096</t>
  </si>
  <si>
    <t>S150095</t>
  </si>
  <si>
    <t>(주)항공종합서비스, 업무용 전산장비 리스(12차분 연장) (12개월)</t>
  </si>
  <si>
    <t>S150094</t>
  </si>
  <si>
    <t>대한항공_인천기내식센터 CCTV교체</t>
  </si>
  <si>
    <t>S150093</t>
  </si>
  <si>
    <t>(주)대한항공, 업무용 전산장비 리스(12차분 연장) (12개월)</t>
  </si>
  <si>
    <t>S150092</t>
  </si>
  <si>
    <t>(주)한진 전산장비 판매(노트북 5대)</t>
  </si>
  <si>
    <t>S150091</t>
  </si>
  <si>
    <t>(주)대한항공, 업무용 전산장비 리스(3차분 재연장, 1년)</t>
  </si>
  <si>
    <t>S150090</t>
  </si>
  <si>
    <t>대한항공 해상초계기, 중고도무인기 비밀 체계개발, 샤크렛연구과제 사업 라이선스 갱신 판매</t>
  </si>
  <si>
    <t>S150089</t>
  </si>
  <si>
    <t>S150088</t>
  </si>
  <si>
    <t>한진해운 전산장비(모니터 53대) 판매</t>
  </si>
  <si>
    <t>S150087</t>
  </si>
  <si>
    <t>인하대병원 의약품2차원바코드스캐너 2대 판매</t>
  </si>
  <si>
    <t>S150086</t>
  </si>
  <si>
    <t>S150085</t>
  </si>
  <si>
    <t>S150084</t>
  </si>
  <si>
    <t>S150083</t>
  </si>
  <si>
    <t>S150082</t>
  </si>
  <si>
    <t>S150081</t>
  </si>
  <si>
    <t>S150080</t>
  </si>
  <si>
    <t>대한항공 데이터마이닝툴(IBM SPSS) 유지보수 라이선스 공급</t>
  </si>
  <si>
    <t>S150079</t>
  </si>
  <si>
    <t>(주)한진 물류 통합 리포트 및 차트 판매</t>
  </si>
  <si>
    <t>S150078</t>
  </si>
  <si>
    <t>(주)진에어 본사 키폰시스템(주장비) 판매(증설)</t>
  </si>
  <si>
    <t>S150077</t>
  </si>
  <si>
    <t>S150075</t>
  </si>
  <si>
    <t>S150074</t>
  </si>
  <si>
    <t>판매변경(품의)_대림산업, 인하대병원 심내혈관센터 교환기시스템 증설 구축</t>
  </si>
  <si>
    <t>S150073</t>
  </si>
  <si>
    <t>S150072</t>
  </si>
  <si>
    <t>한진인천컨테이너터미널(주) 임원용 전산장비 판매(탭북 1EA)</t>
  </si>
  <si>
    <t>S150071</t>
  </si>
  <si>
    <t>판매변경(품의)_한국IBM, S-OIL 리스PC 공급(3차분) 판매 품목/수량 변경</t>
  </si>
  <si>
    <t>S150070</t>
  </si>
  <si>
    <t>인하대병원 심뇌혈관센터 증축용 PC 35대 판매</t>
  </si>
  <si>
    <t>S150069</t>
  </si>
  <si>
    <t>(주)진에어 소프트웨어(한컴오피스) 판매(신규)</t>
  </si>
  <si>
    <t>S150068</t>
  </si>
  <si>
    <t>인하공전 무선AP 장비판매</t>
  </si>
  <si>
    <t>S150067</t>
  </si>
  <si>
    <t>특전사 모의고공훈련장 CBT실 장비 판매</t>
  </si>
  <si>
    <t>주식회사포스텍</t>
  </si>
  <si>
    <t>S150066</t>
  </si>
  <si>
    <t>(주)싸이버스카이 전산장비 판매(PC)</t>
  </si>
  <si>
    <t>S150065</t>
  </si>
  <si>
    <t>S150064</t>
  </si>
  <si>
    <t>[판매품의] 부산의료원 시스템접근제어솔루션 납품</t>
  </si>
  <si>
    <t>투썸데이타(주)</t>
  </si>
  <si>
    <t>S150063</t>
  </si>
  <si>
    <t>KC그린홀딩스 본사 이전 무선AP 장비 판매</t>
  </si>
  <si>
    <t>S150062</t>
  </si>
  <si>
    <t>항공종합서비스 KAL리무진 전산장비 판매(PC 4SET)</t>
  </si>
  <si>
    <t>S150061</t>
  </si>
  <si>
    <t>S150060</t>
  </si>
  <si>
    <t>(주)대한항공, 업무용 전산장비 리스(2차분 재연장, 1년)</t>
  </si>
  <si>
    <t>S150059</t>
  </si>
  <si>
    <t>S150058</t>
  </si>
  <si>
    <t>[판매품의]김해공항 36L 계기착륙시설(ILS) 구축용 쉘터 판매</t>
  </si>
  <si>
    <t>신명파워</t>
  </si>
  <si>
    <t>S150057</t>
  </si>
  <si>
    <t>(주)대한항공, 업무용 전산장비 리스(2015년 3월 신규, 36개월)</t>
  </si>
  <si>
    <t>S150056</t>
  </si>
  <si>
    <t>S150055</t>
  </si>
  <si>
    <t>트랙슨 항공화물정보처리 업무용 제품판매 및 기술지원</t>
  </si>
  <si>
    <t>S150054</t>
  </si>
  <si>
    <t>KC그린홀딩스 본사 이전 스위치 장비 판매</t>
  </si>
  <si>
    <t>S150053</t>
  </si>
  <si>
    <t>S150052</t>
  </si>
  <si>
    <t>S150051</t>
  </si>
  <si>
    <t>한국공항(주) 백신 S/W 사용권 판매(2년, 갱신)</t>
  </si>
  <si>
    <t>S150050</t>
  </si>
  <si>
    <t>대림I&amp;amp;S, 인하대병원 심내혈관센터 네트워크 구축</t>
  </si>
  <si>
    <t>대림아이앤에스</t>
  </si>
  <si>
    <t>S150049</t>
  </si>
  <si>
    <t>대한항공 사단무인기 개발용 S/W 유지보수 및 임차</t>
  </si>
  <si>
    <t>S150048</t>
  </si>
  <si>
    <t>S150047</t>
  </si>
  <si>
    <t>인하대병원 심뇌혈관센터 증축용 PC 45대 판매</t>
  </si>
  <si>
    <t>S150046</t>
  </si>
  <si>
    <t>진에어_부산공항 사무소 IP-Phone 판매</t>
  </si>
  <si>
    <t>S150045</t>
  </si>
  <si>
    <t>항공대, 기계관, 학생회관 무선랜 시스템 구축</t>
  </si>
  <si>
    <t>S150044</t>
  </si>
  <si>
    <t>대한항공 701 신호정보기 개발사업 관련 S/W 유지보수</t>
  </si>
  <si>
    <t>S150043</t>
  </si>
  <si>
    <t>율전이앤씨, 인천 운북지구 ETC 정보통신공사 중 장비 납품</t>
  </si>
  <si>
    <t>율전이앤씨</t>
  </si>
  <si>
    <t>S150042</t>
  </si>
  <si>
    <t>S150041</t>
  </si>
  <si>
    <t>(주)한진 전산장비 판매(PC 2SET, 탭북 1EA)</t>
  </si>
  <si>
    <t>S150040</t>
  </si>
  <si>
    <t>인하대병원 한글과컴퓨터 S/W사용권계약(2015년)</t>
  </si>
  <si>
    <t>S150039</t>
  </si>
  <si>
    <t>S150038</t>
  </si>
  <si>
    <t>(주)진에어 운송서비스 업무용 단말장비 판매(김해지점)</t>
  </si>
  <si>
    <t>S150037</t>
  </si>
  <si>
    <t>인하대병원 MS S/W사용권계약(2015년)</t>
  </si>
  <si>
    <t>인하대학교병원</t>
  </si>
  <si>
    <t>S150036</t>
  </si>
  <si>
    <t>S150035</t>
  </si>
  <si>
    <t>(주)대한항공, 업무용 전산장비 리스(2015년 2월 신규, 36개월)</t>
  </si>
  <si>
    <t>S150034</t>
  </si>
  <si>
    <t>(주)엘지스포츠 업무용 전산장비 리스(2015년 3월 시작분, 9대)</t>
  </si>
  <si>
    <t>S150033</t>
  </si>
  <si>
    <t>(주)대한항공 Tablet 장기할부판매(16대)</t>
  </si>
  <si>
    <t>S150032</t>
  </si>
  <si>
    <t>S150031</t>
  </si>
  <si>
    <t>S150030</t>
  </si>
  <si>
    <t>인하대병원 임상시험글로벌선도센터용PC판매</t>
  </si>
  <si>
    <t>S150029</t>
  </si>
  <si>
    <t>맥쿼리(LG스포츠) 리스 장비 판매 건(노트북9대)</t>
  </si>
  <si>
    <t>S150028</t>
  </si>
  <si>
    <t>한국IBM, S-OIL 리스 PC 공급 판매(3차분)</t>
  </si>
  <si>
    <t>S150027</t>
  </si>
  <si>
    <t>S150026</t>
  </si>
  <si>
    <t>(주)칼호텔네트워크(제주) S/W(OS 라이선스)판매</t>
  </si>
  <si>
    <t>S150025</t>
  </si>
  <si>
    <t>(주)칼호텔네트워크(서귀포) S/W(OS 라이선스)판매</t>
  </si>
  <si>
    <t>S150024</t>
  </si>
  <si>
    <t>S150023</t>
  </si>
  <si>
    <t>프레이저플레이스 호텔 업무용 전산장비 판매</t>
  </si>
  <si>
    <t>디에스지엔</t>
  </si>
  <si>
    <t>S150022</t>
  </si>
  <si>
    <t>S150021</t>
  </si>
  <si>
    <t>S150020</t>
  </si>
  <si>
    <t>(주)대한항공 Tablet 장기할부판매(38대)</t>
  </si>
  <si>
    <t>S150019</t>
  </si>
  <si>
    <t>(주)한진 전산장비 판매(PC 20 SET)</t>
  </si>
  <si>
    <t>S150018</t>
  </si>
  <si>
    <t>S150017</t>
  </si>
  <si>
    <t>(주)한진칼 백신 판매(신규, 1년형)</t>
  </si>
  <si>
    <t>S150016</t>
  </si>
  <si>
    <t>S150015</t>
  </si>
  <si>
    <t>S150014</t>
  </si>
  <si>
    <t>한국IBM, S-OIL 리스 PC 공급 판매(1,2차분)</t>
  </si>
  <si>
    <t>S150013</t>
  </si>
  <si>
    <t>인하대병원 컴퓨터바이러스백신 바이로봇 사용료(2015년)</t>
  </si>
  <si>
    <t>S150012</t>
  </si>
  <si>
    <t>(주)진에어 운송서비스 업무용 단말장비 판매</t>
  </si>
  <si>
    <t>S150011</t>
  </si>
  <si>
    <t>판매취소(품의)_항공대 제주 정석비행훈련원 IP-Phone 판매</t>
  </si>
  <si>
    <t>S150010</t>
  </si>
  <si>
    <t>대림산업 인하대 60주년기념관 유,무선 네트워크장비 구축</t>
  </si>
  <si>
    <t>S150009</t>
  </si>
  <si>
    <t>(주)대한항공, 업무용 전산장비 리스(2015년 1월 신규, 36개월)</t>
  </si>
  <si>
    <t>S150008</t>
  </si>
  <si>
    <t>S150007</t>
  </si>
  <si>
    <t>대한항공 중형기 탐색개발 전산장비(S/W) 유지보수</t>
  </si>
  <si>
    <t>S150006</t>
  </si>
  <si>
    <t>미니스톱 점포용 NT서버 추가공급</t>
  </si>
  <si>
    <t>S150005</t>
  </si>
  <si>
    <t>인하대병원 EMR전자인증모듈 사용료 및 유지보수</t>
  </si>
  <si>
    <t>S150004</t>
  </si>
  <si>
    <t>S150003</t>
  </si>
  <si>
    <t>S150002</t>
  </si>
  <si>
    <t>한진관광 S/W(원격제어 솔루션) 판매</t>
  </si>
  <si>
    <t>S150001</t>
  </si>
  <si>
    <t>프레이저플레이스 호텔 업무용(디자인) 프린터 판매</t>
  </si>
  <si>
    <t>디에스디엘(주)-서소문</t>
  </si>
  <si>
    <t>S140280</t>
  </si>
  <si>
    <t>한국아이비엠(주) 서버용 백신 소프트웨어 라이선스 갱신 판매</t>
  </si>
  <si>
    <t>S140279</t>
  </si>
  <si>
    <t>대한항공 B787 사업용 CATIA 사용권 판매 (갱신계약)</t>
  </si>
  <si>
    <t>S140278</t>
  </si>
  <si>
    <t>S140277</t>
  </si>
  <si>
    <t>진에어_부산지점 IP-Phone 판매</t>
  </si>
  <si>
    <t>S140276</t>
  </si>
  <si>
    <t>S140275</t>
  </si>
  <si>
    <t>(주)싸이버스카이 DBMS 유지보수 판매(갱신, 2015년)</t>
  </si>
  <si>
    <t>S140274</t>
  </si>
  <si>
    <t>항공대 제주 정석비행훈련원 IP-Phone 판매</t>
  </si>
  <si>
    <t>S140273</t>
  </si>
  <si>
    <t>대한항공 업무용 전산주변기기(키보드/마우스) 장비 판매 건</t>
  </si>
  <si>
    <t>S140272</t>
  </si>
  <si>
    <t>대한항공 업무용(항공기탑재) PC 장비 판매 건</t>
  </si>
  <si>
    <t>S140271</t>
  </si>
  <si>
    <t>S140270</t>
  </si>
  <si>
    <t>대한항공 유지보수용 SW 판매</t>
  </si>
  <si>
    <t>S140269</t>
  </si>
  <si>
    <t>인하대병원 Cardiac PACS 디스크 판매</t>
  </si>
  <si>
    <t>S140268</t>
  </si>
  <si>
    <t>전기공사공제조합, 재해복구시스템 구축용 장비판매</t>
  </si>
  <si>
    <t>S140267</t>
  </si>
  <si>
    <t>중고도무인기 체계개발사업 비행조종 제어법칙 검증용 HW 판매</t>
  </si>
  <si>
    <t>S140266</t>
  </si>
  <si>
    <t>대림산업_심내혈관센터 증축 정보통신공사중 교환기시스템 증설 구축</t>
  </si>
  <si>
    <t>S140265</t>
  </si>
  <si>
    <t>프레이저플레이스 호텔 업무용 프린터 판매</t>
  </si>
  <si>
    <t>디에스디엘-서소문</t>
  </si>
  <si>
    <t>S140264</t>
  </si>
  <si>
    <t>S140263</t>
  </si>
  <si>
    <t>대한항공 B787사업용 CATIA ALC 판매 (갱신계약)</t>
  </si>
  <si>
    <t>S140262</t>
  </si>
  <si>
    <t>(주)대한항공, 업무용 전산장비 리스(2014년 12월 신규, 36개월)</t>
  </si>
  <si>
    <t>S140261</t>
  </si>
  <si>
    <t>대한항공 연결재무제표 시스템 유지보수 계약</t>
  </si>
  <si>
    <t>S140260</t>
  </si>
  <si>
    <t>S140259</t>
  </si>
  <si>
    <t>S140258</t>
  </si>
  <si>
    <t>S140257</t>
  </si>
  <si>
    <t>(주)대한항공, 업무용 전산장비 리스(11차분 연장) (12개월)</t>
  </si>
  <si>
    <t>S140256</t>
  </si>
  <si>
    <t>S140255</t>
  </si>
  <si>
    <t>인하대병원 PACS영상디스크판매(백업용)</t>
  </si>
  <si>
    <t>S140254</t>
  </si>
  <si>
    <t>칼호텔네트워크(서귀포KAL칼호텔) 한글오피스SW 갱신(1차) 계약</t>
  </si>
  <si>
    <t>S140253</t>
  </si>
  <si>
    <t>칼호텔네트워크(제주KAL칼호텔) 한컴오피스SW 갱신(1차) 계약</t>
  </si>
  <si>
    <t>S140252</t>
  </si>
  <si>
    <t>한국공항 화물터미널 수입통관화물 RFID 태그 (관세청 전송용) 판매 건 (11월)</t>
  </si>
  <si>
    <t>S140251</t>
  </si>
  <si>
    <t>대한항공 웹싸이트 적용을 위한 웹에디터 판매</t>
  </si>
  <si>
    <t>S140250</t>
  </si>
  <si>
    <t>맥쿼리파이낸스, 리스(대한항공 리스 PC용) 장비 판매 건</t>
  </si>
  <si>
    <t>S140249</t>
  </si>
  <si>
    <t>왕산마리나 부잔교 출입문 출입통제시스템 구축</t>
  </si>
  <si>
    <t>S140248</t>
  </si>
  <si>
    <t>홈페이지회원비밀번호강화 프로그램판매</t>
  </si>
  <si>
    <t>S140247</t>
  </si>
  <si>
    <t>S140246</t>
  </si>
  <si>
    <t>싸이버스카이 전산장비 판매(모니터 2대)</t>
  </si>
  <si>
    <t>S140245</t>
  </si>
  <si>
    <t>S140244</t>
  </si>
  <si>
    <t>S140243</t>
  </si>
  <si>
    <t>S140242</t>
  </si>
  <si>
    <t>S140241</t>
  </si>
  <si>
    <t>S140240</t>
  </si>
  <si>
    <t>(주)대한항공, 업무용 전산장비 리스(10차분 연장) (12개월)</t>
  </si>
  <si>
    <t>S140239</t>
  </si>
  <si>
    <t>인하대병원 EMR이미지저장용 스토리지 증설</t>
  </si>
  <si>
    <t>S140238</t>
  </si>
  <si>
    <t>(주)대한항공, 업무용 전산장비 리스(2014년 11월 신규, 36개월)</t>
  </si>
  <si>
    <t>S140237</t>
  </si>
  <si>
    <t>(주)칼호텔네트워크(서귀포 KAL) 전산장비 판매(PC 7SET)</t>
  </si>
  <si>
    <t>S140236</t>
  </si>
  <si>
    <t>(주)칼호텔네트워크(제주 KAL) 전산장비 판매(PC 17SET)</t>
  </si>
  <si>
    <t>S140235</t>
  </si>
  <si>
    <t>인하대병원 노후 PC판매</t>
  </si>
  <si>
    <t>S140234</t>
  </si>
  <si>
    <t>인하대병원 알레르기클리닉 PC판매</t>
  </si>
  <si>
    <t>S140233</t>
  </si>
  <si>
    <t>S140232</t>
  </si>
  <si>
    <t>(주)진에어 전산장비 판매(태블릿 23대)</t>
  </si>
  <si>
    <t>S140231</t>
  </si>
  <si>
    <t>(주)대한항공 Tablet 장기할부판매(62대)</t>
  </si>
  <si>
    <t>S140230</t>
  </si>
  <si>
    <t>S140229</t>
  </si>
  <si>
    <t>(주)항공종합서비스, 업무용 전산장비 리스(1차분 재연장 계약) (12개월)</t>
  </si>
  <si>
    <t>S140228</t>
  </si>
  <si>
    <t>(주)대한항공, 업무용 전산장비 리스(1차분 재연장 계약) (12개월)</t>
  </si>
  <si>
    <t>S140227</t>
  </si>
  <si>
    <t>(주)칼호텔네트워크, 업무용 전산장비 리스(1차분 재연장 계약) (12개월)</t>
  </si>
  <si>
    <t>S140226</t>
  </si>
  <si>
    <t>맥쿼리, S-OIL 업무용 노트북 판매(6차분 5대)</t>
  </si>
  <si>
    <t>S140225</t>
  </si>
  <si>
    <t>대한항공 701 신호정보기 및 중형기 개발사업 관련 S/W 유지보수</t>
  </si>
  <si>
    <t>S140224</t>
  </si>
  <si>
    <t>S140223</t>
  </si>
  <si>
    <t>판매품의_KC코트렐 본사 이전 관련 장비 납품 및 이전</t>
  </si>
  <si>
    <t>S140222</t>
  </si>
  <si>
    <t>S140221</t>
  </si>
  <si>
    <t>S140220</t>
  </si>
  <si>
    <t>S140219</t>
  </si>
  <si>
    <t>S140218</t>
  </si>
  <si>
    <t>S140217</t>
  </si>
  <si>
    <t>(주)대한항공, 업무용 전산장비 리스(2014년 10월 시작, 36개월)</t>
  </si>
  <si>
    <t>S140216</t>
  </si>
  <si>
    <t>(주)엘지스포츠 업무용 전산장비 리스(2014년 10월 시작분, 6대)</t>
  </si>
  <si>
    <t>S140215</t>
  </si>
  <si>
    <t>S140214</t>
  </si>
  <si>
    <t>토파스여행정보(주) DBMS 라이선스 추가 연장 계약(1개월)</t>
  </si>
  <si>
    <t>S140213</t>
  </si>
  <si>
    <t>인하국제의료센터 V3 라이선스 갱신 판매</t>
  </si>
  <si>
    <t>한철수</t>
  </si>
  <si>
    <t>S140212</t>
  </si>
  <si>
    <t>S140211</t>
  </si>
  <si>
    <t>(주)대한항공, 업무용 전산장비 리스(9차분 연장계약) (12개월)</t>
  </si>
  <si>
    <t>S140209</t>
  </si>
  <si>
    <t>(주)한진드림익스프레스 영업지원시스템(force.com) 라이센스 계약 갱신</t>
  </si>
  <si>
    <t>S140208</t>
  </si>
  <si>
    <t>맥쿼리(LG스포츠) 리스 장비 판매 건(노트북1대)</t>
  </si>
  <si>
    <t>S140207</t>
  </si>
  <si>
    <t>판매품의_항공대 전자관 무선랜시스템 구축</t>
  </si>
  <si>
    <t>S140206</t>
  </si>
  <si>
    <t>중고도무인기사업용 전산장비(2차 도입분) S/W 유지보수</t>
  </si>
  <si>
    <t>S140205</t>
  </si>
  <si>
    <t>대한항공 A320 개발용 S/W 유지보수 (갱신 계약)</t>
  </si>
  <si>
    <t>S140204</t>
  </si>
  <si>
    <t>대한항공 A320 개발용 CATIA ALC 판매 (갱신계약)</t>
  </si>
  <si>
    <t>S140203</t>
  </si>
  <si>
    <t>[판매품의] 분당복합화력발전처 과학화보안 외곽 침입감지센서 관련 장비 납품</t>
  </si>
  <si>
    <t>S140202</t>
  </si>
  <si>
    <t>(주)진에어 전산장비 판매(태블릿 25대)</t>
  </si>
  <si>
    <t>S140201</t>
  </si>
  <si>
    <t>맥쿼리(LG스포츠) 리스 장비 판매 건(노트북4대)</t>
  </si>
  <si>
    <t>S140200</t>
  </si>
  <si>
    <t>전기공사공제조합 전산장비 판매</t>
  </si>
  <si>
    <t>S140199</t>
  </si>
  <si>
    <t>(주)대한항공, 업무용 전산장비 리스(2014년 9월 시작, 36개월)</t>
  </si>
  <si>
    <t>S140198</t>
  </si>
  <si>
    <t>S140197</t>
  </si>
  <si>
    <t>S140196</t>
  </si>
  <si>
    <t>S140195</t>
  </si>
  <si>
    <t>대한항공 중고도무인기 체계개발사업 관련 S/W 판매 및 구축</t>
  </si>
  <si>
    <t>S140194</t>
  </si>
  <si>
    <t>S140193</t>
  </si>
  <si>
    <t>(주)한진 전산장비 판매(데스크탑 PC 8대, 모니터 12대)</t>
  </si>
  <si>
    <t>S140192</t>
  </si>
  <si>
    <t>S140191</t>
  </si>
  <si>
    <t>싸이버스카이 전산장비 판매(노트북 1대)</t>
  </si>
  <si>
    <t>S140190</t>
  </si>
  <si>
    <t>(주)칼호텔네트워크, 그랜드하얏트호텔 POS용 카드리더기 판매(8대)</t>
  </si>
  <si>
    <t>S140189</t>
  </si>
  <si>
    <t>S140188</t>
  </si>
  <si>
    <t>(주)칼호텔네트워크 제주KAL호텔 서버용 백신S/W판매(1년,갱신계약)</t>
  </si>
  <si>
    <t>S140187</t>
  </si>
  <si>
    <t>대한항공 사단무인기 설계용 CATIA ALC 판매 (갱신계약)</t>
  </si>
  <si>
    <t>S140186</t>
  </si>
  <si>
    <t>인하대병원 전산장비 판매(데스크탑 10대, 모니터 3대)</t>
  </si>
  <si>
    <t>S140185</t>
  </si>
  <si>
    <t>(주)대한항공, 업무용 전산장비 리스(2014년 8월 시작, 36개월)</t>
  </si>
  <si>
    <t>S140184</t>
  </si>
  <si>
    <t>대한항공 다목적헬기 개발용 CATIA ALC 판매 (갱신계약)</t>
  </si>
  <si>
    <t>S140183</t>
  </si>
  <si>
    <t>S140182</t>
  </si>
  <si>
    <t>(주)대한항공, 업무용 전산장비 리스(8차분 연장계약) (12개월)</t>
  </si>
  <si>
    <t>S140181</t>
  </si>
  <si>
    <t>S140180</t>
  </si>
  <si>
    <t>인하대병원 전산장비 판매(노트북 28대, 메모리 28대)</t>
  </si>
  <si>
    <t>S140179</t>
  </si>
  <si>
    <t>S140178</t>
  </si>
  <si>
    <t>인하대병원 전산장비 판매(데스크탑 60대, 메모리 60대)</t>
  </si>
  <si>
    <t>S140177</t>
  </si>
  <si>
    <t>S140176</t>
  </si>
  <si>
    <t>(주)한진 웹서버보안인증서 판매(1년형, 갱신)</t>
  </si>
  <si>
    <t>S140175</t>
  </si>
  <si>
    <t>한진 국제택배DB암호화솔루션 라이센스 추가</t>
  </si>
  <si>
    <t>S140174</t>
  </si>
  <si>
    <t>대한항공 A350 사업(1차분) 관련 SW 사용권 갱신 계약</t>
  </si>
  <si>
    <t>S140173</t>
  </si>
  <si>
    <t>S140172</t>
  </si>
  <si>
    <t>(주)대한항공, 업무용 전산장비 리스(7차분 연장계약) (12개월)</t>
  </si>
  <si>
    <t>S140171</t>
  </si>
  <si>
    <t>한국공항 화물터미널 수입통관화물 RFID 태그 (관세청 전송용) 판매 건 (추가)</t>
  </si>
  <si>
    <t>S140170</t>
  </si>
  <si>
    <t>대한항공 사단급무인기 개발 및 사업관리용 S/W 및 H/W 유지보수 (갱신계약)</t>
  </si>
  <si>
    <t>S140169</t>
  </si>
  <si>
    <t>대한항공 A350사업(1차분) CATIA ALC 판매 (갱신계약)</t>
  </si>
  <si>
    <t>S140168</t>
  </si>
  <si>
    <t>S140167</t>
  </si>
  <si>
    <t>맥쿼리, S-OIL 영업용 노트북 판매(5차분 5대)</t>
  </si>
  <si>
    <t>S140166</t>
  </si>
  <si>
    <t>S140165</t>
  </si>
  <si>
    <t>(주)진에어 전산장비 판매(태블릿 10대)</t>
  </si>
  <si>
    <t>S140164</t>
  </si>
  <si>
    <t>(주)대한항공, 업무용 전산장비 리스(2014년 7월 시작, 36개월)</t>
  </si>
  <si>
    <t>S140163</t>
  </si>
  <si>
    <t>진에어 전산(통신)장비 판매(키폰 35대)</t>
  </si>
  <si>
    <t>S140162</t>
  </si>
  <si>
    <t>S140161</t>
  </si>
  <si>
    <t>S140160</t>
  </si>
  <si>
    <t>S140159</t>
  </si>
  <si>
    <t>칼호텔 DB암호화 솔루션 판매</t>
  </si>
  <si>
    <t>S140158</t>
  </si>
  <si>
    <t>인하대병원 전산장비 판매(백업용 하드디스크)</t>
  </si>
  <si>
    <t>S140157</t>
  </si>
  <si>
    <t>미니스톱 점포용 GOT(Graphic Order Terminal) 3차 추가공급</t>
  </si>
  <si>
    <t>S140156</t>
  </si>
  <si>
    <t>(주)한진드림익스프레스 전산장비 판매(데스크탑 PC)</t>
  </si>
  <si>
    <t>S140155</t>
  </si>
  <si>
    <t>토파스여행정보(주) DBMS 라이선스 연장 계약(2개월)</t>
  </si>
  <si>
    <t>S140154</t>
  </si>
  <si>
    <t>인하대병원 인천국제공항의료센터 메인서버 하드디스크 판매</t>
  </si>
  <si>
    <t>S140153</t>
  </si>
  <si>
    <t>한진그룹 MS-EAS(대한항공포함 24개 그룹사) 판매건(2년차)</t>
  </si>
  <si>
    <t>S140152</t>
  </si>
  <si>
    <t>대한항공 항공우주사업본부 A350 cargo door 사업 CATIA V5 EWE 판매</t>
  </si>
  <si>
    <t>S140151</t>
  </si>
  <si>
    <t>(주)칼호텔네트워크, 하얏트인천 인사서버 교체공급(서버 1 대)</t>
  </si>
  <si>
    <t>S140150</t>
  </si>
  <si>
    <t>판매품의_인하대병원 심뇌혈관질환센터 네트워크장비 및 케이블 이설 교체</t>
  </si>
  <si>
    <t>S140149</t>
  </si>
  <si>
    <t>대한항공 여객운송 공항단말 판매</t>
  </si>
  <si>
    <t>S140148</t>
  </si>
  <si>
    <t>(주)칼호텔네트워크, 하얏트인천 WestTower호텔 시스템 공급(서버 6 대 등)</t>
  </si>
  <si>
    <t>S140147</t>
  </si>
  <si>
    <t>칼호텔네트워크, 하얏트인천 WestTower호텔 시스템 공급(단말장비 84대)</t>
  </si>
  <si>
    <t>S140146</t>
  </si>
  <si>
    <t>맥쿼리, S-OIL 임원용 노트북 판매(4차분 5대)</t>
  </si>
  <si>
    <t>S140145</t>
  </si>
  <si>
    <t>정석기업(주) S/W(AutoCAD)판매</t>
  </si>
  <si>
    <t>S140144</t>
  </si>
  <si>
    <t>판매품의_하얏트리젠시인천 H2호텔 유무선 네트워크 장비 구축</t>
  </si>
  <si>
    <t>S140143</t>
  </si>
  <si>
    <t>S140142</t>
  </si>
  <si>
    <t>인하대병원 PC보안 솔루션 판매</t>
  </si>
  <si>
    <t>S140141</t>
  </si>
  <si>
    <t>S140140</t>
  </si>
  <si>
    <t>칼호텔 직원유니폼 보관 랙 설비/시공</t>
  </si>
  <si>
    <t>S140139</t>
  </si>
  <si>
    <t>(주)한진 영업지원시스템(force.com) 라이센스 계약 갱신</t>
  </si>
  <si>
    <t>S140138</t>
  </si>
  <si>
    <t>S140137</t>
  </si>
  <si>
    <t>(주)에어코리아 PC백신 판매(1년)</t>
  </si>
  <si>
    <t>S140136</t>
  </si>
  <si>
    <t>대한항공 대전무인기 개발용 CATIA ALC 판매 (갱신계약)</t>
  </si>
  <si>
    <t>S140135</t>
  </si>
  <si>
    <t>(주)대한항공, 업무용 전산장비 리스(2014년 6월 시작, 36개월)</t>
  </si>
  <si>
    <t>S140134</t>
  </si>
  <si>
    <t>S140133</t>
  </si>
  <si>
    <t>S140132</t>
  </si>
  <si>
    <t>(주)대한항공, 업무용 전산장비 리스(6차분 연장계약) (12개월)</t>
  </si>
  <si>
    <t>S140131</t>
  </si>
  <si>
    <t>인천아시아경기대회 요트경기장 정보통신 장비납품 및 구축</t>
  </si>
  <si>
    <t>S140130</t>
  </si>
  <si>
    <t>한진 BI 솔루션 판매</t>
  </si>
  <si>
    <t>S140129</t>
  </si>
  <si>
    <t>S140128</t>
  </si>
  <si>
    <t>S140127</t>
  </si>
  <si>
    <t>(주)진에어 백신 판매(1년 갱신계약)</t>
  </si>
  <si>
    <t>S140126</t>
  </si>
  <si>
    <t>(주)한진 전산장비 판매(PC 24 SET)</t>
  </si>
  <si>
    <t>S140125</t>
  </si>
  <si>
    <t>(주)칼호텔네트워크, 업무용 전산장비 리스(2014년 6월 시작, 36개월)</t>
  </si>
  <si>
    <t>S140124</t>
  </si>
  <si>
    <t>인하대병원 전산장비 판매(노트북 40대, 메모리 40ea)</t>
  </si>
  <si>
    <t>S140123</t>
  </si>
  <si>
    <t>S140122</t>
  </si>
  <si>
    <t>인하대병원 전산장비 판매(노트북 12대, PC 1세트)</t>
  </si>
  <si>
    <t>S140121</t>
  </si>
  <si>
    <t>인하대병원 전산장비 판매(데스크탑 65대, 메모리 65대)</t>
  </si>
  <si>
    <t>S140120</t>
  </si>
  <si>
    <t>(주)항공종합서비스 PC백신(알약3.0) 판매(추가 갱신계약)</t>
  </si>
  <si>
    <t>S140119</t>
  </si>
  <si>
    <t>한진 DB접근제어 솔루션 2차 판매</t>
  </si>
  <si>
    <t>S140118</t>
  </si>
  <si>
    <t>S140117</t>
  </si>
  <si>
    <t>(주)항공종합서비스 전산장비판매(PC 3 SET)</t>
  </si>
  <si>
    <t>S140116</t>
  </si>
  <si>
    <t>(주)대한항공, 업무용 전산장비 리스(5차분 연장계약) (12개월)</t>
  </si>
  <si>
    <t>S140115</t>
  </si>
  <si>
    <t>S140114</t>
  </si>
  <si>
    <t>(주)대한항공 Tablet 장기할부판매</t>
  </si>
  <si>
    <t>S140113</t>
  </si>
  <si>
    <t>대한항공 항공우주사업본부 설계용 Workstation 판매</t>
  </si>
  <si>
    <t>S140112</t>
  </si>
  <si>
    <t>(주)한진드림익스프레스 백신 판매(1년 갱신계약)</t>
  </si>
  <si>
    <t>S140111</t>
  </si>
  <si>
    <t>(주)대한항공, 업무용 전산장비 리스(2014년 5월 시작, 36개월)</t>
  </si>
  <si>
    <t>S140110</t>
  </si>
  <si>
    <t>(주)한진 대전택배터미널 자동화화물분류기 전산장비 노후교체 공급</t>
  </si>
  <si>
    <t>S140109</t>
  </si>
  <si>
    <t>(주)한진 전산장비 판매(PC 35 SET)</t>
  </si>
  <si>
    <t>S140108</t>
  </si>
  <si>
    <t>판매품의_인하대병원 노후 N/W장비 교체 구축</t>
  </si>
  <si>
    <t>S140107</t>
  </si>
  <si>
    <t>S140106</t>
  </si>
  <si>
    <t>S140105</t>
  </si>
  <si>
    <t>S140104</t>
  </si>
  <si>
    <t>맥쿼리파이낸스, 리스(칼호텔네트워크 리스 PC용) 장비 판매 건</t>
  </si>
  <si>
    <t>S140103</t>
  </si>
  <si>
    <t>진에어 전산장비 판매(태블릿 13대)</t>
  </si>
  <si>
    <t>S140102</t>
  </si>
  <si>
    <t>(주)한진 전산장비 판매(탭북 5대)</t>
  </si>
  <si>
    <t>S140101</t>
  </si>
  <si>
    <t>(주)엘지스포츠 업무용 전산장비 리스(2014년 5월(4차) 시작분, 2대)</t>
  </si>
  <si>
    <t>S140100</t>
  </si>
  <si>
    <t>S140099</t>
  </si>
  <si>
    <t>S140098</t>
  </si>
  <si>
    <t>대한항공 항공우주사업본부 해석용 Workstation 판매</t>
  </si>
  <si>
    <t>S140097</t>
  </si>
  <si>
    <t>대한항공 항공기레이돔 주파수 테스트용 장비 판매</t>
  </si>
  <si>
    <t>S140096</t>
  </si>
  <si>
    <t>(주)엘지스포츠 업무용 전산장비 리스(2014년 5월(1차) 시작분)</t>
  </si>
  <si>
    <t>S140095</t>
  </si>
  <si>
    <t>한일건설_KAL신갈연수원 정보통신공사 관련 CCTV장비 납품/설치</t>
  </si>
  <si>
    <t>S140094</t>
  </si>
  <si>
    <t>인하대병원 공항의료센터 큰의사랑솔루션 사용료 판매(갱신, 1년)</t>
  </si>
  <si>
    <t>S140093</t>
  </si>
  <si>
    <t>(주)싸이버스카이 제품 촬영용 H/W(카메라)판매</t>
  </si>
  <si>
    <t>S140092</t>
  </si>
  <si>
    <t>S140091</t>
  </si>
  <si>
    <t>S140090</t>
  </si>
  <si>
    <t>센터마크호텔 사무용 전산기기 판매(변경)</t>
  </si>
  <si>
    <t>주식회사 센터마크호텔</t>
  </si>
  <si>
    <t>S140089</t>
  </si>
  <si>
    <t>대한항공 B787 사업용 CATIA ALC 판매 (갱신계약)</t>
  </si>
  <si>
    <t>S140088</t>
  </si>
  <si>
    <t>대한항공 한국형헬기(KHP) 사업관련 상용S/W 사용권 판매(갱신)</t>
  </si>
  <si>
    <t>S140087</t>
  </si>
  <si>
    <t>S140086</t>
  </si>
  <si>
    <t>미니스톱 점포용 NT서버 3차 추가공급</t>
  </si>
  <si>
    <t>S140085</t>
  </si>
  <si>
    <t>(주)한진 저사양 및 노후PC 교체(221대)</t>
  </si>
  <si>
    <t>S140084</t>
  </si>
  <si>
    <t>S140083</t>
  </si>
  <si>
    <t>S140082</t>
  </si>
  <si>
    <t>S140081</t>
  </si>
  <si>
    <t>맥쿼리(LG스포츠) 리스 장비 판매 건(노트북2대)</t>
  </si>
  <si>
    <t>S140080</t>
  </si>
  <si>
    <t>대한항공 부산사업부용 IP폰 및 회의용전화기 판매</t>
  </si>
  <si>
    <t>S140079</t>
  </si>
  <si>
    <t>S140078</t>
  </si>
  <si>
    <t>(주)대한항공, 업무용 전산장비 리스(4차분 연장계약) (12개월)</t>
  </si>
  <si>
    <t>S140077</t>
  </si>
  <si>
    <t>S140076</t>
  </si>
  <si>
    <t>(주)대한항공, 업무용 전산장비 리스(2014년 4월 시작, 36개월)</t>
  </si>
  <si>
    <t>S140075</t>
  </si>
  <si>
    <t>(주)한국글로발로지스틱스시스템 PC 백신 판매(1년)</t>
  </si>
  <si>
    <t>S140074</t>
  </si>
  <si>
    <t>S140073</t>
  </si>
  <si>
    <t>(주)싸이버스카이 전산장비 판매(노트북 1대)</t>
  </si>
  <si>
    <t>S140072</t>
  </si>
  <si>
    <t>한진 문서보안(DRM) 라이센스 추가 판매</t>
  </si>
  <si>
    <t>S140071</t>
  </si>
  <si>
    <t>S140070</t>
  </si>
  <si>
    <t>S140069</t>
  </si>
  <si>
    <t>인하대병원 전산장비 판매(데스크탑PC 70대)</t>
  </si>
  <si>
    <t>S140068</t>
  </si>
  <si>
    <t>S140067</t>
  </si>
  <si>
    <t>토파스여행정보(주) 소프트웨어(한컴오피스)판매</t>
  </si>
  <si>
    <t>S140066</t>
  </si>
  <si>
    <t>대한항공 사단무인기 개발용 S/W 유지보수 및 임차계약</t>
  </si>
  <si>
    <t>S140065</t>
  </si>
  <si>
    <t>대한항공 대전 한국형헬기(KHP) 개발용 CATIA ALC 판매 (갱신계약)</t>
  </si>
  <si>
    <t>S140064</t>
  </si>
  <si>
    <t>맥쿼리(LG스포츠) 리스 장비 판매 건(노트북19대)</t>
  </si>
  <si>
    <t>S140063</t>
  </si>
  <si>
    <t>(주)한진 전산장비 판매(탭북 18대)</t>
  </si>
  <si>
    <t>S140062</t>
  </si>
  <si>
    <t>(주)대한항공, 업무용 전산장비 리스(3차분 연장계약) (12개월)</t>
  </si>
  <si>
    <t>S140061</t>
  </si>
  <si>
    <t>S140060</t>
  </si>
  <si>
    <t>맥쿼리, S-OIL 임원용 노트북 판매(3차분 2대)</t>
  </si>
  <si>
    <t>S140059</t>
  </si>
  <si>
    <t>(주)한진관광 PC백신 S/W판매(알약)</t>
  </si>
  <si>
    <t>S140058</t>
  </si>
  <si>
    <t>S140057</t>
  </si>
  <si>
    <t>진에어 전산장비 판매(태블릿 19대)</t>
  </si>
  <si>
    <t>S140056</t>
  </si>
  <si>
    <t>대한항공 김해 787사업용 CATIA ALC 판매(갱신계약)</t>
  </si>
  <si>
    <t>S140055</t>
  </si>
  <si>
    <t>대한항공 고객정보분석용 데이터마이닝툴(IBM SPSS) 판매</t>
  </si>
  <si>
    <t>S140054</t>
  </si>
  <si>
    <t>S140053</t>
  </si>
  <si>
    <t>S140052</t>
  </si>
  <si>
    <t>S140051</t>
  </si>
  <si>
    <t>맥쿼리, S-OIL 신입직원용 PC 판매(2차분 전문대졸 37대)</t>
  </si>
  <si>
    <t>S140050</t>
  </si>
  <si>
    <t>(주)싸이버스카이 전산장비 판매 (모니터 1대)</t>
  </si>
  <si>
    <t>S140049</t>
  </si>
  <si>
    <t>토파스여행정보(주) PC 백신 S/W판매(1년, 신규)</t>
  </si>
  <si>
    <t>S140048</t>
  </si>
  <si>
    <t>인하대병원 전산장비 판매(PACS용 워크스테이션)</t>
  </si>
  <si>
    <t>S140047</t>
  </si>
  <si>
    <t>(주)대한항공, 업무용 전산장비 리스(2차분 연장계약) (12개월)</t>
  </si>
  <si>
    <t>S140046</t>
  </si>
  <si>
    <t>맥쿼리, S-OIL 신입직원용 PC 판매(1차분 80대)</t>
  </si>
  <si>
    <t>S140045</t>
  </si>
  <si>
    <t>(주)한진 설계업무용 S/W(AutoCAD LT) 판매</t>
  </si>
  <si>
    <t>S140044</t>
  </si>
  <si>
    <t>판매품의_인하대 정석학술정보관 출입게이트 시스템</t>
  </si>
  <si>
    <t>S140043</t>
  </si>
  <si>
    <t>인하국제의료센터 공단검진 솔루션 판매</t>
  </si>
  <si>
    <t>S140042</t>
  </si>
  <si>
    <t>판매품의_인하대병원 NAC(T-gate) 장비판매</t>
  </si>
  <si>
    <t>S140041</t>
  </si>
  <si>
    <t>(주)한진 전산장비 판매(DesktopPC 2Set)</t>
  </si>
  <si>
    <t>S140040</t>
  </si>
  <si>
    <t>S-OIL, 상용S/W(MS-EA 외) 라이선스 추가공급(3년계약중 3년차분)</t>
  </si>
  <si>
    <t>S140039</t>
  </si>
  <si>
    <t>선해홀딩스 서버 판매</t>
  </si>
  <si>
    <t>(주)선해홀딩스</t>
  </si>
  <si>
    <t>S140038</t>
  </si>
  <si>
    <t>(주)한진 전산장비 판매(NotebookPC 2대)</t>
  </si>
  <si>
    <t>S140037</t>
  </si>
  <si>
    <t>S140036</t>
  </si>
  <si>
    <t>한국공항(주) 개발Tool SW(Visual Studio 1식) 판매</t>
  </si>
  <si>
    <t>S140035</t>
  </si>
  <si>
    <t>판매(품의)_인하대 정석학술정보관/하이테크관 차세대 NW 구축</t>
  </si>
  <si>
    <t>S140034</t>
  </si>
  <si>
    <t>S140033</t>
  </si>
  <si>
    <t>인하대병원 전산장비 판매(데스크탑PC 5대, 모니터 4대)</t>
  </si>
  <si>
    <t>S140032</t>
  </si>
  <si>
    <t>S140031</t>
  </si>
  <si>
    <t>대한항공 A350사업용 소프트웨어 사용권 판매(갱신계약)</t>
  </si>
  <si>
    <t>S140030</t>
  </si>
  <si>
    <t>(주)대한항공, 업무용 전산장비 리스(2014년 2월 시작, 36개월)</t>
  </si>
  <si>
    <t>S140029</t>
  </si>
  <si>
    <t>(주)진에어 통신장비 판매(키폰 3대)</t>
  </si>
  <si>
    <t>S140028</t>
  </si>
  <si>
    <t>판매품의_항공대학교 무선랜시스템 구축</t>
  </si>
  <si>
    <t>S140027</t>
  </si>
  <si>
    <t>맥쿼리(S-OIL) 노후 PC 교체 판매(추가 8대)</t>
  </si>
  <si>
    <t>S140026</t>
  </si>
  <si>
    <t>인하대병원 검사장비용 인터페이스 S/W 판매</t>
  </si>
  <si>
    <t>S140025</t>
  </si>
  <si>
    <t>대한항공, ENOVIA DMU REVIEW1 ALC(년간라이선스사용권) 갱신 계약 건</t>
  </si>
  <si>
    <t>S140024</t>
  </si>
  <si>
    <t>대한항공 CATIA ALC(년간라이선스사용권) 갱신 계약 건(1차분)</t>
  </si>
  <si>
    <t>S140023</t>
  </si>
  <si>
    <t>S140022</t>
  </si>
  <si>
    <t>(주)진에어 전산장비 판매(Tablet 17대)</t>
  </si>
  <si>
    <t>S140021</t>
  </si>
  <si>
    <t>S140020</t>
  </si>
  <si>
    <t>인하대병원 전산장비 판매(데스크탑PC 4Set)</t>
  </si>
  <si>
    <t>S140019</t>
  </si>
  <si>
    <t>대한항공, 중국 지역 보직자 보안 PC 문서 보안 솔루션 판매</t>
  </si>
  <si>
    <t>S140018</t>
  </si>
  <si>
    <t>(주)싸이버스카이 전산장비 판매(프린터 1대)</t>
  </si>
  <si>
    <t>S140017</t>
  </si>
  <si>
    <t>S140016</t>
  </si>
  <si>
    <t>인하대병원 S/W(Microsoft EES) 라이센스 판매(1년, 갱신)</t>
  </si>
  <si>
    <t>S140015</t>
  </si>
  <si>
    <t>인하대병원 S/W(백신사용권, EMR전자인증서 및 유지보수) 판매(1년, 갱신)</t>
  </si>
  <si>
    <t>S140014</t>
  </si>
  <si>
    <t>미니스톱 점포용 NT서버 판매(추가 계약)</t>
  </si>
  <si>
    <t>S140013</t>
  </si>
  <si>
    <t>인하대병원 S/W(한글) 라이센스 판매(1년, 갱신)</t>
  </si>
  <si>
    <t>S140012</t>
  </si>
  <si>
    <t>S140011</t>
  </si>
  <si>
    <t>(주)대한항공, 업무용 전산장비 리스(2014년 1월 시작, 36개월)</t>
  </si>
  <si>
    <t>S140010</t>
  </si>
  <si>
    <t>S140009</t>
  </si>
  <si>
    <t>(주)항공종합서비스 전산장비 판매 (데스크탑PC 4set)</t>
  </si>
  <si>
    <t>S140008</t>
  </si>
  <si>
    <t>인하국제의료센터 SW(한글 사용권 5ea, 프린터관리툴 3ea) 판매</t>
  </si>
  <si>
    <t>S140007</t>
  </si>
  <si>
    <t>(주)한진 전산장비 판매(PC 1SET_NotebookPC 1대)</t>
  </si>
  <si>
    <t>S140006</t>
  </si>
  <si>
    <t>(주)한진 전산장비 판매(NotebookPC 1대)</t>
  </si>
  <si>
    <t>S140005</t>
  </si>
  <si>
    <t>대한항공 DB암호화솔루션 판매(S/W 및 H/W)</t>
  </si>
  <si>
    <t>S140004</t>
  </si>
  <si>
    <t>(주)엘지스포츠 업무용 전산장비 리스(2014년1월 시작분)</t>
  </si>
  <si>
    <t>S140003</t>
  </si>
  <si>
    <t>(주)한진 전산장비 판매(DesktopPC 1Set)</t>
  </si>
  <si>
    <t>S140002</t>
  </si>
  <si>
    <t>인하대병원 전산용품 판매(백업테이프)</t>
  </si>
  <si>
    <t>S140001</t>
  </si>
  <si>
    <t>토파스 개발자용 SW 판매</t>
  </si>
  <si>
    <t>S130220</t>
  </si>
  <si>
    <t>(주)대한항공, 업무용 전산장비 리스(1-연장, 12개월)</t>
  </si>
  <si>
    <t>S130219</t>
  </si>
  <si>
    <t>토파스여행정보(주), DBMS 유지보수 판매(갱신, 6개월)</t>
  </si>
  <si>
    <t>S130218</t>
  </si>
  <si>
    <t>S130217</t>
  </si>
  <si>
    <t>(주)항공종합서비스, 업무용 전산장비 리스(1-연장, 12개월)</t>
  </si>
  <si>
    <t>S130216</t>
  </si>
  <si>
    <t>(주)칼호텔네트워크, 업무용 전산장비 리스(1-연장, 12개월)</t>
  </si>
  <si>
    <t>S130215</t>
  </si>
  <si>
    <t>인하대병원 전산장비 판매(PACS 스토리지 증설용)</t>
  </si>
  <si>
    <t>S130214</t>
  </si>
  <si>
    <t>대한항공 ERP 3rd Party SW 라이센스 사용권 갱신</t>
  </si>
  <si>
    <t>S130213</t>
  </si>
  <si>
    <t>하얏트리젠시인천 SW 판매(서버 OS 4식)</t>
  </si>
  <si>
    <t>S130212</t>
  </si>
  <si>
    <t>(주)진에어 통신장비 판매(키폰 11대)</t>
  </si>
  <si>
    <t>S130211</t>
  </si>
  <si>
    <t>대림산업, H2호텔_정보통신공사 관련 CCTV장비 납품/설치</t>
  </si>
  <si>
    <t>S130210</t>
  </si>
  <si>
    <t>S130209</t>
  </si>
  <si>
    <t>맥쿼리(S-OIL) 노후 노트북 교체 건(추가 1대)</t>
  </si>
  <si>
    <t>S130208</t>
  </si>
  <si>
    <t>대한항공 상담도우미솔루션 라이센스(갱신) 계약건</t>
  </si>
  <si>
    <t>S130207</t>
  </si>
  <si>
    <t>(주)진에어 통신장비 판매(키폰 7대)</t>
  </si>
  <si>
    <t>S130206</t>
  </si>
  <si>
    <t>S130205</t>
  </si>
  <si>
    <t>맥쿼리(S-OIL) 노후 노트북 교체 건</t>
  </si>
  <si>
    <t>S130204</t>
  </si>
  <si>
    <t>S130203</t>
  </si>
  <si>
    <t>대한항공 B787 확대사업용 CATIA ALC 계약 건(갱신)</t>
  </si>
  <si>
    <t>S130202</t>
  </si>
  <si>
    <t>맥쿼리(LG스포츠) 리스 장비(노트북) 판매 건</t>
  </si>
  <si>
    <t>S130201</t>
  </si>
  <si>
    <t>인하대병원 전산장비 판매(데스크탑PC 2대, 모니터4대)</t>
  </si>
  <si>
    <t>S130200</t>
  </si>
  <si>
    <t>(주)칼호텔네트워크 서귀포KAL칼호텔 PC 백신S/W 판매(1년, 신규)</t>
  </si>
  <si>
    <t>S130199</t>
  </si>
  <si>
    <t>S130198</t>
  </si>
  <si>
    <t>(주)대한항공, 업무용 전산장비 리스(12월 시작분)</t>
  </si>
  <si>
    <t>S130197</t>
  </si>
  <si>
    <t>(주)칼호텔네트워크 제주KAL호텔 PC 백신S/W 판매(1년, 신규)</t>
  </si>
  <si>
    <t>S130196</t>
  </si>
  <si>
    <t>한덱스_SM 직원용 S/W 구매</t>
  </si>
  <si>
    <t>S130195</t>
  </si>
  <si>
    <t>인하대병원 전산장비 및 SW 판매(데스크탑PC12Set,백업SW외 2종)</t>
  </si>
  <si>
    <t>S130194</t>
  </si>
  <si>
    <t>(주)싸이버스카이 DBMS 유지보수 판매(갱신, 2014년도)</t>
  </si>
  <si>
    <t>S130193</t>
  </si>
  <si>
    <t>대한항공 CATIA ALC(년간라이선스사용권) 갱신 계약 건(10차분)</t>
  </si>
  <si>
    <t>S130192</t>
  </si>
  <si>
    <t>(주)진에어 공항업무용 전산장비(SSP,BTP,스케너) 판매</t>
  </si>
  <si>
    <t>S130191</t>
  </si>
  <si>
    <t>S130190</t>
  </si>
  <si>
    <t>S130189</t>
  </si>
  <si>
    <t>S130188</t>
  </si>
  <si>
    <t>판매품의_인하대병원 방화벽 판매(FG-800C-BDL)</t>
  </si>
  <si>
    <t>S130187</t>
  </si>
  <si>
    <t>(주)한진관광 백신 S/W(서버용) 판매(1년, 갱신)</t>
  </si>
  <si>
    <t>S130186</t>
  </si>
  <si>
    <t>S130185</t>
  </si>
  <si>
    <t>인하대병원 서버,스토리지,OS 판매(IBM서버 3식 외)</t>
  </si>
  <si>
    <t>S130184</t>
  </si>
  <si>
    <t>(주)칼호텔네트워크(제주/서귀포) 전산장비 리스(대한항공으로부터 이관)</t>
  </si>
  <si>
    <t>S130183</t>
  </si>
  <si>
    <t>인하대병원 전산장비 판매(데스크탑PC 71대,모니터1대)</t>
  </si>
  <si>
    <t>S130182</t>
  </si>
  <si>
    <t>(주)칼호텔네트워크(서귀포KAL칼호텔) MS-EAS 판매 건(1년차)</t>
  </si>
  <si>
    <t>S130181</t>
  </si>
  <si>
    <t>S130180</t>
  </si>
  <si>
    <t>S130179</t>
  </si>
  <si>
    <t>(주)칼호텔네트워크(제주KAL호텔) MS-EAS 판매 건(1년차)</t>
  </si>
  <si>
    <t>S130178</t>
  </si>
  <si>
    <t>(주)항공종합서비스 전산장비 리스(대한항공으로부터 이관)</t>
  </si>
  <si>
    <t>S130177</t>
  </si>
  <si>
    <t>(주)싸이버스카이 전산장비 판매(NotebookPC 1대)</t>
  </si>
  <si>
    <t>S130176</t>
  </si>
  <si>
    <t>(주)한진 전산장비 판매(DesktopPC 1Set, NotebookPC 1대)</t>
  </si>
  <si>
    <t>S130175</t>
  </si>
  <si>
    <t>대한항공, 방위사업청 사업용 국방 통합원가시스템 연계용 솔루션 판매</t>
  </si>
  <si>
    <t>S130174</t>
  </si>
  <si>
    <t>대한항공 항공우주사업본부 P-3C/MUAV-00 개발용 전산투자</t>
  </si>
  <si>
    <t>S130173</t>
  </si>
  <si>
    <t>S130172</t>
  </si>
  <si>
    <t>인하대병원 전산장비 판매(데스크탑PC 11대, 모니터22대)</t>
  </si>
  <si>
    <t>S130171</t>
  </si>
  <si>
    <t>(주)칼호텔네트워크(서귀포KAL칼호텔) SW(한글) 사용권 판매</t>
  </si>
  <si>
    <t>S130170</t>
  </si>
  <si>
    <t>(주)진에어, 전산장비(Tablet 6대) 판매(장기할부)</t>
  </si>
  <si>
    <t>S130169</t>
  </si>
  <si>
    <t>(주)칼호텔네트워크(제주KAL호텔) SW(한글) 사용권 판매</t>
  </si>
  <si>
    <t>S130168</t>
  </si>
  <si>
    <t>(주)진에어 SW(한글) 판매</t>
  </si>
  <si>
    <t>S130167</t>
  </si>
  <si>
    <t>S130166</t>
  </si>
  <si>
    <t>(주)대한항공, 업무용 전산장비 리스(10월 시작분)</t>
  </si>
  <si>
    <t>S130165</t>
  </si>
  <si>
    <t>S130164</t>
  </si>
  <si>
    <t>대한항공 중고도무인기 전산투자 2차분 S/W 유지보수 계약(2013년 갱신)</t>
  </si>
  <si>
    <t>S130163</t>
  </si>
  <si>
    <t>한국경제TV 방송시설 HD시스템 전환구축 (계약변경)</t>
  </si>
  <si>
    <t>(재)국제방송교류재단</t>
  </si>
  <si>
    <t>S130162</t>
  </si>
  <si>
    <t>Global Website 개발용 S/W(Adobe CMS) 판매 건</t>
  </si>
  <si>
    <t>S130161</t>
  </si>
  <si>
    <t>S130160</t>
  </si>
  <si>
    <t>(주)한진 전산장비 판매(DesktopPC 2Set, NotebookPC 1대)</t>
  </si>
  <si>
    <t>S130159</t>
  </si>
  <si>
    <t>ERP 사업용 ISO Viewer &amp;amp; CGM Converter 유지보수(갱신)</t>
  </si>
  <si>
    <t>S130158</t>
  </si>
  <si>
    <t>(주)대한항공 업무용 전산장비 리스(9월 시작분)</t>
  </si>
  <si>
    <t>S130157</t>
  </si>
  <si>
    <t>(주)한진 전산장비 판매(노트북PC 1대)</t>
  </si>
  <si>
    <t>S130156</t>
  </si>
  <si>
    <t>지경부 샤크렛과제(2차년도) 복합재 해석용 S/W 판매</t>
  </si>
  <si>
    <t>S130155</t>
  </si>
  <si>
    <t>인하대병원 전산장비 판매(데스크탑PC 6Set)</t>
  </si>
  <si>
    <t>S130154</t>
  </si>
  <si>
    <t>S130153</t>
  </si>
  <si>
    <t>KC코트렐 안성공장 AP 장비 판매</t>
  </si>
  <si>
    <t>S130152</t>
  </si>
  <si>
    <t>(주)싸이버스카이 모니터 판매(22&amp;quot; 2대)</t>
  </si>
  <si>
    <t>S130151</t>
  </si>
  <si>
    <t>S130150</t>
  </si>
  <si>
    <t>S130149</t>
  </si>
  <si>
    <t>(주)한진칼 MS-EAS 판매 건(1년차)</t>
  </si>
  <si>
    <t>S130148</t>
  </si>
  <si>
    <t>S130147</t>
  </si>
  <si>
    <t>사단급무인기 개발용 CATIA/고성능컴퓨터 유지보수(갱신) 계약</t>
  </si>
  <si>
    <t>S130146</t>
  </si>
  <si>
    <t>대한항공 2010년 A320사업 지속에 따른 S/W 사용권 갱신 계약</t>
  </si>
  <si>
    <t>S130145</t>
  </si>
  <si>
    <t>인하국제의료센터 V3서버용 라이선스 갱신</t>
  </si>
  <si>
    <t>S130144</t>
  </si>
  <si>
    <t>(주)진에어, 전산장비(Tablet) 판매(장기할부)</t>
  </si>
  <si>
    <t>S130143</t>
  </si>
  <si>
    <t>S130142</t>
  </si>
  <si>
    <t>맥쿼리파이낸스, S-OIL 리스장비 판매 건(8월분)</t>
  </si>
  <si>
    <t>S130141</t>
  </si>
  <si>
    <t>인하대병원 전산장비 판매(데스크탑PC 3Set)</t>
  </si>
  <si>
    <t>S130140</t>
  </si>
  <si>
    <t>(주)대한항공 업무용 전산장비 리스(8월 시작분)</t>
  </si>
  <si>
    <t>S130139</t>
  </si>
  <si>
    <t>한진관광 내부직원 활용 테블릿 판매 추가</t>
  </si>
  <si>
    <t>S130138</t>
  </si>
  <si>
    <t>(주)진에어 통신장비 판매(키폰 5대)</t>
  </si>
  <si>
    <t>S130137</t>
  </si>
  <si>
    <t>S130136</t>
  </si>
  <si>
    <t>S130135</t>
  </si>
  <si>
    <t>(주)한진 백신 S/W 판매(1년, 갱신)</t>
  </si>
  <si>
    <t>S130134</t>
  </si>
  <si>
    <t>(주)대한항공(맥쿼리)용 PC 리스 장비 판매 건</t>
  </si>
  <si>
    <t>S130133</t>
  </si>
  <si>
    <t>(주)칼호텔네트워크 서귀포 KAL호텔 서버용 백신S/W 판매(1년, 신규)</t>
  </si>
  <si>
    <t>S130132</t>
  </si>
  <si>
    <t>주)칼호텔네트워크 제주KAL호텔 서버용 백신S/W 판매(1년, 신규)</t>
  </si>
  <si>
    <t>S130131</t>
  </si>
  <si>
    <t>대한항공 A350 사업(1차분)관련 S/W 사용권 갱신 계약</t>
  </si>
  <si>
    <t>S130130</t>
  </si>
  <si>
    <t>S130129</t>
  </si>
  <si>
    <t>S130128</t>
  </si>
  <si>
    <t>사단급무인기 개발 및 사업관리용 S/W 유지보수(갱신계약)</t>
  </si>
  <si>
    <t>S130127</t>
  </si>
  <si>
    <t>(주)한진 전산장비 판매(노트북PC 12대)</t>
  </si>
  <si>
    <t>S130126</t>
  </si>
  <si>
    <t>(주)한진 전산장비 판매(데스크탑PC 2Set)</t>
  </si>
  <si>
    <t>S130125</t>
  </si>
  <si>
    <t>(주)대한항공 업무용 전산장비 리스(7월 시작분)</t>
  </si>
  <si>
    <t>S130124</t>
  </si>
  <si>
    <t>(주)에어코리아 백신 S/W 판매(1년, 갱신)</t>
  </si>
  <si>
    <t>S130123</t>
  </si>
  <si>
    <t>S130122</t>
  </si>
  <si>
    <t>(주)항공종합서비스 백신 및 한글 S/W 판매(백신수량추가, 한글 1식)</t>
  </si>
  <si>
    <t>S130121</t>
  </si>
  <si>
    <t>(주)한진 전산장비 판매(데스크탑PC 3Set)</t>
  </si>
  <si>
    <t>S130120</t>
  </si>
  <si>
    <t>인하대병원 디자인 S/W 판매(Adobe CS6 1식)</t>
  </si>
  <si>
    <t>S130119</t>
  </si>
  <si>
    <t>대한항공外 22개사 MS-EAS 판매 건(1년차)</t>
  </si>
  <si>
    <t>S130118</t>
  </si>
  <si>
    <t>(주)싸이버스카이 백신 S/W 판매(갱신, 1년)</t>
  </si>
  <si>
    <t>S130117</t>
  </si>
  <si>
    <t>사단급 무인기 개발용 Matlab S/W 라이선스 유지보수 갱신</t>
  </si>
  <si>
    <t>S130116</t>
  </si>
  <si>
    <t>대한항공 대전 무인기사업 CATIA RLC 판매(갱신계약, 5차분)</t>
  </si>
  <si>
    <t>S130115</t>
  </si>
  <si>
    <t>S130114</t>
  </si>
  <si>
    <t>S-OIL(맥쿼리) PC 리스판매 건(추가분)</t>
  </si>
  <si>
    <t>S130113</t>
  </si>
  <si>
    <t>S130112</t>
  </si>
  <si>
    <t>(주)한국글로발로지스틱스시스템 업무용 S/W 판매(한글 2식)</t>
  </si>
  <si>
    <t>S130111</t>
  </si>
  <si>
    <t>(재)국제방송교류재단(아리랑국제방송) 방송시스템 구축</t>
  </si>
  <si>
    <t>S130110</t>
  </si>
  <si>
    <t>S130109</t>
  </si>
  <si>
    <t>(주)진에어 서체SW 판매(양재폰트Set 1식)</t>
  </si>
  <si>
    <t>S130108</t>
  </si>
  <si>
    <t>(주)한진 전산장비 판매(데스크탑PC 1Set)</t>
  </si>
  <si>
    <t>S130107</t>
  </si>
  <si>
    <t>인하대병원 전산장비 판매(PACS/DR 스토리지 증설용)</t>
  </si>
  <si>
    <t>S130106</t>
  </si>
  <si>
    <t>S130105</t>
  </si>
  <si>
    <t>한진관광 내부직원 활용 테블릿 판매</t>
  </si>
  <si>
    <t>S130104</t>
  </si>
  <si>
    <t>대한항공 응급의료헬기사업 통신장비 외) 판매</t>
  </si>
  <si>
    <t>S130103</t>
  </si>
  <si>
    <t>한진드림익스프레스 영업지원시스템용 force.com 사용자 License 갱신</t>
  </si>
  <si>
    <t>S130102</t>
  </si>
  <si>
    <t>(주)한진 영업지원시스템 force.com 사용자 license 갱신</t>
  </si>
  <si>
    <t>S130101</t>
  </si>
  <si>
    <t>(주)대한항공 업무용 전산장비 리스(6월 시작분)</t>
  </si>
  <si>
    <t>S130100</t>
  </si>
  <si>
    <t>(주)진에어 백신 S/W 판매(1년,갱신)</t>
  </si>
  <si>
    <t>S130099</t>
  </si>
  <si>
    <t>(주)진에어 전산장비(Tablet) 판매(장기할부)</t>
  </si>
  <si>
    <t>S130098</t>
  </si>
  <si>
    <t>(주)한진 S/W 판매(인증서,디자인툴,개발툴)</t>
  </si>
  <si>
    <t>S130097</t>
  </si>
  <si>
    <t>한국경제TV 방송시설 HD시스템 전환구축</t>
  </si>
  <si>
    <t>백정승</t>
  </si>
  <si>
    <t>S130096</t>
  </si>
  <si>
    <t>S130095</t>
  </si>
  <si>
    <t>인하대병원 전산장비 및 S/W 판매(서버 1 Set, OS)</t>
  </si>
  <si>
    <t>S130094</t>
  </si>
  <si>
    <t>(주)진에어 사고조사 업무용 H/W(캠코더 외)판매</t>
  </si>
  <si>
    <t>S130093</t>
  </si>
  <si>
    <t>NW프로젝트</t>
  </si>
  <si>
    <t>S130092</t>
  </si>
  <si>
    <t>(주)한진드림익스프레스 전산장비 판매(데스크탑PC 11Set)</t>
  </si>
  <si>
    <t>S130091</t>
  </si>
  <si>
    <t>(주)한진 전산장비 판매(데스크탑PC 5Set)</t>
  </si>
  <si>
    <t>S130090</t>
  </si>
  <si>
    <t>S130089</t>
  </si>
  <si>
    <t>(주)한진드림익스프레스 백신 S/W 판매(1년)</t>
  </si>
  <si>
    <t>S130088</t>
  </si>
  <si>
    <t>KC코트렐 본사 무선AP 장비 판매</t>
  </si>
  <si>
    <t>S130087</t>
  </si>
  <si>
    <t>인하대학교 개인정보보호 시스템구축 장비판매</t>
  </si>
  <si>
    <t>S130086</t>
  </si>
  <si>
    <t>노원을지 병원 외 2개소 무선랜 구축(추가/변경/철거)</t>
  </si>
  <si>
    <t>S130085</t>
  </si>
  <si>
    <t>토파스 백신 S/W(서버용) 판매(1년,갱신)</t>
  </si>
  <si>
    <t>S130084</t>
  </si>
  <si>
    <t>S130083</t>
  </si>
  <si>
    <t>S130082</t>
  </si>
  <si>
    <t>(주)대한항공 업무용 전산장비 리스(5월 시작분)</t>
  </si>
  <si>
    <t>S130081</t>
  </si>
  <si>
    <t>인하대병원 전산장비 판매(모니터4대)</t>
  </si>
  <si>
    <t>S130080</t>
  </si>
  <si>
    <t>대한항공 한국형헬기(KHP)사업관련 상용S/W 사용권 판매(갱신)</t>
  </si>
  <si>
    <t>S130079</t>
  </si>
  <si>
    <t>남부발전 삼척그린파워 스마트IT시스템 구축 설비 납품</t>
  </si>
  <si>
    <t>S130078</t>
  </si>
  <si>
    <t>(주)항공종합서비스 백신 S/W 판매(신규, 1년)</t>
  </si>
  <si>
    <t>S130077</t>
  </si>
  <si>
    <t>에쓰오일 목포저유소 LAN Cable 판매</t>
  </si>
  <si>
    <t>S130076</t>
  </si>
  <si>
    <t>육군정보사령부 동석사업 통신공사 중 장비 납품 및 설치</t>
  </si>
  <si>
    <t>S130075</t>
  </si>
  <si>
    <t>(주)엘지스포츠 업무용 전산장비 리스(4월 시작분)</t>
  </si>
  <si>
    <t>S130074</t>
  </si>
  <si>
    <t>대한항공, 중고도무인기 전산투자 1차분 라이선스 갱신 판매 건</t>
  </si>
  <si>
    <t>S130073</t>
  </si>
  <si>
    <t>S130072</t>
  </si>
  <si>
    <t>(주)한진 VeriSign 전자인증서(코스사이닝)사용권 갱신 판매</t>
  </si>
  <si>
    <t>S130071</t>
  </si>
  <si>
    <t>인하대병원 전산장비 판매(데스크탑PC 59대)</t>
  </si>
  <si>
    <t>S130070</t>
  </si>
  <si>
    <t>S130069</t>
  </si>
  <si>
    <t>인하대병원 공항의료센터 큰의사랑 솔루션 사용료 판매(갱신, 1년)</t>
  </si>
  <si>
    <t>S130068</t>
  </si>
  <si>
    <t>대한항공 화물터미널 수입통관화물 부착용 RFID 태그 판매건 (추가)</t>
  </si>
  <si>
    <t>S130067</t>
  </si>
  <si>
    <t>S130066</t>
  </si>
  <si>
    <t>S130065</t>
  </si>
  <si>
    <t>정석기업(주) 백신 S/W 판매(1년)</t>
  </si>
  <si>
    <t>S130064</t>
  </si>
  <si>
    <t>해외긴급구호 의료팀 소모품 판매</t>
  </si>
  <si>
    <t>국립중앙의료원</t>
  </si>
  <si>
    <t>S130063</t>
  </si>
  <si>
    <t>해외긴급구호 의료팀 장비 판매</t>
  </si>
  <si>
    <t>S130061</t>
  </si>
  <si>
    <t>싸이버스카이 DBMS 유지보수 판매(갱신, 2013년도)</t>
  </si>
  <si>
    <t>S130060</t>
  </si>
  <si>
    <t>(주)한진 개발용 S/W(PowerBuilder 2식) 판매</t>
  </si>
  <si>
    <t>S130059</t>
  </si>
  <si>
    <t>해군군수사령부 엑스선촬영장치 판매(입찰)</t>
  </si>
  <si>
    <t>해군군수사령부</t>
  </si>
  <si>
    <t>S130058</t>
  </si>
  <si>
    <t>대한항공 대전 한국형헬기(KHP) 사업용 CATIA RLC 판매(갱신계약)</t>
  </si>
  <si>
    <t>S130057</t>
  </si>
  <si>
    <t>대한항공 김해테크센터 B787사업 CATIA RLC 판매(갱신계약)</t>
  </si>
  <si>
    <t>S130056</t>
  </si>
  <si>
    <t>인하대병원 전산장비 판매(모니터 1대)</t>
  </si>
  <si>
    <t>S130055</t>
  </si>
  <si>
    <t>(주)한국글로발로지스틱스시스템 백신 S/W 판매(1년)</t>
  </si>
  <si>
    <t>S130054</t>
  </si>
  <si>
    <t>(주)대한항공 키오스크용 장비 판매(카드리더기 1대)</t>
  </si>
  <si>
    <t>S130053</t>
  </si>
  <si>
    <t>인하대병원 전산장비 판매(데스크탑PC 24대)</t>
  </si>
  <si>
    <t>S130052</t>
  </si>
  <si>
    <t>대한항공, 701 신호정보기 전산S/W 판매건</t>
  </si>
  <si>
    <t>S130051</t>
  </si>
  <si>
    <t>인하대병원 전산장비 및 S/W 판매(서버 1 Set, OS, DB)</t>
  </si>
  <si>
    <t>S130050</t>
  </si>
  <si>
    <t>(주)대한항공 업무용 전산장비 리스(4월 시작분)</t>
  </si>
  <si>
    <t>S130049</t>
  </si>
  <si>
    <t>S130048</t>
  </si>
  <si>
    <t>(주)LG스포츠(맥쿼리) PC 리스 장비 판매 건</t>
  </si>
  <si>
    <t>S130047</t>
  </si>
  <si>
    <t>S130046</t>
  </si>
  <si>
    <t>S130045</t>
  </si>
  <si>
    <t>대한항공 김해787사업용 CATIA RLC 판매(갱신계약)</t>
  </si>
  <si>
    <t>S130044</t>
  </si>
  <si>
    <t>S130043</t>
  </si>
  <si>
    <t>(주)항공종합서비스 전산장비 판매(데스크탑PC 4Set)</t>
  </si>
  <si>
    <t>S130042</t>
  </si>
  <si>
    <t>(주)한진관광 백신 S/W 판매(1년)</t>
  </si>
  <si>
    <t>S130041</t>
  </si>
  <si>
    <t>협성대학교 스마트캠퍼스 구축용 무선장비 판매</t>
  </si>
  <si>
    <t>S130040</t>
  </si>
  <si>
    <t>S130039</t>
  </si>
  <si>
    <t>S130038</t>
  </si>
  <si>
    <t>한진 DLS 분석용 Chart 프로그램 판매</t>
  </si>
  <si>
    <t>S130037</t>
  </si>
  <si>
    <t>S-OIL SQL-CAL 라이센스 추가 판매 건</t>
  </si>
  <si>
    <t>S130036</t>
  </si>
  <si>
    <t>이화여대 목동병원 산부인과 초음파장비 판매(임대)</t>
  </si>
  <si>
    <t>이화여대부속목동병원</t>
  </si>
  <si>
    <t>S130035</t>
  </si>
  <si>
    <t>HNT(주) S-OIL 노후 PC 매각 판매</t>
  </si>
  <si>
    <t>S130034</t>
  </si>
  <si>
    <t>미쓰이 스미토모은행 IP-PBX 설치 납품</t>
  </si>
  <si>
    <t>(주)케이티네트웍스</t>
  </si>
  <si>
    <t>S130033</t>
  </si>
  <si>
    <t>이화여대 목동병원 응급의학과 초음파장비 판매(임대)</t>
  </si>
  <si>
    <t>S130032</t>
  </si>
  <si>
    <t>(주)대한항공 업무용 전산장비 리스(3월 시작분)</t>
  </si>
  <si>
    <t>S130031</t>
  </si>
  <si>
    <t>S130030</t>
  </si>
  <si>
    <t>S130029</t>
  </si>
  <si>
    <t>(주)진에어 전산장비(핸디스케너) 판매</t>
  </si>
  <si>
    <t>S130028</t>
  </si>
  <si>
    <t>(주)진에어 FIDS(제주공항) 추가분 판매</t>
  </si>
  <si>
    <t>S130027</t>
  </si>
  <si>
    <t>한국항공대학교 연구실험동 신축관 무선네트워크 장비판매</t>
  </si>
  <si>
    <t>한국항공대학교(폐업 2013.10.25)</t>
  </si>
  <si>
    <t>S130026</t>
  </si>
  <si>
    <t>한국동서발전 IP Phone 27대 납품</t>
  </si>
  <si>
    <t>한국동서발전(주) 울산화력발전본부</t>
  </si>
  <si>
    <t>S130025</t>
  </si>
  <si>
    <t>한국서부발전 화상회의시스템 설비 납품</t>
  </si>
  <si>
    <t>S130024</t>
  </si>
  <si>
    <t>S-OIL MS-EA(Enterprise Agreement) 라이센스 사용권 판매(3년차)</t>
  </si>
  <si>
    <t>S130023</t>
  </si>
  <si>
    <t>S130022</t>
  </si>
  <si>
    <t>S130021</t>
  </si>
  <si>
    <t>S130020</t>
  </si>
  <si>
    <t>토파스여행정보(주) 백신 S/W 판매(갱신, 1년)</t>
  </si>
  <si>
    <t>S130019</t>
  </si>
  <si>
    <t>대한항공, 무인기개발용 ENOVIA DMU Review1 판매</t>
  </si>
  <si>
    <t>S130018</t>
  </si>
  <si>
    <t>(주)앤플럭스, 유동해석용 ANSYS CFD SW 판매</t>
  </si>
  <si>
    <t>주식회사 앤플럭스</t>
  </si>
  <si>
    <t>S130017</t>
  </si>
  <si>
    <t>S130016</t>
  </si>
  <si>
    <t>인하대병원 S/W 라이센스 판매</t>
  </si>
  <si>
    <t>S130015</t>
  </si>
  <si>
    <t>인하대병원 전산장비 판매(데스크탑PC 11Set)</t>
  </si>
  <si>
    <t>S130014</t>
  </si>
  <si>
    <t>S-OIL(맥쿼리) PC 리스판매 건(2013년1월분)</t>
  </si>
  <si>
    <t>S130013</t>
  </si>
  <si>
    <t>한진관광 S/W판매(업무용 S/W판매)</t>
  </si>
  <si>
    <t>S130012</t>
  </si>
  <si>
    <t>인하대병원 S/W(MS,한글) 라이센스 판매(1년, 갱신)</t>
  </si>
  <si>
    <t>S130011</t>
  </si>
  <si>
    <t>인하대병원 S/W(EMR 전자인증, 백신) 갱신계약(2013년도)</t>
  </si>
  <si>
    <t>S130010</t>
  </si>
  <si>
    <t>S130009</t>
  </si>
  <si>
    <t>구미순천향병원 무선랜 구축 장비 판매</t>
  </si>
  <si>
    <t>S130008</t>
  </si>
  <si>
    <t>인하대학교 실습용 PC 185set 판매</t>
  </si>
  <si>
    <t>S130007</t>
  </si>
  <si>
    <t>한국항공대학교 연구실험동 네트워크 장비판매</t>
  </si>
  <si>
    <t>S130006</t>
  </si>
  <si>
    <t>(주)한진 전산장비 판매(데스크탑PC 169Set, 노트북PC 1Set)</t>
  </si>
  <si>
    <t>S130005</t>
  </si>
  <si>
    <t>대한항공 B787사업용 CATIA RLC 판매(105copy)</t>
  </si>
  <si>
    <t>S130004</t>
  </si>
  <si>
    <t>토파스 센스리더 S/W 판매</t>
  </si>
  <si>
    <t>S130003</t>
  </si>
  <si>
    <t>(주)대한항공 업무용 전산장비 리스(1월 시작분)</t>
  </si>
  <si>
    <t>S130002</t>
  </si>
  <si>
    <t>대한항공, 중형기 핵심개발용 S/W 판매</t>
  </si>
  <si>
    <t>S130001</t>
  </si>
  <si>
    <t>S-OIL MS-EA 추가 라이센스 판매 건</t>
  </si>
  <si>
    <t>S120224</t>
  </si>
  <si>
    <t>사단무인기 야전시험점검장비 개발용 계측기 판매</t>
  </si>
  <si>
    <t>(주)제노코</t>
  </si>
  <si>
    <t>S120223</t>
  </si>
  <si>
    <t>S120222</t>
  </si>
  <si>
    <t>한국농어촌공사 백업시스템 TAPE 판매</t>
  </si>
  <si>
    <t>한국농어촌공사</t>
  </si>
  <si>
    <t>S120221</t>
  </si>
  <si>
    <t>S120220</t>
  </si>
  <si>
    <t>인천성모병원 외 1개소 무선랜 추가 장비 판매</t>
  </si>
  <si>
    <t>S120219</t>
  </si>
  <si>
    <t>(주)한진드림익스프레스 전산장비 판매(데스크탑PC 10Set)</t>
  </si>
  <si>
    <t>S120218</t>
  </si>
  <si>
    <t>(주)이씨에스텔레콤 ASP서비스 콜센타 구축용 솔루션 판매</t>
  </si>
  <si>
    <t>이씨에스텔레콤</t>
  </si>
  <si>
    <t>S120217</t>
  </si>
  <si>
    <t>제동목장 보안시스템 보완구축 판매(품의)</t>
  </si>
  <si>
    <t>S120216</t>
  </si>
  <si>
    <t>대한항공 B787 확대사업용 CATIA RLC 계약 건(신규)</t>
  </si>
  <si>
    <t>S120215</t>
  </si>
  <si>
    <t>한진 영업지원시스템 force.com 사용자 추가공급</t>
  </si>
  <si>
    <t>S120214</t>
  </si>
  <si>
    <t>대한항공 전산장비(Tablet) 판매(장기할부)</t>
  </si>
  <si>
    <t>S120213</t>
  </si>
  <si>
    <t>S120212</t>
  </si>
  <si>
    <t>S120211</t>
  </si>
  <si>
    <t>S-OIL(맥쿼리) PC 판매 건(2012년12월분)</t>
  </si>
  <si>
    <t>S120210</t>
  </si>
  <si>
    <t>인하대병원 네트워크 포트 판매</t>
  </si>
  <si>
    <t>S120209</t>
  </si>
  <si>
    <t>센터마크호텔 사무용 전산기기 판매 (추가분)</t>
  </si>
  <si>
    <t>S120208</t>
  </si>
  <si>
    <t>토파스 DBMS 유지보수 판매(갱신, 1년)</t>
  </si>
  <si>
    <t>S120207</t>
  </si>
  <si>
    <t>우리은행 콜센터시스템 구축</t>
  </si>
  <si>
    <t>S120206</t>
  </si>
  <si>
    <t>한국항공대학교 기숙사 출입통제시스템 장비판매</t>
  </si>
  <si>
    <t>S120205</t>
  </si>
  <si>
    <t>S120204</t>
  </si>
  <si>
    <t>(주)대한항공 업무용 전산장비 리스(12월 시작분)</t>
  </si>
  <si>
    <t>S120203</t>
  </si>
  <si>
    <t>삼환기업 인하대학교 창업보육센터 통신장비 판매</t>
  </si>
  <si>
    <t>삼환기업(주)</t>
  </si>
  <si>
    <t>S120202</t>
  </si>
  <si>
    <t>S120201</t>
  </si>
  <si>
    <t>(주)이즈파크, PLM 개발용 Workstation 판매</t>
  </si>
  <si>
    <t>S120200</t>
  </si>
  <si>
    <t>인하대병원 전산장비 판매(Workstation 1대, 모니터 1대)</t>
  </si>
  <si>
    <t>S120199</t>
  </si>
  <si>
    <t>인하대병원 전산장비(디스크) 판매</t>
  </si>
  <si>
    <t>S120198</t>
  </si>
  <si>
    <t>(주)진에어 전산장비 판매(카드리더기 22대)</t>
  </si>
  <si>
    <t>S120197</t>
  </si>
  <si>
    <t>인하대병원 전산장비 판매(데스크탑PC 1대)</t>
  </si>
  <si>
    <t>S120196</t>
  </si>
  <si>
    <t>대한항공 701 신호정보기 개발사업 전산장비(HW) 판매</t>
  </si>
  <si>
    <t>S120195</t>
  </si>
  <si>
    <t>대한항공 CATIA RLC 갱신 계약 건</t>
  </si>
  <si>
    <t>S120194</t>
  </si>
  <si>
    <t>S120192</t>
  </si>
  <si>
    <t>한국농어촌공사 DB DISK 판매</t>
  </si>
  <si>
    <t>S120191</t>
  </si>
  <si>
    <t>동양네트웍스 통합백업시스템 개편용 H/W, SW 납품</t>
  </si>
  <si>
    <t>동양네트웍스(주)</t>
  </si>
  <si>
    <t>S120190</t>
  </si>
  <si>
    <t>인천대학교 차세대 UI종합정보시스템 구축용 물품판매</t>
  </si>
  <si>
    <t>S120189</t>
  </si>
  <si>
    <t>(주)한진관광 백신 S/W (서버용, 1년형 갱신)</t>
  </si>
  <si>
    <t>S120188</t>
  </si>
  <si>
    <t>정석기업(주) S/W(CAD) 판매</t>
  </si>
  <si>
    <t>S120187</t>
  </si>
  <si>
    <t>인하대병원 전산장비 판매(데스크탑PC 50대)</t>
  </si>
  <si>
    <t>S120186</t>
  </si>
  <si>
    <t>(주)대한항공 업무용 전산장비 리스(11월 시작분)</t>
  </si>
  <si>
    <t>S120185</t>
  </si>
  <si>
    <t>(주)한진 S/W 판매(DBMS 라이센스)</t>
  </si>
  <si>
    <t>S120184</t>
  </si>
  <si>
    <t>대한항공 상담도우미솔루션 및 검색엔진 라이센스 갱신 사업</t>
  </si>
  <si>
    <t>S120183</t>
  </si>
  <si>
    <t>분당차병원 외 2개소 무선랜 구축 장비 판매</t>
  </si>
  <si>
    <t>S120182</t>
  </si>
  <si>
    <t>아리랑국제방송 방송장비구매(6차) 사업계약의 건</t>
  </si>
  <si>
    <t>S120181</t>
  </si>
  <si>
    <t>테스트 판매품의서_20121108-001</t>
  </si>
  <si>
    <t>현샘이</t>
  </si>
  <si>
    <t>S120180</t>
  </si>
  <si>
    <t>인하대병원 전산장비 판매(데스크탑PC 12대,모니터 8대, 출력S/W)</t>
  </si>
  <si>
    <t>S120179</t>
  </si>
  <si>
    <t>중부발전 정보보호시스템 보강설비 구축</t>
  </si>
  <si>
    <t>S120178</t>
  </si>
  <si>
    <t>S120177</t>
  </si>
  <si>
    <t>토파스여행정보(주) 업무용S/W 판매</t>
  </si>
  <si>
    <t>S120176</t>
  </si>
  <si>
    <t>S120175</t>
  </si>
  <si>
    <t>인하대학교 HP 네트워크 기술지원 라이센스 판매</t>
  </si>
  <si>
    <t>(주)한매기술</t>
  </si>
  <si>
    <t>S120174</t>
  </si>
  <si>
    <t>(주)진에어 전산장비 판매(프린터 1대)</t>
  </si>
  <si>
    <t>S120173</t>
  </si>
  <si>
    <t>㈜씨에이텍, 항공기 부품 확인용 레이저 계측기 판매</t>
  </si>
  <si>
    <t>주식회사 씨에이텍</t>
  </si>
  <si>
    <t>S120171</t>
  </si>
  <si>
    <t>센터마크호텔 사무용 전산기기 판매</t>
  </si>
  <si>
    <t>S120170</t>
  </si>
  <si>
    <t>(주)진에어 통신장비 판매(키폰 15대)</t>
  </si>
  <si>
    <t>S120169</t>
  </si>
  <si>
    <t>호미오세라피(주) 전산장비 및 SW판매(PC 2Set, MSOffice)</t>
  </si>
  <si>
    <t>S120168</t>
  </si>
  <si>
    <t>대한항공 화물터미널 수입통관화물 부착용 RFID 태그 판매건</t>
  </si>
  <si>
    <t>S120167</t>
  </si>
  <si>
    <t>(주)한진 전산장비 판매(데스크탑PC 6Set)</t>
  </si>
  <si>
    <t>S120166</t>
  </si>
  <si>
    <t>대한항공 MUAV 전산투자 2차 라이센스 갱신 사업</t>
  </si>
  <si>
    <t>S120165</t>
  </si>
  <si>
    <t>한덱스 영업지원시스템용 force.com User License 추가공급</t>
  </si>
  <si>
    <t>S120164</t>
  </si>
  <si>
    <t>판매품의_(주)한진 DB접근제어 솔루션 판매</t>
  </si>
  <si>
    <t>S120163</t>
  </si>
  <si>
    <t>S120162</t>
  </si>
  <si>
    <t>대한항공 A320 사업용 S/W 라이센스 사용권 갱신 계약 건</t>
  </si>
  <si>
    <t>S120161</t>
  </si>
  <si>
    <t>대한항공 중형기 핵심기술개발용 고성능컴퓨터 판매</t>
  </si>
  <si>
    <t>S120160</t>
  </si>
  <si>
    <t>대한항공 ERP CAD Data 자료 변환용 솔루션 라이센스 갱신권 판매</t>
  </si>
  <si>
    <t>S120159</t>
  </si>
  <si>
    <t>(주)대한항공 키오스크용 장비 판매(카드리더기 6대)</t>
  </si>
  <si>
    <t>S120158</t>
  </si>
  <si>
    <t>S120157</t>
  </si>
  <si>
    <t>(주)시스템뱅크, 대외사업용 서버 및 스토리지 판매</t>
  </si>
  <si>
    <t>(주)시스템뱅크</t>
  </si>
  <si>
    <t>S120156</t>
  </si>
  <si>
    <t>(주)싸이버스카이 전산장비 판매(노트북PC 2대)</t>
  </si>
  <si>
    <t>S120155</t>
  </si>
  <si>
    <t>한국공항 화물터미널 수입통관화물 부착용 RFID태그 판매건</t>
  </si>
  <si>
    <t>S120154</t>
  </si>
  <si>
    <t>(주)이즈파크, PLM 시스템 구축용 서버 및 UPS 판매</t>
  </si>
  <si>
    <t>S120153</t>
  </si>
  <si>
    <t>(주)한진 전산장비 판매(Workstation 3대)</t>
  </si>
  <si>
    <t>S120152</t>
  </si>
  <si>
    <t>(주)한진 전산장비 판매(데스크탑PC 1대, 노트북PC 1대)</t>
  </si>
  <si>
    <t>S120151</t>
  </si>
  <si>
    <t>KE 콜센터 이석관리 및 통계솔루션 판매</t>
  </si>
  <si>
    <t>S120150</t>
  </si>
  <si>
    <t>S120149</t>
  </si>
  <si>
    <t>S120148</t>
  </si>
  <si>
    <t>(주)한진 전산장비 판매(데스크탑PC 153Set, 노트북PC 2Set)</t>
  </si>
  <si>
    <t>S120147</t>
  </si>
  <si>
    <t>(주)진에어 인천지점 키폰시스템(주장비 및 키폰) 판매</t>
  </si>
  <si>
    <t>S120146</t>
  </si>
  <si>
    <t>인하대병원 영상편집S/W 판매</t>
  </si>
  <si>
    <t>S120145</t>
  </si>
  <si>
    <t>(주)진에어 영상장비(카메라렌즈 외)판매</t>
  </si>
  <si>
    <t>S120144</t>
  </si>
  <si>
    <t>사단급무인기 개발용 SW 및 HW 라이선스 갱신</t>
  </si>
  <si>
    <t>S120143</t>
  </si>
  <si>
    <t>LG유플러스 전국병원 무선랜 구축(6차)</t>
  </si>
  <si>
    <t>S120142</t>
  </si>
  <si>
    <t>(주)싸이버스카이 업무용 S/W 판매</t>
  </si>
  <si>
    <t>S120141</t>
  </si>
  <si>
    <t>토파스여행정보(주) 디자인 S/W 판매</t>
  </si>
  <si>
    <t>S120140</t>
  </si>
  <si>
    <t>대한항공 A350 사업(1차분)관련 S/W라이센스 사용권 갱신 계약 건</t>
  </si>
  <si>
    <t>S120139</t>
  </si>
  <si>
    <t>S120138</t>
  </si>
  <si>
    <t>S120137</t>
  </si>
  <si>
    <t>(주)진에어 모니터, 영상장비, Software 등 판매(모니터,카메라,포토샵S/W 등)</t>
  </si>
  <si>
    <t>S120136</t>
  </si>
  <si>
    <t>설계협업시스템용 전산해석 계산서버 판매</t>
  </si>
  <si>
    <t>주식회사 링크</t>
  </si>
  <si>
    <t>S120135</t>
  </si>
  <si>
    <t>대한항공(맥쿼리)용 PC 리스 장비 판매 건</t>
  </si>
  <si>
    <t>S120134</t>
  </si>
  <si>
    <t>인천하얏트 MS-EAS 판매 건</t>
  </si>
  <si>
    <t>S120133</t>
  </si>
  <si>
    <t>(주)진에어 전산장비 판매(ROP프린터 1대)</t>
  </si>
  <si>
    <t>S120132</t>
  </si>
  <si>
    <t>중형기 핵심기술 개발 R&amp;amp;D 과제용 Workstation 판매</t>
  </si>
  <si>
    <t>S120131</t>
  </si>
  <si>
    <t>S120130</t>
  </si>
  <si>
    <t>원광대병원 외 1개소 병원용 무선랜 구축</t>
  </si>
  <si>
    <t>S120129</t>
  </si>
  <si>
    <t>(주)한진 전산장비 판매(데스크탑PC 1Set,노트북PC2대)</t>
  </si>
  <si>
    <t>S120128</t>
  </si>
  <si>
    <t>인하대병원 전산장비 판매(데스크탑PC 14Set)</t>
  </si>
  <si>
    <t>S120127</t>
  </si>
  <si>
    <t>(주)대한항공 S/W (웹컴포넌트) 판매</t>
  </si>
  <si>
    <t>S120126</t>
  </si>
  <si>
    <t>여수화력 CCTV설비 통합감시시스템 구축관련 자재 구매</t>
  </si>
  <si>
    <t>(주)한국씨씨에스</t>
  </si>
  <si>
    <t>S120125</t>
  </si>
  <si>
    <t>신촌세브란스병원(시범)외 3개병원 무선랜 구축</t>
  </si>
  <si>
    <t>S120124</t>
  </si>
  <si>
    <t>S120123</t>
  </si>
  <si>
    <t>S120122</t>
  </si>
  <si>
    <t>순천향서울병원 외 2개 병원 무선랜 구축</t>
  </si>
  <si>
    <t>S120121</t>
  </si>
  <si>
    <t>대한항공 한국형헬기(KHP) 사업관련 상용S/W 유지보수 판매(갱신)</t>
  </si>
  <si>
    <t>S120120</t>
  </si>
  <si>
    <t>인하대병원 S/W 라이센스 판매(Adobe)</t>
  </si>
  <si>
    <t>S120119</t>
  </si>
  <si>
    <t>오상자이엘, 한국주택금융공사 노후 장비교체 사업 장비판매건</t>
  </si>
  <si>
    <t>S120118</t>
  </si>
  <si>
    <t>컨설팅지원사업 관리시스템 고도화 구축관련 인프라공급</t>
  </si>
  <si>
    <t>에스아이시스템즈</t>
  </si>
  <si>
    <t>S120117</t>
  </si>
  <si>
    <t>대한항공外 20개사 MS-EAS 판매 품의(3년차)</t>
  </si>
  <si>
    <t>S120116</t>
  </si>
  <si>
    <t>(주)한진 영업지원시스템용 force.com License 공급 계약갱신</t>
  </si>
  <si>
    <t>S120115</t>
  </si>
  <si>
    <t>S120114</t>
  </si>
  <si>
    <t>한덱스 영업지원시스템용 force.com License 공급 계약갱신</t>
  </si>
  <si>
    <t>S120113</t>
  </si>
  <si>
    <t>대한항공 대전 무인기사업 CATIA RLC 판매(5차분 7copy)</t>
  </si>
  <si>
    <t>S120112</t>
  </si>
  <si>
    <t>대한항공 중고도무인기 체계HILS 시험용 SW 판매</t>
  </si>
  <si>
    <t>S120111</t>
  </si>
  <si>
    <t>(주)에어코리아 디자인 S/W 판매(Adobe CS6)</t>
  </si>
  <si>
    <t>S120110</t>
  </si>
  <si>
    <t>ECS텔레콤 라이나생명 IPCC 구축 장비납품</t>
  </si>
  <si>
    <t>S120109</t>
  </si>
  <si>
    <t>인하대병원 전산장비 판매(모니터70대,스토리지증설)</t>
  </si>
  <si>
    <t>S120108</t>
  </si>
  <si>
    <t>(주)에어코리아 백신 S/W 판매(갱신, 1년)</t>
  </si>
  <si>
    <t>S120107</t>
  </si>
  <si>
    <t>호미오세라피(주) 백신 S/W(갱신, 1년)</t>
  </si>
  <si>
    <t>S120106</t>
  </si>
  <si>
    <t>인하대병원 웹방화벽 장비판매</t>
  </si>
  <si>
    <t>S120105</t>
  </si>
  <si>
    <t>S120104</t>
  </si>
  <si>
    <t>S120103</t>
  </si>
  <si>
    <t>(주)진에어 백신 S/W 판매(1년)</t>
  </si>
  <si>
    <t>S120102</t>
  </si>
  <si>
    <t>S120101</t>
  </si>
  <si>
    <t>S120100</t>
  </si>
  <si>
    <t>(주)한진 웹서버보안인증서 판매(갱신, 1년형)</t>
  </si>
  <si>
    <t>S120099</t>
  </si>
  <si>
    <t>인하대병원 전산장비 판매(PACS용 판독스테이션 및 스토리지 증설)</t>
  </si>
  <si>
    <t>S120098</t>
  </si>
  <si>
    <t>SMS 솔루션 연계 모듈 개발(KT용)</t>
  </si>
  <si>
    <t>S120097</t>
  </si>
  <si>
    <t>S120096</t>
  </si>
  <si>
    <t>S120095</t>
  </si>
  <si>
    <t>가톨릭대학교 여의도 성모병원 의료장비(심장초음파) 판매(임대) 건</t>
  </si>
  <si>
    <t>가톨릭대학교 여의도성모병원</t>
  </si>
  <si>
    <t>S120094</t>
  </si>
  <si>
    <t>S-OIL(맥쿼리) PC리스 판매 건(PC 5set)</t>
  </si>
  <si>
    <t>S120093</t>
  </si>
  <si>
    <t>순천향천안병원 외 4개소 무선랜 구축</t>
  </si>
  <si>
    <t>S120092</t>
  </si>
  <si>
    <t>토파스 백신 S/W(서버용) 판매(1년)</t>
  </si>
  <si>
    <t>S120091</t>
  </si>
  <si>
    <t>(주)한진드림익스프레스 영업지원시스템 force.com 서비스 사용자 License 추가</t>
  </si>
  <si>
    <t>S120090</t>
  </si>
  <si>
    <t>S120089</t>
  </si>
  <si>
    <t>(주)진에어 전산장비 판매(데스크탑PC1Set,키폰1대)</t>
  </si>
  <si>
    <t>S120088</t>
  </si>
  <si>
    <t>(주)진에어 전산장비 판매(데스크탑PC4Set)(재품의)</t>
  </si>
  <si>
    <t>S120087</t>
  </si>
  <si>
    <t>S120086</t>
  </si>
  <si>
    <t>아리랑국제방송 뉴스룸시스템 구축 사업계약의 건</t>
  </si>
  <si>
    <t>S120085</t>
  </si>
  <si>
    <t>인하대병원 전산장비 판매(데스크탑PC 1Set)</t>
  </si>
  <si>
    <t>S120084</t>
  </si>
  <si>
    <t>(주)진에어 전산장비 판매(데스크탑PC4Set)</t>
  </si>
  <si>
    <t>S120083</t>
  </si>
  <si>
    <t>S120082</t>
  </si>
  <si>
    <t>S120081</t>
  </si>
  <si>
    <t>S120080</t>
  </si>
  <si>
    <t>S120079</t>
  </si>
  <si>
    <t>중고도무인기 전산투자 1차 라이선스 갱신 사업</t>
  </si>
  <si>
    <t>S120078</t>
  </si>
  <si>
    <t>S120077</t>
  </si>
  <si>
    <t>S120076</t>
  </si>
  <si>
    <t>S120075</t>
  </si>
  <si>
    <t>(주)진에어 전산장비 판매(DesktopPC1대,모니터2대,여권리더기3대,프린터1대)</t>
  </si>
  <si>
    <t>S120074</t>
  </si>
  <si>
    <t>인하대병원 네트워크 장비판매</t>
  </si>
  <si>
    <t>S120073</t>
  </si>
  <si>
    <t>S-OIL(맥쿼리) PC리스 판매 건(5대)</t>
  </si>
  <si>
    <t>S120072</t>
  </si>
  <si>
    <t>구로성심병원 외 3개소 무선랜 구축</t>
  </si>
  <si>
    <t>S120071</t>
  </si>
  <si>
    <t>(주)대한항공 업무용 전산장비 리스(2012년4월 추가분)</t>
  </si>
  <si>
    <t>S120070</t>
  </si>
  <si>
    <t>동양시스템즈 백업시스템 구축용 SW 및 HW 납품</t>
  </si>
  <si>
    <t>동양네트웍스주식회사</t>
  </si>
  <si>
    <t>S120069</t>
  </si>
  <si>
    <t>대한항공 대전 한국형헬기(KHP) 사업용 CATIA RLC 판매(3차분 20copy)</t>
  </si>
  <si>
    <t>S120068</t>
  </si>
  <si>
    <t>대한항공 김해 B787사업 CATIA RLC 판매(4차분 70copy)</t>
  </si>
  <si>
    <t>S120067</t>
  </si>
  <si>
    <t>(주)한진 전산장비 판매(데스크탑PC 4Set)</t>
  </si>
  <si>
    <t>S120066</t>
  </si>
  <si>
    <t>KCEI 전산해석용 계산서버(Cluster Server) 판매 품의</t>
  </si>
  <si>
    <t>주식회사 케이씨이아이</t>
  </si>
  <si>
    <t>S120065</t>
  </si>
  <si>
    <t>경희대학교 산학지원단 CATIA V5 ED2 판매 건</t>
  </si>
  <si>
    <t>(주)신투정보시스템</t>
  </si>
  <si>
    <t>S120064</t>
  </si>
  <si>
    <t>인하대병원 전산장비 판매(데스크탑PC 71대, 모니터1대)</t>
  </si>
  <si>
    <t>S120063</t>
  </si>
  <si>
    <t>대한항공 화물터미널 수입통관화물 부착용 RFID태그 판매건</t>
  </si>
  <si>
    <t>S120062</t>
  </si>
  <si>
    <t>융정보통신 S-OIL 노후 PC 매각 판매</t>
  </si>
  <si>
    <t>융정보통신</t>
  </si>
  <si>
    <t>S120061</t>
  </si>
  <si>
    <t>인하대병원 전산장비 판매(모니터1대)</t>
  </si>
  <si>
    <t>S120060</t>
  </si>
  <si>
    <t>에치앤티(주) S-OIL 노후 PC 매각 판매(S-OIL 직원 재판매용)</t>
  </si>
  <si>
    <t>S120059</t>
  </si>
  <si>
    <t>(주)진에어 전산장비 판매(데스크탑PC1Set)</t>
  </si>
  <si>
    <t>S120058</t>
  </si>
  <si>
    <t>(주)한진드림익스프레스 전산장비 판매(데스크탑PC 1대)</t>
  </si>
  <si>
    <t>S120057</t>
  </si>
  <si>
    <t>성신여자대학교 무선네트워크 구축장비 판매</t>
  </si>
  <si>
    <t>성신여자대학교</t>
  </si>
  <si>
    <t>S120056</t>
  </si>
  <si>
    <t>(주)대한항공 787 확대사업 전산투자 장비판매(Workstation 35Set)</t>
  </si>
  <si>
    <t>S120055</t>
  </si>
  <si>
    <t>(주)한진 영업지원시스템 Force.com 서비스 사용자 license추가</t>
  </si>
  <si>
    <t>S120054</t>
  </si>
  <si>
    <t>(주)한진관광 백신 S/W 판매(1년, 갱신)</t>
  </si>
  <si>
    <t>S120053</t>
  </si>
  <si>
    <t>무인기개발용 전산투자 3-3차 SW 및 HW 판매 건</t>
  </si>
  <si>
    <t>S120052</t>
  </si>
  <si>
    <t>(주)한진 전산장비 판매(데스크탑PC 21대)</t>
  </si>
  <si>
    <t>S120051</t>
  </si>
  <si>
    <t>한진관광 AS400 DB서버 메모리 판매(업무용)</t>
  </si>
  <si>
    <t>S120050</t>
  </si>
  <si>
    <t>한국남동발전 삼천포화력발전소 IP교환기구축용 IP-Phone System 구축</t>
  </si>
  <si>
    <t>주식회사 아이티넷</t>
  </si>
  <si>
    <t>S120049</t>
  </si>
  <si>
    <t>S120048</t>
  </si>
  <si>
    <t>대한항공(맥쿼리)용 PC 리스 장비 판매 건(3월 추가공급 건)</t>
  </si>
  <si>
    <t>S120047</t>
  </si>
  <si>
    <t>S120046</t>
  </si>
  <si>
    <t>(주)진에어 전산장비 판매(DesktopPC2Set,키폰2대)</t>
  </si>
  <si>
    <t>S120045</t>
  </si>
  <si>
    <t>인천공항급유시설 백신 S/W 판매(갱신, 1년)</t>
  </si>
  <si>
    <t>S120044</t>
  </si>
  <si>
    <t>일조텔레콤 네트워크 장비판매</t>
  </si>
  <si>
    <t>일조텔레콤(주)</t>
  </si>
  <si>
    <t>S120043</t>
  </si>
  <si>
    <t>(주)진에어 전산장비 판매(DesktopPC2대, 모니터3대,키폰2대)</t>
  </si>
  <si>
    <t>S120042</t>
  </si>
  <si>
    <t>(주)한진 전산장비 판매(노트북PC 16대)</t>
  </si>
  <si>
    <t>S120041</t>
  </si>
  <si>
    <t>S-OIL(맥쿼리) PC리스 판매 건(전문대졸 신입용)</t>
  </si>
  <si>
    <t>S120040</t>
  </si>
  <si>
    <t>인하대병원 전산장비 판매(서버용HDD)</t>
  </si>
  <si>
    <t>S120039</t>
  </si>
  <si>
    <t>대한항공 우즈베키스탄 나보이 숙소 인터넷 연결 케이블 납품</t>
  </si>
  <si>
    <t>S120038</t>
  </si>
  <si>
    <t>S120037</t>
  </si>
  <si>
    <t>S-OIL MS-EA(Enterprise Agreement) 판매(2년차)</t>
  </si>
  <si>
    <t>S120036</t>
  </si>
  <si>
    <t>(주)한진드림익스프레스 전산장비 판매(데스크탑PC 5Set)</t>
  </si>
  <si>
    <t>S120035</t>
  </si>
  <si>
    <t>(주)진에어 전산장비 판매(L2 스위치 2대)</t>
  </si>
  <si>
    <t>S120034</t>
  </si>
  <si>
    <t>미니스톱 점포용 후지쯔 NT서버 납품</t>
  </si>
  <si>
    <t>S120033</t>
  </si>
  <si>
    <t>대한항공 CATIA RLC 판매(1차분 126copy)</t>
  </si>
  <si>
    <t>S120032</t>
  </si>
  <si>
    <t>대한항공(맥쿼리)용 PC 리스 장비 판매 건(GT&amp;amp;S 13,15,16차분 인수 건)</t>
  </si>
  <si>
    <t>S120031</t>
  </si>
  <si>
    <t>대한항공 CCTV 녹음장치 설치</t>
  </si>
  <si>
    <t>S120030</t>
  </si>
  <si>
    <t>S-OIL(맥쿼리) PC리스 판매 건(신입직원용)</t>
  </si>
  <si>
    <t>S120029</t>
  </si>
  <si>
    <t>기업 전용회선용 네트워크 장비 납품</t>
  </si>
  <si>
    <t>S120028</t>
  </si>
  <si>
    <t>S120027</t>
  </si>
  <si>
    <t>항공종합서비스 전산장비 판매(DesktopPC 2Set)</t>
  </si>
  <si>
    <t>S120026</t>
  </si>
  <si>
    <t>S120025</t>
  </si>
  <si>
    <t>(주)대한항공 업무용 전산장비 리스(한진GT&amp;S 기존계약 인수 건)</t>
  </si>
  <si>
    <t>S120024</t>
  </si>
  <si>
    <t>인하대병원 전산장비 판매(모니터50대)</t>
  </si>
  <si>
    <t>S120023</t>
  </si>
  <si>
    <t>토파스 백신 S/W 판매(갱신, 1년)</t>
  </si>
  <si>
    <t>S120022</t>
  </si>
  <si>
    <t>(주)한진 전산장비 판매(노트북PC 2대)</t>
  </si>
  <si>
    <t>S120021</t>
  </si>
  <si>
    <t>대한항공 A350사업용 2차분 소프트웨어 사용권 판매(갱신계약)</t>
  </si>
  <si>
    <t>S120020</t>
  </si>
  <si>
    <t>나우테스테크놀로지 CTI솔루션개발용 서버 판매</t>
  </si>
  <si>
    <t>나우테스테크놀러지</t>
  </si>
  <si>
    <t>S120019</t>
  </si>
  <si>
    <t>고려대학교 보건과학대학 네트워크장비 판매</t>
  </si>
  <si>
    <t>고려대학교의료원</t>
  </si>
  <si>
    <t>S120018</t>
  </si>
  <si>
    <t>(주)진에어 전산장비 판매(키폰)</t>
  </si>
  <si>
    <t>S120017</t>
  </si>
  <si>
    <t>트리니티 엔지니어링 전산해석용 서버 판매</t>
  </si>
  <si>
    <t>트리니티 엔지니어링</t>
  </si>
  <si>
    <t>S120016</t>
  </si>
  <si>
    <t>트리니티 엔지니어링 전산해석용 서버 부품 판매</t>
  </si>
  <si>
    <t>S120015</t>
  </si>
  <si>
    <t>(주)대한항공 업무용 전산장비 리스</t>
  </si>
  <si>
    <t>S120014</t>
  </si>
  <si>
    <t>S120013</t>
  </si>
  <si>
    <t>업무용 S/W(EMR 전자인증, 백신) 갱신계약</t>
  </si>
  <si>
    <t>S120012</t>
  </si>
  <si>
    <t>인하대병원 S/W 라이센스 판매(1년, 갱신)</t>
  </si>
  <si>
    <t>S120011</t>
  </si>
  <si>
    <t>S120010</t>
  </si>
  <si>
    <t>인하대병원 전산장비 판매(모니터7대)</t>
  </si>
  <si>
    <t>S120009</t>
  </si>
  <si>
    <t>S120008</t>
  </si>
  <si>
    <t>S-OIL(맥쿼리) PC리스 판매 건</t>
  </si>
  <si>
    <t>S120007</t>
  </si>
  <si>
    <t>인하대학교 컴퓨터 및 모니터 163SET 판매</t>
  </si>
  <si>
    <t>S120006</t>
  </si>
  <si>
    <t>(주)진에어 전산시스템 판매(제주공항 FIDS)</t>
  </si>
  <si>
    <t>S120005</t>
  </si>
  <si>
    <t>인피니트헬스케어 보안장비 납품</t>
  </si>
  <si>
    <t>(주)인피니트헬스케어</t>
  </si>
  <si>
    <t>S120004</t>
  </si>
  <si>
    <t>(주)진에어 전산장비 판매(데스크탑PC5Set,전화기,SSP,CCR)</t>
  </si>
  <si>
    <t>S120003</t>
  </si>
  <si>
    <t>대한항공 기내 판매용 POS 단말기 판매</t>
  </si>
  <si>
    <t>S120002</t>
  </si>
  <si>
    <t>대한항공 보잉787 확대 사업관련 S/W 판매</t>
  </si>
  <si>
    <t>S120001</t>
  </si>
  <si>
    <t>한국공항(주) S/W판매(한글)</t>
  </si>
  <si>
    <t>S110187</t>
  </si>
  <si>
    <t>㈜싸이버스카이 전산장비 판매(노트북PC 3대,모니터1대)</t>
  </si>
  <si>
    <t>S110186</t>
  </si>
  <si>
    <t>인하대학교 CCTV 카메라 구축 장비판매</t>
  </si>
  <si>
    <t>(주)에스원</t>
  </si>
  <si>
    <t>S110185</t>
  </si>
  <si>
    <t>S110184</t>
  </si>
  <si>
    <t>S110183</t>
  </si>
  <si>
    <t>공격형무인기 비행제어시스템 개발용 HW 및 SW 판매</t>
  </si>
  <si>
    <t>S110182</t>
  </si>
  <si>
    <t>㈜싸이버스카이 전산장비 판매(노트북PC 1대)</t>
  </si>
  <si>
    <t>S110181</t>
  </si>
  <si>
    <t>토파스 캐싱서버용 DBMS(오라클) 유지보수 라이센스 판매</t>
  </si>
  <si>
    <t>S110180</t>
  </si>
  <si>
    <t>대한항공 CATIA RLC 판매 건(10차분)</t>
  </si>
  <si>
    <t>S110179</t>
  </si>
  <si>
    <t>S110178</t>
  </si>
  <si>
    <t>인하대병원 스토리지(DISK) 판매</t>
  </si>
  <si>
    <t>S110177</t>
  </si>
  <si>
    <t>인천 하얏트(칼호텔네트워크) S/W 판매(LOTUS Notes 사용권갱신계약)</t>
  </si>
  <si>
    <t>S110176</t>
  </si>
  <si>
    <t>대한항공 콜센터 지식관리시스템 라이센스 갱신 사업</t>
  </si>
  <si>
    <t>S110175</t>
  </si>
  <si>
    <t>김포대학 스마트캠퍼스 구축 장비 판매</t>
  </si>
  <si>
    <t>S110174</t>
  </si>
  <si>
    <t>(주)진에어 전산장비 판매(영수증프린터 1대)</t>
  </si>
  <si>
    <t>S110173</t>
  </si>
  <si>
    <t>대한항공 CATIA RLC 판매 건</t>
  </si>
  <si>
    <t>S110172</t>
  </si>
  <si>
    <t>(주)한진드림익스프레스 전산장비 판매(데스크탑PC 9Set)</t>
  </si>
  <si>
    <t>S110171</t>
  </si>
  <si>
    <t>S110170</t>
  </si>
  <si>
    <t>인하대병원 전산장비 판매(서버 외)</t>
  </si>
  <si>
    <t>S110169</t>
  </si>
  <si>
    <t>인하대병원 전산장비 판매(모니터17대)</t>
  </si>
  <si>
    <t>S110168</t>
  </si>
  <si>
    <t>(주)한진 DB암호화 시스템 구축용 솔루션 공급</t>
  </si>
  <si>
    <t>S110167</t>
  </si>
  <si>
    <t>가톨릭대학교 여의도 성모병원 의료장비 판매(임대) 건</t>
  </si>
  <si>
    <t>S110166</t>
  </si>
  <si>
    <t>HP네트워크 유지보수 기술지원 서비스 판매</t>
  </si>
  <si>
    <t>S110165</t>
  </si>
  <si>
    <t>인하공업전문대 무선네트워크장비(AP) 판매</t>
  </si>
  <si>
    <t>S110164</t>
  </si>
  <si>
    <t>S110163</t>
  </si>
  <si>
    <t>(주)한진 전산장비 판매(데스크탑PC 120Set, 노트북PC 8대)</t>
  </si>
  <si>
    <t>S110162</t>
  </si>
  <si>
    <t>(주)대한항공 VHF송수신장치 판매</t>
  </si>
  <si>
    <t>S110161</t>
  </si>
  <si>
    <t>S110160</t>
  </si>
  <si>
    <t>(주)진에어 전산장비 판매(데스크탑PC2대, 모니터1대, 키폰1대)</t>
  </si>
  <si>
    <t>S110159</t>
  </si>
  <si>
    <t>(주)한진관광 백신 S/W (서버용, 1년형)</t>
  </si>
  <si>
    <t>S110158</t>
  </si>
  <si>
    <t>대한항공 전산장비판매(항공용 발권프린터 1대)</t>
  </si>
  <si>
    <t>S110157</t>
  </si>
  <si>
    <t>강원애니고등학교 첨단미디어 제작시설 구축 사업계약의 건</t>
  </si>
  <si>
    <t>강원애니고등학교</t>
  </si>
  <si>
    <t>S110156</t>
  </si>
  <si>
    <t>대한항공 A320 사업관련 S/W 라이센스 사용권 계약 건</t>
  </si>
  <si>
    <t>S110155</t>
  </si>
  <si>
    <t>S110154</t>
  </si>
  <si>
    <t>인하대병원 전산장비 판매(데스크탑PC 73대)</t>
  </si>
  <si>
    <t>S110153</t>
  </si>
  <si>
    <t>(주)진에어 전산장비 판매(데스크탑PC8Set, ROP1대)</t>
  </si>
  <si>
    <t>S110152</t>
  </si>
  <si>
    <t>S110151</t>
  </si>
  <si>
    <t>S110150</t>
  </si>
  <si>
    <t>S110149</t>
  </si>
  <si>
    <t>S110148</t>
  </si>
  <si>
    <t>(주)한진 전산장비 판매(데스크탑PC 60Set)</t>
  </si>
  <si>
    <t>S110147</t>
  </si>
  <si>
    <t>S110146</t>
  </si>
  <si>
    <t>S110145</t>
  </si>
  <si>
    <t>대한항공 형상관리 SW 라이센스 업그레이드 판매건</t>
  </si>
  <si>
    <t>S110144</t>
  </si>
  <si>
    <t>(주)진에어 전산장비 판매(데스크탑PC3Set,프린터,스케너 등)</t>
  </si>
  <si>
    <t>S110143</t>
  </si>
  <si>
    <t>CGV용 POS 단말기 및 크레들 판매</t>
  </si>
  <si>
    <t>S110142</t>
  </si>
  <si>
    <t>S110141</t>
  </si>
  <si>
    <t>S110140</t>
  </si>
  <si>
    <t>(주)한진 전산장비 판매(데스크탑PC 60Set,노트북PC 3대)</t>
  </si>
  <si>
    <t>S110139</t>
  </si>
  <si>
    <t>인하대병원 전산장비 판매(모니터12대)</t>
  </si>
  <si>
    <t>S110138</t>
  </si>
  <si>
    <t>인하대병원 전산장비 판매(데스크탑PC 7대, 모니터8대)</t>
  </si>
  <si>
    <t>S110137</t>
  </si>
  <si>
    <t>LG유플러스 인터넷백본용 Network 장비 판매</t>
  </si>
  <si>
    <t>S110136</t>
  </si>
  <si>
    <t>(주)한진 전산장비 판매(데스크탑PC 8Set)</t>
  </si>
  <si>
    <t>S110135</t>
  </si>
  <si>
    <t>대한항공 A350 사업(1차)관련 S/W라이센스 사용권 갱신 계약건</t>
  </si>
  <si>
    <t>S110134</t>
  </si>
  <si>
    <t>S110133</t>
  </si>
  <si>
    <t>인하대병원 PACS용 스토리지(DISK) 판매</t>
  </si>
  <si>
    <t>S110132</t>
  </si>
  <si>
    <t>인하대병원 전산장비 판매(데스크탑PC 1대, 모니터2대)</t>
  </si>
  <si>
    <t>S110131</t>
  </si>
  <si>
    <t>S110130</t>
  </si>
  <si>
    <t>신도림 디큐브시티 호텔 DID(Digital Information Display) 구축</t>
  </si>
  <si>
    <t>S110129</t>
  </si>
  <si>
    <t>마포 S-Oil사옥 IBS공사중 네트워크장비 판매 변경(품의)</t>
  </si>
  <si>
    <t>한화에스앤씨(주)</t>
  </si>
  <si>
    <t>S110128</t>
  </si>
  <si>
    <t>S110127</t>
  </si>
  <si>
    <t>CJ 충남 방송 송출용 광장비 구축</t>
  </si>
  <si>
    <t>(주)세종티엔씨</t>
  </si>
  <si>
    <t>S110126</t>
  </si>
  <si>
    <t>KE 사단급무인기 설계용 CATIA 및 해석용 서버 판매</t>
  </si>
  <si>
    <t>S110125</t>
  </si>
  <si>
    <t>미니스톱 점포용 GOT장비 판매</t>
  </si>
  <si>
    <t>S110124</t>
  </si>
  <si>
    <t>S110123</t>
  </si>
  <si>
    <t>대한항공 다목적헬기 개발용 CATIA SW 판매</t>
  </si>
  <si>
    <t>(주)대한항공항공우주사업부(폐업)</t>
  </si>
  <si>
    <t>S110122</t>
  </si>
  <si>
    <t>인하대병원 전산장비 판매(데스크탑PC 71대)</t>
  </si>
  <si>
    <t>S110121</t>
  </si>
  <si>
    <t>S110120</t>
  </si>
  <si>
    <t>싸이버스카이 DBMS 유지보수 판매(갱신, 1년)</t>
  </si>
  <si>
    <t>S110119</t>
  </si>
  <si>
    <t>대한항공 전광판 프로그램 수정 판매 건</t>
  </si>
  <si>
    <t>S110118</t>
  </si>
  <si>
    <t>S110117</t>
  </si>
  <si>
    <t>S110116</t>
  </si>
  <si>
    <t>인하대병원 전산장비 판매(데스크탑PC 30대)</t>
  </si>
  <si>
    <t>S110115</t>
  </si>
  <si>
    <t>한국공항 화물터미널 RFID태그 판매건_2회차</t>
  </si>
  <si>
    <t>S110114</t>
  </si>
  <si>
    <t>S110113</t>
  </si>
  <si>
    <t>S110112</t>
  </si>
  <si>
    <t>S110111</t>
  </si>
  <si>
    <t>CJ올리브영 GOT(후지쯔TP700) 장비 판매</t>
  </si>
  <si>
    <t>삼미정보시스템(주)</t>
  </si>
  <si>
    <t>S110110</t>
  </si>
  <si>
    <t>대한항공外 21개사 MS-EAS 판매 품의</t>
  </si>
  <si>
    <t>S110109</t>
  </si>
  <si>
    <t>(주)한진 전산장비 판매(노트북PC 2대,데스크탑PC1Set)</t>
  </si>
  <si>
    <t>S110108</t>
  </si>
  <si>
    <t>(주)한진관광 전산장비 판매(프린터 2대)</t>
  </si>
  <si>
    <t>S110107</t>
  </si>
  <si>
    <t>㈜싸이버스카이 전산장비 판매(데스크탑PC 1대)</t>
  </si>
  <si>
    <t>S110106</t>
  </si>
  <si>
    <t>(주)한진드림익스프레스 전산장비 판매(데스크탑PC8Set)</t>
  </si>
  <si>
    <t>S110105</t>
  </si>
  <si>
    <t>(주)STX 면접용 화상회의솔루션 판매(품의)</t>
  </si>
  <si>
    <t>S110104</t>
  </si>
  <si>
    <t>대한항공 CATIA RLC판매(대전무인기 7copy)</t>
  </si>
  <si>
    <t>S110103</t>
  </si>
  <si>
    <t>사단무인기사업용 Workstation(HP/DELL) 판매</t>
  </si>
  <si>
    <t>S110102</t>
  </si>
  <si>
    <t>인하대병원 전산장비 판매(PC 1Set)</t>
  </si>
  <si>
    <t>S110101</t>
  </si>
  <si>
    <t>(주)한진 전산장비 판매(노트북PC 28대)</t>
  </si>
  <si>
    <t>S110100</t>
  </si>
  <si>
    <t>(주)한진 영업지원시스템 Salesforce.com 서비스 사용자 추가</t>
  </si>
  <si>
    <t>S110099</t>
  </si>
  <si>
    <t>영업지원시스템용 Salesforce.com License 공급 계약갱신</t>
  </si>
  <si>
    <t>S110098</t>
  </si>
  <si>
    <t>KCA손해사정 정보시스템 개선 구축 판매(품의)</t>
  </si>
  <si>
    <t>교보정보통신</t>
  </si>
  <si>
    <t>S110097</t>
  </si>
  <si>
    <t>인하대병원 전산장비 판매(PC 본체40대)</t>
  </si>
  <si>
    <t>S110096</t>
  </si>
  <si>
    <t>S110095</t>
  </si>
  <si>
    <t>(주)싸이버스카이 백신 S/W 판매(신규, 1년)</t>
  </si>
  <si>
    <t>S110094</t>
  </si>
  <si>
    <t>인하대병원 전산장비(모니터 51대, 프린터1대) 및 S/W(CAD) 판매</t>
  </si>
  <si>
    <t>S110093</t>
  </si>
  <si>
    <t>(주)진에어 전산장비 판매(데스크탑PC2Set,노트북PC1대,프린터1대)</t>
  </si>
  <si>
    <t>S110092</t>
  </si>
  <si>
    <t>인하대병원 전산장비(서버 및 디스크) 판매</t>
  </si>
  <si>
    <t>S110091</t>
  </si>
  <si>
    <t>(주)유니컨버스 S/W 판매(백신 및 업무용 S/W)</t>
  </si>
  <si>
    <t>S110090</t>
  </si>
  <si>
    <t>S110089</t>
  </si>
  <si>
    <t>한국공항 근태리더기 교체 사업</t>
  </si>
  <si>
    <t>S110088</t>
  </si>
  <si>
    <t>이화여자대학교 목동병원 의료장비 판매</t>
  </si>
  <si>
    <t>S110087</t>
  </si>
  <si>
    <t>인하대병원 시설팀 전산장비 판매(모니터1대)</t>
  </si>
  <si>
    <t>S110086</t>
  </si>
  <si>
    <t>(주)진에어 전산장비 판매(데스크탑PC10Set,노트북PC1대,프린터1대)</t>
  </si>
  <si>
    <t>S110085</t>
  </si>
  <si>
    <t>한국갤럽 콜센타 구축 장비납품</t>
  </si>
  <si>
    <t>(주)한국갤럽조사연구소</t>
  </si>
  <si>
    <t>S110084</t>
  </si>
  <si>
    <t>(주)케이티렌탈</t>
  </si>
  <si>
    <t>S110083</t>
  </si>
  <si>
    <t>S110082</t>
  </si>
  <si>
    <t>(주)진에어 백신 S/W 판매(갱신 계약,1년)</t>
  </si>
  <si>
    <t>S110081</t>
  </si>
  <si>
    <t>대한항공 김해 B787사업 CATIA RLC 판매(4차분 갱신)</t>
  </si>
  <si>
    <t>S110080</t>
  </si>
  <si>
    <t>인하대병원 전산장비 판매(PC본체 20대)</t>
  </si>
  <si>
    <t>S110079</t>
  </si>
  <si>
    <t>(주)대한항공 통신장비 판매(컨퍼런스전화기 1대)</t>
  </si>
  <si>
    <t>S110078</t>
  </si>
  <si>
    <t>(주)진에어 전산장비 판매(PC1Set,프린터2대)</t>
  </si>
  <si>
    <t>S110077</t>
  </si>
  <si>
    <t>(주)진에어 전산장비 판매(PC3Set,항공용프린터4Set)</t>
  </si>
  <si>
    <t>S110076</t>
  </si>
  <si>
    <t>네트워크 L4 스위치 판매</t>
  </si>
  <si>
    <t>이오아시스</t>
  </si>
  <si>
    <t>S110075</t>
  </si>
  <si>
    <t>중고도무인기 전산투자 1차분 라이선스 갱신 사업</t>
  </si>
  <si>
    <t>S110074</t>
  </si>
  <si>
    <t>성신유치원, 업무용 H/W, S/W 판매</t>
  </si>
  <si>
    <t>성신유치원</t>
  </si>
  <si>
    <t>S110073</t>
  </si>
  <si>
    <t>S110072</t>
  </si>
  <si>
    <t>정석기업(주) 백신 S/W 판매(신규, 1년)</t>
  </si>
  <si>
    <t>S110071</t>
  </si>
  <si>
    <t>과천시청 CCTV 통합관제센터 구축 장비 납품</t>
  </si>
  <si>
    <t>(주)아이센트</t>
  </si>
  <si>
    <t>S110070</t>
  </si>
  <si>
    <t>KAL 중고도무인기 체계HILS 전원공급장치 판매</t>
  </si>
  <si>
    <t>S110069</t>
  </si>
  <si>
    <t>(주)진에어 전산장비 판매(PC1Set)</t>
  </si>
  <si>
    <t>S110068</t>
  </si>
  <si>
    <t>인하대병원 전산장비 판매(PC1Set)</t>
  </si>
  <si>
    <t>S110067</t>
  </si>
  <si>
    <t>S110066</t>
  </si>
  <si>
    <t>(주)한진드림익스프레스 전산장비 판매(PC10Set)</t>
  </si>
  <si>
    <t>S110065</t>
  </si>
  <si>
    <t>S110064</t>
  </si>
  <si>
    <t>ECS텔레콤 인도법인 콜센타 구축 장비납품</t>
  </si>
  <si>
    <t>S110063</t>
  </si>
  <si>
    <t>(주)한국글로발로지스틱스시스템 백신 S/W 판매(신규, 1년)</t>
  </si>
  <si>
    <t>S110062</t>
  </si>
  <si>
    <t>대한항공 CATIA RLC 판매(대전 한국형헬기 사업용 20copy)</t>
  </si>
  <si>
    <t>S110061</t>
  </si>
  <si>
    <t>S110060</t>
  </si>
  <si>
    <t>S110059</t>
  </si>
  <si>
    <t>S110058</t>
  </si>
  <si>
    <t>화물터미널A CCTV 3-2차 구축 사업</t>
  </si>
  <si>
    <t>S110057</t>
  </si>
  <si>
    <t>(주)진에어 전산장비 판매(PC 2 Set)</t>
  </si>
  <si>
    <t>S110056</t>
  </si>
  <si>
    <t>대한항공 화물터미널 ULD 라벨 프린터 납품</t>
  </si>
  <si>
    <t>S110055</t>
  </si>
  <si>
    <t>(주)한진드림익스프레스 백신 S/W 판매(갱신, 1년)</t>
  </si>
  <si>
    <t>S110054</t>
  </si>
  <si>
    <t>인하대병원 임상시험센터 전산장비 판매(PC8Set)</t>
  </si>
  <si>
    <t>S110053</t>
  </si>
  <si>
    <t>(주)한진지티앤에스 백신 S/W(갱신,1년)</t>
  </si>
  <si>
    <t>S110052</t>
  </si>
  <si>
    <t>S110051</t>
  </si>
  <si>
    <t>S-OIL MS-EA(Enterprise Agreement) 판매(1년차)</t>
  </si>
  <si>
    <t>S110050</t>
  </si>
  <si>
    <t>S110049</t>
  </si>
  <si>
    <t>S110048</t>
  </si>
  <si>
    <t>대한항공 CATIA RLC 판매(김해787사업용)</t>
  </si>
  <si>
    <t>S110047</t>
  </si>
  <si>
    <t>대한항공 A350사업용 2차분 소프트웨어 사용권 판매</t>
  </si>
  <si>
    <t>S110046</t>
  </si>
  <si>
    <t>대한항공 IVR 인증시스템 개선 판매건</t>
  </si>
  <si>
    <t>S110045</t>
  </si>
  <si>
    <t>(주)진에어 항공용프린터 스테커(판매)</t>
  </si>
  <si>
    <t>S110044</t>
  </si>
  <si>
    <t>(주)진에어 전산장비 판매(PC 2Set, 노트북 1대, 프린터 2대)</t>
  </si>
  <si>
    <t>S110043</t>
  </si>
  <si>
    <t>(주)한진 전산장비 판매(데스크탑PC 4대, 모니터, 1대, 노트북PC 18대)</t>
  </si>
  <si>
    <t>S110042</t>
  </si>
  <si>
    <t>(주)한진관광 전산장비 판매(프린터 1set)</t>
  </si>
  <si>
    <t>S110041</t>
  </si>
  <si>
    <t>(주)융시스템 전산장비 판매(S-OIL 노후,폐기 전산장비 매각 건)</t>
  </si>
  <si>
    <t>(주)융시스템</t>
  </si>
  <si>
    <t>S110040</t>
  </si>
  <si>
    <t>S110039</t>
  </si>
  <si>
    <t>S110038</t>
  </si>
  <si>
    <t>인하대병원(소화기질환 유효성평가센터) 전산장비 판매(PC 10Set)</t>
  </si>
  <si>
    <t>S110037</t>
  </si>
  <si>
    <t>인하대병원 임상시험센터 연구관리 패키지 S/W 추가 모듈 판매</t>
  </si>
  <si>
    <t>S110036</t>
  </si>
  <si>
    <t>(주)한진 전산장비 판매(데스크탑PC 1대)</t>
  </si>
  <si>
    <t>S110035</t>
  </si>
  <si>
    <t>KC코트렐(주) 서버 판매</t>
  </si>
  <si>
    <t>일공일시스템(주)</t>
  </si>
  <si>
    <t>S110034</t>
  </si>
  <si>
    <t>(주)진에어 전산장비 판매(PC 1 Set)</t>
  </si>
  <si>
    <t>S110033</t>
  </si>
  <si>
    <t>S110032</t>
  </si>
  <si>
    <t>(주)한진 전산장비 판매(데스크탑PC 1Set, 노트북PC 1Set)</t>
  </si>
  <si>
    <t>S110031</t>
  </si>
  <si>
    <t>대한항공 항공보건 체성분 분석장비 인터페이스용 SW 판매</t>
  </si>
  <si>
    <t>S110030</t>
  </si>
  <si>
    <t>(주)싸이버스카이 전산장비 판매(PC 1대, 모니터2대)</t>
  </si>
  <si>
    <t>S110029</t>
  </si>
  <si>
    <t>S110028</t>
  </si>
  <si>
    <t>토파스 백신 S/W(단말,서버) 판매(갱신, 1년)</t>
  </si>
  <si>
    <t>S110027</t>
  </si>
  <si>
    <t>한덱스 용인물류센터 네트웍 개선용 라우터 판매</t>
  </si>
  <si>
    <t>S110026</t>
  </si>
  <si>
    <t>S110025</t>
  </si>
  <si>
    <t>사단급무인기 개발용 Workstation 판매 건</t>
  </si>
  <si>
    <t>(주)대한항공 한국항공기술연구원(폐업)</t>
  </si>
  <si>
    <t>S110024</t>
  </si>
  <si>
    <t>한국공항 화물터미널 RFID태그 판매건</t>
  </si>
  <si>
    <t>S110023</t>
  </si>
  <si>
    <t>S110022</t>
  </si>
  <si>
    <t>한국항공대학교 보안스위치 판매</t>
  </si>
  <si>
    <t>S110021</t>
  </si>
  <si>
    <t>(주)한진 전산장비 판매(PC 3 Set)</t>
  </si>
  <si>
    <t>S110020</t>
  </si>
  <si>
    <t>S110019</t>
  </si>
  <si>
    <t>대한항공 설계용 CATIA 및 Autocad 솔루션 판매 건</t>
  </si>
  <si>
    <t>S110018</t>
  </si>
  <si>
    <t>인하대병원 전산장비 판매(PC본체1대, 모니터2대)</t>
  </si>
  <si>
    <t>S110017</t>
  </si>
  <si>
    <t>인하대병원 S/W라이센스 및 전자인증 유지보수 판매(갱신계약)</t>
  </si>
  <si>
    <t>S110016</t>
  </si>
  <si>
    <t>(주)대한항공 화물터미널 RFID태그 판매건</t>
  </si>
  <si>
    <t>S110015</t>
  </si>
  <si>
    <t>S110014</t>
  </si>
  <si>
    <t>(주)한진 전산장비 판매(PC 2 Set)</t>
  </si>
  <si>
    <t>S110013</t>
  </si>
  <si>
    <t>인하대병원 임상시험센터 전산장비 판매(서버 1 Set 외)</t>
  </si>
  <si>
    <t>S110012</t>
  </si>
  <si>
    <t>영종하늘고등학교 네트워크장비 판매</t>
  </si>
  <si>
    <t>S110011</t>
  </si>
  <si>
    <t>인하대학교 데스크탑 및 모니터 판매</t>
  </si>
  <si>
    <t>S110010</t>
  </si>
  <si>
    <t>한국항공대학교 항공우주센터 204호 네트워크 장비판매</t>
  </si>
  <si>
    <t>S110009</t>
  </si>
  <si>
    <t>S110008</t>
  </si>
  <si>
    <t>S110007</t>
  </si>
  <si>
    <t>(주)한진드림익스프레스 전산장비 판매(서버 1 Set)</t>
  </si>
  <si>
    <t>S110006</t>
  </si>
  <si>
    <t>대구 가톨릭대학교병원 PACS 시스템 판매</t>
  </si>
  <si>
    <t>대구가톨릭대학교병원</t>
  </si>
  <si>
    <t>S110005</t>
  </si>
  <si>
    <t>(주)한진 전산장비 판매(노트북PC 24대)</t>
  </si>
  <si>
    <t>S110004</t>
  </si>
  <si>
    <t>미니스톱 점포 GOT(후지쯔 PDA) 장비 판매품의</t>
  </si>
  <si>
    <t>S110003</t>
  </si>
  <si>
    <t>S110002</t>
  </si>
  <si>
    <t>인하대병원 백신 S/W 사용권 판매(1년, 갱신)</t>
  </si>
  <si>
    <t>S110001</t>
  </si>
  <si>
    <t>(주)한진 전산장비 판매(PC 2, 모니터3대)</t>
  </si>
  <si>
    <t>S100194</t>
  </si>
  <si>
    <t>중고도무인기 체계HILS 성능시험용 장비 판매</t>
  </si>
  <si>
    <t>S100193</t>
  </si>
  <si>
    <t>(주)한국글로발로지스틱스시스템, AIRCIS 운영 장비(WAS 백업서버) 공급</t>
  </si>
  <si>
    <t>김민중</t>
  </si>
  <si>
    <t>S100192</t>
  </si>
  <si>
    <t>인하대병원 전산장비 판매(모니터6대)</t>
  </si>
  <si>
    <t>S100191</t>
  </si>
  <si>
    <t>S100190</t>
  </si>
  <si>
    <t>숭실대 베어드홀외 3개건물 무선네트워크 장비 판매(품의)</t>
  </si>
  <si>
    <t>숭실대학교</t>
  </si>
  <si>
    <t>S100189</t>
  </si>
  <si>
    <t>(주)한진 전산장비 판매(PC 1Set)</t>
  </si>
  <si>
    <t>S100188</t>
  </si>
  <si>
    <t>(주)한진 문서보안솔루션(DRM) 판매</t>
  </si>
  <si>
    <t>S100187</t>
  </si>
  <si>
    <t>(주)한진드림익스프레스 전산용품 판매(백업테이프10ea )</t>
  </si>
  <si>
    <t>S100186</t>
  </si>
  <si>
    <t>(주)한진관광 업무용 S/W 판매</t>
  </si>
  <si>
    <t>S100185</t>
  </si>
  <si>
    <t>S100184</t>
  </si>
  <si>
    <t>S-OIL 전산장비 판매(PC/모니터/노트북 630대)</t>
  </si>
  <si>
    <t>S100183</t>
  </si>
  <si>
    <t>(주)한진 구글License 판매(갱신)</t>
  </si>
  <si>
    <t>S100182</t>
  </si>
  <si>
    <t>S100181</t>
  </si>
  <si>
    <t>S100180</t>
  </si>
  <si>
    <t>숭실대 무선네트워크 장비 판매(품의)</t>
  </si>
  <si>
    <t>S100179</t>
  </si>
  <si>
    <t>한국 IBM 시스템 프린터 납품</t>
  </si>
  <si>
    <t>(주)해람에스아이</t>
  </si>
  <si>
    <t>S100178</t>
  </si>
  <si>
    <t>S-OIL 전산장비 판매(PC 1set)</t>
  </si>
  <si>
    <t>S100177</t>
  </si>
  <si>
    <t>에쓰오일 온산공장 주니퍼 NSM장비 납품</t>
  </si>
  <si>
    <t>S100176</t>
  </si>
  <si>
    <t>(주)한진드림익스프레스 전산장비 판매(PC10 Set)</t>
  </si>
  <si>
    <t>S100175</t>
  </si>
  <si>
    <t>S100174</t>
  </si>
  <si>
    <t>인하대병원 소화기질환 서비스센터(NCEED) S/W 판매</t>
  </si>
  <si>
    <t>S100173</t>
  </si>
  <si>
    <t>(주)한진관광 백신 S/W (신규, 서버용, 1년형)</t>
  </si>
  <si>
    <t>S100172</t>
  </si>
  <si>
    <t>(주)한진 S/W 판매(OS 및 DBMS 라이선스)</t>
  </si>
  <si>
    <t>S100171</t>
  </si>
  <si>
    <t>인천 하얏트(칼호텔네트워크) 전산장비(서버) 판매</t>
  </si>
  <si>
    <t>S100170</t>
  </si>
  <si>
    <t>S100169</t>
  </si>
  <si>
    <t>대한항공 CATIA RLC 판매(9차분)</t>
  </si>
  <si>
    <t>S100168</t>
  </si>
  <si>
    <t>S100167</t>
  </si>
  <si>
    <t>S100166</t>
  </si>
  <si>
    <t>한국항공대학교 도서관 3층 무선네트워크 장비판매</t>
  </si>
  <si>
    <t>S100165</t>
  </si>
  <si>
    <t>S100164</t>
  </si>
  <si>
    <t>(주)진에어 전산장비 판매(PC 2Set)</t>
  </si>
  <si>
    <t>S100163</t>
  </si>
  <si>
    <t>제동목장 출입보안 시스템 추가장비 판매</t>
  </si>
  <si>
    <t>S100162</t>
  </si>
  <si>
    <t>S100161</t>
  </si>
  <si>
    <t>S100160</t>
  </si>
  <si>
    <t>(주)한진 웹서버보안인증서 판매(1년형, 신규/갱신)</t>
  </si>
  <si>
    <t>S100159</t>
  </si>
  <si>
    <t>행정안전부 정부통합센터 전산장비 판매 건</t>
  </si>
  <si>
    <t>시스템어소시에이츠(주)</t>
  </si>
  <si>
    <t>S100158</t>
  </si>
  <si>
    <t>(주)대한항공 백신 S/W (신규, 2년형)</t>
  </si>
  <si>
    <t>S100157</t>
  </si>
  <si>
    <t>인하대병원 전산장비 판매(모니터32대)</t>
  </si>
  <si>
    <t>S100156</t>
  </si>
  <si>
    <t>마포 S-Oil사옥 IBS공사중 네트워크장비 판매</t>
  </si>
  <si>
    <t>S100155</t>
  </si>
  <si>
    <t>대한항공 정보보호 안전진단 및 모의해킹 컨설팅 교육 판매</t>
  </si>
  <si>
    <t>S100154</t>
  </si>
  <si>
    <t>(주)한진 전산장비 판매(PC본체 3대, 모니터2대)</t>
  </si>
  <si>
    <t>S100153</t>
  </si>
  <si>
    <t>G마켓 스토리지시스템 판매(품의)</t>
  </si>
  <si>
    <t>(주)케이비데이타시스템</t>
  </si>
  <si>
    <t>S100152</t>
  </si>
  <si>
    <t>(주)한진관광 전산장비 판매(프린터 2set)</t>
  </si>
  <si>
    <t>S100151</t>
  </si>
  <si>
    <t>KC코트렐(주) Switch Hub 판매</t>
  </si>
  <si>
    <t>S100150</t>
  </si>
  <si>
    <t>(주)진에어 전산장비 판매(PC 1Set, 프린터 1대)</t>
  </si>
  <si>
    <t>S100149</t>
  </si>
  <si>
    <t>인하대병원 임상시험센터 통계소프트웨어(SPSS) 판매</t>
  </si>
  <si>
    <t>S100148</t>
  </si>
  <si>
    <t>S100147</t>
  </si>
  <si>
    <t>(주)한진 전산장비 판매(PC본체 2Set)</t>
  </si>
  <si>
    <t>S100146</t>
  </si>
  <si>
    <t>훈련용 시뮬레이터 구축용 전산부품 및 장비 제작 판매 품의</t>
  </si>
  <si>
    <t>신일정보기술(주)</t>
  </si>
  <si>
    <t>S100145</t>
  </si>
  <si>
    <t>(주)진에어 전산장비 판매(PC 3Set, 노트북 1대, 프린터 2대)</t>
  </si>
  <si>
    <t>S100144</t>
  </si>
  <si>
    <t>고려대학교 안암병원 의료장비 판매</t>
  </si>
  <si>
    <t>S100143</t>
  </si>
  <si>
    <t>대한항공 정비ERP CAD Data 변환 솔루션 공급</t>
  </si>
  <si>
    <t>S100142</t>
  </si>
  <si>
    <t>KC코트렐(주) 서버 외 판매</t>
  </si>
  <si>
    <t>S100141</t>
  </si>
  <si>
    <t>인하대병원 전산장비 판매(워크스테이션 1Set)</t>
  </si>
  <si>
    <t>S100140</t>
  </si>
  <si>
    <t>삼성중공업_광주특급호텔 교환기 및 통합SI설비 판매(품의)</t>
  </si>
  <si>
    <t>(주)네트웍리더</t>
  </si>
  <si>
    <t>S100139</t>
  </si>
  <si>
    <t>대한항공 A320사업관련 전산인프라 판매</t>
  </si>
  <si>
    <t>S100138</t>
  </si>
  <si>
    <t>KC코트렐(주) 전산장비 판매(데스크탑 5대 및 노트북 9대)</t>
  </si>
  <si>
    <t>KC코트렐 IT 아웃소싱 서비스 PJT</t>
  </si>
  <si>
    <t>S100137</t>
  </si>
  <si>
    <t>S100136</t>
  </si>
  <si>
    <t>S-OIL 전산장비 판매(노트북3대)</t>
  </si>
  <si>
    <t>S100135</t>
  </si>
  <si>
    <t>S-OIL 전산장비 판매(PC 30set)</t>
  </si>
  <si>
    <t>S100134</t>
  </si>
  <si>
    <t>멀티메디칼 GE PACS 판매</t>
  </si>
  <si>
    <t>멀티메디칼</t>
  </si>
  <si>
    <t>S100133</t>
  </si>
  <si>
    <t>엠디메디칼 GE PACS 판매</t>
  </si>
  <si>
    <t>(주)엠디메디칼</t>
  </si>
  <si>
    <t>S100132</t>
  </si>
  <si>
    <t>S100131</t>
  </si>
  <si>
    <t>해군 CBT 교실 구축 사업 장비 판매 변경 품의</t>
  </si>
  <si>
    <t>(주)디알네트웍스</t>
  </si>
  <si>
    <t>S100130</t>
  </si>
  <si>
    <t>한국타이어 대전공장 네트워크 장비</t>
  </si>
  <si>
    <t>(주)엠프론티어</t>
  </si>
  <si>
    <t>S100129</t>
  </si>
  <si>
    <t>(주)진에어 전산장비 판매(발권/백택프린터 2대,스텐드1대)</t>
  </si>
  <si>
    <t>S100128</t>
  </si>
  <si>
    <t>인하대병원 전산장비 판매(PC본체 4대,모니터4대)</t>
  </si>
  <si>
    <t>S100127</t>
  </si>
  <si>
    <t>S100126</t>
  </si>
  <si>
    <t>S-OIL 전산장비 판매(노트북2대)</t>
  </si>
  <si>
    <t>S100125</t>
  </si>
  <si>
    <t>CGV GOT(Fujitsu PDA) 단말기 납품</t>
  </si>
  <si>
    <t>S100124</t>
  </si>
  <si>
    <t>KAL 비행자료분석솔루션 판매 건</t>
  </si>
  <si>
    <t>S100123</t>
  </si>
  <si>
    <t>(주)한진 전산장비 판매(PC본체 1Set)</t>
  </si>
  <si>
    <t>S100122</t>
  </si>
  <si>
    <t>해군 CBT 교실 구축 사업 장비 판매</t>
  </si>
  <si>
    <t>S100121</t>
  </si>
  <si>
    <t>LG 유플러스 전용망 구축용 장비 판매</t>
  </si>
  <si>
    <t>S100120</t>
  </si>
  <si>
    <t>대한항공 A350 사업(1차)관련 S/W 라이센스 사용권 갱신 계약 건</t>
  </si>
  <si>
    <t>S100119</t>
  </si>
  <si>
    <t>싸이버스카이 백신 S/W 판매(갱신계약)</t>
  </si>
  <si>
    <t>S100118</t>
  </si>
  <si>
    <t>(주)한진 전산장비 판매(PC본체 3Set)</t>
  </si>
  <si>
    <t>S100117</t>
  </si>
  <si>
    <t>싸이버스카이 상용 S/W 유지보수 판매(오라클DB 갱신)</t>
  </si>
  <si>
    <t>S100116</t>
  </si>
  <si>
    <t>브이테크놀러지코리아 서버 및 네트워크장비 판매</t>
  </si>
  <si>
    <t>브이테크놀러지코리아(주)</t>
  </si>
  <si>
    <t>S100115</t>
  </si>
  <si>
    <t>(주)한진 전산장비 판매(PC본체 6Set)</t>
  </si>
  <si>
    <t>S100114</t>
  </si>
  <si>
    <t>(주)진에어 전산장비 판매(발권/백택프린터 8대,스텐드4대)</t>
  </si>
  <si>
    <t>S100113</t>
  </si>
  <si>
    <t>인하대병원 전산장비 판매(PC본체 2대,모니터4대)</t>
  </si>
  <si>
    <t>S100112</t>
  </si>
  <si>
    <t>(주)진에어 전산장비 판매(키보드 2대)</t>
  </si>
  <si>
    <t>S100111</t>
  </si>
  <si>
    <t>S-OIL 전산장비 판매(노트북 4대)</t>
  </si>
  <si>
    <t>S100110</t>
  </si>
  <si>
    <t>S100109</t>
  </si>
  <si>
    <t>(주)진에어 통신장비 판매(키폰 4대)</t>
  </si>
  <si>
    <t>S100108</t>
  </si>
  <si>
    <t>S100107</t>
  </si>
  <si>
    <t>엘투비솔루션 훼미리뱅크 서버이중화 구축 장비판매</t>
  </si>
  <si>
    <t>엘투비솔루션(주)</t>
  </si>
  <si>
    <t>S100106</t>
  </si>
  <si>
    <t>대한항공 군단무인기 시뮬레이터 개발용 연구기자재 판매</t>
  </si>
  <si>
    <t>S100105</t>
  </si>
  <si>
    <t>인하공업전문대학 전산장비(라우터) 판매</t>
  </si>
  <si>
    <t>S100104</t>
  </si>
  <si>
    <t>S100103</t>
  </si>
  <si>
    <t>(주)한진 업무용 S/W 판매</t>
  </si>
  <si>
    <t>S100102</t>
  </si>
  <si>
    <t>(주)대한항공 업무용 S/W 판매</t>
  </si>
  <si>
    <t>S100101</t>
  </si>
  <si>
    <t>LG유플러스 MSPP 광장비 납품</t>
  </si>
  <si>
    <t>S100100</t>
  </si>
  <si>
    <t>S-OIL 전산장비 판매(노트북 6대외)</t>
  </si>
  <si>
    <t>S100099</t>
  </si>
  <si>
    <t>S100098</t>
  </si>
  <si>
    <t>S100097</t>
  </si>
  <si>
    <t>인하대병원 전산장비 판매(PC 5Set)</t>
  </si>
  <si>
    <t>S100096</t>
  </si>
  <si>
    <t>(주)에어코리아 백신 S/W(갱신 계약)</t>
  </si>
  <si>
    <t>S100095</t>
  </si>
  <si>
    <t>호미오세라피(주) 백신 S/W(갱신 계약)</t>
  </si>
  <si>
    <t>S100094</t>
  </si>
  <si>
    <t>진에어 전산장비 판매(PC 1set)</t>
  </si>
  <si>
    <t>S100093</t>
  </si>
  <si>
    <t>인포프린터 사무용 복합기(InfoPrint 1985) 판매</t>
  </si>
  <si>
    <t>(주)피앤에스글로벌</t>
  </si>
  <si>
    <t>S100092</t>
  </si>
  <si>
    <t>(주)한진 전산장비 판매(PC본체 7대, 모니터 6대)</t>
  </si>
  <si>
    <t>S100091</t>
  </si>
  <si>
    <t>(주)한진 백신 S/W(갱신 계약)</t>
  </si>
  <si>
    <t>S100090</t>
  </si>
  <si>
    <t>S100089</t>
  </si>
  <si>
    <t>(주)한진 전산장비 판매(PC 1set)</t>
  </si>
  <si>
    <t>S100088</t>
  </si>
  <si>
    <t>용인시 2010 방범시스템(5차) 장비공급</t>
  </si>
  <si>
    <t>S100087</t>
  </si>
  <si>
    <t>글로벌소프트 백신/보안 S/W 판매</t>
  </si>
  <si>
    <t>(주)글로벌소프트</t>
  </si>
  <si>
    <t>S100086</t>
  </si>
  <si>
    <t>세중정보기술 아래아 한글S/W 판매</t>
  </si>
  <si>
    <t>(주)세중정보기술</t>
  </si>
  <si>
    <t>S100085</t>
  </si>
  <si>
    <t>(주)한진 전산장비 판매(PC 2대, 모니터1대)</t>
  </si>
  <si>
    <t>S100084</t>
  </si>
  <si>
    <t>(주)한진드림익스프레스 전산장비 판매(PC 10set)</t>
  </si>
  <si>
    <t>S100083</t>
  </si>
  <si>
    <t>대한항공外 19개사 MS-EAS 판매 건</t>
  </si>
  <si>
    <t>S100082</t>
  </si>
  <si>
    <t>(주)한진 웹서버보안인증서 판매(신규, 1년형)</t>
  </si>
  <si>
    <t>S100081</t>
  </si>
  <si>
    <t>대한항공 무인기사업관련 CATIA RLC 판매(5차분 갱신계약 건)</t>
  </si>
  <si>
    <t>S100080</t>
  </si>
  <si>
    <t>한국항공대학교 무선네트워크장비 1SET 판매</t>
  </si>
  <si>
    <t>S100079</t>
  </si>
  <si>
    <t>True 3Di 8Inch Monitor(SDM-080) 판매</t>
  </si>
  <si>
    <t>씨앤씨테크</t>
  </si>
  <si>
    <t>S100078</t>
  </si>
  <si>
    <t>진주산업대 전산장비 이중화 시스템 판매</t>
  </si>
  <si>
    <t>S100077</t>
  </si>
  <si>
    <t>(주)진에어 전산장비 판매(PC 2set)</t>
  </si>
  <si>
    <t>S100076</t>
  </si>
  <si>
    <t>S-OIL 신입직원용 PC 11set 판매</t>
  </si>
  <si>
    <t>S100075</t>
  </si>
  <si>
    <t>(주)한진 전산장비 판매(PC 4Set)</t>
  </si>
  <si>
    <t>S100074</t>
  </si>
  <si>
    <t>(주)한진 전산장비 판매(PC 본체2대, 모니터1대)</t>
  </si>
  <si>
    <t>S100073</t>
  </si>
  <si>
    <t>(주)ACS LOTUS 도미노 소프트웨어 판매</t>
  </si>
  <si>
    <t>(주)에이시에스</t>
  </si>
  <si>
    <t>S100072</t>
  </si>
  <si>
    <t>S100071</t>
  </si>
  <si>
    <t>지능형 SMS(Shot Message System) 장비 납품 사업</t>
  </si>
  <si>
    <t>주식회사 디노밴</t>
  </si>
  <si>
    <t>S100070</t>
  </si>
  <si>
    <t>한국신용평가정보(주) DBMS S/W 판매(품의)</t>
  </si>
  <si>
    <t>S100069</t>
  </si>
  <si>
    <t>흥국생명보험㈜ 콜센터 NW 장비 판매</t>
  </si>
  <si>
    <t>아이크래프트㈜</t>
  </si>
  <si>
    <t>S100068</t>
  </si>
  <si>
    <t>인하대학교 정석학술정보관 노후서버 교체사업 장비판매</t>
  </si>
  <si>
    <t>S100067</t>
  </si>
  <si>
    <t>S100066</t>
  </si>
  <si>
    <t>(주)진에어 백신 S/W(갱신 계약)</t>
  </si>
  <si>
    <t>S100065</t>
  </si>
  <si>
    <t>인하대병원 전산장비 판매(PC 22대 및 모니터9대)</t>
  </si>
  <si>
    <t>S100064</t>
  </si>
  <si>
    <t>유니컨버스(주) 백신 S/W(신규 계약)</t>
  </si>
  <si>
    <t>S100063</t>
  </si>
  <si>
    <t>인하대병원 전산장비 판매(PC 1대 및 1394카드)</t>
  </si>
  <si>
    <t>S100062</t>
  </si>
  <si>
    <t>(주)한진 전산장비 판매(PC 2set)</t>
  </si>
  <si>
    <t>S100061</t>
  </si>
  <si>
    <t>대한항공 헬기용 제어컴퓨터 비행항법장치 신뢰성 시험설비 판매</t>
  </si>
  <si>
    <t>S100060</t>
  </si>
  <si>
    <t>S100059</t>
  </si>
  <si>
    <t>(주)한진드림익스프레스 백신 S/W(신규 계약)</t>
  </si>
  <si>
    <t>S100058</t>
  </si>
  <si>
    <t>대한항공 한국형헬기(KHP)사업관련 상용S/W 유지보수 판매(갱신)</t>
  </si>
  <si>
    <t>S100057</t>
  </si>
  <si>
    <t>S100056</t>
  </si>
  <si>
    <t>여객 판매관리시스템(SMILE) Oracle Siebel S/W 판매 건</t>
  </si>
  <si>
    <t>S100055</t>
  </si>
  <si>
    <t>SK브로드밴드 네트워크 장비 판매</t>
  </si>
  <si>
    <t>S100054</t>
  </si>
  <si>
    <t>대한항공 ERP Non-Oracle S/W 수입관리솔루션 유지보수 판매 건</t>
  </si>
  <si>
    <t>S100053</t>
  </si>
  <si>
    <t>(주)한진 전산장비 판매(PC 3대,모니터2대)</t>
  </si>
  <si>
    <t>S100052</t>
  </si>
  <si>
    <t>(주)한진 VeriSign 전자인증 라이센스 갱신 판매</t>
  </si>
  <si>
    <t>S100051</t>
  </si>
  <si>
    <t>S100050</t>
  </si>
  <si>
    <t>(주)진에어 전산장비 판매(모니터 1set)</t>
  </si>
  <si>
    <t>S100049</t>
  </si>
  <si>
    <t>토파스 서버 리눅스 OS 및 전산장비 판매(NW 카드)</t>
  </si>
  <si>
    <t>S100048</t>
  </si>
  <si>
    <t>(주)진에어 전산장비 판매(프린터 1set)</t>
  </si>
  <si>
    <t>S100047</t>
  </si>
  <si>
    <t>S100046</t>
  </si>
  <si>
    <t>(주)한진지티앤에스 백신 S/W(갱신 계약)</t>
  </si>
  <si>
    <t>S100045</t>
  </si>
  <si>
    <t>김포시 청소년 수련관 키폰설치공사 및 장비판매</t>
  </si>
  <si>
    <t>우진씨아이(주)</t>
  </si>
  <si>
    <t>S100044</t>
  </si>
  <si>
    <t>S100043</t>
  </si>
  <si>
    <t>인하대병원 공항의료센터 큰의사랑 솔루션 판매</t>
  </si>
  <si>
    <t>S100042</t>
  </si>
  <si>
    <t>대한항공 A350 전산투자 판매건(3차분)</t>
  </si>
  <si>
    <t>S100041</t>
  </si>
  <si>
    <t>S100040</t>
  </si>
  <si>
    <t>미니스톱 점포 GOT(후지쯔 PDA) 장치 판매품의</t>
  </si>
  <si>
    <t>S100039</t>
  </si>
  <si>
    <t>(주)한진관광 백신 S/W 판매(갱신계약)</t>
  </si>
  <si>
    <t>S100038</t>
  </si>
  <si>
    <t>에쓰오일 전산장비 판매(모니터 2대)</t>
  </si>
  <si>
    <t>S100037</t>
  </si>
  <si>
    <t>(주)한진 전산장비 판매(PC 7set)</t>
  </si>
  <si>
    <t>S100036</t>
  </si>
  <si>
    <t>S100035</t>
  </si>
  <si>
    <t>(주)진에어 전산장비 판매(노트북 1대,프린터1대)</t>
  </si>
  <si>
    <t>S100034</t>
  </si>
  <si>
    <t>인하대병원 전산장비 판매(판독용 모니터 1대 외)</t>
  </si>
  <si>
    <t>S100033</t>
  </si>
  <si>
    <t>화성시 u-만성질환관리시스템 DB서버구축</t>
  </si>
  <si>
    <t>화성시청</t>
  </si>
  <si>
    <t>S100032</t>
  </si>
  <si>
    <t>토파스 서버용 백신 S/W 판매(갱신계약)</t>
  </si>
  <si>
    <t>S100031</t>
  </si>
  <si>
    <t>인천공항급유시설 백신 S/W 판매</t>
  </si>
  <si>
    <t>S100030</t>
  </si>
  <si>
    <t>인하대병원 임상시험센터 연구관리 패키지 S/W 판매</t>
  </si>
  <si>
    <t>S100029</t>
  </si>
  <si>
    <t>인하대병원 전산장비 판매(PC 7대, 모니터6대)</t>
  </si>
  <si>
    <t>S100028</t>
  </si>
  <si>
    <t>ICNKF CCTV 3차 구축</t>
  </si>
  <si>
    <t>S100027</t>
  </si>
  <si>
    <t>S-OIL MS-EA 판매(3년차분)</t>
  </si>
  <si>
    <t>S100026</t>
  </si>
  <si>
    <t>중고도무인기 비행조정시스템 개발환경 구축용 전산장비 판매</t>
  </si>
  <si>
    <t>S100025</t>
  </si>
  <si>
    <t>대한항공 -중고도무인기 제품수명관리(PLM) 라이선스 추가 판매</t>
  </si>
  <si>
    <t>S100024</t>
  </si>
  <si>
    <t>S100023</t>
  </si>
  <si>
    <t>(주)한진 전산장비 판매(PC 3set)</t>
  </si>
  <si>
    <t>S100022</t>
  </si>
  <si>
    <t>한국항공대학교 격납고 L2스위치 구매관련 판매품의</t>
  </si>
  <si>
    <t>S100021</t>
  </si>
  <si>
    <t>인하대병원 전산장비 판매(PC 33대 외)</t>
  </si>
  <si>
    <t>S100020</t>
  </si>
  <si>
    <t>S-OIL 전산장비판매(노트북 19대)</t>
  </si>
  <si>
    <t>S100019</t>
  </si>
  <si>
    <t>대한항공 근태관리용 RFID리더기 이전설치</t>
  </si>
  <si>
    <t>S100018</t>
  </si>
  <si>
    <t>AS/400용 시스템 프린터(InfoPrint) 판매</t>
  </si>
  <si>
    <t>S100017</t>
  </si>
  <si>
    <t>진에어 AFTN용 SDSL모뎀 구매</t>
  </si>
  <si>
    <t>S100016</t>
  </si>
  <si>
    <t>토파스 백신 S/W 판매</t>
  </si>
  <si>
    <t>S100015</t>
  </si>
  <si>
    <t>서소문 Gallery Security System 구매</t>
  </si>
  <si>
    <t>S100014</t>
  </si>
  <si>
    <t>S100013</t>
  </si>
  <si>
    <t>인하대병원 상용S/W 및 서버 부품 판매</t>
  </si>
  <si>
    <t>S100012</t>
  </si>
  <si>
    <t>인하대병원 QC(정도관리)소프트웨어 판매</t>
  </si>
  <si>
    <t>S100011</t>
  </si>
  <si>
    <t>한국항공대학교 서브백본 스위치 1대 구입관련 판매품의</t>
  </si>
  <si>
    <t>S100010</t>
  </si>
  <si>
    <t>인하대병원 의약품정보관리용 서버 판매</t>
  </si>
  <si>
    <t>S100009</t>
  </si>
  <si>
    <t>S100008</t>
  </si>
  <si>
    <t>인하대병원 전산장비 판매(PC 3대 외 4종)</t>
  </si>
  <si>
    <t>S100007</t>
  </si>
  <si>
    <t>인하대병원 산업의학과 서버 및 PACS용 백업 DISK 판매</t>
  </si>
  <si>
    <t>S100006</t>
  </si>
  <si>
    <t>대한항공 부산사업본부 A350사업관련 2차분 판매(S/W)</t>
  </si>
  <si>
    <t>S100005</t>
  </si>
  <si>
    <t>인하대병원 전산장비 판매(PC 1set)</t>
  </si>
  <si>
    <t>S100004</t>
  </si>
  <si>
    <t>S100003</t>
  </si>
  <si>
    <t>인하대병원 임상시험센터 전산장비 판매(PC 10set)</t>
  </si>
  <si>
    <t>S100002</t>
  </si>
  <si>
    <t>한진드림익스프레스 전산장비 판매(PC 5set)</t>
  </si>
  <si>
    <t>S100001</t>
  </si>
  <si>
    <t>인하대병원 S/W라이센스 및 전자인증 유지보수 판매</t>
  </si>
  <si>
    <t>S094022</t>
  </si>
  <si>
    <t>대한항공 MUAV(중고도무인기) 사업관련 전산투자장비 판매(1차분)</t>
  </si>
  <si>
    <t>SYS 프로젝트</t>
  </si>
  <si>
    <t>S094021</t>
  </si>
  <si>
    <t>진에어 통신장비 판매(헤드셋)</t>
  </si>
  <si>
    <t>S094020</t>
  </si>
  <si>
    <t>엘지씨엔에스 후지쯔 PDA 판매품의</t>
  </si>
  <si>
    <t>(주)엘지씨엔에스</t>
  </si>
  <si>
    <t>S094019</t>
  </si>
  <si>
    <t>토파스여행정보 S/W 판매</t>
  </si>
  <si>
    <t>S094018</t>
  </si>
  <si>
    <t>한진관광 S/W 판매(백신갱신)</t>
  </si>
  <si>
    <t>S094017</t>
  </si>
  <si>
    <t>인하대병원 화상회의 시스템 판매</t>
  </si>
  <si>
    <t>S094016</t>
  </si>
  <si>
    <t>인하대병원 전산장비 판매(인천공항의료센터 검진서버)</t>
  </si>
  <si>
    <t>S094015</t>
  </si>
  <si>
    <t>진에어 전산장비 판매(PC 3SET)</t>
  </si>
  <si>
    <t>S094014</t>
  </si>
  <si>
    <t>진에어 디지털 전화기 판매(3대)</t>
  </si>
  <si>
    <t>S094013</t>
  </si>
  <si>
    <t>진에어 인력 충원에 따른 디지털 전화기 판매 품의</t>
  </si>
  <si>
    <t>S094012</t>
  </si>
  <si>
    <t>S-OIL 전산장비 판매(PC)</t>
  </si>
  <si>
    <t>S094011</t>
  </si>
  <si>
    <t>진에어 전산장비 판매(PC)</t>
  </si>
  <si>
    <t>S094010</t>
  </si>
  <si>
    <t>(주)싸이버스카이 전산장비 판매(노트북)</t>
  </si>
  <si>
    <t>S094009</t>
  </si>
  <si>
    <t>인하대병원 전산장비 판매(PC 모니터 외)</t>
  </si>
  <si>
    <t>S094008</t>
  </si>
  <si>
    <t>동국제강 Maximo Annual S/W Renewal License 판매(품의)</t>
  </si>
  <si>
    <t>디케이유엔씨주식회사</t>
  </si>
  <si>
    <t>S094007</t>
  </si>
  <si>
    <t>한국IBM KAL SO팀 InfoPrint 75 장비 판매 건</t>
  </si>
  <si>
    <t>S094006</t>
  </si>
  <si>
    <t>S094005</t>
  </si>
  <si>
    <t>진에어 전산장비 판매</t>
  </si>
  <si>
    <t>S094004</t>
  </si>
  <si>
    <t>(주)에이피에스 전산장비 판매(PC)</t>
  </si>
  <si>
    <t>(주)에이피에스</t>
  </si>
  <si>
    <t>S094003</t>
  </si>
  <si>
    <t>S-OIL MS-EA 판매(2년차분)</t>
  </si>
  <si>
    <t>S094002</t>
  </si>
  <si>
    <t>국제컴퓨터 한국후지쯔 PDA Option판매</t>
  </si>
  <si>
    <t>S094001</t>
  </si>
  <si>
    <t>대한항공 CATIA RLC 판매(KL2)</t>
  </si>
  <si>
    <t>S090152</t>
  </si>
  <si>
    <t>호미오세라피 S/W 판매</t>
  </si>
  <si>
    <t>S090151</t>
  </si>
  <si>
    <t>인천국제공항급유시설 전산장비 판매(모니터1대)</t>
  </si>
  <si>
    <t>S090150</t>
  </si>
  <si>
    <t>S090149</t>
  </si>
  <si>
    <t>싸이버스카이 전산장비 판매(모니터 1대)</t>
  </si>
  <si>
    <t>S090148</t>
  </si>
  <si>
    <t>인하대병원 전산장비 판매(PC 15대, 모니터16대 외)</t>
  </si>
  <si>
    <t>S090147</t>
  </si>
  <si>
    <t>후지쯔 산업용 PDA 판매</t>
  </si>
  <si>
    <t>(주)위드한비스탭스</t>
  </si>
  <si>
    <t>S090146</t>
  </si>
  <si>
    <t>한진관광 S/W판매(디자인 및 업무용 S/W 판매)</t>
  </si>
  <si>
    <t>S090145</t>
  </si>
  <si>
    <t>토파스 캐싱서버용 DBMS 판매</t>
  </si>
  <si>
    <t>S090144</t>
  </si>
  <si>
    <t>한진관광 프린터 판매 건</t>
  </si>
  <si>
    <t>S090143</t>
  </si>
  <si>
    <t>S090142</t>
  </si>
  <si>
    <t>(주)한진 전산장비 판매 (PC 모니터 163 Set)</t>
  </si>
  <si>
    <t>S090141</t>
  </si>
  <si>
    <t>S090140</t>
  </si>
  <si>
    <t>(주)한진 인천공항 통관서버 판매</t>
  </si>
  <si>
    <t>S090139</t>
  </si>
  <si>
    <t>S090138</t>
  </si>
  <si>
    <t>싸이버스카이 전산장비 판매(노트북2대)</t>
  </si>
  <si>
    <t>S090137</t>
  </si>
  <si>
    <t>S090136</t>
  </si>
  <si>
    <t>인하대병원 임상시험센터용 노트북판매(2대)</t>
  </si>
  <si>
    <t>S090135</t>
  </si>
  <si>
    <t>S090134</t>
  </si>
  <si>
    <t>S090133</t>
  </si>
  <si>
    <t>인하대병원 전산장비 판매(PC 1set외)</t>
  </si>
  <si>
    <t>S090132</t>
  </si>
  <si>
    <t>S090131</t>
  </si>
  <si>
    <t>대한항공 CATIA RLC 판매(6차분)</t>
  </si>
  <si>
    <t>S090130</t>
  </si>
  <si>
    <t>인하대병원 S/W판매(DB 사용자 라이센스 판매)</t>
  </si>
  <si>
    <t>S090129</t>
  </si>
  <si>
    <t>(주)한진 전산장비 판매(PC 4set)</t>
  </si>
  <si>
    <t>S090128</t>
  </si>
  <si>
    <t>(주)한진 전산장비 판매(PC3대,모니터2대)</t>
  </si>
  <si>
    <t>S090127</t>
  </si>
  <si>
    <t>토파스 소프트웨어 판매(리포트툴 2copy)</t>
  </si>
  <si>
    <t>S090126</t>
  </si>
  <si>
    <t>(주)이지시스템</t>
  </si>
  <si>
    <t>S090125</t>
  </si>
  <si>
    <t>(주)한진 전산장비 판매(PC 4 set)</t>
  </si>
  <si>
    <t>S090124</t>
  </si>
  <si>
    <t>인하대병원 전산장비 판매(PC 30대외)</t>
  </si>
  <si>
    <t>S090123</t>
  </si>
  <si>
    <t>항공대학교 생활관 출입통제시스템(지문리더기) 추가 장비납품</t>
  </si>
  <si>
    <t>S090122</t>
  </si>
  <si>
    <t>진에어 전산장비 판매(DELL PC 3 set)</t>
  </si>
  <si>
    <t>S090121</t>
  </si>
  <si>
    <t>(주)한진 전산장비 판매(PC 5 set)</t>
  </si>
  <si>
    <t>S090120</t>
  </si>
  <si>
    <t>브이테크놀러지코리아(주) 인프라 개선용 IPS 판매 품의</t>
  </si>
  <si>
    <t>S090119</t>
  </si>
  <si>
    <t>인하대병원 서버 판매(WEB &amp;amp; CDIS서버)</t>
  </si>
  <si>
    <t>S090118</t>
  </si>
  <si>
    <t>한진관광 프린터 판매(흑백레이져프린터 1대)</t>
  </si>
  <si>
    <t>S090117</t>
  </si>
  <si>
    <t>대한항공 정보보호 안전진단을 위한 컨설팅 판매</t>
  </si>
  <si>
    <t>S090116</t>
  </si>
  <si>
    <t>제동목장 키폰(인터폰)시스템 납품/구축</t>
  </si>
  <si>
    <t>S090115</t>
  </si>
  <si>
    <t>(주)한진 전산장비 판매(PC 7 set 외)</t>
  </si>
  <si>
    <t>S090114</t>
  </si>
  <si>
    <t>인하대병원 인천공항의료센터 PACS 시스템 판매</t>
  </si>
  <si>
    <t>S090113</t>
  </si>
  <si>
    <t>진에어 상용 S/W 판매</t>
  </si>
  <si>
    <t>S090112</t>
  </si>
  <si>
    <t>진에어 착신전환 연결장치(무인자동교환시스템) 납품/설치</t>
  </si>
  <si>
    <t>S090111</t>
  </si>
  <si>
    <t>대한항공 MUAV 전산투자 2차분 판매</t>
  </si>
  <si>
    <t>S090110</t>
  </si>
  <si>
    <t>토파스 전산장비 판매(스토리지 및 서버)</t>
  </si>
  <si>
    <t>S090109</t>
  </si>
  <si>
    <t>사이버스카이 백신 S/W 판매(갱신계약)</t>
  </si>
  <si>
    <t>사이버스카이</t>
  </si>
  <si>
    <t>S090108</t>
  </si>
  <si>
    <t>한국항공대학교 서버 및 스위치 장비납품</t>
  </si>
  <si>
    <t>S090107</t>
  </si>
  <si>
    <t>인하대병원 전산장비판매(PC 27대외)</t>
  </si>
  <si>
    <t>S090106</t>
  </si>
  <si>
    <t>S-OIL 전산장비 판매(PC,모니터 13 set)</t>
  </si>
  <si>
    <t>S090105</t>
  </si>
  <si>
    <t>진에어 전산장비 판매(발권용프린터 1대)</t>
  </si>
  <si>
    <t>S090104</t>
  </si>
  <si>
    <t>(주)한진 전산장비 판매(PC/모니터 2 set)</t>
  </si>
  <si>
    <t>S090103</t>
  </si>
  <si>
    <t>진에어 전산장비 판매(프린터8대, 노트북1대)</t>
  </si>
  <si>
    <t>S090102</t>
  </si>
  <si>
    <t>인하대병원 전산장비 판매( PC 4대,모니터 7대)</t>
  </si>
  <si>
    <t>S090101</t>
  </si>
  <si>
    <t>인하대병원 전산장비 판매( PC 4대 외)</t>
  </si>
  <si>
    <t>S090100</t>
  </si>
  <si>
    <t>RFID 태그 및 발행기 판매건(관세청RFID 항공 수입화물통관체제 확대구축 사업용)</t>
  </si>
  <si>
    <t>대성엘앤에이(주)</t>
  </si>
  <si>
    <t>S090099</t>
  </si>
  <si>
    <t>진에어 상용 S/W 판매(한글 Acrobat 1copy)</t>
  </si>
  <si>
    <t>S090098</t>
  </si>
  <si>
    <t>진에어 전산장비 판매(PC 2set)</t>
  </si>
  <si>
    <t>S090097</t>
  </si>
  <si>
    <t>싸이버스카이 전산장비 판매(프린터1대)</t>
  </si>
  <si>
    <t>S090096</t>
  </si>
  <si>
    <t>대한항공 대덕항공기술연구원 MUAV 개발사업단 신입직원용 IP PHONE 판매 품의</t>
  </si>
  <si>
    <t>S090095</t>
  </si>
  <si>
    <t>S090094</t>
  </si>
  <si>
    <t>S090093</t>
  </si>
  <si>
    <t>인하대병원 전산장비 판매(재무서버)</t>
  </si>
  <si>
    <t>S090092</t>
  </si>
  <si>
    <t>인하대병원 전산장비 판매(PC/모니터)</t>
  </si>
  <si>
    <t>S090091</t>
  </si>
  <si>
    <t>대한항공 A350사업관련 IT Infra 판매(1차분)</t>
  </si>
  <si>
    <t>S090090</t>
  </si>
  <si>
    <t>한진 항동창고 PDA 등 판매</t>
  </si>
  <si>
    <t>S090089</t>
  </si>
  <si>
    <t>(주)한진 영업지원시스템 Salesforce.com 서비스 추가 주문 건</t>
  </si>
  <si>
    <t>S090088</t>
  </si>
  <si>
    <t>(주)한진 전산장비 판매(PC 5set)</t>
  </si>
  <si>
    <t>S090087</t>
  </si>
  <si>
    <t>대한항공 B787사업관련 전산장비 판매</t>
  </si>
  <si>
    <t>S090086</t>
  </si>
  <si>
    <t>에어코리아 백신프로그램 판매(갱신)</t>
  </si>
  <si>
    <t>S090085</t>
  </si>
  <si>
    <t>S-OIL 전산장비 판매(PC 5set)</t>
  </si>
  <si>
    <t>S090084</t>
  </si>
  <si>
    <t>토파스 상용소프트웨어 판매</t>
  </si>
  <si>
    <t>S090083</t>
  </si>
  <si>
    <t>진에어 전산장비 판매(PC 8대 외)</t>
  </si>
  <si>
    <t>S090082</t>
  </si>
  <si>
    <t>호미오세라피 전산장비 판매(모니터 2대)</t>
  </si>
  <si>
    <t>S090081</t>
  </si>
  <si>
    <t>(주)한진 백신프로그램 판매(갱신)</t>
  </si>
  <si>
    <t>S090080</t>
  </si>
  <si>
    <t>대한항공 시드니지점 화물 관리용 PDA 판매 품의</t>
  </si>
  <si>
    <t>S090079</t>
  </si>
  <si>
    <t>대한항공 전산장비 판매(BTP 4대)</t>
  </si>
  <si>
    <t>S090078</t>
  </si>
  <si>
    <t>(주)한진로지스틱스(한진해운계열) MS-EAS 판매(1년)</t>
  </si>
  <si>
    <t>(주)에이치제이엘케이(HJLK Corporation)</t>
  </si>
  <si>
    <t>S090077</t>
  </si>
  <si>
    <t>S090076</t>
  </si>
  <si>
    <t>재단법인 양현(한진해운계열) MS-EAS 판매(1년)</t>
  </si>
  <si>
    <t>재단법인양현</t>
  </si>
  <si>
    <t>S090075</t>
  </si>
  <si>
    <t>S090074</t>
  </si>
  <si>
    <t>호미오세라피 전산장비 판매(PC 12대 외)</t>
  </si>
  <si>
    <t>S090073</t>
  </si>
  <si>
    <t>(주)한진에스엠 MS-EAS 판매(1년계약, 한진해운계열사)</t>
  </si>
  <si>
    <t>(주)유수에스엠</t>
  </si>
  <si>
    <t>S090072</t>
  </si>
  <si>
    <t>인하대병원 전산장비 판매(모니터 14대)</t>
  </si>
  <si>
    <t>S090071</t>
  </si>
  <si>
    <t>한진드림익스프레스 MS-EAS 판매(1년)</t>
  </si>
  <si>
    <t>S090070</t>
  </si>
  <si>
    <t>한진 GT&amp;amp;S MS-EAS 판매(1년)</t>
  </si>
  <si>
    <t>S090069</t>
  </si>
  <si>
    <t>대한항공 전산장비 판매(SUN서버)</t>
  </si>
  <si>
    <t>S090068</t>
  </si>
  <si>
    <t>S-OIL 임원실 이전에 따른 NW장비 및 회선 설치 건</t>
  </si>
  <si>
    <t>S090067</t>
  </si>
  <si>
    <t>(주)한진 전산장비판매(PC 1SET외)</t>
  </si>
  <si>
    <t>S090066</t>
  </si>
  <si>
    <t>인하대병원 전산장비 판매(스토리지용 disk 외)</t>
  </si>
  <si>
    <t>S090065</t>
  </si>
  <si>
    <t>대한항공 대전항공기술연구원 상용S/W 유지보수 판매</t>
  </si>
  <si>
    <t>S090064</t>
  </si>
  <si>
    <t>대한항공 대전무인기사업관련 CATIA RLC 판매(5차분 갱신계약 건)</t>
  </si>
  <si>
    <t>S090063</t>
  </si>
  <si>
    <t>21세기한국연구재단 전산장비판매(PC 10set)</t>
  </si>
  <si>
    <t>(재)일우재단</t>
  </si>
  <si>
    <t>S090062</t>
  </si>
  <si>
    <t>(주)한진 전산장비 판매(PC8set)</t>
  </si>
  <si>
    <t>S090061</t>
  </si>
  <si>
    <t>(주)한진 전산장비 판매(PC 6set)</t>
  </si>
  <si>
    <t>S090060</t>
  </si>
  <si>
    <t>진에어 전산장비 판매(PC/키폰)</t>
  </si>
  <si>
    <t>S090059</t>
  </si>
  <si>
    <t>한진관광 전산장비 판매(칼라 레이져 프린터)</t>
  </si>
  <si>
    <t>S090058</t>
  </si>
  <si>
    <t>S-OIL New-eOffice 사업 관련 PRI 카드 판매 건</t>
  </si>
  <si>
    <t>S090057</t>
  </si>
  <si>
    <t>HNT(주) 전산장비 판매(S-OIL 노후 전산장비 매각 건)</t>
  </si>
  <si>
    <t>S090056</t>
  </si>
  <si>
    <t>(주)한진지티앤에스 백신 판매(신규)</t>
  </si>
  <si>
    <t>S090055</t>
  </si>
  <si>
    <t>한국공항 VeriSign Global 보안(SSL) 전자인증 라이센스 갱신 판매</t>
  </si>
  <si>
    <t>S090054</t>
  </si>
  <si>
    <t>진에어 V3 백신 판매(갱신)</t>
  </si>
  <si>
    <t>S090053</t>
  </si>
  <si>
    <t>(주)한진 SalesForce.com 영업지원시스템 재계약</t>
  </si>
  <si>
    <t>S090052</t>
  </si>
  <si>
    <t>(주)한진드림익스프레스 SalesForce.com 영업지원시스템 계약</t>
  </si>
  <si>
    <t>S090051</t>
  </si>
  <si>
    <t>S-OIL 전산장비 판매(PC,모니터,노트북)</t>
  </si>
  <si>
    <t>S090050</t>
  </si>
  <si>
    <t>(주)멘토스시스템 한국후지쯔 PDA Option판매</t>
  </si>
  <si>
    <t>(주)멘토스시스템</t>
  </si>
  <si>
    <t>S090049</t>
  </si>
  <si>
    <t>인하대병원 EMR 연동 모듈 판매(안과,이비인후과)</t>
  </si>
  <si>
    <t>S090048</t>
  </si>
  <si>
    <t>인하대병원 전산장비 판매(PC13대/17&amp;quot;모니터2대/노트북3대)</t>
  </si>
  <si>
    <t>S090047</t>
  </si>
  <si>
    <t>(주)한진 전산장비 판매(PC12대/17&amp;quot;모니터9대)</t>
  </si>
  <si>
    <t>S090046</t>
  </si>
  <si>
    <t>S090045</t>
  </si>
  <si>
    <t>대한항공 김해787사업 CATIA RLC 판매(4차분 갱신계약 건)</t>
  </si>
  <si>
    <t>S090044</t>
  </si>
  <si>
    <t>대한항공 채팅상담시스템 이중화 소프트웨어 라이선스 판매</t>
  </si>
  <si>
    <t>S090043</t>
  </si>
  <si>
    <t>(주)한진관광 프린터 판매</t>
  </si>
  <si>
    <t>S090042</t>
  </si>
  <si>
    <t>S090041</t>
  </si>
  <si>
    <t>대한항공 전산장비 판매(BTP 3대)</t>
  </si>
  <si>
    <t>S090040</t>
  </si>
  <si>
    <t>S090039</t>
  </si>
  <si>
    <t>대한항공 KHP(한국형헬기)사업관련 상용S/W 유지보수 판매(갱신)</t>
  </si>
  <si>
    <t>S090038</t>
  </si>
  <si>
    <t>S-OIL MS-EA CAL Step-up 판매</t>
  </si>
  <si>
    <t>S090037</t>
  </si>
  <si>
    <t>대한항공 군단UAV 창정비요소 종합군수지원 교범 제작 및 납품 사업</t>
  </si>
  <si>
    <t>S090036</t>
  </si>
  <si>
    <t>인천공항 COC B/D 출입통제장비 납품/설치</t>
  </si>
  <si>
    <t>S090035</t>
  </si>
  <si>
    <t>인하대병원 Application서버(진료관리시스템서버) 판매</t>
  </si>
  <si>
    <t>S090034</t>
  </si>
  <si>
    <t>진에어 통신장비 판매(헤드셋1set)</t>
  </si>
  <si>
    <t>S090033</t>
  </si>
  <si>
    <t>대한항공 CATIA RLC 판매(대전KHP사업용 20copy)</t>
  </si>
  <si>
    <t>S090032</t>
  </si>
  <si>
    <t>대한항공 CATIA RLC 판매(김해787사업용 CDC)</t>
  </si>
  <si>
    <t>S090031</t>
  </si>
  <si>
    <t>진에어 통신장비(키폰) 판매</t>
  </si>
  <si>
    <t>S090030</t>
  </si>
  <si>
    <t>S-OIL 전산장비 판매(모니터)</t>
  </si>
  <si>
    <t>S090029</t>
  </si>
  <si>
    <t>대한항공 녹취시스템 확장용 NW장비 구매</t>
  </si>
  <si>
    <t>S090028</t>
  </si>
  <si>
    <t>(주)한진 전산장비 판매(PC 9SET)</t>
  </si>
  <si>
    <t>S090027</t>
  </si>
  <si>
    <t>S090026</t>
  </si>
  <si>
    <t>항공대학교 영문 도메인 DNS 서버 납품</t>
  </si>
  <si>
    <t>S090025</t>
  </si>
  <si>
    <t>S-OIL 전산장비 판매(노트북)</t>
  </si>
  <si>
    <t>S090024</t>
  </si>
  <si>
    <t>S-OIL 모니터 판매(17 LCD 4대)</t>
  </si>
  <si>
    <t>S090023</t>
  </si>
  <si>
    <t>인천국제공항 급유시설 S/W판매(백신갱신)</t>
  </si>
  <si>
    <t>S090022</t>
  </si>
  <si>
    <t>인하대병원 임상시험센터 전산장비 판매(PC/모니터 5SET)</t>
  </si>
  <si>
    <t>S090021</t>
  </si>
  <si>
    <t>대한항공 전산장비 판매(다채널 데이타 획득 보드)</t>
  </si>
  <si>
    <t>S090020</t>
  </si>
  <si>
    <t>인하대병원 PC/모니터 판매(PC 10대외)</t>
  </si>
  <si>
    <t>S090019</t>
  </si>
  <si>
    <t>S-OIL 모니터 판매(17 LCD 7대)</t>
  </si>
  <si>
    <t>S090018</t>
  </si>
  <si>
    <t>인하대병원 전산장비 판매(PC 4대 외)</t>
  </si>
  <si>
    <t>S090017</t>
  </si>
  <si>
    <t>S_oil PC/모니터 판매(36SET)</t>
  </si>
  <si>
    <t>S090016</t>
  </si>
  <si>
    <t>토파스 백신 s/w 판매</t>
  </si>
  <si>
    <t>S090015</t>
  </si>
  <si>
    <t>S090014</t>
  </si>
  <si>
    <t>김포 기내식센터 신출입통제시스템 판매품의</t>
  </si>
  <si>
    <t>S090013</t>
  </si>
  <si>
    <t>인하대병원(임상시험센터) 전산장비 판매</t>
  </si>
  <si>
    <t>S090012</t>
  </si>
  <si>
    <t>대한항공 CATIA RLC 판매(1차분)</t>
  </si>
  <si>
    <t>S090011</t>
  </si>
  <si>
    <t>S090010</t>
  </si>
  <si>
    <t>(주)한진 전산장비 판매</t>
  </si>
  <si>
    <t>S090009</t>
  </si>
  <si>
    <t>인하대병원 S/W 판매(전자인증서 시스템 유지보수 갱신)</t>
  </si>
  <si>
    <t>S090008</t>
  </si>
  <si>
    <t>(주)한진 SalesForce.com 영업지원시스템(1월 23 User 추가)</t>
  </si>
  <si>
    <t>S090007</t>
  </si>
  <si>
    <t>인하대병원 S/W 판매(전자인증서)</t>
  </si>
  <si>
    <t>S090006</t>
  </si>
  <si>
    <t>S090005</t>
  </si>
  <si>
    <t>HNT(주) 전산장비 판매</t>
  </si>
  <si>
    <t>S090004</t>
  </si>
  <si>
    <t>토파스여행정보 S/W 판매(상용s/w)</t>
  </si>
  <si>
    <t>S090003</t>
  </si>
  <si>
    <t>아세아항측 전산장비 판매(고사양PC)</t>
  </si>
  <si>
    <t>(주)아세아항측</t>
  </si>
  <si>
    <t>S090002</t>
  </si>
  <si>
    <t>S090001</t>
  </si>
  <si>
    <t>S085006</t>
  </si>
  <si>
    <t>테스트 판매품의서 2008-05-06-002</t>
  </si>
  <si>
    <t>(주)신세계푸드대한항공전산센타(폐업)</t>
  </si>
  <si>
    <t>S085005</t>
  </si>
  <si>
    <t>테스트용 판매품의서 2008-05-06-001</t>
  </si>
  <si>
    <t>유피에스대한통운(주)</t>
  </si>
  <si>
    <t>S085004</t>
  </si>
  <si>
    <t>테스트 판매품의서 2008-04-01-001</t>
  </si>
  <si>
    <t>S085003</t>
  </si>
  <si>
    <t>테스트 판매품의서 2008-01-23-001</t>
  </si>
  <si>
    <t>더케이저축은행</t>
  </si>
  <si>
    <t>S085002</t>
  </si>
  <si>
    <t>테스트 판매품의서</t>
  </si>
  <si>
    <t>(주)아워홈대한항공영종도점(폐업)</t>
  </si>
  <si>
    <t>S084015</t>
  </si>
  <si>
    <t>대한항공 예약센타 안내멘트 변경 적용</t>
  </si>
  <si>
    <t>S084013</t>
  </si>
  <si>
    <t>대한항공 해외 지점소 개인용 녹취기 판매</t>
  </si>
  <si>
    <t>S084011</t>
  </si>
  <si>
    <t>(주)진에어 디지탈전화기 및 해드셋 판매</t>
  </si>
  <si>
    <t>S084009</t>
  </si>
  <si>
    <t>대한항공 예약센타 음성장비 판매</t>
  </si>
  <si>
    <t>S084007</t>
  </si>
  <si>
    <t>정석기업 UC서비스 적용에 따른 부가장비 판매품의</t>
  </si>
  <si>
    <t>S084006</t>
  </si>
  <si>
    <t>㈜대한항공 업무용 소프트웨어 판매</t>
  </si>
  <si>
    <t>S084004</t>
  </si>
  <si>
    <t>쌍용정보기술(주) 노트북공급</t>
  </si>
  <si>
    <t>쌍용정보기술(주)</t>
  </si>
  <si>
    <t>S084002</t>
  </si>
  <si>
    <t>(주)엠보이스텔레소프트 콜센터용 서버공급</t>
  </si>
  <si>
    <t>(주)엠보이스텔레소프트</t>
  </si>
  <si>
    <t>S084001</t>
  </si>
  <si>
    <t>인하대 지리정보공학과 DPW 판매</t>
  </si>
  <si>
    <t>S082001</t>
  </si>
  <si>
    <t>S081001</t>
  </si>
  <si>
    <t>(주)엠보이스텔레소프트 서버판매</t>
  </si>
  <si>
    <t>S080178</t>
  </si>
  <si>
    <t>진에어 전산장비 판매(스캐너)</t>
  </si>
  <si>
    <t>S080177</t>
  </si>
  <si>
    <t>S-OIL 전산장비 판매(PC,노트북)</t>
  </si>
  <si>
    <t>S080176</t>
  </si>
  <si>
    <t>(주)이니투스</t>
  </si>
  <si>
    <t>S080175</t>
  </si>
  <si>
    <t>부산의료원 의료장비 판매</t>
  </si>
  <si>
    <t>부산광역시 의료원</t>
  </si>
  <si>
    <t>S080174</t>
  </si>
  <si>
    <t>인하대병원 전산장비 판매(PC,모니터)</t>
  </si>
  <si>
    <t>S080173</t>
  </si>
  <si>
    <t>인하대병원 임상시험센터 PC판매</t>
  </si>
  <si>
    <t>S080172</t>
  </si>
  <si>
    <t>진에어 전산장비 판매(김해공항용 프린터)</t>
  </si>
  <si>
    <t>S080171</t>
  </si>
  <si>
    <t>한국항공대학교 서버 이중화 장비 판매 품의</t>
  </si>
  <si>
    <t>S080170</t>
  </si>
  <si>
    <t>한국항공대학교 생활관 무선랜 장비 판매 품의</t>
  </si>
  <si>
    <t>S080169</t>
  </si>
  <si>
    <t>KC코트렐 전산장비 판매</t>
  </si>
  <si>
    <t>S080168</t>
  </si>
  <si>
    <t>대한항공 형상관리 Software Renewal</t>
  </si>
  <si>
    <t>S080167</t>
  </si>
  <si>
    <t>한국공항 S/W 판매(백신갱신)</t>
  </si>
  <si>
    <t>S080166</t>
  </si>
  <si>
    <t>인하대병원 S/W판매(MS_CA,한글_CLA)</t>
  </si>
  <si>
    <t>S080165</t>
  </si>
  <si>
    <t>대한항공 S/W 판매(전자인증)</t>
  </si>
  <si>
    <t>S080164</t>
  </si>
  <si>
    <t>대한항공 S/W 판매</t>
  </si>
  <si>
    <t>S080163</t>
  </si>
  <si>
    <t>칼호텔네트워크(인천 하얏트호텔) 전산장비 판매</t>
  </si>
  <si>
    <t>S080162</t>
  </si>
  <si>
    <t>대한항공 전산장비 판매</t>
  </si>
  <si>
    <t>S080161</t>
  </si>
  <si>
    <t>인하대병원 S/W 판매</t>
  </si>
  <si>
    <t>S080160</t>
  </si>
  <si>
    <t>S080159</t>
  </si>
  <si>
    <t>인천 하얏트호텔 S/W 판매</t>
  </si>
  <si>
    <t>S080158</t>
  </si>
  <si>
    <t>(주)한진 PC 판매</t>
  </si>
  <si>
    <t>S080157</t>
  </si>
  <si>
    <t>호미오세라피 PC판매</t>
  </si>
  <si>
    <t>S080156</t>
  </si>
  <si>
    <t>GS리테일(편의점용) 후지쯔 PDA 옵션(Cradle) 판매품의</t>
  </si>
  <si>
    <t>S080155</t>
  </si>
  <si>
    <t>대한항공 LIVE CHAT 시스템 [일본,중국] 추가 구축</t>
  </si>
  <si>
    <t>S080154</t>
  </si>
  <si>
    <t>대한항공 인천공항 운항준비실 출입통제 리더기 판매품의</t>
  </si>
  <si>
    <t>S080153</t>
  </si>
  <si>
    <t>인하대병원 S/W 판매(EMR연동시스템)</t>
  </si>
  <si>
    <t>S080152</t>
  </si>
  <si>
    <t>후지쯔 PDA 판매품의</t>
  </si>
  <si>
    <t>S080151</t>
  </si>
  <si>
    <t>S080150</t>
  </si>
  <si>
    <t>S-OIL PC 판매</t>
  </si>
  <si>
    <t>S080149</t>
  </si>
  <si>
    <t>(주)한진 영업지원시스템 Salesforce.com 서비스 11월 추가 주문 건</t>
  </si>
  <si>
    <t>S080148</t>
  </si>
  <si>
    <t>대한항공 S/W 판매(개발툴)</t>
  </si>
  <si>
    <t>S080147</t>
  </si>
  <si>
    <t>S080146</t>
  </si>
  <si>
    <t>대한항공 ERP용 전산장비 판매</t>
  </si>
  <si>
    <t>S080145</t>
  </si>
  <si>
    <t>대한항공 전산장비 판매(AirCrews시스템 업그레이드)</t>
  </si>
  <si>
    <t>S080144</t>
  </si>
  <si>
    <t>인하대병원 전산장비 판매</t>
  </si>
  <si>
    <t>S080143</t>
  </si>
  <si>
    <t>한진관광 소프트웨어 판매</t>
  </si>
  <si>
    <t>S080142</t>
  </si>
  <si>
    <t>아세아항측 전산장비 판매</t>
  </si>
  <si>
    <t>S080141</t>
  </si>
  <si>
    <t>S080140</t>
  </si>
  <si>
    <t>(주)한진 PC/모니터 판매</t>
  </si>
  <si>
    <t>S080139</t>
  </si>
  <si>
    <t>(주)한진 S/W 판매(웹서버 전자인증갱신)</t>
  </si>
  <si>
    <t>S080138</t>
  </si>
  <si>
    <t>인하대병원 PC 판매</t>
  </si>
  <si>
    <t>S080137</t>
  </si>
  <si>
    <t>(주)한진 PC판매</t>
  </si>
  <si>
    <t>S080136</t>
  </si>
  <si>
    <t>S080135</t>
  </si>
  <si>
    <t>인하대병원 전산장비 판매(PACS 영상Data 백업용 DISK)</t>
  </si>
  <si>
    <t>S080134</t>
  </si>
  <si>
    <t>한진관광 프린터 판매</t>
  </si>
  <si>
    <t>S080133</t>
  </si>
  <si>
    <t>대한항공 CATIA RLC 판매</t>
  </si>
  <si>
    <t>S080132</t>
  </si>
  <si>
    <t>인하대병원 종합의료정보시스템 구축</t>
  </si>
  <si>
    <t>S080131</t>
  </si>
  <si>
    <t>S080130</t>
  </si>
  <si>
    <t>(주)한진 전산장비 판매(PC,모니터17&amp;quot;)</t>
  </si>
  <si>
    <t>S080129</t>
  </si>
  <si>
    <t>토파스여행정보 신단말관련 S/W 판매</t>
  </si>
  <si>
    <t>S080128</t>
  </si>
  <si>
    <t>(주)한진 전산장비 판매(PC,모니터)</t>
  </si>
  <si>
    <t>S080127</t>
  </si>
  <si>
    <t>대한항공 KHP(한국형헬기)사업관련 상용S/W유지보수 판매</t>
  </si>
  <si>
    <t>S080126</t>
  </si>
  <si>
    <t>(주)한진 영업지원시스템 Salesforce.com 서비스 10월 추가 주문 건</t>
  </si>
  <si>
    <t>S080125</t>
  </si>
  <si>
    <t>호미오세라피 전산장비 판매</t>
  </si>
  <si>
    <t>S080124</t>
  </si>
  <si>
    <t>대한항공 보안솔루션 판매</t>
  </si>
  <si>
    <t>S080123</t>
  </si>
  <si>
    <t>항공대학교 생활관 출입통제시스템 구축관련 장비 판매</t>
  </si>
  <si>
    <t>S080122</t>
  </si>
  <si>
    <t>인하대병원 전산장비 판매(PC 외)</t>
  </si>
  <si>
    <t>S080121</t>
  </si>
  <si>
    <t>(주)한진 영업지원시스템 Salesforce.com 서비스 9월 추가 주문 건</t>
  </si>
  <si>
    <t>S080120</t>
  </si>
  <si>
    <t>고려대학교 보건과학대 도서관 네트워크 구축 관련 장비판매</t>
  </si>
  <si>
    <t>S080119</t>
  </si>
  <si>
    <t>S080118</t>
  </si>
  <si>
    <t>S080117</t>
  </si>
  <si>
    <t>S-OIL 전산장비 판매</t>
  </si>
  <si>
    <t>S080116</t>
  </si>
  <si>
    <t>S080115</t>
  </si>
  <si>
    <t>LG CNS 후지쯔 PDA 판매품의</t>
  </si>
  <si>
    <t>S080114</t>
  </si>
  <si>
    <t>S080113</t>
  </si>
  <si>
    <t>S080112</t>
  </si>
  <si>
    <t>S080111</t>
  </si>
  <si>
    <t>진에어 전산장비(PC) 판매</t>
  </si>
  <si>
    <t>S080110</t>
  </si>
  <si>
    <t>사이버스카이 상용 S/W 유지보수 판매</t>
  </si>
  <si>
    <t>S080109</t>
  </si>
  <si>
    <t>(주)한진 전산장비(PC) 판매</t>
  </si>
  <si>
    <t>S080108</t>
  </si>
  <si>
    <t>S080107</t>
  </si>
  <si>
    <t>S080106</t>
  </si>
  <si>
    <t>S080105</t>
  </si>
  <si>
    <t>S080104</t>
  </si>
  <si>
    <t>싸이버스카이 서버용 백신 S/W 판매</t>
  </si>
  <si>
    <t>S080103</t>
  </si>
  <si>
    <t>인하대병원 PC 판매(임상시험센터)</t>
  </si>
  <si>
    <t>S080102</t>
  </si>
  <si>
    <t>인하대병원 전산장비 판매(전산투자08-018)</t>
  </si>
  <si>
    <t>S080101</t>
  </si>
  <si>
    <t>S-OIL 전산장비 판매(PC/노트북)</t>
  </si>
  <si>
    <t>S080100</t>
  </si>
  <si>
    <t>인하대병원 전산장비 판매(전산투자08-017)</t>
  </si>
  <si>
    <t>S080099</t>
  </si>
  <si>
    <t>S080098</t>
  </si>
  <si>
    <t>대한항공 MS EAS 추가 판매</t>
  </si>
  <si>
    <t>S080097</t>
  </si>
  <si>
    <t>(주)한진 전산장비 및 백신 프로그램 판매</t>
  </si>
  <si>
    <t>S080096</t>
  </si>
  <si>
    <t>한진해운 MS EAS 추가 판매</t>
  </si>
  <si>
    <t>유수홀딩스</t>
  </si>
  <si>
    <t>S080095</t>
  </si>
  <si>
    <t>진에어(구. 에어코리아) 전산장비(4차분) 판매 품의</t>
  </si>
  <si>
    <t>S080094</t>
  </si>
  <si>
    <t>인하대병원 전산장비 판매(임상시험센터)</t>
  </si>
  <si>
    <t>S080093</t>
  </si>
  <si>
    <t>대한민국 항공회 PC 판매</t>
  </si>
  <si>
    <t>S080092</t>
  </si>
  <si>
    <t>인하대병원 전산장비 판매(전산투자08-016)</t>
  </si>
  <si>
    <t>S080091</t>
  </si>
  <si>
    <t>대한항공 S/W 판매(설계용)</t>
  </si>
  <si>
    <t>S080090</t>
  </si>
  <si>
    <t>대한항공 기내판매용 PDA 판매(품의)</t>
  </si>
  <si>
    <t>S080089</t>
  </si>
  <si>
    <t>에어코리아 S/W 판매</t>
  </si>
  <si>
    <t>S080088</t>
  </si>
  <si>
    <t>진에어(구. 에어코리아) 전산장비(3차분) 판매 품의</t>
  </si>
  <si>
    <t>S080087</t>
  </si>
  <si>
    <t>(주)한진 영업지원시스템 Salesforce.com 서비스 7월 추가 주문 건</t>
  </si>
  <si>
    <t>S080086</t>
  </si>
  <si>
    <t>대한항공 전산장비 판매(액체로켓추진사업용)</t>
  </si>
  <si>
    <t>S080085</t>
  </si>
  <si>
    <t>항공대학교 네트워크 접근제어시스템 장비 판매</t>
  </si>
  <si>
    <t>S080084</t>
  </si>
  <si>
    <t>S080083</t>
  </si>
  <si>
    <t>S080082</t>
  </si>
  <si>
    <t>인하대병원 전산장비 판매(전산투자08-013,14,15)</t>
  </si>
  <si>
    <t>S080081</t>
  </si>
  <si>
    <t>인하대병원 전산장비 판매(전산투자07-013)</t>
  </si>
  <si>
    <t>S080080</t>
  </si>
  <si>
    <t>S080079</t>
  </si>
  <si>
    <t>S080078</t>
  </si>
  <si>
    <t>(주)한진 전산장비 판매(PC,프린터)</t>
  </si>
  <si>
    <t>S080077</t>
  </si>
  <si>
    <t>인하대병원 정도관리(QC) 프로그램 판매</t>
  </si>
  <si>
    <t>S080076</t>
  </si>
  <si>
    <t>S080075</t>
  </si>
  <si>
    <t>대한항공 비상계획팀 출입통제시스템 장비 이설공사 (선공사 완료건)</t>
  </si>
  <si>
    <t>S080074</t>
  </si>
  <si>
    <t>대한항공 대전 무인기사업 CATIA RLC 판매</t>
  </si>
  <si>
    <t>S080073</t>
  </si>
  <si>
    <t>S080072</t>
  </si>
  <si>
    <t>인하대병원 전산장비 판매(판독모니터외)</t>
  </si>
  <si>
    <t>S080071</t>
  </si>
  <si>
    <t>S-OIL S/W 판매</t>
  </si>
  <si>
    <t>S080070</t>
  </si>
  <si>
    <t>21세기 한국연구재단 전산장비 판매</t>
  </si>
  <si>
    <t>(재)21세기한국연구재단(폐업)</t>
  </si>
  <si>
    <t>S080069</t>
  </si>
  <si>
    <t>S080068</t>
  </si>
  <si>
    <t>대한항공 정보보안 컨설팅 판매</t>
  </si>
  <si>
    <t>S080067</t>
  </si>
  <si>
    <t>(주)한진 전산장비 판매(SCAN장비)</t>
  </si>
  <si>
    <t>S080066</t>
  </si>
  <si>
    <t>대한항공 신갈배구단 체육관 스코어보드 장비판매</t>
  </si>
  <si>
    <t>S080065</t>
  </si>
  <si>
    <t>S080064</t>
  </si>
  <si>
    <t>인하대병원 전산장비 판매(전산투자08-007)</t>
  </si>
  <si>
    <t>S080063</t>
  </si>
  <si>
    <t>에어코리아 전산장비 판매 품의(2차 추가분)</t>
  </si>
  <si>
    <t>S080062</t>
  </si>
  <si>
    <t>대한항공 787-4차 사업 전산장비 판매(추가분)</t>
  </si>
  <si>
    <t>S080061</t>
  </si>
  <si>
    <t>S080060</t>
  </si>
  <si>
    <t>S080059</t>
  </si>
  <si>
    <t>S080058</t>
  </si>
  <si>
    <t>토파스 여행정보 전산장비 판매</t>
  </si>
  <si>
    <t>S080057</t>
  </si>
  <si>
    <t>대한항공 김해 787사업 CATIA RLC 판매</t>
  </si>
  <si>
    <t>S080056</t>
  </si>
  <si>
    <t>대한항공 전산장비 판매( 비행계획시스템 워크스테이션외)</t>
  </si>
  <si>
    <t>S080055</t>
  </si>
  <si>
    <t>인하대병원 PACS 시스템 판매(2007전산투자)</t>
  </si>
  <si>
    <t>S080054</t>
  </si>
  <si>
    <t>에어코리아 전산장비 추가분 판매</t>
  </si>
  <si>
    <t>S080053</t>
  </si>
  <si>
    <t>(주)한진 전자인증 S/W 판매</t>
  </si>
  <si>
    <t>S080052</t>
  </si>
  <si>
    <t>S-OIL Adobe Acrobat S/W 판매</t>
  </si>
  <si>
    <t>S080051</t>
  </si>
  <si>
    <t>대한항공 ICNKF CCTV 추가 구축(2차)</t>
  </si>
  <si>
    <t>S080050</t>
  </si>
  <si>
    <t>대한항공 OC센터 신출입통제시스템 추가장비 판매</t>
  </si>
  <si>
    <t>S080049</t>
  </si>
  <si>
    <t>인하대병원 전산장비 판매(전산투자08-004,05)</t>
  </si>
  <si>
    <t>S080048</t>
  </si>
  <si>
    <t>동국제강 Maximo 년간 유지보수 Renewal License 판매(품의)</t>
  </si>
  <si>
    <t>S080047</t>
  </si>
  <si>
    <t>대한항공 본사빌딩 생체인식기(지문)구매</t>
  </si>
  <si>
    <t>S080046</t>
  </si>
  <si>
    <t>S080045</t>
  </si>
  <si>
    <t>(주)한진 영업지원시스템 Salesforce.com 서비스 판매</t>
  </si>
  <si>
    <t>S080044</t>
  </si>
  <si>
    <t>에어코리아 전산장비(1,2차분) 판매 품의</t>
  </si>
  <si>
    <t>S080043</t>
  </si>
  <si>
    <t>대한항공 S/W(개발툴) 판매</t>
  </si>
  <si>
    <t>S080042</t>
  </si>
  <si>
    <t>대한항공 787-4차 사업관련 전산장비 판매</t>
  </si>
  <si>
    <t>S080041</t>
  </si>
  <si>
    <t>한진관광 전산장비 판매</t>
  </si>
  <si>
    <t>S080040</t>
  </si>
  <si>
    <t>S080039</t>
  </si>
  <si>
    <t>한진관광 보안S/W(V3) 등록 갱신 판매</t>
  </si>
  <si>
    <t>S080038</t>
  </si>
  <si>
    <t>싸이버스카이 노트북 판매</t>
  </si>
  <si>
    <t>S080037</t>
  </si>
  <si>
    <t>대한항공 라인셔틀 프린터 판매</t>
  </si>
  <si>
    <t>S080036</t>
  </si>
  <si>
    <t>S-OIL MS_EA 판매</t>
  </si>
  <si>
    <t>S080035</t>
  </si>
  <si>
    <t>S-OIL 전산장비판매(신입사원용PC)</t>
  </si>
  <si>
    <t>S080034</t>
  </si>
  <si>
    <t>대한항공 운항기술 도서관리시스템 교체</t>
  </si>
  <si>
    <t>S080033</t>
  </si>
  <si>
    <t>S-OIL 전산장비 판매(통신모듈)</t>
  </si>
  <si>
    <t>S080032</t>
  </si>
  <si>
    <t>인하대병원 전산장비 판매(PC,모니터 외)</t>
  </si>
  <si>
    <t>S080031</t>
  </si>
  <si>
    <t>에이치 앤 티(주) 전산장비 판매</t>
  </si>
  <si>
    <t>S080030</t>
  </si>
  <si>
    <t>대한항공 LIVE CHAT 시스템 구축</t>
  </si>
  <si>
    <t>S080029</t>
  </si>
  <si>
    <t>S-OIL 전산장비판매</t>
  </si>
  <si>
    <t>S080028</t>
  </si>
  <si>
    <t>S080027</t>
  </si>
  <si>
    <t>인하대병원 전산장비판매</t>
  </si>
  <si>
    <t>인하대병원담당</t>
  </si>
  <si>
    <t>S080026</t>
  </si>
  <si>
    <t>인천국제공항 급유시설 소프트웨어 판매(백신)</t>
  </si>
  <si>
    <t>S080025</t>
  </si>
  <si>
    <t>S-OIL 소프트웨어 판매</t>
  </si>
  <si>
    <t>S080024</t>
  </si>
  <si>
    <t>대한항공 신출입통제시스템구축용 방화유리문 설치공사</t>
  </si>
  <si>
    <t>S080023</t>
  </si>
  <si>
    <t>대한항공 근태관리용 RFID인식용 카드리더기 설치공사</t>
  </si>
  <si>
    <t>S080022</t>
  </si>
  <si>
    <t>(주)한진관광 전산장비 판매(FAX시스템 구축)</t>
  </si>
  <si>
    <t>S080021</t>
  </si>
  <si>
    <t>S080019</t>
  </si>
  <si>
    <t>S080017</t>
  </si>
  <si>
    <t>전산장비 판매</t>
  </si>
  <si>
    <t>S080016</t>
  </si>
  <si>
    <t>S080015</t>
  </si>
  <si>
    <t>전산장비판매</t>
  </si>
  <si>
    <t>S080014</t>
  </si>
  <si>
    <t>(주)한진 한덱스터미널 무선장비 판매</t>
  </si>
  <si>
    <t>S080013</t>
  </si>
  <si>
    <t>토파스 소프트웨어 판매</t>
  </si>
  <si>
    <t>S080012</t>
  </si>
  <si>
    <t>대한항공 예약센타 안내멘트 변경</t>
  </si>
  <si>
    <t>S080011</t>
  </si>
  <si>
    <t>항공대 네트워크 장비판매</t>
  </si>
  <si>
    <t>S080010</t>
  </si>
  <si>
    <t>(주)싸이버스카이 자동음성안내기 판매</t>
  </si>
  <si>
    <t>S080009</t>
  </si>
  <si>
    <t>S080008</t>
  </si>
  <si>
    <t>TOPAS UC서비스 적용에 따른 부가장비 판매품의</t>
  </si>
  <si>
    <t>S080007</t>
  </si>
  <si>
    <t>인하대병원팀</t>
  </si>
  <si>
    <t>S080006</t>
  </si>
  <si>
    <t>S080005</t>
  </si>
  <si>
    <t>S080004</t>
  </si>
  <si>
    <t>S080003</t>
  </si>
  <si>
    <t>LG CNS 후지쯔 PDA 판매</t>
  </si>
  <si>
    <t>S080002</t>
  </si>
  <si>
    <t>S-Oil 전산장비 판매</t>
  </si>
  <si>
    <t>S080001</t>
  </si>
  <si>
    <t>S070003</t>
  </si>
  <si>
    <t>후지쯔총판-GS리테일 PDA공급</t>
  </si>
  <si>
    <t>LGCNS</t>
  </si>
  <si>
    <t>S070002</t>
  </si>
  <si>
    <t>IBM총판-맥시모 자산관리 솔루션</t>
  </si>
  <si>
    <t>S070001</t>
  </si>
  <si>
    <t>MS-EAS(3년차)</t>
  </si>
  <si>
    <t>S051553</t>
  </si>
  <si>
    <t>고려대학교 NW장비 판매</t>
  </si>
  <si>
    <t>고려대학교</t>
  </si>
  <si>
    <t>S051550</t>
  </si>
  <si>
    <t>(주)산들네트윅스 네트워크 장비판매</t>
  </si>
  <si>
    <t>조창현</t>
  </si>
  <si>
    <t>산들네트웍스</t>
  </si>
  <si>
    <t>S051450</t>
  </si>
  <si>
    <t>그룹사 MS-EAS 계약 (2차년도)</t>
  </si>
  <si>
    <t>강동수</t>
  </si>
  <si>
    <t>S051445</t>
  </si>
  <si>
    <t>대한항공 대전연구원 전산장비 판매(무인기)</t>
  </si>
  <si>
    <t>S051436</t>
  </si>
  <si>
    <t>칼호텔네트워크 S/W 판매</t>
  </si>
  <si>
    <t>S041040</t>
  </si>
  <si>
    <t>(주)한진 시스템판매 (종합)</t>
  </si>
  <si>
    <t>S041001</t>
  </si>
  <si>
    <t>응급의료정보시스템 5차 사업</t>
  </si>
  <si>
    <t>[2024] 한진칼, 한진그룹 통합 HR 확대 구축 (그룹웨어그룹)</t>
  </si>
  <si>
    <t>R240061</t>
  </si>
  <si>
    <t>[2024] 숭실사이버대학교 GWfE 연동시스템 유지보수 사업</t>
  </si>
  <si>
    <t>숭실사이버대학교</t>
  </si>
  <si>
    <t>R240060</t>
  </si>
  <si>
    <t>[2024] 인하대병원, 어린이 공공전문진료센터 홈페이지 개발</t>
  </si>
  <si>
    <t>김홍찬</t>
  </si>
  <si>
    <t>R240059</t>
  </si>
  <si>
    <t>[2024] 케이원, 서울시 교육청 디벗(태블릿) 납품 설치 사업</t>
  </si>
  <si>
    <t>김세윤</t>
  </si>
  <si>
    <t>R240058</t>
  </si>
  <si>
    <t>[2024] 싸이버스카이, AWS 클라우드 이관 리딩인력 투입</t>
  </si>
  <si>
    <t>R240057</t>
  </si>
  <si>
    <t>[2024] 대한항공, 방산망 협업솔루션 운영 유지보수 사업</t>
  </si>
  <si>
    <t>R240056</t>
  </si>
  <si>
    <t>[2024] 대한항공, AICC 보이는 ARS 추가서비스 사업</t>
  </si>
  <si>
    <t>[2024] 엘지씨엔에스, 대한항공 주기장관리시스템 개발 추가 서비스 사업</t>
  </si>
  <si>
    <t>R240054</t>
  </si>
  <si>
    <t>[2024] 대한항공, AICC 운영서비스 사업</t>
  </si>
  <si>
    <t>[2024] 한진칼, 한진그룹 통합 HR 확대 구축</t>
  </si>
  <si>
    <t>[2024] 대한항공, RSES System 개발사업</t>
  </si>
  <si>
    <t>[2024] 한진인천컨테이너터미널 통합인프라 운영 및 유지보수 사업 (네트워크그룹)</t>
  </si>
  <si>
    <t>[2024] 한진인천컨테이너터미널 통합인프라 운영 및 유지보수 사업 (ITO사업팀)</t>
  </si>
  <si>
    <t>[2024] 한진인천컨테이너터미널 통합인프라 운영 및 유지보수 사업 (물류사업팀)</t>
  </si>
  <si>
    <t>[2024] 인드라나비아에이에스, 인천공항 제3활주로 계기착륙 및 표지시설 개량사업(추가)</t>
  </si>
  <si>
    <t>이주섭</t>
  </si>
  <si>
    <t>유한회사 인드라나비아에이에스</t>
  </si>
  <si>
    <t>R240047</t>
  </si>
  <si>
    <t>[2024] 대한항공 마곡 서비스센터 UPS 설치 및 유지보수 사업</t>
  </si>
  <si>
    <t>R240046</t>
  </si>
  <si>
    <t>[2024] 인하공전 전산장비 통합유지보수 위탁용역</t>
  </si>
  <si>
    <t>김지운</t>
  </si>
  <si>
    <t>R240045</t>
  </si>
  <si>
    <t>[2024] 한국항공대 대학 정보통신시스템 통합유지보수 용역 (신규)</t>
  </si>
  <si>
    <t>[2024] 칼호텔네트워크(그랜드하얏트인천) PABX 시스템 유지보수 갱신</t>
  </si>
  <si>
    <t>[2024] 엘지씨엔에스, 대한항공 AI/ML NPS과제 컨설팅 사업</t>
  </si>
  <si>
    <t>이강희</t>
  </si>
  <si>
    <t>R240042</t>
  </si>
  <si>
    <t>[2024] 엘지유플러스, 국민대학교 무선랜 통합 유지보수 사업</t>
  </si>
  <si>
    <t>R240041</t>
  </si>
  <si>
    <t>[2024] 토파스, 모두투어 IBE 시스템 구축</t>
  </si>
  <si>
    <t>R240040</t>
  </si>
  <si>
    <t>[2024] 대한항공, Crew Inhouse System 개발</t>
  </si>
  <si>
    <t>장원재</t>
  </si>
  <si>
    <t>[2024] 인하대병원, 통합 PACS 유지보수 사업</t>
  </si>
  <si>
    <t>[2024] 인하대병원, 시스템 유지보수 사업</t>
  </si>
  <si>
    <t>R240037</t>
  </si>
  <si>
    <t>[2024] 에스케이스토아, Storage_방화벽_Network 스위치 유지보수 사업</t>
  </si>
  <si>
    <t>에스케이스토아</t>
  </si>
  <si>
    <t>R240036</t>
  </si>
  <si>
    <t>[2024] 대한항공, 비대면 원격검사시스템 구축</t>
  </si>
  <si>
    <t>R240035</t>
  </si>
  <si>
    <t>[2024] 한국후지쯔, 한국토요타자동차(TMKR) AWS Cloud 전환 구축 (NW그룹)</t>
  </si>
  <si>
    <t>한국후지쯔</t>
  </si>
  <si>
    <t>R240034</t>
  </si>
  <si>
    <t>[2024] 한국후지쯔, 한국토요타자동차(TMKR) AWS Cloud 전환 구축 (클라우드사업팀)</t>
  </si>
  <si>
    <t>[2024] 인하대병원, 홈페이지 유지보수 사업</t>
  </si>
  <si>
    <t>R240032</t>
  </si>
  <si>
    <t>[2024] 국민대학교 전산시스템 통합 유지보수 사업</t>
  </si>
  <si>
    <t>[2024] RAMCO, 엔진 MRO 시스템 구축 컨설턴트 인력공급 사업</t>
  </si>
  <si>
    <t>람코시스템코리아</t>
  </si>
  <si>
    <t>[2024] (주)한진, 훗타운 서비스 기획 업무 지원 및 운영 유지보수 사업</t>
  </si>
  <si>
    <t>R240029</t>
  </si>
  <si>
    <t>[2024] 대한항공, 방산망 협업솔루션 구축 사업</t>
  </si>
  <si>
    <t>R240028</t>
  </si>
  <si>
    <t>[2024] 토파스, 쏘카 항공예약시스템 (ETP) 구축 개발</t>
  </si>
  <si>
    <t>R240027</t>
  </si>
  <si>
    <t>[2024] 한국항공대 대학 정보통신시스템 통합유지보수 용역</t>
  </si>
  <si>
    <t>R240026</t>
  </si>
  <si>
    <t>[2024] 칼호텔네트워크(서귀포KAL호텔), 교환기 시스템 유지보수 사업</t>
  </si>
  <si>
    <t>R240023</t>
  </si>
  <si>
    <t>[2024] 디에스인터내셔날, 한성대학교 GWfE 연동시스템 유지보수 (2년)</t>
  </si>
  <si>
    <t>[2024] (주)한진, 대전 메가허브터미널 IT인프라 운영</t>
  </si>
  <si>
    <t>R240021</t>
  </si>
  <si>
    <t>[2024] 한진칼, 그룹 DT 추진 및 IT 신사업 기술지원 파견 (인더스트리사업팀)</t>
  </si>
  <si>
    <t>유성민</t>
  </si>
  <si>
    <t>R240020</t>
  </si>
  <si>
    <t>[2024] KC그린홀딩스 그룹웨어 및 웹메일 유지보수</t>
  </si>
  <si>
    <t>최일웅</t>
  </si>
  <si>
    <t>R240019</t>
  </si>
  <si>
    <t>[2024] 대한항공, 일정관리 시스템 구축</t>
  </si>
  <si>
    <t>R240018</t>
  </si>
  <si>
    <t>[2024] 고려대학교, GWfE 연동시스템 유지보수 갱신</t>
  </si>
  <si>
    <t>R240017</t>
  </si>
  <si>
    <t>[2024] 우리엔아이에스, 평택대학교 GWfE 연동시스템 유지보수 갱신 (2년)</t>
  </si>
  <si>
    <t>우리엔아이에스</t>
  </si>
  <si>
    <t>[2024] (주)한진, 원클릭 PRO 시스템 개발 사업 (2차)</t>
  </si>
  <si>
    <t>R240015</t>
  </si>
  <si>
    <t>[2024] 한국외국어대학교글로벌캠퍼스, GWfE 연동시스템 유지보수 (3년)</t>
  </si>
  <si>
    <t>한국외국어대학교글로벌캠퍼스</t>
  </si>
  <si>
    <t>R240014</t>
  </si>
  <si>
    <t>[2024] 토파스, IBE 항공권 재발행 기능 개발</t>
  </si>
  <si>
    <t>R240013</t>
  </si>
  <si>
    <t>[2024] 인하대병원, 건강정보 고속도로 ETL 환경 및 PHR DB 개발 사업</t>
  </si>
  <si>
    <t>R240012</t>
  </si>
  <si>
    <t>[2024] 인하대병원, 암신환 첫방문 예약 개발 사업</t>
  </si>
  <si>
    <t>R240011</t>
  </si>
  <si>
    <t>[2024] 한진관광, 여행사 시스템 구축 및 운영 기술인력 파견</t>
  </si>
  <si>
    <t>이영수</t>
  </si>
  <si>
    <t>R240010</t>
  </si>
  <si>
    <t>[2024] 인하대학교, IT인프라 통합 유지보수 사업</t>
  </si>
  <si>
    <t>R240009</t>
  </si>
  <si>
    <t>[2024] 경기도교육청, 미디어 교육센터 방송시스템 구축</t>
  </si>
  <si>
    <t>정종민</t>
  </si>
  <si>
    <t>R240008</t>
  </si>
  <si>
    <t>[2024] KC그린홀딩스, KC솔라에너지 익스체인지 온라인 하이브리드 구성</t>
  </si>
  <si>
    <t>R240007</t>
  </si>
  <si>
    <t>[2024] 인하대병원, 사내 메신저 업그레이드 사업</t>
  </si>
  <si>
    <t>R240006</t>
  </si>
  <si>
    <t>[2024] 상상인플러스저축은행 IT인프라 통합 유지보수 사업 (망분리)</t>
  </si>
  <si>
    <t>상상인플러스저축은행</t>
  </si>
  <si>
    <t>R240005</t>
  </si>
  <si>
    <t>[2024] 대한항공, 방산보안 업무개선 IT시스템 구축</t>
  </si>
  <si>
    <t>R240004</t>
  </si>
  <si>
    <t>[2024] 토파스, 네이처모빌리티 국제선 항공예약 시스템 개발</t>
  </si>
  <si>
    <t>R240003</t>
  </si>
  <si>
    <t>[2024] 상상인저축은행 IT인프라 통합 유지보수 사업</t>
  </si>
  <si>
    <t>상상인저축은행</t>
  </si>
  <si>
    <t>R240002</t>
  </si>
  <si>
    <t>[2024] 정석기업 전사정보시스템 유지보수 사업</t>
  </si>
  <si>
    <t>[2024] 에스케이브로드밴드 기업전용회선 서비스용 트래픽 분석기 유지보수 사업</t>
  </si>
  <si>
    <t>R230055</t>
  </si>
  <si>
    <t>[2023] 대한항공, 차량 및 운전기사 관리업무 인력 파견</t>
  </si>
  <si>
    <t>박혜영</t>
  </si>
  <si>
    <t>R230054</t>
  </si>
  <si>
    <t>[2023] 토파스, IBE 표준 국제선 LCC Direct API 개발</t>
  </si>
  <si>
    <t>윤성식</t>
  </si>
  <si>
    <t>R230053</t>
  </si>
  <si>
    <t>[2023] 인하대학교 산학협력단, 서버장비 유지보수 사업</t>
  </si>
  <si>
    <t>R230052</t>
  </si>
  <si>
    <t>[2023] 엔에스스마트 인하대 스마트카드시스템 유지보수 사업 (갱신)</t>
  </si>
  <si>
    <t>엔에스스마트</t>
  </si>
  <si>
    <t>[2023] 대한항공, Crew ODS 구축 및 데이터 Feed 처리</t>
  </si>
  <si>
    <t>R230050</t>
  </si>
  <si>
    <t>[2023] 숭실사이버대학교 GWfE 연동시스템 유지보수 사업</t>
  </si>
  <si>
    <t>R230049</t>
  </si>
  <si>
    <t>[2023] 토파스, 마이리얼트립여행사 그룹항공권 표준 기능 개선 및 NDC 컨텐츠 적용</t>
  </si>
  <si>
    <t>R230048</t>
  </si>
  <si>
    <t>[2023] 조인트리, 국민대학교 GWS 전산시스템 통합 유지보수 사업</t>
  </si>
  <si>
    <t>김형찬</t>
  </si>
  <si>
    <t>조인트리</t>
  </si>
  <si>
    <t>R230047</t>
  </si>
  <si>
    <t>[2023] (주)한진, 벌크터미널 운영시스템(POS) 개발 사업 (한진택배SM그룹)</t>
  </si>
  <si>
    <t>최정욱</t>
  </si>
  <si>
    <t>R230046</t>
  </si>
  <si>
    <t>[2023] (주)한진, 벌크터미널 운영시스템(POS) 개발 사업 (그룹사영업그룹)</t>
  </si>
  <si>
    <t>R230045</t>
  </si>
  <si>
    <t>[2023] 탈레스, KAC VOR/DME 사업 제주표지소 NFM 이설/재설치 사업</t>
  </si>
  <si>
    <t>박보현</t>
  </si>
  <si>
    <t>Thales Italia S.p.A</t>
  </si>
  <si>
    <t>R230044</t>
  </si>
  <si>
    <t>[2023] 인하대병원, 발전기금 홈페이지 구축 사업</t>
  </si>
  <si>
    <t>R230043</t>
  </si>
  <si>
    <t>[2023] 코넥, 서울종합방재센터 노후서버 교체 사업</t>
  </si>
  <si>
    <t>코넥</t>
  </si>
  <si>
    <t>R230042</t>
  </si>
  <si>
    <t>[2023] 한진부산컨테이너터미널, ERP 와 New HANWAY 근태연동 개발</t>
  </si>
  <si>
    <t>이예원</t>
  </si>
  <si>
    <t>R230041</t>
  </si>
  <si>
    <t>[2023] 토파스, 마이리얼트립 여행사 BFM 및 OZ GK발권 기능 개발</t>
  </si>
  <si>
    <t>R230040</t>
  </si>
  <si>
    <t>[2023] 칼호텔네트워크(그랜드하얏트인천) PABX 시스템 유지보수 갱신</t>
  </si>
  <si>
    <t>R230039</t>
  </si>
  <si>
    <t>[2023] 아이에이티 네트워크 장비 및 회선 유지보수 사업</t>
  </si>
  <si>
    <t>R230038</t>
  </si>
  <si>
    <t>[2023] 한진인천컨테이너터미널 통합인프라 운영 및 유지보수 사업 (NW그룹)</t>
  </si>
  <si>
    <t>R230037</t>
  </si>
  <si>
    <t>[2023] 한진인천컨테이너터미널 통합인프라 운영 및 유지보수 사업 (클라우드서비스그룹)</t>
  </si>
  <si>
    <t>R230036</t>
  </si>
  <si>
    <t>[2023] 한진인천컨테이너터미널 통합인프라 운영 및 유지보수 사업 (그룹사영업그룹)</t>
  </si>
  <si>
    <t>R230035</t>
  </si>
  <si>
    <t>[2023] (주)한진 통합콜센터 차세대 택배시스템 연동 개발 용역</t>
  </si>
  <si>
    <t>R230034</t>
  </si>
  <si>
    <t>[2023] 대한항공 Skypass 인터페이스 재개발</t>
  </si>
  <si>
    <t>최고운</t>
  </si>
  <si>
    <t>R230033</t>
  </si>
  <si>
    <t>[2023] 한국방송공사(KBS), 통합주조 통합기술 검증 사업</t>
  </si>
  <si>
    <t>한국방송공사</t>
  </si>
  <si>
    <t>R230032</t>
  </si>
  <si>
    <t>[2023] 인하대병원, 정보보호 관리체계(ISMS) 인증 컨설팅 사업</t>
  </si>
  <si>
    <t>R230031</t>
  </si>
  <si>
    <t>[2023] 한진칼, 그룹사 HR시스템 구축 기술인력 파견</t>
  </si>
  <si>
    <t>이현석</t>
  </si>
  <si>
    <t>R230030</t>
  </si>
  <si>
    <t>[2023] 싸이버스카이 JAVA 기반 API개발 및 운영 사업</t>
  </si>
  <si>
    <t>R230029</t>
  </si>
  <si>
    <t>[2023] 에스케이브로드밴드 그룹콜센터시스템 유지보수 사업 (IT사업팀)</t>
  </si>
  <si>
    <t>R230028</t>
  </si>
  <si>
    <t>[2023] 에스케이브로드밴드 그룹콜센터시스템 유지보수 사업 (NW그룹)</t>
  </si>
  <si>
    <t>R230027</t>
  </si>
  <si>
    <t>[2023] 에스케이스토아, Storage_방화벽_Network 스위치 유지보수 사업</t>
  </si>
  <si>
    <t>R230026</t>
  </si>
  <si>
    <t>[2023] 대한항공씨앤디서비스, 인천사무소 네트워크 공사</t>
  </si>
  <si>
    <t>R230025</t>
  </si>
  <si>
    <t>[2023] 토파스 국민카드 KB Pay 및 우수카드 프로젝트 시스템개발 용역</t>
  </si>
  <si>
    <t>R230024</t>
  </si>
  <si>
    <t>[2023] KC그린홀딩스 익스체인지 서버 클라우드 하이브리드 구성</t>
  </si>
  <si>
    <t>R230023</t>
  </si>
  <si>
    <t>[2023] 인하대병원, 홈페이지 해외연수 카테고리 리뉴얼</t>
  </si>
  <si>
    <t>R230022</t>
  </si>
  <si>
    <t>[2023] 대한항공씨앤디서비스, 제주사무소 네트워크 공사</t>
  </si>
  <si>
    <t>R230021</t>
  </si>
  <si>
    <t>[2023] 인하대병원, 시스템 유지보수 사업 (갱신)</t>
  </si>
  <si>
    <t>R230020</t>
  </si>
  <si>
    <t>[2023] 인하대병원, 통합 PACS 유지보수 사업 (갱신)</t>
  </si>
  <si>
    <t>R230019</t>
  </si>
  <si>
    <t>[2023] (주)한진, 훗타운 시스템 안정화 용역 (한진SM그룹)</t>
  </si>
  <si>
    <t>이향훈</t>
  </si>
  <si>
    <t>R230018</t>
  </si>
  <si>
    <t>[2023] (주)한진, 훗타운 시스템 안정화 용역 (그룹사영업그룹)</t>
  </si>
  <si>
    <t>R230017</t>
  </si>
  <si>
    <t>[2023] 왕산레저개발, 왕산마리나 LAN 2회선 설치 공사</t>
  </si>
  <si>
    <t>R230016</t>
  </si>
  <si>
    <t>[2023] 한진관광, 시스템 운영_개발 기술 지원</t>
  </si>
  <si>
    <t>R230015</t>
  </si>
  <si>
    <t>[2023] 인하대병원, 전자동의서 수정사항 개발</t>
  </si>
  <si>
    <t>R230014</t>
  </si>
  <si>
    <t>[2023] 수원대학교, 종합정보시스템 운영 유지보수</t>
  </si>
  <si>
    <t>유대성</t>
  </si>
  <si>
    <t>수원대학교</t>
  </si>
  <si>
    <t>R230013</t>
  </si>
  <si>
    <t>[2023] 리드정보기술, 경희대학교 GWfE 연동시스템 유지보수 갱신</t>
  </si>
  <si>
    <t>리드정보기술</t>
  </si>
  <si>
    <t>R230012</t>
  </si>
  <si>
    <t>R230011</t>
  </si>
  <si>
    <t>[2023] 한진인천컨테이너터미널, 백업장비 이전 재설치 사업</t>
  </si>
  <si>
    <t>R230010</t>
  </si>
  <si>
    <t>[2023] KC그린홀딩스 그룹웨어 및 웹메일 유지보수</t>
  </si>
  <si>
    <t>R230009</t>
  </si>
  <si>
    <t>[2023] 고려대학교, GWS 연동시스템 유지보수 갱신</t>
  </si>
  <si>
    <t>R230008</t>
  </si>
  <si>
    <t>[2023] 진에어 대리점/홈페이지 기능개발 및 유지보수</t>
  </si>
  <si>
    <t>R230007</t>
  </si>
  <si>
    <t>[2023] (주)한진, 차세대 택배시스템 연계업무 용역</t>
  </si>
  <si>
    <t>R230006</t>
  </si>
  <si>
    <t>[2023] 대한항공, 항공우주사업본부 홈페이지 리뉴얼 (추가)</t>
  </si>
  <si>
    <t>R230005</t>
  </si>
  <si>
    <t>[2023] 토파스 SSG 항공 서비스 운영 개발 용역</t>
  </si>
  <si>
    <t>R230004</t>
  </si>
  <si>
    <t>[2023] 칼호텔네트워크(그랜드하얏트인천) 업무망 네트워크 유지보수 갱신</t>
  </si>
  <si>
    <t>R230003</t>
  </si>
  <si>
    <t>[2023] 에스케이브로드밴드 기업전용회선 서비스용 트래픽 분석기 유지보수 사업</t>
  </si>
  <si>
    <t>R230002</t>
  </si>
  <si>
    <t>[2023] 정석기업 전사정보시스템 유지보수 사업</t>
  </si>
  <si>
    <t>R230001</t>
  </si>
  <si>
    <t>[2023] 상상인플러스저축은행 IT인프라 통합 유지보수 사업</t>
  </si>
  <si>
    <t>R220055</t>
  </si>
  <si>
    <t>[2022] 탈레스, KAC VOR PJT 관련 안테나 위치이동 및 교체 설치 사업</t>
  </si>
  <si>
    <t>R220054</t>
  </si>
  <si>
    <t>[2022] (주)한진, TMS 모바일 개선 구축 사업 (2차)</t>
  </si>
  <si>
    <t>R220053</t>
  </si>
  <si>
    <t>[2022] 엔에스스마트 인하대 스마트카드시스템 유지보수 사업 (갱신)</t>
  </si>
  <si>
    <t>이창우</t>
  </si>
  <si>
    <t>R220052</t>
  </si>
  <si>
    <t>[2022] 대한항공, UAM 운항통제시스템 개발 자문</t>
  </si>
  <si>
    <t>강광천</t>
  </si>
  <si>
    <t>R220051</t>
  </si>
  <si>
    <t>[2022] 대한항공, 여객운송 근무 스케쥴링시스템 개발 (대한항공SM그룹)</t>
  </si>
  <si>
    <t>R220050</t>
  </si>
  <si>
    <t>[2022] 대한항공, 여객운송 근무 스케쥴링시스템 개발 (그룹사사업그룹)</t>
  </si>
  <si>
    <t>R220047</t>
  </si>
  <si>
    <t>[2022] 숭실사이버대학교 GWfE 연동시스템 유지보수 사업</t>
  </si>
  <si>
    <t>R220046</t>
  </si>
  <si>
    <t>[2022] (주)한진, 차세대 택배시스템 연계업무 용역</t>
  </si>
  <si>
    <t>R220045</t>
  </si>
  <si>
    <t>[2022] (주)한진, 추정실적 관리시스템 개발</t>
  </si>
  <si>
    <t>R220044</t>
  </si>
  <si>
    <t>[2022] 학원/병원, New HANWAY(한웨이) 그룹웨어시스템 재구축</t>
  </si>
  <si>
    <t>R220043</t>
  </si>
  <si>
    <t>[2022] 버킷플레이스, Google Meet 화상회의 시스템 구축</t>
  </si>
  <si>
    <t>버킷플레이스</t>
  </si>
  <si>
    <t>R220042</t>
  </si>
  <si>
    <t>[2022] 칼호텔네트워크(그랜드하얏트인천) PABX 시스템 유지보수 갱신</t>
  </si>
  <si>
    <t>R220041</t>
  </si>
  <si>
    <t>[2022] 에프알엘코리아, 화상회의 시스템 구축</t>
  </si>
  <si>
    <t>에프알엘코리아</t>
  </si>
  <si>
    <t>R220040</t>
  </si>
  <si>
    <t>[2022] 한진인천컨테이너터미널, 통합인프라 운영 및 유지보수 갱신 (NW그룹)</t>
  </si>
  <si>
    <t>R220039</t>
  </si>
  <si>
    <t>[2022] 한진인천컨테이너터미널, 통합인프라 운영 및 유지보수 갱신 (데이터센터그룹)</t>
  </si>
  <si>
    <t>R220038</t>
  </si>
  <si>
    <t>[2022] 한진인천컨테이너터미널, 통합인프라 운영 및 유지보수 갱신 (물류/헬스케어그룹)</t>
  </si>
  <si>
    <t>R220037</t>
  </si>
  <si>
    <t>[2022] 상상인저축은행, 보안관제 서비스 사업</t>
  </si>
  <si>
    <t>R220036</t>
  </si>
  <si>
    <t>[2022] (주)한진, TMS 모바일 개선 구축 사업</t>
  </si>
  <si>
    <t>R220035</t>
  </si>
  <si>
    <t>[2022] 왕산레저개발, 왕산마리나 홈페이지 유지보수 사업</t>
  </si>
  <si>
    <t>R220034</t>
  </si>
  <si>
    <t>[2022] (주)한진, 훗타운 시스템 구축 사업 (그룹사팀)</t>
  </si>
  <si>
    <t>R220033</t>
  </si>
  <si>
    <t>[2022] (주)한진, 훗타운 시스템 구축 사업 (물류/헬스케어그룹)</t>
  </si>
  <si>
    <t>R220032</t>
  </si>
  <si>
    <t>[2022] SK스토아, Storage/방화벽/Network 스위치 유지보수 사업</t>
  </si>
  <si>
    <t>R220031</t>
  </si>
  <si>
    <t>[2022] (주)한진, 차세대포커스 및 EM App 운영유지보수 사업</t>
  </si>
  <si>
    <t>R220030</t>
  </si>
  <si>
    <t>[2022] 에스케이브로드밴드 그룹콜센터시스템 유지보수 사업 (ICT/공공그룹)</t>
  </si>
  <si>
    <t>R220029</t>
  </si>
  <si>
    <t>[2022] 에스케이브로드밴드 그룹콜센터시스템 유지보수 사업 (NW그룹)</t>
  </si>
  <si>
    <t>R220028</t>
  </si>
  <si>
    <t>[2022] (주)한진, 택배시스템 개선 및 운영 기술인력 파견</t>
  </si>
  <si>
    <t>최문규</t>
  </si>
  <si>
    <t>R220027</t>
  </si>
  <si>
    <t>[2022] (주)한진, 기업물류(B2B) 분석 및 차세대 택배시스템 PJT 기술지원</t>
  </si>
  <si>
    <t>강기선</t>
  </si>
  <si>
    <t>R220026</t>
  </si>
  <si>
    <t>[2022] 탈레스, KAC VOR PJT 관련 안테나/폴 재설치 건</t>
  </si>
  <si>
    <t>R220025</t>
  </si>
  <si>
    <t>[2022] 인하대병원, 홈페이지 유지보수 사업</t>
  </si>
  <si>
    <t>R220024</t>
  </si>
  <si>
    <t>[2022] KC그린홀딩스 IT 전산장비 통합유지보수 계약</t>
  </si>
  <si>
    <t>R220023</t>
  </si>
  <si>
    <t>[2022] 토파스, 현대드림투어 항공 API 송출 구축</t>
  </si>
  <si>
    <t>R220022</t>
  </si>
  <si>
    <t>[2022] 인하대병원, 인체유래물은행 관련 CDM 구축</t>
  </si>
  <si>
    <t>R220021</t>
  </si>
  <si>
    <t>[2022] 토파스 IBE 1A Travel API(NDC) 연동 기능 개발</t>
  </si>
  <si>
    <t>R220020</t>
  </si>
  <si>
    <t>[2022] 칼호텔네트워크, 제주KAL호텔 무선네트워크장비 철거 및 보관 공사</t>
  </si>
  <si>
    <t>R220019</t>
  </si>
  <si>
    <t>[2022] 킴스앤, 소형기상레이더 기술 컨설팅 용역</t>
  </si>
  <si>
    <t>이상철</t>
  </si>
  <si>
    <t>R220018</t>
  </si>
  <si>
    <t>[2022] 칼호텔네트워크, 서귀포칼호텔 서버 유지보수</t>
  </si>
  <si>
    <t>R220017</t>
  </si>
  <si>
    <t>[2022] 토파스 트립코디 서비스 운영 개발</t>
  </si>
  <si>
    <t>R220016</t>
  </si>
  <si>
    <t>[2022] 디에스인터내셔날, 한성대학교 GWS 연동시스템 유지보수 (2년)</t>
  </si>
  <si>
    <t>R220015</t>
  </si>
  <si>
    <t>[2022] 한국외국어대학교글로벌캠퍼스, GWS 연동시스템 유지보수 (2년)</t>
  </si>
  <si>
    <t>R220014</t>
  </si>
  <si>
    <t>[2022] KC그린홀딩스 그룹웨어 및 웹메일 유지보수</t>
  </si>
  <si>
    <t>R220013</t>
  </si>
  <si>
    <t>[2022] 고려대학교, GWS 연동시스템 유지보수 갱신</t>
  </si>
  <si>
    <t>R220012</t>
  </si>
  <si>
    <t>[2022] 우리엔아이에스, 평택대학교 GWS 연동시스템 유지보수 갱신 (2년)</t>
  </si>
  <si>
    <t>R220011</t>
  </si>
  <si>
    <t>[2022] 인하대병원, 통합 PACS 유지보수 사업 (갱신)</t>
  </si>
  <si>
    <t>R220010</t>
  </si>
  <si>
    <t>[2022] 인하대병원, 시스템 유지보수 사업 (갱신)</t>
  </si>
  <si>
    <t>R220009</t>
  </si>
  <si>
    <t>[2022] 구글코리아, GWS for Education Deployment 컨설팅</t>
  </si>
  <si>
    <t>R220008</t>
  </si>
  <si>
    <t>[2022] 엔에스스마트 인하대 스마트카드시스템 유지보수 사업</t>
  </si>
  <si>
    <t>R220007</t>
  </si>
  <si>
    <t>[2022] 대한항공, Tool SW 통합유지보수 사업</t>
  </si>
  <si>
    <t>R220006</t>
  </si>
  <si>
    <t>[2022] 진에어 대리점/홈페이지 기능개발 및 유지보수</t>
  </si>
  <si>
    <t>R220005</t>
  </si>
  <si>
    <t>[2022] 정석기업 전사정보시스템 유지보수 사업</t>
  </si>
  <si>
    <t>R220004</t>
  </si>
  <si>
    <t>[2022] 상상인플러스저축은행 IT인프라 통합 유지보수 사업</t>
  </si>
  <si>
    <t>R220003</t>
  </si>
  <si>
    <t>[2022] 칼호텔네트워크(그랜드하얏트인천) 네트워크 통합유지보수 갱신</t>
  </si>
  <si>
    <t>R220002</t>
  </si>
  <si>
    <t>[2022] 토파스 SSG 항공 서비스 운영 개발 용역</t>
  </si>
  <si>
    <t>R220001</t>
  </si>
  <si>
    <t>[2022] 에스케이브로드밴드 기업전용회선 서비스용 트래픽 분석기 유지보수 사업</t>
  </si>
  <si>
    <t>R210042</t>
  </si>
  <si>
    <t>[2021] 정석기업, New Hanway 연동개발 사업</t>
  </si>
  <si>
    <t>R210041</t>
  </si>
  <si>
    <t>[2021] 대한항공, 제주사옥 CCTV 배선 공사</t>
  </si>
  <si>
    <t>R210040</t>
  </si>
  <si>
    <t>[2021] 인하대학교 산학협력단, 서버장비 유지보수 사업</t>
  </si>
  <si>
    <t>R210039</t>
  </si>
  <si>
    <t>[2021] 인하대학교, IT인프라 통합 유지보수 사업</t>
  </si>
  <si>
    <t>R210038</t>
  </si>
  <si>
    <t>[2021] 피델리스코리아, 국민대학교 GWS 연동시스템 유지보수</t>
  </si>
  <si>
    <t>피델리스코리아</t>
  </si>
  <si>
    <t>R210037</t>
  </si>
  <si>
    <t>[2021] 동서정보시스템, 연세대학교 GWS 연동시스템 유지보수</t>
  </si>
  <si>
    <t>R210036</t>
  </si>
  <si>
    <t>[2021] 그룹사_New HANWAY(한웨이) 옵션 구축 (6개사)</t>
  </si>
  <si>
    <t>R210035</t>
  </si>
  <si>
    <t>[2021] 숭실사이버대학교 GWS 연동시스템 유지보수 사업</t>
  </si>
  <si>
    <t>R210034</t>
  </si>
  <si>
    <t>[2021] 인하대병원 인천국제공항의료센터 정보시스템 기능 개선</t>
  </si>
  <si>
    <t>R210033</t>
  </si>
  <si>
    <t>[2021] 인하대병원 우즈벡 디지털헬스케어 플랫폼 구축 담당 기술인력 파견</t>
  </si>
  <si>
    <t>R210032</t>
  </si>
  <si>
    <t>[2021] 한진칼 New 한웨이 구축 담당 기술인력 파견</t>
  </si>
  <si>
    <t>R210031</t>
  </si>
  <si>
    <t>[2021] 칼호텔네트워크(그랜드하얏트인천) PABX 시스템 유지보수 갱신</t>
  </si>
  <si>
    <t>R210030</t>
  </si>
  <si>
    <t>[2021] 인하공전 전산장비 통합유지보수 위탁용역</t>
  </si>
  <si>
    <t>R210029</t>
  </si>
  <si>
    <t>[2021] 한진인천컨테이너터미널, 통합인프라 운영 및 유지보수 갱신 (NW그룹)</t>
  </si>
  <si>
    <t>R210028</t>
  </si>
  <si>
    <t>[2021] 한진인천컨테이너터미널, 통합인프라 운영 및 유지보수 갱신 (데이터센터그룹)</t>
  </si>
  <si>
    <t>R210027</t>
  </si>
  <si>
    <t>[2021] 한진인천컨테이너터미널, 통합인프라 운영 및 유지보수 갱신 (그룹사사업그룹)</t>
  </si>
  <si>
    <t>R210026</t>
  </si>
  <si>
    <t>[2021] 대한항공, 항공우주사업본부 홈페이지 리뉴얼</t>
  </si>
  <si>
    <t>R210025</t>
  </si>
  <si>
    <t>[2021] SK스토아 온라인스토리지 네트워크스위치 보안시스템 유지 보수 사업</t>
  </si>
  <si>
    <t>R210024</t>
  </si>
  <si>
    <t>[2021] 아이코어이앤씨(전주고등학교), GWS-TPS 서비스 프로그램 용역</t>
  </si>
  <si>
    <t>아이코어이앤씨</t>
  </si>
  <si>
    <t>R210023</t>
  </si>
  <si>
    <t>[2021] 정석기업, 한진빌딩 신관7층 입주사 이전 통신공사</t>
  </si>
  <si>
    <t>R210022</t>
  </si>
  <si>
    <t>[2021] 에스케이브로드밴드 그룹콜센터시스템 유지보수 사업 (ICT/미디어플랫폼그룹)</t>
  </si>
  <si>
    <t>R210021</t>
  </si>
  <si>
    <t>[2021] 에스케이브로드밴드 그룹콜센터시스템 유지보수 사업 (NW그룹)</t>
  </si>
  <si>
    <t>R210020</t>
  </si>
  <si>
    <t>[2021] 토파스 SSG 항공 서비스 운영 개발 용역</t>
  </si>
  <si>
    <t>R210019</t>
  </si>
  <si>
    <t>[2021] 인하대병원 홈페이지 유지보수 사업</t>
  </si>
  <si>
    <t>R210018</t>
  </si>
  <si>
    <t>[2021] 칼호텔네트워크 제주/서귀포 칼호텔 서버 유지보수 사업</t>
  </si>
  <si>
    <t>R210017</t>
  </si>
  <si>
    <t>[2021] 토파스 현대드림투어 예치금 프로세스 구축 개발</t>
  </si>
  <si>
    <t>R210016</t>
  </si>
  <si>
    <t>[2021] 한국항공대 대학 정보통신시스템 통합유지보수 용역</t>
  </si>
  <si>
    <t>R210015</t>
  </si>
  <si>
    <t>[2021] 리드정보기술 경희대학교 G스위트 연동시스템 유지보수 갱신</t>
  </si>
  <si>
    <t>R210014</t>
  </si>
  <si>
    <t>[2021] 인하대병원 시스템 유지보수 사업</t>
  </si>
  <si>
    <t>R210013</t>
  </si>
  <si>
    <t>[2021] 인하대병원 PACS 시스템 유지보수 사업</t>
  </si>
  <si>
    <t>R210012</t>
  </si>
  <si>
    <t>[2021] KC그린홀딩스 그룹웨어 및 웹메일 유지보수</t>
  </si>
  <si>
    <t>R210011</t>
  </si>
  <si>
    <t>[2021] 고려대학교 G Suite 연동시스템 유지보수</t>
  </si>
  <si>
    <t>R210010</t>
  </si>
  <si>
    <t>[항공21] 진에어 대리점/홈페이지 기능개발 및 유지보수 전환</t>
  </si>
  <si>
    <t>R210009</t>
  </si>
  <si>
    <t>[물류21] 한진 DB 접근제어 솔루션 유지보수</t>
  </si>
  <si>
    <t>안도영</t>
  </si>
  <si>
    <t>R210008</t>
  </si>
  <si>
    <t>[여행21] 정석기업 전사정보시스템 유지보수 사업</t>
  </si>
  <si>
    <t>R210007</t>
  </si>
  <si>
    <t>[여행21] 대한항공씨앤디서비스 기내판매시스템 (시스템운영 유지보수부문)</t>
  </si>
  <si>
    <t>최유림</t>
  </si>
  <si>
    <t>R210006</t>
  </si>
  <si>
    <t>[여행21] 대한항공씨앤디서비스 기내판매시스템 (마이그레이션부문)</t>
  </si>
  <si>
    <t>R210005</t>
  </si>
  <si>
    <t>[여행21] 칼호텔네트워크(그랜드하얏트인천) 네트워크 통합유지보수 갱신</t>
  </si>
  <si>
    <t>R210004</t>
  </si>
  <si>
    <t>[IT21] 한국건강관리협회 전산장비 및 소프트웨어 통합유지 관리 용역</t>
  </si>
  <si>
    <t>박종철</t>
  </si>
  <si>
    <t>한국건강관리협회</t>
  </si>
  <si>
    <t>R210003</t>
  </si>
  <si>
    <t>[IT21] 상상인저축은행 IT인프라 통합 유지보수 사업</t>
  </si>
  <si>
    <t>R210002</t>
  </si>
  <si>
    <t>[IT21] 상상인플러스저축은행 IT인프라 통합 유지보수 사업</t>
  </si>
  <si>
    <t>R210001</t>
  </si>
  <si>
    <t>[운영21] 에스케이브로드밴드 기업전용회선 서비스용 트래픽 분석기 유지보수 사업</t>
  </si>
  <si>
    <t>R200071</t>
  </si>
  <si>
    <t>[항공20] 대한항공 IBM SPSS Modeler SW 유지보수</t>
  </si>
  <si>
    <t>R200070</t>
  </si>
  <si>
    <t>[신사업20] 디에스티인터내셔날 공군 기상 주전산기 교체 사업</t>
  </si>
  <si>
    <t>R200069</t>
  </si>
  <si>
    <t>[의료20] 인하대병원 행동발달장애증진센터 모바일페이지 개발</t>
  </si>
  <si>
    <t>R200068</t>
  </si>
  <si>
    <t>[운영20] 구글코리아(유) G Suite Education Consultancy Program 용역 (NW그룹)</t>
  </si>
  <si>
    <t>박지윤</t>
  </si>
  <si>
    <t>R200067</t>
  </si>
  <si>
    <t>[운영20] 구글코리아(유) G Suite Education Consultancy Program 용역 (클라우드그룹)</t>
  </si>
  <si>
    <t>김진우</t>
  </si>
  <si>
    <t>R200066</t>
  </si>
  <si>
    <t>[IT20] 대한항공 KOC/인재개발원 차량 출입통제 시스템 개선공사</t>
  </si>
  <si>
    <t>R200065</t>
  </si>
  <si>
    <t>[IT20] 동서정보시스템 연세대학교 G스위트 연동시스템 유지보수 갱신</t>
  </si>
  <si>
    <t>R200064</t>
  </si>
  <si>
    <t>[항공20] 대한항공씨앤디서비스 기내식 IT서비스 추가 유지보수 서비스</t>
  </si>
  <si>
    <t>김진모</t>
  </si>
  <si>
    <t>R200063</t>
  </si>
  <si>
    <t>[여행20] 현대드림투어 현대카드 항공예약시스템 연계 추가개발</t>
  </si>
  <si>
    <t>송요셉</t>
  </si>
  <si>
    <t>현대드림투어</t>
  </si>
  <si>
    <t>R200062</t>
  </si>
  <si>
    <t>[의료20] 인하대병원 연구관리시스템 유지보수 사업</t>
  </si>
  <si>
    <t>R200061</t>
  </si>
  <si>
    <t>[항공20] 진에어 로열티시스템 안정화 및 유지보수 사업</t>
  </si>
  <si>
    <t>R200060</t>
  </si>
  <si>
    <t>[항공20] 티라유텍 대한항공 항공우주사업본부 IoT Data 시스템 구축</t>
  </si>
  <si>
    <t>티라유텍</t>
  </si>
  <si>
    <t>R200059</t>
  </si>
  <si>
    <t>[IT20] 고려대학교 G스위트 연동 소프트웨어 유지보수 갱신(4개월)</t>
  </si>
  <si>
    <t>R200058</t>
  </si>
  <si>
    <t>[IT20] 구글코리아(유) G Suite Education Consultancy Program 용역</t>
  </si>
  <si>
    <t>R200057</t>
  </si>
  <si>
    <t>[IT20] 미래에셋대우 UHD 촬영녹화 시스템 등 납품 및 설치</t>
  </si>
  <si>
    <t>미래에셋대우</t>
  </si>
  <si>
    <t>R200056</t>
  </si>
  <si>
    <t>[IT20] 경희대학교 G스위트 연동시스템 유지보수 갱신</t>
  </si>
  <si>
    <t>경희대학교(국제)</t>
  </si>
  <si>
    <t>R200055</t>
  </si>
  <si>
    <t>[항공20] 디에스티인터내셔날 공군 기상 주전산기 교체 사업</t>
  </si>
  <si>
    <t>여준구</t>
  </si>
  <si>
    <t>R200054</t>
  </si>
  <si>
    <t>[여행20] 토파스 KB국민카드 라이프샵 항공 해외여행자보험 개발</t>
  </si>
  <si>
    <t>R200053</t>
  </si>
  <si>
    <t>[IT20] 구글코리아(유) Tech Forum 프로그램 서비스 운영</t>
  </si>
  <si>
    <t>R200052</t>
  </si>
  <si>
    <t>[항공20] 티라유텍 Nesting SW 공급 및 커스트마이징 사업</t>
  </si>
  <si>
    <t>R200051</t>
  </si>
  <si>
    <t>[여행20] 칼호텔네트워크(그랜드하얏트인천) PABX 시스템 유지보수 갱신</t>
  </si>
  <si>
    <t>R200050</t>
  </si>
  <si>
    <t>[IT20] 더케이저축은행 그룹웨어 구축 및 보안솔루션 도입 사업</t>
  </si>
  <si>
    <t>R200049</t>
  </si>
  <si>
    <t>[IT20] 정석기업 한진빌딩 본관5층 입주사(싸이버스카이) 이전 통신공사</t>
  </si>
  <si>
    <t>R200048</t>
  </si>
  <si>
    <t>[IT20] 한국외국어대학교 G suite for Education 연동시스템 신규 구축</t>
  </si>
  <si>
    <t>R200047</t>
  </si>
  <si>
    <t>[IT20] 숭실사이버대학교 G suite for Education 연동시스템 신규 구축</t>
  </si>
  <si>
    <t>R200046</t>
  </si>
  <si>
    <t>[IT20] SK스토아 온라인스토리지 네트워크스위치 보안시스템 유지 보수 사업</t>
  </si>
  <si>
    <t>R200045</t>
  </si>
  <si>
    <t>[여행20] 토파스 라이프샵 항공몰 고도화 및 추가기능 개발</t>
  </si>
  <si>
    <t>R200044</t>
  </si>
  <si>
    <t>[운영20] 한진인천컨테이너터미널 통합인프라 운영 및 유지보수 사업 (NW그룹)</t>
  </si>
  <si>
    <t>R200043</t>
  </si>
  <si>
    <t>[운영20] 한진인천컨테이너터미널 통합인프라 운영 및 유지보수 사업 (클라우드그룹)</t>
  </si>
  <si>
    <t>R200042</t>
  </si>
  <si>
    <t>[물류20] 한진인천컨테이너터미널 통합인프라 운영 및 유지보수 사업</t>
  </si>
  <si>
    <t>R200041</t>
  </si>
  <si>
    <t>[의료20] 인하대병원 비대면 원격진료시스템 구축</t>
  </si>
  <si>
    <t>R200040</t>
  </si>
  <si>
    <t>[신사업20] 진에어 Plug and Play 멤버십 컨설팅 서비스</t>
  </si>
  <si>
    <t>박다미</t>
  </si>
  <si>
    <t>R200039</t>
  </si>
  <si>
    <t>[여행20] 이지미디어 현대드림투어 항공예약시스템 개선 구축</t>
  </si>
  <si>
    <t>이지미디어</t>
  </si>
  <si>
    <t>R200038</t>
  </si>
  <si>
    <t>[IT20] 앤앤에스피 국민대학교 G스위트 유지보수 갱신</t>
  </si>
  <si>
    <t>앤앤에스피</t>
  </si>
  <si>
    <t>R200037</t>
  </si>
  <si>
    <t>[물류20] 한진인천컨테이너터미널 ARMGC RFID 인프라 구축 사업</t>
  </si>
  <si>
    <t>R200036</t>
  </si>
  <si>
    <t>[IT20] SK브로드밴드 통합콜센터 기업전용회선용 시스템 유지보수 (ITO그룹)</t>
  </si>
  <si>
    <t>R200035</t>
  </si>
  <si>
    <t>[운영20] SK브로드밴드 통합콜센터 기업전용회선용 시스템 유지보수 (NW그룹)</t>
  </si>
  <si>
    <t>R200034</t>
  </si>
  <si>
    <t>[여행20] 롯데제이티비 ASV스캔 취약점 조치</t>
  </si>
  <si>
    <t>이지민</t>
  </si>
  <si>
    <t>롯데JTB</t>
  </si>
  <si>
    <t>R200033</t>
  </si>
  <si>
    <t>[IT20] 케이원정보통신 공항 스마트시스템 유지보수 사업</t>
  </si>
  <si>
    <t>R200032</t>
  </si>
  <si>
    <t>[IT20] 한진관광 한진빌딩 사무실 이전 통신공사</t>
  </si>
  <si>
    <t>R200031</t>
  </si>
  <si>
    <t>[여행20] 헤이즐시스 KB국민카드 항공예약시스템 이전</t>
  </si>
  <si>
    <t>헤이즐시스</t>
  </si>
  <si>
    <t>R200030</t>
  </si>
  <si>
    <t>[신사업20] 토파스 Plug and Play 멤버십 컨설팅 서비스</t>
  </si>
  <si>
    <t>R200029</t>
  </si>
  <si>
    <t>[IT20] 씨티케이코스메틱스 구글 G스위트 서비스 마이그레이션 및 변화관리 컨설팅</t>
  </si>
  <si>
    <t>씨티케이코스메틱스</t>
  </si>
  <si>
    <t>R200028</t>
  </si>
  <si>
    <t>[의료20] 인하대병원 홈페이지 유지보수 사업</t>
  </si>
  <si>
    <t>R200027</t>
  </si>
  <si>
    <t>[신사업20] (주)한진 Plug and Play 멤버십 컨설팅 서비스</t>
  </si>
  <si>
    <t>R200026</t>
  </si>
  <si>
    <t>[의료20] 인하대병원 장례식장 프로그램 업그레이드 개발</t>
  </si>
  <si>
    <t>R200025</t>
  </si>
  <si>
    <t>[여행20] 칼호텔네트워크(그랜드하얏트인천) 시스템(서버) 유지보수 갱신</t>
  </si>
  <si>
    <t>R200024</t>
  </si>
  <si>
    <t>[여행20] 칼호텔네트워크 (제주 서귀포) 칼호텔 서버시스템 유지보수 갱신</t>
  </si>
  <si>
    <t>R200023</t>
  </si>
  <si>
    <t>[IT20] 솔루텍시스템 국민대학교 G suite for education 연동시스템 리뉴얼 구축</t>
  </si>
  <si>
    <t>솔루텍시스템</t>
  </si>
  <si>
    <t>R200022</t>
  </si>
  <si>
    <t>[IT20] 그룹사 2차수 G Suite 서비스 구축사업</t>
  </si>
  <si>
    <t>R200021</t>
  </si>
  <si>
    <t>[여행20] 토파스 SSG 항공 Meta 시스템 유지보수 사업</t>
  </si>
  <si>
    <t>최경민</t>
  </si>
  <si>
    <t>R200020</t>
  </si>
  <si>
    <t>[IT20] 한국건강관리협회 차세대 건강검진시스템(MICS) 운용 용역 사업</t>
  </si>
  <si>
    <t>R200019</t>
  </si>
  <si>
    <t>[의료20] 인하대병원 시스템 유지보수 사업</t>
  </si>
  <si>
    <t>R200018</t>
  </si>
  <si>
    <t>[IT20] 비아이엔솔루션 평택대학교 G Suite 연동시스템 유지보수 (2년)</t>
  </si>
  <si>
    <t>비아이엔솔루션</t>
  </si>
  <si>
    <t>R200017</t>
  </si>
  <si>
    <t>[의료20] 인하대병원 PACS 시스템 유지보수 사업</t>
  </si>
  <si>
    <t>R200016</t>
  </si>
  <si>
    <t>[IT20] 디에스티인터내셔날 2020년 한성대학교 G스위트 연동 소프트웨어 유지보수</t>
  </si>
  <si>
    <t>R200015</t>
  </si>
  <si>
    <t>[의료20] 인하대병원 인천국제공항의료센터 UBPACS사용 및 유지보수</t>
  </si>
  <si>
    <t>R200014</t>
  </si>
  <si>
    <t>[의료20] 인하대병원 인천국제공항의료센터 2019년 큰의사랑 사용 및 유지보수</t>
  </si>
  <si>
    <t>R200013</t>
  </si>
  <si>
    <t>한국건강관리협회 어플리케이션(AP)서버 운영환경 구축 사업</t>
  </si>
  <si>
    <t>R200012</t>
  </si>
  <si>
    <t>[IT20] KC그린홀딩스 그룹웨어 및 웹메일시스템 유지보수</t>
  </si>
  <si>
    <t>R200011</t>
  </si>
  <si>
    <t>[IT20] 자본시장연구원 구글 G스위트 서비스 신규 마이그레이션</t>
  </si>
  <si>
    <t>한국자본시장연구원</t>
  </si>
  <si>
    <t>R200010</t>
  </si>
  <si>
    <t>[운영20] (주)한진 택배 OLTP(분석) DB 이중화(RAC)구성 및 Migration</t>
  </si>
  <si>
    <t>장승욱</t>
  </si>
  <si>
    <t>R200009</t>
  </si>
  <si>
    <t>[물류20] 한진 DRM 솔루션 유지보수 갱신</t>
  </si>
  <si>
    <t>R200008</t>
  </si>
  <si>
    <t>[물류20] 한진 DB 접근제어 솔루션 유지보수</t>
  </si>
  <si>
    <t>R200007</t>
  </si>
  <si>
    <t>[항공20] 대한항공 CSS(Cargo Service System)시스템 구축 (모델링-추가)</t>
  </si>
  <si>
    <t>R200006</t>
  </si>
  <si>
    <t>[의료20] 인하국제의료센터 HW 및 상용SW 유지보수 서비스</t>
  </si>
  <si>
    <t>R200005</t>
  </si>
  <si>
    <t>[의료20] 인하국제의료센터 홈페이지 유지보수 갱신</t>
  </si>
  <si>
    <t>R200004</t>
  </si>
  <si>
    <t>[의료20] 인하대병원 CardiacPACS 시스템 유지보수 서비스</t>
  </si>
  <si>
    <t>R200003</t>
  </si>
  <si>
    <t>[INFRA20] SK브로드밴드 인하학원 IPT 교환시스템 유지보수</t>
  </si>
  <si>
    <t>R200002</t>
  </si>
  <si>
    <t>[INFRA20] 상상인플러스저축은행 IT인프라 통합유지보수</t>
  </si>
  <si>
    <t>(주)상상인플러스저축은행</t>
  </si>
  <si>
    <t>R200001</t>
  </si>
  <si>
    <t>[여행20] 그랜드하얏트인천호텔 네트워크 통합유지보수</t>
  </si>
  <si>
    <t>R190050</t>
  </si>
  <si>
    <t>[INFRA19] 롯데제이티비 PCI DSS ASV스캔 취약점 조치</t>
  </si>
  <si>
    <t>롯데제이티비 주식회사</t>
  </si>
  <si>
    <t>R190049</t>
  </si>
  <si>
    <t>[의료19] 인하대병원 행동발달장애증진센터 홈페이지 리뉴얼</t>
  </si>
  <si>
    <t>R190048</t>
  </si>
  <si>
    <t>[의료19] 인하대병원 망분리 시스템 구축 사업</t>
  </si>
  <si>
    <t>R190047</t>
  </si>
  <si>
    <t>[의료19] 디엠씨코리아코퍼레이션 인하대병원 생체신호모니터링장비 EMR 개발</t>
  </si>
  <si>
    <t>(주)디엠에스시스템</t>
  </si>
  <si>
    <t>R190046</t>
  </si>
  <si>
    <t>[SW19] 동서정보시스템 연세대학교 G스위트 연동시스템 유지보수 사업</t>
  </si>
  <si>
    <t>동서정보시스템</t>
  </si>
  <si>
    <t>R190045</t>
  </si>
  <si>
    <t>[SW19] 경희대학교 G스위트 연동시스템 유지보수 갱신</t>
  </si>
  <si>
    <t>경희대학교</t>
  </si>
  <si>
    <t>R190044</t>
  </si>
  <si>
    <t>[여행19] 세일여행사 항공예약시스템 서버 유지보수 사업</t>
  </si>
  <si>
    <t>R190043</t>
  </si>
  <si>
    <t>[SW19] 고려대학교 G스위트 연동 소프트웨어 유지보수</t>
  </si>
  <si>
    <t>R190042</t>
  </si>
  <si>
    <t>[항공19] 대한항공 IFF사업 PLM 컨설팅 및 개발</t>
  </si>
  <si>
    <t>R190041</t>
  </si>
  <si>
    <t>[SW19] 그룹사 G Suite 서비스 구축 사업</t>
  </si>
  <si>
    <t>R190040</t>
  </si>
  <si>
    <t>[컨설팅19] 효성ITX 씨티은행 텔레마케팅센터 유지보수 갱신</t>
  </si>
  <si>
    <t>효성ITX(주)</t>
  </si>
  <si>
    <t>R190039</t>
  </si>
  <si>
    <t>[INFRA19] 칼호텔네트워크(그랜드하얏트인천) PABX 시스템 유지보수 갱신</t>
  </si>
  <si>
    <t>R190038</t>
  </si>
  <si>
    <t>[INFRA19] 한진인천컨테이너터미널 통합인프라 운영 및 유지보수 사업 (NW서비스)</t>
  </si>
  <si>
    <t>R190037</t>
  </si>
  <si>
    <t>[INFRA19] 한진인천컨테이너터미널 통합인프라 운영 및 유지보수 사업 (DC서비스)</t>
  </si>
  <si>
    <t>R190036</t>
  </si>
  <si>
    <t>[물류19] 한진인천컨테이너터미널 통합인프라 운영 및 유지보수 사업</t>
  </si>
  <si>
    <t>R190035</t>
  </si>
  <si>
    <t>[물류19] (주)한진 인천 SILO시스템 유지보수 계약 갱신</t>
  </si>
  <si>
    <t>R190034</t>
  </si>
  <si>
    <t>[여행19] 칼호텔네트워크 서귀포칼호텔 무선AP 추가설치</t>
  </si>
  <si>
    <t>R190033</t>
  </si>
  <si>
    <t>[컨설팅19] 강원연구원 우천산업단지 스마트공장 도입 및 지원정책 수립용역</t>
  </si>
  <si>
    <t>김두환</t>
  </si>
  <si>
    <t>(재)강원연구원</t>
  </si>
  <si>
    <t>R190032</t>
  </si>
  <si>
    <t>[항공19] 중앙의전기획 신갈 선영 보안강화계획 구축 공사</t>
  </si>
  <si>
    <t>중앙의전기획</t>
  </si>
  <si>
    <t>R190031</t>
  </si>
  <si>
    <t>[SW19] 대한항공 G Suite 서비스 구축 사업</t>
  </si>
  <si>
    <t>R190030</t>
  </si>
  <si>
    <t>[여행19] 동화세상에듀코 항공예약시스템(IBE) 구축</t>
  </si>
  <si>
    <t>주식회사 동화세상에듀코</t>
  </si>
  <si>
    <t>R190029</t>
  </si>
  <si>
    <t>[SW19] 앤앤에스피 국민대학교 G스위트 유지보수 (구글메일)</t>
  </si>
  <si>
    <t>R190028</t>
  </si>
  <si>
    <t>[물류19] 한진 인천 SILO시스템 유지보수 사업</t>
  </si>
  <si>
    <t>R190027</t>
  </si>
  <si>
    <t>[INFRA19] 한진관광 취약점 진단 모의해킹 용역</t>
  </si>
  <si>
    <t>R190026</t>
  </si>
  <si>
    <t>[항공19] 대한항공 스카이링크 AWS 개발</t>
  </si>
  <si>
    <t>권성현</t>
  </si>
  <si>
    <t>R190025</t>
  </si>
  <si>
    <t>[항공19] 대한항공 PLM 기능개선 개발 사업</t>
  </si>
  <si>
    <t>R190024</t>
  </si>
  <si>
    <t>[항공19] 대한항공 여객 홈페이지 개인화 솔루션 지원</t>
  </si>
  <si>
    <t>R190023</t>
  </si>
  <si>
    <t>[여행19] 칼호텔네트워크(그랜드하얏트인천) 시스템(서버) 유지보수 갱신</t>
  </si>
  <si>
    <t>R190022</t>
  </si>
  <si>
    <t>[여행19] 칼호텔네트워크 (제주 서귀포) 칼호텔 서버시스템 유지보수 갱신</t>
  </si>
  <si>
    <t>R190021</t>
  </si>
  <si>
    <t>[컨설팅19] 포스코건설 신길3재정비촉진구역 주택재개발정비사업 측량용역</t>
  </si>
  <si>
    <t>포스코건설</t>
  </si>
  <si>
    <t>R190020</t>
  </si>
  <si>
    <t>[의료19] 인하국제의료센터 특수검진시스템 구축 및 운영서비스</t>
  </si>
  <si>
    <t>R190019</t>
  </si>
  <si>
    <t>[SW19] 대신정보통신 한성대학교 G스위트 연동 소프트웨어 유지보수 갱신</t>
  </si>
  <si>
    <t>대신정보통신</t>
  </si>
  <si>
    <t>R190018</t>
  </si>
  <si>
    <t>[SW19] 한진관광 모바일 유지보수 사업</t>
  </si>
  <si>
    <t>R190017</t>
  </si>
  <si>
    <t>[INFRA Shared19] KC그린홀딩스 그룹웨어 및 웹메일시스템 유지보수</t>
  </si>
  <si>
    <t>R190016</t>
  </si>
  <si>
    <t>[SW Shared19] 한신대학교 G Suite 유지보수 (갱신)</t>
  </si>
  <si>
    <t>한신대학교</t>
  </si>
  <si>
    <t>R190015</t>
  </si>
  <si>
    <t>[의료19] 인하대병원 인천국제공항의료센터 UBPACS사용 및 유지보수</t>
  </si>
  <si>
    <t>R190014</t>
  </si>
  <si>
    <t>[의료19] 인하대병원 인천국제공항의료센터 2019년 큰의사랑 사용 및 유지보수</t>
  </si>
  <si>
    <t>R190013</t>
  </si>
  <si>
    <t>[컨설팅19] 라인테크이엔지 KE RC-2000B 후속지원 관련 기술도서 최신화 지원사업</t>
  </si>
  <si>
    <t>조광명</t>
  </si>
  <si>
    <t>라인테크이엔지</t>
  </si>
  <si>
    <t>R190012</t>
  </si>
  <si>
    <t>R190011</t>
  </si>
  <si>
    <t>[NW2019] 한진칼 IT담당 기술인력 파견</t>
  </si>
  <si>
    <t>R190010</t>
  </si>
  <si>
    <t>[2019] 상상인플러스저축은행 IT인프라 통합유지보수</t>
  </si>
  <si>
    <t>R190009</t>
  </si>
  <si>
    <t>한진 DRM 솔루션 유지보수 [2019년]</t>
  </si>
  <si>
    <t>R190008</t>
  </si>
  <si>
    <t>한진 DB 접근제어 솔루션 유지보수 [2019년]</t>
  </si>
  <si>
    <t>R190007</t>
  </si>
  <si>
    <t>[2019] 대한항공 Tool SW 통합유지보수</t>
  </si>
  <si>
    <t>R190006</t>
  </si>
  <si>
    <t>[APP19] 토파스 모두투어 항공예약시스템 구축</t>
  </si>
  <si>
    <t>R190005</t>
  </si>
  <si>
    <t>인하국제의료센터 HW 및 상용SW 유지보수 서비스 [2019년]</t>
  </si>
  <si>
    <t>R190004</t>
  </si>
  <si>
    <t>[APP19] 인하국제의료센터 홈페이지유지보수 계약 갱신</t>
  </si>
  <si>
    <t>R190003</t>
  </si>
  <si>
    <t>[2019] 인하학원 IPT교환시스템 유지보수</t>
  </si>
  <si>
    <t>R190002</t>
  </si>
  <si>
    <t>인하대병원 CardiacPACS 시스템 유지보수 서비스 (2019년)</t>
  </si>
  <si>
    <t>R190001</t>
  </si>
  <si>
    <t>[2019] 그랜드하얏트인천호텔 네트워크 통합유지보수</t>
  </si>
  <si>
    <t>R180056</t>
  </si>
  <si>
    <t>대한항공 CSS(Cargo Service System)시스템 구축 (모델링)</t>
  </si>
  <si>
    <t>R180055</t>
  </si>
  <si>
    <t>[2018년] 경희대학교 G스위트 연동시스템 유지보수</t>
  </si>
  <si>
    <t>R180054</t>
  </si>
  <si>
    <t>[APP18] 정석 전사정보시스템 업그레이드</t>
  </si>
  <si>
    <t>R180053</t>
  </si>
  <si>
    <t>[2018] 인천컨테이너터미널 운영시스템 IT인프라 통합유지보수(NW부문)</t>
  </si>
  <si>
    <t>R180052</t>
  </si>
  <si>
    <t>[APP18] 토파스 온라인투어 항공예약시스템 구축</t>
  </si>
  <si>
    <t>R180051</t>
  </si>
  <si>
    <t>[2018] 인천컨테이너터미널 운영시스템 IT인프라 통합유지보수(SYS부문)</t>
  </si>
  <si>
    <t>R180050</t>
  </si>
  <si>
    <t>[2018] 대한항공 제동목장 관리사 보안시스템 보수공사</t>
  </si>
  <si>
    <t>R180049</t>
  </si>
  <si>
    <t>건설공제조합 2018년 정보시스템 인프라 개선</t>
  </si>
  <si>
    <t>R180048</t>
  </si>
  <si>
    <t>아이에이티 내부회계관리 시스템 구축</t>
  </si>
  <si>
    <t>R180047</t>
  </si>
  <si>
    <t>연세대학교 클라우드 메일 전환 사업 (G Suite EDU 연동 서버 구축)</t>
  </si>
  <si>
    <t>R180046</t>
  </si>
  <si>
    <t>[APP18] 대한항공, OC회의실 예약조회현황 Application 개발</t>
  </si>
  <si>
    <t>R180045</t>
  </si>
  <si>
    <t>[2018] 씨티은행 텔레마케팅센터 유지보수</t>
  </si>
  <si>
    <t>R180044</t>
  </si>
  <si>
    <t>[2018] 그랜드하얏트인천 PABX 시스템 유지보수</t>
  </si>
  <si>
    <t>R180043</t>
  </si>
  <si>
    <t>[2018] 그랜드하얏트인천호텔 네트워크 유지보수(업무망)</t>
  </si>
  <si>
    <t>R180042</t>
  </si>
  <si>
    <t>[APP18] 타이드스퀘어 항공예약시스템 유지보수</t>
  </si>
  <si>
    <t>최규범</t>
  </si>
  <si>
    <t>타이드스퀘어</t>
  </si>
  <si>
    <t>R180041</t>
  </si>
  <si>
    <t>고려대학교 클라우드 메일시스템 이전 사업 (G Suite EDU 연동 서버 구축)</t>
  </si>
  <si>
    <t>주식회사 코어빌더</t>
  </si>
  <si>
    <t>R180040</t>
  </si>
  <si>
    <t>[APP18] 대한항공 화물 ETL시스템 개발</t>
  </si>
  <si>
    <t>R180039</t>
  </si>
  <si>
    <t>[2018] 제주KAL호텔 무선네트워크 개선구축</t>
  </si>
  <si>
    <t>R180038</t>
  </si>
  <si>
    <t>(IFRS신수익 기준 적용) 중점관리 프로젝트 배부용</t>
  </si>
  <si>
    <t>R180037</t>
  </si>
  <si>
    <t>엘아이지넥스원(주)</t>
  </si>
  <si>
    <t>R180036</t>
  </si>
  <si>
    <t>2018년도 국민대학교 G스위트 유지보수 (구글메일)</t>
  </si>
  <si>
    <t>R180035</t>
  </si>
  <si>
    <t>인천 SILO시스템 유지보수 (한진-2018년)</t>
  </si>
  <si>
    <t>R180034</t>
  </si>
  <si>
    <t>[2018] 인하대학교 무선네트워크장비 유지보수</t>
  </si>
  <si>
    <t>R180033</t>
  </si>
  <si>
    <t>[APP18] 기상청 소형기상레이더 기술컨설팅 용역</t>
  </si>
  <si>
    <t>R180032</t>
  </si>
  <si>
    <t>[2018] 토파스 PCI DSS 인증 관련 솔루션 사용</t>
  </si>
  <si>
    <t>R180031</t>
  </si>
  <si>
    <t>[APP18] 토파스 카카오 항공메타부킹시스템 LH항공 API적용 개발</t>
  </si>
  <si>
    <t>R180030</t>
  </si>
  <si>
    <t>[2018] KE사옥 CCTV SYSTEM 및 관제센터 구축</t>
  </si>
  <si>
    <t>R180029</t>
  </si>
  <si>
    <t>[2018] 그랜드하얏트인천 시스템(서버) 유지보수 계약</t>
  </si>
  <si>
    <t>R180028</t>
  </si>
  <si>
    <t>[2018] 칼호텔네트워크(제주 서귀포) 서버시스템 유지보수 서비스</t>
  </si>
  <si>
    <t>R180027</t>
  </si>
  <si>
    <t>[2018] 세종저축은행 IT인프라 망분리 유지보수</t>
  </si>
  <si>
    <t>R180026</t>
  </si>
  <si>
    <t>[2018] 세종상호저축은행 백신 및 SpamSniper 유지보수</t>
  </si>
  <si>
    <t>R180025</t>
  </si>
  <si>
    <t>2018학년도 한성대학교 G스위트 연동 소프트웨어 유지보수</t>
  </si>
  <si>
    <t>R180024</t>
  </si>
  <si>
    <t>한신대 구글앱스 연동 SW 유지보수 [2018년]</t>
  </si>
  <si>
    <t>R180023</t>
  </si>
  <si>
    <t>평택대학교 전산자원 유지보수 (구글메일) - 2019년</t>
  </si>
  <si>
    <t>엘앤씨넷시스</t>
  </si>
  <si>
    <t>R180022</t>
  </si>
  <si>
    <t>한양대학교병원 개인정보취급자 및 주요직무자 망분리사업</t>
  </si>
  <si>
    <t>한양대학교병원</t>
  </si>
  <si>
    <t>R180021</t>
  </si>
  <si>
    <t>[APP18] 인하국제의료센터 홈페이지 유지보수</t>
  </si>
  <si>
    <t>R180020</t>
  </si>
  <si>
    <t>인하국제의료센터 HW 및 상용SW 유지보수 서비스 [2018년]</t>
  </si>
  <si>
    <t>R180019</t>
  </si>
  <si>
    <t>[2018] SKB 방송제작용 스튜디오 구축 설비 구매(SYS부문)</t>
  </si>
  <si>
    <t>R180018</t>
  </si>
  <si>
    <t>[2018] SKB 방송제작용 스튜디오 구축 설비 구매(NW부문)</t>
  </si>
  <si>
    <t>R180017</t>
  </si>
  <si>
    <t>[APP18] 대한항공 화물서비스(CSS) 연계시스템 구축</t>
  </si>
  <si>
    <t>R180016</t>
  </si>
  <si>
    <t>[2018] 인하대학교 네트워크장비 유지보수</t>
  </si>
  <si>
    <t>R180015</t>
  </si>
  <si>
    <t>한진 DB암호화 솔루션 유지보수 서비스 [2018년]</t>
  </si>
  <si>
    <t>R180014</t>
  </si>
  <si>
    <t>한진 DRM 솔루션 유지보수 [2018년]</t>
  </si>
  <si>
    <t>R180013</t>
  </si>
  <si>
    <t>[2018] 인하대 포탈 및 보안시스템용 백업 SW 유지보수</t>
  </si>
  <si>
    <t>R180012</t>
  </si>
  <si>
    <t>[2018] 정석학술정보관 네트워크장비 유지보수</t>
  </si>
  <si>
    <t>R180011</t>
  </si>
  <si>
    <t>[APP18] 토파스 MRT 항공예약시스템 구축 개발</t>
  </si>
  <si>
    <t>R180010</t>
  </si>
  <si>
    <t>[APP18] 인하대병원 홈페이지유지보수</t>
  </si>
  <si>
    <t>R180009</t>
  </si>
  <si>
    <t>[APP18] 인하대병원 심뇌혈관센터 홈페이지 유지보수</t>
  </si>
  <si>
    <t>R180008</t>
  </si>
  <si>
    <t>[APP18] 인하대병원 인천국제공항의료센터 큰의사랑사용 및 유지보수</t>
  </si>
  <si>
    <t>R180007</t>
  </si>
  <si>
    <t>[APP18] 인하대병원 공항의료센터 UBPACS사용 및 유지보수</t>
  </si>
  <si>
    <t>R180006</t>
  </si>
  <si>
    <t>[2018] 상상인저축은행 IT인프라 통합 유지보수</t>
  </si>
  <si>
    <t>R180005</t>
  </si>
  <si>
    <t>한진 DB 접근제어 솔루션 유지보수 [2018년]</t>
  </si>
  <si>
    <t>R180004</t>
  </si>
  <si>
    <t>[2018] 인하학원 IPT장비 유지보수</t>
  </si>
  <si>
    <t>R180003</t>
  </si>
  <si>
    <t>[2018] 그랜드하얏트인천호텔 네트워크 유지보수(객실망)</t>
  </si>
  <si>
    <t>R180002</t>
  </si>
  <si>
    <t>[2018] 정석학술정보관 보안장비 백업솔루션 유지보수</t>
  </si>
  <si>
    <t>R180001</t>
  </si>
  <si>
    <t>[2018년] 국민대 대량메일 전송 시스템 유지보수</t>
  </si>
  <si>
    <t>R170073</t>
  </si>
  <si>
    <t>[2017년] 경희대학교 G스위트 연동시스템 유지보수</t>
  </si>
  <si>
    <t>R170072</t>
  </si>
  <si>
    <t>[APP17] 토파스 eTW(e-Travel Webservice) 백오피스 고도화를 위한 기능개발</t>
  </si>
  <si>
    <t>R170071</t>
  </si>
  <si>
    <t>[2017] 인천컨테이너터미널 운영시스템 IT인프라 통합유지보수(SYS부문)</t>
  </si>
  <si>
    <t>R170070</t>
  </si>
  <si>
    <t>[2017] 인천컨테이너터미널 운영시스템 IT인프라 통합유지보수(NW부문)</t>
  </si>
  <si>
    <t>R170069</t>
  </si>
  <si>
    <t>[2017] 항공대 대학 정보통신시스템 통합유지보수(NW 보안 백업시스템)</t>
  </si>
  <si>
    <t>R170068</t>
  </si>
  <si>
    <t>[APP17] 토파스 eTW(e-Travel Webservice) 제휴사 백오피스 연동 API 상품개발</t>
  </si>
  <si>
    <t>R170067</t>
  </si>
  <si>
    <t>[APP17] 한진칼 보안취약점 수정 조치 지원</t>
  </si>
  <si>
    <t>R170066</t>
  </si>
  <si>
    <t>KC그린홀딩즈 메일시스템 유지보수 서비스 계약 [2017년]</t>
  </si>
  <si>
    <t>R170065</t>
  </si>
  <si>
    <t>보안장비(주니퍼 VPN) 유지보수</t>
  </si>
  <si>
    <t>(주)삼오제약</t>
  </si>
  <si>
    <t>R170064</t>
  </si>
  <si>
    <t>IP PBX 시스템 유지보수</t>
  </si>
  <si>
    <t>R170063</t>
  </si>
  <si>
    <t>인하학원IPT일반장비 유지보수</t>
  </si>
  <si>
    <t>R170062</t>
  </si>
  <si>
    <t>2017학년도 한성대학교 G스위트 연동 소프트웨어 유지보수</t>
  </si>
  <si>
    <t>R170061</t>
  </si>
  <si>
    <t>한신대 구글앱스 연동 SW 유지보수</t>
  </si>
  <si>
    <t>R170060</t>
  </si>
  <si>
    <t>국민대 구글앱스 연동 SW 유지보수</t>
  </si>
  <si>
    <t>R170059</t>
  </si>
  <si>
    <t>평택대 G스위트 연동소프트웨어 구축</t>
  </si>
  <si>
    <t>대우정보시스템㈜</t>
  </si>
  <si>
    <t>R170058</t>
  </si>
  <si>
    <t>모바일 PUSH 시스템 유지보수</t>
  </si>
  <si>
    <t>R170057</t>
  </si>
  <si>
    <t>국민대 보안장비 유지보수</t>
  </si>
  <si>
    <t>김재열</t>
  </si>
  <si>
    <t>R170056</t>
  </si>
  <si>
    <t>경희대 보안장비 유지보수</t>
  </si>
  <si>
    <t>데이타뱅크시스템즈</t>
  </si>
  <si>
    <t>R170055</t>
  </si>
  <si>
    <t>씨티은행 텔레마케팅센터 유지보수</t>
  </si>
  <si>
    <t>R170054</t>
  </si>
  <si>
    <t>그랜드하얏트인천 PABX 시스템 유지보수</t>
  </si>
  <si>
    <t>R170053</t>
  </si>
  <si>
    <t>[2017] 그랜드하얏트인천호텔 네트워크 유지보수(객실망)</t>
  </si>
  <si>
    <t>R170052</t>
  </si>
  <si>
    <t>[2017] 그랜드하얏트인천호텔 네트워크 유지보수(업무망)</t>
  </si>
  <si>
    <t>R170051</t>
  </si>
  <si>
    <t>세중 클라우드 POC 컨설팅</t>
  </si>
  <si>
    <t>R170050</t>
  </si>
  <si>
    <t>(주)한진 인천 통관장시스템 통합유지보수 서비스-[2017년]</t>
  </si>
  <si>
    <t>R170049</t>
  </si>
  <si>
    <t>파주 대교아트센터 AV 및 무대조명 시스템 구축사업</t>
  </si>
  <si>
    <t>김주필</t>
  </si>
  <si>
    <t>대교</t>
  </si>
  <si>
    <t>R170048</t>
  </si>
  <si>
    <t>[APP17] 토파스 웹투어 11번가 입점용 ETC 시스템 구축</t>
  </si>
  <si>
    <t>R170047</t>
  </si>
  <si>
    <t>[MS CSP] 한스프롬 MS CSP 서비스 공급 - 2017년</t>
  </si>
  <si>
    <t>R170046</t>
  </si>
  <si>
    <t>[2017] 인하대학교 무선네트워크장비 유지보수</t>
  </si>
  <si>
    <t>R170045</t>
  </si>
  <si>
    <t>[2017] 인하대병원 ISMS(정보보호관리체계)인증 컨설팅</t>
  </si>
  <si>
    <t>R170044</t>
  </si>
  <si>
    <t>[2017] 인하대 하이테크관 창업보육센터 네트워크 유지보수</t>
  </si>
  <si>
    <t>R170043</t>
  </si>
  <si>
    <t>[2017] The-K저축은행 IT인프라 통합 유지보수와 정보보호관리체계 수립 운영 용역</t>
  </si>
  <si>
    <t>R170042</t>
  </si>
  <si>
    <t>[APP 17] 토파스 그룹항공권 기능 개발</t>
  </si>
  <si>
    <t>R170040</t>
  </si>
  <si>
    <t>KC그린홀딩스 IT 전산장비 통합유지보수 계약</t>
  </si>
  <si>
    <t>R170039</t>
  </si>
  <si>
    <t>메일 암호화 및 MDM 구축 및 운영 서비스 사업</t>
  </si>
  <si>
    <t>R170038</t>
  </si>
  <si>
    <t>[MS CSP] 코스모진여행사 MS CSP 서비스 공급 - 2017년</t>
  </si>
  <si>
    <t>코스모진여행사</t>
  </si>
  <si>
    <t>R170037</t>
  </si>
  <si>
    <t>토파스 Value Office용 SW유지보수 (GAUCE)</t>
  </si>
  <si>
    <t>R170036</t>
  </si>
  <si>
    <t>KC그린홀딩스 그룹웨어 및 웹메일시스템 구축</t>
  </si>
  <si>
    <t>최우진</t>
  </si>
  <si>
    <t>R170035</t>
  </si>
  <si>
    <t>인천 SILO시스템 유지보수 (한진-2017년)</t>
  </si>
  <si>
    <t>R170034</t>
  </si>
  <si>
    <t>[APP17] 토파스 카카오톡 항공 메타엔진 구축 사업(가)</t>
  </si>
  <si>
    <t>R170033</t>
  </si>
  <si>
    <t>[APP17] 토파스 한진관광 B2C Mobile 개발 및 B2B 개선</t>
  </si>
  <si>
    <t>R170032</t>
  </si>
  <si>
    <t>대한항공 오라클 ERP 기술 INFRA 서비스 [2017]</t>
  </si>
  <si>
    <t>R170031</t>
  </si>
  <si>
    <t>[2017] 인하대 정석학술정보관 서버시스템 유지보수</t>
  </si>
  <si>
    <t>R170030</t>
  </si>
  <si>
    <t>[2017] 항공대 네트워크 보안 백업시스템 통합유지보수</t>
  </si>
  <si>
    <t>R170029</t>
  </si>
  <si>
    <t>진에어 모바일(앱) 서버 퍼블릭 클라우드 서비스-2017년</t>
  </si>
  <si>
    <t>R170028</t>
  </si>
  <si>
    <t>[APP17] 토파스 온라인투어 항공예약시스템 구축</t>
  </si>
  <si>
    <t>R170027</t>
  </si>
  <si>
    <t>KC그린홀딩즈(주) IT아웃소싱 서비스 (Application)</t>
  </si>
  <si>
    <t>R170026</t>
  </si>
  <si>
    <t>[APP17] 한진칼 ERP 프로젝트 인력파견</t>
  </si>
  <si>
    <t>R170025</t>
  </si>
  <si>
    <t>[APP17] 토파스 11번가 Meta Search 시스템 유지보수</t>
  </si>
  <si>
    <t>R170024</t>
  </si>
  <si>
    <t>인하대병원 의료정보서버 교체 [2017년]</t>
  </si>
  <si>
    <t>R170023</t>
  </si>
  <si>
    <t>[APP17] 토파스 11번가 Meta Search 시스템 고도화 개발</t>
  </si>
  <si>
    <t>R170022</t>
  </si>
  <si>
    <t>[2017] 칼호텔네트워크(제주 서귀포) 서버시스템 유지보수 서비스</t>
  </si>
  <si>
    <t>R170021</t>
  </si>
  <si>
    <t>그랜드하얏트인천 시스템(서버) 유지보수 계약-2017년</t>
  </si>
  <si>
    <t>R170020</t>
  </si>
  <si>
    <t>[APP17] 인하국제의료센터 홈페이지 유지보수 계약 갱신</t>
  </si>
  <si>
    <t>R170019</t>
  </si>
  <si>
    <t>인하국제의료센터 HW 및 상용SW 유지보수 서비스 [2017년]</t>
  </si>
  <si>
    <t>R170018</t>
  </si>
  <si>
    <t>인하대병원 인천국제공항의료센터 큰의사랑사용 및 유지보수-2017년</t>
  </si>
  <si>
    <t>R170017</t>
  </si>
  <si>
    <t>인하대병원 공항의료센터 UBPACS사용 및 유지보수-2017년</t>
  </si>
  <si>
    <t>R170016</t>
  </si>
  <si>
    <t>인하대병원 양방향의사소통시스템 구축</t>
  </si>
  <si>
    <t>R170015</t>
  </si>
  <si>
    <t>[APP17] 인하대병원 홈페이지 유지보수</t>
  </si>
  <si>
    <t>R170014</t>
  </si>
  <si>
    <t>한진 DRM 솔루션 유지보수 [2017년]</t>
  </si>
  <si>
    <t>R170013</t>
  </si>
  <si>
    <t>[APP17] 인하대병원 심뇌혈관센터 홈페이지 유지보수</t>
  </si>
  <si>
    <t>R170012</t>
  </si>
  <si>
    <t>[2017] 인하대 포탈 및 보안시스템용 백업 SW 유지보수</t>
  </si>
  <si>
    <t>R170011</t>
  </si>
  <si>
    <t>인하대병원 CardiacPACS 시스템 유지보수 서비스 (2017년)</t>
  </si>
  <si>
    <t>R170010</t>
  </si>
  <si>
    <t>[2017] (주)한화 MUAV 자동시험장비 LBCU모사기 종합군수지원 추가</t>
  </si>
  <si>
    <t>한화 아산1사업장</t>
  </si>
  <si>
    <t>R170009</t>
  </si>
  <si>
    <t>진에어 한웨이 전표시스템 연동 구축 [2017년]</t>
  </si>
  <si>
    <t>R170008</t>
  </si>
  <si>
    <t>[2017] 대한항공 정석비행장 기상관측장비 구매·설치</t>
  </si>
  <si>
    <t>R170007</t>
  </si>
  <si>
    <t>[2017] 정석학술정보관 네트워크장비 유지보수</t>
  </si>
  <si>
    <t>R170006</t>
  </si>
  <si>
    <t>[2017] 인하대학교 네트워크장비 유지보수</t>
  </si>
  <si>
    <t>R170005</t>
  </si>
  <si>
    <t>[APP17] 토파스 트랜스아시아투어 항공예약시스템 구축</t>
  </si>
  <si>
    <t>R170004</t>
  </si>
  <si>
    <t>MBC 보도 NPS(Network Production System) 하드웨어 구축 사업</t>
  </si>
  <si>
    <t>문화방송</t>
  </si>
  <si>
    <t>R170003</t>
  </si>
  <si>
    <t>한진 DB 접근제어 솔루션 유지보수 [2017년]</t>
  </si>
  <si>
    <t>R170002</t>
  </si>
  <si>
    <t>[APP17] 토파스 인터파크투어 11번가 입점 구축</t>
  </si>
  <si>
    <t>R170001</t>
  </si>
  <si>
    <t>[2017] 정석학술정보관 보안장비 백업솔루션 유지보수</t>
  </si>
  <si>
    <t>R160060</t>
  </si>
  <si>
    <t>[2016] 아미건 호텔 신축건물 정보통신공사 사업</t>
  </si>
  <si>
    <t>(주)두손씨에스티</t>
  </si>
  <si>
    <t>R160059</t>
  </si>
  <si>
    <t>[2016] 한진인천컨테이너터미널 IT인프라(장비 상용SW) 유지보수</t>
  </si>
  <si>
    <t>R160058</t>
  </si>
  <si>
    <t>[APP16] 토파스 현대아산 항공예약시스템 구축</t>
  </si>
  <si>
    <t>R160057</t>
  </si>
  <si>
    <t>[2016] 한국공항공사, 김포공항 대한항공 총괄사무실 이전공사</t>
  </si>
  <si>
    <t>한국공항공사 서울지역본부</t>
  </si>
  <si>
    <t>R160056</t>
  </si>
  <si>
    <t>한진 DB암호화 솔루션 유지보수 서비스 [2016]</t>
  </si>
  <si>
    <t>R160055</t>
  </si>
  <si>
    <t>[APP16] 대한항공 고객채팅 상담분석</t>
  </si>
  <si>
    <t>전동준</t>
  </si>
  <si>
    <t>윈즈아이티</t>
  </si>
  <si>
    <t>R160054</t>
  </si>
  <si>
    <t>[APP16] 비용심사시스템 개발 및 객실승무원 평가시스템 추가 개발</t>
  </si>
  <si>
    <t>김대식</t>
  </si>
  <si>
    <t>R160053</t>
  </si>
  <si>
    <t>KC코트렐 메일시스템 유지보수 서비스 계약 [2016년]</t>
  </si>
  <si>
    <t>R160052</t>
  </si>
  <si>
    <t>[2016] 왕산마리나 군부대 CCTV 영상 NETWORK 구축공사</t>
  </si>
  <si>
    <t>R160051</t>
  </si>
  <si>
    <t>[APP16] 대명투어몰 티몬 항공예약 입점 개발</t>
  </si>
  <si>
    <t>주식회사 대명투어몰</t>
  </si>
  <si>
    <t>R160050</t>
  </si>
  <si>
    <t>[APP16] 여행박사 티몬 항공예약 입점 개발</t>
  </si>
  <si>
    <t>(주)여행박사</t>
  </si>
  <si>
    <t>R160049</t>
  </si>
  <si>
    <t>[APP16] 노랑풍선 티몬 항공예약 입점 개발</t>
  </si>
  <si>
    <t>주식회사 노랑풍선</t>
  </si>
  <si>
    <t>R160048</t>
  </si>
  <si>
    <t>[APP16] 노랑풍선 제주항공 국내선 추가</t>
  </si>
  <si>
    <t>R160047</t>
  </si>
  <si>
    <t>(주)한진 인천 통관장시스템 통합유지보수 서비스-[2016년]</t>
  </si>
  <si>
    <t>R160046</t>
  </si>
  <si>
    <t>[2016] 사단정찰용 무인기 양산사업 종합군수지원 개발</t>
  </si>
  <si>
    <t>R160045</t>
  </si>
  <si>
    <t>인하국제의료센터 상용SW 유지보수 서비스 [2016년]</t>
  </si>
  <si>
    <t>R160044</t>
  </si>
  <si>
    <t>[2016] 그랜드하얏트인천호텔 네트워크 유지보수(업무망)</t>
  </si>
  <si>
    <t>R160043</t>
  </si>
  <si>
    <t>[2016] 그랜드하얏트인천호텔 네트워크 유지보수(객실망)</t>
  </si>
  <si>
    <t>R160042</t>
  </si>
  <si>
    <t>[APP16] 인하국제의료센터 홈페이지 유지보수 사업</t>
  </si>
  <si>
    <t>R160041</t>
  </si>
  <si>
    <t>[2016] 왕산마리나 보안시스템 설치공사</t>
  </si>
  <si>
    <t>R160040</t>
  </si>
  <si>
    <t>[APP16] 세일여행사 항공예약시스템 구축</t>
  </si>
  <si>
    <t>R160039</t>
  </si>
  <si>
    <t>[2016] 한진인천컨테이너터미널 운영시스템 IT인프라 운영유지보수(시스템서비스)</t>
  </si>
  <si>
    <t>R160038</t>
  </si>
  <si>
    <t>[2016] 한진인천컨테이너터미널 운영시스템 IT인프라 운영유지보수(NW서비스)</t>
  </si>
  <si>
    <t>R160037</t>
  </si>
  <si>
    <t>인천 SILO시스템 유지보수 (한진-2016년)</t>
  </si>
  <si>
    <t>R160036</t>
  </si>
  <si>
    <t>[MS CSP] (주)티엔비로지스 MS CSP 서비스 공급 - 2016년</t>
  </si>
  <si>
    <t>티엔비로지스</t>
  </si>
  <si>
    <t>R160035</t>
  </si>
  <si>
    <t>[2016] 인하대 하이테크관 창업보육센터 네트워크 유지보수</t>
  </si>
  <si>
    <t>R160034</t>
  </si>
  <si>
    <t>[APP16] 싸이버스카이 보안취약점 조치지원 사업</t>
  </si>
  <si>
    <t>R160033</t>
  </si>
  <si>
    <t>[APP16] 토파스 투어이천 항공예약시스템 구축</t>
  </si>
  <si>
    <t>R160032</t>
  </si>
  <si>
    <t>[2016] 인천국제공항공사 제1활주로 33L 로컬라이저(LLZ) 시설 복구</t>
  </si>
  <si>
    <t>R160031</t>
  </si>
  <si>
    <t>[2016] 한국공항공사 김포공항 대한항공 통신실 이전공사</t>
  </si>
  <si>
    <t>R160030</t>
  </si>
  <si>
    <t>[MS CSP] (주)에이스원 MS CSP 서비스 공급 - 2016년</t>
  </si>
  <si>
    <t>에이스원</t>
  </si>
  <si>
    <t>R160029</t>
  </si>
  <si>
    <t>[2016] 인하대학교 무선네트워크장비 유지보수</t>
  </si>
  <si>
    <t>R160028</t>
  </si>
  <si>
    <t>[MS CSP] 한스프롬 MS CSP 서비스 공급 - 2016년</t>
  </si>
  <si>
    <t>R160027</t>
  </si>
  <si>
    <t>인하대 정석학술정보관 서버시스템 유지보수 [2016년]</t>
  </si>
  <si>
    <t>R160026</t>
  </si>
  <si>
    <t>한진해운신항만(주) 그룹웨어(한웨이) 개발</t>
  </si>
  <si>
    <t>R160025</t>
  </si>
  <si>
    <t>[2016] 인하대 전산실 이전 관련 네트워크 백업 유지보수 기술지원</t>
  </si>
  <si>
    <t>R160024</t>
  </si>
  <si>
    <t>[APP16] 성남시의료원 정보전략계획(ISP) 사업</t>
  </si>
  <si>
    <t>분당차병원</t>
  </si>
  <si>
    <t>R160023</t>
  </si>
  <si>
    <t>대한항공 오라클 ERP 기술 INFRA 서비스 [2016]</t>
  </si>
  <si>
    <t>R160022</t>
  </si>
  <si>
    <t>[2016] 한진인천컨테이너터미널 통신공사</t>
  </si>
  <si>
    <t>R160021</t>
  </si>
  <si>
    <t>그랜드하얏트인천 시스템(서버) 유지보수 계약-2016년</t>
  </si>
  <si>
    <t>R160020</t>
  </si>
  <si>
    <t>[2016] 칼호텔네트워크(제주 서귀포) 서버시스템 유지보수 서비스</t>
  </si>
  <si>
    <t>R160019</t>
  </si>
  <si>
    <t>[APP16] 한국지역 대리점지원(KALMATE) 웹사이트 개발</t>
  </si>
  <si>
    <t>R160018</t>
  </si>
  <si>
    <t>[APP16] 에어코리아 홈페이지 개편</t>
  </si>
  <si>
    <t>R160017</t>
  </si>
  <si>
    <t>[2016] 인하대학교 네트워크장비 유지보수</t>
  </si>
  <si>
    <t>R160016</t>
  </si>
  <si>
    <t>한진 DRM 솔루션 유지보수 [2016년]</t>
  </si>
  <si>
    <t>R160015</t>
  </si>
  <si>
    <t>[APP16] 인하대병원 심뇌혈관센터 홈페이지 유지보수</t>
  </si>
  <si>
    <t>R160014</t>
  </si>
  <si>
    <t>[APP16] 인하대병원 홈페이지 유지보수</t>
  </si>
  <si>
    <t>R160013</t>
  </si>
  <si>
    <t>[APP16] KEB하나은행 인하대학교 스마트카드시스템 재구축 사업</t>
  </si>
  <si>
    <t>R160012</t>
  </si>
  <si>
    <t>인하대병원 공항의료센터 UBPACS사용 및 유지보수</t>
  </si>
  <si>
    <t>R160011</t>
  </si>
  <si>
    <t>인하대병원 인천국제공항의료센터 큰의사랑사용 및 유지보수</t>
  </si>
  <si>
    <t>R160010</t>
  </si>
  <si>
    <t>토파스 취약점 진단 모의해킹 용역 추가 계약</t>
  </si>
  <si>
    <t>R160009</t>
  </si>
  <si>
    <t>[2016] 정석학술정보관 네트워크장비 유지보수</t>
  </si>
  <si>
    <t>R160008</t>
  </si>
  <si>
    <t>[2016] 인하대 포탈 및 보안시스템용 백업 SW 유지보수</t>
  </si>
  <si>
    <t>R160007</t>
  </si>
  <si>
    <t>한진 DB 접근제어 솔루션 유지보수 [2016년]</t>
  </si>
  <si>
    <t>R160006</t>
  </si>
  <si>
    <t>[2016] 정석 전사정보시스템 (서버부문)</t>
  </si>
  <si>
    <t>R160005</t>
  </si>
  <si>
    <t>[2016] 정석 전사정보시스템 ( NW부문)</t>
  </si>
  <si>
    <t>R160004</t>
  </si>
  <si>
    <t>[APP16] 정석 전사정보시스템 운영 (APP부문)</t>
  </si>
  <si>
    <t>R160003</t>
  </si>
  <si>
    <t>[2016] 대한항공 Tool SW 통합유지보수</t>
  </si>
  <si>
    <t>박준태</t>
  </si>
  <si>
    <t>R160002</t>
  </si>
  <si>
    <t>[2016] 정석학술정보관 보안장비 백업솔루션 유지보수</t>
  </si>
  <si>
    <t>R160001</t>
  </si>
  <si>
    <t>[2016] 전기공사공제조합 전산시스템 통합유지보수</t>
  </si>
  <si>
    <t>R150067</t>
  </si>
  <si>
    <t>KB국민카드 모바일 라이프샵 항공예약시스템 개발</t>
  </si>
  <si>
    <t>(주)시루정보</t>
  </si>
  <si>
    <t>R150066</t>
  </si>
  <si>
    <t>(주)왕산레저개발 내부회계관리시스템 구축</t>
  </si>
  <si>
    <t>R150065</t>
  </si>
  <si>
    <t>(주)한진칼 내부회계관리시스템 구축</t>
  </si>
  <si>
    <t>R150064</t>
  </si>
  <si>
    <t>[APP15] KALMAN 홈페이지 웹표준화 개발</t>
  </si>
  <si>
    <t>R150063</t>
  </si>
  <si>
    <t>대한항공 미주지역 모바일 TMS 프로그램 개발</t>
  </si>
  <si>
    <t>R150062</t>
  </si>
  <si>
    <t>한진 DB암호화 솔루션 유지보수 서비스 [2015]</t>
  </si>
  <si>
    <t>R150061</t>
  </si>
  <si>
    <t>KC코트렐 메일시스템 유지보수 서비스 계약 [2015년]</t>
  </si>
  <si>
    <t>R150060</t>
  </si>
  <si>
    <t>진에어 내부회계관리시스템 구축 및 운영서비스</t>
  </si>
  <si>
    <t>R150059</t>
  </si>
  <si>
    <t>(주)한진 인천 통관장시스템 통합유지보수 서비스-[2015년]</t>
  </si>
  <si>
    <t>R150058</t>
  </si>
  <si>
    <t>[APP15] 한진그룹 홈페이지 구축</t>
  </si>
  <si>
    <t>R150057</t>
  </si>
  <si>
    <t>[2015] 그랜드하얏트인천호텔 객실망 네트워크 유지보수</t>
  </si>
  <si>
    <t>(주)칼호텔네트워크(그랜드하얏트인천)</t>
  </si>
  <si>
    <t>R150056</t>
  </si>
  <si>
    <t>[2015] 그랜드하얏트인천호텔 업무망 네트워크 유지보수</t>
  </si>
  <si>
    <t>R150055</t>
  </si>
  <si>
    <t>[HM]싸이버스카이 쇼핑몰사이트 개발유지보수</t>
  </si>
  <si>
    <t>R150054</t>
  </si>
  <si>
    <t>[2015] 싸이버스카이 네트워크 설치공사</t>
  </si>
  <si>
    <t>R150053</t>
  </si>
  <si>
    <t>노랑풍선 B2C 리뉴얼 ERP 연동 모바일 구축</t>
  </si>
  <si>
    <t>R150052</t>
  </si>
  <si>
    <t>[2015] 인하대 하이테크관 창업보육센터 네트워크 유지보수</t>
  </si>
  <si>
    <t>R150051</t>
  </si>
  <si>
    <t>학원 문서유통시스템 개발 (항공대학교)</t>
  </si>
  <si>
    <t>R150050</t>
  </si>
  <si>
    <t>학원 문서유통시스템 개발 (인하공전)</t>
  </si>
  <si>
    <t>R150049</t>
  </si>
  <si>
    <t>학원 문서유통시스템 개발 (인하대학교)</t>
  </si>
  <si>
    <t>R150048</t>
  </si>
  <si>
    <t>[2015] 인하공업전문대학 전산장비 통합유지보수 위탁용역</t>
  </si>
  <si>
    <t>R150047</t>
  </si>
  <si>
    <t>[APP15] 토파스 이러닝 컨텐츠 수정 개발</t>
  </si>
  <si>
    <t>R150046</t>
  </si>
  <si>
    <t>[APP15] 싸이버스카이 한진몰사이트 운영서비스</t>
  </si>
  <si>
    <t>R150045</t>
  </si>
  <si>
    <t>토파스 모바일 항공예약솔루션 개발</t>
  </si>
  <si>
    <t>R150044</t>
  </si>
  <si>
    <t>한국정보통신(KICC) 진에어 기내판매용 POS 앱개발</t>
  </si>
  <si>
    <t>한국정보통신(주)</t>
  </si>
  <si>
    <t>R150043</t>
  </si>
  <si>
    <t>케이에스넷(KSNET) 진에어 기내판매용 POS 앱개발</t>
  </si>
  <si>
    <t>(주)케이에스넷</t>
  </si>
  <si>
    <t>R150042</t>
  </si>
  <si>
    <t>인천 SILO시스템 유지보수 (한진-2015년)</t>
  </si>
  <si>
    <t>R150041</t>
  </si>
  <si>
    <t>(주)한진 오라클TDE컨설팅 사업</t>
  </si>
  <si>
    <t>송상호</t>
  </si>
  <si>
    <t>R150040</t>
  </si>
  <si>
    <t>[2015] 대한항공 모바일 유지보수 서비스</t>
  </si>
  <si>
    <t>R150039</t>
  </si>
  <si>
    <t>[2015] 항공대 네트워크 보안 백업시스템 통합유지보수</t>
  </si>
  <si>
    <t>R150037</t>
  </si>
  <si>
    <t>인하대 정석학술정보관 서버시스템 유지보수 [2015년]</t>
  </si>
  <si>
    <t>R150036</t>
  </si>
  <si>
    <t>[2015] 인하대학교 무선네트워크장비 유지보수</t>
  </si>
  <si>
    <t>R150035</t>
  </si>
  <si>
    <t>(주)한진 아이폰 앱개발 및 유지보수 서비스</t>
  </si>
  <si>
    <t>R150034</t>
  </si>
  <si>
    <t>[2015] The-K저축은행 물리적 망분리 구축</t>
  </si>
  <si>
    <t>R150033</t>
  </si>
  <si>
    <t>대한항공 오라클 ERP 기술 INFRA 서비스 [2015]</t>
  </si>
  <si>
    <t>R150032</t>
  </si>
  <si>
    <t>[2015] 칼호텔네트워크(제주 서귀포) 서버시스템 유지보수 서비스</t>
  </si>
  <si>
    <t>(주)칼호텔네트워크(서귀포KAL칼호텔)</t>
  </si>
  <si>
    <t>R150031</t>
  </si>
  <si>
    <t>[APP15] 인하대병원 심뇌혈관센터 홈페이지 개선 및 유지보수</t>
  </si>
  <si>
    <t>R150030</t>
  </si>
  <si>
    <t>그랜드하얏트인천 시스템(서버) 유지보수 계약-2015년</t>
  </si>
  <si>
    <t>R150029</t>
  </si>
  <si>
    <t>[APP15] 인하대병원 공항의료센터 UBPACS사용 및 유지보수</t>
  </si>
  <si>
    <t>R150028</t>
  </si>
  <si>
    <t>[APP15] (주)한진 국가기초구역체계 솔루션 구축</t>
  </si>
  <si>
    <t>R150027</t>
  </si>
  <si>
    <t>[2015] 한국항공대학교 보안시스템 유지보수</t>
  </si>
  <si>
    <t>R150026</t>
  </si>
  <si>
    <t>[APP15] 인하대병원 홈페이지 유지보수</t>
  </si>
  <si>
    <t>R150025</t>
  </si>
  <si>
    <t>[2015] 양양국제공항 저고도항공기 관제통신망(MLAT)시스템 설치 사업</t>
  </si>
  <si>
    <t>서울지방항공청</t>
  </si>
  <si>
    <t>R150024</t>
  </si>
  <si>
    <t>[2015] 한국항공대학교 백업시스템 유지보수</t>
  </si>
  <si>
    <t>R150023</t>
  </si>
  <si>
    <t>[2015] 하얏트리젠시인천 H1호텔 네트워크 유지보수</t>
  </si>
  <si>
    <t>R150022</t>
  </si>
  <si>
    <t>한진 DRM 솔루션 유지보수 [2015년]</t>
  </si>
  <si>
    <t>R150021</t>
  </si>
  <si>
    <t>[2015] 현대건설 항공대 강의동 신축 정보통신공사</t>
  </si>
  <si>
    <t>현대건설(주)</t>
  </si>
  <si>
    <t>R150019</t>
  </si>
  <si>
    <t>[공공15] 2015년 항공사진 대시민서비스 유지보수 사업</t>
  </si>
  <si>
    <t>서울특별시</t>
  </si>
  <si>
    <t>R150018</t>
  </si>
  <si>
    <t>[공공15] 2015년 항공사진 인트라넷서비스 유지보수 사업</t>
  </si>
  <si>
    <t>R150017</t>
  </si>
  <si>
    <t>[공공15] 2015년 항공사진 시민서비스 SW(GVS) 유지보수 사업</t>
  </si>
  <si>
    <t>R150016</t>
  </si>
  <si>
    <t>[2015] 정석학술정보관 네트워크장비 유지보수</t>
  </si>
  <si>
    <t>R150015</t>
  </si>
  <si>
    <t>[2015] 인하대 포탈 및 보안시스템용 백업 소프트웨어 유지보수</t>
  </si>
  <si>
    <t>R150014</t>
  </si>
  <si>
    <t>[2015] 인하대학교 네트워크장비 유지보수</t>
  </si>
  <si>
    <t>R150013</t>
  </si>
  <si>
    <t>한진 DB 접근제어 솔루션 유지보수 [2015년]</t>
  </si>
  <si>
    <t>R150012</t>
  </si>
  <si>
    <t>[APP15] 미디어포스원, KB라이프플라자 항공예약시스템 개발</t>
  </si>
  <si>
    <t>(주)미디어포스원</t>
  </si>
  <si>
    <t>R150011</t>
  </si>
  <si>
    <t>(주)한진 택배DB 개선 사업</t>
  </si>
  <si>
    <t>R150010</t>
  </si>
  <si>
    <t>[APP15] 롯데JTB E-Travel 항공예약시스템 개발</t>
  </si>
  <si>
    <t>R150009</t>
  </si>
  <si>
    <t>인하대병원 CardiacPACS 시스템 유지보수 서비스 (2015년)</t>
  </si>
  <si>
    <t>R150008</t>
  </si>
  <si>
    <t>[2015] 대림산업 인하대 60주년기념관 정보통신공사</t>
  </si>
  <si>
    <t>대림산업(주)</t>
  </si>
  <si>
    <t>R150007</t>
  </si>
  <si>
    <t>[2015] 항공대 제주 정석비행장 LAN케이블 공사</t>
  </si>
  <si>
    <t>R150006</t>
  </si>
  <si>
    <t>[2015] 정석학술정보관 보안장비 유지보수 계약</t>
  </si>
  <si>
    <t>R150005</t>
  </si>
  <si>
    <t>[APP15] 지상 레이저스캐너 장비 유상임대</t>
  </si>
  <si>
    <t>네이버시스템(주)</t>
  </si>
  <si>
    <t>R150004</t>
  </si>
  <si>
    <t>[2015] 전기공사공제조합 전산시스템 통합유지보수</t>
  </si>
  <si>
    <t>R150003</t>
  </si>
  <si>
    <t>[2015] 인천국제공항 공용체크인시스템 구축</t>
  </si>
  <si>
    <t>(주)케이원정보통신</t>
  </si>
  <si>
    <t>R150002</t>
  </si>
  <si>
    <t>[APP15] 왕산마리나 홈페이지 구축</t>
  </si>
  <si>
    <t>R150001</t>
  </si>
  <si>
    <t>[APP15] Forever21 VMS(Visibility Management System) 라이센스 공급 및 유지보수</t>
  </si>
  <si>
    <t>Forever21 Inc.</t>
  </si>
  <si>
    <t>R140057</t>
  </si>
  <si>
    <t>[APP15] 한진 교육시스템 구축</t>
  </si>
  <si>
    <t>R140056</t>
  </si>
  <si>
    <t>[2014] 불교조계종 사찰 통신전기공사 1단계 사업</t>
  </si>
  <si>
    <t>(주)콤텍정보통신</t>
  </si>
  <si>
    <t>R140055</t>
  </si>
  <si>
    <t>[2014] 대한항공 기내POS용 앱개발 계약</t>
  </si>
  <si>
    <t>R140054</t>
  </si>
  <si>
    <t>[2014] 경봉 인천국제공항 공용체크인시스템 확대설치 구축</t>
  </si>
  <si>
    <t>(주)경봉</t>
  </si>
  <si>
    <t>R140053</t>
  </si>
  <si>
    <t>[2014] 농심NDS 인천국제공항 공용체크인시스템 확대설치 구축</t>
  </si>
  <si>
    <t>NDS</t>
  </si>
  <si>
    <t>R140052</t>
  </si>
  <si>
    <t>[2014] 토파스 취약점 진단 모의해킹 용역 계약</t>
  </si>
  <si>
    <t>R140051</t>
  </si>
  <si>
    <t>한진 DB암호화 솔루션 유지보수 서비스 [2014]</t>
  </si>
  <si>
    <t>R140050</t>
  </si>
  <si>
    <t>세스코 TOUCH CENTER 미디어센터 구축</t>
  </si>
  <si>
    <t>(주)세스코</t>
  </si>
  <si>
    <t>R140049</t>
  </si>
  <si>
    <t>[2014] The-K저축은행 IT인프라 통합 유지보수</t>
  </si>
  <si>
    <t>R140048</t>
  </si>
  <si>
    <t>KC코트렐 메일시스템 유지보수 서비스 계약 [2014년]</t>
  </si>
  <si>
    <t>KC그린홀딩스(주)</t>
  </si>
  <si>
    <t>R140047</t>
  </si>
  <si>
    <t>[2014] 대한항공 NOS사업 해외지점 NW 설치 기술인력공</t>
  </si>
  <si>
    <t>R140046</t>
  </si>
  <si>
    <t>[APP14] 싸이버스카이 한진몰사이트 운영서비스</t>
  </si>
  <si>
    <t>R140045</t>
  </si>
  <si>
    <t>[2014] 항공대 활주로 CCTV용 광케이블 복구공사</t>
  </si>
  <si>
    <t>R140044</t>
  </si>
  <si>
    <t>[APP14] 한진 온실가스에너지 관리시스템 구축</t>
  </si>
  <si>
    <t>R140043</t>
  </si>
  <si>
    <t>[APP14] 토파스차세대IBE시스템 B2B업무 개발용역</t>
  </si>
  <si>
    <t>김현수</t>
  </si>
  <si>
    <t>R140042</t>
  </si>
  <si>
    <t>(주)한진 인천 통관장시스템 통합유지보수 서비스</t>
  </si>
  <si>
    <t>R140041</t>
  </si>
  <si>
    <t>[2014] 정석기업 한진빌딩 입주사(사이버스카이) 사무실 이전 정보통신공사</t>
  </si>
  <si>
    <t>R140040</t>
  </si>
  <si>
    <t>[APP14] GPS(Global Payment Service)시스템 구축(추가개발)</t>
  </si>
  <si>
    <t>R140039</t>
  </si>
  <si>
    <t>[2014] 토파스 취약점 진단 모의해킹 용역 추가 계약</t>
  </si>
  <si>
    <t>R140038</t>
  </si>
  <si>
    <t>아제르바이잔 나흐치반 국립대학 교육정보화 기자재공급 계약</t>
  </si>
  <si>
    <t>동원씨앤에스(주)</t>
  </si>
  <si>
    <t>R140037</t>
  </si>
  <si>
    <t>인천 SILO시스템 유지보수 (한진-2014년)</t>
  </si>
  <si>
    <t>R140036</t>
  </si>
  <si>
    <t>[APP14] 인하대병원 진료협력센터 홈페이지 개선</t>
  </si>
  <si>
    <t>R140035</t>
  </si>
  <si>
    <t>[APP14] 인하대병원 WEB-PACS시스템 구축</t>
  </si>
  <si>
    <t>R140034</t>
  </si>
  <si>
    <t>한진 택배카드정산시스템 구축</t>
  </si>
  <si>
    <t>R140033</t>
  </si>
  <si>
    <t>[APP14] 토파스 중국씬싱항공 연동업무 개발</t>
  </si>
  <si>
    <t>R140032</t>
  </si>
  <si>
    <t>[2014] 대한항공 모바일 유지보수 서비스</t>
  </si>
  <si>
    <t>R140031</t>
  </si>
  <si>
    <t>[APP14] 인하대병원 공항의료센터 UBPACS사용 및 유지보수</t>
  </si>
  <si>
    <t>R140030</t>
  </si>
  <si>
    <t>R140029</t>
  </si>
  <si>
    <t>[APP 14] 싸이버스카이 쇼핑몰이관 개발자 지원</t>
  </si>
  <si>
    <t>장혜민</t>
  </si>
  <si>
    <t>R140028</t>
  </si>
  <si>
    <t>[2014] 인하대학교 무선네트워크장비 유지보수</t>
  </si>
  <si>
    <t>R140027</t>
  </si>
  <si>
    <t>인하대 정석학술정보관 서버시스템 유지보수 [2014년]</t>
  </si>
  <si>
    <t>R140026</t>
  </si>
  <si>
    <t>대한항공 오라클 ERP 기술 INFRA 서비스 [2014]</t>
  </si>
  <si>
    <t>R140025</t>
  </si>
  <si>
    <t>[2014] 한국항공대학교 네트워크 유지보수</t>
  </si>
  <si>
    <t>R140023</t>
  </si>
  <si>
    <t>[2014] 토파스 SellConnect-M 모바일 개발 계약</t>
  </si>
  <si>
    <t>R140022</t>
  </si>
  <si>
    <t>한진 문서보안(DRM) 솔루션 구축</t>
  </si>
  <si>
    <t>R140021</t>
  </si>
  <si>
    <t>[2014] 칼호텔네트워크(제주 서귀포) 서버시스템 유지보수 서비스</t>
  </si>
  <si>
    <t>(주)칼호텔네트워크(제주KAL호텔)</t>
  </si>
  <si>
    <t>R140020</t>
  </si>
  <si>
    <t>한진 DRM 솔루션 유지보수</t>
  </si>
  <si>
    <t>R140019</t>
  </si>
  <si>
    <t>[APP14] 토파스 IBE 로컬프로모션 관리기능 개발</t>
  </si>
  <si>
    <t>R140018</t>
  </si>
  <si>
    <t>[2014] 한국항공대학교 백업시스템 유지보수</t>
  </si>
  <si>
    <t>R140017</t>
  </si>
  <si>
    <t>[APP14] 토파스 노랑풍선 TO-BE 시스템 구축</t>
  </si>
  <si>
    <t>R140016</t>
  </si>
  <si>
    <t>[공공14] 서울시 항공사진 시민서비스SW 유지보수사업</t>
  </si>
  <si>
    <t>R140015</t>
  </si>
  <si>
    <t>[공공14] 서울시 항공사진시스템 유지보수 사업</t>
  </si>
  <si>
    <t>R140014</t>
  </si>
  <si>
    <t>[APP14] 인하대병원 홈페이지 유지보수</t>
  </si>
  <si>
    <t>R140013</t>
  </si>
  <si>
    <t>[2014] 한국항공대학교 보안시스템 유지보수</t>
  </si>
  <si>
    <t>R140012</t>
  </si>
  <si>
    <t>하얏트리젠시인천 시스템(서버) 유지보수 계약-2014</t>
  </si>
  <si>
    <t>R140011</t>
  </si>
  <si>
    <t>[2014] 하얏트리젠시인천 호텔 네트워크 유지보수</t>
  </si>
  <si>
    <t>R140010</t>
  </si>
  <si>
    <t>[APP14] 지방의료원 등 병원정보시스템 구축 및 운영의 효과분석</t>
  </si>
  <si>
    <t>(사)전국지방의료원연합회</t>
  </si>
  <si>
    <t>R140009</t>
  </si>
  <si>
    <t>[2014] 인하대학교 네트워크장비 유지보수</t>
  </si>
  <si>
    <t>R140008</t>
  </si>
  <si>
    <t>인천국제공항공사 3단계 통합정보시스템 구축 제안서 보상</t>
  </si>
  <si>
    <t>(주)포스코아이씨티</t>
  </si>
  <si>
    <t>R140007</t>
  </si>
  <si>
    <t>한진 DB 접근제어 솔루션 유지보수</t>
  </si>
  <si>
    <t>R140006</t>
  </si>
  <si>
    <t>[2014] 인하대학교 백업 소프트웨어 유지보수</t>
  </si>
  <si>
    <t>R140005</t>
  </si>
  <si>
    <t>인하대병원 CardiacPACS 시스템 유지보수 서비스 (2014년)</t>
  </si>
  <si>
    <t>R140004</t>
  </si>
  <si>
    <t>[APP14] 인하대병원 모바일홈페이지 구축</t>
  </si>
  <si>
    <t>R140003</t>
  </si>
  <si>
    <t>[2014] 정석학술정보관 네트워크 및 보안장비 유지보수 계약</t>
  </si>
  <si>
    <t>R140002</t>
  </si>
  <si>
    <t>[2014] 전기공사공제조합 전산시스템 통합유지보수</t>
  </si>
  <si>
    <t>R140001</t>
  </si>
  <si>
    <t>[APP14] 인하대병원 블로그 마케팅</t>
  </si>
  <si>
    <t>R130049</t>
  </si>
  <si>
    <t>[APP13] 인하대병원 인천권역심뇌혈관센터 DB구축</t>
  </si>
  <si>
    <t>R130048</t>
  </si>
  <si>
    <t>[APP13] 토파스 노랑풍선 B2B 시스템 구축</t>
  </si>
  <si>
    <t>R130047</t>
  </si>
  <si>
    <t>[APP13] 인하대병원 외국어 홈페이지 재구축</t>
  </si>
  <si>
    <t>R130046</t>
  </si>
  <si>
    <t>[APP13] 토파스 차세대IBE Back Office 추가개발 및 유지보수</t>
  </si>
  <si>
    <t>R130045</t>
  </si>
  <si>
    <t>[2013] 정석기업 한진빌딩 신관18층 입주사 이전 통신공사</t>
  </si>
  <si>
    <t>R130044</t>
  </si>
  <si>
    <t>한진 DB암호화 솔루션 유지보수 서비스</t>
  </si>
  <si>
    <t>R130043</t>
  </si>
  <si>
    <t>[2013] 정석기업 한진빌딩 신관5층 입주사(한진관광) 이전 정보통신공사</t>
  </si>
  <si>
    <t>R130042</t>
  </si>
  <si>
    <t>[APP13] 인천권역 뇌혈관센터 홈페이지 구축</t>
  </si>
  <si>
    <t>R130041</t>
  </si>
  <si>
    <t>[APP13] 웹접근성을 위한 홈페이지 개선</t>
  </si>
  <si>
    <t>R130040</t>
  </si>
  <si>
    <t>KC코트렐 메일시스템 유지보수 서비스 계약</t>
  </si>
  <si>
    <t>R130039</t>
  </si>
  <si>
    <t>[2013] 대한항공 기내판매팀 홍보용 IVR 시나리오 개발</t>
  </si>
  <si>
    <t>R130038</t>
  </si>
  <si>
    <t>[2013] 토파스 ISMS구축 컨설팅</t>
  </si>
  <si>
    <t>R130037</t>
  </si>
  <si>
    <t>[APP13] 신 여객 홈페이지 개편 관련 SW (UMS) 구축</t>
  </si>
  <si>
    <t>R130036</t>
  </si>
  <si>
    <t>[2013] 대한항공 Tool SW 통합유지보수</t>
  </si>
  <si>
    <t>R130035</t>
  </si>
  <si>
    <t>[APP13] 한진칼 신규 홈페이지 개발</t>
  </si>
  <si>
    <t>R130034</t>
  </si>
  <si>
    <t>[2013] 인하공업전문대학 네트워크 서버 및 보안장비 유지보수</t>
  </si>
  <si>
    <t>R130033</t>
  </si>
  <si>
    <t>[APP13] 대한항공 빌드배포 컨설팅 서비스 용역</t>
  </si>
  <si>
    <t>(주)한국정보컨설팅</t>
  </si>
  <si>
    <t>R130032</t>
  </si>
  <si>
    <t>[2013] 대한항공 모바일 유지보수 서비스</t>
  </si>
  <si>
    <t>R130031</t>
  </si>
  <si>
    <t>[2013] 인하대학교 무선네트워크장비 유지보수</t>
  </si>
  <si>
    <t>R130030</t>
  </si>
  <si>
    <t>[2013] 한국지역서비스센터(SELRS) CTI Application 추가 개발</t>
  </si>
  <si>
    <t>R130029</t>
  </si>
  <si>
    <t>인천 SILO시스템 유지보수 (한진-2013년)</t>
  </si>
  <si>
    <t>R130028</t>
  </si>
  <si>
    <t>인하대학교 정석학술정보관 서버시스템 유지보수 사업</t>
  </si>
  <si>
    <t>R130027</t>
  </si>
  <si>
    <t>[APP13] 대한항공 PFIS(Preflight Information System) 개발</t>
  </si>
  <si>
    <t>R130026</t>
  </si>
  <si>
    <t>[2013] 칼호텔네트워크(제주 서귀포) 서버시스템 유지보수 서비스</t>
  </si>
  <si>
    <t>R130025</t>
  </si>
  <si>
    <t>대한항공 오라클 ERP 기술 INFRA 서비스 [2013]</t>
  </si>
  <si>
    <t>R130024</t>
  </si>
  <si>
    <t>[2013] 한국항공대학교 네트워크 장비 유지보수</t>
  </si>
  <si>
    <t>R130023</t>
  </si>
  <si>
    <t>[2013] 인천국제공항공사 이라크 아르빌신공항 IT시스템 운영 지원 용역</t>
  </si>
  <si>
    <t>R130022</t>
  </si>
  <si>
    <t>[2013] 한국항공대학교 백업시스템 유지보수</t>
  </si>
  <si>
    <t>R130021</t>
  </si>
  <si>
    <t>[2013] 한국항공대학교 보안장비 유지보수</t>
  </si>
  <si>
    <t>R130020</t>
  </si>
  <si>
    <t>[공공13] 2013년 서울시 GIS SW (GVS) 유지보수사업</t>
  </si>
  <si>
    <t>R130019</t>
  </si>
  <si>
    <t>[공공13] 2013년 서울시 항공사진 시스템 유지보수사업</t>
  </si>
  <si>
    <t>R130018</t>
  </si>
  <si>
    <t>[2013] 하얏트리젠시인천 호텔 네트워크 유지보수</t>
  </si>
  <si>
    <t>R130017</t>
  </si>
  <si>
    <t>하얏트리젠시인천 시스템(서버) 유지보수 계약-2013</t>
  </si>
  <si>
    <t>R130016</t>
  </si>
  <si>
    <t>[2013] 신갈연수원 정보통신공사</t>
  </si>
  <si>
    <t>R130015</t>
  </si>
  <si>
    <t>[APP13] 화성시 u-만성질환관리시스템 통합유지관리 용역</t>
  </si>
  <si>
    <t>화성시보건소</t>
  </si>
  <si>
    <t>R130014</t>
  </si>
  <si>
    <t>[APP13] KAL 701 신호정보기 사업용 PLM EVMS 시스템 구축</t>
  </si>
  <si>
    <t>R130013</t>
  </si>
  <si>
    <t>[APP13] 인하대병원 홈페이지 유지보수</t>
  </si>
  <si>
    <t>R130012</t>
  </si>
  <si>
    <t>[2013] 인하대학교 백업 소프트웨어 유지보수 계약</t>
  </si>
  <si>
    <t>R130011</t>
  </si>
  <si>
    <t>[2013] 인하대학교 네트워크장비 유지보수</t>
  </si>
  <si>
    <t>R130010</t>
  </si>
  <si>
    <t>[APP13] 토파스 New Intranet시스템 구축</t>
  </si>
  <si>
    <t>R130009</t>
  </si>
  <si>
    <t>[2013] 한국항공대학교 연구실험동 User 포설공사</t>
  </si>
  <si>
    <t>(주)율전이앤씨</t>
  </si>
  <si>
    <t>R130008</t>
  </si>
  <si>
    <t>[공공13] 북한 종합DB 유지보수 사업</t>
  </si>
  <si>
    <t>통일부</t>
  </si>
  <si>
    <t>R130007</t>
  </si>
  <si>
    <t>한진 DBMS 업그레이드</t>
  </si>
  <si>
    <t>R130006</t>
  </si>
  <si>
    <t>[2013] 정석학술정보관 네트워크 및 보안장비 유지보수 계약</t>
  </si>
  <si>
    <t>R130005</t>
  </si>
  <si>
    <t>인하대병원 CardiacPACS 시스템 유지보수 서비스 (2013년)</t>
  </si>
  <si>
    <t>R130004</t>
  </si>
  <si>
    <t>[2013] 센터마크호텔 사무용전산기기 계약</t>
  </si>
  <si>
    <t>R130003</t>
  </si>
  <si>
    <t>[2013] 인천지하철 2호선 네트워크 기술지원용역</t>
  </si>
  <si>
    <t>(주)비라인커뮤니케이션</t>
  </si>
  <si>
    <t>R130002</t>
  </si>
  <si>
    <t>[2013] 인하대병원 신생아 집중치료 지역센터 통신공사</t>
  </si>
  <si>
    <t>R130001</t>
  </si>
  <si>
    <t>[APP13] 토파스 차세대 IBE Back Office 개발</t>
  </si>
  <si>
    <t>R123025</t>
  </si>
  <si>
    <t>[초고층2012] 일진유니스코 전경련회관 신축공사(PODIUM)측량 용역</t>
  </si>
  <si>
    <t>(주)일진유니스코</t>
  </si>
  <si>
    <t>R123024</t>
  </si>
  <si>
    <t>[12A-45]전산장비(수치사진측량시스템 SW) 구입</t>
  </si>
  <si>
    <t>김지환</t>
  </si>
  <si>
    <t>대한지적공사 지적연수원</t>
  </si>
  <si>
    <t>공간정보수익</t>
  </si>
  <si>
    <t>R123023</t>
  </si>
  <si>
    <t>[12A-42]여자만 부근 연안해역조사</t>
  </si>
  <si>
    <t>조영호</t>
  </si>
  <si>
    <t>국토해양부 국립해양조사원</t>
  </si>
  <si>
    <t>R123022</t>
  </si>
  <si>
    <t>[12A-41]항공레이저 측량데이터(서울 강남역일원)</t>
  </si>
  <si>
    <t>김재훈</t>
  </si>
  <si>
    <t>서울대학교 산업협력단</t>
  </si>
  <si>
    <t>R123021</t>
  </si>
  <si>
    <t>[12A-40]2012년 방조제와 배수갑문 주변 해저지형조사 및 변화분석 용역</t>
  </si>
  <si>
    <t>한국농촌공사(새만금사업단)</t>
  </si>
  <si>
    <t>R123020</t>
  </si>
  <si>
    <t>[12A-38]합천 광동댐 퇴사량 측량용역</t>
  </si>
  <si>
    <t>한국수자원공사</t>
  </si>
  <si>
    <t>R123019</t>
  </si>
  <si>
    <t>[12A-36]2012년 서울시 항공사진 시민서비스 기능개선 용역</t>
  </si>
  <si>
    <t>R123018</t>
  </si>
  <si>
    <t>[12A-27]2012년 차집관거 성능개선 기본·실시설계 및 전산화 DB 구축 용역(서울일원)</t>
  </si>
  <si>
    <t>권상준</t>
  </si>
  <si>
    <t>R123017</t>
  </si>
  <si>
    <t>[12A-28]무안군 공간정보시스템 유지보수 용역</t>
  </si>
  <si>
    <t>무안군청</t>
  </si>
  <si>
    <t>R123016</t>
  </si>
  <si>
    <t>[12A-26]서울시 항공사진 웹서비스 시스템 유지보수용역</t>
  </si>
  <si>
    <t>R123015</t>
  </si>
  <si>
    <t>[12A-33]국가기본도수정(목포지구)</t>
  </si>
  <si>
    <t>이재복</t>
  </si>
  <si>
    <t>삼아항업(주)</t>
  </si>
  <si>
    <t>R123014</t>
  </si>
  <si>
    <t>[12A-25]수치지도제작 자동화 프로그램 SW 판매</t>
  </si>
  <si>
    <t>(주)동운</t>
  </si>
  <si>
    <t>R123013</t>
  </si>
  <si>
    <t>[12A-21]HIST-DPW ADS 프로그램 판매</t>
  </si>
  <si>
    <t>(주)미래지중정보</t>
  </si>
  <si>
    <t>R123012</t>
  </si>
  <si>
    <t>[12A-19]외연도북부 연안해역조사</t>
  </si>
  <si>
    <t>R123011</t>
  </si>
  <si>
    <t>[12A-17]광명시 대2-11호선 금천지하차도 GIS DB구축 용역</t>
  </si>
  <si>
    <t>한국토지공사</t>
  </si>
  <si>
    <t>R123010</t>
  </si>
  <si>
    <t>[12A-16]가학광산내 측량용역</t>
  </si>
  <si>
    <t>김상규</t>
  </si>
  <si>
    <t>전재호</t>
  </si>
  <si>
    <t>광명시청</t>
  </si>
  <si>
    <t>R123009</t>
  </si>
  <si>
    <t>[12A-10]154kv 수지분기 송전선로(6~9호간) 지중화 GIS DB 구축 용역</t>
  </si>
  <si>
    <t>고대성</t>
  </si>
  <si>
    <t>오영민</t>
  </si>
  <si>
    <t>동부건설(주)</t>
  </si>
  <si>
    <t>R123008</t>
  </si>
  <si>
    <t>[12A-09]남양주시 공간정보시스템 유지보수 용역</t>
  </si>
  <si>
    <t>김성길</t>
  </si>
  <si>
    <t>남양주시청</t>
  </si>
  <si>
    <t>R123007</t>
  </si>
  <si>
    <t>2011년 서울시 항공사진 판독용역 추가제안 정산</t>
  </si>
  <si>
    <t>노수래</t>
  </si>
  <si>
    <t>조해용</t>
  </si>
  <si>
    <t>R123006</t>
  </si>
  <si>
    <t>[12A-07]상주시 지하시설물 통합관리시스템 유지보수 용역</t>
  </si>
  <si>
    <t>송영명</t>
  </si>
  <si>
    <t>상주시청</t>
  </si>
  <si>
    <t>R123005</t>
  </si>
  <si>
    <t>[12A-01]2012년 거제시 지리정보시스템 유지보수 용역</t>
  </si>
  <si>
    <t>거제시청</t>
  </si>
  <si>
    <t>R123004</t>
  </si>
  <si>
    <t>[12A-05]문경시 지리정보시스템 유지보수 용역</t>
  </si>
  <si>
    <t>문경시청</t>
  </si>
  <si>
    <t>R123003</t>
  </si>
  <si>
    <t>[12A-04]2012년 포항시 지리정보시스템 운영프로그램 유지보수 용역</t>
  </si>
  <si>
    <t>포항시청</t>
  </si>
  <si>
    <t>R123002</t>
  </si>
  <si>
    <t>[12A-02]고려대학교 항공레이저 측량데이터 및 초분광영상 데이터</t>
  </si>
  <si>
    <t>고려대학교 산학협력단</t>
  </si>
  <si>
    <t>R120056</t>
  </si>
  <si>
    <t>KC그린홀딩스 메일시스템 유지보수 서비스</t>
  </si>
  <si>
    <t>R120055</t>
  </si>
  <si>
    <t>[2012] 신구대학교 기숙사 증축 및 식물원 사택 신축공사</t>
  </si>
  <si>
    <t>신구대학교</t>
  </si>
  <si>
    <t>R120054</t>
  </si>
  <si>
    <t>[2012] 부소종합건설 한국항공대학교 비행교육원 증축공사 중 정보통신공사</t>
  </si>
  <si>
    <t>부소종합건설(주)</t>
  </si>
  <si>
    <t>R120053</t>
  </si>
  <si>
    <t>[공간2012] 해외 3D 솔루션 컨설팅 용역</t>
  </si>
  <si>
    <t>(주)지오스토리</t>
  </si>
  <si>
    <t>R120052</t>
  </si>
  <si>
    <t>[APP12] 토파스 롯데카드 동시조회 Upgrade</t>
  </si>
  <si>
    <t>R120051</t>
  </si>
  <si>
    <t>[APP12] 대한항공 전산업무 대행 도급(추가)</t>
  </si>
  <si>
    <t>R120050</t>
  </si>
  <si>
    <t>[APP12] 토파스 PG(Payment Gateway System) 구축 개발</t>
  </si>
  <si>
    <t>R120049</t>
  </si>
  <si>
    <t>[2012] 한진빌딩 본관 9층 경영조정실 이전 통신공사</t>
  </si>
  <si>
    <t>R120048</t>
  </si>
  <si>
    <t>[2012] 토파스 IVR(대화형음성응답) WAS 시스템 구축</t>
  </si>
  <si>
    <t>R120047</t>
  </si>
  <si>
    <t>[APP12] PNS(Passenger Notification Service) 시스템 구축</t>
  </si>
  <si>
    <t>R120046</t>
  </si>
  <si>
    <t>대한항공 모바일 유지보수 서비스 (2012년)</t>
  </si>
  <si>
    <t>R120045</t>
  </si>
  <si>
    <t>[2012] 한진빌딩 본관 9층 온라인투어 이전 통신공사</t>
  </si>
  <si>
    <t>R120044</t>
  </si>
  <si>
    <t>R120043</t>
  </si>
  <si>
    <t>한국농어촌공사 정보시스템 유지관리 용역 PJT</t>
  </si>
  <si>
    <t>R120042</t>
  </si>
  <si>
    <t>[APP12]토파스 트랜스아시아투어 SMART BE(Booking Engine) 개발사업</t>
  </si>
  <si>
    <t>R120041</t>
  </si>
  <si>
    <t>[2012] 대구 계성고 신축공사 중 통신장비 납품 및 설치</t>
  </si>
  <si>
    <t>일신이앤드씨</t>
  </si>
  <si>
    <t>R120040</t>
  </si>
  <si>
    <t>[APP12]토파스 웹프레임워크 구축사업</t>
  </si>
  <si>
    <t>R120038</t>
  </si>
  <si>
    <t>[2012] 정석기업 통합관리 시스템구축 설계용역</t>
  </si>
  <si>
    <t>R120037</t>
  </si>
  <si>
    <t>[2012] 인천공항 H2호텔 신축공사</t>
  </si>
  <si>
    <t>R120036</t>
  </si>
  <si>
    <t>토파스 TOPASRO-M 버전 업그레이드 개발</t>
  </si>
  <si>
    <t>R120035</t>
  </si>
  <si>
    <t>[APP12]토파스 교육용웹사이트 유지보수사업</t>
  </si>
  <si>
    <t>모준호</t>
  </si>
  <si>
    <t>R120034</t>
  </si>
  <si>
    <t>[2012] 인하대학교 무선네트워크장비 유지보수</t>
  </si>
  <si>
    <t>R120033</t>
  </si>
  <si>
    <t>[2012] 삼환기업 한국항공대학교 연구실험동 신축 정보통신공사</t>
  </si>
  <si>
    <t>R120032</t>
  </si>
  <si>
    <t>KC그린홀딩스 IT인프라 아웃소싱 서비스 계약</t>
  </si>
  <si>
    <t>R120031</t>
  </si>
  <si>
    <t>한국IBM P780 서버 모듈 임대 추가 계약</t>
  </si>
  <si>
    <t>R120030</t>
  </si>
  <si>
    <t>대한항공 오라클 ERP 기술 INFRA 서비스 [2012]</t>
  </si>
  <si>
    <t>R120029</t>
  </si>
  <si>
    <t>[2012] AIRCIS 항공물류정보시스템 기능보강을 위한 장비도입</t>
  </si>
  <si>
    <t>R120028</t>
  </si>
  <si>
    <t>한국IBM P780 서버 모듈 임대 사업 계약</t>
  </si>
  <si>
    <t>R120027</t>
  </si>
  <si>
    <t>[2012] 에쓰오일㈜ 정보보호장비 및 S/W 통합 유지보수</t>
  </si>
  <si>
    <t>김종덕</t>
  </si>
  <si>
    <t>R120026</t>
  </si>
  <si>
    <t>[2012] 인하대병원 교환기 유지보수</t>
  </si>
  <si>
    <t>R120025</t>
  </si>
  <si>
    <t>[2012] 한국항공대학교 보안시스템 유지보수</t>
  </si>
  <si>
    <t>R120024</t>
  </si>
  <si>
    <t>[2012] 한국항공대학교 네트워크 장비 유지보수</t>
  </si>
  <si>
    <t>R120023</t>
  </si>
  <si>
    <t>[2012] 한국항공대 백업시스템 유지보수</t>
  </si>
  <si>
    <t>R120022</t>
  </si>
  <si>
    <t>[2012] 하얏트리젠시인천 호텔 네트워크 유지보수</t>
  </si>
  <si>
    <t>R120021</t>
  </si>
  <si>
    <t>하얏트리젠시인천 시스템(서버) 유지보수 계약-2012</t>
  </si>
  <si>
    <t>R120020</t>
  </si>
  <si>
    <t>토파스 TOPASRO-M 부가기능개발 프로젝트</t>
  </si>
  <si>
    <t>R120019</t>
  </si>
  <si>
    <t>[2012] 인하대학교 백업 소프트웨어 유지보수 계약</t>
  </si>
  <si>
    <t>R120018</t>
  </si>
  <si>
    <t>[APP12]인하대병원 홈페이지 유지보수</t>
  </si>
  <si>
    <t>R120017</t>
  </si>
  <si>
    <t>[APP12] 화성시 만성질환관리시스템 통합유지보수 용역</t>
  </si>
  <si>
    <t>R120016</t>
  </si>
  <si>
    <t>[2012] 인하대학교 네트워크장비 유지보수</t>
  </si>
  <si>
    <t>R120015</t>
  </si>
  <si>
    <t>[APP12] KAL호텔 Back Office 구축</t>
  </si>
  <si>
    <t>R120014</t>
  </si>
  <si>
    <t>[APP12] 토파스 레드캡투어 BTMS Upgrade 개발</t>
  </si>
  <si>
    <t>R120013</t>
  </si>
  <si>
    <t>[APP12] 토파스 레드캡투어 B2C OTA Upgrade 개발</t>
  </si>
  <si>
    <t>R120012</t>
  </si>
  <si>
    <t>[APP12] BC카드 비즈니스출장관리 시스템(BTMS) 개발</t>
  </si>
  <si>
    <t>R120011</t>
  </si>
  <si>
    <t>대한항공 ERP Data Archive 시스템 구축 사업</t>
  </si>
  <si>
    <t>(주)쿠퍼스시스템즈</t>
  </si>
  <si>
    <t>R120010</t>
  </si>
  <si>
    <t>[2012] (주)한진 구로터미널 증축공사의 통신공사 계약</t>
  </si>
  <si>
    <t>R120009</t>
  </si>
  <si>
    <t>인천국제공항공사 AIRCIS(항공물류정보시스템) 운영 3차(시스템유지보수)</t>
  </si>
  <si>
    <t>(주)한국글로발로지스틱스시스템</t>
  </si>
  <si>
    <t>R120008</t>
  </si>
  <si>
    <t>토파스 모바일TOPASRO2 기본기능개발 프로젝트</t>
  </si>
  <si>
    <t>R120007</t>
  </si>
  <si>
    <t>[2012] 사단급무인기 종합군수지원(ILS) 요소개발 및 정비용 일반공구 공급</t>
  </si>
  <si>
    <t>R120006</t>
  </si>
  <si>
    <t>[APP12]국군의무사령부 PACS체계 정비 추가용역</t>
  </si>
  <si>
    <t>국군의무사령부</t>
  </si>
  <si>
    <t>R120005</t>
  </si>
  <si>
    <t>[2012] 인하대학교 정석학술정보관 2012_네트워크 및 보안장비 유지보수</t>
  </si>
  <si>
    <t>R120004</t>
  </si>
  <si>
    <t>R120003</t>
  </si>
  <si>
    <t>[APP12] 대한항공 KAL호텔 홈페이지 개발</t>
  </si>
  <si>
    <t>R120002</t>
  </si>
  <si>
    <t>인하대병원 CardiacPACS 시스템 유지보수 서비스</t>
  </si>
  <si>
    <t>R120001</t>
  </si>
  <si>
    <t>[12A-03]인문지리정보 통합서비스체계구축 비용정산분</t>
  </si>
  <si>
    <t>이강열</t>
  </si>
  <si>
    <t>새한항업(주)</t>
  </si>
  <si>
    <t>R113051</t>
  </si>
  <si>
    <t>[11A-81]용산 위수사령부 정사영상 및 라이다 DEM 제작</t>
  </si>
  <si>
    <t>미극동공병단</t>
  </si>
  <si>
    <t>R113050</t>
  </si>
  <si>
    <t>[11A-78]고성군 도로기반 지하시설물 전산화사업</t>
  </si>
  <si>
    <t>R113049</t>
  </si>
  <si>
    <t>[11A-77]광주전남혁신도시 도로 및 지하시설물 GIS DB 구축</t>
  </si>
  <si>
    <t>R113048</t>
  </si>
  <si>
    <t>[11A-74]서해선(홍성-송산) 복선전철 제4공구 건설공사중 항공측량</t>
  </si>
  <si>
    <t>(주)동명기술공단종합건축사사무소</t>
  </si>
  <si>
    <t>R113047</t>
  </si>
  <si>
    <t>[11A-75]무안군 도로와 지하시설물 전산화 구축사업</t>
  </si>
  <si>
    <t>범아엔지니어링</t>
  </si>
  <si>
    <t>R113046</t>
  </si>
  <si>
    <t>[11A-71]2011년 서울시 항공사진 판독용역(1권역)</t>
  </si>
  <si>
    <t>R113045</t>
  </si>
  <si>
    <t>국가공간정보통합체계 2011년 확산구축</t>
  </si>
  <si>
    <t>에스케이씨앤씨 (주)</t>
  </si>
  <si>
    <t>R113044</t>
  </si>
  <si>
    <t>[11A-72]HIST-DPW 판매(지오모니터링)</t>
  </si>
  <si>
    <t>(주)지오모니터링</t>
  </si>
  <si>
    <t>R113043</t>
  </si>
  <si>
    <t>[11A-68]가장배수지 상수도 GIS DB 구축</t>
  </si>
  <si>
    <t>정운창</t>
  </si>
  <si>
    <t>(주)경도이앤씨</t>
  </si>
  <si>
    <t>R113042</t>
  </si>
  <si>
    <t>[11A-63]국토모니터링 고도화 연구 및 시범제작</t>
  </si>
  <si>
    <t>국토해양부 국토지리정보원</t>
  </si>
  <si>
    <t>R113041</t>
  </si>
  <si>
    <t>[11A-64]지형공간정보과 수치사진측량시스템(HIST DPW) 판매(인하공업대학)</t>
  </si>
  <si>
    <t>R113040</t>
  </si>
  <si>
    <t>[11A-61]HIST-ADS 영상커팅 프로그램 판매</t>
  </si>
  <si>
    <t>공간정보기술 ( 주 )</t>
  </si>
  <si>
    <t>R113039</t>
  </si>
  <si>
    <t>[11A-60]항공촬영 용역(창원시 양산시)</t>
  </si>
  <si>
    <t>R113038</t>
  </si>
  <si>
    <t>[11A-56,57]2011년 지하시설물 전산화사</t>
  </si>
  <si>
    <t>R113037</t>
  </si>
  <si>
    <t>[11A-69]기본도(진안지구) 수치도화</t>
  </si>
  <si>
    <t>(주)원지리정보</t>
  </si>
  <si>
    <t>R113036</t>
  </si>
  <si>
    <t>[11A-56]한경면일원 GIS DB 구축용역</t>
  </si>
  <si>
    <t>자바정보기술(주)</t>
  </si>
  <si>
    <t>R113035</t>
  </si>
  <si>
    <t>[11A-53]광역상수도 GIS DB 구축</t>
  </si>
  <si>
    <t>지상건설(주)</t>
  </si>
  <si>
    <t>R113034</t>
  </si>
  <si>
    <t>[미계약]세종시 지방행정정보화 구축</t>
  </si>
  <si>
    <t>배경훈</t>
  </si>
  <si>
    <t>행정중심복합도시건설청</t>
  </si>
  <si>
    <t>R113033</t>
  </si>
  <si>
    <t>[11A-55]특성화고 기자재(HIST-DPW 등) 도입(부평공고)</t>
  </si>
  <si>
    <t>인천광역시교육청부평공업고등학교</t>
  </si>
  <si>
    <t>R113032</t>
  </si>
  <si>
    <t>[11A-58]HIST-DPW 교육장비 임대(대한측량협회)</t>
  </si>
  <si>
    <t>R113031</t>
  </si>
  <si>
    <t>[11A-50]HIST-DPW ADS 프로그램(S/W) 판매_진성지리정보</t>
  </si>
  <si>
    <t>진성지리정보</t>
  </si>
  <si>
    <t>R113030</t>
  </si>
  <si>
    <t>[11A-47]인천공항 장애물 정밀측량 고도화 사업</t>
  </si>
  <si>
    <t>R113029</t>
  </si>
  <si>
    <t>[11A-46]웹사이트 통합서비스 구축</t>
  </si>
  <si>
    <t>R113028</t>
  </si>
  <si>
    <t>[11A-44]국립산림과학원 HIST-DPW 판매(공간정보갱신시스템)</t>
  </si>
  <si>
    <t>산림청 국립산림과학원</t>
  </si>
  <si>
    <t>R113027</t>
  </si>
  <si>
    <t>[11A-43]마곡 U-City U-방범 U-School Zone 서비스 기본설계 검토 및 실시설계</t>
  </si>
  <si>
    <t>고태환</t>
  </si>
  <si>
    <t>R113026</t>
  </si>
  <si>
    <t>[11A-36]은하레일 선형 지적현황측량 용역</t>
  </si>
  <si>
    <t>인천교통공사</t>
  </si>
  <si>
    <t>R113025</t>
  </si>
  <si>
    <t>[11A-41]연안해역 조사(임자도 및 경인항 부근)</t>
  </si>
  <si>
    <t>R113024</t>
  </si>
  <si>
    <t>[11A-38]2011년 국토환경 평가지도 갱신 및 시스템 유지보수</t>
  </si>
  <si>
    <t>한국환경정책평가연구원</t>
  </si>
  <si>
    <t>R113023</t>
  </si>
  <si>
    <t>[11A-35]국가기본도수정(이원지구) AT부문</t>
  </si>
  <si>
    <t>동아항업(주)</t>
  </si>
  <si>
    <t>R113021</t>
  </si>
  <si>
    <t>[11A-33]고성군 상수도 배관망도 최적화사업</t>
  </si>
  <si>
    <t>R113020</t>
  </si>
  <si>
    <t>[11A-31]임자도 북부 연안해역조사</t>
  </si>
  <si>
    <t>R113019</t>
  </si>
  <si>
    <t>[11A-30]국토공간 영상정보시스템 유지보수용역</t>
  </si>
  <si>
    <t>R113018</t>
  </si>
  <si>
    <t>[11A-29]HIST DPW판매(서울시청)</t>
  </si>
  <si>
    <t>R113017</t>
  </si>
  <si>
    <t>[11A-28]나로도 동부 연안해역 수로측량</t>
  </si>
  <si>
    <t>R113016</t>
  </si>
  <si>
    <t>[11A-27]창원시 도시정보시스템 유지보수</t>
  </si>
  <si>
    <t>창원시청</t>
  </si>
  <si>
    <t>R113015</t>
  </si>
  <si>
    <t>[11A-24]하이퍼스펙트럴 영상자료 취득</t>
  </si>
  <si>
    <t>허현수</t>
  </si>
  <si>
    <t>정현수</t>
  </si>
  <si>
    <t>건국대학교번역센터랭스테크</t>
  </si>
  <si>
    <t>R113014</t>
  </si>
  <si>
    <t>[11A-23]HIST-DPW ADS 프로그램(S/W) 판매(다음GIS)</t>
  </si>
  <si>
    <t>다음GIS</t>
  </si>
  <si>
    <t>R113013</t>
  </si>
  <si>
    <t>[11A-22]HIST-DPW ADS 프로그램 판매(아세아항측)</t>
  </si>
  <si>
    <t>R113012</t>
  </si>
  <si>
    <t>[11A-20]HIST-DPW ADS 프로그램(S/W) 판매(푸른지리정보)</t>
  </si>
  <si>
    <t>푸른지리정보</t>
  </si>
  <si>
    <t>R113011</t>
  </si>
  <si>
    <t>[11A-12]HIST DPW ADS 프로그램 판매(서광항업)</t>
  </si>
  <si>
    <t>서광항업(주)</t>
  </si>
  <si>
    <t>R113010</t>
  </si>
  <si>
    <t>[11A-11]남양주 지리정보시스템 S/W 유지보수용역</t>
  </si>
  <si>
    <t>R113008</t>
  </si>
  <si>
    <t>[11A-09]인천시 디지털 항공사진촬영.판독 및 공간정보구축</t>
  </si>
  <si>
    <t>R113007</t>
  </si>
  <si>
    <t>[11A-08]항공사진측량 및 수치도화</t>
  </si>
  <si>
    <t>R113006</t>
  </si>
  <si>
    <t>[11A-07]OCI 포항공장 스팀공급사업 열배관 탐사측량 용역</t>
  </si>
  <si>
    <t>(주)에너지솔루션즈</t>
  </si>
  <si>
    <t>R113005</t>
  </si>
  <si>
    <t>[11A-06]GVS 2.0 패키지 구매 및 커스터마이징(천우항측)</t>
  </si>
  <si>
    <t>천우항측</t>
  </si>
  <si>
    <t>R113004</t>
  </si>
  <si>
    <t>[11A-03]포항시 지리정보시스템(GIS) 시설장비 유지보수 용역</t>
  </si>
  <si>
    <t>R113003</t>
  </si>
  <si>
    <t>[11A-02]GVS 2.0 패키지 구매 및 커스터마이징(에센코리아)</t>
  </si>
  <si>
    <t>에센코리아</t>
  </si>
  <si>
    <t>R113002</t>
  </si>
  <si>
    <t>[11A-01]HIST DPW판매(대원항업)</t>
  </si>
  <si>
    <t>대원항업(주)</t>
  </si>
  <si>
    <t>R113001</t>
  </si>
  <si>
    <t>[11A-04]수자원 수도통합 유지보수</t>
  </si>
  <si>
    <t>R110054</t>
  </si>
  <si>
    <t>[APP11]토파스 중국씬싱온라인항공B2B예약시스템 구축</t>
  </si>
  <si>
    <t>R110053</t>
  </si>
  <si>
    <t>[APP11]토파스 롯데카드AWC(Abacus Web Connect)업그레이드</t>
  </si>
  <si>
    <t>R110052</t>
  </si>
  <si>
    <t>[APP11] 토파스 여행박사 온라인 항공B2C예약시스템 Upgrade 개발</t>
  </si>
  <si>
    <t>R110051</t>
  </si>
  <si>
    <t>[APP11] 한덱스 PDA 프로그램 개발</t>
  </si>
  <si>
    <t>R110050</t>
  </si>
  <si>
    <t>[APP11] 유니컨버스 빌링시스템 유지보수 갱신</t>
  </si>
  <si>
    <t>R110049</t>
  </si>
  <si>
    <t>[2011] 제주공항 카운터 운항정보 Display 구축 계약</t>
  </si>
  <si>
    <t>R110048</t>
  </si>
  <si>
    <t>[2011] 제2구립노인요양원 신축공사(통신)</t>
  </si>
  <si>
    <t>용산구청</t>
  </si>
  <si>
    <t>R110047</t>
  </si>
  <si>
    <t>[APP11]토파스 KB국민카드 온라인항공예약시스템 개발</t>
  </si>
  <si>
    <t>R110046</t>
  </si>
  <si>
    <t>[2011] 한국공항 제주 제동목장 관리동 통신/전산 내,외부 설치공사</t>
  </si>
  <si>
    <t>R110045</t>
  </si>
  <si>
    <t>[2011] 정림건축 대한항공 연수원 신축 정보통신 설계용역</t>
  </si>
  <si>
    <t>(주)정림건축종합건축사사무소</t>
  </si>
  <si>
    <t>R110044</t>
  </si>
  <si>
    <t>[APP11] 토파스 SMART BE 운임좌석동시조회 개선/개발 2차</t>
  </si>
  <si>
    <t>R110043</t>
  </si>
  <si>
    <t>[APP11] 토파스 Cyberplus B/E 국내선 항공사별 API 개발</t>
  </si>
  <si>
    <t>R110042</t>
  </si>
  <si>
    <t>[2011] 한국IBM 제본 출력 서비스 사업</t>
  </si>
  <si>
    <t>R110041</t>
  </si>
  <si>
    <t>한진그룹 홈페이지 개편 프로젝트</t>
  </si>
  <si>
    <t>R110040</t>
  </si>
  <si>
    <t>한덱스 문서암호화 솔루션(DRM) 구축</t>
  </si>
  <si>
    <t>R110039</t>
  </si>
  <si>
    <t>토파스 Cyberplus BE(Booking Engine) 웹보안 취약점 분석 및 개선</t>
  </si>
  <si>
    <t>R110038</t>
  </si>
  <si>
    <t>[2011] 인천국제공항공사 AIRCIS(항공물류정보시스템) 운영 물품공급</t>
  </si>
  <si>
    <t>R110037</t>
  </si>
  <si>
    <t>[APP11]토파스 ㈜투어몰 SMART BE(Booking Engine) Customizing 개발</t>
  </si>
  <si>
    <t>R110036</t>
  </si>
  <si>
    <t>[APP11]인하공전 차세대 행정정보 패키지선정 컨설팅</t>
  </si>
  <si>
    <t>R110035</t>
  </si>
  <si>
    <t>[2011] 인하공업전문대학 네트워크 서버 및 보안장비 유지보수</t>
  </si>
  <si>
    <t>R110034</t>
  </si>
  <si>
    <t>KC코트렐 메일서버 구축 프로젝트</t>
  </si>
  <si>
    <t>R110033</t>
  </si>
  <si>
    <t>인천 SILO시스템 유지보수 (한진)</t>
  </si>
  <si>
    <t>R110032</t>
  </si>
  <si>
    <t>대한항공 모바일 유지보수 서비스</t>
  </si>
  <si>
    <t>R110031</t>
  </si>
  <si>
    <t>[2011] 대한항공 영종호텔 신축 정보통신 설계용역</t>
  </si>
  <si>
    <t>R110030</t>
  </si>
  <si>
    <t>대한항공 A380 마이크로사이트 개편</t>
  </si>
  <si>
    <t>R110029</t>
  </si>
  <si>
    <t>토파스 SMART STANDARD BE(Booking Engine) 개선/개발</t>
  </si>
  <si>
    <t>R110028</t>
  </si>
  <si>
    <t>[2011] 인하대학교 무선네트워크장비 유지보수</t>
  </si>
  <si>
    <t>R110026</t>
  </si>
  <si>
    <t>대한항공 오라클 ERP 기술 INFRA 서비스</t>
  </si>
  <si>
    <t>R110025</t>
  </si>
  <si>
    <t>[2011] 인하대병원 지역거점 격리외래진료실 통신공사</t>
  </si>
  <si>
    <t>R110024</t>
  </si>
  <si>
    <t>[2011] 한국항공대학교 연구실험동 설계용역</t>
  </si>
  <si>
    <t>(주)아키플랜종합건축사사무소</t>
  </si>
  <si>
    <t>R110023</t>
  </si>
  <si>
    <t>[2011] 인하대병원 교환기 유지보수</t>
  </si>
  <si>
    <t>R110022</t>
  </si>
  <si>
    <t>[11A-34]HIST DPW판매(우리강산시스템)</t>
  </si>
  <si>
    <t>(주)우리강산시스템</t>
  </si>
  <si>
    <t>R110021</t>
  </si>
  <si>
    <t>[2011] 한국항공대 백업시스템 유지보수</t>
  </si>
  <si>
    <t>R110020</t>
  </si>
  <si>
    <t>[2011] 한국항공대학교 보안시스템 유지보수</t>
  </si>
  <si>
    <t>R110019</t>
  </si>
  <si>
    <t>[2011] 한국항공대학교 네트워크 장비 유지보수</t>
  </si>
  <si>
    <t>R110018</t>
  </si>
  <si>
    <t>토파스 Cyberplus 부킹엔진 운임/좌석 동시조회 기능개선</t>
  </si>
  <si>
    <t>R110017</t>
  </si>
  <si>
    <t>[APP11]코인어스 동양그룹 HR통합시스템 추가개발</t>
  </si>
  <si>
    <t>주식회사 코인어스</t>
  </si>
  <si>
    <t>R110016</t>
  </si>
  <si>
    <t>[APP11]인하대병원 홈페이지 유지보수</t>
  </si>
  <si>
    <t>R110015</t>
  </si>
  <si>
    <t>[APP11]진에어 스마트폰 어플리케이션 개발</t>
  </si>
  <si>
    <t>강성모</t>
  </si>
  <si>
    <t>R110014</t>
  </si>
  <si>
    <t>[2011] 인천도시철도 2호선 통신공사</t>
  </si>
  <si>
    <t>R110013</t>
  </si>
  <si>
    <t>하얏트리젠시 인천 시스템(서버)유지보수_2011</t>
  </si>
  <si>
    <t>R110012</t>
  </si>
  <si>
    <t>[2011] 하얏트리젠시인천 네트워크IP 재구성</t>
  </si>
  <si>
    <t>R110011</t>
  </si>
  <si>
    <t>[2011] 케이티네트웍스 PDS 구축사업</t>
  </si>
  <si>
    <t>R110010</t>
  </si>
  <si>
    <t>[2011] 에쓰오일㈜ 정보보호장비 통합유지보수사업 계약체결 보고</t>
  </si>
  <si>
    <t>R110009</t>
  </si>
  <si>
    <t>[2011] 하얏트리젠시인천 호텔 네트워크 유지보수</t>
  </si>
  <si>
    <t>R110008</t>
  </si>
  <si>
    <t>[APP11] 국군의무사령부 2011년 PACS체계 정비용역 PJT</t>
  </si>
  <si>
    <t>R110007</t>
  </si>
  <si>
    <t>[2011] 대림산업 인하공업전문대학 기초실습관 전기/통신 공사</t>
  </si>
  <si>
    <t>R110006</t>
  </si>
  <si>
    <t>[APP11]일진제강 ERP Roll-Out 및 EIS 구축</t>
  </si>
  <si>
    <t>R110005</t>
  </si>
  <si>
    <t>[2011] 인하대학교 네트워크장비 유지보수</t>
  </si>
  <si>
    <t>R110004</t>
  </si>
  <si>
    <t>[2011] 공군대학 워게임 교육장비 유지보수</t>
  </si>
  <si>
    <t>공군대학</t>
  </si>
  <si>
    <t>R110003</t>
  </si>
  <si>
    <t>[2011] 인하대병원 정석빌딩 8층 소화기질환 서비스센터 정보통신공사</t>
  </si>
  <si>
    <t>R110002</t>
  </si>
  <si>
    <t>[2011] 인하대학교 정석학술정보관 네트워크 및 보안 장비 유지보수</t>
  </si>
  <si>
    <t>R110001</t>
  </si>
  <si>
    <t>[2011] 국방대학교 전산장비 통합유지보수 용역</t>
  </si>
  <si>
    <t>국방대학교</t>
  </si>
  <si>
    <t>R103055</t>
  </si>
  <si>
    <t>과거 공간정보부문 수입 조정</t>
  </si>
  <si>
    <t>R103054</t>
  </si>
  <si>
    <t>[10A-93]스파힐스컨트리클럽 항공측량</t>
  </si>
  <si>
    <t>(주)씨엔제이관광산업</t>
  </si>
  <si>
    <t>R103053</t>
  </si>
  <si>
    <t>[11A-05]2011년 거제시 지리정보시스템 유지보수용역</t>
  </si>
  <si>
    <t>R103052</t>
  </si>
  <si>
    <t>[10A-87]대구 율하2지구 GIS시스템 구축용역</t>
  </si>
  <si>
    <t>R103051</t>
  </si>
  <si>
    <t>[10A-86]2010년 한강 수로조사용역</t>
  </si>
  <si>
    <t>서울특별시한강사업본부</t>
  </si>
  <si>
    <t>R103050</t>
  </si>
  <si>
    <t>[10A-85]경계 관리방안 연구 용역</t>
  </si>
  <si>
    <t>R103049</t>
  </si>
  <si>
    <t>[10A-84]금강살리기 5공구(부여지구) 실시설계용역중 수심측량</t>
  </si>
  <si>
    <t>(주)경동엔지니어링</t>
  </si>
  <si>
    <t>R103048</t>
  </si>
  <si>
    <t>[10A-81]U-Eco sensing기반 환경생태정보 순환모델 개발</t>
  </si>
  <si>
    <t>R103047</t>
  </si>
  <si>
    <t>[10A-80]여주00컨트리클럽 골프장 항공측량</t>
  </si>
  <si>
    <t>(주)필드콘설탄트기술사사무소</t>
  </si>
  <si>
    <t>R103046</t>
  </si>
  <si>
    <t>[10A-79]KT그룹 통합DB구축</t>
  </si>
  <si>
    <t>중앙항업주식회사</t>
  </si>
  <si>
    <t>R103045</t>
  </si>
  <si>
    <t>[10A-77]154kv 남면S/S 지상LIDAR 측량용역</t>
  </si>
  <si>
    <t>한국전력공사</t>
  </si>
  <si>
    <t>R103044</t>
  </si>
  <si>
    <t>[10A-78]대한지적공사 지적연구원 실용적 영상응용지적도 비즈니스 모델 연구</t>
  </si>
  <si>
    <t>R103043</t>
  </si>
  <si>
    <t>[10A-76]인하대 초분광센서 촬영 및 영상처리</t>
  </si>
  <si>
    <t>R103042</t>
  </si>
  <si>
    <t>[10A-75]HIST-DPW 판매(전주비전대학)</t>
  </si>
  <si>
    <t>김상일</t>
  </si>
  <si>
    <t>전주비전대학산학협력단</t>
  </si>
  <si>
    <t>R103041</t>
  </si>
  <si>
    <t>[10A-74]미등록도서 세부도화사업</t>
  </si>
  <si>
    <t>R103040</t>
  </si>
  <si>
    <t>[10A-73]항공사진촬영 및 DB구축(6지구)_촬영 및 DB구축부문</t>
  </si>
  <si>
    <t>R103039</t>
  </si>
  <si>
    <t>[10A-72]HIST-DPW 등 특성화 실험실습 기자재도입(부평공고)</t>
  </si>
  <si>
    <t>R103038</t>
  </si>
  <si>
    <t>[10A-68]부산 금정산성 무형문화재 예술마을 에코리조트조성 기본계획중 항공측량</t>
  </si>
  <si>
    <t>(주)경호엔지니어링종합건축사무</t>
  </si>
  <si>
    <t>R103037</t>
  </si>
  <si>
    <t>[10A-67]HIST-DPW 판매(경일대학교)</t>
  </si>
  <si>
    <t>경원대학교</t>
  </si>
  <si>
    <t>R103036</t>
  </si>
  <si>
    <t>[10A-71]HIST-DPW 판매(새한지오텍)</t>
  </si>
  <si>
    <t>(주)새한지오텍</t>
  </si>
  <si>
    <t>R103035</t>
  </si>
  <si>
    <t>[10A-70]HIST-DPW 판매(새한항업)</t>
  </si>
  <si>
    <t>R103034</t>
  </si>
  <si>
    <t>[10A-66]항공기 탑제센서를 이용한 토지이용 및 바이오매스 검증</t>
  </si>
  <si>
    <t>R103033</t>
  </si>
  <si>
    <t>[10A-62]정읍 방사선과학연구소 도시관리계획부지 항공사진측량 용역</t>
  </si>
  <si>
    <t>(주)한길정보기술</t>
  </si>
  <si>
    <t>R103032</t>
  </si>
  <si>
    <t>[10A-61]HIST-DPW 판매(삼부기술)</t>
  </si>
  <si>
    <t>삼부기술(주)</t>
  </si>
  <si>
    <t>R103031</t>
  </si>
  <si>
    <t>[10A-60]2010년 전북 어초어장관리 조사용역</t>
  </si>
  <si>
    <t>국립수산과학원서해수산연구소</t>
  </si>
  <si>
    <t>R103030</t>
  </si>
  <si>
    <t>[10A-59]시흥군자지구 도시개발사업 현황측량</t>
  </si>
  <si>
    <t>(주)세웅기술단</t>
  </si>
  <si>
    <t>R103029</t>
  </si>
  <si>
    <t>[10A-58]HIST-DPW ADS 프로그램 판매(선진지리정보)</t>
  </si>
  <si>
    <t>선진지리정보</t>
  </si>
  <si>
    <t>R103028</t>
  </si>
  <si>
    <t>[10A-57]용담천등 9개하천 하천시설관리대장작성중 측량선점 및 AT도화부문</t>
  </si>
  <si>
    <t>조재영</t>
  </si>
  <si>
    <t>R103027</t>
  </si>
  <si>
    <t>[10A-56]HIST-DPW 판매(지오에스)</t>
  </si>
  <si>
    <t>(주)지오에스</t>
  </si>
  <si>
    <t>R103026</t>
  </si>
  <si>
    <t>[10A-52]2010년 제주시 도로와 상하수도 전산화사업</t>
  </si>
  <si>
    <t>황성범</t>
  </si>
  <si>
    <t>R103025</t>
  </si>
  <si>
    <t>[10A-50]HIST-DPW ADS 프로그램 판매(원지리정보)</t>
  </si>
  <si>
    <t>R103024</t>
  </si>
  <si>
    <t>[10A-49]국립공원 정밀관리도 시범구축용역</t>
  </si>
  <si>
    <t>국립공원관리공단</t>
  </si>
  <si>
    <t>R103023</t>
  </si>
  <si>
    <t>[10A-48]백제역사재현촌 중요건물 3D 스캔</t>
  </si>
  <si>
    <t>(주)에이앤디쓰리디</t>
  </si>
  <si>
    <t>R103022</t>
  </si>
  <si>
    <t>[10A-47]표고기준점 및 사진기준점측량(삼척지구)</t>
  </si>
  <si>
    <t>R103021</t>
  </si>
  <si>
    <t>[10A-46]기장체육시설 항공측량</t>
  </si>
  <si>
    <t>R103020</t>
  </si>
  <si>
    <t>[10A-45]발전소부지 지형 측량 및 지적도면 작성 용역</t>
  </si>
  <si>
    <t>한국수력원자력(주)</t>
  </si>
  <si>
    <t>R103019</t>
  </si>
  <si>
    <t>[10A-44]HIST-DPW 임대판매(대한측량협회)</t>
  </si>
  <si>
    <t>R103018</t>
  </si>
  <si>
    <t>[10A-39]금강살리기 6공구(청남지구) 사업 T/K 실시 수심측량</t>
  </si>
  <si>
    <t>(주)도화엔지니어링</t>
  </si>
  <si>
    <t>R103017</t>
  </si>
  <si>
    <t>[10A-40]인천 아시안게임 선수촌부지 실시설계 항공측량</t>
  </si>
  <si>
    <t>(주)유신</t>
  </si>
  <si>
    <t>R103016</t>
  </si>
  <si>
    <t>[10A-37]HIST-DPW ADS 프로그램 판매(우리강산)</t>
  </si>
  <si>
    <t>R103015</t>
  </si>
  <si>
    <t>[10A-36]1/1000 수치지형도 수정제작(전주지구) 중 사진기준점측량부분</t>
  </si>
  <si>
    <t>(주)에스지원정보기술</t>
  </si>
  <si>
    <t>R103014</t>
  </si>
  <si>
    <t>[10A-35]서울시 1/1000 수치지도부분갱신 및 추가제작</t>
  </si>
  <si>
    <t>R103013</t>
  </si>
  <si>
    <t>[10A-31]남동해안 영해기준점 조사</t>
  </si>
  <si>
    <t>R103012</t>
  </si>
  <si>
    <t>[10A-30]연평도 동부 수로측량</t>
  </si>
  <si>
    <t>R103011</t>
  </si>
  <si>
    <t>[10A-29]HIST-DPW 판매(원지리정보 3차)</t>
  </si>
  <si>
    <t>R103010</t>
  </si>
  <si>
    <t>[10A-24]하천정보 종합관리시스템 구축</t>
  </si>
  <si>
    <t>(주)지오씨엔아이</t>
  </si>
  <si>
    <t>R103009</t>
  </si>
  <si>
    <t>[10A-23]154kw 언양-산막등 2개T/L 기설선하지측량</t>
  </si>
  <si>
    <t>한국전력공사 부산지한국전력공사 부산지사</t>
  </si>
  <si>
    <t>R103008</t>
  </si>
  <si>
    <t>[10A-22]HIST-DPW 판매(한빛GIS)</t>
  </si>
  <si>
    <t>한빛GIS</t>
  </si>
  <si>
    <t>R103007</t>
  </si>
  <si>
    <t>[10A-21]영암-해남 관광레저형 기업도시 삼호지구개발계획변경 및 실시계획 수립용역(항공측량)</t>
  </si>
  <si>
    <t>나충엽</t>
  </si>
  <si>
    <t>(주)삼안건설기술공사</t>
  </si>
  <si>
    <t>R103006</t>
  </si>
  <si>
    <t>[10A-12]송산그린시티 사업구역 지장물 항공사진 구매</t>
  </si>
  <si>
    <t>R103005</t>
  </si>
  <si>
    <t>[10A-09]남양주 2010년도 지리정보시스템 통합 유지보수</t>
  </si>
  <si>
    <t>R103004</t>
  </si>
  <si>
    <t>[10A-05]HIST-DPW 판매(한국종합설계)</t>
  </si>
  <si>
    <t>한국종합설계(주)</t>
  </si>
  <si>
    <t>R103003</t>
  </si>
  <si>
    <t>[10A-04]금강살리기 7공구(공주지구) 사업 실시설계(수심측량)</t>
  </si>
  <si>
    <t>(주)동호</t>
  </si>
  <si>
    <t>R103002</t>
  </si>
  <si>
    <t>[10A-02]HIST-DPW 판매(화정지리정보)</t>
  </si>
  <si>
    <t>화정지리정보</t>
  </si>
  <si>
    <t>R103001</t>
  </si>
  <si>
    <t>[10A-01]포항시 지리정보시스템(GIS) 시설장비 유지보수 용역</t>
  </si>
  <si>
    <t>R100064</t>
  </si>
  <si>
    <t>[2011] 영종메디컬센터 신축공사 중 통신공사</t>
  </si>
  <si>
    <t>R100063</t>
  </si>
  <si>
    <t>[APP10]유니컨버스 빌링시스템 유지보수</t>
  </si>
  <si>
    <t>R100062</t>
  </si>
  <si>
    <t>대한항공 ERP 시스템 Non-Oracle S/W 유지보수</t>
  </si>
  <si>
    <t>정경목</t>
  </si>
  <si>
    <t>R100061</t>
  </si>
  <si>
    <t>[APP10]대한항공 배구단 홈페이지 리뉴얼 구축</t>
  </si>
  <si>
    <t>R100060</t>
  </si>
  <si>
    <t>[2010] 인하대병원 PACS 판독스테이션 공급계약</t>
  </si>
  <si>
    <t>R100059</t>
  </si>
  <si>
    <t>[APP10]아모레퍼시픽 Legacy 개발 용역</t>
  </si>
  <si>
    <t>R100058</t>
  </si>
  <si>
    <t>[APP10]LG하우시스 창고물류관리시스템 구축 계약</t>
  </si>
  <si>
    <t>이엑스이씨엔티</t>
  </si>
  <si>
    <t>R100057</t>
  </si>
  <si>
    <t>[2010] 영종 메디컬센터 신축공사 설계용역 계약(2차)</t>
  </si>
  <si>
    <t>(주)무영종합건축사사무소</t>
  </si>
  <si>
    <t>R100056</t>
  </si>
  <si>
    <t>[2010] 에쓰-오일 생산지원 IT시스템 통합 구축</t>
  </si>
  <si>
    <t>R100055</t>
  </si>
  <si>
    <t>[APP10]인천국제공항공사 항공물류정보시스템 운영 유지보수 사업</t>
  </si>
  <si>
    <t>R100054</t>
  </si>
  <si>
    <t>[APP10]정석기업 전사 정보시스템 구축</t>
  </si>
  <si>
    <t>R100053</t>
  </si>
  <si>
    <t>[2010] 알리안츠생명 DR 회선서비스</t>
  </si>
  <si>
    <t>R100052</t>
  </si>
  <si>
    <t>[APP10]이엑스이씨엔티 LG생활건강 TMS 구축 사업 참여</t>
  </si>
  <si>
    <t>R100051</t>
  </si>
  <si>
    <t>[APP10]알리안츠생명 오라클 DB 마이그레이션</t>
  </si>
  <si>
    <t>R100050</t>
  </si>
  <si>
    <t>[APP10]아모레퍼시픽 가격산정 시스템 구축</t>
  </si>
  <si>
    <t>R100049</t>
  </si>
  <si>
    <t>[APP10]이엑스이씨엔티, KT텔레캅 WMS 구축 PJT</t>
  </si>
  <si>
    <t>R100048</t>
  </si>
  <si>
    <t>[APP10]토파스 교육용웹사이트 운영/유지보수</t>
  </si>
  <si>
    <t>R100047</t>
  </si>
  <si>
    <t>[2010] 한국IBM 제본 출력 서비스 사업</t>
  </si>
  <si>
    <t>R100046</t>
  </si>
  <si>
    <t>S-OIL DR센터 이전 서비스(해체/설치/TEST) 용역</t>
  </si>
  <si>
    <t>R100045</t>
  </si>
  <si>
    <t>[APP10]지마켓 도서물류관리시스템 OMS부문 구축</t>
  </si>
  <si>
    <t>R100044</t>
  </si>
  <si>
    <t>[2010] 유니컨버스 IT서비스센터 통신공사</t>
  </si>
  <si>
    <t>이웅희</t>
  </si>
  <si>
    <t>R100043</t>
  </si>
  <si>
    <t>[APP10]아모레퍼시픽 브랜드사이트 개편 용역</t>
  </si>
  <si>
    <t>R100042</t>
  </si>
  <si>
    <t>[APP10]유니컨버스 빌링시스템 변경/개선 개발</t>
  </si>
  <si>
    <t>R100041</t>
  </si>
  <si>
    <t>[2010] S-OIL 데이터센터 이전 기술지원 용역</t>
  </si>
  <si>
    <t>R100040</t>
  </si>
  <si>
    <t>[APP10]KAIST Campus ERP 인력투입 건</t>
  </si>
  <si>
    <t>R100039</t>
  </si>
  <si>
    <t>[APP10]대한항공 콜센터 업무정보시스템(QRS)구축</t>
  </si>
  <si>
    <t>R100038</t>
  </si>
  <si>
    <t>[2010] 대한항공 신출입통제시스템 유지보수</t>
  </si>
  <si>
    <t>R100037</t>
  </si>
  <si>
    <t>[2010] 김포공항 계기착륙시설(LLZ/DME)</t>
  </si>
  <si>
    <t>R100036</t>
  </si>
  <si>
    <t>[2010] 한국전파진흥원 정보시스템 유지보수</t>
  </si>
  <si>
    <t>(주)제타시스</t>
  </si>
  <si>
    <t>R100035</t>
  </si>
  <si>
    <t>[APP10]서울스탑오버사이트 개편</t>
  </si>
  <si>
    <t>(주)동서여행사</t>
  </si>
  <si>
    <t>R100034</t>
  </si>
  <si>
    <t>[2010] 인하대학교 무선네트워크장비 유지보수 계약</t>
  </si>
  <si>
    <t>R100033</t>
  </si>
  <si>
    <t>[2010] 대한항공 중고도무인기 전산투자 IT 1차 도입분 유지보수</t>
  </si>
  <si>
    <t>R100032</t>
  </si>
  <si>
    <t>[APP10]CMMI 레벨 3 부분인증 심사 용역</t>
  </si>
  <si>
    <t>R100031</t>
  </si>
  <si>
    <t>[2010] 서울메트로(잠실역) 임대시설 복합 개발에 따른 전자통신공사</t>
  </si>
  <si>
    <t>R100030</t>
  </si>
  <si>
    <t>[2010] 중고도무인기 비행조정 시뮬레이션(HILS) 2차 운용통제 SW 및 HW 납품</t>
  </si>
  <si>
    <t>R100029</t>
  </si>
  <si>
    <t>[APP10]한진 영업지원시스템 구축</t>
  </si>
  <si>
    <t>R100028</t>
  </si>
  <si>
    <t>[APP10]화성시 u-재가돌봄시스템연계 재가환자 방문용간호장비구축</t>
  </si>
  <si>
    <t>동탄보건지소</t>
  </si>
  <si>
    <t>R100027</t>
  </si>
  <si>
    <t>[APP10]대한항공 정비용기자재 자동창고시스템 Interface 개발</t>
  </si>
  <si>
    <t>R100026</t>
  </si>
  <si>
    <t>[APP10]대한항공 탄소배출권 산출/관리 시스템 개발</t>
  </si>
  <si>
    <t>R100025</t>
  </si>
  <si>
    <t>[2010] 한국항공대 백업시스템 유지보수</t>
  </si>
  <si>
    <t>R100024</t>
  </si>
  <si>
    <t>[2010] 한국항공대학교 보안시스템 유지보수</t>
  </si>
  <si>
    <t>R100023</t>
  </si>
  <si>
    <t>[2010] 한국항공대학교 네트워크 장비 유지보수</t>
  </si>
  <si>
    <t>R100022</t>
  </si>
  <si>
    <t>[APP10]대한항공 화물본부 홈페이지 디자인 부문 구축</t>
  </si>
  <si>
    <t>R100021</t>
  </si>
  <si>
    <t>하얏트리젠시 인천 시스템(서버)유지보수_2010</t>
  </si>
  <si>
    <t>R100020</t>
  </si>
  <si>
    <t>[2010] 하얏트리젠시인천 호텔 네트워크 유지보수</t>
  </si>
  <si>
    <t>R100019</t>
  </si>
  <si>
    <t>[2010] S-OIL 정보보호장비 통합유지보수사업</t>
  </si>
  <si>
    <t>R100018</t>
  </si>
  <si>
    <t>[2010] 2010년도 인천광역시지방경찰청 전산장비 유지보수 용역</t>
  </si>
  <si>
    <t>인천지방경찰청</t>
  </si>
  <si>
    <t>R100017</t>
  </si>
  <si>
    <t>[2010] 풍림산업 금강 엑슬루타워 신축공사 중 통신설비공사</t>
  </si>
  <si>
    <t>에스정보통신</t>
  </si>
  <si>
    <t>R100016</t>
  </si>
  <si>
    <t>인하대병원 공항의료센터 큰의사랑 프로그램 사용</t>
  </si>
  <si>
    <t>R100015</t>
  </si>
  <si>
    <t>[APP10]대구 혁신도시 및 테크노폴리스 U-City구축 설계용역</t>
  </si>
  <si>
    <t>김병직</t>
  </si>
  <si>
    <t>효성인포메이션시스템(주)</t>
  </si>
  <si>
    <t>R100014</t>
  </si>
  <si>
    <t>[APP10]토파스 교육용웹사이트 리뉴얼</t>
  </si>
  <si>
    <t>R100013</t>
  </si>
  <si>
    <t>[2010] 인하대병원 지하2층 행정사무실 재배치공사</t>
  </si>
  <si>
    <t>R100012</t>
  </si>
  <si>
    <t>[2010] 유니컨버스 콜센터 인프라 구축</t>
  </si>
  <si>
    <t>R100011</t>
  </si>
  <si>
    <t>[2010] 인하대병원 교환기 유지보수</t>
  </si>
  <si>
    <t>R100010</t>
  </si>
  <si>
    <t>대한항공 ERP 기술 INFRA 서비스</t>
  </si>
  <si>
    <t>R100009</t>
  </si>
  <si>
    <t>[2010] 진에어 전산장비 유지보수</t>
  </si>
  <si>
    <t>R100008</t>
  </si>
  <si>
    <t>[APP10]인하대병원 홈페이지 유지보수</t>
  </si>
  <si>
    <t>R100007</t>
  </si>
  <si>
    <t>[APP2010]한덱스 홈페이지 유지보수</t>
  </si>
  <si>
    <t>R100006</t>
  </si>
  <si>
    <t>[2010] 인하대학교 네트워크장비 유지보수</t>
  </si>
  <si>
    <t>R100005</t>
  </si>
  <si>
    <t>[2010] 인하대학교 백업소프트웨어 유지보수</t>
  </si>
  <si>
    <t>R100004</t>
  </si>
  <si>
    <t>[APP10]대한항공 항공기술연구원 CMMI 컨설팅 용역</t>
  </si>
  <si>
    <t>R100003</t>
  </si>
  <si>
    <t>[2010] 영종 메디컬센터 신축공사 설계용역 계약</t>
  </si>
  <si>
    <t>R100002</t>
  </si>
  <si>
    <t>[2010] 임상시험센터 Lay-out 변경공사</t>
  </si>
  <si>
    <t>R100001</t>
  </si>
  <si>
    <t>[2010] 육군교육사령부 워게임 모델 전산장비 정비 용역</t>
  </si>
  <si>
    <t>육군교육사령부</t>
  </si>
  <si>
    <t>R093050</t>
  </si>
  <si>
    <t>[09A-124]HIST-DPW 판매(송원대학)</t>
  </si>
  <si>
    <t>(주)공간정보측기</t>
  </si>
  <si>
    <t>R093049</t>
  </si>
  <si>
    <t>[09A-99]2009년 서울시 컬러항공사진촬영 및 이미지데이터 구축</t>
  </si>
  <si>
    <t>R093048</t>
  </si>
  <si>
    <t>[09A-97]다목적실용위성 3호 기하품질보증을 위한 정밀정사영상 및 수치표고모델 제작</t>
  </si>
  <si>
    <t>한국항공우주연구원</t>
  </si>
  <si>
    <t>R093047</t>
  </si>
  <si>
    <t>[09A-94]GIS-SW 판매</t>
  </si>
  <si>
    <t>(주)지지에스엔지니어링</t>
  </si>
  <si>
    <t>R093046</t>
  </si>
  <si>
    <t>[자체]서울 및 경기지역 부산 해운대 디지털영상촬영</t>
  </si>
  <si>
    <t>R093045</t>
  </si>
  <si>
    <t>[09A-90]HIST-DPW 판매(정인항측)</t>
  </si>
  <si>
    <t>정인항측</t>
  </si>
  <si>
    <t>R093044</t>
  </si>
  <si>
    <t>[09A-89]에버랜드 리조트 항공레이저측량</t>
  </si>
  <si>
    <t>삼성에버랜드</t>
  </si>
  <si>
    <t>R093043</t>
  </si>
  <si>
    <t>[09A-88]송도 5-7공구 U-city 기반시설 실시설계</t>
  </si>
  <si>
    <t>(주)케이티(폐업)</t>
  </si>
  <si>
    <t>R093042</t>
  </si>
  <si>
    <t>[09A-85]3D듀얼 프로젝터 구매(부평공고)</t>
  </si>
  <si>
    <t>R093041</t>
  </si>
  <si>
    <t>[09A-83]포천복합화력발전소 3차원경관 시뮬레이션제작</t>
  </si>
  <si>
    <t>한국전력기술 주식회사</t>
  </si>
  <si>
    <t>R093040</t>
  </si>
  <si>
    <t>[09A-81 82]항공라이다 및 디지털영상 Data 과천A B지역</t>
  </si>
  <si>
    <t>R093039</t>
  </si>
  <si>
    <t>[미계약]낙동강 살리기 20공구(창녕 의령 합천지구) 항공레이저측량</t>
  </si>
  <si>
    <t>R093038</t>
  </si>
  <si>
    <t>[09A-104]충청호남권 주배관 건설공사항공측량용역</t>
  </si>
  <si>
    <t>R093037</t>
  </si>
  <si>
    <t>[09A-75]HIST-DPW 판매(부평공고)-워크스테이션 및 데스크탑컴퓨터</t>
  </si>
  <si>
    <t>김동규</t>
  </si>
  <si>
    <t>R093036</t>
  </si>
  <si>
    <t>[09A-70]2009년 거제시 지리정보시스템(GIS) 유지보수</t>
  </si>
  <si>
    <t>R093035</t>
  </si>
  <si>
    <t>[09A-65]항공레이저 측량데이터 및 디지털영상데이터-부산시 일원 1식 구매</t>
  </si>
  <si>
    <t>한국지질자원연구원</t>
  </si>
  <si>
    <t>R093034</t>
  </si>
  <si>
    <t>[09A-64]비행운용 시뮬레이터용 항공영상데이터</t>
  </si>
  <si>
    <t>LIG넥스원(주)</t>
  </si>
  <si>
    <t>R093033</t>
  </si>
  <si>
    <t>[09A-63]09년 공간영상정보구축 전문인력 양성교육 도화기임대</t>
  </si>
  <si>
    <t>R093032</t>
  </si>
  <si>
    <t>[09A-62]국가기본도수정(완도지구)</t>
  </si>
  <si>
    <t>R093031</t>
  </si>
  <si>
    <t>[09A-57]HIST-DPW 판매(건설기술연구원)</t>
  </si>
  <si>
    <t>한국건설기술연구원</t>
  </si>
  <si>
    <t>R093030</t>
  </si>
  <si>
    <t>[09A-52]발안 컨트리클럽 항공측량</t>
  </si>
  <si>
    <t>신창기업(주) 발안골프장</t>
  </si>
  <si>
    <t>R093029</t>
  </si>
  <si>
    <t>[09A-51]3차원 국토공간정보 구축(서울시)</t>
  </si>
  <si>
    <t>R093028</t>
  </si>
  <si>
    <t>[09A-50]재해피해지역의 항공영상 촬영</t>
  </si>
  <si>
    <t>R093027</t>
  </si>
  <si>
    <t>[09A-41]2009년도 서귀포시 도로와 지하시설물 공동구축</t>
  </si>
  <si>
    <t>조달청</t>
  </si>
  <si>
    <t>R093026</t>
  </si>
  <si>
    <t>[09A-43]HIST-DPW 판매(맵코리아)</t>
  </si>
  <si>
    <t>(주)맵코리아</t>
  </si>
  <si>
    <t>R093025</t>
  </si>
  <si>
    <t>[09A-42]HIST-DPW 판매(원지리정보)</t>
  </si>
  <si>
    <t>R093024</t>
  </si>
  <si>
    <t>[09A-40]캠프험프리 항공사진촬영 및 정사영상지도제작</t>
  </si>
  <si>
    <t>미극동건설공병단</t>
  </si>
  <si>
    <t>R093023</t>
  </si>
  <si>
    <t>[09A-39]다목적 디지털지리정보구축(영암지구)</t>
  </si>
  <si>
    <t>R093022</t>
  </si>
  <si>
    <t>[09A-34]대산항 및 태안항 항만해역 정밀수로측량</t>
  </si>
  <si>
    <t>R093021</t>
  </si>
  <si>
    <t>[09A-36,60]1/1000 수치지형도 수정제작(상주지구)</t>
  </si>
  <si>
    <t>R093020</t>
  </si>
  <si>
    <t>[09A-33]1/1,000 수치지형도 수정제작(거제지구)</t>
  </si>
  <si>
    <t>R093019</t>
  </si>
  <si>
    <t>[09A-25]오산시 하수관거 GIS DB구축 사업</t>
  </si>
  <si>
    <t>오산시청</t>
  </si>
  <si>
    <t>R093018</t>
  </si>
  <si>
    <t>[09A-26]09년 영상정보시스템 유지보수</t>
  </si>
  <si>
    <t>R093016</t>
  </si>
  <si>
    <t>[09A-37]온두라스 지도제작(현대엔지니어링)</t>
  </si>
  <si>
    <t>현대엔지니어링</t>
  </si>
  <si>
    <t>R093015</t>
  </si>
  <si>
    <t>[09A-21]2009년 서울시 1/1,000 수치지도 수시갱신사업</t>
  </si>
  <si>
    <t>R093014</t>
  </si>
  <si>
    <t>[09A-18]GIS S/W판매(반도지리정보)</t>
  </si>
  <si>
    <t>반도지리정보</t>
  </si>
  <si>
    <t>R093013</t>
  </si>
  <si>
    <t>[09A-08]의왕시 상수관리시스템 유지보수</t>
  </si>
  <si>
    <t>의왕시청</t>
  </si>
  <si>
    <t>R093012</t>
  </si>
  <si>
    <t>[09A-09]HIST-DPW(수치사진측량시스템) 판매-동아항업</t>
  </si>
  <si>
    <t>R093011</t>
  </si>
  <si>
    <t>[09A-15]국외업무수행자(수치사진측량) 연수과정</t>
  </si>
  <si>
    <t>대한지적공사 지적연구원</t>
  </si>
  <si>
    <t>R093010</t>
  </si>
  <si>
    <t>[09A-14]여수 도시관리계획 지형도면고시용역</t>
  </si>
  <si>
    <t>(주)신한항업</t>
  </si>
  <si>
    <t>R093009</t>
  </si>
  <si>
    <t>[09A-12]파일럿테스트부지 LiDAR촬영</t>
  </si>
  <si>
    <t>R093008</t>
  </si>
  <si>
    <t>[09A-10]금성 봉양 안계면 도시계획지역 항공사진측량 및 수치지도제작 용역</t>
  </si>
  <si>
    <t>의성군청</t>
  </si>
  <si>
    <t>R093007</t>
  </si>
  <si>
    <t>[09A-13]엔젤 컨트리클럽 골프장 항측</t>
  </si>
  <si>
    <t>R093006</t>
  </si>
  <si>
    <t>[09A-19]송도 1~4공구 u-City구축 실시설계 용역</t>
  </si>
  <si>
    <t>케이티텔레캅주식회사</t>
  </si>
  <si>
    <t>R093005</t>
  </si>
  <si>
    <t>[09A-05]남양주시 지리정보시스템 통합 유지보수</t>
  </si>
  <si>
    <t>R093004</t>
  </si>
  <si>
    <t>[09A-06]학진-항공 LiDAR 자료를 이용한 디지털영상 및 라이더 데이터 취득</t>
  </si>
  <si>
    <t>정재욱</t>
  </si>
  <si>
    <t>동아대학교 산학협력단</t>
  </si>
  <si>
    <t>R093003</t>
  </si>
  <si>
    <t>[09A-07]안양시 무허가 단속용 항공사진촬영 및 판독용역</t>
  </si>
  <si>
    <t>안양시청</t>
  </si>
  <si>
    <t>R093002</t>
  </si>
  <si>
    <t>[09A-01]포항시 지리정보시스템 유지보수</t>
  </si>
  <si>
    <t>R093001</t>
  </si>
  <si>
    <t>[09A-02]HIST-DPW 판매(대구과학대학)</t>
  </si>
  <si>
    <t>대구과학대학</t>
  </si>
  <si>
    <t>R090068</t>
  </si>
  <si>
    <t>[09A-69]남원읍일원 GIS DB구축</t>
  </si>
  <si>
    <t>R090067</t>
  </si>
  <si>
    <t>[09A-137]HIST-DPW 판매(동아대학교)</t>
  </si>
  <si>
    <t>동아대학교</t>
  </si>
  <si>
    <t>R090066</t>
  </si>
  <si>
    <t>[09A-130]3차원 공간정보기반 신산업 창출모델 연구</t>
  </si>
  <si>
    <t>R090065</t>
  </si>
  <si>
    <t>[09A-129]미등록도서 세부도화사업</t>
  </si>
  <si>
    <t>R090064</t>
  </si>
  <si>
    <t>[09A-128]HIST-DPW 판매(상은지리정보)</t>
  </si>
  <si>
    <t>상은지리정보</t>
  </si>
  <si>
    <t>R090063</t>
  </si>
  <si>
    <t>[09A-127]2010년 거제시 지리정보시스템 유지보수</t>
  </si>
  <si>
    <t>R090062</t>
  </si>
  <si>
    <t>[09A-126]2009년 서울시 항공사진 판독용역(제1지구)</t>
  </si>
  <si>
    <t>R090061</t>
  </si>
  <si>
    <t>[09A-125]HIST-DPW 판매(두울지리정보)</t>
  </si>
  <si>
    <t>두울지리정보</t>
  </si>
  <si>
    <t>R090060</t>
  </si>
  <si>
    <t>[09A-123]대전시 항공레이저측량 데이터 및 디지털영상데이터</t>
  </si>
  <si>
    <t>(주)쎄트렉아이</t>
  </si>
  <si>
    <t>R090059</t>
  </si>
  <si>
    <t>[09A-122]항공레이저측량 데이터 및 디지털영상데이터</t>
  </si>
  <si>
    <t>R090058</t>
  </si>
  <si>
    <t>[09A-121]서울시 전역 디지털영상 구매</t>
  </si>
  <si>
    <t>R090057</t>
  </si>
  <si>
    <t>[09A-120]을숙도 복원습지변동조사 및 관리방안 제안관련 DEM 및 정사영상제작</t>
  </si>
  <si>
    <t>R090056</t>
  </si>
  <si>
    <t>[09A-119]남강댐 방유량변화에 따른 하류지역의 수리 안전성 분석연구 라이다측량</t>
  </si>
  <si>
    <t>진주산업대학교 산학협력단</t>
  </si>
  <si>
    <t>R090055</t>
  </si>
  <si>
    <t>[09A-117]2009년 경상남도 개발제한구역 항공사진 촬영용역</t>
  </si>
  <si>
    <t>경남도청</t>
  </si>
  <si>
    <t>R090054</t>
  </si>
  <si>
    <t>[09A-113]인천북항 잡화부두 준설공사 수로고시측량</t>
  </si>
  <si>
    <t>부경산업개발</t>
  </si>
  <si>
    <t>R090053</t>
  </si>
  <si>
    <t>[09A-109]HIST-DPW 판매(선진지리정보)</t>
  </si>
  <si>
    <t>R090052</t>
  </si>
  <si>
    <t>[09A-106]수원시 디지털항공사진촬영 DB구축 및 변동건축물 판독용역</t>
  </si>
  <si>
    <t>수원시청</t>
  </si>
  <si>
    <t>R090051</t>
  </si>
  <si>
    <t>[09A-103]국립백두대간 고산수목원 조성사업 기본계획 및 도시관리계획수립용역</t>
  </si>
  <si>
    <t>R090050</t>
  </si>
  <si>
    <t>[APP2010]그룹사 홈페이지 유지보수</t>
  </si>
  <si>
    <t>R090049</t>
  </si>
  <si>
    <t>[2010] 인하대 정석학술정보관 네트워크 및 보안장비 유지보수</t>
  </si>
  <si>
    <t>R090048</t>
  </si>
  <si>
    <t>R090047</t>
  </si>
  <si>
    <t>대한항공 ERP시스템 Non-Oracle S/W 유지보수</t>
  </si>
  <si>
    <t>R090046</t>
  </si>
  <si>
    <t>[APP09]트랙슨 항공물류정보시스템(AIRCIS) 고도화 및 운영 용역</t>
  </si>
  <si>
    <t>김은주</t>
  </si>
  <si>
    <t>R090045</t>
  </si>
  <si>
    <t>[APP09]글로비스 물류종합상황실 시스템 1단계 구축</t>
  </si>
  <si>
    <t>오토에버시스템즈</t>
  </si>
  <si>
    <t>R090044</t>
  </si>
  <si>
    <t>[2009] 인하대병원 집중치료실 네트워크 증설공사</t>
  </si>
  <si>
    <t>R090043</t>
  </si>
  <si>
    <t>한덱스 전산시스템(물류/택배) 이전설치</t>
  </si>
  <si>
    <t>R090042</t>
  </si>
  <si>
    <t>[2009] 한진제주퓨어워터 취수정/감시정 광케이블 설치공사</t>
  </si>
  <si>
    <t>R090041</t>
  </si>
  <si>
    <t>[2009] 인하대병원 인천국제공항 의료센터 LAY-OUT 변경공사</t>
  </si>
  <si>
    <t>R090040</t>
  </si>
  <si>
    <t>[2009] 대한항공 안내전광판 교체</t>
  </si>
  <si>
    <t>R090039</t>
  </si>
  <si>
    <t>[2009] 인천공항 수하물 도착장내 CCTV 설치공사</t>
  </si>
  <si>
    <t>R090038</t>
  </si>
  <si>
    <t>[2009] S-OIL(주) 전산기계실 케이블증설 작업</t>
  </si>
  <si>
    <t>R090037</t>
  </si>
  <si>
    <t>[APP09]TASF(Travel Agent Service Fee) 기능 개발(추가 개발)</t>
  </si>
  <si>
    <t>R090036</t>
  </si>
  <si>
    <t>대한항공 MUAV 2차 전산투자 계약</t>
  </si>
  <si>
    <t>R090035</t>
  </si>
  <si>
    <t>S-OIL(주)충남 대산 임시사무실 개소 관련 임시 Network 구축 및 공사</t>
  </si>
  <si>
    <t>R090034</t>
  </si>
  <si>
    <t>[2009] 제동목장 보안시스템 구축</t>
  </si>
  <si>
    <t>R090033</t>
  </si>
  <si>
    <t>[2009] 대한항공 대리점 전담그룹 전화시스템 설치</t>
  </si>
  <si>
    <t>R090032</t>
  </si>
  <si>
    <t>[2009] 인하공업전문대학 네트워크장비 유지보수</t>
  </si>
  <si>
    <t>R090031</t>
  </si>
  <si>
    <t>[APP2009]인천 SILO 운영관리시스템 개선 구축</t>
  </si>
  <si>
    <t>R090030</t>
  </si>
  <si>
    <t>[2009] 인하대학교병원 국제진료센터 신설공사</t>
  </si>
  <si>
    <t>R090029</t>
  </si>
  <si>
    <t>[APP2009]유니컨버스 빌링시스템 유지보수</t>
  </si>
  <si>
    <t>R090028</t>
  </si>
  <si>
    <t>S-Oil 온라인 자율점검 시스템 구축</t>
  </si>
  <si>
    <t>R090027</t>
  </si>
  <si>
    <t>S-OIL 신인사시스템 전자결재 연동양식 24종 개발</t>
  </si>
  <si>
    <t>R090026</t>
  </si>
  <si>
    <t>[2009] KAL 중고도무인기(MUAV) 종합군수지원(ILS) 사업</t>
  </si>
  <si>
    <t>R090025</t>
  </si>
  <si>
    <t>[2009] 인하대학교 정석학술정보관 전산시스템 유지보수</t>
  </si>
  <si>
    <t>R090024</t>
  </si>
  <si>
    <t>[2009] 인하대병원 지상3층 간호부 이전공사</t>
  </si>
  <si>
    <t>R090023</t>
  </si>
  <si>
    <t>대한항공 MUAV PLM 시스템 구축 사업</t>
  </si>
  <si>
    <t>R090022</t>
  </si>
  <si>
    <t>[2009] 한국항공대 백업시스템 유지보수</t>
  </si>
  <si>
    <t>R090021</t>
  </si>
  <si>
    <t>한진지티앤에스 네트워크 구축</t>
  </si>
  <si>
    <t>강덕호</t>
  </si>
  <si>
    <t>R090020</t>
  </si>
  <si>
    <t>[APP2009]그룹사 홈페이지 유지보수</t>
  </si>
  <si>
    <t>R090019</t>
  </si>
  <si>
    <t>[APP2009]항공우주사업본부 홈페이지 구축</t>
  </si>
  <si>
    <t>R090018</t>
  </si>
  <si>
    <t>한국항공대 보안시스템 유지보수 사업</t>
  </si>
  <si>
    <t>R090017</t>
  </si>
  <si>
    <t>[09A-22]양산시 도시관리계획 지형측량 및 지형도면 고시용역</t>
  </si>
  <si>
    <t>양산시청</t>
  </si>
  <si>
    <t>R090016</t>
  </si>
  <si>
    <t>[APP2009]한국공항/제주민속촌 웹사이트 개편</t>
  </si>
  <si>
    <t>R090015</t>
  </si>
  <si>
    <t>한진택배 업무개선(PDA App 및 기타부문) 시스템 유지보수</t>
  </si>
  <si>
    <t>R090014</t>
  </si>
  <si>
    <t>[2009] 한국항공대학교 정보보안장비 유지보수</t>
  </si>
  <si>
    <t>R090013</t>
  </si>
  <si>
    <t>공군 전산장비(PC) 정비용역</t>
  </si>
  <si>
    <t>공군중앙관리단</t>
  </si>
  <si>
    <t>R090012</t>
  </si>
  <si>
    <t>[APP09-2]진에어 국제선 여객시스템 구축 PJT</t>
  </si>
  <si>
    <t>R090011</t>
  </si>
  <si>
    <t>[2009] 한국항공대학교 네트워크 장비 유지보수</t>
  </si>
  <si>
    <t>R090010</t>
  </si>
  <si>
    <t>[2009] 하얏트리젠시인천 호텔 네트워크 유지보수</t>
  </si>
  <si>
    <t>R090009</t>
  </si>
  <si>
    <t>하얏트리젠시 인천 시스템(서버)유지보수_2009</t>
  </si>
  <si>
    <t>R090008</t>
  </si>
  <si>
    <t>[APP2009]KE 서울 TRAVEL PLANNER 시스템 구축</t>
  </si>
  <si>
    <t>R090007</t>
  </si>
  <si>
    <t>[2009년] 한국항공대 NTWK 장비 유지보수</t>
  </si>
  <si>
    <t>R090006</t>
  </si>
  <si>
    <t>[APP2009]우즈베키스탄 차량관제시스템 구축 PJT</t>
  </si>
  <si>
    <t>R090005</t>
  </si>
  <si>
    <t>인하대병원 정석빌딩 A동 5층 지역임상시험센터 신설공사</t>
  </si>
  <si>
    <t>R090004</t>
  </si>
  <si>
    <t>[APP09]인하대병원 홈페이지 유지보수</t>
  </si>
  <si>
    <t>R090003</t>
  </si>
  <si>
    <t>국군기무사령부 전산장비 유지보수 용역</t>
  </si>
  <si>
    <t>국군기무사령부</t>
  </si>
  <si>
    <t>R090002</t>
  </si>
  <si>
    <t>[APP2009]THE CLASSIC 500 공용존 및 세대별 생체정보 측정시스템 구축</t>
  </si>
  <si>
    <t>홍경의</t>
  </si>
  <si>
    <t>건국AMC THE CLASSIC 500</t>
  </si>
  <si>
    <t>R090001</t>
  </si>
  <si>
    <t>도시철도공사 7호선공릉외7역승강편의시설설치(3공구)통신공사</t>
  </si>
  <si>
    <t>서울도시철도공사</t>
  </si>
  <si>
    <t>R084007</t>
  </si>
  <si>
    <t>[2009] TOPASRO2 전환 업무지원 용역</t>
  </si>
  <si>
    <t>R084006</t>
  </si>
  <si>
    <t>인천공항2단계 항공사 사무실 이전작업</t>
  </si>
  <si>
    <t>R084004</t>
  </si>
  <si>
    <t>인하대병원 N/W 구축공사</t>
  </si>
  <si>
    <t>R084003</t>
  </si>
  <si>
    <t>인천지방경찰청 종합정보장비 유지보수</t>
  </si>
  <si>
    <t>R084002</t>
  </si>
  <si>
    <t>엠보이스텔레소프트 장비판매</t>
  </si>
  <si>
    <t>R084001</t>
  </si>
  <si>
    <t>KAL IBM OP 기계실운영 계약</t>
  </si>
  <si>
    <t>김길상</t>
  </si>
  <si>
    <t>R083052</t>
  </si>
  <si>
    <t>[08A-102]광주전남 공동국가산업단지 항공측량</t>
  </si>
  <si>
    <t>한국토지공사 광주전남지역본부</t>
  </si>
  <si>
    <t>R083051</t>
  </si>
  <si>
    <t>[08A-100]항공라이다측량 및 디지털영상에 의한 미등록섬 조사</t>
  </si>
  <si>
    <t>R083050</t>
  </si>
  <si>
    <t>[08A-99]HIST-DPW 판매(아세아항측)</t>
  </si>
  <si>
    <t>R083049</t>
  </si>
  <si>
    <t>[08A-97]한강수계 하천횡단측량 등 기술용역</t>
  </si>
  <si>
    <t>(주)엘피티</t>
  </si>
  <si>
    <t>R083048</t>
  </si>
  <si>
    <t>[08A-96]HIST-DPW 판매(세일CRS)</t>
  </si>
  <si>
    <t>세일CRS</t>
  </si>
  <si>
    <t>R083047</t>
  </si>
  <si>
    <t>[08A-91]오송생명과학단지내 도로 및 지하시설물 구축</t>
  </si>
  <si>
    <t>청원군청</t>
  </si>
  <si>
    <t>R083046</t>
  </si>
  <si>
    <t>[08A-93]2008년 특성화고 기자재(DPW) 도입(부평공고)</t>
  </si>
  <si>
    <t>세계공업(주)</t>
  </si>
  <si>
    <t>R083045</t>
  </si>
  <si>
    <t>[08A-90]고양시 00지구 골프장부지 항공측량용역</t>
  </si>
  <si>
    <t>(주)일도엔지니어링</t>
  </si>
  <si>
    <t>R083043</t>
  </si>
  <si>
    <t>[08A-87]밀양시 수치지도 검색시스템 업그레이드용역</t>
  </si>
  <si>
    <t>밀양시청</t>
  </si>
  <si>
    <t>R083042</t>
  </si>
  <si>
    <t>[08A-83]창원 상하수 건설관리시스템 확대개편</t>
  </si>
  <si>
    <t>R083041</t>
  </si>
  <si>
    <t>[08-A85]HIST-DPW 판매(동양ENG)</t>
  </si>
  <si>
    <t>동양엔지니어링</t>
  </si>
  <si>
    <t>R083040</t>
  </si>
  <si>
    <t>[08A-80]HIST-DPW 판매(재경ENG)</t>
  </si>
  <si>
    <t>재경ENG</t>
  </si>
  <si>
    <t>R083039</t>
  </si>
  <si>
    <t>[08A-79]경북도청 지리정보포탈시스템 정보전략계획(ISP) 수립</t>
  </si>
  <si>
    <t>경북도청</t>
  </si>
  <si>
    <t>R083037</t>
  </si>
  <si>
    <t>[08A-70]통합기준점측량(경기지구)</t>
  </si>
  <si>
    <t>R083036</t>
  </si>
  <si>
    <t>[08A-68]충해공원 묘지관리 DB구축사업 용역</t>
  </si>
  <si>
    <t>R083035</t>
  </si>
  <si>
    <t>[08A-72]항공LiDAR 및 디지털영상 DATA(인제지역)</t>
  </si>
  <si>
    <t>R083033</t>
  </si>
  <si>
    <t>[08A-66]2008년도 행정정보 DB구축사업(U-통계서비스 인프라구축)</t>
  </si>
  <si>
    <t>한국정보사회진흥원</t>
  </si>
  <si>
    <t>R083032</t>
  </si>
  <si>
    <t>[08A-60]2008년 경북도 인공어초 어장관리조사 용역</t>
  </si>
  <si>
    <t>윤목희</t>
  </si>
  <si>
    <t>국립수산과학원남해수산연구소</t>
  </si>
  <si>
    <t>R083031</t>
  </si>
  <si>
    <t>[08A-61,76]HIST-DPW 판매(우리강산시스템)</t>
  </si>
  <si>
    <t>R083030</t>
  </si>
  <si>
    <t>[08A-59]지하시설물(통신,전력) 표본조사용역</t>
  </si>
  <si>
    <t>양천구청</t>
  </si>
  <si>
    <t>R083029</t>
  </si>
  <si>
    <t>[08A-57]항공위성영상기반 피해정보 및 공간영상 DB구축</t>
  </si>
  <si>
    <t>R083028</t>
  </si>
  <si>
    <t>[08A-53]국가기준점 정보시스템 유지보수</t>
  </si>
  <si>
    <t>R083027</t>
  </si>
  <si>
    <t>[08A-49]자유무역지구 2단계조성공사 기본 및 실시설계용역(항공측량)</t>
  </si>
  <si>
    <t>수성엔지니어링</t>
  </si>
  <si>
    <t>R083026</t>
  </si>
  <si>
    <t>[08A-41]154kv 송도복합화력 지중선로 경과지측량</t>
  </si>
  <si>
    <t>서정철</t>
  </si>
  <si>
    <t>한국전력기술공사</t>
  </si>
  <si>
    <t>R083025</t>
  </si>
  <si>
    <t>[08A-39]국외 업무수행자 연수과정(수준측량)</t>
  </si>
  <si>
    <t>R083024</t>
  </si>
  <si>
    <t>[08A-38]HIST-DPW 판매(선영종합엔지니어링)</t>
  </si>
  <si>
    <t>(주)선영종합엔지니어링</t>
  </si>
  <si>
    <t>R083023</t>
  </si>
  <si>
    <t>[08A-36]원주시 1/1,000 수치지도 및 GIS DB 세계측지계 변환사업</t>
  </si>
  <si>
    <t>원주시</t>
  </si>
  <si>
    <t>R083022</t>
  </si>
  <si>
    <t>[08A-33,48]2008년 수도GIS DB 구축</t>
  </si>
  <si>
    <t>R083021</t>
  </si>
  <si>
    <t>칠곡군 항공측량 및 정사영상지도 제작</t>
  </si>
  <si>
    <t>칠곡군청</t>
  </si>
  <si>
    <t>R083020</t>
  </si>
  <si>
    <t>[08A-35]2008년 제1차 부산시 항공사진(칼라) 촬영용역</t>
  </si>
  <si>
    <t>부산광역시청</t>
  </si>
  <si>
    <t>R083019</t>
  </si>
  <si>
    <t>[08A-34]한계농지 자원조사시스템 개발용역</t>
  </si>
  <si>
    <t>한국농촌공사</t>
  </si>
  <si>
    <t>R083018</t>
  </si>
  <si>
    <t>[08A-44,50]포항-울산간 수치지형도 추가제작</t>
  </si>
  <si>
    <t>(주)한석엔지니어링</t>
  </si>
  <si>
    <t>R083017</t>
  </si>
  <si>
    <t>[08A-32]HIST-DPW 판매(대한지적공사)</t>
  </si>
  <si>
    <t>R083016</t>
  </si>
  <si>
    <t>[08A-30]수치도화 용역</t>
  </si>
  <si>
    <t>R083015</t>
  </si>
  <si>
    <t>[08A-29]2008년 신규지구 항공촬영</t>
  </si>
  <si>
    <t>SH공사</t>
  </si>
  <si>
    <t>R083014</t>
  </si>
  <si>
    <t>[09A-54]서남해안 관광레저도시 개발사업</t>
  </si>
  <si>
    <t>서남해안기업도시개발(주)</t>
  </si>
  <si>
    <t>R083013</t>
  </si>
  <si>
    <t>[08A-28]항공레이저측량 및 디지털 영상데이터</t>
  </si>
  <si>
    <t>R083012</t>
  </si>
  <si>
    <t>[08A-24]평산레저 골프장조성 항공사진측량 용역</t>
  </si>
  <si>
    <t>(주)평산레저</t>
  </si>
  <si>
    <t>R083011</t>
  </si>
  <si>
    <t>[08A-21]거제 면지역 GIS DB 구축 및 변동자료 갱신(유지관리)사업</t>
  </si>
  <si>
    <t>R083010</t>
  </si>
  <si>
    <t>[08A-22]미라지개발 골프장조성 항공사진측량 용역</t>
  </si>
  <si>
    <t>미라지개발(주)</t>
  </si>
  <si>
    <t>R083009</t>
  </si>
  <si>
    <t>[08A-27]마곡지구 영상지도 제작</t>
  </si>
  <si>
    <t>R083008</t>
  </si>
  <si>
    <t>[08A-20]항공라이다 데이터처리</t>
  </si>
  <si>
    <t>R083007</t>
  </si>
  <si>
    <t>[08A-19]천안시 상수도관리시스템 유지보수</t>
  </si>
  <si>
    <t>천안시 수도사업소</t>
  </si>
  <si>
    <t>R083006</t>
  </si>
  <si>
    <t>[08A-08]의왕시 상수관리시스템 유지보수</t>
  </si>
  <si>
    <t>R083005</t>
  </si>
  <si>
    <t>[08A-06]08년 영상정보시스템 유지보수용역</t>
  </si>
  <si>
    <t>R083004</t>
  </si>
  <si>
    <t>[08A-03]멀티센서 정보이용 해안선변화 자동추출기법에 대한 항공사진 및 위성영상데이터 취득</t>
  </si>
  <si>
    <t>R083003</t>
  </si>
  <si>
    <t>[08A-02]멀티센서 정보이용 해안선변화 자동추출기법에 대한 라이다데이터 취득</t>
  </si>
  <si>
    <t>R083002</t>
  </si>
  <si>
    <t>[08A-01]포항시 지리정보시스템 유지보수</t>
  </si>
  <si>
    <t>R083001</t>
  </si>
  <si>
    <t>[판매]HIST-DPW 판매(천우,원지리,신화,지오매틱,미래)</t>
  </si>
  <si>
    <t>R080057</t>
  </si>
  <si>
    <t>[09A-24]345kv 새만금 송전선로 3차원 경관 시뮬레이션제작</t>
  </si>
  <si>
    <t>R080056</t>
  </si>
  <si>
    <t>[08A-115]통영시 디지털 항공사진촬영 및 칼라 정사영상구축</t>
  </si>
  <si>
    <t>통영시청</t>
  </si>
  <si>
    <t>R080055</t>
  </si>
  <si>
    <t>[08A-108]2008년 수로조사용역</t>
  </si>
  <si>
    <t>R080054</t>
  </si>
  <si>
    <t>[08A-105]HIST-DPW 판매(우리강산시스템)</t>
  </si>
  <si>
    <t>R080052</t>
  </si>
  <si>
    <t>인하대학교 정석학술정보관 네트워크 및 보안장비 유지보수사업</t>
  </si>
  <si>
    <t>R080051</t>
  </si>
  <si>
    <t>인하대병원 지상1층 호흡기 센터 신설공사(정보통신공사)</t>
  </si>
  <si>
    <t>R080050</t>
  </si>
  <si>
    <t>인하대학교 RFID System 구축</t>
  </si>
  <si>
    <t>R080049</t>
  </si>
  <si>
    <t>[시스템 구축] S-Oil 그룹웨어시스템 구축 PJT</t>
  </si>
  <si>
    <t>R080048</t>
  </si>
  <si>
    <t>[APP08]대한항공 ERP관련 S/W 유지보수</t>
  </si>
  <si>
    <t>R080047</t>
  </si>
  <si>
    <t>[APP08]김포 u-City 실시설계 용역</t>
  </si>
  <si>
    <t>R080046</t>
  </si>
  <si>
    <t>인하대병원 영문사이트 구축</t>
  </si>
  <si>
    <t>R080045</t>
  </si>
  <si>
    <t>대한항공 대리점 신용카드 인증시스템 구축 PJT</t>
  </si>
  <si>
    <t>R080044</t>
  </si>
  <si>
    <t>[08A-84]극지역측량 및 지도제작 기본계획수립 연구</t>
  </si>
  <si>
    <t>R080043</t>
  </si>
  <si>
    <t>[내부거래] 장애물 정밀측량 및 관리시스템(3D) 구축</t>
  </si>
  <si>
    <t>한국공항공사</t>
  </si>
  <si>
    <t>R080042</t>
  </si>
  <si>
    <t>[APP2008]대한항공 KHP 군수지원체계 보고서 생산 PJT</t>
  </si>
  <si>
    <t>R080041</t>
  </si>
  <si>
    <t>자유무역지역(2단계) 단지조성 기본 및 실시 설계 용역</t>
  </si>
  <si>
    <t>은세기술(주)</t>
  </si>
  <si>
    <t>R080040</t>
  </si>
  <si>
    <t>[APP2008]유니컨버스 빌링시스템 유지보수</t>
  </si>
  <si>
    <t>R080039</t>
  </si>
  <si>
    <t>서귀포KAL호텔 Front Office &amp;amp; POS system 구축</t>
  </si>
  <si>
    <t>R080038</t>
  </si>
  <si>
    <t>[08A-75]시흥시 공업지역정비 개발계획수립 및 도시관리계획 변경용역</t>
  </si>
  <si>
    <t>(주)서진엔지니어링</t>
  </si>
  <si>
    <t>R080037</t>
  </si>
  <si>
    <t>고향맛편 웹사이트 및 지원시스템 유지보수</t>
  </si>
  <si>
    <t>R080036</t>
  </si>
  <si>
    <t>인하대병원 혈관촬영실신설 및 ANGIO 장비 설치관련 공간 재배치 통신공사</t>
  </si>
  <si>
    <t>R080035</t>
  </si>
  <si>
    <t>인하대학교병원 교환기교체</t>
  </si>
  <si>
    <t>R080034</t>
  </si>
  <si>
    <t>[08A-71]항공LiDAR 및 디지털영상 DATA(시흥지역)</t>
  </si>
  <si>
    <t>R080033</t>
  </si>
  <si>
    <t>대한항공 정보보안 컨설팅 용역</t>
  </si>
  <si>
    <t>R080032</t>
  </si>
  <si>
    <t>인하공업전문대학 보안 및 서버장비 유지보수</t>
  </si>
  <si>
    <t>R080031</t>
  </si>
  <si>
    <t>인하대병원 당뇨&amp;amp;비만센터 신설 통신공사</t>
  </si>
  <si>
    <t>R080030</t>
  </si>
  <si>
    <t>항공대 백업시스템 유지보수</t>
  </si>
  <si>
    <t>R080029</t>
  </si>
  <si>
    <t>인하대학교 정석학술정보관 전산시스템 유지보수</t>
  </si>
  <si>
    <t>R080028</t>
  </si>
  <si>
    <t>제주KAL호텔 Front Office &amp;amp; POS system 구축</t>
  </si>
  <si>
    <t>R080027</t>
  </si>
  <si>
    <t>[APP2008]대한항공 ERP 컨설팅 서비스(추가)</t>
  </si>
  <si>
    <t>R080026</t>
  </si>
  <si>
    <t>[APP2008]대한항공 안전관리시스템(Safety Management System) 구축</t>
  </si>
  <si>
    <t>R080025</t>
  </si>
  <si>
    <t>(주)한진 렌터카 시스템 기능개선</t>
  </si>
  <si>
    <t>R080024</t>
  </si>
  <si>
    <t>한진택배 업무개선 시스템 유지보수 -PDA</t>
  </si>
  <si>
    <t>R080023</t>
  </si>
  <si>
    <t>트랙슨코리아 MSB 시스템 안정화 및 유지보수 지원</t>
  </si>
  <si>
    <t>R080022</t>
  </si>
  <si>
    <t>한국항공대학교 보안시스템 유지보수</t>
  </si>
  <si>
    <t>R080021</t>
  </si>
  <si>
    <t>에어코리아 예약/탑승/운항시스템 구축</t>
  </si>
  <si>
    <t>R080020</t>
  </si>
  <si>
    <t>한국항공대 NTWK 장비 유지보수</t>
  </si>
  <si>
    <t>R080019</t>
  </si>
  <si>
    <t>인천 하얏트호텔 NW유지보수</t>
  </si>
  <si>
    <t>R080018</t>
  </si>
  <si>
    <t>대한항공 e-Ticket 통합DB OAL Proration개발</t>
  </si>
  <si>
    <t>R080017</t>
  </si>
  <si>
    <t>인하대병원 홈페이지 유지보수</t>
  </si>
  <si>
    <t>R080016</t>
  </si>
  <si>
    <t>하얏트리젠시인천 시스템 유지보수</t>
  </si>
  <si>
    <t>KAL호텔네트웍(하얏트인천)</t>
  </si>
  <si>
    <t>R080015</t>
  </si>
  <si>
    <t>인하대병원 Web Service 홈페이지 추가 개발</t>
  </si>
  <si>
    <t>R080014</t>
  </si>
  <si>
    <t>에스오일 PC/PRINTER/SCANNER 유지정비 용역</t>
  </si>
  <si>
    <t>R080013</t>
  </si>
  <si>
    <t>유니컨버스 홈페이지 구축</t>
  </si>
  <si>
    <t>R080012</t>
  </si>
  <si>
    <t>대한항공 Weight &amp;amp; Balance 개발(추가분)</t>
  </si>
  <si>
    <t>R080011</t>
  </si>
  <si>
    <t>대한항공 전사통합 기재DB 구축(추가분)</t>
  </si>
  <si>
    <t>R080010</t>
  </si>
  <si>
    <t>서울위생병원 PACS 유지보수</t>
  </si>
  <si>
    <t>삼육서울병원</t>
  </si>
  <si>
    <t>R080009</t>
  </si>
  <si>
    <t>시화MTRV U-City 구축 전략계획 수립</t>
  </si>
  <si>
    <t>R080008</t>
  </si>
  <si>
    <t>대한항공 전산센타 비상전원설비 이중화 구축</t>
  </si>
  <si>
    <t>R080007</t>
  </si>
  <si>
    <t>인하대 퓨전형교육시스템 구축</t>
  </si>
  <si>
    <t>R080006</t>
  </si>
  <si>
    <t>한국항공대 학생생활관 신축공사 중 정보통신공사</t>
  </si>
  <si>
    <t>(주)보미건설</t>
  </si>
  <si>
    <t>R080005</t>
  </si>
  <si>
    <t>대한항공 신갈 체력단련실 신축 정보통신공사</t>
  </si>
  <si>
    <t>R080004</t>
  </si>
  <si>
    <t>인하공전 행정정보화 기본계획 수립 용역</t>
  </si>
  <si>
    <t>R080003</t>
  </si>
  <si>
    <t>인천공항 2단계 iMUSE 구축 사업</t>
  </si>
  <si>
    <t>R080002</t>
  </si>
  <si>
    <t>한국공항공사 지방지역 Network 유지보수</t>
  </si>
  <si>
    <t>(주)진두아이에스</t>
  </si>
  <si>
    <t>R074004</t>
  </si>
  <si>
    <t>인하대병원 네트워크 구축공사</t>
  </si>
  <si>
    <t>R074003</t>
  </si>
  <si>
    <t>인하대병원 임상연구센터 NW이전공사</t>
  </si>
  <si>
    <t>R074002</t>
  </si>
  <si>
    <t>R074001</t>
  </si>
  <si>
    <t>R073039</t>
  </si>
  <si>
    <t>[07A-54]의성읍 도시계획지역 항공사진측량 및 수치지도제작</t>
  </si>
  <si>
    <t>조용준</t>
  </si>
  <si>
    <t>R073038</t>
  </si>
  <si>
    <t>[07A-45]강화군 군사시설보호구역(행정위탁지도) 제작</t>
  </si>
  <si>
    <t>강화군청</t>
  </si>
  <si>
    <t>R073036</t>
  </si>
  <si>
    <t>[07A-52]특수지역 지리정보구축사업(항공라이다측량부문)</t>
  </si>
  <si>
    <t>R073035</t>
  </si>
  <si>
    <t>[07A-49]인천시 어초어장관리사업 어초조사용역(2차)</t>
  </si>
  <si>
    <t>R073033</t>
  </si>
  <si>
    <t>[07A-41]칼라항공필름제작(신한항업:6.22)</t>
  </si>
  <si>
    <t>R073032</t>
  </si>
  <si>
    <t>[07A-47]제주덕천 풍력예정지 수치지도 작성 전산화</t>
  </si>
  <si>
    <t>KTN</t>
  </si>
  <si>
    <t>R073028</t>
  </si>
  <si>
    <t>[07A-27]국가기본도 수정(여주지구)</t>
  </si>
  <si>
    <t>R073027</t>
  </si>
  <si>
    <t>[07A-30]인제군 공간정보지원시스템 구축(3차)</t>
  </si>
  <si>
    <t>(주)쓰리지코어</t>
  </si>
  <si>
    <t>R073022</t>
  </si>
  <si>
    <t>[07A-24]아산시 도시계획 및 항공측량</t>
  </si>
  <si>
    <t>R073021</t>
  </si>
  <si>
    <t>[07A-26]칼라항공필름제작(삼아항업)</t>
  </si>
  <si>
    <t>R073020</t>
  </si>
  <si>
    <t>[07A-25]칼라항공필름 제작(신한)</t>
  </si>
  <si>
    <t>R073019</t>
  </si>
  <si>
    <t>[07A-22]의왕시 지리정보 상수관리시스템 유지보수</t>
  </si>
  <si>
    <t>R073017</t>
  </si>
  <si>
    <t>[07A-23]제주서귀포 혁신도시 택지개발사업 항측(삼아)</t>
  </si>
  <si>
    <t>R073016</t>
  </si>
  <si>
    <t>[07A-19]부산시 도시정보시스템 변동자료갱신</t>
  </si>
  <si>
    <t>R073015</t>
  </si>
  <si>
    <t>[07A-21]범아 칼라항공필름제작</t>
  </si>
  <si>
    <t>R073014</t>
  </si>
  <si>
    <t>[07A-16]지적연구원 항공라이다 데이터처리</t>
  </si>
  <si>
    <t>R073013</t>
  </si>
  <si>
    <t>[07A-18]연평도항 인천항중부 수로측량</t>
  </si>
  <si>
    <t>R073012</t>
  </si>
  <si>
    <t>[07A-14]3등기준점측량(인제지구)</t>
  </si>
  <si>
    <t>R073011</t>
  </si>
  <si>
    <t>[07A-12]대한지적공사 수치사진측량 및 지형노선측량교육</t>
  </si>
  <si>
    <t>최호준</t>
  </si>
  <si>
    <t>R073008</t>
  </si>
  <si>
    <t>[07A-10]2007년 서울시 항공사진웹검색시스템 유지보수</t>
  </si>
  <si>
    <t>현종일</t>
  </si>
  <si>
    <t>R073007</t>
  </si>
  <si>
    <t>[07A-07]영상정보시스템 유지보수용역</t>
  </si>
  <si>
    <t>R073003</t>
  </si>
  <si>
    <t>[07A-03]포항시 지리정보시스템 프로그램 유지보수</t>
  </si>
  <si>
    <t>R073002</t>
  </si>
  <si>
    <t>[07A-02]춘천00지구외 2건 골프장부지 항공측량</t>
  </si>
  <si>
    <t>R073001</t>
  </si>
  <si>
    <t>[07A-01]블랙스톤리조트 이천 항공측량</t>
  </si>
  <si>
    <t>장순신</t>
  </si>
  <si>
    <t>(주)블랙스톤리조트</t>
  </si>
  <si>
    <t>R070075</t>
  </si>
  <si>
    <t>[판매]GIS S/W 프로그램 판매</t>
  </si>
  <si>
    <t>R070074</t>
  </si>
  <si>
    <t>[07A-111]서울하수GIS 현장지원용 물품구매</t>
  </si>
  <si>
    <t>R070073</t>
  </si>
  <si>
    <t>[07A-110]항공레이저 측량데이터 외</t>
  </si>
  <si>
    <t>R070072</t>
  </si>
  <si>
    <t>[07A-109]강화군 도로시설물 구축사업</t>
  </si>
  <si>
    <t>R070071</t>
  </si>
  <si>
    <t>[07A-105]수준측량(청송지구)</t>
  </si>
  <si>
    <t>R070070</t>
  </si>
  <si>
    <t>[07A-104]3차원 국토공간정보구축(대구,오산시)</t>
  </si>
  <si>
    <t>R070069</t>
  </si>
  <si>
    <t>[07A-107]2007년도 경상남도 촬영용역</t>
  </si>
  <si>
    <t>R070068</t>
  </si>
  <si>
    <t>[07A-103]상주-영덕간 고속도로 기본설계 지형현황도 제작</t>
  </si>
  <si>
    <t>R070067</t>
  </si>
  <si>
    <t>[07A-101]청원군 상하수도 관망도 전산화</t>
  </si>
  <si>
    <t>R070066</t>
  </si>
  <si>
    <t>[07A-102,08A-40]동탄택지개발사업지구 지형보완 라이다측량</t>
  </si>
  <si>
    <t>R070065</t>
  </si>
  <si>
    <t>[07A-98]범아ENG 칼라항공필름 제작</t>
  </si>
  <si>
    <t>R070064</t>
  </si>
  <si>
    <t>[07A-95]나주시 항공사진촬영 및 디지털정사영상구축</t>
  </si>
  <si>
    <t>나주시청</t>
  </si>
  <si>
    <t>R070063</t>
  </si>
  <si>
    <t>[07A-94]2007년도 창원시 항공사진촬영용역</t>
  </si>
  <si>
    <t>R070062</t>
  </si>
  <si>
    <t>[07A-92]광명시 도시정보시스템 확대구축</t>
  </si>
  <si>
    <t>R070061</t>
  </si>
  <si>
    <t>[07A-93]양주복합 지점조사 부지현황2차 측량조사</t>
  </si>
  <si>
    <t>R070060</t>
  </si>
  <si>
    <t>[07A-91]강릉컨트리클럽 골프장 항공측량</t>
  </si>
  <si>
    <t>R070059</t>
  </si>
  <si>
    <t>[07A-90]다차원 공간정보 뷰어프로그램 구매</t>
  </si>
  <si>
    <t>제주시청(사용금지)</t>
  </si>
  <si>
    <t>R070058</t>
  </si>
  <si>
    <t>[07A-89,96]양주시 수치표고자료구축 및 디지털 정사영상정보구축</t>
  </si>
  <si>
    <t>(주)선도소프트</t>
  </si>
  <si>
    <t>R070057</t>
  </si>
  <si>
    <t>[07A-86]강원도 인제군일대 항공사진 및 라이다촬영</t>
  </si>
  <si>
    <t>R070056</t>
  </si>
  <si>
    <t>[07A-85]시흥시 지하시설물 통합시스템개발</t>
  </si>
  <si>
    <t>시흥시청</t>
  </si>
  <si>
    <t>R070055</t>
  </si>
  <si>
    <t>[07A-83]2007년 전남 인공어초 어장관리사업</t>
  </si>
  <si>
    <t>R070054</t>
  </si>
  <si>
    <t>[07A-84](신한)칼라항공필름 제작</t>
  </si>
  <si>
    <t>R070053</t>
  </si>
  <si>
    <t>[07A-81]화성시 도로교통기술원외 1개사 상수관로 매설공사 GIS DB구축</t>
  </si>
  <si>
    <t>화성시 상하수도사업소</t>
  </si>
  <si>
    <t>R070051</t>
  </si>
  <si>
    <t>[07A-74]강서공고외 1교(한강전자공예고) 학교부지 지형현황측량</t>
  </si>
  <si>
    <t>서울시교육청</t>
  </si>
  <si>
    <t>R070050</t>
  </si>
  <si>
    <t>[07A-75]1/1000 수치지형도 수정제작(동해지구)</t>
  </si>
  <si>
    <t>R070049</t>
  </si>
  <si>
    <t>[07A-67,73,79]인천검단계획도시 택지개발사업 조사설계 항공측량</t>
  </si>
  <si>
    <t>R070048</t>
  </si>
  <si>
    <t>[07A-72]차세대 리더과정(수치항공사진측량 및 지형노선측량 교육)</t>
  </si>
  <si>
    <t>R070047</t>
  </si>
  <si>
    <t>[07A-71]DA그룹 엔지니어링 항공레이저측량</t>
  </si>
  <si>
    <t>디에이그룹엔지니어링</t>
  </si>
  <si>
    <t>R070046</t>
  </si>
  <si>
    <t>[07A-70]용인 00컨트리클럽 골프장 항공측량</t>
  </si>
  <si>
    <t>R070045</t>
  </si>
  <si>
    <t>[07A-69]수원시 권선구 KCC부지 일원 항공측량용역</t>
  </si>
  <si>
    <t>(주)건아컨설턴트</t>
  </si>
  <si>
    <t>R070044</t>
  </si>
  <si>
    <t>[07A-68]라파즈 한라시멘트㈜ 석회석 광산지역의 라이다 및 영상데이터 제공</t>
  </si>
  <si>
    <t>만선지오쓰</t>
  </si>
  <si>
    <t>R070043</t>
  </si>
  <si>
    <t>[07A-63]군장국가산업단지(군산지구) 도로 및 기반시설물 DB구축</t>
  </si>
  <si>
    <t>여운행</t>
  </si>
  <si>
    <t>R070042</t>
  </si>
  <si>
    <t>[07A-65]강화군 도로시설물 구축사업</t>
  </si>
  <si>
    <t>R070041</t>
  </si>
  <si>
    <t>[07A-61]345kw 신강진 외 3개 T/L 지적현황측량 및 구조화편집</t>
  </si>
  <si>
    <t>R070040</t>
  </si>
  <si>
    <t>[07A-57]홍천 컨트리클럽 골프장 항공측량</t>
  </si>
  <si>
    <t>R070039</t>
  </si>
  <si>
    <t>[APP]대한항공 ERP 시스템 구축 (컨설팅)</t>
  </si>
  <si>
    <t>R070038</t>
  </si>
  <si>
    <t>(주)한진 고향맛편 시스템 개발(추가분)</t>
  </si>
  <si>
    <t>R070037</t>
  </si>
  <si>
    <t>대한항공 전사통합 기재DB 구축</t>
  </si>
  <si>
    <t>R070036</t>
  </si>
  <si>
    <t>대한항공 e-AWB 시스템 개발</t>
  </si>
  <si>
    <t>R070035</t>
  </si>
  <si>
    <t>싸이버스카이 제주워터 쇼핑몰 구축</t>
  </si>
  <si>
    <t>R070034</t>
  </si>
  <si>
    <t>김해공항 신청사 iMUSE JALPAS 구축 및 유지보수사업</t>
  </si>
  <si>
    <t>R070033</t>
  </si>
  <si>
    <t>대한항공 ICNKF CCTV 추가설치공사</t>
  </si>
  <si>
    <t>R070032</t>
  </si>
  <si>
    <t>[APP]대한항공 ERP 시스템 구축 (S/W+개발)</t>
  </si>
  <si>
    <t>R070031</t>
  </si>
  <si>
    <t>[07A-34]광진구 도로명주소 안내도 제작접지형</t>
  </si>
  <si>
    <t>서울시광진구</t>
  </si>
  <si>
    <t>R070030</t>
  </si>
  <si>
    <t>토파스 예약 DB 시스템 개발</t>
  </si>
  <si>
    <t>R070029</t>
  </si>
  <si>
    <t>부관훼리 여객관리시스템 개선 구축</t>
  </si>
  <si>
    <t>부관훼리(주)</t>
  </si>
  <si>
    <t>R070028</t>
  </si>
  <si>
    <t>대한항공 객실승무 지원시스템 개발</t>
  </si>
  <si>
    <t>R070027</t>
  </si>
  <si>
    <t>싸이버스카이의 e-SKYSHOP 구축</t>
  </si>
  <si>
    <t>R070026</t>
  </si>
  <si>
    <t>S-OIL정보보호 인프라 구축</t>
  </si>
  <si>
    <t>R070025</t>
  </si>
  <si>
    <t>대우로지스틱스 통합물류정보시스템(해운.관리.그룹웨어) 유상 유지보수</t>
  </si>
  <si>
    <t>이윤영</t>
  </si>
  <si>
    <t>(주)대우로지스틱스</t>
  </si>
  <si>
    <t>R070024</t>
  </si>
  <si>
    <t>제주 한라병원 종합의료정보시스템 유지보수</t>
  </si>
  <si>
    <t>한라병원</t>
  </si>
  <si>
    <t>R070023</t>
  </si>
  <si>
    <t>[07A-28]평택호관광지개발계획수립 및 관광지 지정변경 용역</t>
  </si>
  <si>
    <t>평택시청</t>
  </si>
  <si>
    <t>R070022</t>
  </si>
  <si>
    <t>대한항공 e-ticket 개발</t>
  </si>
  <si>
    <t>R070021</t>
  </si>
  <si>
    <t>인천국제공항 제2화물터미널 신축공사</t>
  </si>
  <si>
    <t>R070020</t>
  </si>
  <si>
    <t>김포공항 국제선 KIOSK 및 카운터안내시스템 구축</t>
  </si>
  <si>
    <t>R070019</t>
  </si>
  <si>
    <t>부산 김해공항 신청사 i-MUSE 시스템 구축 및 유지보수</t>
  </si>
  <si>
    <t>R070018</t>
  </si>
  <si>
    <t>항공대 기계관114호 전산망실 구축공사(통신케이블 이설공사)</t>
  </si>
  <si>
    <t>R070017</t>
  </si>
  <si>
    <t>한국공항 제2화물터미널 TMS 추가 개발 및 안정화</t>
  </si>
  <si>
    <t>현대엘리베이터</t>
  </si>
  <si>
    <t>R070016</t>
  </si>
  <si>
    <t>(주)한진 홈페이지 구축</t>
  </si>
  <si>
    <t>R070015</t>
  </si>
  <si>
    <t>유니컨버스 빌링시스템 개발</t>
  </si>
  <si>
    <t>R070014</t>
  </si>
  <si>
    <t>LGT서비스 가입수수료 지급</t>
  </si>
  <si>
    <t>서길준</t>
  </si>
  <si>
    <t>(주)엘지유플러스</t>
  </si>
  <si>
    <t>R070013</t>
  </si>
  <si>
    <t>김해공항 신청사 KIOSK 및 카운터배정 안내시스템 구축</t>
  </si>
  <si>
    <t>R070012</t>
  </si>
  <si>
    <t>싸이버스카이 제주광천수 쇼핑몰 구축</t>
  </si>
  <si>
    <t>싸이버스카이샵</t>
  </si>
  <si>
    <t>R070011</t>
  </si>
  <si>
    <t>강원도청 만성질환 원격관리시스템 구축</t>
  </si>
  <si>
    <t>강원도청</t>
  </si>
  <si>
    <t>R070010</t>
  </si>
  <si>
    <t>대한항공 기내판매 POS시스템(PDA) 개발</t>
  </si>
  <si>
    <t>R070009</t>
  </si>
  <si>
    <t>[07A-11]성주군관리계획 지형도면고시 및 도시계획 전산화용역</t>
  </si>
  <si>
    <t>성주군청</t>
  </si>
  <si>
    <t>R070008</t>
  </si>
  <si>
    <t>인하대학교 물류종합모의운영시스템 구축</t>
  </si>
  <si>
    <t>R070007</t>
  </si>
  <si>
    <t>대한항공 여객 신단말시스템 개발</t>
  </si>
  <si>
    <t>김진호</t>
  </si>
  <si>
    <t>R070005</t>
  </si>
  <si>
    <t>R070004</t>
  </si>
  <si>
    <t>인하공업전문대학 정보화 재구축</t>
  </si>
  <si>
    <t>R070003</t>
  </si>
  <si>
    <t>대한항공 보상관리시스템 개발</t>
  </si>
  <si>
    <t>R070002</t>
  </si>
  <si>
    <t>토파스 사내전산시스템 유지보수</t>
  </si>
  <si>
    <t>R070001</t>
  </si>
  <si>
    <t>수원 봉담 임광 그대家 아파트 2차 신축공사중 통신공사</t>
  </si>
  <si>
    <t>신통정보통신(주)</t>
  </si>
  <si>
    <t>R063910</t>
  </si>
  <si>
    <t>[삼아]칼라항공필름제작</t>
  </si>
  <si>
    <t>R063909</t>
  </si>
  <si>
    <t>[06A-53]대덕연구개발특구 1단계 개발사업 지형보완 항공사진측량</t>
  </si>
  <si>
    <t>R063908</t>
  </si>
  <si>
    <t>[06A-49]라오스 사업지역 수치지도제작</t>
  </si>
  <si>
    <t>R063907</t>
  </si>
  <si>
    <t>[06A-50]유비쿼터스 시대에 대비한 상수도GIS 고도화 전략계획 수립용역</t>
  </si>
  <si>
    <t>R063906</t>
  </si>
  <si>
    <t>[06A-52]금산수위관측소 등 13개소 수준거표 설치용역</t>
  </si>
  <si>
    <t>금강홍수통제소</t>
  </si>
  <si>
    <t>R063905</t>
  </si>
  <si>
    <t>2006년 국가하천 도강배관 하상고 측정용역</t>
  </si>
  <si>
    <t>한국가스공사서울지사</t>
  </si>
  <si>
    <t>R063904</t>
  </si>
  <si>
    <t>[영암지구] 수준측량</t>
  </si>
  <si>
    <t>R063903</t>
  </si>
  <si>
    <t>[06A-40][안양시] 도로명 및 건물번호부여 DB구축 용역</t>
  </si>
  <si>
    <t>R063902</t>
  </si>
  <si>
    <t>[동서]칼라항공필름 제작</t>
  </si>
  <si>
    <t>동서지엔아이</t>
  </si>
  <si>
    <t>R063901</t>
  </si>
  <si>
    <t>[06A-41][창원시]세계측지계 도입에 따른 도시정보시스템 수치지도갱신</t>
  </si>
  <si>
    <t>R063900</t>
  </si>
  <si>
    <t>[06A-36][전북도청]항공사진 영상지도 구축 및 활용시스템개발</t>
  </si>
  <si>
    <t>전북도청</t>
  </si>
  <si>
    <t>R063898</t>
  </si>
  <si>
    <t>[06A-37]금강남부권 수도시설운영정보 구축</t>
  </si>
  <si>
    <t>R063894</t>
  </si>
  <si>
    <t>[문경레저타운]문경골프코스 항공측량용역</t>
  </si>
  <si>
    <t>(주)문경레저타운</t>
  </si>
  <si>
    <t>R063893</t>
  </si>
  <si>
    <t>[06A-32]발안천수계 하천정비 기본계획 및 하천대장작성 재정비용역</t>
  </si>
  <si>
    <t>경기도청</t>
  </si>
  <si>
    <t>R063892</t>
  </si>
  <si>
    <t>[새한항업] 국가기본도수정(강릉지구)</t>
  </si>
  <si>
    <t>R063891</t>
  </si>
  <si>
    <t>[항공안전본부]항공지도 유지보수 등 용역</t>
  </si>
  <si>
    <t>항공안전본부</t>
  </si>
  <si>
    <t>R061932</t>
  </si>
  <si>
    <t>[06A-66]항공라이다 데이터판매(설악산지역)</t>
  </si>
  <si>
    <t>R061931</t>
  </si>
  <si>
    <t>[06A-71]시흥시 항공라이다측량사업</t>
  </si>
  <si>
    <t>R061930</t>
  </si>
  <si>
    <t>[06A-73]2006년 광주권 개발제한구역 항공사진 촬영용역</t>
  </si>
  <si>
    <t>전라남도청</t>
  </si>
  <si>
    <t>R061929</t>
  </si>
  <si>
    <t>[06A-74]한강수로 조사용역 (측량조사부문)</t>
  </si>
  <si>
    <t>R061926</t>
  </si>
  <si>
    <t>[06A-58][삼아]서울시 칼라항공필름 현상용역</t>
  </si>
  <si>
    <t>R061925</t>
  </si>
  <si>
    <t>[06A-72]서울시 항공사진 판독용역(제2지구)</t>
  </si>
  <si>
    <t>R061924</t>
  </si>
  <si>
    <t>[06A-54][동서]칼라항공필름 제작</t>
  </si>
  <si>
    <t>R061923</t>
  </si>
  <si>
    <t>[06A-75]경산시 수치정사영상지도구축용역</t>
  </si>
  <si>
    <t>경산시청</t>
  </si>
  <si>
    <t>R061922</t>
  </si>
  <si>
    <t>[06A-70]2006년 인천시 항공사진촬영.판독 및 DB구축용역</t>
  </si>
  <si>
    <t>인천광역시청</t>
  </si>
  <si>
    <t>R061920</t>
  </si>
  <si>
    <t>[06A-71]항공 레이저 측량(시흥시인근)</t>
  </si>
  <si>
    <t>R061918</t>
  </si>
  <si>
    <t>[06A-68]태안발전본부 냉각수 취수구 및 취수로 수심측량용역</t>
  </si>
  <si>
    <t>한국서부발전</t>
  </si>
  <si>
    <t>R061917</t>
  </si>
  <si>
    <t>[06A-62]통신관로 지하시설물 위치측량 및 지도제작</t>
  </si>
  <si>
    <t>KT인프라연구소</t>
  </si>
  <si>
    <t>R061916</t>
  </si>
  <si>
    <t>[06A-65]국토공간영상정보서비스 시스템 및 위성영상통합관리시스템 유지보수용역</t>
  </si>
  <si>
    <t>R061915</t>
  </si>
  <si>
    <t>[06A-07]진도 해안선측량 DB구축 및 항공레이저측량</t>
  </si>
  <si>
    <t>R061914</t>
  </si>
  <si>
    <t>[06A-60]서울시 항공사진웹검색시스템 데이터참조모델(표준화) 적용사업</t>
  </si>
  <si>
    <t>R061913</t>
  </si>
  <si>
    <t>[06A-57][새한항업]칼라항공필름제작</t>
  </si>
  <si>
    <t>R061912</t>
  </si>
  <si>
    <t>[06A-55]안양시 무허가 단속용 항공사진 촬영 및 판독용역</t>
  </si>
  <si>
    <t>R061911</t>
  </si>
  <si>
    <t>[06A-56]OO컨트리클럽 골프장 항공측량 용역</t>
  </si>
  <si>
    <t>엔지니어링공제조합</t>
  </si>
  <si>
    <t>R061910</t>
  </si>
  <si>
    <t>한진 렌터카 시스템 개발 (단기)</t>
  </si>
  <si>
    <t>R061909</t>
  </si>
  <si>
    <t>정석학술정보관 N/W,티볼리 유지보수</t>
  </si>
  <si>
    <t>R061908</t>
  </si>
  <si>
    <t>한국항공대학교 본관 신축 통신공사</t>
  </si>
  <si>
    <t>R061907</t>
  </si>
  <si>
    <t>대한항공 온실가스 배출량 통계시스템 개발</t>
  </si>
  <si>
    <t>R061906</t>
  </si>
  <si>
    <t>(주)한진 포워딩 시스템 개발</t>
  </si>
  <si>
    <t>R061905</t>
  </si>
  <si>
    <t>인하대학교 무인 스튜디오 및 e스튜디오 구축</t>
  </si>
  <si>
    <t>R061904</t>
  </si>
  <si>
    <t>부산진역CY 자동화시스템 증설 및 보완을 위한 장비 구매</t>
  </si>
  <si>
    <t>철도전산정보사업단</t>
  </si>
  <si>
    <t>R061903</t>
  </si>
  <si>
    <t>한국공항 홈페이지 개편</t>
  </si>
  <si>
    <t>R061902</t>
  </si>
  <si>
    <t>(주)한진 택배 업무개선시스템 Infra 구축(추가분)</t>
  </si>
  <si>
    <t>R061901</t>
  </si>
  <si>
    <t>하얏트리젠시 인천 시스템(서버)유지보수</t>
  </si>
  <si>
    <t>R061900</t>
  </si>
  <si>
    <t>대구 매곡리 한일 유앤아이 신축공사중 정보통신공사</t>
  </si>
  <si>
    <t>R061899</t>
  </si>
  <si>
    <t>[06A-39][국토지리원]국가기준점 성과발급시스템개선</t>
  </si>
  <si>
    <t>R061898</t>
  </si>
  <si>
    <t>(주)한진 고객센타 CTI/IVR 시스템 구축</t>
  </si>
  <si>
    <t>R061897</t>
  </si>
  <si>
    <t>대한항공 미주 CGO TML PDA 개발</t>
  </si>
  <si>
    <t>R061896</t>
  </si>
  <si>
    <t>한국공항 연말정산 시스템 개발</t>
  </si>
  <si>
    <t>R061895</t>
  </si>
  <si>
    <t>[06A-04]남양주 06년 GIS 시스템 유지보수용역</t>
  </si>
  <si>
    <t>R061894</t>
  </si>
  <si>
    <t>토파스 Linker시스템 개발 구축</t>
  </si>
  <si>
    <t>R061893</t>
  </si>
  <si>
    <t>(Task)HIST-IBM Co-Business</t>
  </si>
  <si>
    <t>R061892</t>
  </si>
  <si>
    <t>한진관광 홈페이지 개편 PJT</t>
  </si>
  <si>
    <t>R061891</t>
  </si>
  <si>
    <t>R061890</t>
  </si>
  <si>
    <t>대한항공 요금관리시스템(FMS) 개발</t>
  </si>
  <si>
    <t>R061886</t>
  </si>
  <si>
    <t>서울시 물류정보시스템 유지보수</t>
  </si>
  <si>
    <t>R061885</t>
  </si>
  <si>
    <t>[06A-30]군포시 당동2지구 도시기반시설물DB구축용역</t>
  </si>
  <si>
    <t>군포시청</t>
  </si>
  <si>
    <t>R061883</t>
  </si>
  <si>
    <t>[토파스]사이버 교육시스템 유지보수</t>
  </si>
  <si>
    <t>R061882</t>
  </si>
  <si>
    <t>[06A-23]2006전력구(관로)지하시설물도 작성용역</t>
  </si>
  <si>
    <t>R061880</t>
  </si>
  <si>
    <t>항공 LiDAR 데이터 활용 정밀지형정보 생성</t>
  </si>
  <si>
    <t>한국전자통신연구원(ETRI)</t>
  </si>
  <si>
    <t>R061876</t>
  </si>
  <si>
    <t>R061875</t>
  </si>
  <si>
    <t>(주)한진 전산실 업무지원: 3PL사업본부(박광연)</t>
  </si>
  <si>
    <t>R061872</t>
  </si>
  <si>
    <t>서초 한일 유앤아이 주상복합 신축 정보통신공사</t>
  </si>
  <si>
    <t>R061870</t>
  </si>
  <si>
    <t>[06A-25]항공 레이져 측량용역(점봉산 인근)</t>
  </si>
  <si>
    <t>공주대학교산학협력단</t>
  </si>
  <si>
    <t>R061865</t>
  </si>
  <si>
    <t>인천공항 여객용 공영터미널 카운터 i-MUSE [코드에러]</t>
  </si>
  <si>
    <t>아린크(폐업)</t>
  </si>
  <si>
    <t>R061863</t>
  </si>
  <si>
    <t>[수원시상수도]GIS 신규시설물 DB 구축사업</t>
  </si>
  <si>
    <t>수원시상수도사업소</t>
  </si>
  <si>
    <t>R061859</t>
  </si>
  <si>
    <t>보령항 및 부근 항해위험물 정밀조사 용역</t>
  </si>
  <si>
    <t>R061857</t>
  </si>
  <si>
    <t>대한항공 스카이패스 보너스 국내선 예매시스템 재개발</t>
  </si>
  <si>
    <t>R061854</t>
  </si>
  <si>
    <t>토파스 자동화캡핑시스템(ECS) 2차개발구축</t>
  </si>
  <si>
    <t>R061853</t>
  </si>
  <si>
    <t>[마산] 진해,옥포,장승포항 수심측량용역</t>
  </si>
  <si>
    <t>마산지방해양수산청</t>
  </si>
  <si>
    <t>R061850</t>
  </si>
  <si>
    <t>[06A-09]양주옥정지구 지형보완 항공사진측량용역</t>
  </si>
  <si>
    <t>한국토지공사서울지사</t>
  </si>
  <si>
    <t>R061848</t>
  </si>
  <si>
    <t>인하대병원 PACS 유지보수(S/W)</t>
  </si>
  <si>
    <t>R061846</t>
  </si>
  <si>
    <t>대한항공 전산센타 Flap-Gate 구축</t>
  </si>
  <si>
    <t>R061832</t>
  </si>
  <si>
    <t>한국항공대학교 관제시스템 재구축 (10.7.31까지)</t>
  </si>
  <si>
    <t>R061737</t>
  </si>
  <si>
    <t>LG텔레콤의 PDA 가입수수료 정산</t>
  </si>
  <si>
    <t>LG전자</t>
  </si>
  <si>
    <t>R061661</t>
  </si>
  <si>
    <t>[06A-20]06년 부산시 UIS 변동자료 갱신용역</t>
  </si>
  <si>
    <t>R061461</t>
  </si>
  <si>
    <t>광양ACT 본사업</t>
  </si>
  <si>
    <t>한국컨테이너부두공단</t>
  </si>
  <si>
    <t>R061456</t>
  </si>
  <si>
    <t>한진 렌터카 시스템 구축</t>
  </si>
  <si>
    <t>R061036</t>
  </si>
  <si>
    <t>[연구TF]항공사진 판독기술개발</t>
  </si>
  <si>
    <t>R061034</t>
  </si>
  <si>
    <t>[연구TF]측량내업자동화(수준측량망관리시스템 개발)</t>
  </si>
  <si>
    <t>R061031</t>
  </si>
  <si>
    <t>GVS 웹 엔진개발 PJT</t>
  </si>
  <si>
    <t>R051893</t>
  </si>
  <si>
    <t>[대한항공]전자세금계산서 유지보수</t>
  </si>
  <si>
    <t>R051871</t>
  </si>
  <si>
    <t>대축척 지도제작용 디지털카메라 상용화 연구</t>
  </si>
  <si>
    <t>R051843</t>
  </si>
  <si>
    <t>인하대학교 네트워크 유지보수</t>
  </si>
  <si>
    <t>R051801</t>
  </si>
  <si>
    <t>[05A-47]지능형 도로 설계를 위한 3차원 지형정보 제작</t>
  </si>
  <si>
    <t>(주)평화엔지니어링</t>
  </si>
  <si>
    <t>R051792</t>
  </si>
  <si>
    <t>한진 고향맛편 유지보수</t>
  </si>
  <si>
    <t>R051791</t>
  </si>
  <si>
    <t>KAL 비행지원관리시스템 구축</t>
  </si>
  <si>
    <t>R051784</t>
  </si>
  <si>
    <t>[05A-46]무동감계지구 개발사업 실시설계 및 지구단위계획수립</t>
  </si>
  <si>
    <t>(주)천진엔지니어링</t>
  </si>
  <si>
    <t>R051616</t>
  </si>
  <si>
    <t>인하대 제2기숙사 및 외국인숙소 전자교환기 구축</t>
  </si>
  <si>
    <t>R051612</t>
  </si>
  <si>
    <t>[05A-39]154kV 송탄-진위 송전선로 3차원 영상지도 및 시뮬레이션파일 제작</t>
  </si>
  <si>
    <t>R051607</t>
  </si>
  <si>
    <t>[라헨느리조트]골프장조성 항공사진측량 용역</t>
  </si>
  <si>
    <t>라헨느리조트(주)</t>
  </si>
  <si>
    <t>R051603</t>
  </si>
  <si>
    <t>교원 통신학습시스템 유지보수</t>
  </si>
  <si>
    <t>(주)교원</t>
  </si>
  <si>
    <t>R051600</t>
  </si>
  <si>
    <t>인하대 정석학술정보관 전산시스템 유지보수</t>
  </si>
  <si>
    <t>R051590</t>
  </si>
  <si>
    <t>한국항공대 웹포탈시스템 구축</t>
  </si>
  <si>
    <t>이종문</t>
  </si>
  <si>
    <t>R051580</t>
  </si>
  <si>
    <t>R051560</t>
  </si>
  <si>
    <t>남서울대학교 LAN 구축 공사</t>
  </si>
  <si>
    <t>남서울대학교</t>
  </si>
  <si>
    <t>R051559</t>
  </si>
  <si>
    <t>월드엔시스 Network 장비판매</t>
  </si>
  <si>
    <t>(주)월드엔시스</t>
  </si>
  <si>
    <t>R051558</t>
  </si>
  <si>
    <t>한국공항 제동목장 무선망 구축</t>
  </si>
  <si>
    <t>R051557</t>
  </si>
  <si>
    <t>(주)이시스디스트리뷰션 무선랜 장비판매</t>
  </si>
  <si>
    <t>(주)이시스디스트리뷰션</t>
  </si>
  <si>
    <t>R051548</t>
  </si>
  <si>
    <t>한국항공대 NW장비 유지보수</t>
  </si>
  <si>
    <t>R051546</t>
  </si>
  <si>
    <t>TOPAS 사이버교육 시스템 유지보수</t>
  </si>
  <si>
    <t>R051544</t>
  </si>
  <si>
    <t>동서산업네트워크 유지보수</t>
  </si>
  <si>
    <t>동서산업(주)</t>
  </si>
  <si>
    <t>R051539</t>
  </si>
  <si>
    <t>다이너스티 통합시스템 구축PJT</t>
  </si>
  <si>
    <t>황평주</t>
  </si>
  <si>
    <t>다이너스티인터네셔날</t>
  </si>
  <si>
    <t>R051531</t>
  </si>
  <si>
    <t>3D 시뮬레이션 제작</t>
  </si>
  <si>
    <t>전력계통건설처</t>
  </si>
  <si>
    <t>R051518</t>
  </si>
  <si>
    <t>서울시 항공사진 DB구축 및 판독시스템 개발</t>
  </si>
  <si>
    <t>R051506</t>
  </si>
  <si>
    <t>나주시 개발제한구역 지구단위계획 항공측량용역</t>
  </si>
  <si>
    <t>R051487</t>
  </si>
  <si>
    <t>R051485</t>
  </si>
  <si>
    <t>수자원공사 SDW 시범사업</t>
  </si>
  <si>
    <t>R051474</t>
  </si>
  <si>
    <t>(주)한진 고향맛편 웹사이트 추가개발</t>
  </si>
  <si>
    <t>R051393</t>
  </si>
  <si>
    <t>[05A-05]대구세천지방산업단지 기본계획용역</t>
  </si>
  <si>
    <t>대구광역시청</t>
  </si>
  <si>
    <t>R051029</t>
  </si>
  <si>
    <t>도시변화 자동추출 및 3D 모델링 연구개발 PJT</t>
  </si>
  <si>
    <t>R051028</t>
  </si>
  <si>
    <t>측량내업 자동화프로그램 개발 PJT</t>
  </si>
  <si>
    <t>김현배</t>
  </si>
  <si>
    <t>R051024</t>
  </si>
  <si>
    <t>Arc Objects 기반 범용프로그램개발 PJT</t>
  </si>
  <si>
    <t>권기용</t>
  </si>
  <si>
    <t>GIS개발팀</t>
  </si>
  <si>
    <t>R041537</t>
  </si>
  <si>
    <t>대한항공 화물터미널 60M TMS 구축공사</t>
  </si>
  <si>
    <t>POSMEC</t>
  </si>
  <si>
    <t>R041418</t>
  </si>
  <si>
    <t>태안군 통합하수도정비 기본계획 수립 용역(측량,항공측량)</t>
  </si>
  <si>
    <t>녹스엔지니어링</t>
  </si>
  <si>
    <t>R041387</t>
  </si>
  <si>
    <t>[04A-15][만영ENG]항공레이저(LiDAR) 측량방법에 의한 도로설계 측량</t>
  </si>
  <si>
    <t>(주)태원코퍼레이션</t>
  </si>
  <si>
    <t>R041326</t>
  </si>
  <si>
    <t>오산궐동 택지개발 예정지구 항공사진 촬영 용역</t>
  </si>
  <si>
    <t>R041323</t>
  </si>
  <si>
    <t>영양군 군관리계획 및 지형도면고시 용역</t>
  </si>
  <si>
    <t>영양군청</t>
  </si>
  <si>
    <t>R041297</t>
  </si>
  <si>
    <t>[06A-19]의왕시 GIS(상수관리시스템) 유지보수</t>
  </si>
  <si>
    <t>의왕시</t>
  </si>
  <si>
    <t>R041290</t>
  </si>
  <si>
    <t>GIS구축 시범사업 및 기본계획수립 용역</t>
  </si>
  <si>
    <t>한국지리정보산업협동조합</t>
  </si>
  <si>
    <t>R041273</t>
  </si>
  <si>
    <t>삼척시 통합하수도정비 항측 PJT</t>
  </si>
  <si>
    <t>동명기술공단종합건축사사무소</t>
  </si>
  <si>
    <t>R041272</t>
  </si>
  <si>
    <t>[한국전자통신연구원]LiDAR 데이타 PJT</t>
  </si>
  <si>
    <t>R041268</t>
  </si>
  <si>
    <t>[삼아항업]광주시 2004 항공사진촬영 및 판독용역</t>
  </si>
  <si>
    <t>R041267</t>
  </si>
  <si>
    <t>한강수로 조사용역</t>
  </si>
  <si>
    <t>한강시민공원사업소</t>
  </si>
  <si>
    <t>R041249</t>
  </si>
  <si>
    <t>성남시 항공사진촬영 및 판독용역</t>
  </si>
  <si>
    <t>성남시청</t>
  </si>
  <si>
    <t>R041248</t>
  </si>
  <si>
    <t>2004년 항공사진 촬영, 판독 및 항공사진 DB 구축 용역</t>
  </si>
  <si>
    <t>R041225</t>
  </si>
  <si>
    <t>[04A-32]충남 중부권 수도시설운영정보시스템 GIS DB 구축</t>
  </si>
  <si>
    <t>R041217</t>
  </si>
  <si>
    <t>(주)한진 통합고객 DB 개발</t>
  </si>
  <si>
    <t>박광연</t>
  </si>
  <si>
    <t>R041060</t>
  </si>
  <si>
    <t>한진물류연구원홈페이지구축</t>
  </si>
  <si>
    <t>홍창표</t>
  </si>
  <si>
    <t>R041058</t>
  </si>
  <si>
    <t>광주소방119종합정보시스템구축</t>
  </si>
  <si>
    <t>광주소방본부</t>
  </si>
  <si>
    <t>R041055</t>
  </si>
  <si>
    <t>HIS &amp;amp; POS Maintenance[호텔 유지보수]</t>
  </si>
  <si>
    <t>(주)대한항공서귀포칼호텔(폐업2008.1231)</t>
  </si>
  <si>
    <t>R031536</t>
  </si>
  <si>
    <t>서울위생병원 PACS장비 임차료</t>
  </si>
  <si>
    <t>R031380</t>
  </si>
  <si>
    <t>[04A-07]국토 및 도시의 효율적관리를 위한 광역공간정보처리기술연구(2차)</t>
  </si>
  <si>
    <t>(사)한국지형공간정보학회</t>
  </si>
  <si>
    <t>R031346</t>
  </si>
  <si>
    <t>대구 수치지도 유지관리 용역(4차)</t>
  </si>
  <si>
    <t>R031078</t>
  </si>
  <si>
    <t>대한항공 제2화물터미널 정보통신설계</t>
  </si>
  <si>
    <t>R031038</t>
  </si>
  <si>
    <t>여수, 대구공항 계기착륙시설(ILS)설치 사업</t>
  </si>
  <si>
    <t>R021048</t>
  </si>
  <si>
    <t>무안공항 관제통신 및 계기착륙시설 사업</t>
  </si>
  <si>
    <t>금호산업(주)</t>
  </si>
  <si>
    <t>R021047</t>
  </si>
  <si>
    <t>무안공항 항공기 비행안내 및 시계장치</t>
  </si>
  <si>
    <t>R011001</t>
  </si>
  <si>
    <t>응급의료 정보시스템 유지보수</t>
  </si>
  <si>
    <t>서울중앙응급의료센터</t>
  </si>
  <si>
    <t>P240003</t>
  </si>
  <si>
    <t>인천국제공항공사, 4단계 공항지상관제시스템(ASDE) 기술지원 용역</t>
  </si>
  <si>
    <t>이화종</t>
  </si>
  <si>
    <t>용역수익_중점</t>
  </si>
  <si>
    <t>P240002</t>
  </si>
  <si>
    <t>토파스, 하나투어 파트너포털 NDC 서비스 구축</t>
  </si>
  <si>
    <t>P240001</t>
  </si>
  <si>
    <t>토파스, 네이처모빌리티 국제선 항공예약 시스템 개발</t>
  </si>
  <si>
    <t>P230009</t>
  </si>
  <si>
    <t>토파스, 하나투어 NDC 서비스 구축</t>
  </si>
  <si>
    <t>P230007</t>
  </si>
  <si>
    <t>서울주택도시공사 고덕강일 공공주택지구 3단지 아파트 정보통신공사</t>
  </si>
  <si>
    <t>서울주택도시공사</t>
  </si>
  <si>
    <t>P230006</t>
  </si>
  <si>
    <t>수원대학교, 수원과학대학교 정보시스템 통합유지보수 사업</t>
  </si>
  <si>
    <t>P230005</t>
  </si>
  <si>
    <t>(주)한진 원클릭 PRO 시스템 구축 사업</t>
  </si>
  <si>
    <t>P230004</t>
  </si>
  <si>
    <t>진에어 홈페이지 리뉴얼 개편</t>
  </si>
  <si>
    <t>P230003</t>
  </si>
  <si>
    <t>인천국제공항 제3활주로 계기착륙 및 표지시설 개량사업</t>
  </si>
  <si>
    <t>P230002</t>
  </si>
  <si>
    <t>방위사업청, 이동형기상레이더 국외구매사업</t>
  </si>
  <si>
    <t>문태호</t>
  </si>
  <si>
    <t>방위사업청</t>
  </si>
  <si>
    <t>P230001</t>
  </si>
  <si>
    <t>디지틀조선일보 소노호텔앤리조트 홈페이지 고도화 사업</t>
  </si>
  <si>
    <t>디지틀조선일보</t>
  </si>
  <si>
    <t>P220006</t>
  </si>
  <si>
    <t>한강홍수통제소 테스트베드 소형 강우레이더 구매설치 사업</t>
  </si>
  <si>
    <t>한강홍수통제소</t>
  </si>
  <si>
    <t>P220005</t>
  </si>
  <si>
    <t>(주)한진 글로벌 원클릭시스템 개발(2차)</t>
  </si>
  <si>
    <t>P220004</t>
  </si>
  <si>
    <t>KC그린홀딩스, 2022년 IT아웃소싱 서비스(SM부문)</t>
  </si>
  <si>
    <t>P220003</t>
  </si>
  <si>
    <t>토파스 IBE 1A Travel API(NDC) 연동 기능 개발</t>
  </si>
  <si>
    <t>P220002</t>
  </si>
  <si>
    <t>정석비행장 전방향표지시설(VOR/DME) 현대화 사업</t>
  </si>
  <si>
    <t>P220001</t>
  </si>
  <si>
    <t>(주)한진 국제특송 원클릭 시스템 구축 개발사업</t>
  </si>
  <si>
    <t>P210012</t>
  </si>
  <si>
    <t>디지틀조선 호반호텔앤리조트 통합정보시스템 구축</t>
  </si>
  <si>
    <t>P210011</t>
  </si>
  <si>
    <t>한강홍수통제소 검정관측소 구매설치 사업</t>
  </si>
  <si>
    <t>P210010</t>
  </si>
  <si>
    <t>한진관광 차세대시스템 구축사업</t>
  </si>
  <si>
    <t>P210009</t>
  </si>
  <si>
    <t>토파스 롯데JTB BTMS 모바일 구축</t>
  </si>
  <si>
    <t>이민주</t>
  </si>
  <si>
    <t>P210008</t>
  </si>
  <si>
    <t>김해공항 전방향표지시설 부대시설공사</t>
  </si>
  <si>
    <t>P210007</t>
  </si>
  <si>
    <t>무안 울산 여수공항 레이더시설(ASR/SSR) 현대화 사업</t>
  </si>
  <si>
    <t>박서녕</t>
  </si>
  <si>
    <t>변경 작성중</t>
  </si>
  <si>
    <t>P210006</t>
  </si>
  <si>
    <t>정석기업 전사정보시스템 고도화 개발 사업</t>
  </si>
  <si>
    <t>P210005</t>
  </si>
  <si>
    <t>토파스 교원KRT 항공시스템 구축</t>
  </si>
  <si>
    <t>P210004</t>
  </si>
  <si>
    <t>토파스 현대드림투어 BTMS 개발</t>
  </si>
  <si>
    <t>P210003</t>
  </si>
  <si>
    <t>인하대병원 임상정보분석시스템(CDW) 구축</t>
  </si>
  <si>
    <t>P210002</t>
  </si>
  <si>
    <t>KBS 지역총국 제작시스템 풀파일 전환 사업</t>
  </si>
  <si>
    <t>심진수</t>
  </si>
  <si>
    <t>P210001</t>
  </si>
  <si>
    <t>토파스 IBE 항공권 Upsell 및 Ancillary 기능 개발</t>
  </si>
  <si>
    <t>P200013</t>
  </si>
  <si>
    <t>청주국제공항 지상감시레이더(ASDE) 신설사업</t>
  </si>
  <si>
    <t>P200011</t>
  </si>
  <si>
    <t>KBS 본사 NPS 고도화(2단계) 사업</t>
  </si>
  <si>
    <t>P200010</t>
  </si>
  <si>
    <t>현대무벡스 다카공항 CMS 시스템 구축</t>
  </si>
  <si>
    <t>현대무벡스</t>
  </si>
  <si>
    <t>P200009</t>
  </si>
  <si>
    <t>한국건강관리협회 차세대 건강검진시스템(MICS) 운용용역 관리사업</t>
  </si>
  <si>
    <t>(사)한국건강관리협회</t>
  </si>
  <si>
    <t>P200008</t>
  </si>
  <si>
    <t>인천국제공항 4단계 다변측정감시시설(MLAT) 구매설치 사업</t>
  </si>
  <si>
    <t>P200007</t>
  </si>
  <si>
    <t>토파스 참좋은여행 항공예약시스템 구축</t>
  </si>
  <si>
    <t>P200006</t>
  </si>
  <si>
    <t>Indra Navia Korea 인천국제공항 지상감시레이더(ASDE) 확장사업 하도급 계약</t>
  </si>
  <si>
    <t>인드라나비아에이에스</t>
  </si>
  <si>
    <t>P200005</t>
  </si>
  <si>
    <t>토파스 모바일 SeatMap 개발</t>
  </si>
  <si>
    <t>P200004</t>
  </si>
  <si>
    <t>토파스 SSG.COM 항공 Meta 시스템 유지보수</t>
  </si>
  <si>
    <t>P200003</t>
  </si>
  <si>
    <t>한국건강관리협회 차세대 건강검진시스템(MICS) 운용 용역 사업</t>
  </si>
  <si>
    <t>P200002</t>
  </si>
  <si>
    <t>(주)한진 시스템 클라우드 전환 상세실행계획 수립(택배부문)</t>
  </si>
  <si>
    <t>P200001</t>
  </si>
  <si>
    <t>(주)한진 시스템 클라우드 전환 상세실행계획 수립(물류/관리부문)</t>
  </si>
  <si>
    <t>P190011</t>
  </si>
  <si>
    <t>전방향표지시설(VOR/DME) 현대화 장비구매사업</t>
  </si>
  <si>
    <t>P190010</t>
  </si>
  <si>
    <t>제주공항 지상감시레이더(ASDE/MLAT)현대화 사업</t>
  </si>
  <si>
    <t>P190009</t>
  </si>
  <si>
    <t>정석비행장 계기착륙시설(ILS) 현대화사업</t>
  </si>
  <si>
    <t>P190008</t>
  </si>
  <si>
    <t>한국교직원공제회 회원업무 데이터베이스관리시스템(DBMS) 교체 사업</t>
  </si>
  <si>
    <t>한국교직원공제회</t>
  </si>
  <si>
    <t>P190007</t>
  </si>
  <si>
    <t>토파스 SM C/C 온라인항공예약 서비스 구축</t>
  </si>
  <si>
    <t>P190006</t>
  </si>
  <si>
    <t>KBS 광고 워크플로우 개선사업</t>
  </si>
  <si>
    <t>P190005</t>
  </si>
  <si>
    <t>토파스 SSG.COM 항공권 예약서비스 구축</t>
  </si>
  <si>
    <t>P190004</t>
  </si>
  <si>
    <t>(주)한진 택배 고객용 모바일 앱 개발</t>
  </si>
  <si>
    <t>P190003</t>
  </si>
  <si>
    <t>KBS NPS 편집시스템 증설사업</t>
  </si>
  <si>
    <t>P190002</t>
  </si>
  <si>
    <t>토파스 e-Travel 자동화 구축</t>
  </si>
  <si>
    <t>P190001</t>
  </si>
  <si>
    <t>롯데제이티비 항공예약시스템 리뉴얼</t>
  </si>
  <si>
    <t>P180007</t>
  </si>
  <si>
    <t>김포국제공항 제2공항감시레이더(ASR/SSR) 정보통신 및 기반철탑 설치공사</t>
  </si>
  <si>
    <t>P180006</t>
  </si>
  <si>
    <t>성화택배 차세대 물류시스템 구축</t>
  </si>
  <si>
    <t>P180005</t>
  </si>
  <si>
    <t>토파스 온라인 영문운임규정 한글화 시스템 개발</t>
  </si>
  <si>
    <t>P180004</t>
  </si>
  <si>
    <t>토파스 위메프 항공 Meta 시스템 개발</t>
  </si>
  <si>
    <t>P180003</t>
  </si>
  <si>
    <t>(주)한진 자산관리시스템 구축</t>
  </si>
  <si>
    <t>이승호</t>
  </si>
  <si>
    <t>P180002</t>
  </si>
  <si>
    <t>대한항공 인천화물터미널 자동화 설비시스템 재구축</t>
  </si>
  <si>
    <t>P180001</t>
  </si>
  <si>
    <t>인하대병원 의료정보시스템 구축</t>
  </si>
  <si>
    <t>P170005</t>
  </si>
  <si>
    <t>(주)진에어 NewPSS 도입 -ODS Migration 개발</t>
  </si>
  <si>
    <t>배준호</t>
  </si>
  <si>
    <t>P170004</t>
  </si>
  <si>
    <t>토파스 카카오 항공권 검색 구축</t>
  </si>
  <si>
    <t>P170003</t>
  </si>
  <si>
    <t>진에어 PSS 연관 시스템 구축</t>
  </si>
  <si>
    <t>P170002</t>
  </si>
  <si>
    <t>2017년 지방의료원 정보화 지원사업</t>
  </si>
  <si>
    <t>P170001</t>
  </si>
  <si>
    <t>고려대학교의료원 종합정보시스템 운영 용역 PJT</t>
  </si>
  <si>
    <t>P160006</t>
  </si>
  <si>
    <t>윈드라이다 관측시스템 구매설치</t>
  </si>
  <si>
    <t>정민섭</t>
  </si>
  <si>
    <t>한국외국어대학교 연구산학협력단</t>
  </si>
  <si>
    <t>P160005</t>
  </si>
  <si>
    <t>한국건강관리협회 지능형 건강검진시스템(MICS) 구축 사업</t>
  </si>
  <si>
    <t>P160004</t>
  </si>
  <si>
    <t>11번가 항공권 Meta Search 시스템 구축</t>
  </si>
  <si>
    <t>P160003</t>
  </si>
  <si>
    <t>2016년 지방의료원 등 정보화 지원사업</t>
  </si>
  <si>
    <t>P160002</t>
  </si>
  <si>
    <t>한국교직원공제회 전산시스템 통합유지보수 용역</t>
  </si>
  <si>
    <t>P160001</t>
  </si>
  <si>
    <t>기상청 연구용 X-밴드 소형레이더 관측망 구축</t>
  </si>
  <si>
    <t>P150008</t>
  </si>
  <si>
    <t>캄보디아 민간항공 관리역량 제고 및 교육센터 건립사업 기자재 공급PJT</t>
  </si>
  <si>
    <t>P150007</t>
  </si>
  <si>
    <t>금융감독원 전산장비 유지보수 사업 PJT</t>
  </si>
  <si>
    <t>금융감독원</t>
  </si>
  <si>
    <t>P150006</t>
  </si>
  <si>
    <t>2015년 지방의료원 등 정보화 지원사업PJT</t>
  </si>
  <si>
    <t>P150005</t>
  </si>
  <si>
    <t>해운대엘시티 복합개발사업 초고층측량 용역</t>
  </si>
  <si>
    <t>(주)포스코건설</t>
  </si>
  <si>
    <t>P150004</t>
  </si>
  <si>
    <t>한진 통합장비관리시스템 구축 PJT</t>
  </si>
  <si>
    <t>P150003</t>
  </si>
  <si>
    <t>중고도무인기 자동점검장비 종합군수지원 개발 PJT</t>
  </si>
  <si>
    <t>엘아이지넥스원(주)연구소</t>
  </si>
  <si>
    <t>P150002</t>
  </si>
  <si>
    <t>진에어 PSS IBE 시스템 개편</t>
  </si>
  <si>
    <t>P150001</t>
  </si>
  <si>
    <t>한진인천컨테이너터미널 운영시스템 구축</t>
  </si>
  <si>
    <t>P140005</t>
  </si>
  <si>
    <t>2014년 지방의료원 등 정보화 지원 사업</t>
  </si>
  <si>
    <t>P140004</t>
  </si>
  <si>
    <t>화성동탄2신도시 아파트 정보통신공사 3공구</t>
  </si>
  <si>
    <t>한국토지주택공사</t>
  </si>
  <si>
    <t>P140003</t>
  </si>
  <si>
    <t>P140002</t>
  </si>
  <si>
    <t>인천국제공항공사 제 1-2 활주로 계기착륙 및 표지시설 개량 사업 PJT</t>
  </si>
  <si>
    <t>P140001</t>
  </si>
  <si>
    <t>2013년 지방의료원 등 정보화 지원사업</t>
  </si>
  <si>
    <t>P130002</t>
  </si>
  <si>
    <t>토파스 통합 웹사이트 구축</t>
  </si>
  <si>
    <t>P130001</t>
  </si>
  <si>
    <t>2012년 지방의료원 등 정보화 지원사업</t>
  </si>
  <si>
    <t>P123003</t>
  </si>
  <si>
    <t>연안해역 정밀조사(서해중부 및 도서부)</t>
  </si>
  <si>
    <t>P123002</t>
  </si>
  <si>
    <t>2012년 지하시설물 정보통합 및 활용시스템 확산사업</t>
  </si>
  <si>
    <t>김영만</t>
  </si>
  <si>
    <t>P123001</t>
  </si>
  <si>
    <t>국가기본도수정(울릉지구)</t>
  </si>
  <si>
    <t>P120019</t>
  </si>
  <si>
    <t>새마을금고 정보통합시스템 통합유지보수 PJT</t>
  </si>
  <si>
    <t>양지유</t>
  </si>
  <si>
    <t>새마을금고중앙회</t>
  </si>
  <si>
    <t>P120018</t>
  </si>
  <si>
    <t>GPS(Global Payment Service) 시스템 구축</t>
  </si>
  <si>
    <t>P120016</t>
  </si>
  <si>
    <t>토파스 UMS시스템 개발</t>
  </si>
  <si>
    <t>P120015</t>
  </si>
  <si>
    <t>[12A-46]공항지하시설물 통합지리정보시스템 구축용역</t>
  </si>
  <si>
    <t>P120014</t>
  </si>
  <si>
    <t>[12A-44]인문지리정보 통합기반구축(서울) 사업</t>
  </si>
  <si>
    <t>P120013</t>
  </si>
  <si>
    <t>[12A-43]1/1,000 수치지형도 제작(구리지구)</t>
  </si>
  <si>
    <t>P120012</t>
  </si>
  <si>
    <t>[12A-39]스마트 전자국토관리시스템 및 확대발전전략계획 수립</t>
  </si>
  <si>
    <t>P120011</t>
  </si>
  <si>
    <t>[12A-32]북한종합 DB 구축 본사업</t>
  </si>
  <si>
    <t>P120010</t>
  </si>
  <si>
    <t>[12A-31]국토모니터링 구축사업</t>
  </si>
  <si>
    <t>P120009</t>
  </si>
  <si>
    <t>[12A-29]2012년 3차원 공간정보 구축사업</t>
  </si>
  <si>
    <t>P120008</t>
  </si>
  <si>
    <t>국토공간 영상정보시스템 유지보수</t>
  </si>
  <si>
    <t>P120007</t>
  </si>
  <si>
    <t>2012년 서울시 하수도관리 전산시스템 유지보수 및 GIS DB 정확도 개선용역</t>
  </si>
  <si>
    <t>P120006</t>
  </si>
  <si>
    <t>부천시 디지털항공사진촬영 및 판독용역</t>
  </si>
  <si>
    <t>부천시청</t>
  </si>
  <si>
    <t>P120005</t>
  </si>
  <si>
    <t>항공사진 촬영 및 DB구축(경기지구)</t>
  </si>
  <si>
    <t>P120004</t>
  </si>
  <si>
    <t>인천시 항공사진촬영 및 판독용역</t>
  </si>
  <si>
    <t>P120003</t>
  </si>
  <si>
    <t>토파스 차세대 IBE시스템 구축</t>
  </si>
  <si>
    <t>P120002</t>
  </si>
  <si>
    <t>통합 장비관리시스템 구축</t>
  </si>
  <si>
    <t>P120001</t>
  </si>
  <si>
    <t>2011년 지방의료원 등 정보화 지원사업</t>
  </si>
  <si>
    <t>P115001</t>
  </si>
  <si>
    <t>예산군 도로와 지하시설물 구축사업 PJT</t>
  </si>
  <si>
    <t>BIZ중점관리PJT</t>
  </si>
  <si>
    <t>김경호</t>
  </si>
  <si>
    <t>예산군청</t>
  </si>
  <si>
    <t>P113009</t>
  </si>
  <si>
    <t>1/1,000 수치지형도 제작(아산지구) PJT</t>
  </si>
  <si>
    <t>P113008</t>
  </si>
  <si>
    <t>2011년 서울시상수도 GIS DB 정확도 개선사업 (강남)</t>
  </si>
  <si>
    <t>P113007</t>
  </si>
  <si>
    <t>지하시설물 정보통합 및 활용시스템 구축 PJT</t>
  </si>
  <si>
    <t>P113006</t>
  </si>
  <si>
    <t>롯데 수퍼타워 초고층 확인측량 PJT</t>
  </si>
  <si>
    <t>롯데물산(주)</t>
  </si>
  <si>
    <t>P113005</t>
  </si>
  <si>
    <t>2011년 서울하수도관리 전산시스템 유지보수 및 GIS DB 정확도 개선 PJT</t>
  </si>
  <si>
    <t>P113004</t>
  </si>
  <si>
    <t>삼각점 유지관리(전주지구) PJT</t>
  </si>
  <si>
    <t>P113003</t>
  </si>
  <si>
    <t>항공사진촬영 및 DB구축(전남제주지구) PJT</t>
  </si>
  <si>
    <t>P113002</t>
  </si>
  <si>
    <t>국가기본도 수정(당진지구) PJT</t>
  </si>
  <si>
    <t>P113001</t>
  </si>
  <si>
    <t>국가기본도 수정(안양지구) PJT</t>
  </si>
  <si>
    <t>P110026</t>
  </si>
  <si>
    <t>수원시 항공사진촬영 및 변동건축물 판독용역</t>
  </si>
  <si>
    <t>P110024</t>
  </si>
  <si>
    <t>2011년 광주시 항공사진(디지털카메라) 촬영·판독 및 정사영상제작 용역</t>
  </si>
  <si>
    <t>광주광역시</t>
  </si>
  <si>
    <t>P110023</t>
  </si>
  <si>
    <t>몽골 울란바타르 토지정보통합시스템 구축 PMC용역 PJT</t>
  </si>
  <si>
    <t>P110022</t>
  </si>
  <si>
    <t>2011년 남극지역 측량 및 지도제작 PJT</t>
  </si>
  <si>
    <t>P110021</t>
  </si>
  <si>
    <t>양평군 도로와 지하시설물 상하수도 DB 구축 PJT</t>
  </si>
  <si>
    <t>양평군청</t>
  </si>
  <si>
    <t>P110020</t>
  </si>
  <si>
    <t>완주군 도로기반 지하시설물 전산화 작업 PJT</t>
  </si>
  <si>
    <t>완주군청</t>
  </si>
  <si>
    <t>P110019</t>
  </si>
  <si>
    <t>연안해역 정밀조사(비인에서 어청도 부근) PJT</t>
  </si>
  <si>
    <t>P110018</t>
  </si>
  <si>
    <t>2011년 항공사진 대시민 서비스 용역 PJT</t>
  </si>
  <si>
    <t>P110017</t>
  </si>
  <si>
    <t>P110016</t>
  </si>
  <si>
    <t>당진군 도로와 지하시설물 공동구축 용역 PJT</t>
  </si>
  <si>
    <t>당진군청</t>
  </si>
  <si>
    <t>P110013</t>
  </si>
  <si>
    <t>양양공항 장애물 정밀측량 및 관리시스템(3D)구축 PJT</t>
  </si>
  <si>
    <t>한국공항공사 양양지사</t>
  </si>
  <si>
    <t>P110012</t>
  </si>
  <si>
    <t>인문지리정보 통합 및 서비스체계 기반구축 PJT</t>
  </si>
  <si>
    <t>P110011</t>
  </si>
  <si>
    <t>고부가 위성정보 DB 정확도 검증용역 PJT</t>
  </si>
  <si>
    <t>노진관</t>
  </si>
  <si>
    <t>P110010</t>
  </si>
  <si>
    <t>서해남부 및 도서부 연안해역 정밀조사 PJT</t>
  </si>
  <si>
    <t>P110009</t>
  </si>
  <si>
    <t>인하국제의료센터 종합정보시스템 구축 PJT</t>
  </si>
  <si>
    <t>(학)정석인하학원</t>
  </si>
  <si>
    <t>P110008</t>
  </si>
  <si>
    <t>해외긴급구호이동식병원구축 PJT</t>
  </si>
  <si>
    <t>한국국제보건의료재단</t>
  </si>
  <si>
    <t>P110007</t>
  </si>
  <si>
    <t>대한항공 개발 표준프레임워크 도입/구축 PJT</t>
  </si>
  <si>
    <t>P110006</t>
  </si>
  <si>
    <t>해양경찰청 통합 장비수리관리시스템 구축 PJT</t>
  </si>
  <si>
    <t>해양경찰청</t>
  </si>
  <si>
    <t>P110005</t>
  </si>
  <si>
    <t>응급의료 전용헬기 운항관리시스템 PJT</t>
  </si>
  <si>
    <t>P110004</t>
  </si>
  <si>
    <t>TV조선 종합편성채널을 위한 방송설비 구축 PJT</t>
  </si>
  <si>
    <t>(주)조선방송</t>
  </si>
  <si>
    <t>P110003</t>
  </si>
  <si>
    <t>잡코리아(Job Korea) 차세대 영업관리시스템 구축 PJT</t>
  </si>
  <si>
    <t>잡코리아(유)</t>
  </si>
  <si>
    <t>P110002</t>
  </si>
  <si>
    <t>한진관광 웹사이트 리뉴얼 PJT</t>
  </si>
  <si>
    <t>P110001</t>
  </si>
  <si>
    <t>P103010</t>
  </si>
  <si>
    <t>2010년 화성시 상수도 GIS DB 구축 PJT</t>
  </si>
  <si>
    <t>P103009</t>
  </si>
  <si>
    <t>1/2,500 대축척 전자지도(수치지형도) 구축 PJT</t>
  </si>
  <si>
    <t>P103008</t>
  </si>
  <si>
    <t>2010년 지하시설물 통합관리 및 활용체계 구축 PJT</t>
  </si>
  <si>
    <t>P103007</t>
  </si>
  <si>
    <t>진해, 고성부근 항공라이다 측량 및 DB구축 PJT</t>
  </si>
  <si>
    <t>P103006</t>
  </si>
  <si>
    <t>2010년 서울시 하수도관리전산시스템 유지보수 및 GIS DB 정확도 개선 PJT</t>
  </si>
  <si>
    <t>P103005</t>
  </si>
  <si>
    <t>2010년 상수도 GIS DB 정확도 개선(강남지역)</t>
  </si>
  <si>
    <t>서울시상수도사업본부</t>
  </si>
  <si>
    <t>P103004</t>
  </si>
  <si>
    <t>아산지구 1/1,000 수치지형도 수정제작 PJT</t>
  </si>
  <si>
    <t>P103003</t>
  </si>
  <si>
    <t>창원지구 1/1,000 수치지형도 수정제작 PJT</t>
  </si>
  <si>
    <t>P103001</t>
  </si>
  <si>
    <t>삼척지구 통합기준점 측량 PJT</t>
  </si>
  <si>
    <t>P100099</t>
  </si>
  <si>
    <t>P100016</t>
  </si>
  <si>
    <t>전국 연속정사영상관리프로그램 개발 및 시범 제작 PJT</t>
  </si>
  <si>
    <t>P100015</t>
  </si>
  <si>
    <t>2010년 남극지역 측량 및 지도 제작 PJT</t>
  </si>
  <si>
    <t>P100014</t>
  </si>
  <si>
    <t>거제도 부근 해안선 조사 PJT</t>
  </si>
  <si>
    <t>P100013</t>
  </si>
  <si>
    <t>고부가 위성정보 정확도 검증 및 기준점 측위 PJT</t>
  </si>
  <si>
    <t>P100012</t>
  </si>
  <si>
    <t>거문오름 용암동굴계 정밀측량 용역 PJT</t>
  </si>
  <si>
    <t>제주특별자치도 세계자연유산관리본부</t>
  </si>
  <si>
    <t>P100011</t>
  </si>
  <si>
    <t>광역도시권 항공사진 촬영(제1지구) PJT</t>
  </si>
  <si>
    <t>P100010</t>
  </si>
  <si>
    <t>양천메디컬센터 통합의료정보시스템 공동구축 PJT</t>
  </si>
  <si>
    <t>서울특별시서남병원</t>
  </si>
  <si>
    <t>P100009</t>
  </si>
  <si>
    <t>서울의료원 통합의료정보시스템 공동구축 PJT</t>
  </si>
  <si>
    <t>서울특별시서울의료원</t>
  </si>
  <si>
    <t>P100008</t>
  </si>
  <si>
    <t>한국 뉴욕주립대학교 통합정보시스템 구축(1단계) PJT</t>
  </si>
  <si>
    <t>송도테크노파크</t>
  </si>
  <si>
    <t>P100007</t>
  </si>
  <si>
    <t>한국건강관리협회 통합정보시스템 구축 ISP 수립 용역 PJT</t>
  </si>
  <si>
    <t>국민건강보험공단</t>
  </si>
  <si>
    <t>P100006</t>
  </si>
  <si>
    <t>스마트폰 기반 맞춤형 환자관리시스템 구축 PJT</t>
  </si>
  <si>
    <t>(주)엠티엠</t>
  </si>
  <si>
    <t>P100005</t>
  </si>
  <si>
    <t>KC그린홀딩스 IT아웃소싱 서비스(SM부문)</t>
  </si>
  <si>
    <t>P100004</t>
  </si>
  <si>
    <t>삼성SDS Global FIS 시스템 개발 PJT</t>
  </si>
  <si>
    <t>P100003</t>
  </si>
  <si>
    <t>공용여객처리시스템(CUPPS) 개발</t>
  </si>
  <si>
    <t>P100002</t>
  </si>
  <si>
    <t>안동지구 국가기본도 수정 제작 PJT</t>
  </si>
  <si>
    <t>P100001</t>
  </si>
  <si>
    <t>건국대병원 의료정보시스템 유지보수 PJT</t>
  </si>
  <si>
    <t>건국대학교병원</t>
  </si>
  <si>
    <t>P093004</t>
  </si>
  <si>
    <t>09년 김천지구 1/1,000 수치지형도 수정제작 PJT</t>
  </si>
  <si>
    <t>P093003</t>
  </si>
  <si>
    <t>와도지구 국가기본도 수정 제작 PJT</t>
  </si>
  <si>
    <t>P093002</t>
  </si>
  <si>
    <t>남악신도시 지리정보시스템(GIS) 구축 PJT</t>
  </si>
  <si>
    <t>P093001</t>
  </si>
  <si>
    <t>청주시 공간데이터웨어하우스 구축 용역 PJT</t>
  </si>
  <si>
    <t>청주시청</t>
  </si>
  <si>
    <t>P090029</t>
  </si>
  <si>
    <t>인문지리정보 통합 및 서비스체계 구축 PJT</t>
  </si>
  <si>
    <t>P090028</t>
  </si>
  <si>
    <t>상주시 도로와 지하시설물 공동 구축(2단계) PJT</t>
  </si>
  <si>
    <t>P090027</t>
  </si>
  <si>
    <t>09년 고양시 GIS(하수도) DB 구축 PJT</t>
  </si>
  <si>
    <t>고양시청</t>
  </si>
  <si>
    <t>P090026</t>
  </si>
  <si>
    <t>인천시 디지털 항공사진촬영 판독 및 DB구축 PJT</t>
  </si>
  <si>
    <t>P090025</t>
  </si>
  <si>
    <t>부산시 도로기반 지하시설물 DB구축 용역 PJT</t>
  </si>
  <si>
    <t>P090024</t>
  </si>
  <si>
    <t>2009 남극지역 측량 및 지도 제작 PJT</t>
  </si>
  <si>
    <t>P090023</t>
  </si>
  <si>
    <t>수자원공사 수도정보 통합관리체계 구축 PJT</t>
  </si>
  <si>
    <t>P090022</t>
  </si>
  <si>
    <t>국토지리정보원 영상정보 통합관리시스템 구축 PJT</t>
  </si>
  <si>
    <t>P090021</t>
  </si>
  <si>
    <t>화성시 세계측지계 변환 및 구조화 편집 용역 PJT</t>
  </si>
  <si>
    <t>P090020</t>
  </si>
  <si>
    <t>제주 용천 및 당처물동굴 3D GIS 구축 PJT</t>
  </si>
  <si>
    <t>제주도청</t>
  </si>
  <si>
    <t>P090019</t>
  </si>
  <si>
    <t>수도 GIS DB 세계측지계 변환 PJT</t>
  </si>
  <si>
    <t>P090018</t>
  </si>
  <si>
    <t>인천공항공사 장애물관리시스템 구축 PJT</t>
  </si>
  <si>
    <t>P090017</t>
  </si>
  <si>
    <t>김포시 도로와 지하시설물 공동구축 2단계사업 PJT</t>
  </si>
  <si>
    <t>김포시청</t>
  </si>
  <si>
    <t>P090016</t>
  </si>
  <si>
    <t>09년 군산시 지리정보시스템(GIS) 구축 PJT</t>
  </si>
  <si>
    <t>군산시청</t>
  </si>
  <si>
    <t>P090015</t>
  </si>
  <si>
    <t>국토해양부 지하시설물 통합관리체계 구축 PJT</t>
  </si>
  <si>
    <t>P090014</t>
  </si>
  <si>
    <t>09년 제주시 도로와 상하수도 전산화 용역 PJT</t>
  </si>
  <si>
    <t>제주시청</t>
  </si>
  <si>
    <t>P090013</t>
  </si>
  <si>
    <t>제주, 여수공항 장애물 정밀측량 및 관리시스템 구축 PJT</t>
  </si>
  <si>
    <t>한국공항공사 제주지역본부</t>
  </si>
  <si>
    <t>P090012</t>
  </si>
  <si>
    <t>09년 상수도 GIS DB 정확도 개선(강남) PJT</t>
  </si>
  <si>
    <t>서울시 상수도사업본부</t>
  </si>
  <si>
    <t>P090011</t>
  </si>
  <si>
    <t>경주 남산 문화재관리시스템 개선 PJT</t>
  </si>
  <si>
    <t>경주시청</t>
  </si>
  <si>
    <t>P090010</t>
  </si>
  <si>
    <t>서울지구 국가기본도 수정 PJT</t>
  </si>
  <si>
    <t>P090009</t>
  </si>
  <si>
    <t>09년 서울시 하수도관리전산시스템 유지보수 및 개선 PJT</t>
  </si>
  <si>
    <t>P090008</t>
  </si>
  <si>
    <t>국가공간정보체계 시범구축 용역 PJT</t>
  </si>
  <si>
    <t>P090007</t>
  </si>
  <si>
    <t>수치표고모델 및 정사영상지도 구축(가평,양평군) PJT</t>
  </si>
  <si>
    <t>P090006</t>
  </si>
  <si>
    <t>광명시 지리정보시스템 세계측지계 전환 PJT</t>
  </si>
  <si>
    <t>P090005</t>
  </si>
  <si>
    <t>09년 제주지구 1/1,000 수치지형도 수정제작 PJT</t>
  </si>
  <si>
    <t>P090004</t>
  </si>
  <si>
    <t>RFID기반 항공 수입화물통관체제 확대 구축 PJT</t>
  </si>
  <si>
    <t>삼성SDS본사</t>
  </si>
  <si>
    <t>P090003</t>
  </si>
  <si>
    <t>화성시 u-만성질환관리시스템 구축 PJT</t>
  </si>
  <si>
    <t>P090002</t>
  </si>
  <si>
    <t>KD그룹 통합신정보시스템 구축 PJT</t>
  </si>
  <si>
    <t>경기고속/대원고속</t>
  </si>
  <si>
    <t>P090001</t>
  </si>
  <si>
    <t>현대로템 뉴질랜드 GWRL Maximo 시스템 구축 PJT</t>
  </si>
  <si>
    <t>현대로템주식회사</t>
  </si>
  <si>
    <t>P084001</t>
  </si>
  <si>
    <t>S-Oil 그룹웨어시스템 구축 PJT</t>
  </si>
  <si>
    <t>P083007</t>
  </si>
  <si>
    <t>시흥시 도시계획 재정비 용역 PJT</t>
  </si>
  <si>
    <t>P083006</t>
  </si>
  <si>
    <t>08년 접근불능지역 지리정보 구축 PJT</t>
  </si>
  <si>
    <t>P083005</t>
  </si>
  <si>
    <t>항공라이다 이용 국가기본도 수정 제작(산청지구) PJT</t>
  </si>
  <si>
    <t>P083004</t>
  </si>
  <si>
    <t>1/1000 수치지형도 수정 제작(제주지구) PJT</t>
  </si>
  <si>
    <t>P083003</t>
  </si>
  <si>
    <t>국가기본도 수정 제작(익산지구) PJT</t>
  </si>
  <si>
    <t>P083002</t>
  </si>
  <si>
    <t>항공사진촬영 및 DB 구축(전남 2지구) PJT</t>
  </si>
  <si>
    <t>P083001</t>
  </si>
  <si>
    <t>3등기준점 측량(평택지구) PJT</t>
  </si>
  <si>
    <t>P080029</t>
  </si>
  <si>
    <t>08년 수치표고자료 및 정사영상지도 구축(부천,시흥,안산시) PJT</t>
  </si>
  <si>
    <t>P080028</t>
  </si>
  <si>
    <t>2008년 도시계획정보체계(UPIS) 확산 사업 PJT</t>
  </si>
  <si>
    <t>P080027</t>
  </si>
  <si>
    <t>기준점 설치 및 수치지도 제작 용역 PJT</t>
  </si>
  <si>
    <t>한국수력원자력</t>
  </si>
  <si>
    <t>P080026</t>
  </si>
  <si>
    <t>강원도 지방도 도로대장 전산화 용역 PJT</t>
  </si>
  <si>
    <t>강원도 도로관리사업소</t>
  </si>
  <si>
    <t>P080025</t>
  </si>
  <si>
    <t>2008년 서울시 상수도 GIS DB 정확도 개선 PJT</t>
  </si>
  <si>
    <t>P080024</t>
  </si>
  <si>
    <t>국토지리정보원 공간데이터웨어하우스 표준설계 용역 PJT</t>
  </si>
  <si>
    <t>P080023</t>
  </si>
  <si>
    <t>진해시 UIS변동자료 갱신 및 세계측지계 변환 PJT</t>
  </si>
  <si>
    <t>진해시청</t>
  </si>
  <si>
    <t>P080022</t>
  </si>
  <si>
    <t>경기도 개발제한구역 항공사진 DB 구축 PJT</t>
  </si>
  <si>
    <t>P080021</t>
  </si>
  <si>
    <t>하동지구 1/5,000 수치지형도 등고선 제작 PJT</t>
  </si>
  <si>
    <t>P080020</t>
  </si>
  <si>
    <t>충주시 도로와 지하시설물 공동구축 PJT</t>
  </si>
  <si>
    <t>충주시청</t>
  </si>
  <si>
    <t>P080019</t>
  </si>
  <si>
    <t>NAVER 디지털 항공촬영 및 정사영상 제작 PJT</t>
  </si>
  <si>
    <t>엔에이치엔(주)</t>
  </si>
  <si>
    <t>P080018</t>
  </si>
  <si>
    <t>창원시 도시정보(UIS) 통합지원시스템 구축 용역</t>
  </si>
  <si>
    <t>P080017</t>
  </si>
  <si>
    <t>남양주시 도로시설물 DB구축 PJT</t>
  </si>
  <si>
    <t>P080016</t>
  </si>
  <si>
    <t>제주시 GIS 세계측지계 변환 PJT</t>
  </si>
  <si>
    <t>P080015</t>
  </si>
  <si>
    <t>2008년 수치표고자료 및 정사영상지도 구축 PJT</t>
  </si>
  <si>
    <t>오종민</t>
  </si>
  <si>
    <t>P080014</t>
  </si>
  <si>
    <t>청주시 도로와 지하시설물 공동구축 PJT</t>
  </si>
  <si>
    <t>P080013</t>
  </si>
  <si>
    <t>08년 서울시 하수도관리전산시스템 유지보수 및 개선 용역 PJT</t>
  </si>
  <si>
    <t>P080012</t>
  </si>
  <si>
    <t>장애물 정밀측량 및 관리시스템(3D) 구축 PJT</t>
  </si>
  <si>
    <t>P080011</t>
  </si>
  <si>
    <t>부산지구 1/1,000 수치지형도 수정제작 PJT</t>
  </si>
  <si>
    <t>P080010</t>
  </si>
  <si>
    <t>2008년 고양시 GIS(하수도) 구축 PJT</t>
  </si>
  <si>
    <t>P080009</t>
  </si>
  <si>
    <t>2008년 해안선조사측량 및 DB구축 PJT</t>
  </si>
  <si>
    <t>P080008</t>
  </si>
  <si>
    <t>동해시 도로와 지하시설물 공동구축 PJT</t>
  </si>
  <si>
    <t>동해시청</t>
  </si>
  <si>
    <t>P080007</t>
  </si>
  <si>
    <t>글로비스 선사운영시스템 구축 PJT</t>
  </si>
  <si>
    <t>웹투게더(주)</t>
  </si>
  <si>
    <t>P080006</t>
  </si>
  <si>
    <t>외환은행 CASS 담보관리시스템 개발 용역 PJT</t>
  </si>
  <si>
    <t>하나은행 방화동</t>
  </si>
  <si>
    <t>P080005</t>
  </si>
  <si>
    <t>08년 대우로지스틱스 통합물류정보시스템 유지보수 용역 PJT</t>
  </si>
  <si>
    <t>P080004</t>
  </si>
  <si>
    <t>USN 기반 원격 건강모니터링시스템 구축 PJT</t>
  </si>
  <si>
    <t>P080003</t>
  </si>
  <si>
    <t>방위사업청 행정업무지원체계 구축 PJT</t>
  </si>
  <si>
    <t>P080002</t>
  </si>
  <si>
    <t>대한항공 항공의료정보시스템 구축 PJT</t>
  </si>
  <si>
    <t>(주)대한항공</t>
  </si>
  <si>
    <t>P080001</t>
  </si>
  <si>
    <t>The Classic 500 통합정보시스템 개발 구축 PJT</t>
  </si>
  <si>
    <t>P074001</t>
  </si>
  <si>
    <t>대한상사중재원 정보화 구축 및 관리 PJT</t>
  </si>
  <si>
    <t>박성현</t>
  </si>
  <si>
    <t>(사단)대한상사중재원</t>
  </si>
  <si>
    <t>P073009</t>
  </si>
  <si>
    <t>서울시 상수도GIS DB정확도개선사업(강북지역)</t>
  </si>
  <si>
    <t>P073007</t>
  </si>
  <si>
    <t>경북도로대장 전산화 용역 PJT</t>
  </si>
  <si>
    <t>경북도청종합건설사업소</t>
  </si>
  <si>
    <t>P073006</t>
  </si>
  <si>
    <t>국토공간영상정보 DB 구축(4차) PJT</t>
  </si>
  <si>
    <t>한국정보화진흥원(폐업)</t>
  </si>
  <si>
    <t>P073005</t>
  </si>
  <si>
    <t>2007년 수치표고자료 및 정사영상지도 구축 PJT</t>
  </si>
  <si>
    <t>P073004</t>
  </si>
  <si>
    <t>서울시 항공사진이미지데이터 구축 PJT</t>
  </si>
  <si>
    <t>P073003</t>
  </si>
  <si>
    <t>포천지구 국가기본도 수정 PJT</t>
  </si>
  <si>
    <t>P073002</t>
  </si>
  <si>
    <t>엄정지구 국가기본도 수정 PJT</t>
  </si>
  <si>
    <t>P073001</t>
  </si>
  <si>
    <t>제주지구 1/1,000 수치지형도 수정 제작 PJT</t>
  </si>
  <si>
    <t>P070034</t>
  </si>
  <si>
    <t>칠곡군 수치지형도 및 정사영상지도 제작 PJT</t>
  </si>
  <si>
    <t>P070033</t>
  </si>
  <si>
    <t>성남시 예측행정시스템 확대 구축 PJT</t>
  </si>
  <si>
    <t>P070032</t>
  </si>
  <si>
    <t>경주시 도로와 지하시설물도 공동구축사업</t>
  </si>
  <si>
    <t>P070031</t>
  </si>
  <si>
    <t>인천시 2007년 항공사진촬영판독 및 DB구축 PJT</t>
  </si>
  <si>
    <t>P070030</t>
  </si>
  <si>
    <t>영천시 도로와 지하시설물 공동구축 PJT</t>
  </si>
  <si>
    <t>영천시청</t>
  </si>
  <si>
    <t>P070029</t>
  </si>
  <si>
    <t>천안시 상수도 조회시스템 수정 및 편집시스템 추가 개발 PJT</t>
  </si>
  <si>
    <t>천안시청</t>
  </si>
  <si>
    <t>P070028</t>
  </si>
  <si>
    <t>모로코 해외사업 항공사진측량 기술자문 용역 PJT</t>
  </si>
  <si>
    <t>P070027</t>
  </si>
  <si>
    <t>보령시 도로와 지하시설물 공동구축 PJT</t>
  </si>
  <si>
    <t>김광윤</t>
  </si>
  <si>
    <t>보령시청</t>
  </si>
  <si>
    <t>P070026</t>
  </si>
  <si>
    <t>창원시 GIS 통합정보 및 U-창원 전략계획 수립 PJT</t>
  </si>
  <si>
    <t>P070025</t>
  </si>
  <si>
    <t>울산시 지리정보 세계측지계 변환 PJT</t>
  </si>
  <si>
    <t>울산광역시시청</t>
  </si>
  <si>
    <t>P070024</t>
  </si>
  <si>
    <t>대전시 공간정보데이터웨어하우스(3단계) 구축 PJT</t>
  </si>
  <si>
    <t>대전광역시청</t>
  </si>
  <si>
    <t>P070023</t>
  </si>
  <si>
    <t>창원시 도시정보시스템 3단계 개발 용역 PJT</t>
  </si>
  <si>
    <t>P070022</t>
  </si>
  <si>
    <t>인천시 도시정보시스템 고도화 및 도로굴착복구관리시스템 구축 PJT</t>
  </si>
  <si>
    <t>P070021</t>
  </si>
  <si>
    <t>행정중심복합도시 3차원 지리정보체계 기본계획 및 구축, 활용방안 연구 PJT</t>
  </si>
  <si>
    <t>P070020</t>
  </si>
  <si>
    <t>논산시 도로와 지하시설물 공동 구축 PJT</t>
  </si>
  <si>
    <t>한조일</t>
  </si>
  <si>
    <t>논산시청</t>
  </si>
  <si>
    <t>P070019</t>
  </si>
  <si>
    <t>화성시 상수도 GIS DB 구축 PJT</t>
  </si>
  <si>
    <t>P070018</t>
  </si>
  <si>
    <t>접근불능지역 지리정보시스템 구축 PJT</t>
  </si>
  <si>
    <t>P070017</t>
  </si>
  <si>
    <t>07년 서울시 1/1000 수치지도 수시 갱신 PJT</t>
  </si>
  <si>
    <t>P070016</t>
  </si>
  <si>
    <t>남양주시 도로기반시설물 통합관리시스템 구축 PJT</t>
  </si>
  <si>
    <t>P070015</t>
  </si>
  <si>
    <t>2007년 고양시 GIS(하수도) 구축 용역 PJT</t>
  </si>
  <si>
    <t>P070014</t>
  </si>
  <si>
    <t>포항시 1/1,000 수치지형도 세계측지계 변환 PJT</t>
  </si>
  <si>
    <t>P070013</t>
  </si>
  <si>
    <t>산림 GIS 표준화체계 구축 PJT</t>
  </si>
  <si>
    <t>P070012</t>
  </si>
  <si>
    <t>남양주시 읍면지역 GIS(50mm이하) PJT</t>
  </si>
  <si>
    <t>P070011</t>
  </si>
  <si>
    <t>군산시 다차원공간정보구축 PJT</t>
  </si>
  <si>
    <t>P070010</t>
  </si>
  <si>
    <t>이천시 도시기반시설물 관리시스템 구축 PJT</t>
  </si>
  <si>
    <t>윤인준</t>
  </si>
  <si>
    <t>이천시청</t>
  </si>
  <si>
    <t>P070009</t>
  </si>
  <si>
    <t>한국글로발로지스틱스 MSB 시스템 개발 및 구축 PJT</t>
  </si>
  <si>
    <t>P070008</t>
  </si>
  <si>
    <t>부산시 도시정보시스템 세계좌표 변환 PJT</t>
  </si>
  <si>
    <t>P070007</t>
  </si>
  <si>
    <t>한라병원 종합의료정보시스템 구축 PJT</t>
  </si>
  <si>
    <t>P070006</t>
  </si>
  <si>
    <t>대한항공 정석비행장 DVOR/DME 구축</t>
  </si>
  <si>
    <t>P070005</t>
  </si>
  <si>
    <t>2007년 해양안전심판관리시스템 유지보수 용역 PJT</t>
  </si>
  <si>
    <t>중앙해양안전심판원</t>
  </si>
  <si>
    <t>P070004</t>
  </si>
  <si>
    <t>드림날개 수배송물류 및 차량관제시스템 구축 PJT</t>
  </si>
  <si>
    <t>(주)드림날개</t>
  </si>
  <si>
    <t>P070003</t>
  </si>
  <si>
    <t>KAL New Weight &amp; Balance 시스템 개발 PJT</t>
  </si>
  <si>
    <t>P070002</t>
  </si>
  <si>
    <t>TOPAS Value Office II 시스템 구축 PJT</t>
  </si>
  <si>
    <t>토파스여행정보(주)</t>
  </si>
  <si>
    <t>P070001</t>
  </si>
  <si>
    <t>부산교통공사 정보시스템 코드 표준화 및 데이터 처리속도 개선용역</t>
  </si>
  <si>
    <t>부산교통공사</t>
  </si>
  <si>
    <t>P063838</t>
  </si>
  <si>
    <t>화성지구 1/1,000 수치지형도 수정제작 PJT</t>
  </si>
  <si>
    <t>P061884</t>
  </si>
  <si>
    <t>삼척시 도로와 지하시설물(상하수)도 공동구축 PJT</t>
  </si>
  <si>
    <t>경명렬</t>
  </si>
  <si>
    <t>삼척시청</t>
  </si>
  <si>
    <t>P061883</t>
  </si>
  <si>
    <t>3차원 국토공간정보 구축사업 용역</t>
  </si>
  <si>
    <t>이승헌</t>
  </si>
  <si>
    <t>P061882</t>
  </si>
  <si>
    <t>수치표고자료 및 정사영상지도 구축</t>
  </si>
  <si>
    <t>P061881</t>
  </si>
  <si>
    <t>양주시 지리정보시스템 구축 PJT</t>
  </si>
  <si>
    <t>양주시청</t>
  </si>
  <si>
    <t>P061880</t>
  </si>
  <si>
    <t>울산시 다차원공간정보 구축 PJT</t>
  </si>
  <si>
    <t>P061879</t>
  </si>
  <si>
    <t>신울진 1,2호기 지형측량조사 용역 PJT</t>
  </si>
  <si>
    <t>P061873</t>
  </si>
  <si>
    <t>무안군 기업도시 항공측량 용역 PJT</t>
  </si>
  <si>
    <t>P061864</t>
  </si>
  <si>
    <t>부산, 진해경제자유구역 명지, 명동지구 항공사진측량 용역 PJT</t>
  </si>
  <si>
    <t>P061860</t>
  </si>
  <si>
    <t>군산지구 1/1,000 수치지형도 수정제작 PJT</t>
  </si>
  <si>
    <t>P061852</t>
  </si>
  <si>
    <t>항공사진촬영 및 DB 구축(수도권1지구) PJT</t>
  </si>
  <si>
    <t>P061839</t>
  </si>
  <si>
    <t>국방시설통합정보체계 1단계 성능개선 및 유지보수 사업</t>
  </si>
  <si>
    <t>P061838</t>
  </si>
  <si>
    <t>대우로지스틱스 통합물류정보시스템 구축</t>
  </si>
  <si>
    <t>P061837</t>
  </si>
  <si>
    <t>토파스 사내전산시스템 개선 구축 PJT</t>
  </si>
  <si>
    <t>P061836</t>
  </si>
  <si>
    <t>항공화물 국가경쟁력 강화를 위한 공통 RFID 인프라 구축</t>
  </si>
  <si>
    <t>최성무</t>
  </si>
  <si>
    <t>P061834</t>
  </si>
  <si>
    <t>토파스 여행사용 홈페이지 개편 PJT</t>
  </si>
  <si>
    <t>P061833</t>
  </si>
  <si>
    <t>서울시 하수도관리전산시스템(S/W) 유지보수 및 보완개발 용역</t>
  </si>
  <si>
    <t>서울특별시청</t>
  </si>
  <si>
    <t>P061823</t>
  </si>
  <si>
    <t>인천공항 제2화물터미널 신축 네트웍 구축 PJT</t>
  </si>
  <si>
    <t>P061802</t>
  </si>
  <si>
    <t>화성시 수치지형도 제작 및 지형도면고시 PJT</t>
  </si>
  <si>
    <t>P061799</t>
  </si>
  <si>
    <t>남양주시 상수도시설물 DB구축 용역 PJT</t>
  </si>
  <si>
    <t>P061789</t>
  </si>
  <si>
    <t>해양안전심판 판례검색시스템 구축 용역 PJT</t>
  </si>
  <si>
    <t>P061788</t>
  </si>
  <si>
    <t>화성동탄 U-City구축사업 PJT</t>
  </si>
  <si>
    <t>P061678</t>
  </si>
  <si>
    <t>06년 국토공간영상정보 DB 구축 PJT</t>
  </si>
  <si>
    <t>P061664</t>
  </si>
  <si>
    <t>김포시 도로와 지하시설물도 공동 구축 PJT</t>
  </si>
  <si>
    <t>P051796</t>
  </si>
  <si>
    <t>혁신도시부지 항공측량 용역 PJT</t>
  </si>
  <si>
    <t>P051790</t>
  </si>
  <si>
    <t>한국공항 제2화물터미널 IT 구축 PJT</t>
  </si>
  <si>
    <t>P051702</t>
  </si>
  <si>
    <t>2006년 다차원공간정보구축 PJT</t>
  </si>
  <si>
    <t>P051623</t>
  </si>
  <si>
    <t>대축적 지도제작용 디지털카메라 실용화방안 연구 PJT</t>
  </si>
  <si>
    <t>P051622</t>
  </si>
  <si>
    <t>국방시설통합정보체계 유지보수 컨설팅</t>
  </si>
  <si>
    <t>국방부</t>
  </si>
  <si>
    <t>P051615</t>
  </si>
  <si>
    <t>인천공항 제2화물터미널 신축공사(보안시스템 철거 및 이설공사)</t>
  </si>
  <si>
    <t>P051610</t>
  </si>
  <si>
    <t>군산시 지리정보시스템(GIS) 구축 PJT</t>
  </si>
  <si>
    <t>P051609</t>
  </si>
  <si>
    <t>2005년 인천시 항공사진촬영 및 판독용역 PJT</t>
  </si>
  <si>
    <t>P051585</t>
  </si>
  <si>
    <t>부산교통공단 경영정보시스템 개선 및 추가개발 용역</t>
  </si>
  <si>
    <t>부산교통공단</t>
  </si>
  <si>
    <t>P051582</t>
  </si>
  <si>
    <t>부산진역 CY 하역체계 자동화시스템개량 구축 용역 PJT</t>
  </si>
  <si>
    <t>철도전산정보사무소</t>
  </si>
  <si>
    <t>P051577</t>
  </si>
  <si>
    <t>동북아 물류중심실현을 위한 차세대지식기반 항공화물 RFID선도 시범사업</t>
  </si>
  <si>
    <t>한국정보화진흥원</t>
  </si>
  <si>
    <t>P051563</t>
  </si>
  <si>
    <t>2005년도 행정정보 DB 구축사업(해양수산 종합행정정보 DB구축)</t>
  </si>
  <si>
    <t>P051534</t>
  </si>
  <si>
    <t>2005년 고양시 GIS DB구축 용역 PJT</t>
  </si>
  <si>
    <t>P051533</t>
  </si>
  <si>
    <t>문경시 지리정보시스템(GIS) 구축 PJT</t>
  </si>
  <si>
    <t>P051508</t>
  </si>
  <si>
    <t>3차원 공간정보구축 2차년도 시범사업 PJT</t>
  </si>
  <si>
    <t>P051494</t>
  </si>
  <si>
    <t>나주시 도로와 지하시설물 공동구축 PJT</t>
  </si>
  <si>
    <t>이호영</t>
  </si>
  <si>
    <t>P051481</t>
  </si>
  <si>
    <t>서울시 공간데이터 웨어하우스 고도화사업 PJT</t>
  </si>
  <si>
    <t>P051425</t>
  </si>
  <si>
    <t>금산군 도시기본 및 도시관리수립 용역 PJT</t>
  </si>
  <si>
    <t>금산군청</t>
  </si>
  <si>
    <t>P051392</t>
  </si>
  <si>
    <t>항공지도 등 제작 용역 PJT(인천,대구,광주,청주공항)</t>
  </si>
  <si>
    <t>P051388</t>
  </si>
  <si>
    <t>함평만부근 해안선조사측량, DB구축 및 라이다측량 PJT</t>
  </si>
  <si>
    <t>P051386</t>
  </si>
  <si>
    <t>05 서울시 하수도관리전산시스템(S/W) 유지보수 및 보완개발 용역</t>
  </si>
  <si>
    <t>P051385</t>
  </si>
  <si>
    <t>05년 국토공간영상정보 DB구축 및 인터넷서비스시스템 개발</t>
  </si>
  <si>
    <t>P051383</t>
  </si>
  <si>
    <t>광주시 도로와 지하시설물도 공동구축 PJT</t>
  </si>
  <si>
    <t>광주시청</t>
  </si>
  <si>
    <t>P051378</t>
  </si>
  <si>
    <t>1/1,000 수치지도 수정·제작(군산지구)</t>
  </si>
  <si>
    <t>유정근</t>
  </si>
  <si>
    <t>P051331</t>
  </si>
  <si>
    <t>서울시 상수도 GIS 데이터 정비 PJT</t>
  </si>
  <si>
    <t>P051330</t>
  </si>
  <si>
    <t>포항시 도로 및 지하시설물 전산화사업PJT</t>
  </si>
  <si>
    <t>P051329</t>
  </si>
  <si>
    <t>장성군 GB해제취락 및 나노기술단지 도시계획수립 PJT</t>
  </si>
  <si>
    <t>장성군청</t>
  </si>
  <si>
    <t>P041338</t>
  </si>
  <si>
    <t>통영시 도시정보시스템(UIS)구축 사업</t>
  </si>
  <si>
    <t>P041327</t>
  </si>
  <si>
    <t>밀양시 도로와 지하시설물(상.하수)도 공동 구축 본사업</t>
  </si>
  <si>
    <t>P041303</t>
  </si>
  <si>
    <t>인천경제자유구역 U-City 정보화전략 사업PJT</t>
  </si>
  <si>
    <t>인천경제자유구역청</t>
  </si>
  <si>
    <t>P041256</t>
  </si>
  <si>
    <t>다차원공간정보구축사업</t>
  </si>
  <si>
    <t>P041231</t>
  </si>
  <si>
    <t>한국공항 통합조업시스템 구축 PJT</t>
  </si>
  <si>
    <t>한국공항(주)</t>
  </si>
  <si>
    <t>P041224</t>
  </si>
  <si>
    <t>구미권 수도시설 운영정보시스템 GIS DB구축용역</t>
  </si>
  <si>
    <t>P041221</t>
  </si>
  <si>
    <t>해양GIS기반환경구축 3차 사업</t>
  </si>
  <si>
    <t>해양수산부</t>
  </si>
  <si>
    <t>P041218</t>
  </si>
  <si>
    <t>수치정사사진 지도제작 PJT</t>
  </si>
  <si>
    <t>P041216</t>
  </si>
  <si>
    <t>거제시 GIS기본계획 수립 및 도로와 지하시설물 공동구축 사업 PJT</t>
  </si>
  <si>
    <t>거제시</t>
  </si>
  <si>
    <t>P041203</t>
  </si>
  <si>
    <t>예산군 도시기본계획, 도시관리계획 및 항공측량 수립용역</t>
  </si>
  <si>
    <t>P041202</t>
  </si>
  <si>
    <t>포항시 도로 및 지하시설물(상,하수)도 전산화 구축PJT</t>
  </si>
  <si>
    <t>P041192</t>
  </si>
  <si>
    <t>사천시 (후속)도로및 지하시설물(상,하수)도 구축 본사업PJT</t>
  </si>
  <si>
    <t>사천시청</t>
  </si>
  <si>
    <t>P041150</t>
  </si>
  <si>
    <t>항공지도 등 제작 용역 PJT(김해,양양공항)</t>
  </si>
  <si>
    <t>P041149</t>
  </si>
  <si>
    <t>낙동강수계 수변구역 측량 PJT</t>
  </si>
  <si>
    <t>환경관리공단유역관리처</t>
  </si>
  <si>
    <t>P041146</t>
  </si>
  <si>
    <t>화성시 지리정보시스템 구축 PJT</t>
  </si>
  <si>
    <t>P041138</t>
  </si>
  <si>
    <t>2004 고양시 GIS(도로 하수도) 구축 용역</t>
  </si>
  <si>
    <t>P041136</t>
  </si>
  <si>
    <t>대한해운 통합정보시스템 구축</t>
  </si>
  <si>
    <t>대한FA</t>
  </si>
  <si>
    <t>P041098</t>
  </si>
  <si>
    <t>옥천군 기본 및 관리계획 토지적성평가 항공측량용역</t>
  </si>
  <si>
    <t>옥천군청</t>
  </si>
  <si>
    <t>P041092</t>
  </si>
  <si>
    <t>보은군 군계획 수립 및 항공측량용역 PJT</t>
  </si>
  <si>
    <t>보은군청</t>
  </si>
  <si>
    <t>P041090</t>
  </si>
  <si>
    <t>광양항3-3컨테이너터미널 민자사업 정보시스템 컨설팅PJT</t>
  </si>
  <si>
    <t>동양고속건설(주)</t>
  </si>
  <si>
    <t>P041088</t>
  </si>
  <si>
    <t>마산시 도로와 지하시설물도 공동구축사업</t>
  </si>
  <si>
    <t>이홍술</t>
  </si>
  <si>
    <t>마산시청</t>
  </si>
  <si>
    <t>P041083</t>
  </si>
  <si>
    <t>2004 항공사진 이미지데이타 구축 사업</t>
  </si>
  <si>
    <t>김윤형</t>
  </si>
  <si>
    <t>P041067</t>
  </si>
  <si>
    <t>한진택배 업무개선 시스템 구축</t>
  </si>
  <si>
    <t>윤의식</t>
  </si>
  <si>
    <t>(주)한진</t>
  </si>
  <si>
    <t>P041035</t>
  </si>
  <si>
    <t>해양안전심판관리시스템 개선(제3차) 용역</t>
  </si>
  <si>
    <t>P041031</t>
  </si>
  <si>
    <t>공군 장비정비정보체계 개념연구 용역사업 PJT</t>
  </si>
  <si>
    <t>이명용</t>
  </si>
  <si>
    <t>공군본부</t>
  </si>
  <si>
    <t>P041026</t>
  </si>
  <si>
    <t>항공 LiDAR 사업을 위한 Infra구축</t>
  </si>
  <si>
    <t>P041024</t>
  </si>
  <si>
    <t>04년도 지식정보화자원관리(국토공간영상정보DB구축 및 인터넷)구축PJT</t>
  </si>
  <si>
    <t>P041022</t>
  </si>
  <si>
    <t>공주시 도시계획변경 및 도시관리계획 수립 용역PJT</t>
  </si>
  <si>
    <t>공주시청</t>
  </si>
  <si>
    <t>P031828</t>
  </si>
  <si>
    <t>[2002년도]인천국제공항 항공사진 측량</t>
  </si>
  <si>
    <t>P031080</t>
  </si>
  <si>
    <t>2003년 항공사진 영상지도제작 사업 PJT</t>
  </si>
  <si>
    <t>P031053</t>
  </si>
  <si>
    <t>서울시 물류데이타베이스(DB) 구축용역</t>
  </si>
  <si>
    <t>서울시정개발연구원</t>
  </si>
  <si>
    <t>P031020</t>
  </si>
  <si>
    <t>광명시 도로시설물 전산화사업 PJT</t>
  </si>
  <si>
    <t>P031019</t>
  </si>
  <si>
    <t>[밀양시]도로와 지하시설물(상·하수도)공동DB구축사업용역[1차]</t>
  </si>
  <si>
    <t>P031018</t>
  </si>
  <si>
    <t>구미시 도로와 지하시설물(상,하수) 공동구축 용역 PJT</t>
  </si>
  <si>
    <t>구미시청</t>
  </si>
  <si>
    <t>P031017</t>
  </si>
  <si>
    <t>구미시 도시관리계획에 관한 지형도면의 고시용역pjt</t>
  </si>
  <si>
    <t>P031011</t>
  </si>
  <si>
    <t>일산횡성권 수도시설운영정보시스템 GIS DB구축</t>
  </si>
  <si>
    <t>P031009</t>
  </si>
  <si>
    <t>안양시 지하시설물 전산화 구축 PJT</t>
  </si>
  <si>
    <t>P031008</t>
  </si>
  <si>
    <t>일본상공회의소 WEB Test 및 Web Based Training System 구축</t>
  </si>
  <si>
    <t>KDnet</t>
  </si>
  <si>
    <t>P031007</t>
  </si>
  <si>
    <t>2단계 위동 광역정보 시스템 구축</t>
  </si>
  <si>
    <t>(주)위동해운</t>
  </si>
  <si>
    <t>P021006</t>
  </si>
  <si>
    <t>평택시 지리정보시스템구축사업</t>
  </si>
  <si>
    <t>김황수</t>
  </si>
  <si>
    <t>P021005</t>
  </si>
  <si>
    <t>오산시 지리정보시스템 구축 PJT</t>
  </si>
  <si>
    <t>P021004</t>
  </si>
  <si>
    <t>진해시 도시정보시스템 구축 PJT</t>
  </si>
  <si>
    <t>P021003</t>
  </si>
  <si>
    <t>공군 항공기정비정보 유지보수</t>
  </si>
  <si>
    <t>P021002</t>
  </si>
  <si>
    <t>수도권 수도종합관리시스템 구축(5,6단계)</t>
  </si>
  <si>
    <t>P011023</t>
  </si>
  <si>
    <t>2024년 (12월) 항공사업팀 AP 현황</t>
  </si>
  <si>
    <t xml:space="preserve"> 외주용역비</t>
  </si>
  <si>
    <t>협력업체</t>
  </si>
  <si>
    <t>원가부서</t>
  </si>
  <si>
    <t>PJT 코드</t>
  </si>
  <si>
    <t>그룹장</t>
  </si>
  <si>
    <t>결재선 (3.2)</t>
  </si>
  <si>
    <t>Description</t>
  </si>
  <si>
    <t>AR연결</t>
  </si>
  <si>
    <t>코운디티</t>
  </si>
  <si>
    <t>HX-PO-13877</t>
  </si>
  <si>
    <t>smun@hist.co.kr</t>
  </si>
  <si>
    <t>LG CNS, 대한항공 전산업무 도급 외주비 지급(11월)  _산휴직원대체</t>
  </si>
  <si>
    <t>HX-PO-15220</t>
  </si>
  <si>
    <t>SELSPBU</t>
  </si>
  <si>
    <t>LG CNS, 대한항공 UX/UI 운영 도급 외주비 지급(11월)</t>
  </si>
  <si>
    <t>인력파견계약</t>
  </si>
  <si>
    <t>LG CNS, PNS 시스템 유지보수 사업</t>
  </si>
  <si>
    <t>-</t>
  </si>
  <si>
    <t>HX-PO-15227</t>
  </si>
  <si>
    <t>shgwon@hist.co.kr</t>
  </si>
  <si>
    <t>대한항공 전산업무 도급(홈페이지AMS) 외주비 지급(11월)</t>
  </si>
  <si>
    <t>아이스비즈</t>
  </si>
  <si>
    <t>HX-PO-15228</t>
  </si>
  <si>
    <t>이원정보기술</t>
  </si>
  <si>
    <t>HX-PO-15226</t>
  </si>
  <si>
    <t>HX-PO-15224</t>
  </si>
  <si>
    <t>대한항공 UX,UI 운영 도급(SSS) 외주비 지급(11월)_   홈페이지 전산업무</t>
  </si>
  <si>
    <t>코운디티 *대체인력</t>
  </si>
  <si>
    <t>HX-PO-14405</t>
  </si>
  <si>
    <t>HX-PO-15225</t>
  </si>
  <si>
    <t>HX-PO-15222</t>
  </si>
  <si>
    <t>대한항공 전산업무 도급(ERP) 외주비 지급(11월)</t>
  </si>
  <si>
    <t>HX-PO-15221</t>
  </si>
  <si>
    <t>데이터사이언스연구소</t>
  </si>
  <si>
    <t>HX-PO-15223</t>
  </si>
  <si>
    <t>요타씨앤에스</t>
  </si>
  <si>
    <t>HX-PO-14888</t>
  </si>
  <si>
    <t>뱅가드랩</t>
  </si>
  <si>
    <t>HX-PO-14971</t>
  </si>
  <si>
    <t>엔지니어스토리</t>
  </si>
  <si>
    <t>HX-PO-14843</t>
  </si>
  <si>
    <t>대한항공 Crew ODS 구축 사업 관련 대금 지급(11월)</t>
  </si>
  <si>
    <t>빈트와이어</t>
  </si>
  <si>
    <t>HX-PO-14459</t>
  </si>
  <si>
    <t>유씨피아이</t>
  </si>
  <si>
    <t>HX-PO-14457</t>
  </si>
  <si>
    <t>HX-PO-14539</t>
  </si>
  <si>
    <t>HX-PO-14882</t>
  </si>
  <si>
    <t>API240708이수임1040</t>
  </si>
  <si>
    <t>블레저</t>
  </si>
  <si>
    <t>HX-PO-14540</t>
  </si>
  <si>
    <t>인캣</t>
  </si>
  <si>
    <t>HX-PO-13240</t>
  </si>
  <si>
    <t>HX-PO-13598</t>
  </si>
  <si>
    <t>HX-PO-15229</t>
  </si>
  <si>
    <t>yko@hist.co.kr</t>
  </si>
  <si>
    <t>진에어 전산업무 도급(AMS) 외주비 지급(11월)</t>
  </si>
  <si>
    <t>HX-PO-15230</t>
  </si>
  <si>
    <t>HX-PO-15246</t>
  </si>
  <si>
    <t>진에어 홈페이지 및 ODS관리 외주비 지급(11월)</t>
  </si>
  <si>
    <t>진에어 대리점/홈페이지 기능개발 및 유지보수</t>
  </si>
  <si>
    <t>(AP) NW</t>
  </si>
  <si>
    <t>Receive</t>
  </si>
  <si>
    <t>No</t>
  </si>
  <si>
    <t>거래처명</t>
  </si>
  <si>
    <t>PO 번호</t>
  </si>
  <si>
    <t>AP작성</t>
  </si>
  <si>
    <r>
      <rPr>
        <b/>
        <sz val="9"/>
        <color theme="1"/>
        <rFont val="Arial"/>
        <family val="2"/>
      </rPr>
      <t xml:space="preserve">담당자 </t>
    </r>
    <r>
      <rPr>
        <b/>
        <sz val="9"/>
        <color rgb="FFFF0000"/>
        <rFont val="Arial"/>
        <family val="2"/>
      </rPr>
      <t>(결재선 : 3.2)</t>
    </r>
  </si>
  <si>
    <t>지급금액</t>
  </si>
  <si>
    <t>ITEM</t>
  </si>
  <si>
    <t>금액</t>
  </si>
  <si>
    <t>내 용</t>
  </si>
  <si>
    <t>AR매칭</t>
  </si>
  <si>
    <t>mshin@hist.co.kr</t>
  </si>
  <si>
    <t>API240701김행주1025</t>
  </si>
  <si>
    <t>임종화
jhwalim@koreanair.com</t>
  </si>
  <si>
    <t xml:space="preserve">8월분_대한항공 전산센터 임차료 지급_임대료
말일 지급
</t>
  </si>
  <si>
    <r>
      <rPr>
        <sz val="9"/>
        <color rgb="FF000000"/>
        <rFont val="Arial"/>
        <family val="2"/>
      </rPr>
      <t xml:space="preserve">1. 대  상 : 대한항공 전산센터 지하 1층 (면적 : 808.55㎡)
</t>
    </r>
    <r>
      <rPr>
        <b/>
        <sz val="9"/>
        <color rgb="FF000000"/>
        <rFont val="Arial"/>
        <family val="2"/>
      </rPr>
      <t>2. 임차기간 : 2024.04.01 ~ 2025.03.31</t>
    </r>
    <r>
      <rPr>
        <sz val="9"/>
        <color rgb="FF000000"/>
        <rFont val="Arial"/>
        <family val="2"/>
      </rPr>
      <t xml:space="preserve">
3. 사용용도 : 데이터 센터, 네트워크센터, NMC, 컨텍센터
4 .금회지급 : 12,078,020원(VAT별도)</t>
    </r>
  </si>
  <si>
    <t>API240701김행주1241</t>
  </si>
  <si>
    <t xml:space="preserve">8월분_대한항공 전산센터 임차료 지급_관리비
말일 지급
</t>
  </si>
  <si>
    <r>
      <rPr>
        <sz val="9"/>
        <color rgb="FF000000"/>
        <rFont val="Arial"/>
        <family val="2"/>
      </rPr>
      <t xml:space="preserve">1. 대  상 : 대한항공 전산센터 지하 1층 (면적 : 808.55㎡)
</t>
    </r>
    <r>
      <rPr>
        <b/>
        <sz val="9"/>
        <color rgb="FF000000"/>
        <rFont val="Arial"/>
        <family val="2"/>
      </rPr>
      <t>2. 임차기간 : 2024.04.01 ~ 2025.03.31</t>
    </r>
    <r>
      <rPr>
        <sz val="9"/>
        <color rgb="FF000000"/>
        <rFont val="Arial"/>
        <family val="2"/>
      </rPr>
      <t xml:space="preserve">
3. 사용용도 : 데이터 센터, 네트워크센터, NMC, 컨텍센터
4 .금회지급 : 10,421,900원(VAT별도)</t>
    </r>
  </si>
  <si>
    <t>API240701김행주1339</t>
  </si>
  <si>
    <r>
      <rPr>
        <sz val="9"/>
        <color theme="1"/>
        <rFont val="Arial"/>
        <family val="2"/>
      </rPr>
      <t>8월분_대한항공 전산센터 임차료 지급_전기료
말일 지급</t>
    </r>
    <r>
      <rPr>
        <sz val="9"/>
        <color rgb="FFFF0000"/>
        <rFont val="Arial"/>
        <family val="2"/>
      </rPr>
      <t>(매월 변경)</t>
    </r>
    <r>
      <rPr>
        <sz val="9"/>
        <color theme="1"/>
        <rFont val="Arial"/>
        <family val="2"/>
      </rPr>
      <t xml:space="preserve">
</t>
    </r>
  </si>
  <si>
    <r>
      <rPr>
        <sz val="9"/>
        <color rgb="FF000000"/>
        <rFont val="Arial"/>
        <family val="2"/>
      </rPr>
      <t xml:space="preserve">1. 대  상 : 대한항공 전산센터 지하 1층 (면적 : 808.55㎡)
</t>
    </r>
    <r>
      <rPr>
        <b/>
        <sz val="9"/>
        <color rgb="FF000000"/>
        <rFont val="Arial"/>
        <family val="2"/>
      </rPr>
      <t>2. 임차기간 : 2024.04.01 ~ 2025.03.31</t>
    </r>
    <r>
      <rPr>
        <sz val="9"/>
        <color rgb="FF000000"/>
        <rFont val="Arial"/>
        <family val="2"/>
      </rPr>
      <t xml:space="preserve">
3. 사용용도 : 데이터 센터, 네트워크센터, NMC, 컨텍센터
4 .금회지급 : 13,812,910원(VAT별도)</t>
    </r>
  </si>
  <si>
    <t>이테크시스템</t>
  </si>
  <si>
    <r>
      <rPr>
        <b/>
        <sz val="9"/>
        <color rgb="FF000000"/>
        <rFont val="Arial"/>
        <family val="2"/>
      </rPr>
      <t>HX-PO-11652</t>
    </r>
    <r>
      <rPr>
        <sz val="9"/>
        <color rgb="FF000000"/>
        <rFont val="Arial"/>
        <family val="2"/>
      </rPr>
      <t xml:space="preserve">
 8개</t>
    </r>
  </si>
  <si>
    <t>API241130김행주1627</t>
  </si>
  <si>
    <t>박재민차장
jpark@hist.co.kr</t>
  </si>
  <si>
    <t>11월분_UC Hosting(ASP 장비) 운영서비스 장비 유지보수료</t>
  </si>
  <si>
    <t>IPT 서버</t>
  </si>
  <si>
    <r>
      <rPr>
        <sz val="9"/>
        <color rgb="FF000000"/>
        <rFont val="Arial"/>
        <family val="2"/>
      </rPr>
      <t xml:space="preserve">1. 계 약 명 : UC Hosting(ASP 장비) 운영서비스 장비 유지보수료
 2. 대상장비 : IP Centrex Package ASP
</t>
    </r>
    <r>
      <rPr>
        <b/>
        <sz val="9"/>
        <color rgb="FF000000"/>
        <rFont val="Arial"/>
        <family val="2"/>
      </rPr>
      <t xml:space="preserve"> 3. 계약기간 : 2021.09.01 ~ 2026.08.31</t>
    </r>
    <r>
      <rPr>
        <sz val="9"/>
        <color rgb="FF000000"/>
        <rFont val="Arial"/>
        <family val="2"/>
      </rPr>
      <t xml:space="preserve">
 4. 계약금액 : 1,132,800,000원/년(VAT별도)
 5. 금회지급 : 18,880,000원(VAT별도)
 6. 외주업체 : 이테크시스템
* 2024.09~2026.08</t>
    </r>
  </si>
  <si>
    <t>UC 라이선스
(zoom)
2024-09-01부 변경
(2024.09~2026.08)</t>
  </si>
  <si>
    <t>UC 라이선스</t>
  </si>
  <si>
    <r>
      <rPr>
        <b/>
        <sz val="9"/>
        <color rgb="FF000000"/>
        <rFont val="Arial"/>
        <family val="2"/>
      </rPr>
      <t>HX-PO-14980</t>
    </r>
    <r>
      <rPr>
        <sz val="9"/>
        <color rgb="FF000000"/>
        <rFont val="Arial"/>
        <family val="2"/>
      </rPr>
      <t xml:space="preserve">
 6개</t>
    </r>
  </si>
  <si>
    <t>API241130김행주1633</t>
  </si>
  <si>
    <t>11월분_UC Hosting(SBC장비 외) 운영서비스 장비 유지보수료</t>
  </si>
  <si>
    <t>계약금액</t>
  </si>
  <si>
    <t>월간금액</t>
  </si>
  <si>
    <t>엠엘소프트</t>
  </si>
  <si>
    <t xml:space="preserve">
HX-PO-10172</t>
  </si>
  <si>
    <t>김진유 차장
jykim@hist.co.kr</t>
  </si>
  <si>
    <r>
      <rPr>
        <sz val="9"/>
        <color theme="1"/>
        <rFont val="Arial"/>
        <family val="2"/>
      </rPr>
      <t xml:space="preserve">11월분_대한항공 PC 관리 서비스 (2019.12.01 ~ 2024.11.30)
</t>
    </r>
    <r>
      <rPr>
        <sz val="9"/>
        <color rgb="FFFF0000"/>
        <rFont val="Arial"/>
        <family val="2"/>
      </rPr>
      <t xml:space="preserve">Receive Items 진행시 25,500,000 line 삭제(중복)
</t>
    </r>
    <r>
      <rPr>
        <sz val="9"/>
        <color theme="1"/>
        <rFont val="Arial"/>
        <family val="2"/>
      </rPr>
      <t xml:space="preserve">기존 입고 처리시 잘못 입력하여 </t>
    </r>
    <r>
      <rPr>
        <sz val="9"/>
        <color rgb="FF0000FF"/>
        <rFont val="Arial"/>
        <family val="2"/>
      </rPr>
      <t>AP Match Invoice line시 error 1개 삭제 후
OK 처리 필요</t>
    </r>
    <r>
      <rPr>
        <sz val="9"/>
        <color theme="1"/>
        <rFont val="Arial"/>
        <family val="2"/>
      </rPr>
      <t xml:space="preserve">
</t>
    </r>
  </si>
  <si>
    <r>
      <rPr>
        <sz val="9"/>
        <color theme="1"/>
        <rFont val="Arial"/>
        <family val="2"/>
      </rPr>
      <t xml:space="preserve">25500000
</t>
    </r>
    <r>
      <rPr>
        <sz val="6"/>
        <color theme="1"/>
        <rFont val="Arial"/>
        <family val="2"/>
      </rPr>
      <t>Receive Items 진행시 25,000,000 line 삭제</t>
    </r>
  </si>
  <si>
    <r>
      <rPr>
        <sz val="10"/>
        <color rgb="FF000000"/>
        <rFont val="Arial"/>
        <family val="2"/>
      </rPr>
      <t xml:space="preserve">1. 계 약 명 : 대한항공 PC 관리 서비스 (DTS-End Point Solution)
 2. 계약내용 
  가. 계약 금액 : 1,634,000,000원 (VAT 별도) 
  - 2019.12.01 ~ 2024.11.30 : 1,530,000,000원 / 월 25,500,000원 x 60회 
  - 2019.12.01 ~ 2020.02.29 : 104,000,000원 / 월 104,000,000원 x 1회 
  * EAM 추가 개발비 : 104,000,000원, 개발 완료시 일시불지급 
  </t>
    </r>
    <r>
      <rPr>
        <b/>
        <sz val="10"/>
        <color rgb="FF000000"/>
        <rFont val="Arial"/>
        <family val="2"/>
      </rPr>
      <t>나. 기 간 : 2019.12.01 ~ 2024.11.30 (5년)</t>
    </r>
    <r>
      <rPr>
        <sz val="10"/>
        <color rgb="FF000000"/>
        <rFont val="Arial"/>
        <family val="2"/>
      </rPr>
      <t xml:space="preserve">
  다. 수행업무 : Endpoint 통합관리 솔루션(DTS) / 서버 납품 및 유지보수
 3. 지급내역 : 25,500,000원(VAT별도)
 4. 외 주 사 : ㈜엠엘소프트
 5. 지급조건 : 30일 이내 현금 지급"</t>
    </r>
  </si>
  <si>
    <t>ART241130김태훈0932</t>
  </si>
  <si>
    <t>자산관리시스템 서버가 동일
 점검문서 동일</t>
  </si>
  <si>
    <t>Receive History
 개발 아이템(일시불)과 유지보수 아이템 라인 2개였는데
 20년 1월에 개발 아이템에 25,500,000원 receive를 해서 
 20년 2월분 진행 시
 개발 잔액 78,500,000원을 receive 해서 closed 했고
 유지보수 51,000,000원을 receive 해서
 유지보수 invoiced 금액에 차이가 있을 수 있음</t>
  </si>
  <si>
    <t>HX-PO-15355</t>
  </si>
  <si>
    <t>API241130김행주1446</t>
  </si>
  <si>
    <r>
      <rPr>
        <sz val="9"/>
        <color theme="1"/>
        <rFont val="Arial"/>
        <family val="2"/>
      </rPr>
      <t xml:space="preserve">11월분_대한항공 PC 근무시간 관리 서비스 </t>
    </r>
    <r>
      <rPr>
        <sz val="9"/>
        <color rgb="FFFF0000"/>
        <rFont val="Arial"/>
        <family val="2"/>
      </rPr>
      <t xml:space="preserve">(2024.09.01 ~ 2024.11.30)
 </t>
    </r>
    <r>
      <rPr>
        <sz val="9"/>
        <color theme="1"/>
        <rFont val="Arial"/>
        <family val="2"/>
      </rPr>
      <t xml:space="preserve">
</t>
    </r>
  </si>
  <si>
    <t>SELITNN</t>
  </si>
  <si>
    <r>
      <rPr>
        <sz val="9"/>
        <color rgb="FF000000"/>
        <rFont val="Arial"/>
        <family val="2"/>
      </rPr>
      <t xml:space="preserve">1. 계 약 명 : 대한항공 PC 근무시간 관리 서비스
 2. 계약내용 
  가. 금 액 : 52,640,000원(VAT별도)
  나. 기 간 : 
 </t>
    </r>
    <r>
      <rPr>
        <strike/>
        <sz val="9"/>
        <color rgb="FF000000"/>
        <rFont val="Arial"/>
        <family val="2"/>
      </rPr>
      <t xml:space="preserve"> - 2019.09 ~ 2019.09 : 940,000원 / 월 940,000원 x 1회 
  - 2019.10 ~ 2019.10 : 15,740,000원 / 월 15,740,000원 x 1회
  * 라이선스 : 940,000원 + 개발비 : 14,800,000원 = 15,740,000원</t>
    </r>
    <r>
      <rPr>
        <sz val="9"/>
        <color rgb="FF000000"/>
        <rFont val="Arial"/>
        <family val="2"/>
      </rPr>
      <t xml:space="preserve">
</t>
    </r>
    <r>
      <rPr>
        <b/>
        <sz val="9"/>
        <color rgb="FF000000"/>
        <rFont val="Arial"/>
        <family val="2"/>
      </rPr>
      <t xml:space="preserve">   - 2019.11.01 ~ 2024.08.31 : 54,520,000원 / 월 940,000원 x 58회</t>
    </r>
    <r>
      <rPr>
        <sz val="9"/>
        <color rgb="FF000000"/>
        <rFont val="Arial"/>
        <family val="2"/>
      </rPr>
      <t xml:space="preserve">
  다. 수행업무 : TCO!happytime Server (S/W), Client License (S/W) 외
 3. 지급내역 : 940,000원(VAT별도)
 4. 외 주 사 : ㈜엠엘소프트
 5. 지급조건 : 30일 이내 현금 지급</t>
    </r>
  </si>
  <si>
    <t xml:space="preserve">
HX-PO-14861</t>
  </si>
  <si>
    <t>API241130김행주1558</t>
  </si>
  <si>
    <t xml:space="preserve">
11월분_대한항공 EAM 유지보수
</t>
  </si>
  <si>
    <r>
      <rPr>
        <sz val="9"/>
        <color rgb="FF000000"/>
        <rFont val="Arial"/>
        <family val="2"/>
      </rPr>
      <t xml:space="preserve">1. 계 약 명 : 대한항공 EAM 유지보수
 2. 계약내용 
  가. 금 액 : 10,920,000원(VAT별도)
</t>
    </r>
    <r>
      <rPr>
        <b/>
        <sz val="9"/>
        <color rgb="FF000000"/>
        <rFont val="Arial"/>
        <family val="2"/>
      </rPr>
      <t xml:space="preserve">  나. 기 간 : 2024.03.01 ~ 2024.11.30 (9개월)</t>
    </r>
    <r>
      <rPr>
        <sz val="9"/>
        <color rgb="FF000000"/>
        <rFont val="Arial"/>
        <family val="2"/>
      </rPr>
      <t xml:space="preserve">
 3. 지급내역 : 910,000원(VAT별도)
 4. 외 주 사 : ㈜엠엘소프트
 5. 지급조건 : 30일 이내 현금 지급</t>
    </r>
  </si>
  <si>
    <t>점검문서 O
 유온아이티</t>
  </si>
  <si>
    <t>HX-PO-10066</t>
  </si>
  <si>
    <t>김태훈 차장
thkim09@hist.co.kr</t>
  </si>
  <si>
    <t xml:space="preserve">
11월분_대한항공 항공우주사업본부 망분리 서비스
-  1년 재계약 협의 진행중
- 영업진행 확인해 달라
</t>
  </si>
  <si>
    <r>
      <rPr>
        <strike/>
        <sz val="9"/>
        <color rgb="FF000000"/>
        <rFont val="Arial"/>
        <family val="2"/>
      </rPr>
      <t xml:space="preserve">1. 계 약 명 : 대한항공 항공우주사업본부 망분리 서비스
 2. 계약금액 : 44,232,000원(VAT별도)
 </t>
    </r>
    <r>
      <rPr>
        <b/>
        <strike/>
        <sz val="9"/>
        <color rgb="FF000000"/>
        <rFont val="Arial"/>
        <family val="2"/>
      </rPr>
      <t>3. 계약기간 : 2019.12.01 ~ 2024.09.30 (58개월)</t>
    </r>
    <r>
      <rPr>
        <strike/>
        <sz val="9"/>
        <color rgb="FF000000"/>
        <rFont val="Arial"/>
        <family val="2"/>
      </rPr>
      <t xml:space="preserve">
 4. 과업내용 : DTS/NAC 유지보수
 5. 금회청구 : 776,000원(VAT별도)
 6. 외주업체 : ㈜엠엘소프트</t>
    </r>
  </si>
  <si>
    <t>점검문서 O
 김세윤 차장님</t>
  </si>
  <si>
    <t>㈜아이큐패드</t>
  </si>
  <si>
    <t>HX-PO-15264</t>
  </si>
  <si>
    <t>API241130김행주1355</t>
  </si>
  <si>
    <t>장석호과장
sjang@hist.co.kr</t>
  </si>
  <si>
    <r>
      <rPr>
        <sz val="9"/>
        <color theme="1"/>
        <rFont val="Arial"/>
        <family val="2"/>
      </rPr>
      <t xml:space="preserve">11월분_대한항공 PC 관리서비스(일반망/방산망) 유지보수
</t>
    </r>
    <r>
      <rPr>
        <strike/>
        <sz val="9"/>
        <color theme="1"/>
        <rFont val="Arial"/>
        <family val="2"/>
      </rPr>
      <t xml:space="preserve"> - 폐쇄망 : 2024년 8월1일~2024년 9월30일(2개월)</t>
    </r>
    <r>
      <rPr>
        <sz val="9"/>
        <color theme="1"/>
        <rFont val="Arial"/>
        <family val="2"/>
      </rPr>
      <t xml:space="preserve">
 - 일반망 : 2024년 8월1일~2024년11월30일(4개월)</t>
    </r>
  </si>
  <si>
    <t>2024-11-31</t>
  </si>
  <si>
    <t xml:space="preserve">1,275,000 * 2
</t>
  </si>
  <si>
    <r>
      <rPr>
        <sz val="9"/>
        <color rgb="FF000000"/>
        <rFont val="Arial"/>
        <family val="2"/>
      </rPr>
      <t xml:space="preserve">1. 계 약 명 : 대한항공 PC 관리서비스(일반망) 유지보수
 2. 계약금액 : 26,226,000원(VAT별도)
</t>
    </r>
    <r>
      <rPr>
        <b/>
        <sz val="9"/>
        <color rgb="FF000000"/>
        <rFont val="Arial"/>
        <family val="2"/>
      </rPr>
      <t xml:space="preserve"> 3. 계약기간 : 2024.08.01 ~ 2024.11.31 (4개월)</t>
    </r>
    <r>
      <rPr>
        <sz val="9"/>
        <color rgb="FF000000"/>
        <rFont val="Arial"/>
        <family val="2"/>
      </rPr>
      <t xml:space="preserve">
 4. 금회청구 : 7,194,000원(VAT별도)
   </t>
    </r>
    <r>
      <rPr>
        <strike/>
        <sz val="9"/>
        <color rgb="FF000000"/>
        <rFont val="Arial"/>
        <family val="2"/>
      </rPr>
      <t xml:space="preserve"> - 8~9월     : 7,194,000원</t>
    </r>
    <r>
      <rPr>
        <sz val="9"/>
        <color rgb="FF000000"/>
        <rFont val="Arial"/>
        <family val="2"/>
      </rPr>
      <t xml:space="preserve">
    - 10~11월 : 5,919,000원
 5. 외주업체 : ㈜아이큐패드</t>
    </r>
  </si>
  <si>
    <t>5,919,000 * 4</t>
  </si>
  <si>
    <t>HX-PO-14591</t>
  </si>
  <si>
    <t xml:space="preserve">* 24년 12월까지 유지보수 정기점검서만(청구 X) </t>
  </si>
  <si>
    <t xml:space="preserve">11월분_대한항공 항공우주사업본부 망분리 서비스용 UTM장비
* 유지보수 기간(12/31)-라이선스 유효기간(10/14)
   . 대금지급(9월 종료)
</t>
  </si>
  <si>
    <t>SELITDN</t>
  </si>
  <si>
    <r>
      <rPr>
        <strike/>
        <sz val="9"/>
        <color rgb="FF000000"/>
        <rFont val="Arial"/>
        <family val="2"/>
      </rPr>
      <t xml:space="preserve">1. 계 약 명 : 항공우주사업본부 망분리 사업용 UTM 장비 유지보수
</t>
    </r>
    <r>
      <rPr>
        <b/>
        <strike/>
        <sz val="9"/>
        <color rgb="FF000000"/>
        <rFont val="Arial"/>
        <family val="2"/>
      </rPr>
      <t xml:space="preserve"> 2. 계약기간 : 2024.01.01 ~ 2024.12.31 (12개월) </t>
    </r>
    <r>
      <rPr>
        <strike/>
        <sz val="9"/>
        <color rgb="FF000000"/>
        <rFont val="Arial"/>
        <family val="2"/>
      </rPr>
      <t xml:space="preserve">
 3. 계약금액 : 7,589,700원(VAT별도) 
 4. 금회지급 : 843,300원(VAT별도), </t>
    </r>
    <r>
      <rPr>
        <b/>
        <strike/>
        <sz val="9"/>
        <color rgb="FF000000"/>
        <rFont val="Arial"/>
        <family val="2"/>
      </rPr>
      <t>9월까지만 지급</t>
    </r>
    <r>
      <rPr>
        <strike/>
        <sz val="9"/>
        <color rgb="FF000000"/>
        <rFont val="Arial"/>
        <family val="2"/>
      </rPr>
      <t xml:space="preserve">
 5. 외 주 사 : 씨엠티정보통신
 6. 지급조건 : 60일 이내 현금지급</t>
    </r>
  </si>
  <si>
    <t xml:space="preserve">김은지 사원        duswl3689@cmtinfo.co.kr
02-6011-1377
                </t>
  </si>
  <si>
    <t>Enterde By : 
 김성진 과장
kims@hist.co.kr 검색
 HX-PO-13753</t>
  </si>
  <si>
    <t>API241129김행주1706</t>
  </si>
  <si>
    <t xml:space="preserve">김성진 과장
kims@hist.co.kr </t>
  </si>
  <si>
    <t>11월분_KC코트렐 DTO 서비스(PC 운영 인력)_2023.4.1 ~ 2026.3.31</t>
  </si>
  <si>
    <r>
      <rPr>
        <sz val="9"/>
        <color rgb="FF000000"/>
        <rFont val="Arial"/>
        <family val="2"/>
      </rPr>
      <t xml:space="preserve">1. 계 약 명 : KC코트렐 DTO 서비스(PC 운영 인력)
</t>
    </r>
    <r>
      <rPr>
        <b/>
        <sz val="9"/>
        <color rgb="FF000000"/>
        <rFont val="Arial"/>
        <family val="2"/>
      </rPr>
      <t xml:space="preserve"> 2. 계약기간 : 2023.4.1 ~ 2026.3.31 (3년) </t>
    </r>
    <r>
      <rPr>
        <sz val="9"/>
        <color rgb="FF000000"/>
        <rFont val="Arial"/>
        <family val="2"/>
      </rPr>
      <t xml:space="preserve">
 3. 계약금액 : 113,400,000원 (VAT별도)
 4. 수행업무 : PC 유지보수 상주 지원 서비스
 5. 금회지급 : 3,150,000원(VAT별도)
 6. 외주업체 : 케이원
 7. 지급조건 : 60일 이내 현금 지급</t>
    </r>
  </si>
  <si>
    <t xml:space="preserve">ART241120김성진1523
                </t>
  </si>
  <si>
    <t>김혜진
 02-6116-8245</t>
  </si>
  <si>
    <t>㈜이씨에스텔레콤</t>
  </si>
  <si>
    <t>HX-PO-15332</t>
  </si>
  <si>
    <t>API241130김행주1617</t>
  </si>
  <si>
    <t>11월분_칼호텔네트워크(그랜드하얏트인천) PABX 시스템 유지보수</t>
  </si>
  <si>
    <t>PBX 교환시스템</t>
  </si>
  <si>
    <r>
      <rPr>
        <sz val="9"/>
        <color rgb="FF000000"/>
        <rFont val="Arial"/>
        <family val="2"/>
      </rPr>
      <t xml:space="preserve">1. 계약명 : 그랜드햐얏트인천 PABX 시스템 유지보수
</t>
    </r>
    <r>
      <rPr>
        <b/>
        <sz val="9"/>
        <color rgb="FF000000"/>
        <rFont val="Arial"/>
        <family val="2"/>
      </rPr>
      <t xml:space="preserve"> 2. 계약기간 : 2024-09-01 ~ 2025-08-31 (12개월)</t>
    </r>
    <r>
      <rPr>
        <sz val="9"/>
        <color rgb="FF000000"/>
        <rFont val="Arial"/>
        <family val="2"/>
      </rPr>
      <t xml:space="preserve">
 3. 계약금액 : 63,948,000원(VAT별도)
 4. 금회지급 : 5,329,000원(VAT별도)
 5. 외 주 사 : ㈜이씨에스텔레콤
 6. 지급조건 : 30일 이내 현금지급</t>
    </r>
  </si>
  <si>
    <t>계약 금액</t>
  </si>
  <si>
    <t>스카이컴</t>
  </si>
  <si>
    <t>HX-PO-14985</t>
  </si>
  <si>
    <t>API241125김행주1754</t>
  </si>
  <si>
    <t>11월분_빌링 시스템 (SW) 유지보수료 (2024.4.1 ~ 2025.3.31)</t>
  </si>
  <si>
    <r>
      <rPr>
        <sz val="9"/>
        <color rgb="FF000000"/>
        <rFont val="Arial"/>
        <family val="2"/>
      </rPr>
      <t xml:space="preserve">1. 계 약 명 : 빌링 시스템 (SW) 유지보수료
 2. 계 약 기 간 : </t>
    </r>
    <r>
      <rPr>
        <b/>
        <sz val="9"/>
        <color rgb="FF000000"/>
        <rFont val="Arial"/>
        <family val="2"/>
      </rPr>
      <t xml:space="preserve">2024.4.1 ~ 2025.3.31(12개월) </t>
    </r>
    <r>
      <rPr>
        <sz val="9"/>
        <color rgb="FF000000"/>
        <rFont val="Arial"/>
        <family val="2"/>
      </rPr>
      <t xml:space="preserve">
 3. 계 약 금 액 : 13,200,000원 (VAT별도) 
 4. 서비스 항목 : 통합 빌링시스템 (VoIP, UC, MS MOODOO 서비스)
 5. 금 회 지 급 : 1,100,000원(VAT별도)
 6. 지 급 조 건 : 60일 이내 현금</t>
    </r>
  </si>
  <si>
    <t>자이소프트</t>
  </si>
  <si>
    <t>HX-PO-14976</t>
  </si>
  <si>
    <t>API241128김행주1643</t>
  </si>
  <si>
    <t xml:space="preserve">
11월분_UC 서비스 조식도 관리 유지보수 (24.04.01~2025.03.31)</t>
  </si>
  <si>
    <r>
      <rPr>
        <sz val="9"/>
        <color rgb="FF000000"/>
        <rFont val="Arial"/>
        <family val="2"/>
      </rPr>
      <t xml:space="preserve">1. 계 약 명 : 프로비저닝 시스템 (SW) 유지보수료
 2. 계 약 기 간 : </t>
    </r>
    <r>
      <rPr>
        <b/>
        <sz val="9"/>
        <color rgb="FF000000"/>
        <rFont val="Arial"/>
        <family val="2"/>
      </rPr>
      <t xml:space="preserve">2024.4.1 ~ 2025.3.31(12개월) </t>
    </r>
    <r>
      <rPr>
        <sz val="9"/>
        <color rgb="FF000000"/>
        <rFont val="Arial"/>
        <family val="2"/>
      </rPr>
      <t xml:space="preserve">
 3. 계 약 금 액 : 17,946,000원 (VAT별도)/년 
 4. 서비스 항목 : UC컨버터, 
  HMC솔루션, 연동 모듈, WebSite 오류 버그 수정 외
 5. 금 회 지 급 : 1,495,500원(VAT별도)
 6. 외 주 업 체 : 자이소프트</t>
    </r>
  </si>
  <si>
    <t>피지피넷
(계산서 일자
정기점검 일자 기준)</t>
  </si>
  <si>
    <t>HX-PO-14589</t>
  </si>
  <si>
    <t>API241120김행주1013</t>
  </si>
  <si>
    <t>이형기 과장
hklee@hist.co.kr</t>
  </si>
  <si>
    <t>11월분_SKB 기업전용회선 서비스용 트래픽 분석기 유지보수</t>
  </si>
  <si>
    <r>
      <rPr>
        <sz val="9"/>
        <color rgb="FF000000"/>
        <rFont val="Arial"/>
        <family val="2"/>
      </rPr>
      <t xml:space="preserve">1. 계 약 명 : SKB 기업전용회선 서비스용 트래픽 분석기 유지보수
 2. 계약금액 : 9,250,000원(VAT별도)
</t>
    </r>
    <r>
      <rPr>
        <b/>
        <sz val="9"/>
        <color rgb="FF000000"/>
        <rFont val="Arial"/>
        <family val="2"/>
      </rPr>
      <t xml:space="preserve"> 3. 계약기간 : 2024.01.01 ~ 2024.12.31(12개월)</t>
    </r>
    <r>
      <rPr>
        <sz val="9"/>
        <color rgb="FF000000"/>
        <rFont val="Arial"/>
        <family val="2"/>
      </rPr>
      <t xml:space="preserve">
 4. 금회지급 : </t>
    </r>
    <r>
      <rPr>
        <strike/>
        <sz val="9"/>
        <color rgb="FF000000"/>
        <rFont val="Arial"/>
        <family val="2"/>
      </rPr>
      <t xml:space="preserve">780,000(1월), </t>
    </r>
    <r>
      <rPr>
        <sz val="9"/>
        <color rgb="FF000000"/>
        <rFont val="Arial"/>
        <family val="2"/>
      </rPr>
      <t xml:space="preserve"> - 770,000원(2월 - 12월)
 5. 외주사 : 피지피넷
 6. 지급조건 : 30일 이내 현금지급</t>
    </r>
  </si>
  <si>
    <t>HX-PO-14651</t>
  </si>
  <si>
    <t>API241129김행주1658</t>
  </si>
  <si>
    <t>11월분_대한항공 씨앤디서비스 IT서비스 (시스코)</t>
  </si>
  <si>
    <t>DLP솔루션</t>
  </si>
  <si>
    <r>
      <rPr>
        <sz val="9"/>
        <color rgb="FF000000"/>
        <rFont val="Arial"/>
        <family val="2"/>
      </rPr>
      <t xml:space="preserve">1. 계 약 명 : 대한항공 씨앤디서비스 IT서비스 (시스코)
</t>
    </r>
    <r>
      <rPr>
        <b/>
        <sz val="9"/>
        <color rgb="FF000000"/>
        <rFont val="Arial"/>
        <family val="2"/>
      </rPr>
      <t xml:space="preserve"> 2. 계약기간 : 2024.01.01 ~ 2024.12.31 (12개월) </t>
    </r>
    <r>
      <rPr>
        <sz val="9"/>
        <color rgb="FF000000"/>
        <rFont val="Arial"/>
        <family val="2"/>
      </rPr>
      <t xml:space="preserve">
 3. 계약금액 : 13,780,200원(VAT별도) 
 4. 금회지급 : 1,148,350원(VAT별도)
 5. 외 주 사 : 케이원
 6. 지급조건 : 30일 이내 현금지급</t>
    </r>
  </si>
  <si>
    <t>Item 구분</t>
  </si>
  <si>
    <t>에어키</t>
  </si>
  <si>
    <t>HX-PO-14648</t>
  </si>
  <si>
    <t>API241129김행주1400</t>
  </si>
  <si>
    <t>11월분_대한항공 씨앤디서비스 IT서비스(AP)</t>
  </si>
  <si>
    <r>
      <rPr>
        <sz val="9"/>
        <color rgb="FF000000"/>
        <rFont val="Arial"/>
        <family val="2"/>
      </rPr>
      <t xml:space="preserve">1. 계 약 명 : 대한항공 씨앤디서비스 IT서비스 (AP)
</t>
    </r>
    <r>
      <rPr>
        <b/>
        <sz val="9"/>
        <color rgb="FF000000"/>
        <rFont val="Arial"/>
        <family val="2"/>
      </rPr>
      <t xml:space="preserve"> 2. 계약기간 : 2024.01.01 ~ 2024.12.31 (12개월) </t>
    </r>
    <r>
      <rPr>
        <sz val="9"/>
        <color rgb="FF000000"/>
        <rFont val="Arial"/>
        <family val="2"/>
      </rPr>
      <t xml:space="preserve">
 3. 계약금액 : 7,440,000원(VAT별도) 
 4. 금회지급 : 620,000원(VAT별도)
 5. 외 주 사 : 에어키
 6. 지급조건 : 30일 이내 현금지급</t>
    </r>
  </si>
  <si>
    <t>넷크루즈</t>
  </si>
  <si>
    <t>HX-PO-14645</t>
  </si>
  <si>
    <t>API241130김행주1300</t>
  </si>
  <si>
    <t>11월분_대한항공 씨앤디서비스 IT서비스 (NMS)</t>
  </si>
  <si>
    <r>
      <rPr>
        <sz val="9"/>
        <color rgb="FF000000"/>
        <rFont val="Arial"/>
        <family val="2"/>
      </rPr>
      <t xml:space="preserve">1. 계 약 명 : 대한항공 씨앤디서비스 IT서비스 (AP)
</t>
    </r>
    <r>
      <rPr>
        <b/>
        <sz val="9"/>
        <color rgb="FF000000"/>
        <rFont val="Arial"/>
        <family val="2"/>
      </rPr>
      <t xml:space="preserve"> 2. 계약기간 : 2024.01.01 ~ 2024.12.31 (12개월) </t>
    </r>
    <r>
      <rPr>
        <sz val="9"/>
        <color rgb="FF000000"/>
        <rFont val="Arial"/>
        <family val="2"/>
      </rPr>
      <t xml:space="preserve">
 3. 계약금액 : 2,655,000원(VAT별도) 
 4. 금회지급 : 221,300원(1월~11월), 220,700원(12월)
 5. 외 주 사 : 넷크루즈
 6. 지급조건 : 30일 이내 현금지급</t>
    </r>
  </si>
  <si>
    <t>HX-PO-14650</t>
  </si>
  <si>
    <t>API241130김행주1604</t>
  </si>
  <si>
    <t xml:space="preserve">11월분_대한항공 씨앤디서비스 IT서비스 (DTS) </t>
  </si>
  <si>
    <r>
      <rPr>
        <sz val="9"/>
        <color rgb="FF000000"/>
        <rFont val="Arial"/>
        <family val="2"/>
      </rPr>
      <t xml:space="preserve">1. 계 약 명 : 대한항공 씨앤디서비스 IT서비스 (DTS) 
</t>
    </r>
    <r>
      <rPr>
        <b/>
        <sz val="9"/>
        <color rgb="FF000000"/>
        <rFont val="Arial"/>
        <family val="2"/>
      </rPr>
      <t xml:space="preserve"> 2. 계약기간 : 2024.01.01 ~ 2024.12.31 (12개월) </t>
    </r>
    <r>
      <rPr>
        <sz val="9"/>
        <color rgb="FF000000"/>
        <rFont val="Arial"/>
        <family val="2"/>
      </rPr>
      <t xml:space="preserve">
 3. 계약금액 : 11,885,000원(VAT별도) 
 4. 금회지급 : </t>
    </r>
    <r>
      <rPr>
        <strike/>
        <sz val="9"/>
        <color rgb="FF000000"/>
        <rFont val="Arial"/>
        <family val="2"/>
      </rPr>
      <t>990,600(1월)</t>
    </r>
    <r>
      <rPr>
        <sz val="9"/>
        <color rgb="FF000000"/>
        <rFont val="Arial"/>
        <family val="2"/>
      </rPr>
      <t>,990,400원(2-12월), (VAT별도)
 5. 외 주 사 : 엠엘소프트
 6. 지급조건 : 30일 이내 현금지급</t>
    </r>
  </si>
  <si>
    <t>수산아이앤티</t>
  </si>
  <si>
    <t>HX-PO-14646</t>
  </si>
  <si>
    <t>API241129김행주1313</t>
  </si>
  <si>
    <t>11월분_대한항공 씨앤디서비스 IT서비스 (유해차단SW)</t>
  </si>
  <si>
    <r>
      <rPr>
        <sz val="9"/>
        <color rgb="FF000000"/>
        <rFont val="Arial"/>
        <family val="2"/>
      </rPr>
      <t xml:space="preserve">1. 계 약 명 : 대한항공 씨앤디서비스 IT서비스 (유해차단SW)
</t>
    </r>
    <r>
      <rPr>
        <b/>
        <sz val="9"/>
        <color rgb="FF000000"/>
        <rFont val="Arial"/>
        <family val="2"/>
      </rPr>
      <t xml:space="preserve"> 2. 계약기간 : 2024.01.01 ~ 2024.12.31 (12개월) </t>
    </r>
    <r>
      <rPr>
        <sz val="9"/>
        <color rgb="FF000000"/>
        <rFont val="Arial"/>
        <family val="2"/>
      </rPr>
      <t xml:space="preserve">
 3. 계약금액 : 4,185,000원(VAT별도) 
 4. </t>
    </r>
    <r>
      <rPr>
        <strike/>
        <sz val="9"/>
        <color rgb="FF000000"/>
        <rFont val="Arial"/>
        <family val="2"/>
      </rPr>
      <t>금회지급 : 307,500원(1-6월)</t>
    </r>
    <r>
      <rPr>
        <sz val="9"/>
        <color rgb="FF000000"/>
        <rFont val="Arial"/>
        <family val="2"/>
      </rPr>
      <t xml:space="preserve">, </t>
    </r>
    <r>
      <rPr>
        <b/>
        <sz val="9"/>
        <color rgb="FF000000"/>
        <rFont val="Arial"/>
        <family val="2"/>
      </rPr>
      <t>397,500원(7-12월)</t>
    </r>
    <r>
      <rPr>
        <sz val="9"/>
        <color rgb="FF000000"/>
        <rFont val="Arial"/>
        <family val="2"/>
      </rPr>
      <t xml:space="preserve">
 5. 외 주 사 : 수산아이앤티
 6. 지급조건 : 30일 이내 현금지급</t>
    </r>
  </si>
  <si>
    <t>한산이앤피</t>
  </si>
  <si>
    <t>HX-PO-14649</t>
  </si>
  <si>
    <t>API241130김행주1728</t>
  </si>
  <si>
    <t xml:space="preserve">11월분_대한항공 씨앤디서비스 IT서비스 (UPS)
 </t>
  </si>
  <si>
    <t>GXT4</t>
  </si>
  <si>
    <r>
      <rPr>
        <sz val="9"/>
        <color rgb="FF000000"/>
        <rFont val="Arial"/>
        <family val="2"/>
      </rPr>
      <t xml:space="preserve">1. 계 약 명 : 대한항공 씨앤디서비스 IT서비스 (UPS)
</t>
    </r>
    <r>
      <rPr>
        <b/>
        <sz val="9"/>
        <color rgb="FF000000"/>
        <rFont val="Arial"/>
        <family val="2"/>
      </rPr>
      <t xml:space="preserve"> 2. 계약기간 : 2024.01.01 ~ 2024.12.31 (12개월) </t>
    </r>
    <r>
      <rPr>
        <sz val="9"/>
        <color rgb="FF000000"/>
        <rFont val="Arial"/>
        <family val="2"/>
      </rPr>
      <t xml:space="preserve">
 3. 계약금액 : 2,640,000원(VAT별도) 
 4. 금회지급 : 220,000원(VAT별도)
 5. 외 주 사 : 한산이앤피
 6. 지급조건 : 30일 이내 현금지급
 7. 정기점검 : 분기정검 (4분기, 1~3월, 4~6월, 7~9월, 10~12월)</t>
    </r>
  </si>
  <si>
    <t>SRT3000</t>
  </si>
  <si>
    <t>SRT3000 유선</t>
  </si>
  <si>
    <t>HX-PO-14647</t>
  </si>
  <si>
    <t>API241130김행주1349</t>
  </si>
  <si>
    <t>11월분_대한항공 씨앤디서비스 IT서비스(UTM) 유지보수</t>
  </si>
  <si>
    <r>
      <rPr>
        <sz val="9"/>
        <color rgb="FF000000"/>
        <rFont val="Arial"/>
        <family val="2"/>
      </rPr>
      <t xml:space="preserve">1. 계 약 명 : 대한항공 씨앤디서비스 IT서비스 (UTM)
</t>
    </r>
    <r>
      <rPr>
        <b/>
        <sz val="9"/>
        <color rgb="FF000000"/>
        <rFont val="Arial"/>
        <family val="2"/>
      </rPr>
      <t xml:space="preserve"> 2. 계약기간 : 2024.01.01 ~ 2024.12.31 (12개월) </t>
    </r>
    <r>
      <rPr>
        <sz val="9"/>
        <color rgb="FF000000"/>
        <rFont val="Arial"/>
        <family val="2"/>
      </rPr>
      <t xml:space="preserve">
 3. 계약금액 : 14,343,750원(VAT별도) 
 4. 금회지급 : 1,133,920원(VAT별도),</t>
    </r>
    <r>
      <rPr>
        <strike/>
        <sz val="9"/>
        <color rgb="FF000000"/>
        <rFont val="Arial"/>
        <family val="2"/>
      </rPr>
      <t>1월~5월 1,000,000</t>
    </r>
    <r>
      <rPr>
        <sz val="9"/>
        <color rgb="FF000000"/>
        <rFont val="Arial"/>
        <family val="2"/>
      </rPr>
      <t xml:space="preserve">
</t>
    </r>
    <r>
      <rPr>
        <strike/>
        <sz val="9"/>
        <color rgb="FF000000"/>
        <rFont val="Arial"/>
        <family val="2"/>
      </rPr>
      <t>6월 1,133,920, 7월 1,264,120,</t>
    </r>
    <r>
      <rPr>
        <sz val="9"/>
        <color rgb="FF000000"/>
        <rFont val="Arial"/>
        <family val="2"/>
      </rPr>
      <t xml:space="preserve"> 8월~11월 1,389,120, 12월 1,389,230
 5. 외 주 사 : 씨엠티정보통신
 6. 지급조건 : 30일 이내 현금지급</t>
    </r>
  </si>
  <si>
    <t>싸이버텍홀딩스</t>
  </si>
  <si>
    <t>HX-PO-14963</t>
  </si>
  <si>
    <t>API241130김행주1336</t>
  </si>
  <si>
    <t>이상준 사원
sang-junlee@hist.co.kr</t>
  </si>
  <si>
    <t xml:space="preserve">
11월분_그룹사 방화벽(체크포인트) 유지보수
 </t>
  </si>
  <si>
    <r>
      <rPr>
        <sz val="9"/>
        <color rgb="FF000000"/>
        <rFont val="Arial"/>
        <family val="2"/>
      </rPr>
      <t xml:space="preserve">1. 계 약 명 : 2024년 그룹사 방화벽(체크포인트) 유지보수
 2. 계약금액 : 3,420,000원(VAT별도)
 </t>
    </r>
    <r>
      <rPr>
        <b/>
        <sz val="9"/>
        <color rgb="FF000000"/>
        <rFont val="Arial"/>
        <family val="2"/>
      </rPr>
      <t>3. 계약기간 : 2024.04.01 ~ 2025.03.30 (12개월)</t>
    </r>
    <r>
      <rPr>
        <sz val="9"/>
        <color rgb="FF000000"/>
        <rFont val="Arial"/>
        <family val="2"/>
      </rPr>
      <t xml:space="preserve">
</t>
    </r>
    <r>
      <rPr>
        <b/>
        <sz val="9"/>
        <color rgb="FF000000"/>
        <rFont val="Arial"/>
        <family val="2"/>
      </rPr>
      <t xml:space="preserve"> 4. 금회지급 : 285,000원(VAT별도)</t>
    </r>
    <r>
      <rPr>
        <sz val="9"/>
        <color rgb="FF000000"/>
        <rFont val="Arial"/>
        <family val="2"/>
      </rPr>
      <t xml:space="preserve">
 5 .외주업체 : 싸이버텍홀딩스
6. 지급조건 : 60일 이내 현금지급</t>
    </r>
  </si>
  <si>
    <t>ART 없음</t>
  </si>
  <si>
    <t xml:space="preserve">HX-PO-14680
                </t>
  </si>
  <si>
    <t>API241130김행주1720</t>
  </si>
  <si>
    <t xml:space="preserve">박재민 차장
jpark@hist.co.kr </t>
  </si>
  <si>
    <t xml:space="preserve">11월분_한진 통합콜센터 운영서비스 유지보수 (2024.1.1 ~ 2024.12.31)
</t>
  </si>
  <si>
    <r>
      <rPr>
        <sz val="9"/>
        <color rgb="FF000000"/>
        <rFont val="Arial"/>
        <family val="2"/>
      </rPr>
      <t xml:space="preserve"> 1. 계 약 명 : 한진 통합콜센터 운영서비스 유지보수
</t>
    </r>
    <r>
      <rPr>
        <b/>
        <sz val="9"/>
        <color rgb="FF000000"/>
        <rFont val="Arial"/>
        <family val="2"/>
      </rPr>
      <t xml:space="preserve"> 2. 계약기간: 2024.1.1 ~ 2024.12.31(12개월)</t>
    </r>
    <r>
      <rPr>
        <sz val="9"/>
        <color rgb="FF000000"/>
        <rFont val="Arial"/>
        <family val="2"/>
      </rPr>
      <t xml:space="preserve">
 3. 계약금액: 125,383,920원(VAT별도)/년
 4. 금회지급: 10,448,660원(VAT별도)
 5. 외주업체: 콤텍시스템
 6. 지급조건 : 60일이내 현금지급</t>
    </r>
  </si>
  <si>
    <r>
      <rPr>
        <sz val="9"/>
        <color rgb="FF000000"/>
        <rFont val="Arial"/>
        <family val="2"/>
      </rPr>
      <t xml:space="preserve">Receive 
</t>
    </r>
    <r>
      <rPr>
        <b/>
        <sz val="9"/>
        <color rgb="FF000000"/>
        <rFont val="Arial"/>
        <family val="2"/>
      </rPr>
      <t>김형곤 계정 hgkim
구매(수량으로 입력) 
 거래명세서 첨부</t>
    </r>
    <r>
      <rPr>
        <sz val="9"/>
        <color rgb="FF000000"/>
        <rFont val="Arial"/>
        <family val="2"/>
      </rPr>
      <t xml:space="preserve">
</t>
    </r>
    <r>
      <rPr>
        <b/>
        <sz val="9"/>
        <color rgb="FF000000"/>
        <rFont val="Arial"/>
        <family val="2"/>
      </rPr>
      <t>HX-PO-11582</t>
    </r>
  </si>
  <si>
    <t>API241130김행주1742</t>
  </si>
  <si>
    <t>11월분_대한항공CND서비스 IT 보안서비스 투자 장비 구매</t>
  </si>
  <si>
    <r>
      <rPr>
        <sz val="9"/>
        <color rgb="FF000000"/>
        <rFont val="Arial"/>
        <family val="2"/>
      </rPr>
      <t xml:space="preserve">1. 계 약 명 : 대한항공 CND서비스 IT 보안서비스 (NAC/SDP) 장비 구매
 2. 계약금액 : 87,600,000원(VAT별도)
  가. 구축비(일회성) : 63,600,000원
  나. 매월 서비스료 : 400,000원
</t>
    </r>
    <r>
      <rPr>
        <b/>
        <sz val="9"/>
        <color rgb="FF000000"/>
        <rFont val="Arial"/>
        <family val="2"/>
      </rPr>
      <t xml:space="preserve"> 3. 계약기간 : 2021.07.01 ~ 2026.06.30 (60개월)</t>
    </r>
    <r>
      <rPr>
        <sz val="9"/>
        <color rgb="FF000000"/>
        <rFont val="Arial"/>
        <family val="2"/>
      </rPr>
      <t xml:space="preserve">
 4. 금회청구 : 400,000원(VAT별도)
 5. 외주업체 : 엠엘소프트</t>
    </r>
  </si>
  <si>
    <t>HX-PO-12401</t>
  </si>
  <si>
    <t>김근태 차장
gtkim@hist.co.kr</t>
  </si>
  <si>
    <r>
      <rPr>
        <strike/>
        <sz val="9"/>
        <color theme="1"/>
        <rFont val="Arial"/>
        <family val="2"/>
      </rPr>
      <t xml:space="preserve">11월분_대한항공 보이는 ARS 월사용료
</t>
    </r>
    <r>
      <rPr>
        <b/>
        <strike/>
        <sz val="9"/>
        <color rgb="FF0000FF"/>
        <rFont val="Arial"/>
        <family val="2"/>
      </rPr>
      <t>#첨부파일 1: HIST-이씨에스텔레콤 계약해지합의서 날인 스캔본
#첨부파일 2: HIST-콜게이트 신규 계약서 날인 스캔본</t>
    </r>
  </si>
  <si>
    <r>
      <rPr>
        <b/>
        <strike/>
        <sz val="9"/>
        <color rgb="FFFF0000"/>
        <rFont val="Arial"/>
        <family val="2"/>
      </rPr>
      <t xml:space="preserve">2024-09-30
</t>
    </r>
    <r>
      <rPr>
        <strike/>
        <sz val="8"/>
        <color theme="1"/>
        <rFont val="Arial"/>
        <family val="2"/>
      </rPr>
      <t>(9/30부,계약해지)</t>
    </r>
    <r>
      <rPr>
        <strike/>
        <sz val="9"/>
        <color theme="1"/>
        <rFont val="Arial"/>
        <family val="2"/>
      </rPr>
      <t xml:space="preserve">
익월 청구 완료
</t>
    </r>
    <r>
      <rPr>
        <strike/>
        <sz val="9"/>
        <color theme="1"/>
        <rFont val="Arial"/>
        <family val="2"/>
      </rPr>
      <t xml:space="preserve">2027-06-30
</t>
    </r>
  </si>
  <si>
    <r>
      <rPr>
        <strike/>
        <sz val="9"/>
        <color rgb="FF000000"/>
        <rFont val="Arial"/>
        <family val="2"/>
      </rPr>
      <t xml:space="preserve">1. 계약명 : 대한항공 보이는 ARS 월사용료 (라이선스 사용료)
 2. 외주업체 : 이씨에스텔레콤
 3. 계약내용
  가. 계약금액 : (부가세 별도)
</t>
    </r>
    <r>
      <rPr>
        <b/>
        <strike/>
        <sz val="9"/>
        <color rgb="FF000000"/>
        <rFont val="Arial"/>
        <family val="2"/>
      </rPr>
      <t xml:space="preserve">  나. 계약기간 : 2022.01.17~2027.06.30</t>
    </r>
    <r>
      <rPr>
        <strike/>
        <sz val="9"/>
        <color rgb="FF000000"/>
        <rFont val="Arial"/>
        <family val="2"/>
      </rPr>
      <t xml:space="preserve">
 4. 지급금액 : 월 6,592,500원(부가세 별도)
 5. 지급조건 : 30일이내 현금 지급</t>
    </r>
  </si>
  <si>
    <t>Project : V180006 대한항공 국내선 콜센터(시스템)</t>
  </si>
  <si>
    <t>Project : V180007 대한항공 국제선 야간 콜센터(시스템)</t>
  </si>
  <si>
    <t>Project : V180008 대한항공 국제선 주간 콜센터(시스템)</t>
  </si>
  <si>
    <t>해지</t>
  </si>
  <si>
    <t>HX-PO-13419</t>
  </si>
  <si>
    <t>API241129김행주1735</t>
  </si>
  <si>
    <t>11월분_대한항공 DTO 운영인력 투입 인력(1명)</t>
  </si>
  <si>
    <r>
      <rPr>
        <sz val="9"/>
        <color rgb="FF000000"/>
        <rFont val="Arial"/>
        <family val="2"/>
      </rPr>
      <t xml:space="preserve">"1. 계약명 : 대한항공 보이는 ARS 월사용료 (라이선스 사용료)
 2. 외주업체 : 케이원
 3. 계약내용
  가. 계약금액 : (부가세 별도)
  나. </t>
    </r>
    <r>
      <rPr>
        <b/>
        <sz val="9"/>
        <color rgb="FF000000"/>
        <rFont val="Arial"/>
        <family val="2"/>
      </rPr>
      <t>계약기간 : 2022.01.17~2027.06.30</t>
    </r>
    <r>
      <rPr>
        <sz val="9"/>
        <color rgb="FF000000"/>
        <rFont val="Arial"/>
        <family val="2"/>
      </rPr>
      <t xml:space="preserve">
 4. 지급금액 : 월 3,100,000원(부가세 별도)
 5. 지급조건 : 30일이내 현금 지급"</t>
    </r>
  </si>
  <si>
    <t>대신네트웍스(제주)</t>
  </si>
  <si>
    <t>HX-PO-14989</t>
  </si>
  <si>
    <t>API241130김행주1748</t>
  </si>
  <si>
    <t xml:space="preserve">박재민 차장
jpark@hist.co.kr
</t>
  </si>
  <si>
    <t>11월분_칼호텔네트워크(서귀포KAL호텔) 교환기 유지보수</t>
  </si>
  <si>
    <t>1. 계약명 : 칼호텔네트워크(서귀포KAL호텔)
 2. 외주업체 : 대신네트웍스(주)
 3. 계약내용
  가. 계약금액 : (부가세 별도)
  나. 계약기간 : 2024.04.01~2025.03.31
 4. 지급금액 : 월 1,666,700원(부가세 별도), 2025년 3월 1,666,300원
 5. 지급조건 : 30일이내 현금 지급</t>
  </si>
  <si>
    <t>HX-PO-14684</t>
  </si>
  <si>
    <t>API241129김행주1756</t>
  </si>
  <si>
    <t>박재진 차장
jjpark09@hist.co.kr</t>
  </si>
  <si>
    <t>11월분_한진 헬프데스크 투입 인력(2명)
* 2월부터 점검서 확인서 받아야 함(박재진 차장)</t>
  </si>
  <si>
    <t>1. (주)한진 투입인력(2명)
2. 지급금액 : 월 6,355,000원(부가세 별도)
3. 계약기간 : 2024.02.01-2025.01.31</t>
  </si>
  <si>
    <t>HX-PO-15067</t>
  </si>
  <si>
    <t>API241129김행주1809</t>
  </si>
  <si>
    <r>
      <rPr>
        <sz val="9"/>
        <color theme="1"/>
        <rFont val="Arial"/>
        <family val="2"/>
      </rPr>
      <t xml:space="preserve">11월분_그룹사 무선 네트워크 유지보수
</t>
    </r>
    <r>
      <rPr>
        <b/>
        <sz val="9"/>
        <color rgb="FF0000FF"/>
        <rFont val="Arial"/>
        <family val="2"/>
      </rPr>
      <t xml:space="preserve">* 빌링 스케줄 표 참고 입고 처리 </t>
    </r>
  </si>
  <si>
    <t>R-ISE-VM-K9=</t>
  </si>
  <si>
    <r>
      <rPr>
        <sz val="9"/>
        <color rgb="FF000000"/>
        <rFont val="Arial"/>
        <family val="2"/>
      </rPr>
      <t xml:space="preserve">
1. 계약명 : 그룹사 무선 네트워크 유지보수
 2. 외주업체 : 에어키
 3. 계약내용
  가. 계약금액 : 8,209,800원(부가세 별도)
  나. 계약기간 : 2024.05.01~2025.04.30
 4. 지급금액 : </t>
    </r>
    <r>
      <rPr>
        <strike/>
        <sz val="9"/>
        <color rgb="FF000000"/>
        <rFont val="Arial"/>
        <family val="2"/>
      </rPr>
      <t>월 484,150원(2024.05~2024.08)</t>
    </r>
    <r>
      <rPr>
        <sz val="9"/>
        <color rgb="FF000000"/>
        <rFont val="Arial"/>
        <family val="2"/>
      </rPr>
      <t xml:space="preserve">
                      월 784,150원(2024.09~2025.04)
 5. 지급조건 : 60일이내 현금 지급
</t>
    </r>
  </si>
  <si>
    <t>SNS-3615-K9^</t>
  </si>
  <si>
    <t>AIR-CT3504-K9^</t>
  </si>
  <si>
    <t>PI-UCSM5-APL-K9^</t>
  </si>
  <si>
    <t>AIR-CT3504-K9</t>
  </si>
  <si>
    <t>C9800-CL-K9</t>
  </si>
  <si>
    <t>미니소프트</t>
  </si>
  <si>
    <t>HX-PO-14979</t>
  </si>
  <si>
    <t>API241129이수임1012</t>
  </si>
  <si>
    <t>이수임</t>
  </si>
  <si>
    <t>11월분_UC 서비스 조직도 관리 유지보수 (24.04.01~2025.03.31)</t>
  </si>
  <si>
    <t>1. 계약명 : UC 서비스 조식도 관리 유지보수
 2. 외주업체 : 미니소프트
 3. 계약내용
  가. 계약금액 : 6,720,000원(부가세 별도)
  나. 계약기간 : 2024년 4월 1일 ~ 2025년 3월 31일 
 4. 지급금액 : 560,000원(부가세 별도)
 5. 지급조건 : 30일이내 현금 지급</t>
  </si>
  <si>
    <t>대신네트웍스</t>
  </si>
  <si>
    <t>HX-PO-14823</t>
  </si>
  <si>
    <t>API241117이수임1038</t>
  </si>
  <si>
    <t>오민석
moh@hist.co.kr</t>
  </si>
  <si>
    <t>11월분_한국공항 화물청사 네트워크 구축 유지보수 (2024.02.17 ~ 2025.02.16)</t>
  </si>
  <si>
    <t>L2 Switch</t>
  </si>
  <si>
    <t>1. 계약명 : 2024년 한국공항 영종도지역 네트워크장비 유지보수
2. 외주업체 : 대신네트웍스(주)
3. 계약내용
  가. 계약금액 : 4,620,000원(부가세 별도)
  나. 계약기간 : 2024.02.17 ~ 2025.02.16(12개월)
4. 지급금액 : 월 385,000원(부가세 별도)
5. 지급조건 : 60일이내 현금 지급</t>
  </si>
  <si>
    <t>점검서없음</t>
  </si>
  <si>
    <t>L3 Switch</t>
  </si>
  <si>
    <t>Poe L2 Swtich</t>
  </si>
  <si>
    <t xml:space="preserve">	BB Switch,백본 스위치</t>
  </si>
  <si>
    <t>비토플러스</t>
  </si>
  <si>
    <t>HX-PO-14644</t>
  </si>
  <si>
    <t>API241129이수임1328</t>
  </si>
  <si>
    <t>11월분_그룹사 네트워크 장비(IPS) 유지보수 (2024.01.1 ~ 2024.12.31)</t>
  </si>
  <si>
    <t>1. 계 약 명 : 그룹사 네트워크 장비(IPS) 유지보수
 2. 계약금액 : 28,100,000원(VAT별도)
 3. 계약기간 : 2024.01.1 ~ 2024.12.31 (12개월)
 4. 대상장비 : IPS,침입방지시스템
 4. 금회지급 : 2,342,000원(VAT별도)
  *12차 : 2,338,000원
 5 .외주업체 : 비토플러스</t>
  </si>
  <si>
    <t>대신통신기술</t>
  </si>
  <si>
    <t>HX-PO-15020</t>
  </si>
  <si>
    <t>API241130이수임1315</t>
  </si>
  <si>
    <t>박재진 
jjpark09@hist.co.kr</t>
  </si>
  <si>
    <r>
      <rPr>
        <sz val="9"/>
        <color rgb="FF000000"/>
        <rFont val="Arial"/>
        <family val="2"/>
      </rPr>
      <t>11월분_그룹사 네트워크 회선 유지보수 및 통신장비 운영 유지보수 (2024.05.01 ~ 2025.04.30)</t>
    </r>
    <r>
      <rPr>
        <sz val="9"/>
        <color rgb="FFCC0000"/>
        <rFont val="Arial"/>
        <family val="2"/>
      </rPr>
      <t xml:space="preserve">
</t>
    </r>
    <r>
      <rPr>
        <b/>
        <sz val="9"/>
        <color rgb="FFCC0000"/>
        <rFont val="Arial"/>
        <family val="2"/>
      </rPr>
      <t xml:space="preserve"> * ERP 시스템에서 PO매칭 후 라인 추가해서 실비는 따로 작성하기</t>
    </r>
    <r>
      <rPr>
        <sz val="9"/>
        <color rgb="FFCC0000"/>
        <rFont val="Arial"/>
        <family val="2"/>
      </rPr>
      <t xml:space="preserve">
</t>
    </r>
  </si>
  <si>
    <t>511911
 외주용역비</t>
  </si>
  <si>
    <t>1. 계 약 명 : 그룹사 네트워크 회선 유지보수 및 통신장비운영 유지보수
 2. 계약기간 : 2024.05.01 ~ 2025.04.30(12개월)
 3. 계약금액 : 55,200,000원
 4. 금회지급 : 4,600,000원
 5. 1월 작업의뢰 : 50,000원
 6. 외주업체 : 대신통신기술
 7. 지급조건 : 60일 이내 현금 지급</t>
  </si>
  <si>
    <t>HX-999-SELSP-SELSLIN-511911-0000-V080026-000000-00000</t>
  </si>
  <si>
    <t>HX-PO-15054</t>
  </si>
  <si>
    <t>API241129이수임1338</t>
  </si>
  <si>
    <t>11월분_그룹사 Data Center 장비(Cisco) 유지보수 (2024.5.1 ~ 2025.4.30)</t>
  </si>
  <si>
    <t>1. 계 약 명 : 그룹사 Data Center 장비(Cisco) 유지보수 
 2. 계약금액 : 38,058,000원(VAT별도)
 3. 계약기간 : 2024.5.1 ~ 2025.4.30 (12개월)
 4. 대상장비 : Cisco 네트워크 및 보안 장비, ACI장비
 5. 금회지급 : 3,171,500원(VAT별도)
 6 .외주업체 : (주)콤텍시스템
 7. 지급조건 : 30일 이내 현금 지급</t>
  </si>
  <si>
    <t>오픈베이스</t>
  </si>
  <si>
    <t>HX-PO-15055</t>
  </si>
  <si>
    <t>API241130이수임1401</t>
  </si>
  <si>
    <t>11월분_그룹사 Data Center 장비(F5) 유지보수 (2024.5.1 ~ 2025.4.30)</t>
  </si>
  <si>
    <t>1. 그룹사 Data Center 장비(F5) 유지보수
 2. 계약금액 : 18,408,000원(VAT별도)
 3. 계약기간 : 2024.5.1 ~ 2025.4.30 (12개월)
 4. 대상장비 : L7스위치, Radware, FireEye 보안장비
 5. 금회지급 : 1,534,000원(VAT별도)
 6 .외주업체 : ㈜오픈베이스
 7. 지급조건 : 60일 이내 현금 지급</t>
  </si>
  <si>
    <t>점검문서 3개</t>
  </si>
  <si>
    <t>세금계산서
 담당자
 02-3404-5624</t>
  </si>
  <si>
    <t>HX-PO-15056</t>
  </si>
  <si>
    <t>API241130이수임1417</t>
  </si>
  <si>
    <t>11월분_그룹사 Data Center 장비(Fortigate 외) 유지보수(2024.5.1 ~ 2025.4.30)</t>
  </si>
  <si>
    <t>V090003(토파스)</t>
  </si>
  <si>
    <t>1. 계 약 명 : 그룹사 Data Center 장비(Fortigate 외) 유지보수
 2. 계약금액 : 51,492,000원(VAT별도)
 3. 계약기간 : 2024.5.1 ~ 2025.4.30 (12개월)
 4. 대상장비 : Fortigate, PulseSecure
 5. 금회지급 : 4,193,600원(VAT별도)
    가. 24년 5월~2월 : 4,248,000원
    나. 25년 3월~4월 : 4,506,000원
 6 .외주업체 : 씨엠티정보통신㈜
 7. 지급조건 : 60일 이내 현금 지급</t>
  </si>
  <si>
    <t>Receive Items</t>
  </si>
  <si>
    <t>가. 24년 5월~25년 2월분</t>
  </si>
  <si>
    <t>나. 25년 3월~4월분</t>
  </si>
  <si>
    <t>소만사</t>
  </si>
  <si>
    <t>HX-PO-15057</t>
  </si>
  <si>
    <t>API241130이수임1423</t>
  </si>
  <si>
    <t>이상준 대리 
sang-junlee@hist.co.kr</t>
  </si>
  <si>
    <t>11월분_그룹사 Data Center 장비(유해차단) 유지보수 (2024.5.1 ~ 2025.4.30)
점검표 분기별 (5~8월, 8~10월….)</t>
  </si>
  <si>
    <t>1. 계 약 명 : 그룹사 Data Center 장비(유해차단) 유지보수
 2. 계약금액 : 6,138,000원(VAT별도)
 3. 계약기간 : 2022.5.1 ~ 2023.4.30 (12개월)
 4. 대상장비 : 유해차단솔루션
 5. 금회지급 : 511,500원(VAT별도)
 6 .외주업체 : 소만사
 7. 지급조건 : 60일 이내 현금 지급</t>
  </si>
  <si>
    <t>HX-PO-15432</t>
  </si>
  <si>
    <t>API241129이수임1428</t>
  </si>
  <si>
    <r>
      <rPr>
        <sz val="9"/>
        <color rgb="FF000000"/>
        <rFont val="Arial"/>
        <family val="2"/>
      </rPr>
      <t>11월분_그룹사 서비스용 VPN 장비 유지보수</t>
    </r>
    <r>
      <rPr>
        <b/>
        <sz val="9"/>
        <color rgb="FF000000"/>
        <rFont val="Arial"/>
        <family val="2"/>
      </rPr>
      <t>(2024.10.01 ~ 2025.09.30)</t>
    </r>
  </si>
  <si>
    <t>1. 계 약 명 : 그룹사 서비스용 VPN 장비 유지보수
 2. 계약기간 : 2024.10.01 ~ 2025.09.30 (12개월)
 3. 계약금액 : 30,529,200원 (VAT별도)
 4. 대 상 : 한진, 진에어, 한진관광, 한국공항
 5.금회지급 : 2,544,100원(VAT별도)
 6. 외 주 사 : 케이원
 7. 지급조건 : 30일 이내 현금지급</t>
  </si>
  <si>
    <t>세종네트웍스</t>
  </si>
  <si>
    <t>X</t>
  </si>
  <si>
    <t>API241129이수임1432</t>
  </si>
  <si>
    <t>11월분_한진 중국지역 가속 서비스 (SD-WAN)
HX-999-SELSP-SELSLIN-512211-0000-V080026-000000-00000</t>
  </si>
  <si>
    <t>512211
(재료_사업재료비)</t>
  </si>
  <si>
    <r>
      <rPr>
        <sz val="9"/>
        <color rgb="FF000000"/>
        <rFont val="Arial"/>
        <family val="2"/>
      </rPr>
      <t xml:space="preserve">1. 계약명 : 한진 중국지역에서 구글 서비스, 글로벌 SD-WAN 라이선스 구매
 2. 계약기간 : </t>
    </r>
    <r>
      <rPr>
        <strike/>
        <sz val="9"/>
        <color rgb="FF000000"/>
        <rFont val="Arial"/>
        <family val="2"/>
      </rPr>
      <t>2020.02.01 ~ 2023.01.31 (36개월)</t>
    </r>
    <r>
      <rPr>
        <sz val="9"/>
        <color rgb="FF000000"/>
        <rFont val="Arial"/>
        <family val="2"/>
      </rPr>
      <t xml:space="preserve">, </t>
    </r>
    <r>
      <rPr>
        <b/>
        <sz val="9"/>
        <color rgb="FF000000"/>
        <rFont val="Arial"/>
        <family val="2"/>
      </rPr>
      <t>계약기간 없음</t>
    </r>
    <r>
      <rPr>
        <sz val="9"/>
        <color rgb="FF000000"/>
        <rFont val="Arial"/>
        <family val="2"/>
      </rPr>
      <t xml:space="preserve">
 3. 계약금액 : 50,400,000원 (VAT별도)
 4. 금회지급 : 1,400,000원(VAT별도)
 5. 외 주 사 : 세종텔레콤
 6. 지급조건 : 30일 이내 현금지급</t>
    </r>
  </si>
  <si>
    <t>엔키아</t>
  </si>
  <si>
    <t>HX-PO-14643</t>
  </si>
  <si>
    <t>API241130이수임1546</t>
  </si>
  <si>
    <t>이형기 과장
hklee@hist.co.kr</t>
  </si>
  <si>
    <t xml:space="preserve">11월분_그룹사 네트워크 장비(NMS) 유지보수 (2024.01.01 ~ 2024.12.31)
</t>
  </si>
  <si>
    <t>1. 계약명 : 그룹사 네트워크 장비(NMS) 유지보수
 2. 계약기간 : 2024.01.01 ~ 2024.12.31 (12개월)
 3. 계약금액 : 3,168,000원 (VAT별도)
 4. 금회지급 : 264,000원(VAT별도)
 5. 외 주 사 : 엔키아
 6. 지급조건 : 30일 이내 현금지급</t>
  </si>
  <si>
    <t>넥스데이타네트웍스</t>
  </si>
  <si>
    <t>HX-PO-13752</t>
  </si>
  <si>
    <t>API241130이수임1825</t>
  </si>
  <si>
    <t>11월분_인하대병원 유무선 네트워크 ITO 서비스 유지보수 (2023.04.01 ~ 2025.03.31)</t>
  </si>
  <si>
    <t>1. 계약명 : 인하대병원 유무선 네트워크 ITO 유지보수
2. 계약기간 : 2023.04.01 ~ 2025.03.31
3. 계약금액 : 8,640,000원(VAT별도)
4. 금회지급 : 360,000원(VAT별도)
5. 외 주 사 : 넥스데이타네트웍스
6. 지급조건 : 60일 이내 현금지급</t>
  </si>
  <si>
    <t>HX-PO-13754</t>
  </si>
  <si>
    <t>API241130이수임1506</t>
  </si>
  <si>
    <t>1. 계약명 : 인하대병원 유무선 네트워크 ITO 유지보수
2. 계약기간 : 2023.04.01 ~ 2025.03.31
3. 계약금액 : 46,818,000원 (VAT별도)
4. 금회지급 : 1,950,750원(VAT별도)
5. 외 주 사 : 씨엠티정보통신
6. 지급조건 : 60일 이내 현금지급</t>
  </si>
  <si>
    <t>HX-PO-13755</t>
  </si>
  <si>
    <t>API241129이수임1817</t>
  </si>
  <si>
    <t>11월분_인하대병원 유무선 네트워크 ITO 서비스 유지보수 (2023.04.01 ~ 2025.03.31)
 - payterm : 60일로 수정</t>
  </si>
  <si>
    <t>1. 계약명 : 인하대병원 유무선 네트워크 ITO 유지보수
2. 계약기간 : 2023.04.01 ~ 2025.03.31
3. 계약금액 : 321,120,000원 (VAT별도)
4. 금회지급 : 13,380,000원(VAT별도)
5. 외 주 사 : 이테크시스템
6. 지급조건 : 60일 이내 현금지급</t>
  </si>
  <si>
    <t>HX-PO-15153</t>
  </si>
  <si>
    <t>API241130이수임1609</t>
  </si>
  <si>
    <t>이재현 대리
jaehlee@hist.co.kr</t>
  </si>
  <si>
    <t>11월분_토파스 단말관리 시스템 및 NAC솔루션 유지보수 (2024.07.01 ~ 2025.06.30)</t>
  </si>
  <si>
    <t>1. 계 약 명 : 토파스 단말관리 시스템 및 NAC솔루션 유지보수 
 2. 계약내용 
  가. 금 액 : 1,452,000원(VAT별도)
  나. 기 간 : 2024.07.01 ~ 2025.06.30 (36개월)
  다. 대 상 : 
  - Server 2대(HP DL120 1대, VIP 2000 1대) 
  - 운영관리 소프트웨어 1식 
  - 사용자 Agent 100EA 등 
  - MLSoft VIP-1000 1대 
  - MLSoft SIP-150 1대
 3. 금회 지급 : 121,000원(VAT별도)
 4. 외 주 사 : ㈜엠엘소프트</t>
  </si>
  <si>
    <t>ART241130김성진1719</t>
  </si>
  <si>
    <t>㈜에스케어</t>
  </si>
  <si>
    <t>HX-PO-15285</t>
  </si>
  <si>
    <t>API241129이수임1304</t>
  </si>
  <si>
    <t>11월분_토파스 DLP시스템 서비스 (2024.08.01 ~ 2025.07.31)
***2024년 11월부 679,400원</t>
  </si>
  <si>
    <t>DLP</t>
  </si>
  <si>
    <t>1. 계 약 명 : 토파스 DLP시스템 서비스
 2. 계약기간 : 2024.08.01 ~ 2025.07.31 (12개월) 
 3. 계약금액 : 6,336,000원(VAT별도) 
 4. 금회지급 : 528,000원(VAT별도)
 5. 외 주 사 : ㈜에스케어
 6. 정기점검 수행 주기 : 분기 점검
 7. 지급조건 : 30일 이내 현금지급</t>
  </si>
  <si>
    <t>(주)유씨피아이</t>
  </si>
  <si>
    <t>HX-PO-15017</t>
  </si>
  <si>
    <t>API241201김행주1514</t>
  </si>
  <si>
    <t>장희봉
hjang@hist.co.kr</t>
  </si>
  <si>
    <t>11월분_한진 대전 Mega Hub터미널 IT인프라 운영 지원</t>
  </si>
  <si>
    <r>
      <rPr>
        <sz val="9"/>
        <color theme="1"/>
        <rFont val="Arial"/>
        <family val="2"/>
      </rPr>
      <t xml:space="preserve">1. 대  상 : 한진 대전 Mega Hub터미널 IT인프라 운영 지원
</t>
    </r>
    <r>
      <rPr>
        <b/>
        <sz val="9"/>
        <color theme="1"/>
        <rFont val="Arial"/>
        <family val="2"/>
      </rPr>
      <t>2. 계약기간 : 2024.03.04 ~ 2025.03.31</t>
    </r>
    <r>
      <rPr>
        <sz val="9"/>
        <color theme="1"/>
        <rFont val="Arial"/>
        <family val="2"/>
      </rPr>
      <t xml:space="preserve">
3. 금회지급 : 15,200,000원(VAT별도)</t>
    </r>
  </si>
  <si>
    <t>킨코스코리아</t>
  </si>
  <si>
    <t>11월_한진 수지 배부 관리방식 변경 프로젝트(제안서)</t>
  </si>
  <si>
    <t>일시비</t>
  </si>
  <si>
    <t>공통</t>
  </si>
  <si>
    <r>
      <rPr>
        <strike/>
        <sz val="9"/>
        <color theme="1"/>
        <rFont val="Arial"/>
        <family val="2"/>
      </rPr>
      <t xml:space="preserve">1. 대  상 : 수지 배부 관리방식 변경 프로젝트
</t>
    </r>
    <r>
      <rPr>
        <b/>
        <strike/>
        <sz val="9"/>
        <color theme="1"/>
        <rFont val="Arial"/>
        <family val="2"/>
      </rPr>
      <t>2. 계약기간 : 2024.09.20</t>
    </r>
    <r>
      <rPr>
        <strike/>
        <sz val="9"/>
        <color theme="1"/>
        <rFont val="Arial"/>
        <family val="2"/>
      </rPr>
      <t xml:space="preserve">
3 .금회지급 : 332,400원(VAT별도)</t>
    </r>
  </si>
  <si>
    <t>모빌텍</t>
  </si>
  <si>
    <t xml:space="preserve">HX-PO-14993
		</t>
  </si>
  <si>
    <t>일시비 완료</t>
  </si>
  <si>
    <r>
      <rPr>
        <strike/>
        <sz val="9"/>
        <color theme="1"/>
        <rFont val="Arial"/>
        <family val="2"/>
      </rPr>
      <t xml:space="preserve">1. 대  상 : 한진 대전 Mega-Hub 설비 유지보수 전용 
무선 네트워크 구축
</t>
    </r>
    <r>
      <rPr>
        <b/>
        <strike/>
        <sz val="9"/>
        <color theme="1"/>
        <rFont val="Arial"/>
        <family val="2"/>
      </rPr>
      <t>2. 계약기간 : 2024.04.03 ~ 2024.04.05</t>
    </r>
    <r>
      <rPr>
        <strike/>
        <sz val="9"/>
        <color theme="1"/>
        <rFont val="Arial"/>
        <family val="2"/>
      </rPr>
      <t xml:space="preserve">
3 .금회지급 : 15,550,000원(VAT별도)</t>
    </r>
  </si>
  <si>
    <t xml:space="preserve">HX-PO-14994
		</t>
  </si>
  <si>
    <r>
      <rPr>
        <strike/>
        <sz val="9"/>
        <color theme="1"/>
        <rFont val="Arial"/>
        <family val="2"/>
      </rPr>
      <t xml:space="preserve">1. 대  상 : 한진 대전 Mega-Hub 설비 유지보수 전용 
무선 네트워크 구축
</t>
    </r>
    <r>
      <rPr>
        <b/>
        <strike/>
        <sz val="9"/>
        <color theme="1"/>
        <rFont val="Arial"/>
        <family val="2"/>
      </rPr>
      <t>2. 계약기간 : 2024.04.03 ~ 2024.04.05</t>
    </r>
    <r>
      <rPr>
        <strike/>
        <sz val="9"/>
        <color theme="1"/>
        <rFont val="Arial"/>
        <family val="2"/>
      </rPr>
      <t xml:space="preserve">
3 .금회지급 : 53,290,000원(VAT별도)</t>
    </r>
  </si>
  <si>
    <t>HX-PO-15100</t>
  </si>
  <si>
    <t>API241201김행주1520</t>
  </si>
  <si>
    <t>11월_한진 훗타운 서비스 기획 업무 지원</t>
  </si>
  <si>
    <t>VR240030</t>
  </si>
  <si>
    <r>
      <rPr>
        <sz val="9"/>
        <color theme="1"/>
        <rFont val="Arial"/>
        <family val="2"/>
      </rPr>
      <t xml:space="preserve">1. 대  상 : 한진 훗타운 서비스 기획 업무 지원
</t>
    </r>
    <r>
      <rPr>
        <b/>
        <sz val="9"/>
        <color theme="1"/>
        <rFont val="Arial"/>
        <family val="2"/>
      </rPr>
      <t>2. 임차기간 : 2024.04.15 ~ 2026.04.14</t>
    </r>
    <r>
      <rPr>
        <sz val="9"/>
        <color theme="1"/>
        <rFont val="Arial"/>
        <family val="2"/>
      </rPr>
      <t xml:space="preserve">
3. 외주내역 : 훗타운 서비스 기획 
4 .금회지급 : 199,200,000원(VAT별도)</t>
    </r>
  </si>
  <si>
    <t>에스엔에이</t>
  </si>
  <si>
    <t>HX-PO-15345</t>
  </si>
  <si>
    <t>API241125김행주1347</t>
  </si>
  <si>
    <t>11월_한진인천컨테이너터미널 통합인프라 운영 및 유지보수</t>
  </si>
  <si>
    <r>
      <rPr>
        <sz val="9"/>
        <color theme="1"/>
        <rFont val="Arial"/>
        <family val="2"/>
      </rPr>
      <t xml:space="preserve">1. 대  상 : 한진인천컨테이너터미널 통합인프라 운영 및 유지보수
</t>
    </r>
    <r>
      <rPr>
        <b/>
        <sz val="9"/>
        <color theme="1"/>
        <rFont val="Arial"/>
        <family val="2"/>
      </rPr>
      <t xml:space="preserve">2. 임차기간 : 2024.08.01 ~ 2025.07.31
</t>
    </r>
    <r>
      <rPr>
        <sz val="9"/>
        <color theme="1"/>
        <rFont val="Arial"/>
        <family val="2"/>
      </rPr>
      <t>3. 외주내역 : 서버
4 .계약금액 : 29,952,000원(VAT별도)</t>
    </r>
  </si>
  <si>
    <t>넷팜</t>
  </si>
  <si>
    <t>HX-PO-15346</t>
  </si>
  <si>
    <t>API241129김행주1354</t>
  </si>
  <si>
    <r>
      <rPr>
        <sz val="9"/>
        <color theme="1"/>
        <rFont val="Arial"/>
        <family val="2"/>
      </rPr>
      <t xml:space="preserve">1. 대  상 : 한진인천컨테이너터미널 통합인프라 운영 및 유지보수
</t>
    </r>
    <r>
      <rPr>
        <b/>
        <sz val="9"/>
        <color theme="1"/>
        <rFont val="Arial"/>
        <family val="2"/>
      </rPr>
      <t xml:space="preserve">2. 임차기간 : 2024.08.01 ~ 2025.07.31
</t>
    </r>
    <r>
      <rPr>
        <sz val="9"/>
        <color theme="1"/>
        <rFont val="Arial"/>
        <family val="2"/>
      </rPr>
      <t>3. 외주내역 : N/W
4 .계약금액 : 41,676,000원(VAT별도)</t>
    </r>
  </si>
  <si>
    <t>이프리키아테크놀로지</t>
  </si>
  <si>
    <t>HX-PO-15347</t>
  </si>
  <si>
    <t>API241130김행주1423</t>
  </si>
  <si>
    <r>
      <rPr>
        <sz val="9"/>
        <color theme="1"/>
        <rFont val="Arial"/>
        <family val="2"/>
      </rPr>
      <t xml:space="preserve">1. 대  상 : 한진인천컨테이너터미널 통합인프라 운영 및 유지보수
</t>
    </r>
    <r>
      <rPr>
        <b/>
        <sz val="9"/>
        <color theme="1"/>
        <rFont val="Arial"/>
        <family val="2"/>
      </rPr>
      <t xml:space="preserve">2. 임차기간 : 2024.08.01 ~ 2025.07.31
</t>
    </r>
    <r>
      <rPr>
        <sz val="9"/>
        <color theme="1"/>
        <rFont val="Arial"/>
        <family val="2"/>
      </rPr>
      <t>3. 외주내역 : 백업
4 .계약금액 : 7,800,000원(VAT별도)</t>
    </r>
  </si>
  <si>
    <t>HX-PO-15348</t>
  </si>
  <si>
    <t>API241125김행주1428</t>
  </si>
  <si>
    <r>
      <rPr>
        <sz val="9"/>
        <color theme="1"/>
        <rFont val="Arial"/>
        <family val="2"/>
      </rPr>
      <t xml:space="preserve">1. 대  상 : 한진인천컨테이너터미널 통합인프라 운영 및 유지보수
</t>
    </r>
    <r>
      <rPr>
        <b/>
        <sz val="9"/>
        <color theme="1"/>
        <rFont val="Arial"/>
        <family val="2"/>
      </rPr>
      <t xml:space="preserve">2. 임차기간 : 2024.08.01 ~ 2025.07.31
</t>
    </r>
    <r>
      <rPr>
        <sz val="9"/>
        <color theme="1"/>
        <rFont val="Arial"/>
        <family val="2"/>
      </rPr>
      <t>3. 외주내역 : 방화벽
4 .계약금액 : 23,400,000원(VAT별도)</t>
    </r>
  </si>
  <si>
    <t>HX-PO-15349</t>
  </si>
  <si>
    <t>API241130김행주1435</t>
  </si>
  <si>
    <r>
      <rPr>
        <sz val="9"/>
        <color theme="1"/>
        <rFont val="Arial"/>
        <family val="2"/>
      </rPr>
      <t xml:space="preserve">1. 대  상 : 한진인천컨테이너터미널 통합인프라 운영 및 유지보수
</t>
    </r>
    <r>
      <rPr>
        <b/>
        <sz val="9"/>
        <color theme="1"/>
        <rFont val="Arial"/>
        <family val="2"/>
      </rPr>
      <t xml:space="preserve">2. 임차기간 : 2024.08.01 ~ 2025.07.31
</t>
    </r>
    <r>
      <rPr>
        <sz val="9"/>
        <color theme="1"/>
        <rFont val="Arial"/>
        <family val="2"/>
      </rPr>
      <t>3. 외주내역 : SMS
4 .계약금액 : 1,956,000원(VAT별도)</t>
    </r>
  </si>
  <si>
    <t>오경컴텍(인프라)</t>
  </si>
  <si>
    <t>HX-PO-15350</t>
  </si>
  <si>
    <t>API241130김행주1441</t>
  </si>
  <si>
    <t>인프라</t>
  </si>
  <si>
    <r>
      <rPr>
        <sz val="9"/>
        <color theme="1"/>
        <rFont val="Arial"/>
        <family val="2"/>
      </rPr>
      <t xml:space="preserve">1. 대  상 : 한진인천컨테이너터미널 통합인프라 운영 및 유지보수
</t>
    </r>
    <r>
      <rPr>
        <b/>
        <sz val="9"/>
        <color theme="1"/>
        <rFont val="Arial"/>
        <family val="2"/>
      </rPr>
      <t xml:space="preserve">2. 임차기간 : 2024.08.01 ~ 2025.07.31
</t>
    </r>
    <r>
      <rPr>
        <sz val="9"/>
        <color theme="1"/>
        <rFont val="Arial"/>
        <family val="2"/>
      </rPr>
      <t>3. 외주내역 : 인프라
4 .계약금액 : 89,588,400원(VAT별도)</t>
    </r>
  </si>
  <si>
    <t>오경컴텍(용역)</t>
  </si>
  <si>
    <t>HX-PO-15351</t>
  </si>
  <si>
    <t>API241130김행주1445</t>
  </si>
  <si>
    <r>
      <rPr>
        <b/>
        <sz val="9"/>
        <color rgb="FF000000"/>
        <rFont val="Arial"/>
        <family val="2"/>
      </rPr>
      <t xml:space="preserve">인력 인력 추가 투입(1개월)
</t>
    </r>
    <r>
      <rPr>
        <b/>
        <strike/>
        <sz val="9"/>
        <color rgb="FF000000"/>
        <rFont val="Arial"/>
        <family val="2"/>
      </rPr>
      <t>8월 : 16,630,000</t>
    </r>
    <r>
      <rPr>
        <b/>
        <sz val="9"/>
        <color rgb="FF000000"/>
        <rFont val="Arial"/>
        <family val="2"/>
      </rPr>
      <t xml:space="preserve">
9월~7월 : 9,840,000</t>
    </r>
  </si>
  <si>
    <r>
      <rPr>
        <sz val="9"/>
        <color theme="1"/>
        <rFont val="Arial"/>
        <family val="2"/>
      </rPr>
      <t xml:space="preserve">1. 대  상 : 한진인천컨테이너터미널 통합인프라 운영 및 유지보수
</t>
    </r>
    <r>
      <rPr>
        <b/>
        <sz val="9"/>
        <color theme="1"/>
        <rFont val="Arial"/>
        <family val="2"/>
      </rPr>
      <t xml:space="preserve">2. 임차기간 : 2024.08.01 ~ 2025.07.31
</t>
    </r>
    <r>
      <rPr>
        <sz val="9"/>
        <color theme="1"/>
        <rFont val="Arial"/>
        <family val="2"/>
      </rPr>
      <t>3. 외주내역 : 용역
4 .계약금액 : 124,870,000원(VAT별도)</t>
    </r>
  </si>
  <si>
    <t>HX-PO-15352</t>
  </si>
  <si>
    <t xml:space="preserve"> R240051</t>
  </si>
  <si>
    <r>
      <rPr>
        <strike/>
        <sz val="9"/>
        <color theme="1"/>
        <rFont val="Arial"/>
        <family val="2"/>
      </rPr>
      <t xml:space="preserve">1. 대  상 : 한진인천컨테이너터미널 통합인프라 운영 및 유지보수
</t>
    </r>
    <r>
      <rPr>
        <b/>
        <strike/>
        <sz val="9"/>
        <color theme="1"/>
        <rFont val="Arial"/>
        <family val="2"/>
      </rPr>
      <t xml:space="preserve">2. 임차기간 : 2024.08.01 ~ 2025.07.31
</t>
    </r>
    <r>
      <rPr>
        <strike/>
        <sz val="9"/>
        <color theme="1"/>
        <rFont val="Arial"/>
        <family val="2"/>
      </rPr>
      <t>3. 외주내역 : 
4 .계약금액 : 7,034,000원(VAT별도)</t>
    </r>
  </si>
  <si>
    <t>HX-PO-15354</t>
  </si>
  <si>
    <r>
      <rPr>
        <strike/>
        <sz val="9"/>
        <color theme="1"/>
        <rFont val="Arial"/>
        <family val="2"/>
      </rPr>
      <t xml:space="preserve">1. 대  상 : 한진인천컨테이너터미널 통합인프라 운영 및 유지보수
</t>
    </r>
    <r>
      <rPr>
        <b/>
        <strike/>
        <sz val="9"/>
        <color theme="1"/>
        <rFont val="Arial"/>
        <family val="2"/>
      </rPr>
      <t xml:space="preserve">2. 임차기간 : 2024.08.01 ~ 2025.07.31
</t>
    </r>
    <r>
      <rPr>
        <strike/>
        <sz val="9"/>
        <color theme="1"/>
        <rFont val="Arial"/>
        <family val="2"/>
      </rPr>
      <t>3. 외주내역 : 
4 .계약금액 : 3,887,500원(VAT별도)</t>
    </r>
  </si>
  <si>
    <t>나온소프트</t>
  </si>
  <si>
    <t>HX-PO-14822</t>
  </si>
  <si>
    <t>API241129김행주1016</t>
  </si>
  <si>
    <t>조태정
tjcho@hist.co.kr</t>
  </si>
  <si>
    <t>11월_한진칼 New Hanway 운영 유지보수</t>
  </si>
  <si>
    <t>* 작업확인서</t>
  </si>
  <si>
    <t>1. 대  상 : 2022년 한진칼 New Hanway 운영유지보수 외주계약
2. 임차기간 : 2024.02.24 ~ 2025.02.23
3. 외주내역 : 
4 .계약금액 : 94,800,000원(VAT별도)</t>
  </si>
  <si>
    <t>HX-PO-11463</t>
  </si>
  <si>
    <t>API241129김행주1105</t>
  </si>
  <si>
    <t>11월_대한항공 전자결재 라이센스 공급 및 유지보수</t>
  </si>
  <si>
    <t>* 거래명세서</t>
  </si>
  <si>
    <t>1. 대  상 : 대한항공 전자결재 라이센스 공급 및 유지보수
2. 임차기간 : 2024.04.05 ~ 2026.04.04
3. 외주내역 : 
4 .계약금액 : 114,692,400원(VAT별도)</t>
  </si>
  <si>
    <t>HX-PO-15088</t>
  </si>
  <si>
    <t>API241129김행주1247</t>
  </si>
  <si>
    <t>11월_대한항공전자결재(한웨이) 서비스를위한솔루션구매및유지보수</t>
  </si>
  <si>
    <t>1. 440,000
2. 350,000
3. 225,000</t>
  </si>
  <si>
    <t>1. 대  상 : 대한항공전자결재(한웨이) 서비스를위한솔루션구매및유지보수
2. 임차기간 : 2024-06-01~2025-05-31
3. 외주내역 : 
4 .계약금액 : 11,700,000원(VAT별도)</t>
  </si>
  <si>
    <t>HX-PO-15152</t>
  </si>
  <si>
    <t>API241129김행주1254</t>
  </si>
  <si>
    <t>11월_대한항공전자결재(HANWAY) 개발자 인력충원(연장)</t>
  </si>
  <si>
    <t>1. 대  상 : 대한항공전자결재(HANWAY) 개발자 인력충원(연장)
2. 임차기간 : 2024-07-01~2025-06-30
3. 외주내역 : 
4 .계약금액 : 94,800,000원(VAT별도)</t>
  </si>
  <si>
    <t>HX-PO-15095</t>
  </si>
  <si>
    <t>API241129김행주1304</t>
  </si>
  <si>
    <t>11월_학원, 병원그룹웨어시스템 재구축 및 유지보수사업(솔루션 유지보수 비용)</t>
  </si>
  <si>
    <t>1. 대  상 : 학원, 병원그룹웨어시스템 재구축 및 유지보수사업
2. 임차기간 : 2024-05-20~2025-05-19
3. 외주내역 : 
4 .계약금액 : 19,224,000원(VAT별도)</t>
  </si>
  <si>
    <t>HX-PO-14936</t>
  </si>
  <si>
    <t>API241129김행주1309</t>
  </si>
  <si>
    <t>11월_그룹사 NewHANWAY(옵션)솔루션 유지보수 제공계약(1년)</t>
  </si>
  <si>
    <t>1. 대  상 : 학원/병원 한웨이 시스템 운영 유지보수
2. 임차기간 : 2024-04-01~2025-03-31
3. 외주내역 : 
4 .계약금액 : 5,280,000원(VAT별도)</t>
  </si>
  <si>
    <t>HX-PO-15497</t>
  </si>
  <si>
    <t>API241130김행주1755</t>
  </si>
  <si>
    <t>11월_학원/병원 한웨이 시스템 운영 유지보수</t>
  </si>
  <si>
    <t>1. 대  상 : 학원/병원 한웨이 시스템 운영 유지보수
2. 임차기간 : 2023-11-01~2024-10-31
3. 외주내역 : 
4 .계약금액 : 79,200,000원(VAT별도)</t>
  </si>
  <si>
    <t>한국전자인증</t>
  </si>
  <si>
    <t>HX-PO-15441</t>
  </si>
  <si>
    <t>허명우
mwheo@hist.co.kr</t>
  </si>
  <si>
    <t>11월_한진 그룹사 SSO 서비스용 인증서 구매</t>
  </si>
  <si>
    <t>HX-PO-15487</t>
  </si>
  <si>
    <t>API241118김행주1319</t>
  </si>
  <si>
    <t>차호용
hycha@hist.co.kr</t>
  </si>
  <si>
    <t>11월_KAL OB 홈페이지 전자인증(SSL)인증서 구매</t>
  </si>
  <si>
    <t>크리니티(주)</t>
  </si>
  <si>
    <t>HX-PO-15492
김구영 PR</t>
  </si>
  <si>
    <t>API241130김행주0959</t>
  </si>
  <si>
    <r>
      <rPr>
        <strike/>
        <sz val="9"/>
        <color theme="1"/>
        <rFont val="Arial"/>
        <family val="2"/>
      </rPr>
      <t>이형기 과장
hklee@hist.co.kr</t>
    </r>
    <r>
      <rPr>
        <sz val="9"/>
        <color theme="1"/>
        <rFont val="Arial"/>
        <family val="2"/>
      </rPr>
      <t xml:space="preserve">
조성호
sungjo@hist.co.kr</t>
    </r>
  </si>
  <si>
    <t>11월_대한항공, 방산보안 운영 인프라 서비스 유지보수
* 웹메일 담당자 : 조성호과장</t>
  </si>
  <si>
    <t>24: 10-360,000
. 24/11~25/5
3,120,000원</t>
  </si>
  <si>
    <t>1. 대  상 : 2024년 대한항공 방산보안 인프라 운영 유지보수 계약
2. 임차기간 : 2024-10-28~2025-05-31
3. 외주내역 : 
4 .계약금액 : 22,200,000원(VAT별도)
5. 금회지급 : 원(VAT별도)
    가. 24년 10월 : 360,000원
    나. 24년 11월~25년 5월 : 3,120,000원
 6 .외주업체 : 크리니티㈜
 7. 지급조건 : 30일 이내 현금 지급</t>
  </si>
  <si>
    <r>
      <rPr>
        <sz val="9"/>
        <color theme="1"/>
        <rFont val="Arial"/>
        <family val="2"/>
      </rPr>
      <t xml:space="preserve">18254
정현웅차장 청구 ART 번호 받아야 함
</t>
    </r>
    <r>
      <rPr>
        <sz val="9"/>
        <color rgb="FF0000FF"/>
        <rFont val="Arial"/>
        <family val="2"/>
      </rPr>
      <t>ART241130정현웅1326</t>
    </r>
  </si>
  <si>
    <t>HX-PO-15560</t>
  </si>
  <si>
    <t>API241129김행주1926</t>
  </si>
  <si>
    <t>윤성식(HR팀)
ssyoon94@hist.co.kr</t>
  </si>
  <si>
    <t>11월_한진택배 수지관리 방식 변경에 따른 시스템 구축</t>
  </si>
  <si>
    <t>SELSLGP(한진택배그룹)</t>
  </si>
  <si>
    <t>ART241125김행주1303</t>
  </si>
  <si>
    <t>장희봉 PR</t>
  </si>
  <si>
    <t>웹투게더</t>
  </si>
  <si>
    <t>HX-PO-15559</t>
  </si>
  <si>
    <t>API241129김행주0940</t>
  </si>
  <si>
    <t xml:space="preserve">다올피플 </t>
  </si>
  <si>
    <t>HX-PO-15558</t>
  </si>
  <si>
    <t>API241201김행주1006</t>
  </si>
  <si>
    <t>필그림소프트</t>
  </si>
  <si>
    <t>HX-PO-15557</t>
  </si>
  <si>
    <t>API241128김행주1639</t>
  </si>
  <si>
    <t>최정욱(한진택배그룹)
jwchoi@hist.co.kr</t>
  </si>
  <si>
    <t>11월_한진 저유소 주유소 관리시스템 개발 사업</t>
  </si>
  <si>
    <t>ART241125김행주1308</t>
  </si>
  <si>
    <t>HX-PO-15526</t>
  </si>
  <si>
    <t>API241130김행주1508</t>
  </si>
  <si>
    <t>moh@hist.co.kr</t>
  </si>
  <si>
    <t>11월_한국토요타자동차 AWS 클라우드 서비스용 네트워크 장비 구매</t>
  </si>
  <si>
    <t>ART240930김준태1723</t>
  </si>
  <si>
    <t>HX-PO-15550</t>
  </si>
  <si>
    <t>API241118김행주1602</t>
  </si>
  <si>
    <t>skjung@hist.co.kr</t>
  </si>
  <si>
    <t>11월_HIST 자산화 솔루션 SW 통합 도메인 등록 및 SSL 공인인증서 구매</t>
  </si>
  <si>
    <t>커브</t>
  </si>
  <si>
    <t>HX-PO-15529</t>
  </si>
  <si>
    <t>API241119김행주1807</t>
  </si>
  <si>
    <t>sylee@hist.co.kr</t>
  </si>
  <si>
    <t>ITSM 라이선스 갱신</t>
  </si>
  <si>
    <t>ERP 계정 / 비번</t>
  </si>
  <si>
    <t>계정</t>
  </si>
  <si>
    <t>비밀번호</t>
  </si>
  <si>
    <t>ghwon@hist.co.kr</t>
  </si>
  <si>
    <t>HIST2022!!</t>
  </si>
  <si>
    <t>hjkim00@hist.co.kr</t>
  </si>
  <si>
    <t>Welcome!23</t>
  </si>
  <si>
    <t>mkim@hist.co.kr</t>
  </si>
  <si>
    <t>HIST1104!</t>
  </si>
  <si>
    <t>jcyoo@hist.co.kr</t>
  </si>
  <si>
    <t>P@ssw0rd</t>
  </si>
  <si>
    <t>tgkim@hist.co.kr</t>
  </si>
  <si>
    <t>Kimsi1404!</t>
  </si>
  <si>
    <t>choch@hist.co.kr</t>
  </si>
  <si>
    <t>Nos2001~</t>
  </si>
  <si>
    <t>Khg100ujm!</t>
  </si>
  <si>
    <t>sykim10@hist.co.kr</t>
  </si>
  <si>
    <t>Rlatjfdud0613!</t>
  </si>
  <si>
    <t>kims@hist.co.kr</t>
  </si>
  <si>
    <t>suilee@hist.co.kr</t>
  </si>
  <si>
    <t>560117A*</t>
  </si>
  <si>
    <t>Gy21667261.</t>
  </si>
  <si>
    <t>mhlee@hist.co.kr</t>
  </si>
  <si>
    <t>20000204Lmh*</t>
  </si>
  <si>
    <t>wjlee@hist.co.kr</t>
  </si>
  <si>
    <t>Anffb5583!</t>
  </si>
  <si>
    <t>isjeong@hist.co.kr</t>
  </si>
  <si>
    <t>HIST2166!</t>
  </si>
  <si>
    <t>허명우</t>
  </si>
  <si>
    <t>mwheo@hist.co.kr</t>
  </si>
  <si>
    <t>1qaz@WSX#EDC</t>
  </si>
  <si>
    <t>ycchoi@hist.co.kr</t>
  </si>
  <si>
    <t>Ycyc7274!!</t>
  </si>
  <si>
    <t>차호용</t>
  </si>
  <si>
    <t>hycha@hist.co.kr</t>
  </si>
  <si>
    <t>hycha@hist.co.kr1A!</t>
  </si>
  <si>
    <t>ID</t>
  </si>
  <si>
    <t>PW</t>
  </si>
  <si>
    <t>스마트빌</t>
  </si>
  <si>
    <t>suilee</t>
  </si>
  <si>
    <t>hist7182aa**</t>
  </si>
  <si>
    <t>Oracle ERP</t>
  </si>
  <si>
    <t>김한나</t>
  </si>
  <si>
    <t>hankim@hist.co.kr</t>
  </si>
  <si>
    <t>엘지</t>
  </si>
  <si>
    <t>삼성</t>
  </si>
  <si>
    <t>KHG100ujm!</t>
  </si>
  <si>
    <t>JobId</t>
    <phoneticPr fontId="179" type="noConversion"/>
  </si>
  <si>
    <t>JobName</t>
    <phoneticPr fontId="179" type="noConversion"/>
  </si>
  <si>
    <t>Writer</t>
    <phoneticPr fontId="179" type="noConversion"/>
  </si>
  <si>
    <t>WriterId</t>
    <phoneticPr fontId="179" type="noConversion"/>
  </si>
  <si>
    <t>Password</t>
    <phoneticPr fontId="179" type="noConversion"/>
  </si>
  <si>
    <t>Email</t>
    <phoneticPr fontId="179" type="noConversion"/>
  </si>
  <si>
    <t>강이슬</t>
  </si>
  <si>
    <t>iskang@hist.co.kr</t>
    <phoneticPr fontId="179" type="noConversion"/>
  </si>
  <si>
    <t>Hist7288!</t>
    <phoneticPr fontId="179" type="noConversion"/>
  </si>
  <si>
    <t>jm.kil@hist.co.kr</t>
    <phoneticPr fontId="179" type="noConversion"/>
  </si>
  <si>
    <t>사업기획그룹 ERP AR 발행</t>
    <phoneticPr fontId="17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</si>
</sst>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yyyy&quot;-&quot;mm&quot;-&quot;dd"/>
    <numFmt numFmtId="177" formatCode="yyyy\-mm\-dd"/>
    <numFmt numFmtId="178" formatCode="m\-d"/>
    <numFmt numFmtId="179" formatCode="m&quot;월&quot;d&quot;일&quot;"/>
    <numFmt numFmtId="180" formatCode="&quot;€&quot;#,##0.00"/>
    <numFmt numFmtId="181" formatCode="#&quot;일&quot;"/>
    <numFmt numFmtId="182" formatCode="\A\R\T\2\4#&quot;강&quot;&quot;이&quot;&quot;슬&quot;"/>
    <numFmt numFmtId="183" formatCode="#,##0.0"/>
  </numFmts>
  <fonts count="181">
    <font>
      <sz val="10"/>
      <color rgb="FF000000"/>
      <name val="Arial"/>
      <scheme val="minor"/>
    </font>
    <font>
      <b/>
      <sz val="18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  <scheme val="minor"/>
    </font>
    <font>
      <sz val="9"/>
      <color theme="1"/>
      <name val="Arial"/>
      <family val="2"/>
      <scheme val="minor"/>
    </font>
    <font>
      <b/>
      <sz val="9"/>
      <color theme="1"/>
      <name val="Malgun Gothic"/>
      <family val="3"/>
      <charset val="129"/>
    </font>
    <font>
      <b/>
      <sz val="20"/>
      <color rgb="FFFF0000"/>
      <name val="Malgun Gothic"/>
      <family val="3"/>
      <charset val="129"/>
    </font>
    <font>
      <b/>
      <sz val="9"/>
      <color theme="1"/>
      <name val="Arial"/>
      <family val="2"/>
      <scheme val="minor"/>
    </font>
    <font>
      <sz val="10"/>
      <name val="Arial"/>
      <family val="2"/>
    </font>
    <font>
      <b/>
      <sz val="10"/>
      <color theme="1"/>
      <name val="Arial"/>
      <family val="2"/>
      <scheme val="minor"/>
    </font>
    <font>
      <b/>
      <sz val="10"/>
      <color theme="1"/>
      <name val="Arial"/>
      <family val="2"/>
    </font>
    <font>
      <sz val="9"/>
      <color rgb="FFFF0000"/>
      <name val="Arial"/>
      <family val="2"/>
      <scheme val="minor"/>
    </font>
    <font>
      <sz val="9"/>
      <color theme="1"/>
      <name val="Arial"/>
      <family val="2"/>
    </font>
    <font>
      <sz val="9"/>
      <color rgb="FF000000"/>
      <name val="Arial"/>
      <family val="2"/>
      <scheme val="minor"/>
    </font>
    <font>
      <sz val="9"/>
      <color rgb="FF0033CC"/>
      <name val="Arial"/>
      <family val="2"/>
      <scheme val="minor"/>
    </font>
    <font>
      <sz val="9"/>
      <color theme="1"/>
      <name val="Malgun Gothic"/>
      <family val="3"/>
      <charset val="129"/>
    </font>
    <font>
      <sz val="9"/>
      <color rgb="FF000000"/>
      <name val="Malgun Gothic"/>
      <family val="3"/>
      <charset val="129"/>
    </font>
    <font>
      <sz val="9"/>
      <color rgb="FF000000"/>
      <name val="&quot;Malgun Gothic&quot;"/>
    </font>
    <font>
      <i/>
      <sz val="9"/>
      <color rgb="FF000000"/>
      <name val="Arial"/>
      <family val="2"/>
      <scheme val="minor"/>
    </font>
    <font>
      <i/>
      <sz val="9"/>
      <color rgb="FF000000"/>
      <name val="Malgun Gothic"/>
      <family val="3"/>
      <charset val="129"/>
    </font>
    <font>
      <sz val="9"/>
      <color rgb="FF0000FF"/>
      <name val="Malgun Gothic"/>
      <family val="3"/>
      <charset val="129"/>
    </font>
    <font>
      <sz val="9"/>
      <color rgb="FF0000FF"/>
      <name val="&quot;Malgun Gothic&quot;"/>
    </font>
    <font>
      <sz val="10"/>
      <color theme="1"/>
      <name val="Arial"/>
      <family val="2"/>
    </font>
    <font>
      <sz val="9"/>
      <color rgb="FF0000FF"/>
      <name val="Arial"/>
      <family val="2"/>
    </font>
    <font>
      <b/>
      <sz val="9"/>
      <color theme="1"/>
      <name val="Arial"/>
      <family val="2"/>
    </font>
    <font>
      <sz val="9"/>
      <color rgb="FF000000"/>
      <name val="Arial"/>
      <family val="2"/>
    </font>
    <font>
      <sz val="9"/>
      <color rgb="FF0000FF"/>
      <name val="Arial"/>
      <family val="2"/>
      <scheme val="minor"/>
    </font>
    <font>
      <sz val="10"/>
      <color rgb="FF0000FF"/>
      <name val="Arial"/>
      <family val="2"/>
      <scheme val="minor"/>
    </font>
    <font>
      <b/>
      <sz val="17"/>
      <color theme="1"/>
      <name val="Malgun Gothic"/>
      <family val="3"/>
      <charset val="129"/>
    </font>
    <font>
      <b/>
      <sz val="11"/>
      <color rgb="FFFF0000"/>
      <name val="Malgun Gothic"/>
      <family val="3"/>
      <charset val="129"/>
    </font>
    <font>
      <b/>
      <sz val="11"/>
      <color theme="1"/>
      <name val="Malgun Gothic"/>
      <family val="3"/>
      <charset val="129"/>
    </font>
    <font>
      <u/>
      <sz val="10"/>
      <color rgb="FF1155CC"/>
      <name val="Arial"/>
      <family val="2"/>
    </font>
    <font>
      <b/>
      <sz val="9"/>
      <color rgb="FF0000FF"/>
      <name val="Arial"/>
      <family val="2"/>
    </font>
    <font>
      <b/>
      <sz val="9"/>
      <color rgb="FFFFFFFF"/>
      <name val="Arial"/>
      <family val="2"/>
    </font>
    <font>
      <strike/>
      <sz val="9"/>
      <color theme="1"/>
      <name val="Malgun Gothic"/>
      <family val="3"/>
      <charset val="129"/>
    </font>
    <font>
      <strike/>
      <sz val="9"/>
      <color rgb="FF0000FF"/>
      <name val="Arial"/>
      <family val="2"/>
    </font>
    <font>
      <strike/>
      <sz val="9"/>
      <color theme="1"/>
      <name val="Arial"/>
      <family val="2"/>
    </font>
    <font>
      <b/>
      <sz val="9"/>
      <color rgb="FFFF0000"/>
      <name val="Arial"/>
      <family val="2"/>
    </font>
    <font>
      <u/>
      <sz val="9"/>
      <color rgb="FF0000FF"/>
      <name val="Arial"/>
      <family val="2"/>
    </font>
    <font>
      <strike/>
      <sz val="9"/>
      <color rgb="FFFF0000"/>
      <name val="Malgun Gothic"/>
      <family val="3"/>
      <charset val="129"/>
    </font>
    <font>
      <sz val="9"/>
      <color rgb="FFFF0000"/>
      <name val="Arial"/>
      <family val="2"/>
    </font>
    <font>
      <b/>
      <strike/>
      <sz val="9"/>
      <color theme="1"/>
      <name val="Arial"/>
      <family val="2"/>
    </font>
    <font>
      <b/>
      <sz val="9"/>
      <color rgb="FF000000"/>
      <name val="Arial"/>
      <family val="2"/>
    </font>
    <font>
      <u/>
      <sz val="9"/>
      <color rgb="FF000000"/>
      <name val="Arial"/>
      <family val="2"/>
    </font>
    <font>
      <b/>
      <sz val="13"/>
      <color theme="1"/>
      <name val="Arial"/>
      <family val="2"/>
    </font>
    <font>
      <u/>
      <sz val="10"/>
      <color rgb="FF0000FF"/>
      <name val="Arial"/>
      <family val="2"/>
    </font>
    <font>
      <b/>
      <sz val="10"/>
      <color rgb="FF0000FF"/>
      <name val="Arial"/>
      <family val="2"/>
    </font>
    <font>
      <u/>
      <sz val="9"/>
      <color rgb="FF0000FF"/>
      <name val="Arial"/>
      <family val="2"/>
    </font>
    <font>
      <b/>
      <sz val="10"/>
      <color rgb="FFFF0000"/>
      <name val="Arial"/>
      <family val="2"/>
    </font>
    <font>
      <u/>
      <sz val="9"/>
      <color rgb="FF1155CC"/>
      <name val="Arial"/>
      <family val="2"/>
    </font>
    <font>
      <u/>
      <sz val="9"/>
      <color rgb="FF1155CC"/>
      <name val="Arial"/>
      <family val="2"/>
    </font>
    <font>
      <u/>
      <sz val="9"/>
      <color rgb="FF1155CC"/>
      <name val="Arial"/>
      <family val="2"/>
    </font>
    <font>
      <u/>
      <sz val="9"/>
      <color rgb="FF1155CC"/>
      <name val="Arial"/>
      <family val="2"/>
    </font>
    <font>
      <b/>
      <u/>
      <sz val="9"/>
      <color rgb="FF0000FF"/>
      <name val="Arial"/>
      <family val="2"/>
    </font>
    <font>
      <u/>
      <sz val="9"/>
      <color rgb="FF0000FF"/>
      <name val="Arial"/>
      <family val="2"/>
    </font>
    <font>
      <sz val="10"/>
      <color rgb="FF0000FF"/>
      <name val="Arial"/>
      <family val="2"/>
    </font>
    <font>
      <u/>
      <sz val="9"/>
      <color rgb="FF1155CC"/>
      <name val="Arial"/>
      <family val="2"/>
    </font>
    <font>
      <sz val="8"/>
      <color rgb="FF1F1F1F"/>
      <name val="Google Sans"/>
    </font>
    <font>
      <sz val="9"/>
      <color rgb="FF1F1F1F"/>
      <name val="Google Sans"/>
    </font>
    <font>
      <u/>
      <sz val="9"/>
      <color rgb="FF1155CC"/>
      <name val="Arial"/>
      <family val="2"/>
    </font>
    <font>
      <u/>
      <sz val="9"/>
      <color rgb="FF1155CC"/>
      <name val="Tahoma"/>
      <family val="2"/>
    </font>
    <font>
      <sz val="10"/>
      <color rgb="FFFF0000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9"/>
      <color rgb="FF1155CC"/>
      <name val="Arial"/>
      <family val="2"/>
    </font>
    <font>
      <sz val="9"/>
      <color rgb="FF565B61"/>
      <name val="Tahoma"/>
      <family val="2"/>
    </font>
    <font>
      <u/>
      <sz val="9"/>
      <color rgb="FF0000FF"/>
      <name val="Arial"/>
      <family val="2"/>
    </font>
    <font>
      <sz val="9"/>
      <color theme="1"/>
      <name val="Google Sans"/>
    </font>
    <font>
      <u/>
      <sz val="9"/>
      <color rgb="FF1155CC"/>
      <name val="Tahoma"/>
      <family val="2"/>
    </font>
    <font>
      <u/>
      <sz val="9"/>
      <color rgb="FF1155CC"/>
      <name val="Arial"/>
      <family val="2"/>
    </font>
    <font>
      <sz val="9"/>
      <color theme="1"/>
      <name val="Tahoma"/>
      <family val="2"/>
    </font>
    <font>
      <u/>
      <sz val="10"/>
      <color rgb="FF0000FF"/>
      <name val="Arial"/>
      <family val="2"/>
    </font>
    <font>
      <u/>
      <sz val="9"/>
      <color rgb="FF1155CC"/>
      <name val="Arial"/>
      <family val="2"/>
    </font>
    <font>
      <sz val="9"/>
      <color rgb="FF990000"/>
      <name val="Arial"/>
      <family val="2"/>
    </font>
    <font>
      <u/>
      <sz val="10"/>
      <color rgb="FF0000FF"/>
      <name val="Arial"/>
      <family val="2"/>
    </font>
    <font>
      <u/>
      <sz val="10"/>
      <color theme="1"/>
      <name val="Arial"/>
      <family val="2"/>
    </font>
    <font>
      <u/>
      <sz val="10"/>
      <color rgb="FF0000FF"/>
      <name val="Arial"/>
      <family val="2"/>
    </font>
    <font>
      <b/>
      <sz val="17"/>
      <color theme="1"/>
      <name val="Arial"/>
      <family val="2"/>
    </font>
    <font>
      <b/>
      <sz val="14"/>
      <color theme="1"/>
      <name val="Arial"/>
      <family val="2"/>
    </font>
    <font>
      <b/>
      <sz val="14"/>
      <color rgb="FF990000"/>
      <name val="Arial"/>
      <family val="2"/>
    </font>
    <font>
      <b/>
      <sz val="14"/>
      <color rgb="FF0000FF"/>
      <name val="Arial"/>
      <family val="2"/>
    </font>
    <font>
      <b/>
      <sz val="9"/>
      <color rgb="FF990000"/>
      <name val="Arial"/>
      <family val="2"/>
    </font>
    <font>
      <u/>
      <sz val="9"/>
      <color rgb="FF1155CC"/>
      <name val="Arial"/>
      <family val="2"/>
    </font>
    <font>
      <b/>
      <sz val="10"/>
      <color theme="1"/>
      <name val="Malgun Gothic"/>
      <family val="3"/>
      <charset val="129"/>
    </font>
    <font>
      <b/>
      <sz val="9"/>
      <color rgb="FF333333"/>
      <name val="Helvetica Neue"/>
      <family val="2"/>
    </font>
    <font>
      <sz val="10"/>
      <color theme="1"/>
      <name val="Malgun Gothic"/>
      <family val="3"/>
      <charset val="129"/>
    </font>
    <font>
      <sz val="10"/>
      <color theme="1"/>
      <name val="Malgun Gothic"/>
      <family val="3"/>
      <charset val="129"/>
    </font>
    <font>
      <sz val="10"/>
      <color rgb="FF000000"/>
      <name val="Malgun Gothic"/>
      <family val="3"/>
      <charset val="129"/>
    </font>
    <font>
      <sz val="10"/>
      <color rgb="FF000000"/>
      <name val="Malgun Gothic"/>
      <family val="3"/>
      <charset val="129"/>
    </font>
    <font>
      <u/>
      <sz val="9"/>
      <color rgb="FF1155CC"/>
      <name val="Arial"/>
      <family val="2"/>
    </font>
    <font>
      <sz val="10"/>
      <color rgb="FF0000FF"/>
      <name val="Malgun Gothic"/>
      <family val="3"/>
      <charset val="129"/>
    </font>
    <font>
      <u/>
      <sz val="10"/>
      <color rgb="FF0000FF"/>
      <name val="Malgun Gothic"/>
      <family val="3"/>
      <charset val="129"/>
    </font>
    <font>
      <b/>
      <sz val="21"/>
      <color theme="1"/>
      <name val="Arial"/>
      <family val="2"/>
      <scheme val="minor"/>
    </font>
    <font>
      <b/>
      <sz val="9"/>
      <color rgb="FF0000FF"/>
      <name val="Arial"/>
      <family val="2"/>
      <scheme val="minor"/>
    </font>
    <font>
      <strike/>
      <sz val="9"/>
      <color theme="1"/>
      <name val="Arial"/>
      <family val="2"/>
      <scheme val="minor"/>
    </font>
    <font>
      <strike/>
      <sz val="9"/>
      <color rgb="FF000000"/>
      <name val="Arial"/>
      <family val="2"/>
      <scheme val="minor"/>
    </font>
    <font>
      <b/>
      <sz val="9"/>
      <color rgb="FFFF0000"/>
      <name val="Arial"/>
      <family val="2"/>
      <scheme val="minor"/>
    </font>
    <font>
      <sz val="10"/>
      <color rgb="FF0000FF"/>
      <name val="Malgun Gothic"/>
      <family val="3"/>
      <charset val="129"/>
    </font>
    <font>
      <u/>
      <sz val="10"/>
      <color rgb="FF0000FF"/>
      <name val="Arial"/>
      <family val="2"/>
    </font>
    <font>
      <strike/>
      <sz val="9"/>
      <color rgb="FF000000"/>
      <name val="Malgun Gothic"/>
      <family val="3"/>
      <charset val="129"/>
    </font>
    <font>
      <strike/>
      <sz val="9"/>
      <color rgb="FF0000FF"/>
      <name val="Arial"/>
      <family val="2"/>
      <scheme val="minor"/>
    </font>
    <font>
      <strike/>
      <sz val="10"/>
      <color theme="1"/>
      <name val="Arial"/>
      <family val="2"/>
      <scheme val="minor"/>
    </font>
    <font>
      <b/>
      <sz val="8"/>
      <color rgb="FF000000"/>
      <name val="Arial"/>
      <family val="2"/>
    </font>
    <font>
      <sz val="5"/>
      <color rgb="FF000000"/>
      <name val="Arial"/>
      <family val="2"/>
      <scheme val="minor"/>
    </font>
    <font>
      <b/>
      <sz val="17"/>
      <color theme="1"/>
      <name val="Arial"/>
      <family val="2"/>
      <scheme val="minor"/>
    </font>
    <font>
      <sz val="9"/>
      <color rgb="FF009900"/>
      <name val="Arial"/>
      <family val="2"/>
    </font>
    <font>
      <sz val="9"/>
      <color rgb="FF0000FF"/>
      <name val="&quot;맑은 고딕&quot;"/>
      <family val="3"/>
      <charset val="129"/>
    </font>
    <font>
      <strike/>
      <sz val="9"/>
      <color rgb="FF000000"/>
      <name val="Arial"/>
      <family val="2"/>
    </font>
    <font>
      <sz val="9"/>
      <color rgb="FF00B050"/>
      <name val="Arial"/>
      <family val="2"/>
    </font>
    <font>
      <strike/>
      <sz val="9"/>
      <color rgb="FFFF0000"/>
      <name val="Arial"/>
      <family val="2"/>
      <scheme val="minor"/>
    </font>
    <font>
      <u/>
      <sz val="9"/>
      <color rgb="FF0563C1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trike/>
      <sz val="10"/>
      <color theme="1"/>
      <name val="Arial"/>
      <family val="2"/>
    </font>
    <font>
      <b/>
      <strike/>
      <sz val="11"/>
      <color theme="1"/>
      <name val="Arial"/>
      <family val="2"/>
    </font>
    <font>
      <u/>
      <sz val="10"/>
      <color rgb="FF0000FF"/>
      <name val="Arial"/>
      <family val="2"/>
    </font>
    <font>
      <sz val="9"/>
      <color rgb="FF000000"/>
      <name val="&quot;맑은 고딕&quot;"/>
      <family val="3"/>
      <charset val="129"/>
    </font>
    <font>
      <b/>
      <sz val="9"/>
      <color rgb="FF000000"/>
      <name val="돋움"/>
      <family val="3"/>
      <charset val="129"/>
    </font>
    <font>
      <b/>
      <sz val="13"/>
      <color theme="1"/>
      <name val="Malgun Gothic"/>
      <family val="3"/>
      <charset val="129"/>
    </font>
    <font>
      <b/>
      <sz val="9"/>
      <color rgb="FF0000FF"/>
      <name val="Malgun Gothic"/>
      <family val="3"/>
      <charset val="129"/>
    </font>
    <font>
      <b/>
      <sz val="9"/>
      <color rgb="FFFF0000"/>
      <name val="Malgun Gothic"/>
      <family val="3"/>
      <charset val="129"/>
    </font>
    <font>
      <strike/>
      <sz val="9"/>
      <color rgb="FF0000FF"/>
      <name val="Malgun Gothic"/>
      <family val="3"/>
      <charset val="129"/>
    </font>
    <font>
      <sz val="9"/>
      <color rgb="FFFF0000"/>
      <name val="Malgun Gothic"/>
      <family val="3"/>
      <charset val="129"/>
    </font>
    <font>
      <sz val="10"/>
      <color rgb="FF000000"/>
      <name val="Arial"/>
      <family val="2"/>
    </font>
    <font>
      <b/>
      <sz val="21"/>
      <color rgb="FFFF0000"/>
      <name val="Arial"/>
      <family val="2"/>
    </font>
    <font>
      <b/>
      <sz val="18"/>
      <color rgb="FF000000"/>
      <name val="Arial"/>
      <family val="2"/>
    </font>
    <font>
      <sz val="10"/>
      <color rgb="FF0563C1"/>
      <name val="Arial"/>
      <family val="2"/>
    </font>
    <font>
      <sz val="10"/>
      <color rgb="FF009900"/>
      <name val="Arial"/>
      <family val="2"/>
    </font>
    <font>
      <b/>
      <strike/>
      <sz val="9"/>
      <color rgb="FF000000"/>
      <name val="Arial"/>
      <family val="2"/>
    </font>
    <font>
      <b/>
      <sz val="8"/>
      <color rgb="FF0000FF"/>
      <name val="Arial"/>
      <family val="2"/>
    </font>
    <font>
      <sz val="9"/>
      <color rgb="FF00FF00"/>
      <name val="Arial"/>
      <family val="2"/>
    </font>
    <font>
      <sz val="9"/>
      <color rgb="FFCC0000"/>
      <name val="Arial"/>
      <family val="2"/>
    </font>
    <font>
      <sz val="9"/>
      <color theme="1"/>
      <name val="&quot;맑은 고딕&quot;"/>
      <family val="3"/>
      <charset val="129"/>
    </font>
    <font>
      <sz val="9"/>
      <color rgb="FF333333"/>
      <name val="&quot;Helvetica Neue&quot;"/>
    </font>
    <font>
      <strike/>
      <sz val="9"/>
      <color rgb="FF000000"/>
      <name val="&quot;맑은 고딕&quot;"/>
      <family val="3"/>
      <charset val="129"/>
    </font>
    <font>
      <sz val="11"/>
      <color theme="1"/>
      <name val="Arial"/>
      <family val="2"/>
    </font>
    <font>
      <strike/>
      <sz val="11"/>
      <color theme="1"/>
      <name val="Arial"/>
      <family val="2"/>
    </font>
    <font>
      <strike/>
      <u/>
      <sz val="11"/>
      <color rgb="FF0563C1"/>
      <name val="Arial"/>
      <family val="2"/>
    </font>
    <font>
      <u/>
      <sz val="11"/>
      <color rgb="FF0563C1"/>
      <name val="Arial"/>
      <family val="2"/>
    </font>
    <font>
      <u/>
      <sz val="11"/>
      <color rgb="FF0563C1"/>
      <name val="Arial"/>
      <family val="2"/>
    </font>
    <font>
      <u/>
      <sz val="11"/>
      <color rgb="FF0563C1"/>
      <name val="Arial"/>
      <family val="2"/>
    </font>
    <font>
      <sz val="11"/>
      <color rgb="FF000000"/>
      <name val="Arial"/>
      <family val="2"/>
    </font>
    <font>
      <sz val="10"/>
      <color rgb="FF000000"/>
      <name val="Arial"/>
      <family val="2"/>
      <scheme val="minor"/>
    </font>
    <font>
      <b/>
      <sz val="16"/>
      <color rgb="FFFF0000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strike/>
      <u/>
      <sz val="11"/>
      <color rgb="FF0563C1"/>
      <name val="Arial"/>
      <family val="2"/>
    </font>
    <font>
      <u/>
      <sz val="11"/>
      <color rgb="FF0563C1"/>
      <name val="Arial"/>
      <family val="2"/>
    </font>
    <font>
      <u/>
      <sz val="11"/>
      <color rgb="FF0563C1"/>
      <name val="Arial"/>
      <family val="2"/>
    </font>
    <font>
      <u/>
      <sz val="11"/>
      <color rgb="FF0563C1"/>
      <name val="Arial"/>
      <family val="2"/>
    </font>
    <font>
      <b/>
      <sz val="18"/>
      <color rgb="FFFF0000"/>
      <name val="Arial"/>
      <family val="2"/>
    </font>
    <font>
      <sz val="9"/>
      <color rgb="FFFF00FF"/>
      <name val="Arial"/>
      <family val="2"/>
    </font>
    <font>
      <b/>
      <sz val="17"/>
      <color rgb="FFFF0000"/>
      <name val="Malgun Gothic"/>
      <family val="3"/>
      <charset val="129"/>
    </font>
    <font>
      <i/>
      <sz val="9"/>
      <color theme="1"/>
      <name val="Arial"/>
      <family val="2"/>
    </font>
    <font>
      <sz val="9"/>
      <name val="Arial"/>
      <family val="2"/>
    </font>
    <font>
      <b/>
      <sz val="13"/>
      <color rgb="FFFF0000"/>
      <name val="Arial"/>
      <family val="2"/>
    </font>
    <font>
      <b/>
      <sz val="13"/>
      <color rgb="FF0000FF"/>
      <name val="Arial"/>
      <family val="2"/>
    </font>
    <font>
      <b/>
      <sz val="17"/>
      <color rgb="FFFF0000"/>
      <name val="Arial"/>
      <family val="2"/>
    </font>
    <font>
      <b/>
      <sz val="17"/>
      <color rgb="FF0000FF"/>
      <name val="Arial"/>
      <family val="2"/>
    </font>
    <font>
      <sz val="10"/>
      <name val="Malgun Gothic"/>
      <family val="3"/>
      <charset val="129"/>
    </font>
    <font>
      <u/>
      <sz val="10"/>
      <color rgb="FF000000"/>
      <name val="Malgun Gothic"/>
      <family val="3"/>
      <charset val="129"/>
    </font>
    <font>
      <b/>
      <sz val="21"/>
      <color theme="1"/>
      <name val="Arial"/>
      <family val="2"/>
    </font>
    <font>
      <sz val="9"/>
      <color rgb="FFFF00FF"/>
      <name val="Malgun Gothic"/>
      <family val="3"/>
      <charset val="129"/>
    </font>
    <font>
      <strike/>
      <sz val="9"/>
      <color rgb="FF666666"/>
      <name val="Arial"/>
      <family val="2"/>
    </font>
    <font>
      <sz val="9"/>
      <color rgb="FF666666"/>
      <name val="Arial"/>
      <family val="2"/>
    </font>
    <font>
      <strike/>
      <sz val="9"/>
      <color rgb="FFFF0000"/>
      <name val="Arial"/>
      <family val="2"/>
    </font>
    <font>
      <i/>
      <strike/>
      <sz val="9"/>
      <color theme="1"/>
      <name val="Arial"/>
      <family val="2"/>
    </font>
    <font>
      <sz val="6"/>
      <color theme="1"/>
      <name val="Arial"/>
      <family val="2"/>
    </font>
    <font>
      <b/>
      <sz val="10"/>
      <color rgb="FF000000"/>
      <name val="Arial"/>
      <family val="2"/>
    </font>
    <font>
      <b/>
      <strike/>
      <sz val="9"/>
      <color rgb="FF0000FF"/>
      <name val="Arial"/>
      <family val="2"/>
    </font>
    <font>
      <b/>
      <strike/>
      <sz val="9"/>
      <color rgb="FFFF0000"/>
      <name val="Arial"/>
      <family val="2"/>
    </font>
    <font>
      <strike/>
      <sz val="8"/>
      <color theme="1"/>
      <name val="Arial"/>
      <family val="2"/>
    </font>
    <font>
      <b/>
      <sz val="9"/>
      <color rgb="FFCC0000"/>
      <name val="Arial"/>
      <family val="2"/>
    </font>
    <font>
      <sz val="11"/>
      <color theme="1"/>
      <name val="Arial"/>
      <family val="2"/>
      <scheme val="minor"/>
    </font>
    <font>
      <b/>
      <sz val="10"/>
      <color theme="1"/>
      <name val="맑은 고딕"/>
      <family val="3"/>
      <charset val="129"/>
    </font>
    <font>
      <sz val="8"/>
      <name val="Arial"/>
      <family val="3"/>
      <charset val="129"/>
      <scheme val="minor"/>
    </font>
    <font>
      <sz val="10"/>
      <color theme="1"/>
      <name val="맑은 고딕"/>
      <family val="3"/>
      <charset val="129"/>
    </font>
  </fonts>
  <fills count="30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666666"/>
        <bgColor rgb="FF666666"/>
      </patternFill>
    </fill>
    <fill>
      <patternFill patternType="solid">
        <fgColor rgb="FFFFFF00"/>
        <bgColor rgb="FFFFFF00"/>
      </patternFill>
    </fill>
    <fill>
      <patternFill patternType="solid">
        <fgColor rgb="FFF3F3F3"/>
        <bgColor rgb="FFF3F3F3"/>
      </patternFill>
    </fill>
    <fill>
      <patternFill patternType="solid">
        <fgColor rgb="FFFFE599"/>
        <bgColor rgb="FFFFE599"/>
      </patternFill>
    </fill>
    <fill>
      <patternFill patternType="solid">
        <fgColor rgb="FFCFE2F3"/>
        <bgColor rgb="FFCFE2F3"/>
      </patternFill>
    </fill>
    <fill>
      <patternFill patternType="solid">
        <fgColor rgb="FF00FFFF"/>
        <bgColor rgb="FF00FFFF"/>
      </patternFill>
    </fill>
    <fill>
      <patternFill patternType="solid">
        <fgColor rgb="FF00FF00"/>
        <bgColor rgb="FF00FF00"/>
      </patternFill>
    </fill>
    <fill>
      <patternFill patternType="solid">
        <fgColor rgb="FFD9D2E9"/>
        <bgColor rgb="FFD9D2E9"/>
      </patternFill>
    </fill>
    <fill>
      <patternFill patternType="solid">
        <fgColor rgb="FF999999"/>
        <bgColor rgb="FF999999"/>
      </patternFill>
    </fill>
    <fill>
      <patternFill patternType="solid">
        <fgColor rgb="FFF8F8F8"/>
        <bgColor rgb="FFF8F8F8"/>
      </patternFill>
    </fill>
    <fill>
      <patternFill patternType="solid">
        <fgColor rgb="FFFFF2CC"/>
        <bgColor rgb="FFFFF2CC"/>
      </patternFill>
    </fill>
    <fill>
      <patternFill patternType="solid">
        <fgColor rgb="FFC9DAF8"/>
        <bgColor rgb="FFC9DAF8"/>
      </patternFill>
    </fill>
    <fill>
      <patternFill patternType="solid">
        <fgColor rgb="FF9BE5FF"/>
        <bgColor rgb="FF9BE5FF"/>
      </patternFill>
    </fill>
    <fill>
      <patternFill patternType="solid">
        <fgColor rgb="FFF4CCCC"/>
        <bgColor rgb="FFF4CCCC"/>
      </patternFill>
    </fill>
    <fill>
      <patternFill patternType="solid">
        <fgColor rgb="FFCCCCCC"/>
        <bgColor rgb="FFCCCCCC"/>
      </patternFill>
    </fill>
    <fill>
      <patternFill patternType="solid">
        <fgColor rgb="FFD5A6BD"/>
        <bgColor rgb="FFD5A6BD"/>
      </patternFill>
    </fill>
    <fill>
      <patternFill patternType="solid">
        <fgColor rgb="FFB7B7B7"/>
        <bgColor rgb="FFB7B7B7"/>
      </patternFill>
    </fill>
    <fill>
      <patternFill patternType="solid">
        <fgColor rgb="FFDBDBDB"/>
        <bgColor rgb="FFDBDBDB"/>
      </patternFill>
    </fill>
    <fill>
      <patternFill patternType="solid">
        <fgColor rgb="FFD9D9D9"/>
        <bgColor rgb="FFD9D9D9"/>
      </patternFill>
    </fill>
    <fill>
      <patternFill patternType="solid">
        <fgColor rgb="FFB6D7A8"/>
        <bgColor rgb="FFB6D7A8"/>
      </patternFill>
    </fill>
    <fill>
      <patternFill patternType="solid">
        <fgColor rgb="FFFFFF99"/>
        <bgColor rgb="FFFFFF99"/>
      </patternFill>
    </fill>
    <fill>
      <patternFill patternType="solid">
        <fgColor rgb="FFEAD1DC"/>
        <bgColor rgb="FFEAD1DC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rgb="FFFFFF00"/>
        <bgColor indexed="64"/>
      </patternFill>
    </fill>
  </fills>
  <borders count="13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B7B7B7"/>
      </right>
      <top/>
      <bottom/>
      <diagonal/>
    </border>
    <border>
      <left style="thin">
        <color rgb="FFB7B7B7"/>
      </left>
      <right style="thin">
        <color rgb="FFB7B7B7"/>
      </right>
      <top/>
      <bottom/>
      <diagonal/>
    </border>
    <border>
      <left style="thin">
        <color rgb="FFB7B7B7"/>
      </left>
      <right/>
      <top/>
      <bottom/>
      <diagonal/>
    </border>
    <border>
      <left style="thin">
        <color rgb="FF000000"/>
      </left>
      <right style="thin">
        <color rgb="FF666666"/>
      </right>
      <top style="thin">
        <color rgb="FF000000"/>
      </top>
      <bottom style="thin">
        <color rgb="FF000000"/>
      </bottom>
      <diagonal/>
    </border>
    <border>
      <left style="thin">
        <color rgb="FF666666"/>
      </left>
      <right style="thin">
        <color rgb="FF666666"/>
      </right>
      <top style="thin">
        <color rgb="FF000000"/>
      </top>
      <bottom style="thin">
        <color rgb="FF000000"/>
      </bottom>
      <diagonal/>
    </border>
    <border>
      <left style="thin">
        <color rgb="FF666666"/>
      </left>
      <right/>
      <top style="thin">
        <color rgb="FF000000"/>
      </top>
      <bottom style="thin">
        <color rgb="FF000000"/>
      </bottom>
      <diagonal/>
    </border>
    <border>
      <left style="medium">
        <color rgb="FF0000FF"/>
      </left>
      <right style="medium">
        <color rgb="FF0000FF"/>
      </right>
      <top style="medium">
        <color rgb="FF0000FF"/>
      </top>
      <bottom style="thin">
        <color rgb="FF000000"/>
      </bottom>
      <diagonal/>
    </border>
    <border>
      <left style="thin">
        <color rgb="FF000000"/>
      </left>
      <right style="thin">
        <color rgb="FFB7B7B7"/>
      </right>
      <top/>
      <bottom style="thin">
        <color rgb="FFB7B7B7"/>
      </bottom>
      <diagonal/>
    </border>
    <border>
      <left style="thin">
        <color rgb="FFB7B7B7"/>
      </left>
      <right style="thin">
        <color rgb="FFB7B7B7"/>
      </right>
      <top/>
      <bottom style="thin">
        <color rgb="FFB7B7B7"/>
      </bottom>
      <diagonal/>
    </border>
    <border>
      <left/>
      <right/>
      <top/>
      <bottom style="thin">
        <color rgb="FFB7B7B7"/>
      </bottom>
      <diagonal/>
    </border>
    <border>
      <left style="thin">
        <color rgb="FFB7B7B7"/>
      </left>
      <right/>
      <top/>
      <bottom style="thin">
        <color rgb="FFB7B7B7"/>
      </bottom>
      <diagonal/>
    </border>
    <border>
      <left style="thin">
        <color rgb="FFB7B7B7"/>
      </left>
      <right style="thin">
        <color rgb="FFB7B7B7"/>
      </right>
      <top style="thin">
        <color rgb="FFB7B7B7"/>
      </top>
      <bottom style="thin">
        <color rgb="FFB7B7B7"/>
      </bottom>
      <diagonal/>
    </border>
    <border>
      <left style="medium">
        <color rgb="FF0000FF"/>
      </left>
      <right style="medium">
        <color rgb="FF0000FF"/>
      </right>
      <top/>
      <bottom style="thin">
        <color rgb="FFB7B7B7"/>
      </bottom>
      <diagonal/>
    </border>
    <border>
      <left style="thin">
        <color rgb="FF000000"/>
      </left>
      <right/>
      <top style="thin">
        <color rgb="FFB7B7B7"/>
      </top>
      <bottom style="thin">
        <color rgb="FFB7B7B7"/>
      </bottom>
      <diagonal/>
    </border>
    <border>
      <left/>
      <right style="thin">
        <color rgb="FFB7B7B7"/>
      </right>
      <top style="thin">
        <color rgb="FFB7B7B7"/>
      </top>
      <bottom style="thin">
        <color rgb="FFB7B7B7"/>
      </bottom>
      <diagonal/>
    </border>
    <border>
      <left style="medium">
        <color rgb="FF0000FF"/>
      </left>
      <right style="medium">
        <color rgb="FF0000FF"/>
      </right>
      <top style="thin">
        <color rgb="FFB7B7B7"/>
      </top>
      <bottom style="thin">
        <color rgb="FFB7B7B7"/>
      </bottom>
      <diagonal/>
    </border>
    <border>
      <left style="thin">
        <color rgb="FF000000"/>
      </left>
      <right style="thin">
        <color rgb="FFB7B7B7"/>
      </right>
      <top style="thin">
        <color rgb="FFB7B7B7"/>
      </top>
      <bottom style="thin">
        <color rgb="FFB7B7B7"/>
      </bottom>
      <diagonal/>
    </border>
    <border>
      <left style="thin">
        <color rgb="FFB7B7B7"/>
      </left>
      <right/>
      <top style="thin">
        <color rgb="FFB7B7B7"/>
      </top>
      <bottom style="thin">
        <color rgb="FFB7B7B7"/>
      </bottom>
      <diagonal/>
    </border>
    <border>
      <left style="thin">
        <color rgb="FF666666"/>
      </left>
      <right style="thin">
        <color rgb="FF666666"/>
      </right>
      <top style="thin">
        <color rgb="FF666666"/>
      </top>
      <bottom style="thin">
        <color rgb="FF000000"/>
      </bottom>
      <diagonal/>
    </border>
    <border>
      <left style="thin">
        <color rgb="FF66666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7B7B7"/>
      </left>
      <right style="thin">
        <color rgb="FF000000"/>
      </right>
      <top style="thin">
        <color rgb="FFB7B7B7"/>
      </top>
      <bottom style="thin">
        <color rgb="FFB7B7B7"/>
      </bottom>
      <diagonal/>
    </border>
    <border>
      <left style="thin">
        <color rgb="FFB7B7B7"/>
      </left>
      <right style="thin">
        <color rgb="FFB7B7B7"/>
      </right>
      <top style="thin">
        <color rgb="FFB7B7B7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FF"/>
      </left>
      <right style="medium">
        <color rgb="FF0000FF"/>
      </right>
      <top style="medium">
        <color rgb="FF0000FF"/>
      </top>
      <bottom/>
      <diagonal/>
    </border>
    <border>
      <left/>
      <right style="thin">
        <color rgb="FF666666"/>
      </right>
      <top style="thin">
        <color rgb="FF000000"/>
      </top>
      <bottom style="thin">
        <color rgb="FF000000"/>
      </bottom>
      <diagonal/>
    </border>
    <border>
      <left style="medium">
        <color rgb="FF0000FF"/>
      </left>
      <right style="thin">
        <color rgb="FF666666"/>
      </right>
      <top style="medium">
        <color rgb="FF0000FF"/>
      </top>
      <bottom style="thin">
        <color rgb="FF000000"/>
      </bottom>
      <diagonal/>
    </border>
    <border>
      <left style="thin">
        <color rgb="FF666666"/>
      </left>
      <right style="thin">
        <color rgb="FF666666"/>
      </right>
      <top style="medium">
        <color rgb="FF0000FF"/>
      </top>
      <bottom style="thin">
        <color rgb="FF000000"/>
      </bottom>
      <diagonal/>
    </border>
    <border>
      <left style="thin">
        <color rgb="FF666666"/>
      </left>
      <right style="medium">
        <color rgb="FF0000FF"/>
      </right>
      <top style="medium">
        <color rgb="FF0000FF"/>
      </top>
      <bottom style="thin">
        <color rgb="FF000000"/>
      </bottom>
      <diagonal/>
    </border>
    <border>
      <left/>
      <right style="medium">
        <color rgb="FF0000FF"/>
      </right>
      <top style="medium">
        <color rgb="FF0000FF"/>
      </top>
      <bottom style="thin">
        <color rgb="FF000000"/>
      </bottom>
      <diagonal/>
    </border>
    <border>
      <left style="medium">
        <color rgb="FF0000FF"/>
      </left>
      <right style="medium">
        <color rgb="FF0000FF"/>
      </right>
      <top style="thin">
        <color rgb="FF073763"/>
      </top>
      <bottom style="thin">
        <color rgb="FFB7B7B7"/>
      </bottom>
      <diagonal/>
    </border>
    <border>
      <left style="medium">
        <color rgb="FF0000FF"/>
      </left>
      <right style="thin">
        <color rgb="FF000000"/>
      </right>
      <top style="thin">
        <color rgb="FFB7B7B7"/>
      </top>
      <bottom style="thin">
        <color rgb="FFB7B7B7"/>
      </bottom>
      <diagonal/>
    </border>
    <border>
      <left style="thin">
        <color rgb="FFB7B7B7"/>
      </left>
      <right style="medium">
        <color rgb="FF0000FF"/>
      </right>
      <top style="thin">
        <color rgb="FFB7B7B7"/>
      </top>
      <bottom style="thin">
        <color rgb="FFB7B7B7"/>
      </bottom>
      <diagonal/>
    </border>
    <border>
      <left/>
      <right style="medium">
        <color rgb="FF0000FF"/>
      </right>
      <top style="thin">
        <color rgb="FFB7B7B7"/>
      </top>
      <bottom style="thin">
        <color rgb="FFB7B7B7"/>
      </bottom>
      <diagonal/>
    </border>
    <border>
      <left/>
      <right/>
      <top style="thin">
        <color rgb="FFB7B7B7"/>
      </top>
      <bottom style="thin">
        <color rgb="FFB7B7B7"/>
      </bottom>
      <diagonal/>
    </border>
    <border>
      <left style="medium">
        <color rgb="FF0000FF"/>
      </left>
      <right style="medium">
        <color rgb="FF0000FF"/>
      </right>
      <top style="thin">
        <color rgb="FFB7B7B7"/>
      </top>
      <bottom/>
      <diagonal/>
    </border>
    <border>
      <left/>
      <right/>
      <top style="thin">
        <color rgb="FFB7B7B7"/>
      </top>
      <bottom/>
      <diagonal/>
    </border>
    <border>
      <left style="medium">
        <color rgb="FF0000FF"/>
      </left>
      <right style="thin">
        <color rgb="FF000000"/>
      </right>
      <top style="thin">
        <color rgb="FFB7B7B7"/>
      </top>
      <bottom/>
      <diagonal/>
    </border>
    <border>
      <left style="thin">
        <color rgb="FFB7B7B7"/>
      </left>
      <right style="thin">
        <color rgb="FF000000"/>
      </right>
      <top style="thin">
        <color rgb="FFB7B7B7"/>
      </top>
      <bottom/>
      <diagonal/>
    </border>
    <border>
      <left style="thin">
        <color rgb="FFB7B7B7"/>
      </left>
      <right style="medium">
        <color rgb="FF0000FF"/>
      </right>
      <top style="thin">
        <color rgb="FFB7B7B7"/>
      </top>
      <bottom/>
      <diagonal/>
    </border>
    <border>
      <left/>
      <right style="medium">
        <color rgb="FF0000FF"/>
      </right>
      <top style="thin">
        <color rgb="FFB7B7B7"/>
      </top>
      <bottom/>
      <diagonal/>
    </border>
    <border>
      <left/>
      <right style="thin">
        <color rgb="FFB7B7B7"/>
      </right>
      <top style="thin">
        <color rgb="FFB7B7B7"/>
      </top>
      <bottom/>
      <diagonal/>
    </border>
    <border>
      <left style="thin">
        <color rgb="FFB7B7B7"/>
      </left>
      <right/>
      <top style="thin">
        <color rgb="FFB7B7B7"/>
      </top>
      <bottom/>
      <diagonal/>
    </border>
    <border>
      <left style="medium">
        <color rgb="FF0000FF"/>
      </left>
      <right style="medium">
        <color rgb="FF0000FF"/>
      </right>
      <top/>
      <bottom/>
      <diagonal/>
    </border>
    <border>
      <left style="medium">
        <color rgb="FF0000FF"/>
      </left>
      <right style="thin">
        <color rgb="FF000000"/>
      </right>
      <top/>
      <bottom/>
      <diagonal/>
    </border>
    <border>
      <left style="thin">
        <color rgb="FFB7B7B7"/>
      </left>
      <right style="thin">
        <color rgb="FF000000"/>
      </right>
      <top/>
      <bottom/>
      <diagonal/>
    </border>
    <border>
      <left style="thin">
        <color rgb="FFB7B7B7"/>
      </left>
      <right style="medium">
        <color rgb="FF0000FF"/>
      </right>
      <top/>
      <bottom/>
      <diagonal/>
    </border>
    <border>
      <left/>
      <right style="medium">
        <color rgb="FF0000FF"/>
      </right>
      <top/>
      <bottom/>
      <diagonal/>
    </border>
    <border>
      <left style="medium">
        <color rgb="FF0000FF"/>
      </left>
      <right style="thin">
        <color rgb="FF000000"/>
      </right>
      <top/>
      <bottom style="thin">
        <color rgb="FFB7B7B7"/>
      </bottom>
      <diagonal/>
    </border>
    <border>
      <left style="thin">
        <color rgb="FFB7B7B7"/>
      </left>
      <right style="thin">
        <color rgb="FF000000"/>
      </right>
      <top/>
      <bottom style="thin">
        <color rgb="FFB7B7B7"/>
      </bottom>
      <diagonal/>
    </border>
    <border>
      <left style="thin">
        <color rgb="FFB7B7B7"/>
      </left>
      <right style="medium">
        <color rgb="FF0000FF"/>
      </right>
      <top/>
      <bottom style="thin">
        <color rgb="FFB7B7B7"/>
      </bottom>
      <diagonal/>
    </border>
    <border>
      <left/>
      <right style="medium">
        <color rgb="FF0000FF"/>
      </right>
      <top/>
      <bottom style="thin">
        <color rgb="FFB7B7B7"/>
      </bottom>
      <diagonal/>
    </border>
    <border>
      <left/>
      <right style="thin">
        <color rgb="FFB7B7B7"/>
      </right>
      <top/>
      <bottom style="thin">
        <color rgb="FFB7B7B7"/>
      </bottom>
      <diagonal/>
    </border>
    <border>
      <left style="medium">
        <color rgb="FF0000FF"/>
      </left>
      <right style="medium">
        <color rgb="FF0000FF"/>
      </right>
      <top style="thin">
        <color rgb="FFB7B7B7"/>
      </top>
      <bottom style="thin">
        <color rgb="FF000000"/>
      </bottom>
      <diagonal/>
    </border>
    <border>
      <left/>
      <right style="thin">
        <color rgb="FFB7B7B7"/>
      </right>
      <top style="thin">
        <color rgb="FF000000"/>
      </top>
      <bottom/>
      <diagonal/>
    </border>
    <border>
      <left style="thin">
        <color rgb="FFB7B7B7"/>
      </left>
      <right style="thin">
        <color rgb="FFB7B7B7"/>
      </right>
      <top style="thin">
        <color rgb="FF000000"/>
      </top>
      <bottom/>
      <diagonal/>
    </border>
    <border>
      <left style="thin">
        <color rgb="FFB7B7B7"/>
      </left>
      <right style="thin">
        <color rgb="FFB7B7B7"/>
      </right>
      <top style="thin">
        <color rgb="FF000000"/>
      </top>
      <bottom style="thin">
        <color rgb="FFB7B7B7"/>
      </bottom>
      <diagonal/>
    </border>
    <border>
      <left style="thin">
        <color rgb="FFB7B7B7"/>
      </left>
      <right/>
      <top style="thin">
        <color rgb="FF000000"/>
      </top>
      <bottom style="thin">
        <color rgb="FFB7B7B7"/>
      </bottom>
      <diagonal/>
    </border>
    <border>
      <left style="medium">
        <color rgb="FF0000FF"/>
      </left>
      <right style="thin">
        <color rgb="FF000000"/>
      </right>
      <top style="thin">
        <color rgb="FF000000"/>
      </top>
      <bottom style="thin">
        <color rgb="FFB7B7B7"/>
      </bottom>
      <diagonal/>
    </border>
    <border>
      <left style="thin">
        <color rgb="FFB7B7B7"/>
      </left>
      <right style="thin">
        <color rgb="FF000000"/>
      </right>
      <top style="thin">
        <color rgb="FF000000"/>
      </top>
      <bottom style="thin">
        <color rgb="FFB7B7B7"/>
      </bottom>
      <diagonal/>
    </border>
    <border>
      <left style="thin">
        <color rgb="FFB7B7B7"/>
      </left>
      <right style="medium">
        <color rgb="FF0000FF"/>
      </right>
      <top style="thin">
        <color rgb="FF000000"/>
      </top>
      <bottom style="thin">
        <color rgb="FFB7B7B7"/>
      </bottom>
      <diagonal/>
    </border>
    <border>
      <left/>
      <right style="medium">
        <color rgb="FF0000FF"/>
      </right>
      <top style="thin">
        <color rgb="FF000000"/>
      </top>
      <bottom style="thin">
        <color rgb="FFB7B7B7"/>
      </bottom>
      <diagonal/>
    </border>
    <border>
      <left/>
      <right style="thin">
        <color rgb="FFB7B7B7"/>
      </right>
      <top style="thin">
        <color rgb="FF000000"/>
      </top>
      <bottom style="thin">
        <color rgb="FFB7B7B7"/>
      </bottom>
      <diagonal/>
    </border>
    <border>
      <left style="medium">
        <color rgb="FF0000FF"/>
      </left>
      <right style="medium">
        <color rgb="FF0000FF"/>
      </right>
      <top style="thin">
        <color rgb="FF000000"/>
      </top>
      <bottom style="thin">
        <color rgb="FFB7B7B7"/>
      </bottom>
      <diagonal/>
    </border>
    <border>
      <left/>
      <right style="thin">
        <color rgb="FFB7B7B7"/>
      </right>
      <top/>
      <bottom style="thin">
        <color rgb="FF000000"/>
      </bottom>
      <diagonal/>
    </border>
    <border>
      <left style="thin">
        <color rgb="FFB7B7B7"/>
      </left>
      <right style="thin">
        <color rgb="FFB7B7B7"/>
      </right>
      <top/>
      <bottom style="thin">
        <color rgb="FF000000"/>
      </bottom>
      <diagonal/>
    </border>
    <border>
      <left style="thin">
        <color rgb="FFB7B7B7"/>
      </left>
      <right style="thin">
        <color rgb="FFB7B7B7"/>
      </right>
      <top style="thin">
        <color rgb="FFB7B7B7"/>
      </top>
      <bottom style="thin">
        <color rgb="FF000000"/>
      </bottom>
      <diagonal/>
    </border>
    <border>
      <left style="thin">
        <color rgb="FFB7B7B7"/>
      </left>
      <right/>
      <top style="thin">
        <color rgb="FFB7B7B7"/>
      </top>
      <bottom style="thin">
        <color rgb="FF000000"/>
      </bottom>
      <diagonal/>
    </border>
    <border>
      <left style="medium">
        <color rgb="FF0000FF"/>
      </left>
      <right style="thin">
        <color rgb="FF000000"/>
      </right>
      <top style="thin">
        <color rgb="FFB7B7B7"/>
      </top>
      <bottom style="thin">
        <color rgb="FF000000"/>
      </bottom>
      <diagonal/>
    </border>
    <border>
      <left style="thin">
        <color rgb="FFB7B7B7"/>
      </left>
      <right style="thin">
        <color rgb="FF000000"/>
      </right>
      <top style="thin">
        <color rgb="FFB7B7B7"/>
      </top>
      <bottom style="thin">
        <color rgb="FF000000"/>
      </bottom>
      <diagonal/>
    </border>
    <border>
      <left style="thin">
        <color rgb="FFB7B7B7"/>
      </left>
      <right style="medium">
        <color rgb="FF0000FF"/>
      </right>
      <top style="thin">
        <color rgb="FFB7B7B7"/>
      </top>
      <bottom style="thin">
        <color rgb="FF000000"/>
      </bottom>
      <diagonal/>
    </border>
    <border>
      <left/>
      <right style="medium">
        <color rgb="FF0000FF"/>
      </right>
      <top style="thin">
        <color rgb="FFB7B7B7"/>
      </top>
      <bottom style="thin">
        <color rgb="FF000000"/>
      </bottom>
      <diagonal/>
    </border>
    <border>
      <left style="thin">
        <color rgb="FF000000"/>
      </left>
      <right style="medium">
        <color rgb="FF0000FF"/>
      </right>
      <top style="thin">
        <color rgb="FF000000"/>
      </top>
      <bottom style="thin">
        <color rgb="FF000000"/>
      </bottom>
      <diagonal/>
    </border>
    <border>
      <left/>
      <right style="thin">
        <color rgb="FFB7B7B7"/>
      </right>
      <top style="thin">
        <color rgb="FF000000"/>
      </top>
      <bottom style="thin">
        <color rgb="FF000000"/>
      </bottom>
      <diagonal/>
    </border>
    <border>
      <left style="thin">
        <color rgb="FFB7B7B7"/>
      </left>
      <right style="thin">
        <color rgb="FFB7B7B7"/>
      </right>
      <top style="thin">
        <color rgb="FF000000"/>
      </top>
      <bottom style="thin">
        <color rgb="FF000000"/>
      </bottom>
      <diagonal/>
    </border>
    <border>
      <left style="thin">
        <color rgb="FFB7B7B7"/>
      </left>
      <right/>
      <top style="thin">
        <color rgb="FF000000"/>
      </top>
      <bottom style="thin">
        <color rgb="FF000000"/>
      </bottom>
      <diagonal/>
    </border>
    <border>
      <left style="medium">
        <color rgb="FF0000FF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7B7B7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FF"/>
      </right>
      <top style="thin">
        <color rgb="FF000000"/>
      </top>
      <bottom style="thin">
        <color rgb="FF000000"/>
      </bottom>
      <diagonal/>
    </border>
    <border>
      <left style="medium">
        <color rgb="FF0000FF"/>
      </left>
      <right style="medium">
        <color rgb="FF0000FF"/>
      </right>
      <top/>
      <bottom style="thin">
        <color rgb="FF000000"/>
      </bottom>
      <diagonal/>
    </border>
    <border>
      <left style="thin">
        <color rgb="FFB7B7B7"/>
      </left>
      <right/>
      <top/>
      <bottom style="thin">
        <color rgb="FF000000"/>
      </bottom>
      <diagonal/>
    </border>
    <border>
      <left style="medium">
        <color rgb="FF0000FF"/>
      </left>
      <right style="thin">
        <color rgb="FF000000"/>
      </right>
      <top/>
      <bottom style="thin">
        <color rgb="FF000000"/>
      </bottom>
      <diagonal/>
    </border>
    <border>
      <left style="thin">
        <color rgb="FFB7B7B7"/>
      </left>
      <right style="thin">
        <color rgb="FF000000"/>
      </right>
      <top/>
      <bottom style="thin">
        <color rgb="FF000000"/>
      </bottom>
      <diagonal/>
    </border>
    <border>
      <left style="thin">
        <color rgb="FFB7B7B7"/>
      </left>
      <right style="medium">
        <color rgb="FF0000FF"/>
      </right>
      <top/>
      <bottom style="thin">
        <color rgb="FF000000"/>
      </bottom>
      <diagonal/>
    </border>
    <border>
      <left/>
      <right style="medium">
        <color rgb="FF0000FF"/>
      </right>
      <top/>
      <bottom style="thin">
        <color rgb="FF000000"/>
      </bottom>
      <diagonal/>
    </border>
    <border>
      <left style="thin">
        <color rgb="FFB7B7B7"/>
      </left>
      <right style="medium">
        <color rgb="FF0000FF"/>
      </right>
      <top style="thin">
        <color rgb="FF000000"/>
      </top>
      <bottom style="thin">
        <color rgb="FF000000"/>
      </bottom>
      <diagonal/>
    </border>
    <border>
      <left style="medium">
        <color rgb="FF0000FF"/>
      </left>
      <right style="medium">
        <color rgb="FF0000FF"/>
      </right>
      <top style="thin">
        <color rgb="FF000000"/>
      </top>
      <bottom style="thin">
        <color rgb="FF000000"/>
      </bottom>
      <diagonal/>
    </border>
    <border>
      <left/>
      <right style="thin">
        <color rgb="FFB7B7B7"/>
      </right>
      <top style="thin">
        <color rgb="FFB7B7B7"/>
      </top>
      <bottom style="thin">
        <color rgb="FF000000"/>
      </bottom>
      <diagonal/>
    </border>
    <border>
      <left/>
      <right style="thin">
        <color rgb="FF666666"/>
      </right>
      <top style="thin">
        <color rgb="FF666666"/>
      </top>
      <bottom style="thin">
        <color rgb="FF000000"/>
      </bottom>
      <diagonal/>
    </border>
    <border>
      <left style="thin">
        <color rgb="FF666666"/>
      </left>
      <right/>
      <top style="thin">
        <color rgb="FF666666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B7B7B7"/>
      </top>
      <bottom style="thin">
        <color rgb="FFB7B7B7"/>
      </bottom>
      <diagonal/>
    </border>
    <border>
      <left style="thin">
        <color rgb="FF000000"/>
      </left>
      <right style="thin">
        <color rgb="FF000000"/>
      </right>
      <top style="thin">
        <color rgb="FFB7B7B7"/>
      </top>
      <bottom style="thin">
        <color rgb="FF000000"/>
      </bottom>
      <diagonal/>
    </border>
    <border>
      <left style="medium">
        <color rgb="FF0000FF"/>
      </left>
      <right style="thin">
        <color rgb="FF000000"/>
      </right>
      <top style="thin">
        <color rgb="FF000000"/>
      </top>
      <bottom style="medium">
        <color rgb="FF0000FF"/>
      </bottom>
      <diagonal/>
    </border>
    <border>
      <left style="thin">
        <color rgb="FFB7B7B7"/>
      </left>
      <right style="thin">
        <color rgb="FF000000"/>
      </right>
      <top style="thin">
        <color rgb="FF000000"/>
      </top>
      <bottom style="medium">
        <color rgb="FF0000FF"/>
      </bottom>
      <diagonal/>
    </border>
    <border>
      <left style="thin">
        <color rgb="FFB7B7B7"/>
      </left>
      <right style="medium">
        <color rgb="FF0000FF"/>
      </right>
      <top style="thin">
        <color rgb="FF000000"/>
      </top>
      <bottom style="medium">
        <color rgb="FF0000FF"/>
      </bottom>
      <diagonal/>
    </border>
    <border>
      <left/>
      <right style="medium">
        <color rgb="FF0000FF"/>
      </right>
      <top style="thin">
        <color rgb="FFB7B7B7"/>
      </top>
      <bottom style="medium">
        <color rgb="FF0000FF"/>
      </bottom>
      <diagonal/>
    </border>
    <border>
      <left style="medium">
        <color rgb="FF0000FF"/>
      </left>
      <right style="medium">
        <color rgb="FF0000FF"/>
      </right>
      <top style="thin">
        <color rgb="FFB7B7B7"/>
      </top>
      <bottom style="medium">
        <color rgb="FF0000FF"/>
      </bottom>
      <diagonal/>
    </border>
    <border>
      <left style="medium">
        <color rgb="FF0000FF"/>
      </left>
      <right/>
      <top/>
      <bottom/>
      <diagonal/>
    </border>
    <border>
      <left style="medium">
        <color rgb="FF0000FF"/>
      </left>
      <right/>
      <top/>
      <bottom style="medium">
        <color rgb="FF0000FF"/>
      </bottom>
      <diagonal/>
    </border>
    <border>
      <left/>
      <right/>
      <top/>
      <bottom style="medium">
        <color rgb="FF0000FF"/>
      </bottom>
      <diagonal/>
    </border>
    <border>
      <left style="medium">
        <color rgb="FF0000FF"/>
      </left>
      <right style="medium">
        <color rgb="FF0000FF"/>
      </right>
      <top/>
      <bottom style="medium">
        <color rgb="FF0000F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77" fillId="0" borderId="0"/>
  </cellStyleXfs>
  <cellXfs count="1294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2" borderId="0" xfId="0" applyFont="1" applyFill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6" fillId="3" borderId="0" xfId="0" applyFont="1" applyFill="1" applyAlignment="1">
      <alignment horizontal="right" vertical="top"/>
    </xf>
    <xf numFmtId="0" fontId="7" fillId="4" borderId="4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vertical="center"/>
    </xf>
    <xf numFmtId="176" fontId="4" fillId="3" borderId="4" xfId="0" applyNumberFormat="1" applyFont="1" applyFill="1" applyBorder="1" applyAlignment="1">
      <alignment horizontal="center" vertical="center"/>
    </xf>
    <xf numFmtId="3" fontId="4" fillId="2" borderId="4" xfId="0" applyNumberFormat="1" applyFont="1" applyFill="1" applyBorder="1" applyAlignment="1">
      <alignment vertical="center"/>
    </xf>
    <xf numFmtId="3" fontId="4" fillId="3" borderId="4" xfId="0" applyNumberFormat="1" applyFont="1" applyFill="1" applyBorder="1" applyAlignment="1">
      <alignment vertical="center"/>
    </xf>
    <xf numFmtId="0" fontId="4" fillId="3" borderId="4" xfId="0" applyFont="1" applyFill="1" applyBorder="1" applyAlignment="1">
      <alignment horizontal="left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4" fillId="0" borderId="4" xfId="0" applyFont="1" applyBorder="1" applyAlignment="1">
      <alignment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left" vertical="center" wrapText="1"/>
    </xf>
    <xf numFmtId="0" fontId="4" fillId="2" borderId="4" xfId="0" applyFont="1" applyFill="1" applyBorder="1" applyAlignment="1">
      <alignment vertical="center"/>
    </xf>
    <xf numFmtId="176" fontId="4" fillId="2" borderId="4" xfId="0" applyNumberFormat="1" applyFont="1" applyFill="1" applyBorder="1" applyAlignment="1">
      <alignment horizontal="center" vertical="center"/>
    </xf>
    <xf numFmtId="176" fontId="11" fillId="2" borderId="4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12" fillId="3" borderId="4" xfId="0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12" fillId="3" borderId="4" xfId="0" applyFont="1" applyFill="1" applyBorder="1" applyAlignment="1">
      <alignment horizontal="left" vertical="center"/>
    </xf>
    <xf numFmtId="177" fontId="4" fillId="3" borderId="4" xfId="0" applyNumberFormat="1" applyFont="1" applyFill="1" applyBorder="1" applyAlignment="1">
      <alignment horizontal="center" vertical="center"/>
    </xf>
    <xf numFmtId="0" fontId="13" fillId="2" borderId="4" xfId="0" applyFont="1" applyFill="1" applyBorder="1" applyAlignment="1">
      <alignment horizontal="right" vertical="center"/>
    </xf>
    <xf numFmtId="0" fontId="3" fillId="3" borderId="4" xfId="0" applyFont="1" applyFill="1" applyBorder="1"/>
    <xf numFmtId="3" fontId="14" fillId="2" borderId="4" xfId="0" applyNumberFormat="1" applyFont="1" applyFill="1" applyBorder="1" applyAlignment="1">
      <alignment horizontal="right" vertical="center"/>
    </xf>
    <xf numFmtId="3" fontId="14" fillId="3" borderId="4" xfId="0" applyNumberFormat="1" applyFont="1" applyFill="1" applyBorder="1" applyAlignment="1">
      <alignment horizontal="right" vertical="center"/>
    </xf>
    <xf numFmtId="3" fontId="4" fillId="2" borderId="4" xfId="0" applyNumberFormat="1" applyFont="1" applyFill="1" applyBorder="1" applyAlignment="1">
      <alignment horizontal="right" vertical="center"/>
    </xf>
    <xf numFmtId="3" fontId="4" fillId="3" borderId="4" xfId="0" applyNumberFormat="1" applyFont="1" applyFill="1" applyBorder="1" applyAlignment="1">
      <alignment horizontal="right" vertical="center"/>
    </xf>
    <xf numFmtId="3" fontId="12" fillId="3" borderId="4" xfId="0" applyNumberFormat="1" applyFont="1" applyFill="1" applyBorder="1" applyAlignment="1">
      <alignment horizontal="right" vertical="center"/>
    </xf>
    <xf numFmtId="0" fontId="15" fillId="3" borderId="4" xfId="0" applyFont="1" applyFill="1" applyBorder="1" applyAlignment="1">
      <alignment horizontal="left" vertical="center"/>
    </xf>
    <xf numFmtId="0" fontId="15" fillId="3" borderId="4" xfId="0" applyFont="1" applyFill="1" applyBorder="1" applyAlignment="1">
      <alignment horizontal="center" vertical="center"/>
    </xf>
    <xf numFmtId="3" fontId="13" fillId="2" borderId="4" xfId="0" applyNumberFormat="1" applyFont="1" applyFill="1" applyBorder="1" applyAlignment="1">
      <alignment horizontal="right" vertical="center"/>
    </xf>
    <xf numFmtId="3" fontId="16" fillId="3" borderId="4" xfId="0" applyNumberFormat="1" applyFont="1" applyFill="1" applyBorder="1" applyAlignment="1">
      <alignment horizontal="right" vertical="center"/>
    </xf>
    <xf numFmtId="0" fontId="17" fillId="3" borderId="4" xfId="0" applyFont="1" applyFill="1" applyBorder="1" applyAlignment="1">
      <alignment horizontal="center" vertical="center"/>
    </xf>
    <xf numFmtId="177" fontId="11" fillId="3" borderId="4" xfId="0" applyNumberFormat="1" applyFont="1" applyFill="1" applyBorder="1" applyAlignment="1">
      <alignment horizontal="center" vertical="center"/>
    </xf>
    <xf numFmtId="3" fontId="18" fillId="2" borderId="4" xfId="0" applyNumberFormat="1" applyFont="1" applyFill="1" applyBorder="1" applyAlignment="1">
      <alignment horizontal="right" vertical="center"/>
    </xf>
    <xf numFmtId="3" fontId="19" fillId="3" borderId="4" xfId="0" applyNumberFormat="1" applyFont="1" applyFill="1" applyBorder="1" applyAlignment="1">
      <alignment horizontal="right" vertical="center"/>
    </xf>
    <xf numFmtId="0" fontId="20" fillId="3" borderId="4" xfId="0" applyFont="1" applyFill="1" applyBorder="1" applyAlignment="1">
      <alignment horizontal="left" vertical="center"/>
    </xf>
    <xf numFmtId="0" fontId="21" fillId="3" borderId="4" xfId="0" applyFont="1" applyFill="1" applyBorder="1" applyAlignment="1">
      <alignment horizontal="center" vertical="center"/>
    </xf>
    <xf numFmtId="177" fontId="4" fillId="0" borderId="4" xfId="0" applyNumberFormat="1" applyFont="1" applyBorder="1" applyAlignment="1">
      <alignment horizontal="center" vertical="center"/>
    </xf>
    <xf numFmtId="0" fontId="2" fillId="3" borderId="5" xfId="0" applyFont="1" applyFill="1" applyBorder="1" applyAlignment="1">
      <alignment horizontal="left"/>
    </xf>
    <xf numFmtId="0" fontId="22" fillId="3" borderId="4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/>
    </xf>
    <xf numFmtId="0" fontId="3" fillId="2" borderId="4" xfId="0" applyFont="1" applyFill="1" applyBorder="1" applyAlignment="1">
      <alignment vertical="center"/>
    </xf>
    <xf numFmtId="3" fontId="3" fillId="2" borderId="4" xfId="0" applyNumberFormat="1" applyFont="1" applyFill="1" applyBorder="1" applyAlignment="1">
      <alignment vertical="center"/>
    </xf>
    <xf numFmtId="0" fontId="23" fillId="3" borderId="4" xfId="0" applyFont="1" applyFill="1" applyBorder="1" applyAlignment="1">
      <alignment horizontal="center" vertical="center"/>
    </xf>
    <xf numFmtId="177" fontId="11" fillId="0" borderId="4" xfId="0" applyNumberFormat="1" applyFont="1" applyBorder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25" fillId="3" borderId="4" xfId="0" applyFont="1" applyFill="1" applyBorder="1" applyAlignment="1">
      <alignment horizontal="center" vertical="center"/>
    </xf>
    <xf numFmtId="177" fontId="13" fillId="0" borderId="4" xfId="0" applyNumberFormat="1" applyFont="1" applyBorder="1" applyAlignment="1">
      <alignment horizontal="center" vertical="center"/>
    </xf>
    <xf numFmtId="177" fontId="13" fillId="3" borderId="4" xfId="0" applyNumberFormat="1" applyFont="1" applyFill="1" applyBorder="1" applyAlignment="1">
      <alignment horizontal="center" vertical="center"/>
    </xf>
    <xf numFmtId="3" fontId="3" fillId="3" borderId="4" xfId="0" applyNumberFormat="1" applyFont="1" applyFill="1" applyBorder="1" applyAlignment="1">
      <alignment vertical="center"/>
    </xf>
    <xf numFmtId="0" fontId="3" fillId="3" borderId="4" xfId="0" applyFont="1" applyFill="1" applyBorder="1" applyAlignment="1">
      <alignment vertical="center"/>
    </xf>
    <xf numFmtId="3" fontId="26" fillId="2" borderId="4" xfId="0" applyNumberFormat="1" applyFont="1" applyFill="1" applyBorder="1" applyAlignment="1">
      <alignment vertical="center"/>
    </xf>
    <xf numFmtId="3" fontId="26" fillId="3" borderId="4" xfId="0" applyNumberFormat="1" applyFont="1" applyFill="1" applyBorder="1" applyAlignment="1">
      <alignment vertical="center"/>
    </xf>
    <xf numFmtId="0" fontId="16" fillId="3" borderId="4" xfId="0" applyFont="1" applyFill="1" applyBorder="1" applyAlignment="1">
      <alignment horizontal="center" vertical="center"/>
    </xf>
    <xf numFmtId="3" fontId="26" fillId="2" borderId="4" xfId="0" applyNumberFormat="1" applyFont="1" applyFill="1" applyBorder="1" applyAlignment="1">
      <alignment horizontal="right" vertical="center"/>
    </xf>
    <xf numFmtId="0" fontId="25" fillId="3" borderId="4" xfId="0" applyFont="1" applyFill="1" applyBorder="1" applyAlignment="1">
      <alignment vertical="center"/>
    </xf>
    <xf numFmtId="0" fontId="13" fillId="0" borderId="4" xfId="0" applyFont="1" applyBorder="1" applyAlignment="1">
      <alignment vertical="center"/>
    </xf>
    <xf numFmtId="0" fontId="13" fillId="0" borderId="4" xfId="0" applyFont="1" applyBorder="1" applyAlignment="1">
      <alignment horizontal="center" vertical="center"/>
    </xf>
    <xf numFmtId="0" fontId="27" fillId="3" borderId="4" xfId="0" applyFont="1" applyFill="1" applyBorder="1" applyAlignment="1">
      <alignment vertical="center"/>
    </xf>
    <xf numFmtId="0" fontId="27" fillId="3" borderId="4" xfId="0" applyFont="1" applyFill="1" applyBorder="1"/>
    <xf numFmtId="0" fontId="13" fillId="3" borderId="4" xfId="0" applyFont="1" applyFill="1" applyBorder="1" applyAlignment="1">
      <alignment horizontal="center" vertical="center"/>
    </xf>
    <xf numFmtId="0" fontId="28" fillId="0" borderId="0" xfId="0" applyFont="1"/>
    <xf numFmtId="0" fontId="2" fillId="3" borderId="0" xfId="0" applyFont="1" applyFill="1" applyAlignment="1">
      <alignment vertical="center"/>
    </xf>
    <xf numFmtId="0" fontId="29" fillId="3" borderId="0" xfId="0" applyFont="1" applyFill="1" applyAlignment="1">
      <alignment horizontal="center" vertical="center"/>
    </xf>
    <xf numFmtId="0" fontId="30" fillId="0" borderId="0" xfId="0" applyFont="1" applyAlignment="1">
      <alignment vertical="center"/>
    </xf>
    <xf numFmtId="0" fontId="31" fillId="0" borderId="0" xfId="0" applyFont="1"/>
    <xf numFmtId="3" fontId="2" fillId="0" borderId="0" xfId="0" applyNumberFormat="1" applyFont="1" applyAlignment="1">
      <alignment horizontal="left" vertical="center"/>
    </xf>
    <xf numFmtId="0" fontId="5" fillId="4" borderId="4" xfId="0" applyFont="1" applyFill="1" applyBorder="1" applyAlignment="1">
      <alignment horizontal="center"/>
    </xf>
    <xf numFmtId="0" fontId="5" fillId="4" borderId="4" xfId="0" applyFont="1" applyFill="1" applyBorder="1" applyAlignment="1">
      <alignment horizontal="center" vertical="center"/>
    </xf>
    <xf numFmtId="0" fontId="32" fillId="4" borderId="4" xfId="0" applyFont="1" applyFill="1" applyBorder="1" applyAlignment="1">
      <alignment horizontal="center" vertical="center"/>
    </xf>
    <xf numFmtId="0" fontId="24" fillId="4" borderId="4" xfId="0" applyFont="1" applyFill="1" applyBorder="1" applyAlignment="1">
      <alignment horizontal="center" vertical="center"/>
    </xf>
    <xf numFmtId="0" fontId="33" fillId="5" borderId="0" xfId="0" applyFont="1" applyFill="1" applyAlignment="1">
      <alignment vertical="center"/>
    </xf>
    <xf numFmtId="0" fontId="15" fillId="3" borderId="4" xfId="0" applyFont="1" applyFill="1" applyBorder="1" applyAlignment="1">
      <alignment horizontal="center" vertical="center" wrapText="1"/>
    </xf>
    <xf numFmtId="0" fontId="12" fillId="3" borderId="4" xfId="0" applyFont="1" applyFill="1" applyBorder="1" applyAlignment="1">
      <alignment vertical="center"/>
    </xf>
    <xf numFmtId="176" fontId="15" fillId="3" borderId="4" xfId="0" applyNumberFormat="1" applyFont="1" applyFill="1" applyBorder="1" applyAlignment="1">
      <alignment horizontal="center" vertical="center"/>
    </xf>
    <xf numFmtId="0" fontId="12" fillId="0" borderId="0" xfId="0" applyFont="1" applyAlignment="1">
      <alignment vertical="center"/>
    </xf>
    <xf numFmtId="3" fontId="12" fillId="3" borderId="6" xfId="0" applyNumberFormat="1" applyFont="1" applyFill="1" applyBorder="1" applyAlignment="1">
      <alignment horizontal="right" vertical="center"/>
    </xf>
    <xf numFmtId="0" fontId="15" fillId="3" borderId="4" xfId="0" applyFont="1" applyFill="1" applyBorder="1" applyAlignment="1">
      <alignment vertical="center" wrapText="1"/>
    </xf>
    <xf numFmtId="0" fontId="34" fillId="3" borderId="4" xfId="0" applyFont="1" applyFill="1" applyBorder="1" applyAlignment="1">
      <alignment horizontal="center" vertical="center"/>
    </xf>
    <xf numFmtId="0" fontId="34" fillId="3" borderId="4" xfId="0" applyFont="1" applyFill="1" applyBorder="1" applyAlignment="1">
      <alignment horizontal="center" vertical="center" wrapText="1"/>
    </xf>
    <xf numFmtId="0" fontId="34" fillId="3" borderId="4" xfId="0" applyFont="1" applyFill="1" applyBorder="1" applyAlignment="1">
      <alignment vertical="center" wrapText="1"/>
    </xf>
    <xf numFmtId="176" fontId="34" fillId="3" borderId="4" xfId="0" applyNumberFormat="1" applyFont="1" applyFill="1" applyBorder="1" applyAlignment="1">
      <alignment horizontal="center" vertical="center"/>
    </xf>
    <xf numFmtId="0" fontId="35" fillId="3" borderId="4" xfId="0" applyFont="1" applyFill="1" applyBorder="1" applyAlignment="1">
      <alignment horizontal="center" vertical="center"/>
    </xf>
    <xf numFmtId="3" fontId="36" fillId="3" borderId="5" xfId="0" applyNumberFormat="1" applyFont="1" applyFill="1" applyBorder="1" applyAlignment="1">
      <alignment horizontal="right" vertical="center"/>
    </xf>
    <xf numFmtId="0" fontId="36" fillId="3" borderId="4" xfId="0" applyFont="1" applyFill="1" applyBorder="1" applyAlignment="1">
      <alignment vertical="center"/>
    </xf>
    <xf numFmtId="0" fontId="36" fillId="0" borderId="0" xfId="0" applyFont="1" applyAlignment="1">
      <alignment vertical="center"/>
    </xf>
    <xf numFmtId="0" fontId="36" fillId="2" borderId="4" xfId="0" applyFont="1" applyFill="1" applyBorder="1" applyAlignment="1">
      <alignment vertical="center"/>
    </xf>
    <xf numFmtId="177" fontId="15" fillId="3" borderId="4" xfId="0" applyNumberFormat="1" applyFont="1" applyFill="1" applyBorder="1" applyAlignment="1">
      <alignment horizontal="center" vertical="center"/>
    </xf>
    <xf numFmtId="3" fontId="12" fillId="3" borderId="5" xfId="0" applyNumberFormat="1" applyFont="1" applyFill="1" applyBorder="1" applyAlignment="1">
      <alignment horizontal="right" vertical="center"/>
    </xf>
    <xf numFmtId="0" fontId="12" fillId="2" borderId="4" xfId="0" applyFont="1" applyFill="1" applyBorder="1" applyAlignment="1">
      <alignment vertical="center"/>
    </xf>
    <xf numFmtId="0" fontId="15" fillId="6" borderId="4" xfId="0" applyFont="1" applyFill="1" applyBorder="1" applyAlignment="1">
      <alignment horizontal="center" vertical="center" wrapText="1"/>
    </xf>
    <xf numFmtId="3" fontId="37" fillId="3" borderId="4" xfId="0" applyNumberFormat="1" applyFont="1" applyFill="1" applyBorder="1" applyAlignment="1">
      <alignment horizontal="center" vertical="center"/>
    </xf>
    <xf numFmtId="0" fontId="12" fillId="3" borderId="0" xfId="0" applyFont="1" applyFill="1" applyAlignment="1">
      <alignment vertical="center"/>
    </xf>
    <xf numFmtId="0" fontId="37" fillId="3" borderId="4" xfId="0" applyFont="1" applyFill="1" applyBorder="1" applyAlignment="1">
      <alignment horizontal="center" vertical="center"/>
    </xf>
    <xf numFmtId="0" fontId="12" fillId="2" borderId="6" xfId="0" applyFont="1" applyFill="1" applyBorder="1" applyAlignment="1">
      <alignment vertical="center"/>
    </xf>
    <xf numFmtId="0" fontId="15" fillId="8" borderId="4" xfId="0" applyFont="1" applyFill="1" applyBorder="1" applyAlignment="1">
      <alignment horizontal="center" vertical="center" wrapText="1"/>
    </xf>
    <xf numFmtId="3" fontId="24" fillId="3" borderId="4" xfId="0" applyNumberFormat="1" applyFont="1" applyFill="1" applyBorder="1" applyAlignment="1">
      <alignment horizontal="center" vertical="center"/>
    </xf>
    <xf numFmtId="0" fontId="12" fillId="0" borderId="4" xfId="0" applyFont="1" applyBorder="1" applyAlignment="1">
      <alignment vertical="center"/>
    </xf>
    <xf numFmtId="0" fontId="12" fillId="8" borderId="4" xfId="0" applyFont="1" applyFill="1" applyBorder="1" applyAlignment="1">
      <alignment horizontal="center" vertical="center"/>
    </xf>
    <xf numFmtId="0" fontId="34" fillId="9" borderId="4" xfId="0" applyFont="1" applyFill="1" applyBorder="1" applyAlignment="1">
      <alignment horizontal="center" vertical="center" wrapText="1"/>
    </xf>
    <xf numFmtId="0" fontId="34" fillId="9" borderId="4" xfId="0" applyFont="1" applyFill="1" applyBorder="1" applyAlignment="1">
      <alignment vertical="center" wrapText="1"/>
    </xf>
    <xf numFmtId="0" fontId="34" fillId="9" borderId="4" xfId="0" applyFont="1" applyFill="1" applyBorder="1" applyAlignment="1">
      <alignment horizontal="center" vertical="center"/>
    </xf>
    <xf numFmtId="0" fontId="36" fillId="9" borderId="4" xfId="0" applyFont="1" applyFill="1" applyBorder="1" applyAlignment="1">
      <alignment vertical="center"/>
    </xf>
    <xf numFmtId="176" fontId="34" fillId="9" borderId="4" xfId="0" applyNumberFormat="1" applyFont="1" applyFill="1" applyBorder="1" applyAlignment="1">
      <alignment horizontal="center" vertical="center"/>
    </xf>
    <xf numFmtId="176" fontId="39" fillId="9" borderId="4" xfId="0" applyNumberFormat="1" applyFont="1" applyFill="1" applyBorder="1" applyAlignment="1">
      <alignment horizontal="center" vertical="center"/>
    </xf>
    <xf numFmtId="0" fontId="35" fillId="9" borderId="4" xfId="0" applyFont="1" applyFill="1" applyBorder="1" applyAlignment="1">
      <alignment horizontal="center" vertical="center"/>
    </xf>
    <xf numFmtId="3" fontId="36" fillId="9" borderId="4" xfId="0" applyNumberFormat="1" applyFont="1" applyFill="1" applyBorder="1" applyAlignment="1">
      <alignment vertical="center"/>
    </xf>
    <xf numFmtId="0" fontId="40" fillId="9" borderId="4" xfId="0" applyFont="1" applyFill="1" applyBorder="1" applyAlignment="1">
      <alignment vertical="center"/>
    </xf>
    <xf numFmtId="0" fontId="12" fillId="2" borderId="4" xfId="0" applyFont="1" applyFill="1" applyBorder="1" applyAlignment="1">
      <alignment horizontal="center" vertical="center"/>
    </xf>
    <xf numFmtId="0" fontId="15" fillId="2" borderId="4" xfId="0" applyFont="1" applyFill="1" applyBorder="1" applyAlignment="1">
      <alignment horizontal="center" vertical="center" wrapText="1"/>
    </xf>
    <xf numFmtId="0" fontId="34" fillId="2" borderId="4" xfId="0" applyFont="1" applyFill="1" applyBorder="1" applyAlignment="1">
      <alignment vertical="center" wrapText="1"/>
    </xf>
    <xf numFmtId="0" fontId="34" fillId="2" borderId="4" xfId="0" applyFont="1" applyFill="1" applyBorder="1" applyAlignment="1">
      <alignment horizontal="center" vertical="center"/>
    </xf>
    <xf numFmtId="176" fontId="34" fillId="2" borderId="4" xfId="0" applyNumberFormat="1" applyFont="1" applyFill="1" applyBorder="1" applyAlignment="1">
      <alignment horizontal="center" vertical="center"/>
    </xf>
    <xf numFmtId="176" fontId="39" fillId="2" borderId="4" xfId="0" applyNumberFormat="1" applyFont="1" applyFill="1" applyBorder="1" applyAlignment="1">
      <alignment horizontal="center" vertical="center"/>
    </xf>
    <xf numFmtId="3" fontId="41" fillId="2" borderId="4" xfId="0" applyNumberFormat="1" applyFont="1" applyFill="1" applyBorder="1" applyAlignment="1">
      <alignment horizontal="center" vertical="center"/>
    </xf>
    <xf numFmtId="3" fontId="36" fillId="2" borderId="4" xfId="0" applyNumberFormat="1" applyFont="1" applyFill="1" applyBorder="1" applyAlignment="1">
      <alignment vertical="center"/>
    </xf>
    <xf numFmtId="3" fontId="36" fillId="3" borderId="4" xfId="0" applyNumberFormat="1" applyFont="1" applyFill="1" applyBorder="1" applyAlignment="1">
      <alignment vertical="center"/>
    </xf>
    <xf numFmtId="0" fontId="36" fillId="3" borderId="0" xfId="0" applyFont="1" applyFill="1" applyAlignment="1">
      <alignment vertical="center"/>
    </xf>
    <xf numFmtId="0" fontId="24" fillId="3" borderId="4" xfId="0" applyFont="1" applyFill="1" applyBorder="1" applyAlignment="1">
      <alignment horizontal="center" vertical="center"/>
    </xf>
    <xf numFmtId="0" fontId="15" fillId="3" borderId="6" xfId="0" applyFont="1" applyFill="1" applyBorder="1" applyAlignment="1">
      <alignment horizontal="center" vertical="center"/>
    </xf>
    <xf numFmtId="0" fontId="15" fillId="2" borderId="4" xfId="0" applyFont="1" applyFill="1" applyBorder="1" applyAlignment="1">
      <alignment horizontal="center" vertical="center"/>
    </xf>
    <xf numFmtId="0" fontId="17" fillId="3" borderId="4" xfId="0" applyFont="1" applyFill="1" applyBorder="1" applyAlignment="1">
      <alignment horizontal="center" vertical="center" wrapText="1"/>
    </xf>
    <xf numFmtId="3" fontId="42" fillId="3" borderId="4" xfId="0" applyNumberFormat="1" applyFont="1" applyFill="1" applyBorder="1" applyAlignment="1">
      <alignment horizontal="center" vertical="center"/>
    </xf>
    <xf numFmtId="0" fontId="43" fillId="9" borderId="4" xfId="0" applyFont="1" applyFill="1" applyBorder="1" applyAlignment="1">
      <alignment vertical="center"/>
    </xf>
    <xf numFmtId="0" fontId="10" fillId="0" borderId="0" xfId="0" applyFont="1" applyAlignment="1">
      <alignment vertical="center"/>
    </xf>
    <xf numFmtId="0" fontId="45" fillId="0" borderId="0" xfId="0" applyFont="1" applyAlignment="1">
      <alignment vertical="center"/>
    </xf>
    <xf numFmtId="0" fontId="46" fillId="9" borderId="0" xfId="0" applyFont="1" applyFill="1" applyAlignment="1">
      <alignment vertical="center"/>
    </xf>
    <xf numFmtId="0" fontId="46" fillId="8" borderId="0" xfId="0" applyFont="1" applyFill="1" applyAlignment="1">
      <alignment vertical="center"/>
    </xf>
    <xf numFmtId="0" fontId="12" fillId="0" borderId="4" xfId="0" applyFont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center"/>
    </xf>
    <xf numFmtId="0" fontId="10" fillId="8" borderId="4" xfId="0" applyFont="1" applyFill="1" applyBorder="1" applyAlignment="1">
      <alignment horizontal="center" vertical="center"/>
    </xf>
    <xf numFmtId="3" fontId="46" fillId="8" borderId="4" xfId="0" applyNumberFormat="1" applyFont="1" applyFill="1" applyBorder="1" applyAlignment="1">
      <alignment horizontal="center" vertical="center"/>
    </xf>
    <xf numFmtId="3" fontId="10" fillId="8" borderId="4" xfId="0" applyNumberFormat="1" applyFont="1" applyFill="1" applyBorder="1" applyAlignment="1">
      <alignment horizontal="center" vertical="center"/>
    </xf>
    <xf numFmtId="0" fontId="10" fillId="8" borderId="4" xfId="0" applyFont="1" applyFill="1" applyBorder="1" applyAlignment="1">
      <alignment vertical="center"/>
    </xf>
    <xf numFmtId="178" fontId="12" fillId="8" borderId="4" xfId="0" applyNumberFormat="1" applyFont="1" applyFill="1" applyBorder="1" applyAlignment="1">
      <alignment vertical="center"/>
    </xf>
    <xf numFmtId="0" fontId="2" fillId="8" borderId="4" xfId="0" applyFont="1" applyFill="1" applyBorder="1" applyAlignment="1">
      <alignment vertical="center"/>
    </xf>
    <xf numFmtId="3" fontId="24" fillId="10" borderId="4" xfId="0" applyNumberFormat="1" applyFont="1" applyFill="1" applyBorder="1" applyAlignment="1">
      <alignment vertical="center"/>
    </xf>
    <xf numFmtId="0" fontId="2" fillId="0" borderId="4" xfId="0" applyFont="1" applyBorder="1" applyAlignment="1">
      <alignment vertical="center"/>
    </xf>
    <xf numFmtId="3" fontId="2" fillId="0" borderId="4" xfId="0" applyNumberFormat="1" applyFont="1" applyBorder="1" applyAlignment="1">
      <alignment vertical="center"/>
    </xf>
    <xf numFmtId="3" fontId="12" fillId="10" borderId="4" xfId="0" applyNumberFormat="1" applyFont="1" applyFill="1" applyBorder="1" applyAlignment="1">
      <alignment vertical="center"/>
    </xf>
    <xf numFmtId="0" fontId="2" fillId="3" borderId="4" xfId="0" applyFont="1" applyFill="1" applyBorder="1" applyAlignment="1">
      <alignment vertical="center"/>
    </xf>
    <xf numFmtId="178" fontId="2" fillId="3" borderId="4" xfId="0" applyNumberFormat="1" applyFont="1" applyFill="1" applyBorder="1" applyAlignment="1">
      <alignment vertical="center"/>
    </xf>
    <xf numFmtId="3" fontId="2" fillId="3" borderId="4" xfId="0" applyNumberFormat="1" applyFont="1" applyFill="1" applyBorder="1" applyAlignment="1">
      <alignment vertical="center"/>
    </xf>
    <xf numFmtId="3" fontId="2" fillId="0" borderId="4" xfId="0" applyNumberFormat="1" applyFont="1" applyBorder="1" applyAlignment="1">
      <alignment horizontal="right" vertical="center"/>
    </xf>
    <xf numFmtId="179" fontId="23" fillId="8" borderId="4" xfId="0" applyNumberFormat="1" applyFont="1" applyFill="1" applyBorder="1" applyAlignment="1">
      <alignment horizontal="center" vertical="center"/>
    </xf>
    <xf numFmtId="0" fontId="47" fillId="8" borderId="5" xfId="0" applyFont="1" applyFill="1" applyBorder="1" applyAlignment="1">
      <alignment vertical="center"/>
    </xf>
    <xf numFmtId="0" fontId="23" fillId="8" borderId="4" xfId="0" applyFont="1" applyFill="1" applyBorder="1" applyAlignment="1">
      <alignment horizontal="center" vertical="center"/>
    </xf>
    <xf numFmtId="3" fontId="12" fillId="8" borderId="4" xfId="0" applyNumberFormat="1" applyFont="1" applyFill="1" applyBorder="1" applyAlignment="1">
      <alignment horizontal="right" vertical="center"/>
    </xf>
    <xf numFmtId="0" fontId="2" fillId="3" borderId="11" xfId="0" applyFont="1" applyFill="1" applyBorder="1" applyAlignment="1">
      <alignment vertical="center"/>
    </xf>
    <xf numFmtId="0" fontId="2" fillId="3" borderId="11" xfId="0" applyFont="1" applyFill="1" applyBorder="1" applyAlignment="1">
      <alignment horizontal="center" vertical="center"/>
    </xf>
    <xf numFmtId="3" fontId="2" fillId="3" borderId="11" xfId="0" applyNumberFormat="1" applyFont="1" applyFill="1" applyBorder="1" applyAlignment="1">
      <alignment horizontal="right" vertical="center"/>
    </xf>
    <xf numFmtId="3" fontId="10" fillId="3" borderId="11" xfId="0" applyNumberFormat="1" applyFont="1" applyFill="1" applyBorder="1" applyAlignment="1">
      <alignment horizontal="right" vertical="center"/>
    </xf>
    <xf numFmtId="0" fontId="48" fillId="3" borderId="11" xfId="0" applyFont="1" applyFill="1" applyBorder="1" applyAlignment="1">
      <alignment horizontal="center" vertical="center"/>
    </xf>
    <xf numFmtId="0" fontId="10" fillId="3" borderId="11" xfId="0" applyFont="1" applyFill="1" applyBorder="1" applyAlignment="1">
      <alignment vertical="center"/>
    </xf>
    <xf numFmtId="0" fontId="2" fillId="9" borderId="11" xfId="0" applyFont="1" applyFill="1" applyBorder="1" applyAlignment="1">
      <alignment horizontal="center" vertical="center"/>
    </xf>
    <xf numFmtId="0" fontId="12" fillId="8" borderId="5" xfId="0" applyFont="1" applyFill="1" applyBorder="1" applyAlignment="1">
      <alignment vertical="center"/>
    </xf>
    <xf numFmtId="58" fontId="23" fillId="8" borderId="4" xfId="0" applyNumberFormat="1" applyFont="1" applyFill="1" applyBorder="1" applyAlignment="1">
      <alignment horizontal="center" vertical="center"/>
    </xf>
    <xf numFmtId="178" fontId="2" fillId="0" borderId="4" xfId="0" applyNumberFormat="1" applyFont="1" applyBorder="1" applyAlignment="1">
      <alignment vertical="center"/>
    </xf>
    <xf numFmtId="58" fontId="2" fillId="0" borderId="4" xfId="0" applyNumberFormat="1" applyFont="1" applyBorder="1" applyAlignment="1">
      <alignment vertical="center"/>
    </xf>
    <xf numFmtId="0" fontId="49" fillId="3" borderId="4" xfId="0" applyFont="1" applyFill="1" applyBorder="1" applyAlignment="1">
      <alignment vertical="center"/>
    </xf>
    <xf numFmtId="179" fontId="40" fillId="9" borderId="4" xfId="0" applyNumberFormat="1" applyFont="1" applyFill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3" fontId="24" fillId="3" borderId="4" xfId="0" applyNumberFormat="1" applyFont="1" applyFill="1" applyBorder="1" applyAlignment="1">
      <alignment horizontal="right" vertical="center"/>
    </xf>
    <xf numFmtId="178" fontId="12" fillId="0" borderId="4" xfId="0" applyNumberFormat="1" applyFont="1" applyBorder="1" applyAlignment="1">
      <alignment horizontal="center" vertical="center"/>
    </xf>
    <xf numFmtId="178" fontId="12" fillId="3" borderId="4" xfId="0" applyNumberFormat="1" applyFont="1" applyFill="1" applyBorder="1" applyAlignment="1">
      <alignment horizontal="center" vertical="center"/>
    </xf>
    <xf numFmtId="178" fontId="2" fillId="11" borderId="4" xfId="0" applyNumberFormat="1" applyFont="1" applyFill="1" applyBorder="1" applyAlignment="1">
      <alignment vertical="center"/>
    </xf>
    <xf numFmtId="58" fontId="37" fillId="0" borderId="4" xfId="0" applyNumberFormat="1" applyFont="1" applyBorder="1" applyAlignment="1">
      <alignment horizontal="center" vertical="center"/>
    </xf>
    <xf numFmtId="0" fontId="50" fillId="6" borderId="4" xfId="0" applyFont="1" applyFill="1" applyBorder="1" applyAlignment="1">
      <alignment vertical="center"/>
    </xf>
    <xf numFmtId="0" fontId="37" fillId="3" borderId="4" xfId="0" applyFont="1" applyFill="1" applyBorder="1" applyAlignment="1">
      <alignment vertical="center"/>
    </xf>
    <xf numFmtId="3" fontId="10" fillId="6" borderId="4" xfId="0" applyNumberFormat="1" applyFont="1" applyFill="1" applyBorder="1" applyAlignment="1">
      <alignment horizontal="right" vertical="center"/>
    </xf>
    <xf numFmtId="0" fontId="37" fillId="6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vertical="center"/>
    </xf>
    <xf numFmtId="178" fontId="2" fillId="0" borderId="4" xfId="0" applyNumberFormat="1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3" fontId="2" fillId="6" borderId="4" xfId="0" applyNumberFormat="1" applyFont="1" applyFill="1" applyBorder="1" applyAlignment="1">
      <alignment vertical="center"/>
    </xf>
    <xf numFmtId="0" fontId="12" fillId="12" borderId="4" xfId="0" applyFont="1" applyFill="1" applyBorder="1" applyAlignment="1">
      <alignment horizontal="center" vertical="center"/>
    </xf>
    <xf numFmtId="178" fontId="2" fillId="12" borderId="4" xfId="0" applyNumberFormat="1" applyFont="1" applyFill="1" applyBorder="1" applyAlignment="1">
      <alignment vertical="center"/>
    </xf>
    <xf numFmtId="0" fontId="37" fillId="0" borderId="4" xfId="0" applyFont="1" applyBorder="1" applyAlignment="1">
      <alignment horizontal="center" vertical="center"/>
    </xf>
    <xf numFmtId="0" fontId="40" fillId="9" borderId="4" xfId="0" applyFont="1" applyFill="1" applyBorder="1" applyAlignment="1">
      <alignment horizontal="center" vertical="center"/>
    </xf>
    <xf numFmtId="0" fontId="51" fillId="0" borderId="4" xfId="0" applyFont="1" applyBorder="1" applyAlignment="1">
      <alignment vertical="center"/>
    </xf>
    <xf numFmtId="3" fontId="52" fillId="0" borderId="4" xfId="0" applyNumberFormat="1" applyFont="1" applyBorder="1" applyAlignment="1">
      <alignment vertical="center"/>
    </xf>
    <xf numFmtId="179" fontId="23" fillId="0" borderId="4" xfId="0" applyNumberFormat="1" applyFont="1" applyBorder="1" applyAlignment="1">
      <alignment horizontal="right" vertical="center"/>
    </xf>
    <xf numFmtId="3" fontId="24" fillId="0" borderId="4" xfId="0" applyNumberFormat="1" applyFont="1" applyBorder="1" applyAlignment="1">
      <alignment horizontal="right" vertical="center"/>
    </xf>
    <xf numFmtId="178" fontId="24" fillId="0" borderId="4" xfId="0" applyNumberFormat="1" applyFont="1" applyBorder="1" applyAlignment="1">
      <alignment horizontal="center" vertical="center"/>
    </xf>
    <xf numFmtId="178" fontId="2" fillId="3" borderId="6" xfId="0" applyNumberFormat="1" applyFont="1" applyFill="1" applyBorder="1" applyAlignment="1">
      <alignment vertical="center"/>
    </xf>
    <xf numFmtId="3" fontId="53" fillId="10" borderId="4" xfId="0" applyNumberFormat="1" applyFont="1" applyFill="1" applyBorder="1" applyAlignment="1">
      <alignment vertical="center"/>
    </xf>
    <xf numFmtId="0" fontId="23" fillId="0" borderId="4" xfId="0" applyFont="1" applyBorder="1" applyAlignment="1">
      <alignment vertical="center"/>
    </xf>
    <xf numFmtId="3" fontId="40" fillId="0" borderId="4" xfId="0" applyNumberFormat="1" applyFont="1" applyBorder="1" applyAlignment="1">
      <alignment horizontal="right" vertical="center"/>
    </xf>
    <xf numFmtId="0" fontId="54" fillId="0" borderId="4" xfId="0" applyFont="1" applyBorder="1" applyAlignment="1">
      <alignment vertical="center"/>
    </xf>
    <xf numFmtId="3" fontId="12" fillId="0" borderId="4" xfId="0" applyNumberFormat="1" applyFont="1" applyBorder="1" applyAlignment="1">
      <alignment horizontal="right" vertical="center"/>
    </xf>
    <xf numFmtId="178" fontId="55" fillId="0" borderId="4" xfId="0" applyNumberFormat="1" applyFont="1" applyBorder="1" applyAlignment="1">
      <alignment vertical="center"/>
    </xf>
    <xf numFmtId="0" fontId="2" fillId="0" borderId="5" xfId="0" applyFont="1" applyBorder="1" applyAlignment="1">
      <alignment vertical="center"/>
    </xf>
    <xf numFmtId="3" fontId="12" fillId="0" borderId="4" xfId="0" applyNumberFormat="1" applyFont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178" fontId="2" fillId="13" borderId="4" xfId="0" applyNumberFormat="1" applyFont="1" applyFill="1" applyBorder="1" applyAlignment="1">
      <alignment vertical="center"/>
    </xf>
    <xf numFmtId="0" fontId="12" fillId="13" borderId="4" xfId="0" applyFont="1" applyFill="1" applyBorder="1" applyAlignment="1">
      <alignment horizontal="center" vertical="center"/>
    </xf>
    <xf numFmtId="58" fontId="2" fillId="13" borderId="4" xfId="0" applyNumberFormat="1" applyFont="1" applyFill="1" applyBorder="1" applyAlignment="1">
      <alignment vertical="center"/>
    </xf>
    <xf numFmtId="0" fontId="56" fillId="13" borderId="4" xfId="0" applyFont="1" applyFill="1" applyBorder="1" applyAlignment="1">
      <alignment vertical="center"/>
    </xf>
    <xf numFmtId="0" fontId="2" fillId="13" borderId="4" xfId="0" applyFont="1" applyFill="1" applyBorder="1" applyAlignment="1">
      <alignment vertical="center"/>
    </xf>
    <xf numFmtId="0" fontId="57" fillId="13" borderId="4" xfId="0" applyFont="1" applyFill="1" applyBorder="1" applyAlignment="1">
      <alignment vertical="center"/>
    </xf>
    <xf numFmtId="3" fontId="12" fillId="13" borderId="4" xfId="0" applyNumberFormat="1" applyFont="1" applyFill="1" applyBorder="1" applyAlignment="1">
      <alignment horizontal="right" vertical="center"/>
    </xf>
    <xf numFmtId="0" fontId="2" fillId="13" borderId="0" xfId="0" applyFont="1" applyFill="1" applyAlignment="1">
      <alignment vertical="center"/>
    </xf>
    <xf numFmtId="0" fontId="12" fillId="13" borderId="4" xfId="0" applyFont="1" applyFill="1" applyBorder="1" applyAlignment="1">
      <alignment vertical="center"/>
    </xf>
    <xf numFmtId="0" fontId="58" fillId="5" borderId="4" xfId="0" applyFont="1" applyFill="1" applyBorder="1" applyAlignment="1">
      <alignment horizontal="center" vertical="center"/>
    </xf>
    <xf numFmtId="3" fontId="2" fillId="5" borderId="4" xfId="0" applyNumberFormat="1" applyFont="1" applyFill="1" applyBorder="1" applyAlignment="1">
      <alignment vertical="center"/>
    </xf>
    <xf numFmtId="178" fontId="2" fillId="5" borderId="4" xfId="0" applyNumberFormat="1" applyFont="1" applyFill="1" applyBorder="1" applyAlignment="1">
      <alignment vertical="center"/>
    </xf>
    <xf numFmtId="178" fontId="23" fillId="5" borderId="4" xfId="0" applyNumberFormat="1" applyFont="1" applyFill="1" applyBorder="1" applyAlignment="1">
      <alignment horizontal="center" vertical="center"/>
    </xf>
    <xf numFmtId="58" fontId="37" fillId="5" borderId="4" xfId="0" applyNumberFormat="1" applyFont="1" applyFill="1" applyBorder="1" applyAlignment="1">
      <alignment horizontal="center" vertical="center"/>
    </xf>
    <xf numFmtId="3" fontId="12" fillId="5" borderId="4" xfId="0" applyNumberFormat="1" applyFont="1" applyFill="1" applyBorder="1" applyAlignment="1">
      <alignment horizontal="right" vertical="center"/>
    </xf>
    <xf numFmtId="0" fontId="59" fillId="3" borderId="11" xfId="0" applyFont="1" applyFill="1" applyBorder="1" applyAlignment="1">
      <alignment vertical="center"/>
    </xf>
    <xf numFmtId="0" fontId="57" fillId="14" borderId="0" xfId="0" applyFont="1" applyFill="1" applyAlignment="1">
      <alignment vertical="center"/>
    </xf>
    <xf numFmtId="0" fontId="12" fillId="9" borderId="4" xfId="0" applyFont="1" applyFill="1" applyBorder="1" applyAlignment="1">
      <alignment horizontal="center" vertical="center"/>
    </xf>
    <xf numFmtId="0" fontId="58" fillId="3" borderId="4" xfId="0" applyFont="1" applyFill="1" applyBorder="1" applyAlignment="1">
      <alignment horizontal="center" vertical="center"/>
    </xf>
    <xf numFmtId="58" fontId="2" fillId="3" borderId="4" xfId="0" applyNumberFormat="1" applyFont="1" applyFill="1" applyBorder="1" applyAlignment="1">
      <alignment vertical="center"/>
    </xf>
    <xf numFmtId="58" fontId="40" fillId="0" borderId="4" xfId="0" applyNumberFormat="1" applyFont="1" applyBorder="1" applyAlignment="1">
      <alignment horizontal="center" vertical="center"/>
    </xf>
    <xf numFmtId="3" fontId="60" fillId="3" borderId="4" xfId="0" applyNumberFormat="1" applyFont="1" applyFill="1" applyBorder="1" applyAlignment="1">
      <alignment vertical="center"/>
    </xf>
    <xf numFmtId="0" fontId="61" fillId="0" borderId="4" xfId="0" applyFont="1" applyBorder="1" applyAlignment="1">
      <alignment vertical="center"/>
    </xf>
    <xf numFmtId="0" fontId="2" fillId="3" borderId="6" xfId="0" applyFont="1" applyFill="1" applyBorder="1" applyAlignment="1">
      <alignment horizontal="center" vertical="center"/>
    </xf>
    <xf numFmtId="0" fontId="24" fillId="0" borderId="4" xfId="0" applyFont="1" applyBorder="1" applyAlignment="1">
      <alignment horizontal="center" vertical="center"/>
    </xf>
    <xf numFmtId="178" fontId="58" fillId="0" borderId="4" xfId="0" applyNumberFormat="1" applyFont="1" applyBorder="1" applyAlignment="1">
      <alignment vertical="center"/>
    </xf>
    <xf numFmtId="0" fontId="12" fillId="3" borderId="6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vertical="center"/>
    </xf>
    <xf numFmtId="3" fontId="2" fillId="3" borderId="6" xfId="0" applyNumberFormat="1" applyFont="1" applyFill="1" applyBorder="1" applyAlignment="1">
      <alignment vertical="center"/>
    </xf>
    <xf numFmtId="3" fontId="2" fillId="0" borderId="6" xfId="0" applyNumberFormat="1" applyFont="1" applyBorder="1" applyAlignment="1">
      <alignment vertical="center"/>
    </xf>
    <xf numFmtId="0" fontId="62" fillId="0" borderId="4" xfId="0" applyFont="1" applyBorder="1" applyAlignment="1">
      <alignment vertical="center"/>
    </xf>
    <xf numFmtId="180" fontId="2" fillId="3" borderId="4" xfId="0" applyNumberFormat="1" applyFont="1" applyFill="1" applyBorder="1" applyAlignment="1">
      <alignment vertical="center"/>
    </xf>
    <xf numFmtId="0" fontId="37" fillId="5" borderId="4" xfId="0" applyFont="1" applyFill="1" applyBorder="1" applyAlignment="1">
      <alignment vertical="center"/>
    </xf>
    <xf numFmtId="0" fontId="24" fillId="5" borderId="4" xfId="0" applyFont="1" applyFill="1" applyBorder="1" applyAlignment="1">
      <alignment horizontal="center" vertical="center"/>
    </xf>
    <xf numFmtId="58" fontId="2" fillId="5" borderId="4" xfId="0" applyNumberFormat="1" applyFont="1" applyFill="1" applyBorder="1" applyAlignment="1">
      <alignment vertical="center"/>
    </xf>
    <xf numFmtId="0" fontId="24" fillId="3" borderId="4" xfId="0" applyFont="1" applyFill="1" applyBorder="1" applyAlignment="1">
      <alignment vertical="center"/>
    </xf>
    <xf numFmtId="3" fontId="24" fillId="3" borderId="4" xfId="0" applyNumberFormat="1" applyFont="1" applyFill="1" applyBorder="1" applyAlignment="1">
      <alignment vertical="center"/>
    </xf>
    <xf numFmtId="3" fontId="2" fillId="13" borderId="4" xfId="0" applyNumberFormat="1" applyFont="1" applyFill="1" applyBorder="1" applyAlignment="1">
      <alignment vertical="center"/>
    </xf>
    <xf numFmtId="178" fontId="2" fillId="0" borderId="0" xfId="0" applyNumberFormat="1" applyFont="1" applyAlignment="1">
      <alignment vertical="center"/>
    </xf>
    <xf numFmtId="3" fontId="2" fillId="0" borderId="0" xfId="0" applyNumberFormat="1" applyFont="1" applyAlignment="1">
      <alignment vertical="center"/>
    </xf>
    <xf numFmtId="58" fontId="2" fillId="0" borderId="0" xfId="0" applyNumberFormat="1" applyFont="1" applyAlignment="1">
      <alignment vertical="center"/>
    </xf>
    <xf numFmtId="178" fontId="10" fillId="6" borderId="4" xfId="0" applyNumberFormat="1" applyFont="1" applyFill="1" applyBorder="1" applyAlignment="1">
      <alignment vertical="center"/>
    </xf>
    <xf numFmtId="58" fontId="2" fillId="6" borderId="4" xfId="0" applyNumberFormat="1" applyFont="1" applyFill="1" applyBorder="1" applyAlignment="1">
      <alignment vertical="center"/>
    </xf>
    <xf numFmtId="0" fontId="63" fillId="3" borderId="4" xfId="0" applyFont="1" applyFill="1" applyBorder="1" applyAlignment="1">
      <alignment vertical="center"/>
    </xf>
    <xf numFmtId="178" fontId="12" fillId="8" borderId="4" xfId="0" applyNumberFormat="1" applyFont="1" applyFill="1" applyBorder="1" applyAlignment="1">
      <alignment horizontal="center" vertical="center"/>
    </xf>
    <xf numFmtId="58" fontId="12" fillId="8" borderId="4" xfId="0" applyNumberFormat="1" applyFont="1" applyFill="1" applyBorder="1" applyAlignment="1">
      <alignment horizontal="center" vertical="center"/>
    </xf>
    <xf numFmtId="0" fontId="64" fillId="8" borderId="4" xfId="0" applyFont="1" applyFill="1" applyBorder="1" applyAlignment="1">
      <alignment vertical="center"/>
    </xf>
    <xf numFmtId="0" fontId="23" fillId="8" borderId="4" xfId="0" applyFont="1" applyFill="1" applyBorder="1" applyAlignment="1">
      <alignment vertical="center"/>
    </xf>
    <xf numFmtId="0" fontId="40" fillId="15" borderId="4" xfId="0" applyFont="1" applyFill="1" applyBorder="1" applyAlignment="1">
      <alignment horizontal="center" vertical="center"/>
    </xf>
    <xf numFmtId="3" fontId="12" fillId="15" borderId="4" xfId="0" applyNumberFormat="1" applyFont="1" applyFill="1" applyBorder="1" applyAlignment="1">
      <alignment horizontal="right" vertical="center"/>
    </xf>
    <xf numFmtId="0" fontId="12" fillId="15" borderId="4" xfId="0" applyFont="1" applyFill="1" applyBorder="1" applyAlignment="1">
      <alignment horizontal="center" vertical="center"/>
    </xf>
    <xf numFmtId="0" fontId="2" fillId="15" borderId="0" xfId="0" applyFont="1" applyFill="1" applyAlignment="1">
      <alignment vertical="center"/>
    </xf>
    <xf numFmtId="0" fontId="12" fillId="15" borderId="6" xfId="0" applyFont="1" applyFill="1" applyBorder="1" applyAlignment="1">
      <alignment vertical="center"/>
    </xf>
    <xf numFmtId="0" fontId="12" fillId="15" borderId="6" xfId="0" applyFont="1" applyFill="1" applyBorder="1" applyAlignment="1">
      <alignment horizontal="center" vertical="center"/>
    </xf>
    <xf numFmtId="3" fontId="12" fillId="15" borderId="4" xfId="0" applyNumberFormat="1" applyFont="1" applyFill="1" applyBorder="1" applyAlignment="1">
      <alignment horizontal="center" vertical="center"/>
    </xf>
    <xf numFmtId="178" fontId="23" fillId="15" borderId="6" xfId="0" applyNumberFormat="1" applyFont="1" applyFill="1" applyBorder="1" applyAlignment="1">
      <alignment horizontal="center" vertical="center"/>
    </xf>
    <xf numFmtId="3" fontId="23" fillId="15" borderId="6" xfId="0" applyNumberFormat="1" applyFont="1" applyFill="1" applyBorder="1" applyAlignment="1">
      <alignment horizontal="center" vertical="center"/>
    </xf>
    <xf numFmtId="178" fontId="12" fillId="15" borderId="6" xfId="0" applyNumberFormat="1" applyFont="1" applyFill="1" applyBorder="1" applyAlignment="1">
      <alignment horizontal="center" vertical="center"/>
    </xf>
    <xf numFmtId="3" fontId="12" fillId="15" borderId="6" xfId="0" applyNumberFormat="1" applyFont="1" applyFill="1" applyBorder="1" applyAlignment="1">
      <alignment horizontal="right" vertical="center"/>
    </xf>
    <xf numFmtId="3" fontId="12" fillId="0" borderId="6" xfId="0" applyNumberFormat="1" applyFont="1" applyBorder="1" applyAlignment="1">
      <alignment horizontal="right" vertical="center"/>
    </xf>
    <xf numFmtId="0" fontId="65" fillId="8" borderId="4" xfId="0" applyFont="1" applyFill="1" applyBorder="1" applyAlignment="1">
      <alignment horizontal="center" vertical="center"/>
    </xf>
    <xf numFmtId="178" fontId="40" fillId="15" borderId="6" xfId="0" applyNumberFormat="1" applyFont="1" applyFill="1" applyBorder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3" fillId="15" borderId="6" xfId="0" applyFont="1" applyFill="1" applyBorder="1" applyAlignment="1">
      <alignment horizontal="center" vertical="center"/>
    </xf>
    <xf numFmtId="178" fontId="2" fillId="8" borderId="4" xfId="0" applyNumberFormat="1" applyFont="1" applyFill="1" applyBorder="1" applyAlignment="1">
      <alignment vertical="center"/>
    </xf>
    <xf numFmtId="0" fontId="2" fillId="8" borderId="4" xfId="0" applyFont="1" applyFill="1" applyBorder="1" applyAlignment="1">
      <alignment horizontal="center" vertical="center"/>
    </xf>
    <xf numFmtId="58" fontId="10" fillId="8" borderId="4" xfId="0" applyNumberFormat="1" applyFont="1" applyFill="1" applyBorder="1" applyAlignment="1">
      <alignment horizontal="center" vertical="center"/>
    </xf>
    <xf numFmtId="0" fontId="66" fillId="8" borderId="4" xfId="0" applyFont="1" applyFill="1" applyBorder="1" applyAlignment="1">
      <alignment vertical="center"/>
    </xf>
    <xf numFmtId="3" fontId="2" fillId="8" borderId="4" xfId="0" applyNumberFormat="1" applyFont="1" applyFill="1" applyBorder="1" applyAlignment="1">
      <alignment horizontal="right" vertical="center"/>
    </xf>
    <xf numFmtId="0" fontId="67" fillId="8" borderId="4" xfId="0" applyFont="1" applyFill="1" applyBorder="1" applyAlignment="1">
      <alignment vertical="center"/>
    </xf>
    <xf numFmtId="0" fontId="12" fillId="8" borderId="6" xfId="0" applyFont="1" applyFill="1" applyBorder="1" applyAlignment="1">
      <alignment vertical="center"/>
    </xf>
    <xf numFmtId="0" fontId="12" fillId="8" borderId="6" xfId="0" applyFont="1" applyFill="1" applyBorder="1" applyAlignment="1">
      <alignment horizontal="center" vertical="center"/>
    </xf>
    <xf numFmtId="178" fontId="2" fillId="8" borderId="4" xfId="0" applyNumberFormat="1" applyFont="1" applyFill="1" applyBorder="1" applyAlignment="1">
      <alignment horizontal="center" vertical="center"/>
    </xf>
    <xf numFmtId="3" fontId="12" fillId="16" borderId="4" xfId="0" applyNumberFormat="1" applyFont="1" applyFill="1" applyBorder="1" applyAlignment="1">
      <alignment horizontal="right" vertical="center"/>
    </xf>
    <xf numFmtId="0" fontId="2" fillId="16" borderId="4" xfId="0" applyFont="1" applyFill="1" applyBorder="1" applyAlignment="1">
      <alignment horizontal="center" vertical="center"/>
    </xf>
    <xf numFmtId="0" fontId="12" fillId="8" borderId="4" xfId="0" applyFont="1" applyFill="1" applyBorder="1" applyAlignment="1">
      <alignment vertical="center"/>
    </xf>
    <xf numFmtId="0" fontId="48" fillId="8" borderId="4" xfId="0" applyFont="1" applyFill="1" applyBorder="1" applyAlignment="1">
      <alignment vertical="center"/>
    </xf>
    <xf numFmtId="0" fontId="58" fillId="8" borderId="4" xfId="0" applyFont="1" applyFill="1" applyBorder="1" applyAlignment="1">
      <alignment vertical="center"/>
    </xf>
    <xf numFmtId="0" fontId="24" fillId="8" borderId="4" xfId="0" applyFont="1" applyFill="1" applyBorder="1" applyAlignment="1">
      <alignment horizontal="center" vertical="center"/>
    </xf>
    <xf numFmtId="3" fontId="2" fillId="8" borderId="4" xfId="0" applyNumberFormat="1" applyFont="1" applyFill="1" applyBorder="1" applyAlignment="1">
      <alignment vertical="center"/>
    </xf>
    <xf numFmtId="0" fontId="2" fillId="8" borderId="6" xfId="0" applyFont="1" applyFill="1" applyBorder="1" applyAlignment="1">
      <alignment vertical="center"/>
    </xf>
    <xf numFmtId="0" fontId="2" fillId="8" borderId="6" xfId="0" applyFont="1" applyFill="1" applyBorder="1" applyAlignment="1">
      <alignment horizontal="center" vertical="center"/>
    </xf>
    <xf numFmtId="0" fontId="23" fillId="8" borderId="6" xfId="0" applyFont="1" applyFill="1" applyBorder="1" applyAlignment="1">
      <alignment vertical="center"/>
    </xf>
    <xf numFmtId="178" fontId="48" fillId="8" borderId="6" xfId="0" applyNumberFormat="1" applyFont="1" applyFill="1" applyBorder="1" applyAlignment="1">
      <alignment horizontal="center" vertical="center"/>
    </xf>
    <xf numFmtId="3" fontId="2" fillId="8" borderId="6" xfId="0" applyNumberFormat="1" applyFont="1" applyFill="1" applyBorder="1" applyAlignment="1">
      <alignment horizontal="right" vertical="center"/>
    </xf>
    <xf numFmtId="3" fontId="10" fillId="8" borderId="11" xfId="0" applyNumberFormat="1" applyFont="1" applyFill="1" applyBorder="1" applyAlignment="1">
      <alignment horizontal="right" vertical="center"/>
    </xf>
    <xf numFmtId="178" fontId="12" fillId="8" borderId="6" xfId="0" applyNumberFormat="1" applyFont="1" applyFill="1" applyBorder="1" applyAlignment="1">
      <alignment horizontal="center" vertical="center"/>
    </xf>
    <xf numFmtId="178" fontId="23" fillId="8" borderId="6" xfId="0" applyNumberFormat="1" applyFont="1" applyFill="1" applyBorder="1" applyAlignment="1">
      <alignment horizontal="center" vertical="center"/>
    </xf>
    <xf numFmtId="0" fontId="23" fillId="8" borderId="6" xfId="0" applyFont="1" applyFill="1" applyBorder="1" applyAlignment="1">
      <alignment horizontal="center" vertical="center"/>
    </xf>
    <xf numFmtId="3" fontId="12" fillId="8" borderId="6" xfId="0" applyNumberFormat="1" applyFont="1" applyFill="1" applyBorder="1" applyAlignment="1">
      <alignment horizontal="right" vertical="center"/>
    </xf>
    <xf numFmtId="0" fontId="61" fillId="8" borderId="4" xfId="0" applyFont="1" applyFill="1" applyBorder="1" applyAlignment="1">
      <alignment horizontal="center" vertical="center"/>
    </xf>
    <xf numFmtId="0" fontId="68" fillId="8" borderId="4" xfId="0" applyFont="1" applyFill="1" applyBorder="1" applyAlignment="1">
      <alignment vertical="center"/>
    </xf>
    <xf numFmtId="0" fontId="61" fillId="8" borderId="4" xfId="0" applyFont="1" applyFill="1" applyBorder="1" applyAlignment="1">
      <alignment vertical="center"/>
    </xf>
    <xf numFmtId="0" fontId="24" fillId="8" borderId="4" xfId="0" applyFont="1" applyFill="1" applyBorder="1" applyAlignment="1">
      <alignment vertical="center"/>
    </xf>
    <xf numFmtId="0" fontId="40" fillId="8" borderId="4" xfId="0" applyFont="1" applyFill="1" applyBorder="1" applyAlignment="1">
      <alignment horizontal="center" vertical="center"/>
    </xf>
    <xf numFmtId="3" fontId="40" fillId="8" borderId="4" xfId="0" applyNumberFormat="1" applyFont="1" applyFill="1" applyBorder="1" applyAlignment="1">
      <alignment vertical="center"/>
    </xf>
    <xf numFmtId="0" fontId="58" fillId="8" borderId="4" xfId="0" applyFont="1" applyFill="1" applyBorder="1" applyAlignment="1">
      <alignment horizontal="center" vertical="center"/>
    </xf>
    <xf numFmtId="3" fontId="12" fillId="8" borderId="4" xfId="0" applyNumberFormat="1" applyFont="1" applyFill="1" applyBorder="1" applyAlignment="1">
      <alignment horizontal="center" vertical="center"/>
    </xf>
    <xf numFmtId="3" fontId="23" fillId="8" borderId="4" xfId="0" applyNumberFormat="1" applyFont="1" applyFill="1" applyBorder="1" applyAlignment="1">
      <alignment horizontal="center" vertical="center"/>
    </xf>
    <xf numFmtId="58" fontId="24" fillId="8" borderId="4" xfId="0" applyNumberFormat="1" applyFont="1" applyFill="1" applyBorder="1" applyAlignment="1">
      <alignment horizontal="center" vertical="center"/>
    </xf>
    <xf numFmtId="0" fontId="37" fillId="8" borderId="4" xfId="0" applyFont="1" applyFill="1" applyBorder="1" applyAlignment="1">
      <alignment vertical="center"/>
    </xf>
    <xf numFmtId="0" fontId="48" fillId="6" borderId="4" xfId="0" applyFont="1" applyFill="1" applyBorder="1" applyAlignment="1">
      <alignment horizontal="center" vertical="center"/>
    </xf>
    <xf numFmtId="0" fontId="40" fillId="8" borderId="4" xfId="0" applyFont="1" applyFill="1" applyBorder="1" applyAlignment="1">
      <alignment vertical="center"/>
    </xf>
    <xf numFmtId="0" fontId="71" fillId="8" borderId="4" xfId="0" applyFont="1" applyFill="1" applyBorder="1" applyAlignment="1">
      <alignment vertical="center"/>
    </xf>
    <xf numFmtId="178" fontId="23" fillId="8" borderId="4" xfId="0" applyNumberFormat="1" applyFont="1" applyFill="1" applyBorder="1" applyAlignment="1">
      <alignment horizontal="center" vertical="center"/>
    </xf>
    <xf numFmtId="0" fontId="72" fillId="8" borderId="11" xfId="0" applyFont="1" applyFill="1" applyBorder="1" applyAlignment="1">
      <alignment vertical="center"/>
    </xf>
    <xf numFmtId="0" fontId="58" fillId="8" borderId="0" xfId="0" applyFont="1" applyFill="1" applyAlignment="1">
      <alignment vertical="center"/>
    </xf>
    <xf numFmtId="0" fontId="73" fillId="8" borderId="11" xfId="0" applyFont="1" applyFill="1" applyBorder="1" applyAlignment="1">
      <alignment horizontal="center" vertical="center"/>
    </xf>
    <xf numFmtId="178" fontId="40" fillId="8" borderId="4" xfId="0" applyNumberFormat="1" applyFont="1" applyFill="1" applyBorder="1" applyAlignment="1">
      <alignment horizontal="center" vertical="center"/>
    </xf>
    <xf numFmtId="58" fontId="37" fillId="8" borderId="4" xfId="0" applyNumberFormat="1" applyFont="1" applyFill="1" applyBorder="1" applyAlignment="1">
      <alignment horizontal="center" vertical="center"/>
    </xf>
    <xf numFmtId="58" fontId="2" fillId="8" borderId="4" xfId="0" applyNumberFormat="1" applyFont="1" applyFill="1" applyBorder="1" applyAlignment="1">
      <alignment vertical="center"/>
    </xf>
    <xf numFmtId="58" fontId="40" fillId="8" borderId="4" xfId="0" applyNumberFormat="1" applyFont="1" applyFill="1" applyBorder="1" applyAlignment="1">
      <alignment horizontal="center" vertical="center"/>
    </xf>
    <xf numFmtId="0" fontId="2" fillId="9" borderId="4" xfId="0" applyFont="1" applyFill="1" applyBorder="1" applyAlignment="1">
      <alignment horizontal="center" vertical="center"/>
    </xf>
    <xf numFmtId="0" fontId="67" fillId="8" borderId="4" xfId="0" applyFont="1" applyFill="1" applyBorder="1" applyAlignment="1">
      <alignment horizontal="center" vertical="center"/>
    </xf>
    <xf numFmtId="0" fontId="58" fillId="0" borderId="4" xfId="0" applyFont="1" applyBorder="1" applyAlignment="1">
      <alignment vertical="center"/>
    </xf>
    <xf numFmtId="0" fontId="12" fillId="17" borderId="4" xfId="0" applyFont="1" applyFill="1" applyBorder="1" applyAlignment="1">
      <alignment horizontal="center" vertical="center"/>
    </xf>
    <xf numFmtId="0" fontId="2" fillId="17" borderId="4" xfId="0" applyFont="1" applyFill="1" applyBorder="1" applyAlignment="1">
      <alignment horizontal="center" vertical="center"/>
    </xf>
    <xf numFmtId="0" fontId="74" fillId="17" borderId="4" xfId="0" applyFont="1" applyFill="1" applyBorder="1" applyAlignment="1">
      <alignment vertical="center"/>
    </xf>
    <xf numFmtId="0" fontId="2" fillId="17" borderId="4" xfId="0" applyFont="1" applyFill="1" applyBorder="1" applyAlignment="1">
      <alignment vertical="center"/>
    </xf>
    <xf numFmtId="0" fontId="2" fillId="3" borderId="4" xfId="0" applyFont="1" applyFill="1" applyBorder="1" applyAlignment="1">
      <alignment horizontal="center" vertical="center"/>
    </xf>
    <xf numFmtId="0" fontId="75" fillId="3" borderId="4" xfId="0" applyFont="1" applyFill="1" applyBorder="1" applyAlignment="1">
      <alignment vertical="center"/>
    </xf>
    <xf numFmtId="0" fontId="76" fillId="0" borderId="0" xfId="0" applyFont="1" applyAlignment="1">
      <alignment vertical="center"/>
    </xf>
    <xf numFmtId="0" fontId="77" fillId="0" borderId="0" xfId="0" applyFont="1" applyAlignment="1">
      <alignment horizontal="left" vertical="center"/>
    </xf>
    <xf numFmtId="0" fontId="78" fillId="0" borderId="0" xfId="0" applyFont="1" applyAlignment="1">
      <alignment vertical="center"/>
    </xf>
    <xf numFmtId="0" fontId="79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8" fillId="0" borderId="0" xfId="0" applyFont="1" applyAlignment="1">
      <alignment horizontal="center" vertical="center"/>
    </xf>
    <xf numFmtId="0" fontId="80" fillId="0" borderId="12" xfId="0" applyFont="1" applyBorder="1" applyAlignment="1">
      <alignment horizontal="center" vertical="center"/>
    </xf>
    <xf numFmtId="0" fontId="24" fillId="18" borderId="0" xfId="0" applyFont="1" applyFill="1" applyAlignment="1">
      <alignment horizontal="center" vertical="center"/>
    </xf>
    <xf numFmtId="0" fontId="81" fillId="18" borderId="0" xfId="0" applyFont="1" applyFill="1" applyAlignment="1">
      <alignment horizontal="center" vertical="center"/>
    </xf>
    <xf numFmtId="0" fontId="24" fillId="18" borderId="0" xfId="0" applyFont="1" applyFill="1" applyAlignment="1">
      <alignment horizontal="right" vertical="center"/>
    </xf>
    <xf numFmtId="0" fontId="24" fillId="19" borderId="0" xfId="0" applyFont="1" applyFill="1" applyAlignment="1">
      <alignment horizontal="center" vertical="center"/>
    </xf>
    <xf numFmtId="0" fontId="32" fillId="19" borderId="0" xfId="0" applyFont="1" applyFill="1" applyAlignment="1">
      <alignment horizontal="center" vertical="center"/>
    </xf>
    <xf numFmtId="3" fontId="24" fillId="19" borderId="0" xfId="0" applyNumberFormat="1" applyFont="1" applyFill="1" applyAlignment="1">
      <alignment horizontal="center" vertical="center"/>
    </xf>
    <xf numFmtId="0" fontId="12" fillId="8" borderId="0" xfId="0" applyFont="1" applyFill="1" applyAlignment="1">
      <alignment horizontal="center" vertical="center"/>
    </xf>
    <xf numFmtId="0" fontId="82" fillId="8" borderId="0" xfId="0" applyFont="1" applyFill="1" applyAlignment="1">
      <alignment horizontal="center" vertical="center"/>
    </xf>
    <xf numFmtId="0" fontId="73" fillId="8" borderId="0" xfId="0" applyFont="1" applyFill="1" applyAlignment="1">
      <alignment horizontal="center" vertical="center"/>
    </xf>
    <xf numFmtId="3" fontId="12" fillId="8" borderId="0" xfId="0" applyNumberFormat="1" applyFont="1" applyFill="1" applyAlignment="1">
      <alignment horizontal="right" vertical="center"/>
    </xf>
    <xf numFmtId="0" fontId="23" fillId="8" borderId="0" xfId="0" applyFont="1" applyFill="1" applyAlignment="1">
      <alignment horizontal="center" vertical="center"/>
    </xf>
    <xf numFmtId="177" fontId="1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vertical="center"/>
    </xf>
    <xf numFmtId="0" fontId="12" fillId="8" borderId="0" xfId="0" applyFont="1" applyFill="1" applyAlignment="1">
      <alignment horizontal="right" vertical="center"/>
    </xf>
    <xf numFmtId="3" fontId="2" fillId="8" borderId="0" xfId="0" applyNumberFormat="1" applyFont="1" applyFill="1" applyAlignment="1">
      <alignment vertical="center"/>
    </xf>
    <xf numFmtId="0" fontId="12" fillId="8" borderId="0" xfId="0" applyFont="1" applyFill="1" applyAlignment="1">
      <alignment vertical="center"/>
    </xf>
    <xf numFmtId="0" fontId="24" fillId="3" borderId="0" xfId="0" applyFont="1" applyFill="1" applyAlignment="1">
      <alignment horizontal="center" vertical="center"/>
    </xf>
    <xf numFmtId="0" fontId="81" fillId="3" borderId="0" xfId="0" applyFont="1" applyFill="1" applyAlignment="1">
      <alignment horizontal="center" vertical="center"/>
    </xf>
    <xf numFmtId="3" fontId="2" fillId="3" borderId="0" xfId="0" applyNumberFormat="1" applyFont="1" applyFill="1" applyAlignment="1">
      <alignment vertical="center"/>
    </xf>
    <xf numFmtId="0" fontId="32" fillId="3" borderId="0" xfId="0" applyFont="1" applyFill="1" applyAlignment="1">
      <alignment horizontal="center" vertical="center"/>
    </xf>
    <xf numFmtId="177" fontId="2" fillId="3" borderId="0" xfId="0" applyNumberFormat="1" applyFont="1" applyFill="1" applyAlignment="1">
      <alignment vertical="center"/>
    </xf>
    <xf numFmtId="0" fontId="32" fillId="8" borderId="0" xfId="0" applyFont="1" applyFill="1" applyAlignment="1">
      <alignment horizontal="center" vertical="center"/>
    </xf>
    <xf numFmtId="177" fontId="24" fillId="8" borderId="0" xfId="0" applyNumberFormat="1" applyFont="1" applyFill="1" applyAlignment="1">
      <alignment horizontal="center" vertical="center"/>
    </xf>
    <xf numFmtId="3" fontId="24" fillId="8" borderId="0" xfId="0" applyNumberFormat="1" applyFont="1" applyFill="1" applyAlignment="1">
      <alignment horizontal="right" vertical="center"/>
    </xf>
    <xf numFmtId="0" fontId="24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/>
    </xf>
    <xf numFmtId="177" fontId="2" fillId="0" borderId="0" xfId="0" applyNumberFormat="1" applyFont="1" applyAlignment="1">
      <alignment vertical="center"/>
    </xf>
    <xf numFmtId="3" fontId="12" fillId="8" borderId="0" xfId="0" applyNumberFormat="1" applyFont="1" applyFill="1" applyAlignment="1">
      <alignment vertical="center"/>
    </xf>
    <xf numFmtId="0" fontId="23" fillId="3" borderId="0" xfId="0" applyFont="1" applyFill="1" applyAlignment="1">
      <alignment horizontal="center" vertical="center"/>
    </xf>
    <xf numFmtId="3" fontId="12" fillId="3" borderId="0" xfId="0" applyNumberFormat="1" applyFont="1" applyFill="1" applyAlignment="1">
      <alignment vertical="center"/>
    </xf>
    <xf numFmtId="0" fontId="12" fillId="12" borderId="0" xfId="0" applyFont="1" applyFill="1" applyAlignment="1">
      <alignment horizontal="center" vertical="center"/>
    </xf>
    <xf numFmtId="0" fontId="24" fillId="12" borderId="0" xfId="0" applyFont="1" applyFill="1" applyAlignment="1">
      <alignment horizontal="center" vertical="center"/>
    </xf>
    <xf numFmtId="0" fontId="81" fillId="12" borderId="0" xfId="0" applyFont="1" applyFill="1" applyAlignment="1">
      <alignment horizontal="center" vertical="center"/>
    </xf>
    <xf numFmtId="0" fontId="2" fillId="12" borderId="0" xfId="0" applyFont="1" applyFill="1" applyAlignment="1">
      <alignment vertical="center"/>
    </xf>
    <xf numFmtId="0" fontId="32" fillId="12" borderId="0" xfId="0" applyFont="1" applyFill="1" applyAlignment="1">
      <alignment horizontal="center" vertical="center"/>
    </xf>
    <xf numFmtId="3" fontId="2" fillId="12" borderId="0" xfId="0" applyNumberFormat="1" applyFont="1" applyFill="1" applyAlignment="1">
      <alignment vertical="center"/>
    </xf>
    <xf numFmtId="3" fontId="12" fillId="0" borderId="0" xfId="0" applyNumberFormat="1" applyFont="1" applyAlignment="1">
      <alignment vertical="center"/>
    </xf>
    <xf numFmtId="0" fontId="4" fillId="0" borderId="0" xfId="0" applyFont="1"/>
    <xf numFmtId="0" fontId="83" fillId="0" borderId="0" xfId="0" applyFont="1" applyAlignment="1">
      <alignment horizontal="center"/>
    </xf>
    <xf numFmtId="0" fontId="84" fillId="3" borderId="0" xfId="0" applyFont="1" applyFill="1"/>
    <xf numFmtId="0" fontId="85" fillId="0" borderId="0" xfId="0" applyFont="1" applyAlignment="1">
      <alignment horizontal="center"/>
    </xf>
    <xf numFmtId="0" fontId="44" fillId="0" borderId="0" xfId="0" applyFont="1" applyAlignment="1">
      <alignment horizontal="center" vertical="center"/>
    </xf>
    <xf numFmtId="0" fontId="85" fillId="3" borderId="4" xfId="0" applyFont="1" applyFill="1" applyBorder="1" applyAlignment="1">
      <alignment vertical="center"/>
    </xf>
    <xf numFmtId="0" fontId="85" fillId="3" borderId="4" xfId="0" applyFont="1" applyFill="1" applyBorder="1" applyAlignment="1">
      <alignment horizontal="center" vertical="center"/>
    </xf>
    <xf numFmtId="0" fontId="85" fillId="3" borderId="4" xfId="0" applyFont="1" applyFill="1" applyBorder="1" applyAlignment="1">
      <alignment horizontal="center"/>
    </xf>
    <xf numFmtId="58" fontId="86" fillId="3" borderId="4" xfId="0" applyNumberFormat="1" applyFont="1" applyFill="1" applyBorder="1" applyAlignment="1">
      <alignment horizontal="center" vertical="center"/>
    </xf>
    <xf numFmtId="0" fontId="15" fillId="3" borderId="4" xfId="0" applyFont="1" applyFill="1" applyBorder="1" applyAlignment="1">
      <alignment vertical="center"/>
    </xf>
    <xf numFmtId="3" fontId="85" fillId="3" borderId="4" xfId="0" applyNumberFormat="1" applyFont="1" applyFill="1" applyBorder="1" applyAlignment="1">
      <alignment horizontal="right" vertical="center"/>
    </xf>
    <xf numFmtId="0" fontId="86" fillId="3" borderId="4" xfId="0" applyFont="1" applyFill="1" applyBorder="1" applyAlignment="1">
      <alignment horizontal="center" vertical="center"/>
    </xf>
    <xf numFmtId="3" fontId="85" fillId="3" borderId="4" xfId="0" applyNumberFormat="1" applyFont="1" applyFill="1" applyBorder="1" applyAlignment="1">
      <alignment horizontal="right"/>
    </xf>
    <xf numFmtId="0" fontId="85" fillId="3" borderId="4" xfId="0" applyFont="1" applyFill="1" applyBorder="1" applyAlignment="1">
      <alignment horizontal="left"/>
    </xf>
    <xf numFmtId="0" fontId="85" fillId="3" borderId="4" xfId="0" applyFont="1" applyFill="1" applyBorder="1"/>
    <xf numFmtId="0" fontId="87" fillId="3" borderId="4" xfId="0" applyFont="1" applyFill="1" applyBorder="1" applyAlignment="1">
      <alignment vertical="center"/>
    </xf>
    <xf numFmtId="3" fontId="87" fillId="3" borderId="4" xfId="0" applyNumberFormat="1" applyFont="1" applyFill="1" applyBorder="1" applyAlignment="1">
      <alignment horizontal="right" vertical="center"/>
    </xf>
    <xf numFmtId="0" fontId="88" fillId="3" borderId="4" xfId="0" applyFont="1" applyFill="1" applyBorder="1" applyAlignment="1">
      <alignment horizontal="center" vertical="center"/>
    </xf>
    <xf numFmtId="0" fontId="86" fillId="3" borderId="4" xfId="0" applyFont="1" applyFill="1" applyBorder="1" applyAlignment="1">
      <alignment vertical="center"/>
    </xf>
    <xf numFmtId="3" fontId="85" fillId="3" borderId="4" xfId="0" applyNumberFormat="1" applyFont="1" applyFill="1" applyBorder="1" applyAlignment="1">
      <alignment horizontal="center"/>
    </xf>
    <xf numFmtId="3" fontId="12" fillId="3" borderId="4" xfId="0" applyNumberFormat="1" applyFont="1" applyFill="1" applyBorder="1" applyAlignment="1">
      <alignment horizontal="center" vertical="center"/>
    </xf>
    <xf numFmtId="0" fontId="73" fillId="3" borderId="4" xfId="0" applyFont="1" applyFill="1" applyBorder="1" applyAlignment="1">
      <alignment horizontal="center" vertical="center"/>
    </xf>
    <xf numFmtId="1" fontId="12" fillId="3" borderId="4" xfId="0" applyNumberFormat="1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77" fontId="12" fillId="3" borderId="0" xfId="0" applyNumberFormat="1" applyFont="1" applyFill="1" applyAlignment="1">
      <alignment horizontal="center" vertical="center"/>
    </xf>
    <xf numFmtId="3" fontId="12" fillId="3" borderId="0" xfId="0" applyNumberFormat="1" applyFont="1" applyFill="1" applyAlignment="1">
      <alignment horizontal="right" vertical="center"/>
    </xf>
    <xf numFmtId="0" fontId="89" fillId="3" borderId="0" xfId="0" applyFont="1" applyFill="1" applyAlignment="1">
      <alignment horizontal="center" vertical="center"/>
    </xf>
    <xf numFmtId="0" fontId="73" fillId="3" borderId="0" xfId="0" applyFont="1" applyFill="1" applyAlignment="1">
      <alignment horizontal="center" vertical="center"/>
    </xf>
    <xf numFmtId="0" fontId="30" fillId="3" borderId="0" xfId="0" applyFont="1" applyFill="1" applyAlignment="1">
      <alignment vertical="center"/>
    </xf>
    <xf numFmtId="0" fontId="90" fillId="3" borderId="4" xfId="0" applyFont="1" applyFill="1" applyBorder="1" applyAlignment="1">
      <alignment vertical="center"/>
    </xf>
    <xf numFmtId="0" fontId="85" fillId="3" borderId="0" xfId="0" applyFont="1" applyFill="1" applyAlignment="1">
      <alignment horizontal="center" vertical="center"/>
    </xf>
    <xf numFmtId="3" fontId="2" fillId="3" borderId="0" xfId="0" applyNumberFormat="1" applyFont="1" applyFill="1" applyAlignment="1">
      <alignment horizontal="center" vertical="center"/>
    </xf>
    <xf numFmtId="0" fontId="91" fillId="3" borderId="0" xfId="0" applyFont="1" applyFill="1" applyAlignment="1">
      <alignment horizontal="center" vertical="center"/>
    </xf>
    <xf numFmtId="0" fontId="92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4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36" fillId="11" borderId="4" xfId="0" applyFont="1" applyFill="1" applyBorder="1" applyAlignment="1">
      <alignment horizontal="center" vertical="center"/>
    </xf>
    <xf numFmtId="0" fontId="94" fillId="11" borderId="4" xfId="0" applyFont="1" applyFill="1" applyBorder="1" applyAlignment="1">
      <alignment horizontal="center" vertical="center"/>
    </xf>
    <xf numFmtId="0" fontId="36" fillId="11" borderId="4" xfId="0" applyFont="1" applyFill="1" applyBorder="1" applyAlignment="1">
      <alignment horizontal="left" vertical="center"/>
    </xf>
    <xf numFmtId="177" fontId="94" fillId="11" borderId="4" xfId="0" applyNumberFormat="1" applyFont="1" applyFill="1" applyBorder="1" applyAlignment="1">
      <alignment horizontal="center" vertical="center"/>
    </xf>
    <xf numFmtId="0" fontId="94" fillId="0" borderId="4" xfId="0" applyFont="1" applyBorder="1" applyAlignment="1">
      <alignment horizontal="center" vertical="center"/>
    </xf>
    <xf numFmtId="0" fontId="95" fillId="3" borderId="4" xfId="0" applyFont="1" applyFill="1" applyBorder="1" applyAlignment="1">
      <alignment horizontal="right" vertical="center"/>
    </xf>
    <xf numFmtId="0" fontId="4" fillId="8" borderId="4" xfId="0" applyFont="1" applyFill="1" applyBorder="1" applyAlignment="1">
      <alignment horizontal="center" vertical="center"/>
    </xf>
    <xf numFmtId="0" fontId="12" fillId="8" borderId="4" xfId="0" applyFont="1" applyFill="1" applyBorder="1" applyAlignment="1">
      <alignment horizontal="left" vertical="center"/>
    </xf>
    <xf numFmtId="177" fontId="4" fillId="8" borderId="4" xfId="0" applyNumberFormat="1" applyFont="1" applyFill="1" applyBorder="1" applyAlignment="1">
      <alignment horizontal="center" vertical="center"/>
    </xf>
    <xf numFmtId="3" fontId="14" fillId="8" borderId="4" xfId="0" applyNumberFormat="1" applyFont="1" applyFill="1" applyBorder="1" applyAlignment="1">
      <alignment horizontal="right" vertical="center"/>
    </xf>
    <xf numFmtId="3" fontId="4" fillId="8" borderId="4" xfId="0" applyNumberFormat="1" applyFont="1" applyFill="1" applyBorder="1" applyAlignment="1">
      <alignment horizontal="right" vertical="center"/>
    </xf>
    <xf numFmtId="3" fontId="13" fillId="3" borderId="4" xfId="0" applyNumberFormat="1" applyFont="1" applyFill="1" applyBorder="1" applyAlignment="1">
      <alignment horizontal="right" vertical="center"/>
    </xf>
    <xf numFmtId="0" fontId="4" fillId="3" borderId="0" xfId="0" applyFont="1" applyFill="1" applyAlignment="1">
      <alignment vertical="center"/>
    </xf>
    <xf numFmtId="0" fontId="17" fillId="3" borderId="0" xfId="0" applyFont="1" applyFill="1" applyAlignment="1">
      <alignment horizontal="center" vertical="center"/>
    </xf>
    <xf numFmtId="3" fontId="18" fillId="3" borderId="4" xfId="0" applyNumberFormat="1" applyFont="1" applyFill="1" applyBorder="1" applyAlignment="1">
      <alignment horizontal="right" vertical="center"/>
    </xf>
    <xf numFmtId="0" fontId="4" fillId="3" borderId="4" xfId="0" applyFont="1" applyFill="1" applyBorder="1" applyAlignment="1">
      <alignment horizontal="left" vertical="center"/>
    </xf>
    <xf numFmtId="3" fontId="97" fillId="3" borderId="4" xfId="0" applyNumberFormat="1" applyFont="1" applyFill="1" applyBorder="1" applyAlignment="1">
      <alignment horizontal="right" vertical="center"/>
    </xf>
    <xf numFmtId="0" fontId="21" fillId="3" borderId="0" xfId="0" applyFont="1" applyFill="1" applyAlignment="1">
      <alignment horizontal="center" vertical="center"/>
    </xf>
    <xf numFmtId="3" fontId="26" fillId="3" borderId="4" xfId="0" applyNumberFormat="1" applyFont="1" applyFill="1" applyBorder="1" applyAlignment="1">
      <alignment horizontal="right" vertical="center"/>
    </xf>
    <xf numFmtId="0" fontId="26" fillId="3" borderId="4" xfId="0" applyFont="1" applyFill="1" applyBorder="1" applyAlignment="1">
      <alignment horizontal="center" vertical="center"/>
    </xf>
    <xf numFmtId="0" fontId="4" fillId="8" borderId="4" xfId="0" applyFont="1" applyFill="1" applyBorder="1" applyAlignment="1">
      <alignment horizontal="left" vertical="center"/>
    </xf>
    <xf numFmtId="0" fontId="11" fillId="3" borderId="4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left" vertical="center"/>
    </xf>
    <xf numFmtId="0" fontId="4" fillId="3" borderId="5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4" fillId="3" borderId="3" xfId="0" applyFont="1" applyFill="1" applyBorder="1" applyAlignment="1">
      <alignment vertical="center"/>
    </xf>
    <xf numFmtId="0" fontId="95" fillId="3" borderId="4" xfId="0" applyFont="1" applyFill="1" applyBorder="1" applyAlignment="1">
      <alignment horizontal="center" vertical="center"/>
    </xf>
    <xf numFmtId="3" fontId="95" fillId="3" borderId="4" xfId="0" applyNumberFormat="1" applyFont="1" applyFill="1" applyBorder="1" applyAlignment="1">
      <alignment horizontal="right" vertical="center"/>
    </xf>
    <xf numFmtId="0" fontId="13" fillId="3" borderId="4" xfId="0" applyFont="1" applyFill="1" applyBorder="1" applyAlignment="1">
      <alignment horizontal="left" vertical="center"/>
    </xf>
    <xf numFmtId="0" fontId="102" fillId="3" borderId="0" xfId="0" applyFont="1" applyFill="1" applyAlignment="1">
      <alignment horizontal="left"/>
    </xf>
    <xf numFmtId="0" fontId="103" fillId="3" borderId="4" xfId="0" applyFont="1" applyFill="1" applyBorder="1" applyAlignment="1">
      <alignment horizontal="center" vertical="center"/>
    </xf>
    <xf numFmtId="3" fontId="3" fillId="3" borderId="4" xfId="0" applyNumberFormat="1" applyFont="1" applyFill="1" applyBorder="1" applyAlignment="1">
      <alignment horizontal="right" vertical="center"/>
    </xf>
    <xf numFmtId="0" fontId="104" fillId="0" borderId="0" xfId="0" applyFont="1" applyAlignment="1">
      <alignment vertical="center"/>
    </xf>
    <xf numFmtId="3" fontId="4" fillId="0" borderId="0" xfId="0" applyNumberFormat="1" applyFont="1" applyAlignment="1">
      <alignment horizontal="center" vertical="center"/>
    </xf>
    <xf numFmtId="3" fontId="24" fillId="4" borderId="4" xfId="0" applyNumberFormat="1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vertical="center"/>
    </xf>
    <xf numFmtId="0" fontId="12" fillId="8" borderId="4" xfId="0" applyFont="1" applyFill="1" applyBorder="1"/>
    <xf numFmtId="0" fontId="7" fillId="3" borderId="4" xfId="0" applyFont="1" applyFill="1" applyBorder="1" applyAlignment="1">
      <alignment horizontal="center" vertical="center"/>
    </xf>
    <xf numFmtId="0" fontId="40" fillId="3" borderId="4" xfId="0" applyFont="1" applyFill="1" applyBorder="1" applyAlignment="1">
      <alignment horizontal="center" vertical="center"/>
    </xf>
    <xf numFmtId="0" fontId="105" fillId="3" borderId="4" xfId="0" applyFont="1" applyFill="1" applyBorder="1" applyAlignment="1">
      <alignment horizontal="center" vertical="center"/>
    </xf>
    <xf numFmtId="0" fontId="106" fillId="3" borderId="12" xfId="0" applyFont="1" applyFill="1" applyBorder="1" applyAlignment="1">
      <alignment horizontal="center" vertical="center"/>
    </xf>
    <xf numFmtId="0" fontId="106" fillId="3" borderId="1" xfId="0" applyFont="1" applyFill="1" applyBorder="1" applyAlignment="1">
      <alignment horizontal="center" vertical="center"/>
    </xf>
    <xf numFmtId="0" fontId="96" fillId="3" borderId="4" xfId="0" applyFont="1" applyFill="1" applyBorder="1" applyAlignment="1">
      <alignment horizontal="center" vertical="center"/>
    </xf>
    <xf numFmtId="0" fontId="12" fillId="3" borderId="1" xfId="0" applyFont="1" applyFill="1" applyBorder="1" applyAlignment="1">
      <alignment horizontal="center" vertical="center"/>
    </xf>
    <xf numFmtId="0" fontId="12" fillId="3" borderId="1" xfId="0" applyFont="1" applyFill="1" applyBorder="1" applyAlignment="1">
      <alignment horizontal="left" vertical="center"/>
    </xf>
    <xf numFmtId="0" fontId="12" fillId="3" borderId="3" xfId="0" applyFont="1" applyFill="1" applyBorder="1" applyAlignment="1">
      <alignment horizontal="left" vertical="center"/>
    </xf>
    <xf numFmtId="0" fontId="12" fillId="3" borderId="2" xfId="0" applyFont="1" applyFill="1" applyBorder="1" applyAlignment="1">
      <alignment horizontal="left" vertical="center"/>
    </xf>
    <xf numFmtId="0" fontId="11" fillId="3" borderId="14" xfId="0" applyFont="1" applyFill="1" applyBorder="1" applyAlignment="1">
      <alignment vertical="center"/>
    </xf>
    <xf numFmtId="0" fontId="107" fillId="3" borderId="4" xfId="0" applyFont="1" applyFill="1" applyBorder="1" applyAlignment="1">
      <alignment horizontal="center" vertical="center"/>
    </xf>
    <xf numFmtId="0" fontId="107" fillId="3" borderId="1" xfId="0" applyFont="1" applyFill="1" applyBorder="1" applyAlignment="1">
      <alignment horizontal="center" vertical="center"/>
    </xf>
    <xf numFmtId="0" fontId="107" fillId="3" borderId="1" xfId="0" applyFont="1" applyFill="1" applyBorder="1" applyAlignment="1">
      <alignment horizontal="left" vertical="center"/>
    </xf>
    <xf numFmtId="0" fontId="107" fillId="3" borderId="4" xfId="0" applyFont="1" applyFill="1" applyBorder="1" applyAlignment="1">
      <alignment vertical="center"/>
    </xf>
    <xf numFmtId="177" fontId="95" fillId="3" borderId="4" xfId="0" applyNumberFormat="1" applyFont="1" applyFill="1" applyBorder="1" applyAlignment="1">
      <alignment horizontal="center" vertical="center"/>
    </xf>
    <xf numFmtId="0" fontId="95" fillId="3" borderId="4" xfId="0" applyFont="1" applyFill="1" applyBorder="1" applyAlignment="1">
      <alignment vertical="center"/>
    </xf>
    <xf numFmtId="0" fontId="11" fillId="3" borderId="0" xfId="0" applyFont="1" applyFill="1" applyAlignment="1">
      <alignment vertical="center"/>
    </xf>
    <xf numFmtId="0" fontId="4" fillId="0" borderId="14" xfId="0" applyFont="1" applyBorder="1" applyAlignment="1">
      <alignment vertical="center"/>
    </xf>
    <xf numFmtId="3" fontId="12" fillId="3" borderId="4" xfId="0" applyNumberFormat="1" applyFont="1" applyFill="1" applyBorder="1" applyAlignment="1">
      <alignment vertical="center"/>
    </xf>
    <xf numFmtId="0" fontId="12" fillId="18" borderId="4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3" fontId="25" fillId="3" borderId="4" xfId="0" applyNumberFormat="1" applyFont="1" applyFill="1" applyBorder="1" applyAlignment="1">
      <alignment horizontal="right" vertical="center"/>
    </xf>
    <xf numFmtId="0" fontId="40" fillId="3" borderId="5" xfId="0" applyFont="1" applyFill="1" applyBorder="1" applyAlignment="1">
      <alignment horizontal="center" vertical="center"/>
    </xf>
    <xf numFmtId="0" fontId="108" fillId="3" borderId="4" xfId="0" applyFont="1" applyFill="1" applyBorder="1" applyAlignment="1">
      <alignment horizontal="center" vertical="center"/>
    </xf>
    <xf numFmtId="0" fontId="36" fillId="3" borderId="3" xfId="0" applyFont="1" applyFill="1" applyBorder="1" applyAlignment="1">
      <alignment horizontal="center" vertical="center"/>
    </xf>
    <xf numFmtId="0" fontId="36" fillId="3" borderId="4" xfId="0" applyFont="1" applyFill="1" applyBorder="1" applyAlignment="1">
      <alignment horizontal="center" vertical="center"/>
    </xf>
    <xf numFmtId="0" fontId="41" fillId="3" borderId="4" xfId="0" applyFont="1" applyFill="1" applyBorder="1" applyAlignment="1">
      <alignment horizontal="center" vertical="center"/>
    </xf>
    <xf numFmtId="177" fontId="94" fillId="3" borderId="4" xfId="0" applyNumberFormat="1" applyFont="1" applyFill="1" applyBorder="1" applyAlignment="1">
      <alignment horizontal="center" vertical="center"/>
    </xf>
    <xf numFmtId="177" fontId="109" fillId="3" borderId="4" xfId="0" applyNumberFormat="1" applyFont="1" applyFill="1" applyBorder="1" applyAlignment="1">
      <alignment horizontal="center" vertical="center"/>
    </xf>
    <xf numFmtId="0" fontId="94" fillId="3" borderId="4" xfId="0" applyFont="1" applyFill="1" applyBorder="1" applyAlignment="1">
      <alignment horizontal="center" vertical="center"/>
    </xf>
    <xf numFmtId="3" fontId="41" fillId="3" borderId="4" xfId="0" applyNumberFormat="1" applyFont="1" applyFill="1" applyBorder="1" applyAlignment="1">
      <alignment horizontal="right" vertical="center"/>
    </xf>
    <xf numFmtId="3" fontId="32" fillId="3" borderId="4" xfId="0" applyNumberFormat="1" applyFont="1" applyFill="1" applyBorder="1" applyAlignment="1">
      <alignment horizontal="right" vertical="center"/>
    </xf>
    <xf numFmtId="0" fontId="3" fillId="3" borderId="0" xfId="0" applyFont="1" applyFill="1"/>
    <xf numFmtId="3" fontId="25" fillId="3" borderId="11" xfId="0" applyNumberFormat="1" applyFont="1" applyFill="1" applyBorder="1" applyAlignment="1">
      <alignment horizontal="right" vertical="center"/>
    </xf>
    <xf numFmtId="0" fontId="4" fillId="3" borderId="0" xfId="0" applyFont="1" applyFill="1" applyAlignment="1">
      <alignment horizontal="center" vertical="center"/>
    </xf>
    <xf numFmtId="3" fontId="4" fillId="3" borderId="0" xfId="0" applyNumberFormat="1" applyFont="1" applyFill="1" applyAlignment="1">
      <alignment horizontal="center" vertical="center"/>
    </xf>
    <xf numFmtId="0" fontId="2" fillId="3" borderId="0" xfId="0" applyFont="1" applyFill="1"/>
    <xf numFmtId="0" fontId="12" fillId="3" borderId="4" xfId="0" applyFont="1" applyFill="1" applyBorder="1" applyAlignment="1">
      <alignment horizontal="center"/>
    </xf>
    <xf numFmtId="0" fontId="110" fillId="3" borderId="3" xfId="0" applyFont="1" applyFill="1" applyBorder="1" applyAlignment="1">
      <alignment horizontal="center"/>
    </xf>
    <xf numFmtId="3" fontId="2" fillId="3" borderId="0" xfId="0" applyNumberFormat="1" applyFont="1" applyFill="1"/>
    <xf numFmtId="0" fontId="2" fillId="3" borderId="10" xfId="0" applyFont="1" applyFill="1" applyBorder="1"/>
    <xf numFmtId="0" fontId="12" fillId="3" borderId="11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23" fillId="3" borderId="4" xfId="0" applyFont="1" applyFill="1" applyBorder="1" applyAlignment="1">
      <alignment horizontal="center"/>
    </xf>
    <xf numFmtId="0" fontId="78" fillId="21" borderId="15" xfId="0" applyFont="1" applyFill="1" applyBorder="1" applyAlignment="1">
      <alignment horizontal="center" vertical="center"/>
    </xf>
    <xf numFmtId="49" fontId="78" fillId="21" borderId="16" xfId="0" applyNumberFormat="1" applyFont="1" applyFill="1" applyBorder="1" applyAlignment="1">
      <alignment horizontal="center" vertical="center"/>
    </xf>
    <xf numFmtId="0" fontId="78" fillId="21" borderId="16" xfId="0" applyFont="1" applyFill="1" applyBorder="1" applyAlignment="1">
      <alignment vertical="center"/>
    </xf>
    <xf numFmtId="0" fontId="2" fillId="21" borderId="16" xfId="0" applyFont="1" applyFill="1" applyBorder="1" applyAlignment="1">
      <alignment vertical="center"/>
    </xf>
    <xf numFmtId="3" fontId="2" fillId="21" borderId="17" xfId="0" applyNumberFormat="1" applyFont="1" applyFill="1" applyBorder="1" applyAlignment="1">
      <alignment vertical="center"/>
    </xf>
    <xf numFmtId="0" fontId="2" fillId="21" borderId="17" xfId="0" applyFont="1" applyFill="1" applyBorder="1" applyAlignment="1">
      <alignment vertical="center"/>
    </xf>
    <xf numFmtId="0" fontId="2" fillId="2" borderId="18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3" fontId="2" fillId="2" borderId="19" xfId="0" applyNumberFormat="1" applyFont="1" applyFill="1" applyBorder="1" applyAlignment="1">
      <alignment horizontal="center" vertical="center"/>
    </xf>
    <xf numFmtId="0" fontId="2" fillId="2" borderId="20" xfId="0" applyFont="1" applyFill="1" applyBorder="1" applyAlignment="1">
      <alignment horizontal="center" vertical="center"/>
    </xf>
    <xf numFmtId="0" fontId="2" fillId="2" borderId="21" xfId="0" applyFont="1" applyFill="1" applyBorder="1" applyAlignment="1">
      <alignment horizontal="center" vertical="center"/>
    </xf>
    <xf numFmtId="181" fontId="2" fillId="0" borderId="22" xfId="0" applyNumberFormat="1" applyFont="1" applyBorder="1" applyAlignment="1">
      <alignment horizontal="center" vertical="center"/>
    </xf>
    <xf numFmtId="0" fontId="2" fillId="19" borderId="23" xfId="0" applyFont="1" applyFill="1" applyBorder="1" applyAlignment="1">
      <alignment vertical="center"/>
    </xf>
    <xf numFmtId="0" fontId="2" fillId="0" borderId="24" xfId="0" applyFont="1" applyBorder="1" applyAlignment="1">
      <alignment vertical="center"/>
    </xf>
    <xf numFmtId="0" fontId="111" fillId="0" borderId="25" xfId="0" applyFont="1" applyBorder="1" applyAlignment="1">
      <alignment horizontal="center" vertical="center"/>
    </xf>
    <xf numFmtId="0" fontId="2" fillId="0" borderId="23" xfId="0" applyFont="1" applyBorder="1" applyAlignment="1">
      <alignment vertical="center"/>
    </xf>
    <xf numFmtId="0" fontId="10" fillId="19" borderId="23" xfId="0" applyFont="1" applyFill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26" xfId="0" applyFont="1" applyBorder="1" applyAlignment="1">
      <alignment vertical="center"/>
    </xf>
    <xf numFmtId="0" fontId="2" fillId="0" borderId="31" xfId="0" applyFont="1" applyBorder="1" applyAlignment="1">
      <alignment horizontal="center" vertical="center"/>
    </xf>
    <xf numFmtId="0" fontId="112" fillId="0" borderId="26" xfId="0" applyFont="1" applyBorder="1" applyAlignment="1">
      <alignment horizontal="center" vertical="center"/>
    </xf>
    <xf numFmtId="3" fontId="113" fillId="0" borderId="26" xfId="0" applyNumberFormat="1" applyFont="1" applyBorder="1" applyAlignment="1">
      <alignment horizontal="center" vertical="center"/>
    </xf>
    <xf numFmtId="3" fontId="10" fillId="0" borderId="26" xfId="0" applyNumberFormat="1" applyFont="1" applyBorder="1" applyAlignment="1">
      <alignment horizontal="center" vertical="center"/>
    </xf>
    <xf numFmtId="182" fontId="2" fillId="0" borderId="26" xfId="0" applyNumberFormat="1" applyFont="1" applyBorder="1" applyAlignment="1">
      <alignment horizontal="center" vertical="center"/>
    </xf>
    <xf numFmtId="182" fontId="2" fillId="0" borderId="32" xfId="0" applyNumberFormat="1" applyFont="1" applyBorder="1" applyAlignment="1">
      <alignment horizontal="center" vertical="center"/>
    </xf>
    <xf numFmtId="182" fontId="2" fillId="0" borderId="31" xfId="0" applyNumberFormat="1" applyFont="1" applyBorder="1" applyAlignment="1">
      <alignment horizontal="center" vertical="center"/>
    </xf>
    <xf numFmtId="181" fontId="2" fillId="0" borderId="31" xfId="0" applyNumberFormat="1" applyFont="1" applyBorder="1" applyAlignment="1">
      <alignment horizontal="center" vertical="center"/>
    </xf>
    <xf numFmtId="182" fontId="2" fillId="0" borderId="31" xfId="0" applyNumberFormat="1" applyFont="1" applyBorder="1" applyAlignment="1">
      <alignment vertical="center"/>
    </xf>
    <xf numFmtId="182" fontId="2" fillId="0" borderId="32" xfId="0" applyNumberFormat="1" applyFont="1" applyBorder="1" applyAlignment="1">
      <alignment vertical="center"/>
    </xf>
    <xf numFmtId="0" fontId="2" fillId="19" borderId="26" xfId="0" applyFont="1" applyFill="1" applyBorder="1" applyAlignment="1">
      <alignment horizontal="center" vertical="center"/>
    </xf>
    <xf numFmtId="0" fontId="2" fillId="3" borderId="26" xfId="0" applyFont="1" applyFill="1" applyBorder="1" applyAlignment="1">
      <alignment vertical="center"/>
    </xf>
    <xf numFmtId="181" fontId="2" fillId="3" borderId="31" xfId="0" applyNumberFormat="1" applyFont="1" applyFill="1" applyBorder="1" applyAlignment="1">
      <alignment horizontal="center" vertical="center"/>
    </xf>
    <xf numFmtId="0" fontId="2" fillId="3" borderId="26" xfId="0" applyFont="1" applyFill="1" applyBorder="1" applyAlignment="1">
      <alignment horizontal="center" vertical="center"/>
    </xf>
    <xf numFmtId="3" fontId="113" fillId="3" borderId="26" xfId="0" applyNumberFormat="1" applyFont="1" applyFill="1" applyBorder="1" applyAlignment="1">
      <alignment horizontal="center" vertical="center"/>
    </xf>
    <xf numFmtId="182" fontId="2" fillId="3" borderId="26" xfId="0" applyNumberFormat="1" applyFont="1" applyFill="1" applyBorder="1" applyAlignment="1">
      <alignment horizontal="center" vertical="center"/>
    </xf>
    <xf numFmtId="182" fontId="2" fillId="3" borderId="32" xfId="0" applyNumberFormat="1" applyFont="1" applyFill="1" applyBorder="1" applyAlignment="1">
      <alignment horizontal="center" vertical="center"/>
    </xf>
    <xf numFmtId="0" fontId="12" fillId="0" borderId="26" xfId="0" applyFont="1" applyBorder="1" applyAlignment="1">
      <alignment vertical="center"/>
    </xf>
    <xf numFmtId="3" fontId="114" fillId="0" borderId="26" xfId="0" applyNumberFormat="1" applyFont="1" applyBorder="1" applyAlignment="1">
      <alignment horizontal="center" vertical="center"/>
    </xf>
    <xf numFmtId="182" fontId="48" fillId="0" borderId="32" xfId="0" applyNumberFormat="1" applyFont="1" applyBorder="1" applyAlignment="1">
      <alignment horizontal="center" vertical="center"/>
    </xf>
    <xf numFmtId="182" fontId="61" fillId="0" borderId="31" xfId="0" applyNumberFormat="1" applyFont="1" applyBorder="1" applyAlignment="1">
      <alignment horizontal="center" vertical="center"/>
    </xf>
    <xf numFmtId="182" fontId="61" fillId="0" borderId="32" xfId="0" applyNumberFormat="1" applyFont="1" applyBorder="1" applyAlignment="1">
      <alignment horizontal="center" vertical="center"/>
    </xf>
    <xf numFmtId="181" fontId="115" fillId="19" borderId="31" xfId="0" applyNumberFormat="1" applyFont="1" applyFill="1" applyBorder="1" applyAlignment="1">
      <alignment horizontal="center" vertical="center"/>
    </xf>
    <xf numFmtId="0" fontId="115" fillId="19" borderId="26" xfId="0" applyFont="1" applyFill="1" applyBorder="1" applyAlignment="1">
      <alignment horizontal="center" vertical="center"/>
    </xf>
    <xf numFmtId="0" fontId="115" fillId="19" borderId="26" xfId="0" applyFont="1" applyFill="1" applyBorder="1" applyAlignment="1">
      <alignment vertical="center"/>
    </xf>
    <xf numFmtId="0" fontId="36" fillId="19" borderId="26" xfId="0" applyFont="1" applyFill="1" applyBorder="1" applyAlignment="1">
      <alignment vertical="center"/>
    </xf>
    <xf numFmtId="3" fontId="116" fillId="19" borderId="26" xfId="0" applyNumberFormat="1" applyFont="1" applyFill="1" applyBorder="1" applyAlignment="1">
      <alignment horizontal="center" vertical="center"/>
    </xf>
    <xf numFmtId="182" fontId="115" fillId="19" borderId="26" xfId="0" applyNumberFormat="1" applyFont="1" applyFill="1" applyBorder="1" applyAlignment="1">
      <alignment horizontal="center" vertical="center"/>
    </xf>
    <xf numFmtId="182" fontId="115" fillId="19" borderId="32" xfId="0" applyNumberFormat="1" applyFont="1" applyFill="1" applyBorder="1" applyAlignment="1">
      <alignment horizontal="center" vertical="center"/>
    </xf>
    <xf numFmtId="0" fontId="115" fillId="19" borderId="30" xfId="0" applyFont="1" applyFill="1" applyBorder="1" applyAlignment="1">
      <alignment horizontal="center" vertical="center"/>
    </xf>
    <xf numFmtId="0" fontId="2" fillId="19" borderId="0" xfId="0" applyFont="1" applyFill="1" applyAlignment="1">
      <alignment vertical="center"/>
    </xf>
    <xf numFmtId="182" fontId="115" fillId="19" borderId="31" xfId="0" applyNumberFormat="1" applyFont="1" applyFill="1" applyBorder="1" applyAlignment="1">
      <alignment horizontal="center" vertical="center"/>
    </xf>
    <xf numFmtId="0" fontId="2" fillId="19" borderId="26" xfId="0" applyFont="1" applyFill="1" applyBorder="1" applyAlignment="1">
      <alignment vertical="center"/>
    </xf>
    <xf numFmtId="0" fontId="117" fillId="3" borderId="26" xfId="0" applyFont="1" applyFill="1" applyBorder="1" applyAlignment="1">
      <alignment horizontal="center" vertical="center"/>
    </xf>
    <xf numFmtId="0" fontId="2" fillId="2" borderId="33" xfId="0" applyFont="1" applyFill="1" applyBorder="1" applyAlignment="1">
      <alignment horizontal="center" vertical="center"/>
    </xf>
    <xf numFmtId="3" fontId="2" fillId="2" borderId="33" xfId="0" applyNumberFormat="1" applyFont="1" applyFill="1" applyBorder="1" applyAlignment="1">
      <alignment horizontal="center" vertical="center"/>
    </xf>
    <xf numFmtId="0" fontId="2" fillId="2" borderId="33" xfId="0" applyFont="1" applyFill="1" applyBorder="1" applyAlignment="1">
      <alignment vertical="center"/>
    </xf>
    <xf numFmtId="0" fontId="2" fillId="2" borderId="34" xfId="0" applyFont="1" applyFill="1" applyBorder="1" applyAlignment="1">
      <alignment horizontal="center" vertical="center"/>
    </xf>
    <xf numFmtId="3" fontId="2" fillId="0" borderId="26" xfId="0" applyNumberFormat="1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vertical="center"/>
    </xf>
    <xf numFmtId="0" fontId="2" fillId="0" borderId="36" xfId="0" applyFont="1" applyBorder="1" applyAlignment="1">
      <alignment horizontal="center" vertical="center"/>
    </xf>
    <xf numFmtId="3" fontId="2" fillId="0" borderId="36" xfId="0" applyNumberFormat="1" applyFont="1" applyBorder="1" applyAlignment="1">
      <alignment horizontal="center" vertical="center"/>
    </xf>
    <xf numFmtId="3" fontId="2" fillId="0" borderId="23" xfId="0" applyNumberFormat="1" applyFont="1" applyBorder="1" applyAlignment="1">
      <alignment horizontal="center" vertical="center"/>
    </xf>
    <xf numFmtId="3" fontId="2" fillId="0" borderId="26" xfId="0" applyNumberFormat="1" applyFont="1" applyBorder="1" applyAlignment="1">
      <alignment vertical="center"/>
    </xf>
    <xf numFmtId="182" fontId="2" fillId="0" borderId="26" xfId="0" applyNumberFormat="1" applyFont="1" applyBorder="1" applyAlignment="1">
      <alignment vertical="center"/>
    </xf>
    <xf numFmtId="182" fontId="2" fillId="0" borderId="0" xfId="0" applyNumberFormat="1" applyFont="1" applyAlignment="1">
      <alignment vertical="center"/>
    </xf>
    <xf numFmtId="0" fontId="118" fillId="0" borderId="0" xfId="0" applyFont="1" applyAlignment="1">
      <alignment horizontal="center" vertical="center"/>
    </xf>
    <xf numFmtId="0" fontId="118" fillId="0" borderId="0" xfId="0" applyFont="1" applyAlignment="1">
      <alignment horizontal="right" vertical="center"/>
    </xf>
    <xf numFmtId="0" fontId="42" fillId="22" borderId="4" xfId="0" applyFont="1" applyFill="1" applyBorder="1" applyAlignment="1">
      <alignment horizontal="center" vertical="center"/>
    </xf>
    <xf numFmtId="0" fontId="42" fillId="22" borderId="3" xfId="0" applyFont="1" applyFill="1" applyBorder="1" applyAlignment="1">
      <alignment horizontal="left" vertical="center"/>
    </xf>
    <xf numFmtId="0" fontId="42" fillId="22" borderId="3" xfId="0" applyFont="1" applyFill="1" applyBorder="1" applyAlignment="1">
      <alignment horizontal="center" vertical="center"/>
    </xf>
    <xf numFmtId="0" fontId="119" fillId="22" borderId="3" xfId="0" applyFont="1" applyFill="1" applyBorder="1" applyAlignment="1">
      <alignment horizontal="center" vertical="center"/>
    </xf>
    <xf numFmtId="0" fontId="25" fillId="0" borderId="6" xfId="0" applyFont="1" applyBorder="1" applyAlignment="1">
      <alignment horizontal="center" vertical="center"/>
    </xf>
    <xf numFmtId="0" fontId="25" fillId="0" borderId="11" xfId="0" applyFont="1" applyBorder="1" applyAlignment="1">
      <alignment horizontal="left" vertical="center"/>
    </xf>
    <xf numFmtId="0" fontId="25" fillId="0" borderId="11" xfId="0" applyFont="1" applyBorder="1" applyAlignment="1">
      <alignment horizontal="center" vertical="center"/>
    </xf>
    <xf numFmtId="177" fontId="25" fillId="0" borderId="11" xfId="0" applyNumberFormat="1" applyFont="1" applyBorder="1" applyAlignment="1">
      <alignment horizontal="center" vertical="center"/>
    </xf>
    <xf numFmtId="3" fontId="25" fillId="0" borderId="11" xfId="0" applyNumberFormat="1" applyFont="1" applyBorder="1" applyAlignment="1">
      <alignment horizontal="right" vertical="center"/>
    </xf>
    <xf numFmtId="0" fontId="25" fillId="0" borderId="11" xfId="0" applyFont="1" applyBorder="1" applyAlignment="1">
      <alignment horizontal="right" vertical="center"/>
    </xf>
    <xf numFmtId="0" fontId="28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30" fillId="0" borderId="0" xfId="0" applyFont="1" applyAlignment="1">
      <alignment horizontal="center" vertical="center"/>
    </xf>
    <xf numFmtId="0" fontId="120" fillId="0" borderId="0" xfId="0" applyFont="1" applyAlignment="1">
      <alignment vertical="center"/>
    </xf>
    <xf numFmtId="0" fontId="20" fillId="3" borderId="0" xfId="0" applyFont="1" applyFill="1" applyAlignment="1">
      <alignment vertical="center"/>
    </xf>
    <xf numFmtId="0" fontId="5" fillId="12" borderId="4" xfId="0" applyFont="1" applyFill="1" applyBorder="1" applyAlignment="1">
      <alignment horizontal="center" vertical="center"/>
    </xf>
    <xf numFmtId="0" fontId="5" fillId="12" borderId="3" xfId="0" applyFont="1" applyFill="1" applyBorder="1" applyAlignment="1">
      <alignment horizontal="center" vertical="center"/>
    </xf>
    <xf numFmtId="0" fontId="5" fillId="12" borderId="2" xfId="0" applyFont="1" applyFill="1" applyBorder="1" applyAlignment="1">
      <alignment horizontal="center" vertical="center"/>
    </xf>
    <xf numFmtId="0" fontId="121" fillId="12" borderId="37" xfId="0" applyFont="1" applyFill="1" applyBorder="1" applyAlignment="1">
      <alignment horizontal="center" vertical="center"/>
    </xf>
    <xf numFmtId="0" fontId="5" fillId="12" borderId="38" xfId="0" applyFont="1" applyFill="1" applyBorder="1" applyAlignment="1">
      <alignment horizontal="center" vertical="center"/>
    </xf>
    <xf numFmtId="0" fontId="122" fillId="12" borderId="39" xfId="0" applyFont="1" applyFill="1" applyBorder="1" applyAlignment="1">
      <alignment horizontal="center" vertical="center"/>
    </xf>
    <xf numFmtId="3" fontId="5" fillId="12" borderId="3" xfId="0" applyNumberFormat="1" applyFont="1" applyFill="1" applyBorder="1" applyAlignment="1">
      <alignment horizontal="center" vertical="center"/>
    </xf>
    <xf numFmtId="0" fontId="7" fillId="12" borderId="4" xfId="0" applyFont="1" applyFill="1" applyBorder="1" applyAlignment="1">
      <alignment horizontal="center" vertical="center"/>
    </xf>
    <xf numFmtId="0" fontId="34" fillId="4" borderId="4" xfId="0" applyFont="1" applyFill="1" applyBorder="1" applyAlignment="1">
      <alignment horizontal="center" vertical="center"/>
    </xf>
    <xf numFmtId="0" fontId="34" fillId="4" borderId="1" xfId="0" applyFont="1" applyFill="1" applyBorder="1" applyAlignment="1">
      <alignment horizontal="center" vertical="center"/>
    </xf>
    <xf numFmtId="0" fontId="123" fillId="4" borderId="40" xfId="0" applyFont="1" applyFill="1" applyBorder="1" applyAlignment="1">
      <alignment horizontal="center" vertical="center"/>
    </xf>
    <xf numFmtId="0" fontId="34" fillId="4" borderId="2" xfId="0" applyFont="1" applyFill="1" applyBorder="1" applyAlignment="1">
      <alignment horizontal="center" vertical="center" wrapText="1"/>
    </xf>
    <xf numFmtId="0" fontId="34" fillId="4" borderId="39" xfId="0" applyFont="1" applyFill="1" applyBorder="1" applyAlignment="1">
      <alignment horizontal="center" vertical="center" wrapText="1"/>
    </xf>
    <xf numFmtId="0" fontId="34" fillId="4" borderId="3" xfId="0" applyFont="1" applyFill="1" applyBorder="1" applyAlignment="1">
      <alignment vertical="center" wrapText="1"/>
    </xf>
    <xf numFmtId="3" fontId="123" fillId="4" borderId="4" xfId="0" applyNumberFormat="1" applyFont="1" applyFill="1" applyBorder="1" applyAlignment="1">
      <alignment horizontal="right" vertical="center"/>
    </xf>
    <xf numFmtId="176" fontId="34" fillId="4" borderId="4" xfId="0" applyNumberFormat="1" applyFont="1" applyFill="1" applyBorder="1" applyAlignment="1">
      <alignment horizontal="center" vertical="center"/>
    </xf>
    <xf numFmtId="176" fontId="39" fillId="4" borderId="4" xfId="0" applyNumberFormat="1" applyFont="1" applyFill="1" applyBorder="1" applyAlignment="1">
      <alignment horizontal="center" vertical="center"/>
    </xf>
    <xf numFmtId="0" fontId="124" fillId="3" borderId="4" xfId="0" applyFont="1" applyFill="1" applyBorder="1" applyAlignment="1">
      <alignment horizontal="center" vertical="center"/>
    </xf>
    <xf numFmtId="0" fontId="15" fillId="3" borderId="1" xfId="0" applyFont="1" applyFill="1" applyBorder="1" applyAlignment="1">
      <alignment horizontal="center" vertical="center"/>
    </xf>
    <xf numFmtId="0" fontId="20" fillId="3" borderId="40" xfId="0" applyFont="1" applyFill="1" applyBorder="1" applyAlignment="1">
      <alignment horizontal="center" vertical="center"/>
    </xf>
    <xf numFmtId="0" fontId="15" fillId="3" borderId="2" xfId="0" applyFont="1" applyFill="1" applyBorder="1" applyAlignment="1">
      <alignment horizontal="center" vertical="center" wrapText="1"/>
    </xf>
    <xf numFmtId="0" fontId="15" fillId="3" borderId="39" xfId="0" applyFont="1" applyFill="1" applyBorder="1" applyAlignment="1">
      <alignment horizontal="center" vertical="center" wrapText="1"/>
    </xf>
    <xf numFmtId="0" fontId="15" fillId="3" borderId="3" xfId="0" applyFont="1" applyFill="1" applyBorder="1" applyAlignment="1">
      <alignment vertical="center" wrapText="1"/>
    </xf>
    <xf numFmtId="0" fontId="15" fillId="23" borderId="4" xfId="0" applyFont="1" applyFill="1" applyBorder="1" applyAlignment="1">
      <alignment horizontal="center" vertical="center"/>
    </xf>
    <xf numFmtId="176" fontId="2" fillId="23" borderId="4" xfId="0" applyNumberFormat="1" applyFont="1" applyFill="1" applyBorder="1" applyAlignment="1">
      <alignment vertical="center"/>
    </xf>
    <xf numFmtId="0" fontId="15" fillId="23" borderId="1" xfId="0" applyFont="1" applyFill="1" applyBorder="1" applyAlignment="1">
      <alignment horizontal="center" vertical="center"/>
    </xf>
    <xf numFmtId="176" fontId="20" fillId="23" borderId="40" xfId="0" applyNumberFormat="1" applyFont="1" applyFill="1" applyBorder="1" applyAlignment="1">
      <alignment vertical="center"/>
    </xf>
    <xf numFmtId="0" fontId="2" fillId="23" borderId="2" xfId="0" applyFont="1" applyFill="1" applyBorder="1" applyAlignment="1">
      <alignment vertical="center"/>
    </xf>
    <xf numFmtId="0" fontId="2" fillId="23" borderId="39" xfId="0" applyFont="1" applyFill="1" applyBorder="1" applyAlignment="1">
      <alignment vertical="center"/>
    </xf>
    <xf numFmtId="176" fontId="2" fillId="3" borderId="4" xfId="0" applyNumberFormat="1" applyFont="1" applyFill="1" applyBorder="1" applyAlignment="1">
      <alignment vertical="center"/>
    </xf>
    <xf numFmtId="0" fontId="4" fillId="3" borderId="6" xfId="0" applyFont="1" applyFill="1" applyBorder="1" applyAlignment="1">
      <alignment horizontal="center" vertical="center"/>
    </xf>
    <xf numFmtId="0" fontId="20" fillId="3" borderId="40" xfId="0" applyFont="1" applyFill="1" applyBorder="1" applyAlignment="1">
      <alignment vertical="center"/>
    </xf>
    <xf numFmtId="0" fontId="2" fillId="3" borderId="2" xfId="0" applyFont="1" applyFill="1" applyBorder="1" applyAlignment="1">
      <alignment vertical="center"/>
    </xf>
    <xf numFmtId="0" fontId="2" fillId="3" borderId="39" xfId="0" applyFont="1" applyFill="1" applyBorder="1" applyAlignment="1">
      <alignment vertical="center"/>
    </xf>
    <xf numFmtId="0" fontId="15" fillId="3" borderId="13" xfId="0" applyFont="1" applyFill="1" applyBorder="1" applyAlignment="1">
      <alignment vertical="center" wrapText="1"/>
    </xf>
    <xf numFmtId="3" fontId="15" fillId="3" borderId="4" xfId="0" applyNumberFormat="1" applyFont="1" applyFill="1" applyBorder="1" applyAlignment="1">
      <alignment horizontal="right" vertical="center"/>
    </xf>
    <xf numFmtId="176" fontId="15" fillId="3" borderId="5" xfId="0" applyNumberFormat="1" applyFont="1" applyFill="1" applyBorder="1" applyAlignment="1">
      <alignment horizontal="center" vertical="center"/>
    </xf>
    <xf numFmtId="176" fontId="15" fillId="3" borderId="7" xfId="0" applyNumberFormat="1" applyFont="1" applyFill="1" applyBorder="1" applyAlignment="1">
      <alignment horizontal="center" vertical="center"/>
    </xf>
    <xf numFmtId="176" fontId="15" fillId="3" borderId="6" xfId="0" applyNumberFormat="1" applyFont="1" applyFill="1" applyBorder="1" applyAlignment="1">
      <alignment horizontal="center" vertical="center"/>
    </xf>
    <xf numFmtId="0" fontId="122" fillId="3" borderId="4" xfId="0" applyFont="1" applyFill="1" applyBorder="1" applyAlignment="1">
      <alignment horizontal="center" vertical="center"/>
    </xf>
    <xf numFmtId="3" fontId="20" fillId="3" borderId="4" xfId="0" applyNumberFormat="1" applyFont="1" applyFill="1" applyBorder="1" applyAlignment="1">
      <alignment horizontal="right" vertical="center"/>
    </xf>
    <xf numFmtId="176" fontId="115" fillId="3" borderId="4" xfId="0" applyNumberFormat="1" applyFont="1" applyFill="1" applyBorder="1" applyAlignment="1">
      <alignment vertical="center"/>
    </xf>
    <xf numFmtId="176" fontId="123" fillId="3" borderId="40" xfId="0" applyNumberFormat="1" applyFont="1" applyFill="1" applyBorder="1" applyAlignment="1">
      <alignment vertical="center"/>
    </xf>
    <xf numFmtId="0" fontId="115" fillId="3" borderId="2" xfId="0" applyFont="1" applyFill="1" applyBorder="1" applyAlignment="1">
      <alignment vertical="center"/>
    </xf>
    <xf numFmtId="0" fontId="115" fillId="3" borderId="39" xfId="0" applyFont="1" applyFill="1" applyBorder="1" applyAlignment="1">
      <alignment vertical="center"/>
    </xf>
    <xf numFmtId="176" fontId="34" fillId="3" borderId="7" xfId="0" applyNumberFormat="1" applyFont="1" applyFill="1" applyBorder="1" applyAlignment="1">
      <alignment horizontal="center" vertical="center"/>
    </xf>
    <xf numFmtId="0" fontId="123" fillId="3" borderId="40" xfId="0" applyFont="1" applyFill="1" applyBorder="1" applyAlignment="1">
      <alignment horizontal="center" vertical="center"/>
    </xf>
    <xf numFmtId="0" fontId="34" fillId="3" borderId="2" xfId="0" applyFont="1" applyFill="1" applyBorder="1" applyAlignment="1">
      <alignment horizontal="center" vertical="center" wrapText="1"/>
    </xf>
    <xf numFmtId="0" fontId="34" fillId="3" borderId="39" xfId="0" applyFont="1" applyFill="1" applyBorder="1" applyAlignment="1">
      <alignment horizontal="center" vertical="center" wrapText="1"/>
    </xf>
    <xf numFmtId="3" fontId="34" fillId="3" borderId="4" xfId="0" applyNumberFormat="1" applyFont="1" applyFill="1" applyBorder="1" applyAlignment="1">
      <alignment horizontal="right" vertical="center"/>
    </xf>
    <xf numFmtId="176" fontId="34" fillId="3" borderId="6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vertical="center"/>
    </xf>
    <xf numFmtId="176" fontId="12" fillId="3" borderId="4" xfId="0" applyNumberFormat="1" applyFont="1" applyFill="1" applyBorder="1" applyAlignment="1">
      <alignment horizontal="center" vertical="center"/>
    </xf>
    <xf numFmtId="176" fontId="115" fillId="4" borderId="4" xfId="0" applyNumberFormat="1" applyFont="1" applyFill="1" applyBorder="1" applyAlignment="1">
      <alignment vertical="center"/>
    </xf>
    <xf numFmtId="0" fontId="123" fillId="4" borderId="40" xfId="0" applyFont="1" applyFill="1" applyBorder="1" applyAlignment="1">
      <alignment vertical="center"/>
    </xf>
    <xf numFmtId="0" fontId="115" fillId="4" borderId="2" xfId="0" applyFont="1" applyFill="1" applyBorder="1" applyAlignment="1">
      <alignment vertical="center"/>
    </xf>
    <xf numFmtId="3" fontId="36" fillId="4" borderId="4" xfId="0" applyNumberFormat="1" applyFont="1" applyFill="1" applyBorder="1" applyAlignment="1">
      <alignment vertical="center"/>
    </xf>
    <xf numFmtId="176" fontId="34" fillId="4" borderId="5" xfId="0" applyNumberFormat="1" applyFont="1" applyFill="1" applyBorder="1" applyAlignment="1">
      <alignment horizontal="center" vertical="center"/>
    </xf>
    <xf numFmtId="176" fontId="39" fillId="4" borderId="5" xfId="0" applyNumberFormat="1" applyFont="1" applyFill="1" applyBorder="1" applyAlignment="1">
      <alignment horizontal="center" vertical="center"/>
    </xf>
    <xf numFmtId="0" fontId="115" fillId="2" borderId="0" xfId="0" applyFont="1" applyFill="1" applyAlignment="1">
      <alignment vertical="center"/>
    </xf>
    <xf numFmtId="0" fontId="15" fillId="4" borderId="4" xfId="0" applyFont="1" applyFill="1" applyBorder="1" applyAlignment="1">
      <alignment horizontal="center" vertical="center"/>
    </xf>
    <xf numFmtId="176" fontId="2" fillId="4" borderId="4" xfId="0" applyNumberFormat="1" applyFont="1" applyFill="1" applyBorder="1" applyAlignment="1">
      <alignment vertical="center"/>
    </xf>
    <xf numFmtId="0" fontId="20" fillId="4" borderId="40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vertical="center"/>
    </xf>
    <xf numFmtId="0" fontId="15" fillId="4" borderId="39" xfId="0" applyFont="1" applyFill="1" applyBorder="1" applyAlignment="1">
      <alignment horizontal="center" vertical="center" wrapText="1"/>
    </xf>
    <xf numFmtId="3" fontId="12" fillId="4" borderId="4" xfId="0" applyNumberFormat="1" applyFont="1" applyFill="1" applyBorder="1" applyAlignment="1">
      <alignment vertical="center"/>
    </xf>
    <xf numFmtId="176" fontId="15" fillId="4" borderId="4" xfId="0" applyNumberFormat="1" applyFont="1" applyFill="1" applyBorder="1" applyAlignment="1">
      <alignment horizontal="center" vertical="center"/>
    </xf>
    <xf numFmtId="176" fontId="15" fillId="4" borderId="7" xfId="0" applyNumberFormat="1" applyFont="1" applyFill="1" applyBorder="1" applyAlignment="1">
      <alignment horizontal="center" vertical="center"/>
    </xf>
    <xf numFmtId="176" fontId="124" fillId="4" borderId="7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vertical="center"/>
    </xf>
    <xf numFmtId="176" fontId="115" fillId="2" borderId="4" xfId="0" applyNumberFormat="1" applyFont="1" applyFill="1" applyBorder="1" applyAlignment="1">
      <alignment vertical="center"/>
    </xf>
    <xf numFmtId="176" fontId="123" fillId="2" borderId="40" xfId="0" applyNumberFormat="1" applyFont="1" applyFill="1" applyBorder="1" applyAlignment="1">
      <alignment vertical="center"/>
    </xf>
    <xf numFmtId="0" fontId="115" fillId="2" borderId="2" xfId="0" applyFont="1" applyFill="1" applyBorder="1" applyAlignment="1">
      <alignment vertical="center"/>
    </xf>
    <xf numFmtId="0" fontId="115" fillId="2" borderId="39" xfId="0" applyFont="1" applyFill="1" applyBorder="1" applyAlignment="1">
      <alignment vertical="center"/>
    </xf>
    <xf numFmtId="176" fontId="34" fillId="2" borderId="7" xfId="0" applyNumberFormat="1" applyFont="1" applyFill="1" applyBorder="1" applyAlignment="1">
      <alignment horizontal="center" vertical="center"/>
    </xf>
    <xf numFmtId="176" fontId="99" fillId="2" borderId="7" xfId="0" applyNumberFormat="1" applyFont="1" applyFill="1" applyBorder="1" applyAlignment="1">
      <alignment horizontal="center" vertical="center"/>
    </xf>
    <xf numFmtId="0" fontId="123" fillId="4" borderId="41" xfId="0" applyFont="1" applyFill="1" applyBorder="1" applyAlignment="1">
      <alignment horizontal="center" vertical="center"/>
    </xf>
    <xf numFmtId="3" fontId="34" fillId="4" borderId="4" xfId="0" applyNumberFormat="1" applyFont="1" applyFill="1" applyBorder="1" applyAlignment="1">
      <alignment horizontal="right" vertical="center"/>
    </xf>
    <xf numFmtId="176" fontId="34" fillId="4" borderId="7" xfId="0" applyNumberFormat="1" applyFont="1" applyFill="1" applyBorder="1" applyAlignment="1">
      <alignment horizontal="center" vertical="center"/>
    </xf>
    <xf numFmtId="176" fontId="39" fillId="4" borderId="7" xfId="0" applyNumberFormat="1" applyFont="1" applyFill="1" applyBorder="1" applyAlignment="1">
      <alignment horizontal="center" vertical="center"/>
    </xf>
    <xf numFmtId="0" fontId="123" fillId="8" borderId="1" xfId="0" applyFont="1" applyFill="1" applyBorder="1" applyAlignment="1">
      <alignment horizontal="center" vertical="center"/>
    </xf>
    <xf numFmtId="3" fontId="34" fillId="2" borderId="4" xfId="0" applyNumberFormat="1" applyFont="1" applyFill="1" applyBorder="1" applyAlignment="1">
      <alignment horizontal="right" vertical="center"/>
    </xf>
    <xf numFmtId="176" fontId="34" fillId="2" borderId="6" xfId="0" applyNumberFormat="1" applyFont="1" applyFill="1" applyBorder="1" applyAlignment="1">
      <alignment horizontal="center" vertical="center"/>
    </xf>
    <xf numFmtId="176" fontId="39" fillId="2" borderId="6" xfId="0" applyNumberFormat="1" applyFont="1" applyFill="1" applyBorder="1" applyAlignment="1">
      <alignment horizontal="center" vertical="center"/>
    </xf>
    <xf numFmtId="176" fontId="20" fillId="4" borderId="40" xfId="0" applyNumberFormat="1" applyFont="1" applyFill="1" applyBorder="1" applyAlignment="1">
      <alignment vertical="center"/>
    </xf>
    <xf numFmtId="0" fontId="15" fillId="2" borderId="13" xfId="0" applyFont="1" applyFill="1" applyBorder="1" applyAlignment="1">
      <alignment vertical="center" wrapText="1"/>
    </xf>
    <xf numFmtId="3" fontId="123" fillId="4" borderId="4" xfId="0" applyNumberFormat="1" applyFont="1" applyFill="1" applyBorder="1" applyAlignment="1">
      <alignment vertical="center"/>
    </xf>
    <xf numFmtId="3" fontId="2" fillId="2" borderId="0" xfId="0" applyNumberFormat="1" applyFont="1" applyFill="1" applyAlignment="1">
      <alignment vertical="center"/>
    </xf>
    <xf numFmtId="0" fontId="94" fillId="2" borderId="4" xfId="0" applyFont="1" applyFill="1" applyBorder="1" applyAlignment="1">
      <alignment vertical="center"/>
    </xf>
    <xf numFmtId="3" fontId="115" fillId="2" borderId="0" xfId="0" applyNumberFormat="1" applyFont="1" applyFill="1" applyAlignment="1">
      <alignment vertical="center"/>
    </xf>
    <xf numFmtId="176" fontId="2" fillId="2" borderId="4" xfId="0" applyNumberFormat="1" applyFont="1" applyFill="1" applyBorder="1" applyAlignment="1">
      <alignment vertical="center"/>
    </xf>
    <xf numFmtId="176" fontId="20" fillId="2" borderId="40" xfId="0" applyNumberFormat="1" applyFont="1" applyFill="1" applyBorder="1" applyAlignment="1">
      <alignment vertical="center"/>
    </xf>
    <xf numFmtId="0" fontId="2" fillId="2" borderId="2" xfId="0" applyFont="1" applyFill="1" applyBorder="1" applyAlignment="1">
      <alignment vertical="center"/>
    </xf>
    <xf numFmtId="0" fontId="15" fillId="2" borderId="39" xfId="0" applyFont="1" applyFill="1" applyBorder="1" applyAlignment="1">
      <alignment horizontal="center" vertical="center" wrapText="1"/>
    </xf>
    <xf numFmtId="3" fontId="12" fillId="2" borderId="4" xfId="0" applyNumberFormat="1" applyFont="1" applyFill="1" applyBorder="1" applyAlignment="1">
      <alignment vertical="center"/>
    </xf>
    <xf numFmtId="176" fontId="15" fillId="2" borderId="4" xfId="0" applyNumberFormat="1" applyFont="1" applyFill="1" applyBorder="1" applyAlignment="1">
      <alignment horizontal="center" vertical="center"/>
    </xf>
    <xf numFmtId="0" fontId="2" fillId="2" borderId="39" xfId="0" applyFont="1" applyFill="1" applyBorder="1" applyAlignment="1">
      <alignment vertical="center"/>
    </xf>
    <xf numFmtId="0" fontId="2" fillId="2" borderId="4" xfId="0" applyFont="1" applyFill="1" applyBorder="1" applyAlignment="1">
      <alignment vertical="center"/>
    </xf>
    <xf numFmtId="0" fontId="15" fillId="2" borderId="1" xfId="0" applyFont="1" applyFill="1" applyBorder="1" applyAlignment="1">
      <alignment horizontal="center" vertical="center"/>
    </xf>
    <xf numFmtId="0" fontId="20" fillId="2" borderId="40" xfId="0" applyFont="1" applyFill="1" applyBorder="1" applyAlignment="1">
      <alignment vertical="center"/>
    </xf>
    <xf numFmtId="0" fontId="15" fillId="2" borderId="3" xfId="0" applyFont="1" applyFill="1" applyBorder="1" applyAlignment="1">
      <alignment vertical="center" wrapText="1"/>
    </xf>
    <xf numFmtId="3" fontId="15" fillId="3" borderId="3" xfId="0" applyNumberFormat="1" applyFont="1" applyFill="1" applyBorder="1" applyAlignment="1">
      <alignment horizontal="right" vertical="center"/>
    </xf>
    <xf numFmtId="0" fontId="15" fillId="3" borderId="10" xfId="0" applyFont="1" applyFill="1" applyBorder="1" applyAlignment="1">
      <alignment vertical="center" wrapText="1"/>
    </xf>
    <xf numFmtId="0" fontId="15" fillId="3" borderId="11" xfId="0" applyFont="1" applyFill="1" applyBorder="1" applyAlignment="1">
      <alignment vertical="center" wrapText="1"/>
    </xf>
    <xf numFmtId="0" fontId="4" fillId="4" borderId="6" xfId="0" applyFont="1" applyFill="1" applyBorder="1" applyAlignment="1">
      <alignment horizontal="center" vertical="center"/>
    </xf>
    <xf numFmtId="0" fontId="20" fillId="3" borderId="42" xfId="0" applyFont="1" applyFill="1" applyBorder="1" applyAlignment="1">
      <alignment vertical="center"/>
    </xf>
    <xf numFmtId="0" fontId="2" fillId="3" borderId="43" xfId="0" applyFont="1" applyFill="1" applyBorder="1" applyAlignment="1">
      <alignment vertical="center"/>
    </xf>
    <xf numFmtId="0" fontId="2" fillId="3" borderId="44" xfId="0" applyFont="1" applyFill="1" applyBorder="1" applyAlignment="1">
      <alignment vertical="center"/>
    </xf>
    <xf numFmtId="0" fontId="1" fillId="3" borderId="0" xfId="0" applyFont="1" applyFill="1" applyAlignment="1">
      <alignment vertical="center"/>
    </xf>
    <xf numFmtId="0" fontId="125" fillId="3" borderId="0" xfId="0" applyFont="1" applyFill="1" applyAlignment="1">
      <alignment vertical="center"/>
    </xf>
    <xf numFmtId="0" fontId="1" fillId="3" borderId="0" xfId="0" applyFont="1" applyFill="1" applyAlignment="1">
      <alignment horizontal="center" vertical="center"/>
    </xf>
    <xf numFmtId="0" fontId="126" fillId="3" borderId="0" xfId="0" applyFont="1" applyFill="1" applyAlignment="1">
      <alignment horizontal="center" vertical="center"/>
    </xf>
    <xf numFmtId="0" fontId="127" fillId="3" borderId="0" xfId="0" applyFont="1" applyFill="1" applyAlignment="1">
      <alignment horizontal="right" vertical="center"/>
    </xf>
    <xf numFmtId="0" fontId="127" fillId="3" borderId="0" xfId="0" applyFont="1" applyFill="1" applyAlignment="1">
      <alignment horizontal="center" vertical="center"/>
    </xf>
    <xf numFmtId="0" fontId="42" fillId="3" borderId="0" xfId="0" applyFont="1" applyFill="1" applyAlignment="1">
      <alignment horizontal="center" vertical="center"/>
    </xf>
    <xf numFmtId="0" fontId="24" fillId="24" borderId="12" xfId="0" applyFont="1" applyFill="1" applyBorder="1" applyAlignment="1">
      <alignment horizontal="center" vertical="center"/>
    </xf>
    <xf numFmtId="0" fontId="24" fillId="24" borderId="11" xfId="0" applyFont="1" applyFill="1" applyBorder="1" applyAlignment="1">
      <alignment horizontal="center" vertical="center"/>
    </xf>
    <xf numFmtId="0" fontId="42" fillId="24" borderId="11" xfId="0" applyFont="1" applyFill="1" applyBorder="1" applyAlignment="1">
      <alignment horizontal="center" vertical="center"/>
    </xf>
    <xf numFmtId="0" fontId="42" fillId="24" borderId="12" xfId="0" applyFont="1" applyFill="1" applyBorder="1" applyAlignment="1">
      <alignment horizontal="center" vertical="center"/>
    </xf>
    <xf numFmtId="0" fontId="32" fillId="24" borderId="37" xfId="0" applyFont="1" applyFill="1" applyBorder="1" applyAlignment="1">
      <alignment horizontal="center" vertical="center"/>
    </xf>
    <xf numFmtId="0" fontId="24" fillId="24" borderId="45" xfId="0" applyFont="1" applyFill="1" applyBorder="1" applyAlignment="1">
      <alignment horizontal="center" vertical="center"/>
    </xf>
    <xf numFmtId="0" fontId="24" fillId="24" borderId="4" xfId="0" applyFont="1" applyFill="1" applyBorder="1" applyAlignment="1">
      <alignment horizontal="center" vertical="center"/>
    </xf>
    <xf numFmtId="0" fontId="24" fillId="24" borderId="37" xfId="0" applyFont="1" applyFill="1" applyBorder="1" applyAlignment="1">
      <alignment horizontal="center" vertical="center"/>
    </xf>
    <xf numFmtId="0" fontId="24" fillId="24" borderId="3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vertical="center"/>
    </xf>
    <xf numFmtId="0" fontId="25" fillId="3" borderId="12" xfId="0" applyFont="1" applyFill="1" applyBorder="1" applyAlignment="1">
      <alignment horizontal="center" vertical="center"/>
    </xf>
    <xf numFmtId="0" fontId="23" fillId="3" borderId="46" xfId="0" applyFont="1" applyFill="1" applyBorder="1" applyAlignment="1">
      <alignment horizontal="center" vertical="center"/>
    </xf>
    <xf numFmtId="0" fontId="12" fillId="3" borderId="47" xfId="0" applyFont="1" applyFill="1" applyBorder="1" applyAlignment="1">
      <alignment horizontal="center" vertical="center"/>
    </xf>
    <xf numFmtId="0" fontId="12" fillId="3" borderId="11" xfId="0" applyFont="1" applyFill="1" applyBorder="1" applyAlignment="1">
      <alignment vertical="center"/>
    </xf>
    <xf numFmtId="0" fontId="12" fillId="3" borderId="11" xfId="0" applyFont="1" applyFill="1" applyBorder="1" applyAlignment="1">
      <alignment horizontal="center" vertical="center"/>
    </xf>
    <xf numFmtId="0" fontId="12" fillId="3" borderId="12" xfId="0" applyFont="1" applyFill="1" applyBorder="1" applyAlignment="1">
      <alignment horizontal="center" vertical="center"/>
    </xf>
    <xf numFmtId="0" fontId="12" fillId="3" borderId="46" xfId="0" applyFont="1" applyFill="1" applyBorder="1" applyAlignment="1">
      <alignment vertical="center"/>
    </xf>
    <xf numFmtId="0" fontId="25" fillId="3" borderId="12" xfId="0" applyFont="1" applyFill="1" applyBorder="1" applyAlignment="1">
      <alignment horizontal="right" vertical="center"/>
    </xf>
    <xf numFmtId="0" fontId="25" fillId="3" borderId="11" xfId="0" applyFont="1" applyFill="1" applyBorder="1" applyAlignment="1">
      <alignment vertical="center"/>
    </xf>
    <xf numFmtId="0" fontId="2" fillId="3" borderId="7" xfId="0" applyFont="1" applyFill="1" applyBorder="1" applyAlignment="1">
      <alignment vertical="center"/>
    </xf>
    <xf numFmtId="0" fontId="12" fillId="3" borderId="48" xfId="0" applyFont="1" applyFill="1" applyBorder="1" applyAlignment="1">
      <alignment horizontal="center" vertical="center"/>
    </xf>
    <xf numFmtId="0" fontId="23" fillId="3" borderId="41" xfId="0" applyFont="1" applyFill="1" applyBorder="1" applyAlignment="1">
      <alignment horizontal="center" vertical="center"/>
    </xf>
    <xf numFmtId="0" fontId="12" fillId="3" borderId="49" xfId="0" applyFont="1" applyFill="1" applyBorder="1" applyAlignment="1">
      <alignment horizontal="center" vertical="center"/>
    </xf>
    <xf numFmtId="0" fontId="12" fillId="3" borderId="7" xfId="0" applyFont="1" applyFill="1" applyBorder="1" applyAlignment="1">
      <alignment horizontal="center" vertical="center"/>
    </xf>
    <xf numFmtId="3" fontId="12" fillId="3" borderId="41" xfId="0" applyNumberFormat="1" applyFont="1" applyFill="1" applyBorder="1" applyAlignment="1">
      <alignment vertical="center"/>
    </xf>
    <xf numFmtId="3" fontId="25" fillId="3" borderId="6" xfId="0" applyNumberFormat="1" applyFont="1" applyFill="1" applyBorder="1" applyAlignment="1">
      <alignment horizontal="right" vertical="center"/>
    </xf>
    <xf numFmtId="0" fontId="24" fillId="3" borderId="3" xfId="0" applyFont="1" applyFill="1" applyBorder="1" applyAlignment="1">
      <alignment horizontal="center" vertical="center"/>
    </xf>
    <xf numFmtId="0" fontId="25" fillId="3" borderId="10" xfId="0" applyFont="1" applyFill="1" applyBorder="1" applyAlignment="1">
      <alignment horizontal="center" vertical="center"/>
    </xf>
    <xf numFmtId="3" fontId="128" fillId="3" borderId="3" xfId="0" applyNumberFormat="1" applyFont="1" applyFill="1" applyBorder="1" applyAlignment="1">
      <alignment horizontal="center" vertical="center"/>
    </xf>
    <xf numFmtId="3" fontId="2" fillId="3" borderId="7" xfId="0" applyNumberFormat="1" applyFont="1" applyFill="1" applyBorder="1" applyAlignment="1">
      <alignment vertical="center"/>
    </xf>
    <xf numFmtId="3" fontId="12" fillId="3" borderId="11" xfId="0" applyNumberFormat="1" applyFont="1" applyFill="1" applyBorder="1" applyAlignment="1">
      <alignment horizontal="right" vertical="center"/>
    </xf>
    <xf numFmtId="3" fontId="129" fillId="3" borderId="3" xfId="0" applyNumberFormat="1" applyFont="1" applyFill="1" applyBorder="1" applyAlignment="1">
      <alignment horizontal="center" vertical="center"/>
    </xf>
    <xf numFmtId="0" fontId="25" fillId="3" borderId="3" xfId="0" applyFont="1" applyFill="1" applyBorder="1" applyAlignment="1">
      <alignment horizontal="center" vertical="center"/>
    </xf>
    <xf numFmtId="0" fontId="42" fillId="3" borderId="2" xfId="0" applyFont="1" applyFill="1" applyBorder="1" applyAlignment="1">
      <alignment horizontal="center" vertical="center"/>
    </xf>
    <xf numFmtId="0" fontId="23" fillId="3" borderId="40" xfId="0" applyFont="1" applyFill="1" applyBorder="1" applyAlignment="1">
      <alignment horizontal="center" vertical="center"/>
    </xf>
    <xf numFmtId="0" fontId="12" fillId="3" borderId="50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vertical="center"/>
    </xf>
    <xf numFmtId="177" fontId="2" fillId="3" borderId="3" xfId="0" applyNumberFormat="1" applyFont="1" applyFill="1" applyBorder="1" applyAlignment="1">
      <alignment horizontal="center" vertical="center"/>
    </xf>
    <xf numFmtId="177" fontId="2" fillId="3" borderId="2" xfId="0" applyNumberFormat="1" applyFont="1" applyFill="1" applyBorder="1" applyAlignment="1">
      <alignment horizontal="center" vertical="center"/>
    </xf>
    <xf numFmtId="3" fontId="2" fillId="3" borderId="40" xfId="0" applyNumberFormat="1" applyFont="1" applyFill="1" applyBorder="1" applyAlignment="1">
      <alignment vertical="center"/>
    </xf>
    <xf numFmtId="0" fontId="125" fillId="3" borderId="4" xfId="0" applyFont="1" applyFill="1" applyBorder="1" applyAlignment="1">
      <alignment vertical="center"/>
    </xf>
    <xf numFmtId="0" fontId="27" fillId="3" borderId="0" xfId="0" applyFont="1" applyFill="1"/>
    <xf numFmtId="0" fontId="23" fillId="3" borderId="7" xfId="0" applyFont="1" applyFill="1" applyBorder="1" applyAlignment="1">
      <alignment vertical="center"/>
    </xf>
    <xf numFmtId="0" fontId="25" fillId="3" borderId="11" xfId="0" applyFont="1" applyFill="1" applyBorder="1" applyAlignment="1">
      <alignment horizontal="center" vertical="center"/>
    </xf>
    <xf numFmtId="177" fontId="12" fillId="3" borderId="11" xfId="0" applyNumberFormat="1" applyFont="1" applyFill="1" applyBorder="1" applyAlignment="1">
      <alignment horizontal="center" vertical="center"/>
    </xf>
    <xf numFmtId="177" fontId="12" fillId="3" borderId="12" xfId="0" applyNumberFormat="1" applyFont="1" applyFill="1" applyBorder="1" applyAlignment="1">
      <alignment horizontal="center" vertical="center"/>
    </xf>
    <xf numFmtId="3" fontId="12" fillId="3" borderId="46" xfId="0" applyNumberFormat="1" applyFont="1" applyFill="1" applyBorder="1" applyAlignment="1">
      <alignment vertical="center"/>
    </xf>
    <xf numFmtId="3" fontId="25" fillId="3" borderId="9" xfId="0" applyNumberFormat="1" applyFont="1" applyFill="1" applyBorder="1" applyAlignment="1">
      <alignment horizontal="right" vertical="center"/>
    </xf>
    <xf numFmtId="0" fontId="23" fillId="3" borderId="2" xfId="0" applyFont="1" applyFill="1" applyBorder="1" applyAlignment="1">
      <alignment horizontal="center" vertical="center"/>
    </xf>
    <xf numFmtId="0" fontId="40" fillId="3" borderId="6" xfId="0" applyFont="1" applyFill="1" applyBorder="1" applyAlignment="1">
      <alignment horizontal="center" vertical="center"/>
    </xf>
    <xf numFmtId="0" fontId="107" fillId="3" borderId="11" xfId="0" applyFont="1" applyFill="1" applyBorder="1" applyAlignment="1">
      <alignment horizontal="center" vertical="center"/>
    </xf>
    <xf numFmtId="0" fontId="130" fillId="3" borderId="2" xfId="0" applyFont="1" applyFill="1" applyBorder="1" applyAlignment="1">
      <alignment horizontal="center" vertical="center"/>
    </xf>
    <xf numFmtId="0" fontId="35" fillId="3" borderId="46" xfId="0" applyFont="1" applyFill="1" applyBorder="1" applyAlignment="1">
      <alignment horizontal="center" vertical="center"/>
    </xf>
    <xf numFmtId="0" fontId="36" fillId="3" borderId="47" xfId="0" applyFont="1" applyFill="1" applyBorder="1" applyAlignment="1">
      <alignment horizontal="center" vertical="center"/>
    </xf>
    <xf numFmtId="0" fontId="36" fillId="3" borderId="11" xfId="0" applyFont="1" applyFill="1" applyBorder="1" applyAlignment="1">
      <alignment vertical="center"/>
    </xf>
    <xf numFmtId="177" fontId="36" fillId="3" borderId="11" xfId="0" applyNumberFormat="1" applyFont="1" applyFill="1" applyBorder="1" applyAlignment="1">
      <alignment horizontal="center" vertical="center"/>
    </xf>
    <xf numFmtId="177" fontId="107" fillId="3" borderId="12" xfId="0" applyNumberFormat="1" applyFont="1" applyFill="1" applyBorder="1" applyAlignment="1">
      <alignment horizontal="center" vertical="center"/>
    </xf>
    <xf numFmtId="3" fontId="36" fillId="3" borderId="46" xfId="0" applyNumberFormat="1" applyFont="1" applyFill="1" applyBorder="1" applyAlignment="1">
      <alignment vertical="center"/>
    </xf>
    <xf numFmtId="3" fontId="107" fillId="3" borderId="4" xfId="0" applyNumberFormat="1" applyFont="1" applyFill="1" applyBorder="1" applyAlignment="1">
      <alignment horizontal="right" vertical="center"/>
    </xf>
    <xf numFmtId="0" fontId="107" fillId="3" borderId="3" xfId="0" applyFont="1" applyFill="1" applyBorder="1" applyAlignment="1">
      <alignment vertical="center"/>
    </xf>
    <xf numFmtId="0" fontId="35" fillId="3" borderId="2" xfId="0" applyFont="1" applyFill="1" applyBorder="1" applyAlignment="1">
      <alignment horizontal="center" vertical="center"/>
    </xf>
    <xf numFmtId="3" fontId="35" fillId="3" borderId="7" xfId="0" applyNumberFormat="1" applyFont="1" applyFill="1" applyBorder="1" applyAlignment="1">
      <alignment vertical="center"/>
    </xf>
    <xf numFmtId="3" fontId="23" fillId="3" borderId="7" xfId="0" applyNumberFormat="1" applyFont="1" applyFill="1" applyBorder="1" applyAlignment="1">
      <alignment vertical="center"/>
    </xf>
    <xf numFmtId="3" fontId="32" fillId="3" borderId="6" xfId="0" applyNumberFormat="1" applyFont="1" applyFill="1" applyBorder="1" applyAlignment="1">
      <alignment vertical="center"/>
    </xf>
    <xf numFmtId="0" fontId="35" fillId="3" borderId="46" xfId="0" applyFont="1" applyFill="1" applyBorder="1" applyAlignment="1">
      <alignment horizontal="left" vertical="center"/>
    </xf>
    <xf numFmtId="0" fontId="36" fillId="3" borderId="6" xfId="0" applyFont="1" applyFill="1" applyBorder="1" applyAlignment="1">
      <alignment horizontal="center" vertical="center"/>
    </xf>
    <xf numFmtId="177" fontId="36" fillId="3" borderId="12" xfId="0" applyNumberFormat="1" applyFont="1" applyFill="1" applyBorder="1" applyAlignment="1">
      <alignment horizontal="center" vertical="center"/>
    </xf>
    <xf numFmtId="0" fontId="107" fillId="3" borderId="11" xfId="0" applyFont="1" applyFill="1" applyBorder="1" applyAlignment="1">
      <alignment vertical="center"/>
    </xf>
    <xf numFmtId="0" fontId="42" fillId="3" borderId="48" xfId="0" applyFont="1" applyFill="1" applyBorder="1" applyAlignment="1">
      <alignment horizontal="center" vertical="center"/>
    </xf>
    <xf numFmtId="0" fontId="23" fillId="3" borderId="46" xfId="0" applyFont="1" applyFill="1" applyBorder="1" applyAlignment="1">
      <alignment horizontal="left" vertical="center"/>
    </xf>
    <xf numFmtId="0" fontId="12" fillId="3" borderId="10" xfId="0" applyFont="1" applyFill="1" applyBorder="1" applyAlignment="1">
      <alignment vertical="center"/>
    </xf>
    <xf numFmtId="177" fontId="12" fillId="3" borderId="10" xfId="0" applyNumberFormat="1" applyFont="1" applyFill="1" applyBorder="1" applyAlignment="1">
      <alignment horizontal="center" vertical="center"/>
    </xf>
    <xf numFmtId="0" fontId="25" fillId="3" borderId="10" xfId="0" applyFont="1" applyFill="1" applyBorder="1" applyAlignment="1">
      <alignment vertical="center"/>
    </xf>
    <xf numFmtId="0" fontId="12" fillId="3" borderId="7" xfId="0" applyFont="1" applyFill="1" applyBorder="1" applyAlignment="1">
      <alignment vertical="center"/>
    </xf>
    <xf numFmtId="0" fontId="42" fillId="3" borderId="1" xfId="0" applyFont="1" applyFill="1" applyBorder="1" applyAlignment="1">
      <alignment horizontal="center" vertical="center"/>
    </xf>
    <xf numFmtId="177" fontId="25" fillId="3" borderId="4" xfId="0" applyNumberFormat="1" applyFont="1" applyFill="1" applyBorder="1" applyAlignment="1">
      <alignment horizontal="center" vertical="center"/>
    </xf>
    <xf numFmtId="177" fontId="25" fillId="3" borderId="1" xfId="0" applyNumberFormat="1" applyFont="1" applyFill="1" applyBorder="1" applyAlignment="1">
      <alignment horizontal="center" vertical="center"/>
    </xf>
    <xf numFmtId="3" fontId="25" fillId="3" borderId="40" xfId="0" applyNumberFormat="1" applyFont="1" applyFill="1" applyBorder="1" applyAlignment="1">
      <alignment vertical="center"/>
    </xf>
    <xf numFmtId="3" fontId="25" fillId="3" borderId="11" xfId="0" applyNumberFormat="1" applyFont="1" applyFill="1" applyBorder="1" applyAlignment="1">
      <alignment horizontal="center" vertical="center"/>
    </xf>
    <xf numFmtId="0" fontId="32" fillId="3" borderId="3" xfId="0" applyFont="1" applyFill="1" applyBorder="1" applyAlignment="1">
      <alignment horizontal="center" vertical="center"/>
    </xf>
    <xf numFmtId="0" fontId="25" fillId="3" borderId="13" xfId="0" applyFont="1" applyFill="1" applyBorder="1" applyAlignment="1">
      <alignment horizontal="center" vertical="center"/>
    </xf>
    <xf numFmtId="0" fontId="23" fillId="3" borderId="51" xfId="0" applyFont="1" applyFill="1" applyBorder="1" applyAlignment="1">
      <alignment horizontal="center" vertical="center"/>
    </xf>
    <xf numFmtId="0" fontId="12" fillId="3" borderId="52" xfId="0" applyFont="1" applyFill="1" applyBorder="1" applyAlignment="1">
      <alignment horizontal="center" vertical="center"/>
    </xf>
    <xf numFmtId="3" fontId="12" fillId="3" borderId="51" xfId="0" applyNumberFormat="1" applyFont="1" applyFill="1" applyBorder="1" applyAlignment="1">
      <alignment vertical="center"/>
    </xf>
    <xf numFmtId="3" fontId="12" fillId="3" borderId="3" xfId="0" applyNumberFormat="1" applyFont="1" applyFill="1" applyBorder="1" applyAlignment="1">
      <alignment horizontal="center" vertical="center"/>
    </xf>
    <xf numFmtId="3" fontId="25" fillId="3" borderId="1" xfId="0" applyNumberFormat="1" applyFont="1" applyFill="1" applyBorder="1" applyAlignment="1">
      <alignment horizontal="right" vertical="center"/>
    </xf>
    <xf numFmtId="0" fontId="40" fillId="3" borderId="4" xfId="0" applyFont="1" applyFill="1" applyBorder="1" applyAlignment="1">
      <alignment horizontal="right" vertical="center"/>
    </xf>
    <xf numFmtId="0" fontId="12" fillId="3" borderId="6" xfId="0" applyFont="1" applyFill="1" applyBorder="1" applyAlignment="1">
      <alignment vertical="center"/>
    </xf>
    <xf numFmtId="3" fontId="12" fillId="3" borderId="13" xfId="0" applyNumberFormat="1" applyFont="1" applyFill="1" applyBorder="1" applyAlignment="1">
      <alignment horizontal="center" vertical="center"/>
    </xf>
    <xf numFmtId="3" fontId="25" fillId="3" borderId="8" xfId="0" applyNumberFormat="1" applyFont="1" applyFill="1" applyBorder="1" applyAlignment="1">
      <alignment horizontal="right" vertical="center"/>
    </xf>
    <xf numFmtId="3" fontId="12" fillId="3" borderId="2" xfId="0" applyNumberFormat="1" applyFont="1" applyFill="1" applyBorder="1" applyAlignment="1">
      <alignment horizontal="center" vertical="center"/>
    </xf>
    <xf numFmtId="3" fontId="25" fillId="3" borderId="2" xfId="0" applyNumberFormat="1" applyFont="1" applyFill="1" applyBorder="1" applyAlignment="1">
      <alignment horizontal="right" vertical="center"/>
    </xf>
    <xf numFmtId="3" fontId="25" fillId="3" borderId="12" xfId="0" applyNumberFormat="1" applyFont="1" applyFill="1" applyBorder="1" applyAlignment="1">
      <alignment horizontal="right" vertical="center"/>
    </xf>
    <xf numFmtId="0" fontId="131" fillId="3" borderId="4" xfId="0" applyFont="1" applyFill="1" applyBorder="1" applyAlignment="1">
      <alignment horizontal="center" vertical="center"/>
    </xf>
    <xf numFmtId="177" fontId="12" fillId="3" borderId="4" xfId="0" applyNumberFormat="1" applyFont="1" applyFill="1" applyBorder="1" applyAlignment="1">
      <alignment horizontal="center" vertical="center"/>
    </xf>
    <xf numFmtId="177" fontId="12" fillId="3" borderId="1" xfId="0" applyNumberFormat="1" applyFont="1" applyFill="1" applyBorder="1" applyAlignment="1">
      <alignment horizontal="center" vertical="center"/>
    </xf>
    <xf numFmtId="3" fontId="12" fillId="3" borderId="40" xfId="0" applyNumberFormat="1" applyFont="1" applyFill="1" applyBorder="1" applyAlignment="1">
      <alignment vertical="center"/>
    </xf>
    <xf numFmtId="0" fontId="12" fillId="3" borderId="2" xfId="0" applyFont="1" applyFill="1" applyBorder="1" applyAlignment="1">
      <alignment horizontal="center" vertical="center"/>
    </xf>
    <xf numFmtId="0" fontId="40" fillId="3" borderId="4" xfId="0" applyFont="1" applyFill="1" applyBorder="1" applyAlignment="1">
      <alignment vertical="center"/>
    </xf>
    <xf numFmtId="177" fontId="12" fillId="3" borderId="6" xfId="0" applyNumberFormat="1" applyFont="1" applyFill="1" applyBorder="1" applyAlignment="1">
      <alignment horizontal="center" vertical="center"/>
    </xf>
    <xf numFmtId="177" fontId="12" fillId="3" borderId="9" xfId="0" applyNumberFormat="1" applyFont="1" applyFill="1" applyBorder="1" applyAlignment="1">
      <alignment horizontal="center" vertical="center"/>
    </xf>
    <xf numFmtId="3" fontId="12" fillId="3" borderId="12" xfId="0" applyNumberFormat="1" applyFont="1" applyFill="1" applyBorder="1" applyAlignment="1">
      <alignment horizontal="center" vertical="center"/>
    </xf>
    <xf numFmtId="0" fontId="23" fillId="3" borderId="11" xfId="0" applyFont="1" applyFill="1" applyBorder="1" applyAlignment="1">
      <alignment vertical="center"/>
    </xf>
    <xf numFmtId="0" fontId="40" fillId="3" borderId="6" xfId="0" applyFont="1" applyFill="1" applyBorder="1" applyAlignment="1">
      <alignment vertical="center"/>
    </xf>
    <xf numFmtId="3" fontId="23" fillId="3" borderId="40" xfId="0" applyNumberFormat="1" applyFont="1" applyFill="1" applyBorder="1" applyAlignment="1">
      <alignment vertical="center"/>
    </xf>
    <xf numFmtId="3" fontId="23" fillId="3" borderId="2" xfId="0" applyNumberFormat="1" applyFont="1" applyFill="1" applyBorder="1" applyAlignment="1">
      <alignment horizontal="right" vertical="center"/>
    </xf>
    <xf numFmtId="0" fontId="23" fillId="3" borderId="4" xfId="0" applyFont="1" applyFill="1" applyBorder="1" applyAlignment="1">
      <alignment vertical="center"/>
    </xf>
    <xf numFmtId="0" fontId="12" fillId="3" borderId="13" xfId="0" applyFont="1" applyFill="1" applyBorder="1" applyAlignment="1">
      <alignment vertical="center"/>
    </xf>
    <xf numFmtId="3" fontId="25" fillId="3" borderId="48" xfId="0" applyNumberFormat="1" applyFont="1" applyFill="1" applyBorder="1" applyAlignment="1">
      <alignment horizontal="right" vertical="center"/>
    </xf>
    <xf numFmtId="0" fontId="32" fillId="3" borderId="4" xfId="0" applyFont="1" applyFill="1" applyBorder="1" applyAlignment="1">
      <alignment vertical="center"/>
    </xf>
    <xf numFmtId="0" fontId="40" fillId="3" borderId="3" xfId="0" applyFont="1" applyFill="1" applyBorder="1" applyAlignment="1">
      <alignment vertical="center"/>
    </xf>
    <xf numFmtId="0" fontId="25" fillId="3" borderId="2" xfId="0" applyFont="1" applyFill="1" applyBorder="1" applyAlignment="1">
      <alignment horizontal="right" vertical="center"/>
    </xf>
    <xf numFmtId="177" fontId="12" fillId="3" borderId="3" xfId="0" applyNumberFormat="1" applyFont="1" applyFill="1" applyBorder="1" applyAlignment="1">
      <alignment horizontal="center" vertical="center"/>
    </xf>
    <xf numFmtId="177" fontId="12" fillId="3" borderId="2" xfId="0" applyNumberFormat="1" applyFont="1" applyFill="1" applyBorder="1" applyAlignment="1">
      <alignment horizontal="center" vertical="center"/>
    </xf>
    <xf numFmtId="3" fontId="23" fillId="3" borderId="4" xfId="0" applyNumberFormat="1" applyFont="1" applyFill="1" applyBorder="1" applyAlignment="1">
      <alignment horizontal="right" vertical="center"/>
    </xf>
    <xf numFmtId="0" fontId="25" fillId="3" borderId="3" xfId="0" applyFont="1" applyFill="1" applyBorder="1" applyAlignment="1">
      <alignment vertical="center"/>
    </xf>
    <xf numFmtId="3" fontId="25" fillId="3" borderId="0" xfId="0" applyNumberFormat="1" applyFont="1" applyFill="1" applyAlignment="1">
      <alignment horizontal="right" vertical="center"/>
    </xf>
    <xf numFmtId="3" fontId="12" fillId="3" borderId="7" xfId="0" applyNumberFormat="1" applyFont="1" applyFill="1" applyBorder="1" applyAlignment="1">
      <alignment horizontal="right" vertical="center"/>
    </xf>
    <xf numFmtId="0" fontId="25" fillId="3" borderId="6" xfId="0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 vertical="center"/>
    </xf>
    <xf numFmtId="0" fontId="36" fillId="3" borderId="4" xfId="0" applyFont="1" applyFill="1" applyBorder="1" applyAlignment="1">
      <alignment horizontal="center"/>
    </xf>
    <xf numFmtId="3" fontId="36" fillId="3" borderId="4" xfId="0" applyNumberFormat="1" applyFont="1" applyFill="1" applyBorder="1" applyAlignment="1">
      <alignment horizontal="center"/>
    </xf>
    <xf numFmtId="0" fontId="101" fillId="3" borderId="0" xfId="0" applyFont="1" applyFill="1"/>
    <xf numFmtId="0" fontId="40" fillId="3" borderId="7" xfId="0" applyFont="1" applyFill="1" applyBorder="1" applyAlignment="1">
      <alignment vertical="center"/>
    </xf>
    <xf numFmtId="0" fontId="132" fillId="3" borderId="7" xfId="0" applyFont="1" applyFill="1" applyBorder="1" applyAlignment="1">
      <alignment vertical="center"/>
    </xf>
    <xf numFmtId="0" fontId="115" fillId="3" borderId="4" xfId="0" applyFont="1" applyFill="1" applyBorder="1"/>
    <xf numFmtId="0" fontId="115" fillId="3" borderId="0" xfId="0" applyFont="1" applyFill="1" applyAlignment="1">
      <alignment vertical="center"/>
    </xf>
    <xf numFmtId="0" fontId="23" fillId="3" borderId="2" xfId="0" applyFont="1" applyFill="1" applyBorder="1" applyAlignment="1">
      <alignment vertical="center"/>
    </xf>
    <xf numFmtId="3" fontId="23" fillId="3" borderId="46" xfId="0" applyNumberFormat="1" applyFont="1" applyFill="1" applyBorder="1" applyAlignment="1">
      <alignment vertical="center"/>
    </xf>
    <xf numFmtId="0" fontId="25" fillId="18" borderId="4" xfId="0" applyFont="1" applyFill="1" applyBorder="1" applyAlignment="1">
      <alignment horizontal="center" vertical="center"/>
    </xf>
    <xf numFmtId="3" fontId="25" fillId="3" borderId="3" xfId="0" applyNumberFormat="1" applyFont="1" applyFill="1" applyBorder="1" applyAlignment="1">
      <alignment horizontal="right" vertical="center"/>
    </xf>
    <xf numFmtId="3" fontId="2" fillId="3" borderId="3" xfId="0" applyNumberFormat="1" applyFont="1" applyFill="1" applyBorder="1" applyAlignment="1">
      <alignment horizontal="center" vertical="center"/>
    </xf>
    <xf numFmtId="3" fontId="2" fillId="3" borderId="4" xfId="0" applyNumberFormat="1" applyFont="1" applyFill="1" applyBorder="1" applyAlignment="1">
      <alignment horizontal="center" vertical="center"/>
    </xf>
    <xf numFmtId="0" fontId="25" fillId="18" borderId="3" xfId="0" applyFont="1" applyFill="1" applyBorder="1" applyAlignment="1">
      <alignment horizontal="center" vertical="center"/>
    </xf>
    <xf numFmtId="3" fontId="23" fillId="3" borderId="3" xfId="0" applyNumberFormat="1" applyFont="1" applyFill="1" applyBorder="1" applyAlignment="1">
      <alignment horizontal="right" vertical="center"/>
    </xf>
    <xf numFmtId="0" fontId="25" fillId="3" borderId="1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vertical="center"/>
    </xf>
    <xf numFmtId="183" fontId="12" fillId="3" borderId="4" xfId="0" applyNumberFormat="1" applyFont="1" applyFill="1" applyBorder="1" applyAlignment="1">
      <alignment horizontal="center" vertical="center"/>
    </xf>
    <xf numFmtId="4" fontId="12" fillId="3" borderId="4" xfId="0" applyNumberFormat="1" applyFont="1" applyFill="1" applyBorder="1" applyAlignment="1">
      <alignment horizontal="center" vertical="center"/>
    </xf>
    <xf numFmtId="0" fontId="25" fillId="3" borderId="4" xfId="0" applyFont="1" applyFill="1" applyBorder="1" applyAlignment="1">
      <alignment horizontal="right" vertical="center"/>
    </xf>
    <xf numFmtId="0" fontId="25" fillId="18" borderId="6" xfId="0" applyFont="1" applyFill="1" applyBorder="1" applyAlignment="1">
      <alignment horizontal="center" vertical="center"/>
    </xf>
    <xf numFmtId="0" fontId="25" fillId="3" borderId="11" xfId="0" applyFont="1" applyFill="1" applyBorder="1" applyAlignment="1">
      <alignment horizontal="right" vertical="center"/>
    </xf>
    <xf numFmtId="0" fontId="23" fillId="3" borderId="1" xfId="0" applyFont="1" applyFill="1" applyBorder="1" applyAlignment="1">
      <alignment horizontal="center" vertical="center"/>
    </xf>
    <xf numFmtId="3" fontId="12" fillId="3" borderId="53" xfId="0" applyNumberFormat="1" applyFont="1" applyFill="1" applyBorder="1" applyAlignment="1">
      <alignment vertical="center"/>
    </xf>
    <xf numFmtId="0" fontId="25" fillId="3" borderId="6" xfId="0" applyFont="1" applyFill="1" applyBorder="1" applyAlignment="1">
      <alignment horizontal="right" vertical="center"/>
    </xf>
    <xf numFmtId="3" fontId="24" fillId="8" borderId="11" xfId="0" applyNumberFormat="1" applyFont="1" applyFill="1" applyBorder="1" applyAlignment="1">
      <alignment horizontal="center" vertical="center"/>
    </xf>
    <xf numFmtId="0" fontId="24" fillId="8" borderId="11" xfId="0" applyFont="1" applyFill="1" applyBorder="1" applyAlignment="1">
      <alignment horizontal="center" vertical="center"/>
    </xf>
    <xf numFmtId="0" fontId="12" fillId="8" borderId="11" xfId="0" applyFont="1" applyFill="1" applyBorder="1" applyAlignment="1">
      <alignment vertical="center"/>
    </xf>
    <xf numFmtId="0" fontId="115" fillId="3" borderId="4" xfId="0" applyFont="1" applyFill="1" applyBorder="1" applyAlignment="1">
      <alignment vertical="center"/>
    </xf>
    <xf numFmtId="0" fontId="115" fillId="3" borderId="4" xfId="0" applyFont="1" applyFill="1" applyBorder="1" applyAlignment="1">
      <alignment horizontal="center" vertical="center"/>
    </xf>
    <xf numFmtId="3" fontId="41" fillId="3" borderId="11" xfId="0" applyNumberFormat="1" applyFont="1" applyFill="1" applyBorder="1" applyAlignment="1">
      <alignment horizontal="center" vertical="center"/>
    </xf>
    <xf numFmtId="0" fontId="41" fillId="3" borderId="11" xfId="0" applyFont="1" applyFill="1" applyBorder="1" applyAlignment="1">
      <alignment horizontal="center" vertical="center"/>
    </xf>
    <xf numFmtId="0" fontId="134" fillId="8" borderId="4" xfId="0" applyFont="1" applyFill="1" applyBorder="1" applyAlignment="1">
      <alignment horizontal="left" vertical="center"/>
    </xf>
    <xf numFmtId="0" fontId="55" fillId="8" borderId="4" xfId="0" applyFont="1" applyFill="1" applyBorder="1" applyAlignment="1">
      <alignment vertical="center"/>
    </xf>
    <xf numFmtId="0" fontId="25" fillId="8" borderId="4" xfId="0" applyFont="1" applyFill="1" applyBorder="1" applyAlignment="1">
      <alignment horizontal="center" vertical="center"/>
    </xf>
    <xf numFmtId="0" fontId="23" fillId="3" borderId="9" xfId="0" applyFont="1" applyFill="1" applyBorder="1" applyAlignment="1">
      <alignment horizontal="center" vertical="center"/>
    </xf>
    <xf numFmtId="0" fontId="25" fillId="3" borderId="46" xfId="0" applyFont="1" applyFill="1" applyBorder="1" applyAlignment="1">
      <alignment horizontal="center" vertical="center"/>
    </xf>
    <xf numFmtId="0" fontId="118" fillId="3" borderId="11" xfId="0" applyFont="1" applyFill="1" applyBorder="1" applyAlignment="1">
      <alignment horizontal="left" vertical="center"/>
    </xf>
    <xf numFmtId="0" fontId="42" fillId="3" borderId="11" xfId="0" applyFont="1" applyFill="1" applyBorder="1" applyAlignment="1">
      <alignment horizontal="center" vertical="center"/>
    </xf>
    <xf numFmtId="3" fontId="42" fillId="3" borderId="11" xfId="0" applyNumberFormat="1" applyFont="1" applyFill="1" applyBorder="1" applyAlignment="1">
      <alignment horizontal="center" vertical="center"/>
    </xf>
    <xf numFmtId="0" fontId="135" fillId="3" borderId="0" xfId="0" applyFont="1" applyFill="1"/>
    <xf numFmtId="0" fontId="42" fillId="3" borderId="11" xfId="0" applyFont="1" applyFill="1" applyBorder="1" applyAlignment="1">
      <alignment horizontal="left" vertical="center"/>
    </xf>
    <xf numFmtId="0" fontId="107" fillId="3" borderId="12" xfId="0" applyFont="1" applyFill="1" applyBorder="1" applyAlignment="1">
      <alignment horizontal="center" vertical="center"/>
    </xf>
    <xf numFmtId="0" fontId="35" fillId="3" borderId="9" xfId="0" applyFont="1" applyFill="1" applyBorder="1" applyAlignment="1">
      <alignment horizontal="center" vertical="center"/>
    </xf>
    <xf numFmtId="0" fontId="107" fillId="3" borderId="46" xfId="0" applyFont="1" applyFill="1" applyBorder="1" applyAlignment="1">
      <alignment horizontal="center" vertical="center"/>
    </xf>
    <xf numFmtId="0" fontId="136" fillId="3" borderId="11" xfId="0" applyFont="1" applyFill="1" applyBorder="1" applyAlignment="1">
      <alignment horizontal="left" vertical="center"/>
    </xf>
    <xf numFmtId="177" fontId="107" fillId="3" borderId="4" xfId="0" applyNumberFormat="1" applyFont="1" applyFill="1" applyBorder="1" applyAlignment="1">
      <alignment horizontal="center" vertical="center"/>
    </xf>
    <xf numFmtId="3" fontId="130" fillId="3" borderId="4" xfId="0" applyNumberFormat="1" applyFont="1" applyFill="1" applyBorder="1" applyAlignment="1">
      <alignment horizontal="center" vertical="center"/>
    </xf>
    <xf numFmtId="0" fontId="130" fillId="3" borderId="11" xfId="0" applyFont="1" applyFill="1" applyBorder="1" applyAlignment="1">
      <alignment horizontal="center" vertical="center"/>
    </xf>
    <xf numFmtId="3" fontId="130" fillId="3" borderId="11" xfId="0" applyNumberFormat="1" applyFont="1" applyFill="1" applyBorder="1" applyAlignment="1">
      <alignment horizontal="center" vertical="center"/>
    </xf>
    <xf numFmtId="0" fontId="35" fillId="3" borderId="4" xfId="0" applyFont="1" applyFill="1" applyBorder="1" applyAlignment="1">
      <alignment vertical="center"/>
    </xf>
    <xf numFmtId="0" fontId="37" fillId="3" borderId="11" xfId="0" applyFont="1" applyFill="1" applyBorder="1" applyAlignment="1">
      <alignment horizontal="center" vertical="center"/>
    </xf>
    <xf numFmtId="0" fontId="25" fillId="3" borderId="9" xfId="0" applyFont="1" applyFill="1" applyBorder="1" applyAlignment="1">
      <alignment horizontal="center" vertical="center"/>
    </xf>
    <xf numFmtId="3" fontId="42" fillId="3" borderId="11" xfId="0" applyNumberFormat="1" applyFont="1" applyFill="1" applyBorder="1" applyAlignment="1">
      <alignment horizontal="left" vertical="center"/>
    </xf>
    <xf numFmtId="0" fontId="25" fillId="8" borderId="12" xfId="0" applyFont="1" applyFill="1" applyBorder="1" applyAlignment="1">
      <alignment horizontal="center" vertical="center"/>
    </xf>
    <xf numFmtId="0" fontId="23" fillId="8" borderId="9" xfId="0" applyFont="1" applyFill="1" applyBorder="1" applyAlignment="1">
      <alignment horizontal="center" vertical="center"/>
    </xf>
    <xf numFmtId="0" fontId="25" fillId="8" borderId="46" xfId="0" applyFont="1" applyFill="1" applyBorder="1" applyAlignment="1">
      <alignment horizontal="center" vertical="center"/>
    </xf>
    <xf numFmtId="0" fontId="118" fillId="8" borderId="11" xfId="0" applyFont="1" applyFill="1" applyBorder="1" applyAlignment="1">
      <alignment horizontal="left" vertical="center"/>
    </xf>
    <xf numFmtId="177" fontId="25" fillId="8" borderId="4" xfId="0" applyNumberFormat="1" applyFont="1" applyFill="1" applyBorder="1" applyAlignment="1">
      <alignment horizontal="center" vertical="center"/>
    </xf>
    <xf numFmtId="3" fontId="42" fillId="8" borderId="4" xfId="0" applyNumberFormat="1" applyFont="1" applyFill="1" applyBorder="1" applyAlignment="1">
      <alignment horizontal="center" vertical="center"/>
    </xf>
    <xf numFmtId="0" fontId="42" fillId="8" borderId="11" xfId="0" applyFont="1" applyFill="1" applyBorder="1" applyAlignment="1">
      <alignment horizontal="center" vertical="center"/>
    </xf>
    <xf numFmtId="0" fontId="125" fillId="0" borderId="0" xfId="0" applyFont="1" applyAlignment="1">
      <alignment vertical="center"/>
    </xf>
    <xf numFmtId="0" fontId="125" fillId="3" borderId="0" xfId="0" applyFont="1" applyFill="1" applyAlignment="1">
      <alignment horizontal="right" vertical="center"/>
    </xf>
    <xf numFmtId="0" fontId="2" fillId="0" borderId="0" xfId="0" applyFont="1"/>
    <xf numFmtId="0" fontId="137" fillId="25" borderId="4" xfId="0" applyFont="1" applyFill="1" applyBorder="1" applyAlignment="1">
      <alignment horizontal="center"/>
    </xf>
    <xf numFmtId="0" fontId="138" fillId="0" borderId="4" xfId="0" applyFont="1" applyBorder="1" applyAlignment="1">
      <alignment horizontal="center"/>
    </xf>
    <xf numFmtId="0" fontId="139" fillId="0" borderId="4" xfId="0" applyFont="1" applyBorder="1" applyAlignment="1">
      <alignment horizontal="center"/>
    </xf>
    <xf numFmtId="0" fontId="137" fillId="0" borderId="4" xfId="0" applyFont="1" applyBorder="1" applyAlignment="1">
      <alignment horizontal="center"/>
    </xf>
    <xf numFmtId="0" fontId="140" fillId="0" borderId="4" xfId="0" applyFont="1" applyBorder="1" applyAlignment="1">
      <alignment horizontal="center"/>
    </xf>
    <xf numFmtId="0" fontId="125" fillId="0" borderId="0" xfId="0" applyFont="1" applyAlignment="1">
      <alignment horizontal="right" vertical="center"/>
    </xf>
    <xf numFmtId="0" fontId="142" fillId="0" borderId="4" xfId="0" applyFont="1" applyBorder="1" applyAlignment="1">
      <alignment horizontal="center"/>
    </xf>
    <xf numFmtId="0" fontId="137" fillId="0" borderId="4" xfId="0" applyFont="1" applyBorder="1" applyAlignment="1">
      <alignment horizontal="left"/>
    </xf>
    <xf numFmtId="0" fontId="143" fillId="0" borderId="4" xfId="0" applyFont="1" applyBorder="1" applyAlignment="1">
      <alignment horizontal="center" vertical="center"/>
    </xf>
    <xf numFmtId="0" fontId="143" fillId="0" borderId="4" xfId="0" applyFont="1" applyBorder="1" applyAlignment="1">
      <alignment vertical="center"/>
    </xf>
    <xf numFmtId="0" fontId="144" fillId="0" borderId="0" xfId="0" applyFont="1"/>
    <xf numFmtId="0" fontId="3" fillId="0" borderId="0" xfId="0" applyFont="1" applyAlignment="1">
      <alignment horizontal="center"/>
    </xf>
    <xf numFmtId="0" fontId="144" fillId="0" borderId="0" xfId="0" applyFont="1" applyAlignment="1">
      <alignment horizontal="right"/>
    </xf>
    <xf numFmtId="0" fontId="145" fillId="21" borderId="15" xfId="0" applyFont="1" applyFill="1" applyBorder="1" applyAlignment="1">
      <alignment horizontal="center" vertical="center"/>
    </xf>
    <xf numFmtId="49" fontId="78" fillId="21" borderId="16" xfId="0" applyNumberFormat="1" applyFont="1" applyFill="1" applyBorder="1" applyAlignment="1">
      <alignment vertical="center"/>
    </xf>
    <xf numFmtId="0" fontId="78" fillId="21" borderId="15" xfId="0" applyFont="1" applyFill="1" applyBorder="1" applyAlignment="1">
      <alignment vertical="center"/>
    </xf>
    <xf numFmtId="0" fontId="2" fillId="21" borderId="16" xfId="0" applyFont="1" applyFill="1" applyBorder="1" applyAlignment="1">
      <alignment horizontal="center" vertical="center"/>
    </xf>
    <xf numFmtId="0" fontId="2" fillId="21" borderId="17" xfId="0" applyFont="1" applyFill="1" applyBorder="1" applyAlignment="1">
      <alignment horizontal="center" vertical="center"/>
    </xf>
    <xf numFmtId="0" fontId="2" fillId="21" borderId="0" xfId="0" applyFont="1" applyFill="1" applyAlignment="1">
      <alignment vertical="center"/>
    </xf>
    <xf numFmtId="0" fontId="2" fillId="2" borderId="54" xfId="0" applyFont="1" applyFill="1" applyBorder="1" applyAlignment="1">
      <alignment horizontal="center" vertical="center"/>
    </xf>
    <xf numFmtId="0" fontId="2" fillId="2" borderId="55" xfId="0" applyFont="1" applyFill="1" applyBorder="1" applyAlignment="1">
      <alignment horizontal="center" vertical="center"/>
    </xf>
    <xf numFmtId="0" fontId="2" fillId="2" borderId="56" xfId="0" applyFont="1" applyFill="1" applyBorder="1" applyAlignment="1">
      <alignment horizontal="center" vertical="center"/>
    </xf>
    <xf numFmtId="0" fontId="2" fillId="2" borderId="57" xfId="0" applyFont="1" applyFill="1" applyBorder="1" applyAlignment="1">
      <alignment horizontal="center" vertical="center"/>
    </xf>
    <xf numFmtId="0" fontId="2" fillId="2" borderId="58" xfId="0" applyFont="1" applyFill="1" applyBorder="1" applyAlignment="1">
      <alignment horizontal="center" vertical="center"/>
    </xf>
    <xf numFmtId="0" fontId="2" fillId="2" borderId="59" xfId="0" applyFont="1" applyFill="1" applyBorder="1" applyAlignment="1">
      <alignment horizontal="center" vertical="center"/>
    </xf>
    <xf numFmtId="0" fontId="10" fillId="2" borderId="19" xfId="0" applyFont="1" applyFill="1" applyBorder="1" applyAlignment="1">
      <alignment horizontal="center" vertical="center"/>
    </xf>
    <xf numFmtId="0" fontId="2" fillId="0" borderId="60" xfId="0" applyFont="1" applyBorder="1" applyAlignment="1">
      <alignment horizontal="center" vertical="center"/>
    </xf>
    <xf numFmtId="0" fontId="146" fillId="0" borderId="29" xfId="0" applyFont="1" applyBorder="1" applyAlignment="1">
      <alignment vertical="center"/>
    </xf>
    <xf numFmtId="0" fontId="2" fillId="0" borderId="32" xfId="0" applyFont="1" applyBorder="1" applyAlignment="1">
      <alignment horizontal="center" vertical="center"/>
    </xf>
    <xf numFmtId="0" fontId="2" fillId="0" borderId="61" xfId="0" applyFont="1" applyBorder="1" applyAlignment="1">
      <alignment horizontal="center" vertical="center"/>
    </xf>
    <xf numFmtId="0" fontId="2" fillId="0" borderId="62" xfId="0" applyFont="1" applyBorder="1" applyAlignment="1">
      <alignment horizontal="center" vertical="center"/>
    </xf>
    <xf numFmtId="0" fontId="2" fillId="0" borderId="63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3" fontId="2" fillId="23" borderId="26" xfId="0" applyNumberFormat="1" applyFont="1" applyFill="1" applyBorder="1" applyAlignment="1">
      <alignment vertical="center"/>
    </xf>
    <xf numFmtId="182" fontId="2" fillId="0" borderId="30" xfId="0" applyNumberFormat="1" applyFont="1" applyBorder="1" applyAlignment="1">
      <alignment horizontal="center" vertical="center"/>
    </xf>
    <xf numFmtId="0" fontId="2" fillId="19" borderId="29" xfId="0" applyFont="1" applyFill="1" applyBorder="1" applyAlignment="1">
      <alignment vertical="center"/>
    </xf>
    <xf numFmtId="0" fontId="2" fillId="19" borderId="64" xfId="0" applyFont="1" applyFill="1" applyBorder="1" applyAlignment="1">
      <alignment horizontal="center" vertical="center"/>
    </xf>
    <xf numFmtId="0" fontId="2" fillId="23" borderId="62" xfId="0" applyFont="1" applyFill="1" applyBorder="1" applyAlignment="1">
      <alignment vertical="center"/>
    </xf>
    <xf numFmtId="0" fontId="2" fillId="23" borderId="63" xfId="0" applyFont="1" applyFill="1" applyBorder="1" applyAlignment="1">
      <alignment horizontal="center" vertical="center"/>
    </xf>
    <xf numFmtId="0" fontId="2" fillId="0" borderId="67" xfId="0" applyFont="1" applyBorder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0" fontId="113" fillId="0" borderId="26" xfId="0" applyFont="1" applyBorder="1" applyAlignment="1">
      <alignment horizontal="center" vertical="center"/>
    </xf>
    <xf numFmtId="181" fontId="2" fillId="0" borderId="30" xfId="0" applyNumberFormat="1" applyFont="1" applyBorder="1" applyAlignment="1">
      <alignment horizontal="center" vertical="center"/>
    </xf>
    <xf numFmtId="181" fontId="2" fillId="0" borderId="83" xfId="0" applyNumberFormat="1" applyFont="1" applyBorder="1" applyAlignment="1">
      <alignment horizontal="center" vertical="center"/>
    </xf>
    <xf numFmtId="0" fontId="2" fillId="0" borderId="86" xfId="0" applyFont="1" applyBorder="1" applyAlignment="1">
      <alignment vertical="center"/>
    </xf>
    <xf numFmtId="0" fontId="2" fillId="0" borderId="86" xfId="0" applyFont="1" applyBorder="1" applyAlignment="1">
      <alignment horizontal="center" vertical="center"/>
    </xf>
    <xf numFmtId="0" fontId="2" fillId="0" borderId="87" xfId="0" applyFont="1" applyBorder="1" applyAlignment="1">
      <alignment horizontal="center" vertical="center"/>
    </xf>
    <xf numFmtId="0" fontId="2" fillId="0" borderId="88" xfId="0" applyFont="1" applyBorder="1" applyAlignment="1">
      <alignment horizontal="center" vertical="center"/>
    </xf>
    <xf numFmtId="0" fontId="2" fillId="0" borderId="89" xfId="0" applyFont="1" applyBorder="1" applyAlignment="1">
      <alignment horizontal="center" vertical="center"/>
    </xf>
    <xf numFmtId="0" fontId="2" fillId="0" borderId="90" xfId="0" applyFont="1" applyBorder="1" applyAlignment="1">
      <alignment horizontal="center" vertical="center"/>
    </xf>
    <xf numFmtId="0" fontId="2" fillId="0" borderId="91" xfId="0" applyFont="1" applyBorder="1" applyAlignment="1">
      <alignment horizontal="center" vertical="center"/>
    </xf>
    <xf numFmtId="0" fontId="2" fillId="0" borderId="92" xfId="0" applyFont="1" applyBorder="1" applyAlignment="1">
      <alignment horizontal="center" vertical="center"/>
    </xf>
    <xf numFmtId="3" fontId="2" fillId="0" borderId="86" xfId="0" applyNumberFormat="1" applyFont="1" applyBorder="1" applyAlignment="1">
      <alignment horizontal="center" vertical="center"/>
    </xf>
    <xf numFmtId="3" fontId="2" fillId="23" borderId="86" xfId="0" applyNumberFormat="1" applyFont="1" applyFill="1" applyBorder="1" applyAlignment="1">
      <alignment vertical="center"/>
    </xf>
    <xf numFmtId="182" fontId="2" fillId="0" borderId="93" xfId="0" applyNumberFormat="1" applyFont="1" applyBorder="1" applyAlignment="1">
      <alignment horizontal="center" vertical="center"/>
    </xf>
    <xf numFmtId="0" fontId="2" fillId="0" borderId="96" xfId="0" applyFont="1" applyBorder="1" applyAlignment="1">
      <alignment vertical="center"/>
    </xf>
    <xf numFmtId="0" fontId="2" fillId="0" borderId="96" xfId="0" applyFont="1" applyBorder="1" applyAlignment="1">
      <alignment horizontal="center" vertical="center"/>
    </xf>
    <xf numFmtId="0" fontId="2" fillId="0" borderId="97" xfId="0" applyFont="1" applyBorder="1" applyAlignment="1">
      <alignment horizontal="center" vertical="center"/>
    </xf>
    <xf numFmtId="0" fontId="2" fillId="0" borderId="98" xfId="0" applyFont="1" applyBorder="1" applyAlignment="1">
      <alignment horizontal="center" vertical="center"/>
    </xf>
    <xf numFmtId="0" fontId="2" fillId="0" borderId="99" xfId="0" applyFont="1" applyBorder="1" applyAlignment="1">
      <alignment horizontal="center" vertical="center"/>
    </xf>
    <xf numFmtId="0" fontId="2" fillId="0" borderId="100" xfId="0" applyFont="1" applyBorder="1" applyAlignment="1">
      <alignment horizontal="center" vertical="center"/>
    </xf>
    <xf numFmtId="0" fontId="2" fillId="0" borderId="101" xfId="0" applyFont="1" applyBorder="1" applyAlignment="1">
      <alignment horizontal="center" vertical="center"/>
    </xf>
    <xf numFmtId="3" fontId="2" fillId="0" borderId="96" xfId="0" applyNumberFormat="1" applyFont="1" applyBorder="1" applyAlignment="1">
      <alignment horizontal="center" vertical="center"/>
    </xf>
    <xf numFmtId="3" fontId="2" fillId="23" borderId="96" xfId="0" applyNumberFormat="1" applyFont="1" applyFill="1" applyBorder="1" applyAlignment="1">
      <alignment vertical="center"/>
    </xf>
    <xf numFmtId="182" fontId="2" fillId="0" borderId="83" xfId="0" applyNumberFormat="1" applyFont="1" applyBorder="1" applyAlignment="1">
      <alignment horizontal="center" vertical="center"/>
    </xf>
    <xf numFmtId="181" fontId="2" fillId="0" borderId="93" xfId="0" applyNumberFormat="1" applyFont="1" applyBorder="1" applyAlignment="1">
      <alignment horizontal="center" vertical="center"/>
    </xf>
    <xf numFmtId="181" fontId="2" fillId="0" borderId="102" xfId="0" applyNumberFormat="1" applyFont="1" applyBorder="1" applyAlignment="1">
      <alignment horizontal="center" vertical="center"/>
    </xf>
    <xf numFmtId="0" fontId="2" fillId="0" borderId="103" xfId="0" applyFont="1" applyBorder="1" applyAlignment="1">
      <alignment vertical="center"/>
    </xf>
    <xf numFmtId="0" fontId="2" fillId="0" borderId="104" xfId="0" applyFont="1" applyBorder="1" applyAlignment="1">
      <alignment horizontal="center" vertical="center"/>
    </xf>
    <xf numFmtId="0" fontId="2" fillId="0" borderId="104" xfId="0" applyFont="1" applyBorder="1" applyAlignment="1">
      <alignment vertical="center"/>
    </xf>
    <xf numFmtId="0" fontId="2" fillId="0" borderId="105" xfId="0" applyFont="1" applyBorder="1" applyAlignment="1">
      <alignment horizontal="center" vertical="center"/>
    </xf>
    <xf numFmtId="0" fontId="2" fillId="0" borderId="106" xfId="0" applyFont="1" applyBorder="1" applyAlignment="1">
      <alignment horizontal="center" vertical="center"/>
    </xf>
    <xf numFmtId="0" fontId="2" fillId="0" borderId="107" xfId="0" applyFont="1" applyBorder="1" applyAlignment="1">
      <alignment horizontal="center" vertical="center"/>
    </xf>
    <xf numFmtId="0" fontId="2" fillId="0" borderId="108" xfId="0" applyFont="1" applyBorder="1" applyAlignment="1">
      <alignment horizontal="center" vertical="center"/>
    </xf>
    <xf numFmtId="3" fontId="2" fillId="0" borderId="104" xfId="0" applyNumberFormat="1" applyFont="1" applyBorder="1" applyAlignment="1">
      <alignment horizontal="center" vertical="center"/>
    </xf>
    <xf numFmtId="182" fontId="2" fillId="0" borderId="65" xfId="0" applyNumberFormat="1" applyFont="1" applyBorder="1" applyAlignment="1">
      <alignment horizontal="center" vertical="center"/>
    </xf>
    <xf numFmtId="181" fontId="2" fillId="0" borderId="109" xfId="0" applyNumberFormat="1" applyFont="1" applyBorder="1" applyAlignment="1">
      <alignment horizontal="center" vertical="center"/>
    </xf>
    <xf numFmtId="0" fontId="2" fillId="0" borderId="94" xfId="0" applyFont="1" applyBorder="1" applyAlignment="1">
      <alignment vertical="center"/>
    </xf>
    <xf numFmtId="0" fontId="2" fillId="0" borderId="95" xfId="0" applyFont="1" applyBorder="1" applyAlignment="1">
      <alignment horizontal="center" vertical="center"/>
    </xf>
    <xf numFmtId="0" fontId="2" fillId="0" borderId="110" xfId="0" applyFont="1" applyBorder="1" applyAlignment="1">
      <alignment horizontal="center" vertical="center"/>
    </xf>
    <xf numFmtId="0" fontId="2" fillId="0" borderId="111" xfId="0" applyFont="1" applyBorder="1" applyAlignment="1">
      <alignment horizontal="center" vertical="center"/>
    </xf>
    <xf numFmtId="0" fontId="2" fillId="0" borderId="112" xfId="0" applyFont="1" applyBorder="1" applyAlignment="1">
      <alignment horizontal="center" vertical="center"/>
    </xf>
    <xf numFmtId="0" fontId="2" fillId="0" borderId="113" xfId="0" applyFont="1" applyBorder="1" applyAlignment="1">
      <alignment horizontal="center" vertical="center"/>
    </xf>
    <xf numFmtId="0" fontId="2" fillId="0" borderId="114" xfId="0" applyFont="1" applyBorder="1" applyAlignment="1">
      <alignment horizontal="center" vertical="center"/>
    </xf>
    <xf numFmtId="0" fontId="2" fillId="0" borderId="95" xfId="0" applyFont="1" applyBorder="1" applyAlignment="1">
      <alignment vertical="center"/>
    </xf>
    <xf numFmtId="3" fontId="2" fillId="0" borderId="95" xfId="0" applyNumberFormat="1" applyFont="1" applyBorder="1" applyAlignment="1">
      <alignment horizontal="center" vertical="center"/>
    </xf>
    <xf numFmtId="182" fontId="2" fillId="0" borderId="109" xfId="0" applyNumberFormat="1" applyFont="1" applyBorder="1" applyAlignment="1">
      <alignment horizontal="center" vertical="center"/>
    </xf>
    <xf numFmtId="181" fontId="2" fillId="0" borderId="27" xfId="0" applyNumberFormat="1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78" xfId="0" applyFont="1" applyBorder="1" applyAlignment="1">
      <alignment horizontal="center" vertical="center"/>
    </xf>
    <xf numFmtId="0" fontId="2" fillId="0" borderId="79" xfId="0" applyFont="1" applyBorder="1" applyAlignment="1">
      <alignment horizontal="center" vertical="center"/>
    </xf>
    <xf numFmtId="0" fontId="2" fillId="0" borderId="81" xfId="0" applyFont="1" applyBorder="1" applyAlignment="1">
      <alignment horizontal="center" vertical="center"/>
    </xf>
    <xf numFmtId="182" fontId="2" fillId="0" borderId="27" xfId="0" applyNumberFormat="1" applyFont="1" applyBorder="1" applyAlignment="1">
      <alignment horizontal="center" vertical="center"/>
    </xf>
    <xf numFmtId="0" fontId="2" fillId="0" borderId="72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2" fillId="0" borderId="70" xfId="0" applyFont="1" applyBorder="1" applyAlignment="1">
      <alignment horizontal="center" vertical="center"/>
    </xf>
    <xf numFmtId="181" fontId="2" fillId="0" borderId="73" xfId="0" applyNumberFormat="1" applyFont="1" applyBorder="1" applyAlignment="1">
      <alignment horizontal="center" vertical="center"/>
    </xf>
    <xf numFmtId="0" fontId="2" fillId="0" borderId="15" xfId="0" applyFont="1" applyBorder="1" applyAlignment="1">
      <alignment vertical="center"/>
    </xf>
    <xf numFmtId="0" fontId="2" fillId="0" borderId="16" xfId="0" applyFont="1" applyBorder="1" applyAlignment="1">
      <alignment horizontal="center" vertical="center"/>
    </xf>
    <xf numFmtId="0" fontId="2" fillId="0" borderId="16" xfId="0" applyFont="1" applyBorder="1" applyAlignment="1">
      <alignment vertical="center"/>
    </xf>
    <xf numFmtId="0" fontId="2" fillId="0" borderId="17" xfId="0" applyFont="1" applyBorder="1" applyAlignment="1">
      <alignment horizontal="center" vertical="center"/>
    </xf>
    <xf numFmtId="0" fontId="2" fillId="0" borderId="74" xfId="0" applyFont="1" applyBorder="1" applyAlignment="1">
      <alignment horizontal="center" vertical="center"/>
    </xf>
    <xf numFmtId="0" fontId="2" fillId="0" borderId="75" xfId="0" applyFont="1" applyBorder="1" applyAlignment="1">
      <alignment horizontal="center" vertical="center"/>
    </xf>
    <xf numFmtId="0" fontId="2" fillId="0" borderId="76" xfId="0" applyFont="1" applyBorder="1" applyAlignment="1">
      <alignment horizontal="center" vertical="center"/>
    </xf>
    <xf numFmtId="0" fontId="2" fillId="0" borderId="77" xfId="0" applyFont="1" applyBorder="1" applyAlignment="1">
      <alignment horizontal="center" vertical="center"/>
    </xf>
    <xf numFmtId="3" fontId="2" fillId="23" borderId="95" xfId="0" applyNumberFormat="1" applyFont="1" applyFill="1" applyBorder="1" applyAlignment="1">
      <alignment vertical="center"/>
    </xf>
    <xf numFmtId="182" fontId="2" fillId="0" borderId="73" xfId="0" applyNumberFormat="1" applyFont="1" applyBorder="1" applyAlignment="1">
      <alignment horizontal="center" vertical="center"/>
    </xf>
    <xf numFmtId="0" fontId="2" fillId="0" borderId="115" xfId="0" applyFont="1" applyBorder="1" applyAlignment="1">
      <alignment horizontal="center" vertical="center"/>
    </xf>
    <xf numFmtId="3" fontId="2" fillId="23" borderId="85" xfId="0" applyNumberFormat="1" applyFont="1" applyFill="1" applyBorder="1" applyAlignment="1">
      <alignment vertical="center"/>
    </xf>
    <xf numFmtId="182" fontId="2" fillId="0" borderId="116" xfId="0" applyNumberFormat="1" applyFont="1" applyBorder="1" applyAlignment="1">
      <alignment horizontal="center" vertical="center"/>
    </xf>
    <xf numFmtId="3" fontId="2" fillId="23" borderId="16" xfId="0" applyNumberFormat="1" applyFont="1" applyFill="1" applyBorder="1" applyAlignment="1">
      <alignment vertical="center"/>
    </xf>
    <xf numFmtId="3" fontId="2" fillId="23" borderId="23" xfId="0" applyNumberFormat="1" applyFont="1" applyFill="1" applyBorder="1" applyAlignment="1">
      <alignment vertical="center"/>
    </xf>
    <xf numFmtId="0" fontId="2" fillId="0" borderId="117" xfId="0" applyFont="1" applyBorder="1" applyAlignment="1">
      <alignment horizontal="center" vertical="center"/>
    </xf>
    <xf numFmtId="181" fontId="2" fillId="0" borderId="116" xfId="0" applyNumberFormat="1" applyFont="1" applyBorder="1" applyAlignment="1">
      <alignment horizontal="center" vertical="center"/>
    </xf>
    <xf numFmtId="0" fontId="2" fillId="19" borderId="103" xfId="0" applyFont="1" applyFill="1" applyBorder="1" applyAlignment="1">
      <alignment vertical="center"/>
    </xf>
    <xf numFmtId="0" fontId="2" fillId="23" borderId="115" xfId="0" applyFont="1" applyFill="1" applyBorder="1" applyAlignment="1">
      <alignment vertical="center"/>
    </xf>
    <xf numFmtId="0" fontId="2" fillId="0" borderId="103" xfId="0" applyFont="1" applyBorder="1" applyAlignment="1">
      <alignment horizontal="center" vertical="center"/>
    </xf>
    <xf numFmtId="3" fontId="113" fillId="0" borderId="104" xfId="0" applyNumberFormat="1" applyFont="1" applyBorder="1" applyAlignment="1">
      <alignment horizontal="center" vertical="center"/>
    </xf>
    <xf numFmtId="3" fontId="2" fillId="23" borderId="104" xfId="0" applyNumberFormat="1" applyFont="1" applyFill="1" applyBorder="1" applyAlignment="1">
      <alignment vertical="center"/>
    </xf>
    <xf numFmtId="0" fontId="2" fillId="19" borderId="2" xfId="0" applyFont="1" applyFill="1" applyBorder="1" applyAlignment="1">
      <alignment horizontal="center" vertical="center"/>
    </xf>
    <xf numFmtId="3" fontId="2" fillId="0" borderId="104" xfId="0" applyNumberFormat="1" applyFont="1" applyBorder="1" applyAlignment="1">
      <alignment vertical="center"/>
    </xf>
    <xf numFmtId="0" fontId="2" fillId="0" borderId="82" xfId="0" applyFont="1" applyBorder="1" applyAlignment="1">
      <alignment vertical="center"/>
    </xf>
    <xf numFmtId="0" fontId="2" fillId="0" borderId="80" xfId="0" applyFont="1" applyBorder="1" applyAlignment="1">
      <alignment vertical="center"/>
    </xf>
    <xf numFmtId="3" fontId="2" fillId="0" borderId="23" xfId="0" applyNumberFormat="1" applyFont="1" applyBorder="1" applyAlignment="1">
      <alignment vertical="center"/>
    </xf>
    <xf numFmtId="0" fontId="2" fillId="0" borderId="25" xfId="0" applyFont="1" applyBorder="1" applyAlignment="1">
      <alignment vertical="center"/>
    </xf>
    <xf numFmtId="182" fontId="2" fillId="0" borderId="25" xfId="0" applyNumberFormat="1" applyFont="1" applyBorder="1" applyAlignment="1">
      <alignment vertical="center"/>
    </xf>
    <xf numFmtId="0" fontId="3" fillId="0" borderId="0" xfId="0" applyFont="1"/>
    <xf numFmtId="181" fontId="2" fillId="2" borderId="21" xfId="0" applyNumberFormat="1" applyFont="1" applyFill="1" applyBorder="1" applyAlignment="1">
      <alignment horizontal="center" vertical="center"/>
    </xf>
    <xf numFmtId="0" fontId="2" fillId="2" borderId="118" xfId="0" applyFont="1" applyFill="1" applyBorder="1" applyAlignment="1">
      <alignment horizontal="center" vertical="center"/>
    </xf>
    <xf numFmtId="0" fontId="2" fillId="2" borderId="119" xfId="0" applyFont="1" applyFill="1" applyBorder="1" applyAlignment="1">
      <alignment horizontal="center" vertical="center"/>
    </xf>
    <xf numFmtId="3" fontId="113" fillId="2" borderId="33" xfId="0" applyNumberFormat="1" applyFont="1" applyFill="1" applyBorder="1" applyAlignment="1">
      <alignment horizontal="center" vertical="center"/>
    </xf>
    <xf numFmtId="182" fontId="2" fillId="2" borderId="119" xfId="0" applyNumberFormat="1" applyFont="1" applyFill="1" applyBorder="1" applyAlignment="1">
      <alignment horizontal="center" vertical="center"/>
    </xf>
    <xf numFmtId="182" fontId="2" fillId="2" borderId="21" xfId="0" applyNumberFormat="1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0" borderId="29" xfId="0" applyFont="1" applyBorder="1" applyAlignment="1">
      <alignment vertical="center"/>
    </xf>
    <xf numFmtId="0" fontId="2" fillId="0" borderId="32" xfId="0" applyFont="1" applyBorder="1" applyAlignment="1">
      <alignment vertical="center"/>
    </xf>
    <xf numFmtId="0" fontId="148" fillId="0" borderId="120" xfId="0" applyFont="1" applyBorder="1" applyAlignment="1">
      <alignment horizontal="center" vertical="center"/>
    </xf>
    <xf numFmtId="4" fontId="2" fillId="0" borderId="26" xfId="0" applyNumberFormat="1" applyFont="1" applyBorder="1" applyAlignment="1">
      <alignment horizontal="center" vertical="center"/>
    </xf>
    <xf numFmtId="0" fontId="2" fillId="0" borderId="120" xfId="0" applyFont="1" applyBorder="1" applyAlignment="1">
      <alignment vertical="center"/>
    </xf>
    <xf numFmtId="0" fontId="2" fillId="0" borderId="88" xfId="0" applyFont="1" applyBorder="1"/>
    <xf numFmtId="0" fontId="2" fillId="0" borderId="89" xfId="0" applyFont="1" applyBorder="1"/>
    <xf numFmtId="0" fontId="2" fillId="0" borderId="90" xfId="0" applyFont="1" applyBorder="1"/>
    <xf numFmtId="0" fontId="2" fillId="0" borderId="70" xfId="0" applyFont="1" applyBorder="1"/>
    <xf numFmtId="0" fontId="2" fillId="0" borderId="117" xfId="0" applyFont="1" applyBorder="1" applyAlignment="1">
      <alignment vertical="center"/>
    </xf>
    <xf numFmtId="3" fontId="2" fillId="0" borderId="96" xfId="0" applyNumberFormat="1" applyFont="1" applyBorder="1" applyAlignment="1">
      <alignment vertical="center"/>
    </xf>
    <xf numFmtId="0" fontId="2" fillId="0" borderId="97" xfId="0" applyFont="1" applyBorder="1" applyAlignment="1">
      <alignment vertical="center"/>
    </xf>
    <xf numFmtId="182" fontId="2" fillId="0" borderId="97" xfId="0" applyNumberFormat="1" applyFont="1" applyBorder="1" applyAlignment="1">
      <alignment vertical="center"/>
    </xf>
    <xf numFmtId="0" fontId="2" fillId="0" borderId="121" xfId="0" applyFont="1" applyBorder="1" applyAlignment="1">
      <alignment vertical="center"/>
    </xf>
    <xf numFmtId="3" fontId="2" fillId="0" borderId="0" xfId="0" applyNumberFormat="1" applyFont="1" applyAlignment="1">
      <alignment horizontal="center" vertical="center"/>
    </xf>
    <xf numFmtId="181" fontId="2" fillId="0" borderId="0" xfId="0" applyNumberFormat="1" applyFont="1" applyAlignment="1">
      <alignment vertical="center"/>
    </xf>
    <xf numFmtId="0" fontId="2" fillId="0" borderId="122" xfId="0" applyFont="1" applyBorder="1"/>
    <xf numFmtId="0" fontId="2" fillId="0" borderId="123" xfId="0" applyFont="1" applyBorder="1"/>
    <xf numFmtId="0" fontId="2" fillId="0" borderId="124" xfId="0" applyFont="1" applyBorder="1"/>
    <xf numFmtId="0" fontId="2" fillId="0" borderId="125" xfId="0" applyFont="1" applyBorder="1" applyAlignment="1">
      <alignment horizontal="center" vertical="center"/>
    </xf>
    <xf numFmtId="182" fontId="2" fillId="0" borderId="126" xfId="0" applyNumberFormat="1" applyFont="1" applyBorder="1" applyAlignment="1">
      <alignment horizontal="center" vertical="center"/>
    </xf>
    <xf numFmtId="0" fontId="2" fillId="0" borderId="127" xfId="0" applyFont="1" applyBorder="1" applyAlignment="1">
      <alignment vertical="center"/>
    </xf>
    <xf numFmtId="0" fontId="2" fillId="0" borderId="73" xfId="0" applyFont="1" applyBorder="1" applyAlignment="1">
      <alignment horizontal="center" vertical="center"/>
    </xf>
    <xf numFmtId="0" fontId="2" fillId="0" borderId="73" xfId="0" applyFont="1" applyBorder="1" applyAlignment="1">
      <alignment vertical="center"/>
    </xf>
    <xf numFmtId="0" fontId="149" fillId="0" borderId="0" xfId="0" applyFont="1" applyAlignment="1">
      <alignment horizontal="center" vertical="center"/>
    </xf>
    <xf numFmtId="0" fontId="2" fillId="0" borderId="128" xfId="0" applyFont="1" applyBorder="1" applyAlignment="1">
      <alignment vertical="center"/>
    </xf>
    <xf numFmtId="0" fontId="2" fillId="19" borderId="129" xfId="0" applyFont="1" applyFill="1" applyBorder="1" applyAlignment="1">
      <alignment vertical="center"/>
    </xf>
    <xf numFmtId="0" fontId="2" fillId="0" borderId="129" xfId="0" applyFont="1" applyBorder="1" applyAlignment="1">
      <alignment vertical="center"/>
    </xf>
    <xf numFmtId="0" fontId="2" fillId="0" borderId="130" xfId="0" applyFont="1" applyBorder="1" applyAlignment="1">
      <alignment horizontal="center" vertical="center"/>
    </xf>
    <xf numFmtId="0" fontId="2" fillId="0" borderId="130" xfId="0" applyFont="1" applyBorder="1" applyAlignment="1">
      <alignment vertical="center"/>
    </xf>
    <xf numFmtId="0" fontId="3" fillId="0" borderId="0" xfId="0" applyFont="1" applyAlignment="1">
      <alignment horizontal="center" vertical="center"/>
    </xf>
    <xf numFmtId="0" fontId="12" fillId="26" borderId="4" xfId="0" applyFont="1" applyFill="1" applyBorder="1" applyAlignment="1">
      <alignment horizontal="center" vertical="center"/>
    </xf>
    <xf numFmtId="0" fontId="137" fillId="25" borderId="4" xfId="0" applyFont="1" applyFill="1" applyBorder="1" applyAlignment="1">
      <alignment horizontal="center" vertical="center"/>
    </xf>
    <xf numFmtId="0" fontId="137" fillId="25" borderId="3" xfId="0" applyFont="1" applyFill="1" applyBorder="1" applyAlignment="1">
      <alignment horizontal="center" vertical="center"/>
    </xf>
    <xf numFmtId="0" fontId="138" fillId="0" borderId="10" xfId="0" applyFont="1" applyBorder="1" applyAlignment="1">
      <alignment horizontal="center" vertical="center"/>
    </xf>
    <xf numFmtId="0" fontId="150" fillId="0" borderId="10" xfId="0" applyFont="1" applyBorder="1" applyAlignment="1">
      <alignment horizontal="center" vertical="center"/>
    </xf>
    <xf numFmtId="0" fontId="137" fillId="0" borderId="10" xfId="0" applyFont="1" applyBorder="1" applyAlignment="1">
      <alignment horizontal="center" vertical="center"/>
    </xf>
    <xf numFmtId="0" fontId="151" fillId="0" borderId="10" xfId="0" applyFont="1" applyBorder="1" applyAlignment="1">
      <alignment horizontal="center" vertical="center"/>
    </xf>
    <xf numFmtId="0" fontId="152" fillId="0" borderId="10" xfId="0" applyFont="1" applyBorder="1" applyAlignment="1">
      <alignment horizontal="center" vertical="center"/>
    </xf>
    <xf numFmtId="0" fontId="137" fillId="0" borderId="11" xfId="0" applyFont="1" applyBorder="1" applyAlignment="1">
      <alignment horizontal="center" vertical="center"/>
    </xf>
    <xf numFmtId="0" fontId="153" fillId="0" borderId="11" xfId="0" applyFont="1" applyBorder="1" applyAlignment="1">
      <alignment horizontal="center" vertical="center"/>
    </xf>
    <xf numFmtId="0" fontId="178" fillId="27" borderId="131" xfId="1" applyFont="1" applyFill="1" applyBorder="1" applyAlignment="1">
      <alignment horizontal="center" vertical="center"/>
    </xf>
    <xf numFmtId="0" fontId="87" fillId="0" borderId="131" xfId="1" applyFont="1" applyBorder="1" applyAlignment="1">
      <alignment horizontal="center"/>
    </xf>
    <xf numFmtId="0" fontId="180" fillId="0" borderId="131" xfId="1" applyFont="1" applyBorder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8" fillId="0" borderId="7" xfId="0" applyFont="1" applyBorder="1"/>
    <xf numFmtId="0" fontId="8" fillId="0" borderId="6" xfId="0" applyFont="1" applyBorder="1"/>
    <xf numFmtId="0" fontId="25" fillId="3" borderId="5" xfId="0" applyFont="1" applyFill="1" applyBorder="1" applyAlignment="1">
      <alignment horizontal="center" vertical="center"/>
    </xf>
    <xf numFmtId="0" fontId="4" fillId="0" borderId="5" xfId="0" applyFont="1" applyBorder="1" applyAlignment="1">
      <alignment vertical="center"/>
    </xf>
    <xf numFmtId="0" fontId="12" fillId="3" borderId="5" xfId="0" applyFont="1" applyFill="1" applyBorder="1" applyAlignment="1">
      <alignment horizontal="left" vertical="center"/>
    </xf>
    <xf numFmtId="177" fontId="4" fillId="0" borderId="5" xfId="0" applyNumberFormat="1" applyFont="1" applyBorder="1" applyAlignment="1">
      <alignment horizontal="center" vertical="center"/>
    </xf>
    <xf numFmtId="0" fontId="15" fillId="3" borderId="5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/>
    </xf>
    <xf numFmtId="0" fontId="8" fillId="0" borderId="2" xfId="0" applyFont="1" applyBorder="1"/>
    <xf numFmtId="0" fontId="8" fillId="0" borderId="3" xfId="0" applyFont="1" applyBorder="1"/>
    <xf numFmtId="0" fontId="9" fillId="2" borderId="1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177" fontId="13" fillId="3" borderId="5" xfId="0" applyNumberFormat="1" applyFont="1" applyFill="1" applyBorder="1" applyAlignment="1">
      <alignment horizontal="center" vertical="center"/>
    </xf>
    <xf numFmtId="177" fontId="13" fillId="0" borderId="5" xfId="0" applyNumberFormat="1" applyFont="1" applyBorder="1" applyAlignment="1">
      <alignment horizontal="center" vertical="center"/>
    </xf>
    <xf numFmtId="0" fontId="4" fillId="3" borderId="5" xfId="0" applyFont="1" applyFill="1" applyBorder="1" applyAlignment="1">
      <alignment horizontal="left" vertical="center"/>
    </xf>
    <xf numFmtId="0" fontId="24" fillId="3" borderId="5" xfId="0" applyFont="1" applyFill="1" applyBorder="1" applyAlignment="1">
      <alignment horizontal="left" vertical="center"/>
    </xf>
    <xf numFmtId="0" fontId="15" fillId="3" borderId="5" xfId="0" applyFont="1" applyFill="1" applyBorder="1" applyAlignment="1">
      <alignment vertical="center" wrapText="1"/>
    </xf>
    <xf numFmtId="0" fontId="15" fillId="6" borderId="5" xfId="0" applyFont="1" applyFill="1" applyBorder="1" applyAlignment="1">
      <alignment horizontal="center" vertical="center" wrapText="1"/>
    </xf>
    <xf numFmtId="0" fontId="24" fillId="3" borderId="5" xfId="0" applyFont="1" applyFill="1" applyBorder="1" applyAlignment="1">
      <alignment horizontal="center" vertical="center"/>
    </xf>
    <xf numFmtId="0" fontId="12" fillId="3" borderId="5" xfId="0" applyFont="1" applyFill="1" applyBorder="1" applyAlignment="1">
      <alignment vertical="center"/>
    </xf>
    <xf numFmtId="0" fontId="12" fillId="7" borderId="5" xfId="0" applyFont="1" applyFill="1" applyBorder="1" applyAlignment="1">
      <alignment vertical="center"/>
    </xf>
    <xf numFmtId="0" fontId="12" fillId="2" borderId="5" xfId="0" applyFont="1" applyFill="1" applyBorder="1" applyAlignment="1">
      <alignment vertical="center"/>
    </xf>
    <xf numFmtId="0" fontId="15" fillId="3" borderId="5" xfId="0" applyFont="1" applyFill="1" applyBorder="1" applyAlignment="1">
      <alignment horizontal="center" vertical="center" wrapText="1"/>
    </xf>
    <xf numFmtId="0" fontId="23" fillId="3" borderId="5" xfId="0" applyFont="1" applyFill="1" applyBorder="1" applyAlignment="1">
      <alignment horizontal="center" vertical="center"/>
    </xf>
    <xf numFmtId="0" fontId="35" fillId="2" borderId="5" xfId="0" applyFont="1" applyFill="1" applyBorder="1" applyAlignment="1">
      <alignment horizontal="center" vertical="center"/>
    </xf>
    <xf numFmtId="0" fontId="37" fillId="3" borderId="8" xfId="0" applyFont="1" applyFill="1" applyBorder="1" applyAlignment="1">
      <alignment horizontal="center" vertical="center"/>
    </xf>
    <xf numFmtId="0" fontId="8" fillId="0" borderId="9" xfId="0" applyFont="1" applyBorder="1"/>
    <xf numFmtId="0" fontId="38" fillId="2" borderId="5" xfId="0" applyFont="1" applyFill="1" applyBorder="1" applyAlignment="1">
      <alignment vertical="center"/>
    </xf>
    <xf numFmtId="3" fontId="12" fillId="8" borderId="5" xfId="0" applyNumberFormat="1" applyFont="1" applyFill="1" applyBorder="1" applyAlignment="1">
      <alignment horizontal="right" vertical="center"/>
    </xf>
    <xf numFmtId="0" fontId="12" fillId="0" borderId="5" xfId="0" applyFont="1" applyBorder="1" applyAlignment="1">
      <alignment vertical="center"/>
    </xf>
    <xf numFmtId="58" fontId="24" fillId="8" borderId="5" xfId="0" applyNumberFormat="1" applyFont="1" applyFill="1" applyBorder="1" applyAlignment="1">
      <alignment horizontal="center" vertical="center"/>
    </xf>
    <xf numFmtId="3" fontId="69" fillId="8" borderId="5" xfId="0" applyNumberFormat="1" applyFont="1" applyFill="1" applyBorder="1" applyAlignment="1">
      <alignment vertical="center"/>
    </xf>
    <xf numFmtId="0" fontId="12" fillId="8" borderId="5" xfId="0" applyFont="1" applyFill="1" applyBorder="1" applyAlignment="1">
      <alignment horizontal="center" vertical="center"/>
    </xf>
    <xf numFmtId="0" fontId="12" fillId="8" borderId="7" xfId="0" applyFont="1" applyFill="1" applyBorder="1" applyAlignment="1">
      <alignment horizontal="center" vertical="center"/>
    </xf>
    <xf numFmtId="0" fontId="70" fillId="8" borderId="5" xfId="0" applyFont="1" applyFill="1" applyBorder="1" applyAlignment="1">
      <alignment horizontal="center" vertical="center"/>
    </xf>
    <xf numFmtId="0" fontId="24" fillId="8" borderId="5" xfId="0" applyFont="1" applyFill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0" fontId="2" fillId="0" borderId="5" xfId="0" applyFont="1" applyBorder="1" applyAlignment="1">
      <alignment vertical="center"/>
    </xf>
    <xf numFmtId="3" fontId="2" fillId="8" borderId="10" xfId="0" applyNumberFormat="1" applyFont="1" applyFill="1" applyBorder="1" applyAlignment="1">
      <alignment horizontal="right" vertical="center"/>
    </xf>
    <xf numFmtId="0" fontId="8" fillId="0" borderId="10" xfId="0" applyFont="1" applyBorder="1"/>
    <xf numFmtId="0" fontId="8" fillId="0" borderId="11" xfId="0" applyFont="1" applyBorder="1"/>
    <xf numFmtId="3" fontId="12" fillId="0" borderId="5" xfId="0" applyNumberFormat="1" applyFont="1" applyBorder="1" applyAlignment="1">
      <alignment horizontal="right" vertical="center"/>
    </xf>
    <xf numFmtId="178" fontId="2" fillId="0" borderId="5" xfId="0" applyNumberFormat="1" applyFont="1" applyBorder="1" applyAlignment="1">
      <alignment vertical="center"/>
    </xf>
    <xf numFmtId="178" fontId="12" fillId="3" borderId="5" xfId="0" applyNumberFormat="1" applyFont="1" applyFill="1" applyBorder="1" applyAlignment="1">
      <alignment horizontal="center" vertical="center"/>
    </xf>
    <xf numFmtId="58" fontId="40" fillId="9" borderId="5" xfId="0" applyNumberFormat="1" applyFont="1" applyFill="1" applyBorder="1" applyAlignment="1">
      <alignment horizontal="center" vertical="center"/>
    </xf>
    <xf numFmtId="0" fontId="40" fillId="0" borderId="5" xfId="0" applyFont="1" applyBorder="1" applyAlignment="1">
      <alignment horizontal="center" vertical="center"/>
    </xf>
    <xf numFmtId="3" fontId="24" fillId="3" borderId="5" xfId="0" applyNumberFormat="1" applyFont="1" applyFill="1" applyBorder="1" applyAlignment="1">
      <alignment horizontal="right" vertical="center"/>
    </xf>
    <xf numFmtId="0" fontId="2" fillId="8" borderId="10" xfId="0" applyFont="1" applyFill="1" applyBorder="1" applyAlignment="1">
      <alignment horizontal="center" vertical="center"/>
    </xf>
    <xf numFmtId="0" fontId="40" fillId="8" borderId="5" xfId="0" applyFont="1" applyFill="1" applyBorder="1" applyAlignment="1">
      <alignment horizontal="center" vertical="center"/>
    </xf>
    <xf numFmtId="0" fontId="44" fillId="0" borderId="0" xfId="0" applyFont="1" applyAlignment="1">
      <alignment vertical="center"/>
    </xf>
    <xf numFmtId="0" fontId="0" fillId="0" borderId="0" xfId="0"/>
    <xf numFmtId="178" fontId="12" fillId="8" borderId="5" xfId="0" applyNumberFormat="1" applyFont="1" applyFill="1" applyBorder="1" applyAlignment="1">
      <alignment horizontal="center" vertical="center"/>
    </xf>
    <xf numFmtId="0" fontId="40" fillId="8" borderId="5" xfId="0" applyFont="1" applyFill="1" applyBorder="1" applyAlignment="1">
      <alignment vertical="center"/>
    </xf>
    <xf numFmtId="178" fontId="12" fillId="0" borderId="5" xfId="0" applyNumberFormat="1" applyFont="1" applyBorder="1" applyAlignment="1">
      <alignment horizontal="center" vertical="center"/>
    </xf>
    <xf numFmtId="178" fontId="2" fillId="3" borderId="10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5" fillId="3" borderId="5" xfId="0" applyFont="1" applyFill="1" applyBorder="1" applyAlignment="1">
      <alignment vertical="center"/>
    </xf>
    <xf numFmtId="0" fontId="87" fillId="3" borderId="5" xfId="0" applyFont="1" applyFill="1" applyBorder="1" applyAlignment="1">
      <alignment horizontal="left" vertical="center"/>
    </xf>
    <xf numFmtId="0" fontId="85" fillId="3" borderId="5" xfId="0" applyFont="1" applyFill="1" applyBorder="1" applyAlignment="1">
      <alignment horizontal="center" vertical="center"/>
    </xf>
    <xf numFmtId="0" fontId="87" fillId="3" borderId="5" xfId="0" applyFont="1" applyFill="1" applyBorder="1" applyAlignment="1">
      <alignment horizontal="center" vertical="center"/>
    </xf>
    <xf numFmtId="0" fontId="99" fillId="3" borderId="5" xfId="0" applyFont="1" applyFill="1" applyBorder="1" applyAlignment="1">
      <alignment horizontal="center" vertical="center"/>
    </xf>
    <xf numFmtId="0" fontId="95" fillId="3" borderId="5" xfId="0" applyFont="1" applyFill="1" applyBorder="1" applyAlignment="1">
      <alignment horizontal="center" vertical="center"/>
    </xf>
    <xf numFmtId="0" fontId="95" fillId="3" borderId="5" xfId="0" applyFont="1" applyFill="1" applyBorder="1" applyAlignment="1">
      <alignment horizontal="left" vertical="center"/>
    </xf>
    <xf numFmtId="177" fontId="95" fillId="3" borderId="5" xfId="0" applyNumberFormat="1" applyFont="1" applyFill="1" applyBorder="1" applyAlignment="1">
      <alignment horizontal="center" vertical="center"/>
    </xf>
    <xf numFmtId="0" fontId="4" fillId="8" borderId="5" xfId="0" applyFont="1" applyFill="1" applyBorder="1" applyAlignment="1">
      <alignment vertical="center"/>
    </xf>
    <xf numFmtId="0" fontId="4" fillId="3" borderId="0" xfId="0" applyFont="1" applyFill="1" applyAlignment="1">
      <alignment horizontal="left" vertical="center"/>
    </xf>
    <xf numFmtId="0" fontId="100" fillId="3" borderId="5" xfId="0" applyFont="1" applyFill="1" applyBorder="1" applyAlignment="1">
      <alignment horizontal="center" vertical="center"/>
    </xf>
    <xf numFmtId="0" fontId="101" fillId="3" borderId="5" xfId="0" applyFont="1" applyFill="1" applyBorder="1" applyAlignment="1">
      <alignment vertical="center"/>
    </xf>
    <xf numFmtId="0" fontId="4" fillId="3" borderId="13" xfId="0" applyFont="1" applyFill="1" applyBorder="1" applyAlignment="1">
      <alignment vertical="center"/>
    </xf>
    <xf numFmtId="0" fontId="26" fillId="3" borderId="5" xfId="0" applyFont="1" applyFill="1" applyBorder="1" applyAlignment="1">
      <alignment horizontal="center" vertical="center"/>
    </xf>
    <xf numFmtId="0" fontId="13" fillId="3" borderId="5" xfId="0" applyFont="1" applyFill="1" applyBorder="1" applyAlignment="1">
      <alignment horizontal="center" vertical="center"/>
    </xf>
    <xf numFmtId="0" fontId="98" fillId="3" borderId="5" xfId="0" applyFont="1" applyFill="1" applyBorder="1" applyAlignment="1">
      <alignment vertical="center"/>
    </xf>
    <xf numFmtId="0" fontId="16" fillId="3" borderId="5" xfId="0" applyFont="1" applyFill="1" applyBorder="1" applyAlignment="1">
      <alignment horizontal="center" vertical="center"/>
    </xf>
    <xf numFmtId="0" fontId="13" fillId="3" borderId="5" xfId="0" applyFont="1" applyFill="1" applyBorder="1" applyAlignment="1">
      <alignment horizontal="left" vertical="center"/>
    </xf>
    <xf numFmtId="0" fontId="4" fillId="20" borderId="5" xfId="0" applyFont="1" applyFill="1" applyBorder="1" applyAlignment="1">
      <alignment horizontal="center" vertical="center"/>
    </xf>
    <xf numFmtId="0" fontId="4" fillId="3" borderId="0" xfId="0" applyFont="1" applyFill="1" applyAlignment="1">
      <alignment vertical="center"/>
    </xf>
    <xf numFmtId="0" fontId="87" fillId="3" borderId="10" xfId="0" applyFont="1" applyFill="1" applyBorder="1" applyAlignment="1">
      <alignment horizontal="left"/>
    </xf>
    <xf numFmtId="0" fontId="96" fillId="3" borderId="5" xfId="0" applyFont="1" applyFill="1" applyBorder="1" applyAlignment="1">
      <alignment horizontal="center" vertical="center"/>
    </xf>
    <xf numFmtId="0" fontId="20" fillId="3" borderId="5" xfId="0" applyFont="1" applyFill="1" applyBorder="1" applyAlignment="1">
      <alignment horizontal="left" vertical="center" wrapText="1"/>
    </xf>
    <xf numFmtId="0" fontId="4" fillId="0" borderId="0" xfId="0" applyFont="1" applyAlignment="1">
      <alignment vertical="center"/>
    </xf>
    <xf numFmtId="0" fontId="12" fillId="3" borderId="2" xfId="0" applyFont="1" applyFill="1" applyBorder="1"/>
    <xf numFmtId="0" fontId="12" fillId="3" borderId="12" xfId="0" applyFont="1" applyFill="1" applyBorder="1"/>
    <xf numFmtId="0" fontId="8" fillId="0" borderId="12" xfId="0" applyFont="1" applyBorder="1"/>
    <xf numFmtId="0" fontId="4" fillId="18" borderId="5" xfId="0" applyFont="1" applyFill="1" applyBorder="1" applyAlignment="1">
      <alignment horizontal="center" vertical="center"/>
    </xf>
    <xf numFmtId="177" fontId="4" fillId="3" borderId="5" xfId="0" applyNumberFormat="1" applyFont="1" applyFill="1" applyBorder="1" applyAlignment="1">
      <alignment horizontal="center" vertical="center"/>
    </xf>
    <xf numFmtId="0" fontId="12" fillId="3" borderId="10" xfId="0" applyFont="1" applyFill="1" applyBorder="1" applyAlignment="1">
      <alignment horizontal="center"/>
    </xf>
    <xf numFmtId="0" fontId="4" fillId="0" borderId="14" xfId="0" applyFont="1" applyBorder="1" applyAlignment="1">
      <alignment vertical="center"/>
    </xf>
    <xf numFmtId="0" fontId="8" fillId="0" borderId="14" xfId="0" applyFont="1" applyBorder="1"/>
    <xf numFmtId="0" fontId="12" fillId="18" borderId="5" xfId="0" applyFont="1" applyFill="1" applyBorder="1" applyAlignment="1">
      <alignment horizontal="center" vertical="center"/>
    </xf>
    <xf numFmtId="0" fontId="12" fillId="3" borderId="13" xfId="0" applyFont="1" applyFill="1" applyBorder="1" applyAlignment="1">
      <alignment horizontal="center" vertical="center"/>
    </xf>
    <xf numFmtId="0" fontId="40" fillId="3" borderId="5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vertical="center"/>
    </xf>
    <xf numFmtId="0" fontId="12" fillId="3" borderId="0" xfId="0" applyFont="1" applyFill="1" applyAlignment="1">
      <alignment horizontal="center" vertical="center"/>
    </xf>
    <xf numFmtId="0" fontId="78" fillId="21" borderId="0" xfId="0" applyFont="1" applyFill="1" applyAlignment="1">
      <alignment horizontal="center" vertical="center"/>
    </xf>
    <xf numFmtId="0" fontId="8" fillId="0" borderId="15" xfId="0" applyFont="1" applyBorder="1"/>
    <xf numFmtId="0" fontId="2" fillId="0" borderId="28" xfId="0" applyFont="1" applyBorder="1" applyAlignment="1">
      <alignment horizontal="center" vertical="center"/>
    </xf>
    <xf numFmtId="0" fontId="8" fillId="0" borderId="29" xfId="0" applyFont="1" applyBorder="1"/>
    <xf numFmtId="0" fontId="2" fillId="0" borderId="36" xfId="0" applyFont="1" applyBorder="1" applyAlignment="1">
      <alignment vertical="center"/>
    </xf>
    <xf numFmtId="0" fontId="8" fillId="0" borderId="23" xfId="0" applyFont="1" applyBorder="1"/>
    <xf numFmtId="0" fontId="2" fillId="0" borderId="36" xfId="0" applyFont="1" applyBorder="1" applyAlignment="1">
      <alignment horizontal="center" vertical="center"/>
    </xf>
    <xf numFmtId="182" fontId="2" fillId="0" borderId="36" xfId="0" applyNumberFormat="1" applyFont="1" applyBorder="1" applyAlignment="1">
      <alignment horizontal="center" vertical="center"/>
    </xf>
    <xf numFmtId="0" fontId="42" fillId="0" borderId="0" xfId="0" applyFont="1" applyAlignment="1">
      <alignment horizontal="left" vertical="center"/>
    </xf>
    <xf numFmtId="176" fontId="34" fillId="2" borderId="5" xfId="0" applyNumberFormat="1" applyFont="1" applyFill="1" applyBorder="1" applyAlignment="1">
      <alignment horizontal="center" vertical="center"/>
    </xf>
    <xf numFmtId="176" fontId="39" fillId="2" borderId="5" xfId="0" applyNumberFormat="1" applyFont="1" applyFill="1" applyBorder="1" applyAlignment="1">
      <alignment horizontal="center" vertical="center"/>
    </xf>
    <xf numFmtId="0" fontId="15" fillId="3" borderId="8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34" fillId="2" borderId="13" xfId="0" applyFont="1" applyFill="1" applyBorder="1" applyAlignment="1">
      <alignment vertical="center" wrapText="1"/>
    </xf>
    <xf numFmtId="0" fontId="15" fillId="2" borderId="13" xfId="0" applyFont="1" applyFill="1" applyBorder="1" applyAlignment="1">
      <alignment vertical="center" wrapText="1"/>
    </xf>
    <xf numFmtId="176" fontId="15" fillId="2" borderId="5" xfId="0" applyNumberFormat="1" applyFont="1" applyFill="1" applyBorder="1" applyAlignment="1">
      <alignment horizontal="center" vertical="center"/>
    </xf>
    <xf numFmtId="0" fontId="4" fillId="2" borderId="5" xfId="0" applyFont="1" applyFill="1" applyBorder="1" applyAlignment="1">
      <alignment vertical="center"/>
    </xf>
    <xf numFmtId="0" fontId="4" fillId="4" borderId="5" xfId="0" applyFont="1" applyFill="1" applyBorder="1" applyAlignment="1">
      <alignment horizontal="center" vertical="center"/>
    </xf>
    <xf numFmtId="0" fontId="15" fillId="3" borderId="13" xfId="0" applyFont="1" applyFill="1" applyBorder="1" applyAlignment="1">
      <alignment vertical="center" wrapText="1"/>
    </xf>
    <xf numFmtId="0" fontId="94" fillId="9" borderId="5" xfId="0" applyFont="1" applyFill="1" applyBorder="1" applyAlignment="1">
      <alignment vertical="center"/>
    </xf>
    <xf numFmtId="0" fontId="34" fillId="2" borderId="8" xfId="0" applyFont="1" applyFill="1" applyBorder="1" applyAlignment="1">
      <alignment horizontal="center" vertical="center"/>
    </xf>
    <xf numFmtId="0" fontId="34" fillId="4" borderId="5" xfId="0" applyFont="1" applyFill="1" applyBorder="1" applyAlignment="1">
      <alignment horizontal="center" vertical="center"/>
    </xf>
    <xf numFmtId="0" fontId="137" fillId="0" borderId="1" xfId="0" applyFont="1" applyBorder="1"/>
    <xf numFmtId="0" fontId="137" fillId="0" borderId="1" xfId="0" applyFont="1" applyBorder="1" applyAlignment="1">
      <alignment horizontal="left" vertical="center"/>
    </xf>
    <xf numFmtId="0" fontId="3" fillId="0" borderId="12" xfId="0" applyFont="1" applyBorder="1" applyAlignment="1">
      <alignment horizontal="center"/>
    </xf>
    <xf numFmtId="0" fontId="137" fillId="0" borderId="1" xfId="0" applyFont="1" applyBorder="1" applyAlignment="1">
      <alignment horizontal="center"/>
    </xf>
    <xf numFmtId="3" fontId="41" fillId="3" borderId="10" xfId="0" applyNumberFormat="1" applyFont="1" applyFill="1" applyBorder="1" applyAlignment="1">
      <alignment horizontal="center" vertical="center"/>
    </xf>
    <xf numFmtId="0" fontId="41" fillId="3" borderId="10" xfId="0" applyFont="1" applyFill="1" applyBorder="1" applyAlignment="1">
      <alignment horizontal="center" vertical="center"/>
    </xf>
    <xf numFmtId="0" fontId="36" fillId="3" borderId="10" xfId="0" applyFont="1" applyFill="1" applyBorder="1" applyAlignment="1">
      <alignment vertical="center"/>
    </xf>
    <xf numFmtId="0" fontId="36" fillId="3" borderId="5" xfId="0" applyFont="1" applyFill="1" applyBorder="1" applyAlignment="1">
      <alignment horizontal="center" vertical="center"/>
    </xf>
    <xf numFmtId="0" fontId="115" fillId="3" borderId="5" xfId="0" applyFont="1" applyFill="1" applyBorder="1" applyAlignment="1">
      <alignment vertical="center"/>
    </xf>
    <xf numFmtId="0" fontId="115" fillId="3" borderId="5" xfId="0" applyFont="1" applyFill="1" applyBorder="1" applyAlignment="1">
      <alignment horizontal="center" vertical="center"/>
    </xf>
    <xf numFmtId="3" fontId="12" fillId="3" borderId="51" xfId="0" applyNumberFormat="1" applyFont="1" applyFill="1" applyBorder="1" applyAlignment="1">
      <alignment vertical="center"/>
    </xf>
    <xf numFmtId="0" fontId="8" fillId="0" borderId="41" xfId="0" applyFont="1" applyBorder="1"/>
    <xf numFmtId="0" fontId="8" fillId="0" borderId="46" xfId="0" applyFont="1" applyBorder="1"/>
    <xf numFmtId="0" fontId="25" fillId="3" borderId="5" xfId="0" applyFont="1" applyFill="1" applyBorder="1" applyAlignment="1">
      <alignment vertical="center"/>
    </xf>
    <xf numFmtId="0" fontId="3" fillId="3" borderId="10" xfId="0" applyFont="1" applyFill="1" applyBorder="1"/>
    <xf numFmtId="0" fontId="2" fillId="3" borderId="0" xfId="0" applyFont="1" applyFill="1" applyAlignment="1">
      <alignment vertical="center"/>
    </xf>
    <xf numFmtId="0" fontId="2" fillId="3" borderId="7" xfId="0" applyFont="1" applyFill="1" applyBorder="1" applyAlignment="1">
      <alignment vertical="center"/>
    </xf>
    <xf numFmtId="0" fontId="25" fillId="18" borderId="5" xfId="0" applyFont="1" applyFill="1" applyBorder="1" applyAlignment="1">
      <alignment horizontal="center" vertical="center"/>
    </xf>
    <xf numFmtId="0" fontId="25" fillId="3" borderId="8" xfId="0" applyFont="1" applyFill="1" applyBorder="1" applyAlignment="1">
      <alignment horizontal="center" vertical="center"/>
    </xf>
    <xf numFmtId="0" fontId="23" fillId="3" borderId="51" xfId="0" applyFont="1" applyFill="1" applyBorder="1" applyAlignment="1">
      <alignment horizontal="center" vertical="center"/>
    </xf>
    <xf numFmtId="3" fontId="12" fillId="3" borderId="41" xfId="0" applyNumberFormat="1" applyFont="1" applyFill="1" applyBorder="1" applyAlignment="1">
      <alignment vertical="center"/>
    </xf>
    <xf numFmtId="0" fontId="25" fillId="3" borderId="7" xfId="0" applyFont="1" applyFill="1" applyBorder="1" applyAlignment="1">
      <alignment vertical="center"/>
    </xf>
    <xf numFmtId="0" fontId="37" fillId="3" borderId="5" xfId="0" applyFont="1" applyFill="1" applyBorder="1" applyAlignment="1">
      <alignment horizontal="center" vertical="center"/>
    </xf>
    <xf numFmtId="0" fontId="23" fillId="3" borderId="7" xfId="0" applyFont="1" applyFill="1" applyBorder="1" applyAlignment="1">
      <alignment horizontal="center" vertical="center"/>
    </xf>
    <xf numFmtId="0" fontId="12" fillId="3" borderId="10" xfId="0" applyFont="1" applyFill="1" applyBorder="1" applyAlignment="1">
      <alignment horizontal="center" vertical="center"/>
    </xf>
    <xf numFmtId="0" fontId="25" fillId="18" borderId="7" xfId="0" applyFont="1" applyFill="1" applyBorder="1" applyAlignment="1">
      <alignment horizontal="center" vertical="center"/>
    </xf>
    <xf numFmtId="3" fontId="12" fillId="3" borderId="5" xfId="0" applyNumberFormat="1" applyFont="1" applyFill="1" applyBorder="1" applyAlignment="1">
      <alignment horizontal="center" vertical="center"/>
    </xf>
    <xf numFmtId="0" fontId="12" fillId="3" borderId="7" xfId="0" applyFont="1" applyFill="1" applyBorder="1" applyAlignment="1">
      <alignment vertical="center"/>
    </xf>
    <xf numFmtId="0" fontId="2" fillId="3" borderId="5" xfId="0" applyFont="1" applyFill="1" applyBorder="1" applyAlignment="1">
      <alignment vertical="center"/>
    </xf>
    <xf numFmtId="0" fontId="24" fillId="3" borderId="7" xfId="0" applyFont="1" applyFill="1" applyBorder="1" applyAlignment="1">
      <alignment vertical="center"/>
    </xf>
    <xf numFmtId="0" fontId="12" fillId="3" borderId="2" xfId="0" applyFont="1" applyFill="1" applyBorder="1" applyAlignment="1">
      <alignment horizontal="center" vertical="center"/>
    </xf>
    <xf numFmtId="0" fontId="133" fillId="3" borderId="7" xfId="0" applyFont="1" applyFill="1" applyBorder="1" applyAlignment="1">
      <alignment vertical="center"/>
    </xf>
    <xf numFmtId="3" fontId="23" fillId="3" borderId="41" xfId="0" applyNumberFormat="1" applyFont="1" applyFill="1" applyBorder="1" applyAlignment="1">
      <alignment vertical="center"/>
    </xf>
    <xf numFmtId="0" fontId="25" fillId="3" borderId="10" xfId="0" applyFont="1" applyFill="1" applyBorder="1" applyAlignment="1">
      <alignment vertical="center"/>
    </xf>
    <xf numFmtId="0" fontId="25" fillId="3" borderId="7" xfId="0" applyFont="1" applyFill="1" applyBorder="1" applyAlignment="1">
      <alignment horizontal="center" vertical="center"/>
    </xf>
    <xf numFmtId="0" fontId="42" fillId="3" borderId="8" xfId="0" applyFont="1" applyFill="1" applyBorder="1" applyAlignment="1">
      <alignment horizontal="center" vertical="center"/>
    </xf>
    <xf numFmtId="0" fontId="23" fillId="3" borderId="41" xfId="0" applyFont="1" applyFill="1" applyBorder="1" applyAlignment="1">
      <alignment horizontal="center" vertical="center"/>
    </xf>
    <xf numFmtId="0" fontId="12" fillId="3" borderId="49" xfId="0" applyFont="1" applyFill="1" applyBorder="1" applyAlignment="1">
      <alignment horizontal="center" vertical="center"/>
    </xf>
    <xf numFmtId="0" fontId="8" fillId="0" borderId="49" xfId="0" applyFont="1" applyBorder="1"/>
    <xf numFmtId="0" fontId="8" fillId="0" borderId="47" xfId="0" applyFont="1" applyBorder="1"/>
    <xf numFmtId="0" fontId="12" fillId="3" borderId="10" xfId="0" applyFont="1" applyFill="1" applyBorder="1" applyAlignment="1">
      <alignment vertical="center"/>
    </xf>
    <xf numFmtId="0" fontId="137" fillId="25" borderId="1" xfId="0" applyFont="1" applyFill="1" applyBorder="1" applyAlignment="1">
      <alignment horizontal="center"/>
    </xf>
    <xf numFmtId="0" fontId="138" fillId="0" borderId="1" xfId="0" applyFont="1" applyBorder="1" applyAlignment="1">
      <alignment horizontal="center"/>
    </xf>
    <xf numFmtId="0" fontId="141" fillId="0" borderId="1" xfId="0" applyFont="1" applyBorder="1" applyAlignment="1">
      <alignment horizontal="center"/>
    </xf>
    <xf numFmtId="177" fontId="12" fillId="3" borderId="10" xfId="0" applyNumberFormat="1" applyFont="1" applyFill="1" applyBorder="1" applyAlignment="1">
      <alignment horizontal="center" vertical="center"/>
    </xf>
    <xf numFmtId="177" fontId="12" fillId="3" borderId="0" xfId="0" applyNumberFormat="1" applyFont="1" applyFill="1" applyAlignment="1">
      <alignment horizontal="center" vertical="center"/>
    </xf>
    <xf numFmtId="177" fontId="12" fillId="3" borderId="7" xfId="0" applyNumberFormat="1" applyFont="1" applyFill="1" applyBorder="1" applyAlignment="1">
      <alignment horizontal="center" vertical="center"/>
    </xf>
    <xf numFmtId="177" fontId="12" fillId="3" borderId="14" xfId="0" applyNumberFormat="1" applyFont="1" applyFill="1" applyBorder="1" applyAlignment="1">
      <alignment horizontal="center" vertical="center"/>
    </xf>
    <xf numFmtId="177" fontId="12" fillId="3" borderId="5" xfId="0" applyNumberFormat="1" applyFont="1" applyFill="1" applyBorder="1" applyAlignment="1">
      <alignment horizontal="center" vertical="center"/>
    </xf>
    <xf numFmtId="177" fontId="12" fillId="3" borderId="8" xfId="0" applyNumberFormat="1" applyFont="1" applyFill="1" applyBorder="1" applyAlignment="1">
      <alignment horizontal="center" vertical="center"/>
    </xf>
    <xf numFmtId="0" fontId="25" fillId="3" borderId="10" xfId="0" applyFont="1" applyFill="1" applyBorder="1" applyAlignment="1">
      <alignment horizontal="center" vertical="center"/>
    </xf>
    <xf numFmtId="0" fontId="25" fillId="3" borderId="48" xfId="0" applyFont="1" applyFill="1" applyBorder="1" applyAlignment="1">
      <alignment horizontal="center" vertical="center"/>
    </xf>
    <xf numFmtId="0" fontId="12" fillId="3" borderId="7" xfId="0" applyFont="1" applyFill="1" applyBorder="1" applyAlignment="1">
      <alignment horizontal="center" vertical="center"/>
    </xf>
    <xf numFmtId="0" fontId="24" fillId="24" borderId="12" xfId="0" applyFont="1" applyFill="1" applyBorder="1" applyAlignment="1">
      <alignment horizontal="center" vertical="center"/>
    </xf>
    <xf numFmtId="0" fontId="12" fillId="3" borderId="48" xfId="0" applyFont="1" applyFill="1" applyBorder="1" applyAlignment="1">
      <alignment horizontal="center" vertical="center"/>
    </xf>
    <xf numFmtId="0" fontId="24" fillId="3" borderId="10" xfId="0" applyFont="1" applyFill="1" applyBorder="1" applyAlignment="1">
      <alignment horizontal="center" vertical="center"/>
    </xf>
    <xf numFmtId="0" fontId="24" fillId="3" borderId="7" xfId="0" applyFont="1" applyFill="1" applyBorder="1" applyAlignment="1">
      <alignment horizontal="center" vertical="center"/>
    </xf>
    <xf numFmtId="0" fontId="24" fillId="3" borderId="10" xfId="0" applyFont="1" applyFill="1" applyBorder="1" applyAlignment="1">
      <alignment horizontal="left" vertical="center"/>
    </xf>
    <xf numFmtId="177" fontId="23" fillId="3" borderId="5" xfId="0" applyNumberFormat="1" applyFont="1" applyFill="1" applyBorder="1" applyAlignment="1">
      <alignment horizontal="center" vertical="center"/>
    </xf>
    <xf numFmtId="177" fontId="23" fillId="3" borderId="8" xfId="0" applyNumberFormat="1" applyFont="1" applyFill="1" applyBorder="1" applyAlignment="1">
      <alignment horizontal="center" vertical="center"/>
    </xf>
    <xf numFmtId="0" fontId="2" fillId="3" borderId="8" xfId="0" applyFont="1" applyFill="1" applyBorder="1" applyAlignment="1">
      <alignment vertical="center"/>
    </xf>
    <xf numFmtId="0" fontId="40" fillId="3" borderId="8" xfId="0" applyFont="1" applyFill="1" applyBorder="1" applyAlignment="1">
      <alignment horizontal="center" vertical="center"/>
    </xf>
    <xf numFmtId="177" fontId="2" fillId="3" borderId="5" xfId="0" applyNumberFormat="1" applyFont="1" applyFill="1" applyBorder="1" applyAlignment="1">
      <alignment horizontal="center" vertical="center"/>
    </xf>
    <xf numFmtId="177" fontId="2" fillId="3" borderId="8" xfId="0" applyNumberFormat="1" applyFont="1" applyFill="1" applyBorder="1" applyAlignment="1">
      <alignment horizontal="center" vertical="center"/>
    </xf>
    <xf numFmtId="3" fontId="2" fillId="3" borderId="51" xfId="0" applyNumberFormat="1" applyFont="1" applyFill="1" applyBorder="1" applyAlignment="1">
      <alignment vertical="center"/>
    </xf>
    <xf numFmtId="0" fontId="125" fillId="3" borderId="5" xfId="0" applyFont="1" applyFill="1" applyBorder="1" applyAlignment="1">
      <alignment vertical="center"/>
    </xf>
    <xf numFmtId="0" fontId="2" fillId="3" borderId="5" xfId="0" applyFont="1" applyFill="1" applyBorder="1" applyAlignment="1">
      <alignment horizontal="center" vertical="center"/>
    </xf>
    <xf numFmtId="0" fontId="25" fillId="3" borderId="0" xfId="0" applyFont="1" applyFill="1" applyAlignment="1">
      <alignment horizontal="center" vertical="center"/>
    </xf>
    <xf numFmtId="0" fontId="12" fillId="3" borderId="0" xfId="0" applyFont="1" applyFill="1" applyAlignment="1">
      <alignment vertical="center"/>
    </xf>
    <xf numFmtId="177" fontId="36" fillId="3" borderId="7" xfId="0" applyNumberFormat="1" applyFont="1" applyFill="1" applyBorder="1" applyAlignment="1">
      <alignment horizontal="center" vertical="center"/>
    </xf>
    <xf numFmtId="0" fontId="36" fillId="3" borderId="14" xfId="0" applyFont="1" applyFill="1" applyBorder="1" applyAlignment="1">
      <alignment horizontal="center" vertical="center"/>
    </xf>
    <xf numFmtId="3" fontId="36" fillId="3" borderId="49" xfId="0" applyNumberFormat="1" applyFont="1" applyFill="1" applyBorder="1" applyAlignment="1">
      <alignment vertical="center"/>
    </xf>
    <xf numFmtId="0" fontId="107" fillId="3" borderId="7" xfId="0" applyFont="1" applyFill="1" applyBorder="1" applyAlignment="1">
      <alignment vertical="center"/>
    </xf>
    <xf numFmtId="0" fontId="36" fillId="3" borderId="10" xfId="0" applyFont="1" applyFill="1" applyBorder="1" applyAlignment="1">
      <alignment horizontal="center" vertical="center"/>
    </xf>
    <xf numFmtId="0" fontId="107" fillId="3" borderId="7" xfId="0" applyFont="1" applyFill="1" applyBorder="1" applyAlignment="1">
      <alignment horizontal="center" vertical="center"/>
    </xf>
    <xf numFmtId="0" fontId="130" fillId="3" borderId="8" xfId="0" applyFont="1" applyFill="1" applyBorder="1" applyAlignment="1">
      <alignment horizontal="center" vertical="center"/>
    </xf>
    <xf numFmtId="0" fontId="35" fillId="3" borderId="41" xfId="0" applyFont="1" applyFill="1" applyBorder="1" applyAlignment="1">
      <alignment horizontal="center" vertical="center"/>
    </xf>
    <xf numFmtId="0" fontId="36" fillId="3" borderId="49" xfId="0" applyFont="1" applyFill="1" applyBorder="1" applyAlignment="1">
      <alignment horizontal="center" vertical="center"/>
    </xf>
    <xf numFmtId="0" fontId="36" fillId="3" borderId="7" xfId="0" applyFont="1" applyFill="1" applyBorder="1" applyAlignment="1">
      <alignment horizontal="center" vertical="center"/>
    </xf>
    <xf numFmtId="0" fontId="36" fillId="3" borderId="7" xfId="0" applyFont="1" applyFill="1" applyBorder="1" applyAlignment="1">
      <alignment vertical="center"/>
    </xf>
    <xf numFmtId="177" fontId="12" fillId="3" borderId="13" xfId="0" applyNumberFormat="1" applyFont="1" applyFill="1" applyBorder="1" applyAlignment="1">
      <alignment horizontal="center" vertical="center"/>
    </xf>
    <xf numFmtId="0" fontId="32" fillId="3" borderId="7" xfId="0" applyFont="1" applyFill="1" applyBorder="1" applyAlignment="1">
      <alignment vertical="center"/>
    </xf>
    <xf numFmtId="0" fontId="25" fillId="3" borderId="13" xfId="0" applyFont="1" applyFill="1" applyBorder="1" applyAlignment="1">
      <alignment horizontal="center" vertical="center"/>
    </xf>
    <xf numFmtId="0" fontId="12" fillId="3" borderId="52" xfId="0" applyFont="1" applyFill="1" applyBorder="1" applyAlignment="1">
      <alignment horizontal="center" vertical="center"/>
    </xf>
    <xf numFmtId="0" fontId="12" fillId="3" borderId="14" xfId="0" applyFont="1" applyFill="1" applyBorder="1" applyAlignment="1">
      <alignment horizontal="center" vertical="center"/>
    </xf>
    <xf numFmtId="0" fontId="23" fillId="3" borderId="48" xfId="0" applyFont="1" applyFill="1" applyBorder="1" applyAlignment="1">
      <alignment horizontal="center" vertical="center"/>
    </xf>
    <xf numFmtId="0" fontId="42" fillId="3" borderId="14" xfId="0" applyFont="1" applyFill="1" applyBorder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0" fontId="8" fillId="0" borderId="75" xfId="0" applyFont="1" applyBorder="1"/>
    <xf numFmtId="0" fontId="8" fillId="0" borderId="79" xfId="0" applyFont="1" applyBorder="1"/>
    <xf numFmtId="0" fontId="2" fillId="23" borderId="69" xfId="0" applyFont="1" applyFill="1" applyBorder="1" applyAlignment="1">
      <alignment vertical="center"/>
    </xf>
    <xf numFmtId="0" fontId="8" fillId="0" borderId="76" xfId="0" applyFont="1" applyBorder="1"/>
    <xf numFmtId="0" fontId="8" fillId="0" borderId="80" xfId="0" applyFont="1" applyBorder="1"/>
    <xf numFmtId="0" fontId="2" fillId="0" borderId="84" xfId="0" applyFont="1" applyBorder="1" applyAlignment="1">
      <alignment vertical="center"/>
    </xf>
    <xf numFmtId="0" fontId="8" fillId="0" borderId="94" xfId="0" applyFont="1" applyBorder="1"/>
    <xf numFmtId="0" fontId="2" fillId="0" borderId="85" xfId="0" applyFont="1" applyBorder="1" applyAlignment="1">
      <alignment horizontal="center" vertical="center"/>
    </xf>
    <xf numFmtId="0" fontId="8" fillId="0" borderId="16" xfId="0" applyFont="1" applyBorder="1"/>
    <xf numFmtId="0" fontId="8" fillId="0" borderId="95" xfId="0" applyFont="1" applyBorder="1"/>
    <xf numFmtId="0" fontId="147" fillId="0" borderId="84" xfId="0" applyFont="1" applyBorder="1" applyAlignment="1">
      <alignment vertical="center"/>
    </xf>
    <xf numFmtId="181" fontId="2" fillId="0" borderId="65" xfId="0" applyNumberFormat="1" applyFont="1" applyBorder="1" applyAlignment="1">
      <alignment horizontal="center" vertical="center"/>
    </xf>
    <xf numFmtId="0" fontId="8" fillId="0" borderId="73" xfId="0" applyFont="1" applyBorder="1"/>
    <xf numFmtId="0" fontId="8" fillId="0" borderId="27" xfId="0" applyFont="1" applyBorder="1"/>
    <xf numFmtId="0" fontId="2" fillId="19" borderId="66" xfId="0" applyFont="1" applyFill="1" applyBorder="1" applyAlignment="1">
      <alignment horizontal="center" vertical="center"/>
    </xf>
    <xf numFmtId="0" fontId="8" fillId="0" borderId="24" xfId="0" applyFont="1" applyBorder="1"/>
    <xf numFmtId="0" fontId="2" fillId="0" borderId="67" xfId="0" applyFont="1" applyBorder="1" applyAlignment="1">
      <alignment horizontal="center" vertical="center"/>
    </xf>
    <xf numFmtId="0" fontId="8" fillId="0" borderId="74" xfId="0" applyFont="1" applyBorder="1"/>
    <xf numFmtId="0" fontId="8" fillId="0" borderId="78" xfId="0" applyFont="1" applyBorder="1"/>
    <xf numFmtId="0" fontId="2" fillId="23" borderId="70" xfId="0" applyFont="1" applyFill="1" applyBorder="1" applyAlignment="1">
      <alignment horizontal="center" vertical="center"/>
    </xf>
    <xf numFmtId="0" fontId="8" fillId="0" borderId="77" xfId="0" applyFont="1" applyBorder="1"/>
    <xf numFmtId="0" fontId="8" fillId="0" borderId="81" xfId="0" applyFont="1" applyBorder="1"/>
    <xf numFmtId="0" fontId="2" fillId="0" borderId="71" xfId="0" applyFont="1" applyBorder="1" applyAlignment="1">
      <alignment horizontal="center" vertical="center"/>
    </xf>
    <xf numFmtId="0" fontId="8" fillId="0" borderId="82" xfId="0" applyFont="1" applyBorder="1"/>
    <xf numFmtId="182" fontId="2" fillId="0" borderId="72" xfId="0" applyNumberFormat="1" applyFont="1" applyBorder="1" applyAlignment="1">
      <alignment horizontal="center" vertical="center"/>
    </xf>
    <xf numFmtId="0" fontId="8" fillId="0" borderId="17" xfId="0" applyFont="1" applyBorder="1"/>
    <xf numFmtId="0" fontId="8" fillId="0" borderId="25" xfId="0" applyFont="1" applyBorder="1"/>
    <xf numFmtId="0" fontId="12" fillId="26" borderId="1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37" fillId="0" borderId="7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8" fillId="0" borderId="13" xfId="0" applyFont="1" applyBorder="1"/>
    <xf numFmtId="0" fontId="4" fillId="28" borderId="5" xfId="0" applyFont="1" applyFill="1" applyBorder="1" applyAlignment="1">
      <alignment horizontal="left" vertical="center" wrapText="1"/>
    </xf>
    <xf numFmtId="0" fontId="8" fillId="29" borderId="6" xfId="0" applyFont="1" applyFill="1" applyBorder="1"/>
    <xf numFmtId="0" fontId="4" fillId="28" borderId="4" xfId="0" applyFont="1" applyFill="1" applyBorder="1" applyAlignment="1">
      <alignment horizontal="left" vertical="center" wrapText="1"/>
    </xf>
  </cellXfs>
  <cellStyles count="2">
    <cellStyle name="표준" xfId="0" builtinId="0"/>
    <cellStyle name="표준 2" xfId="1" xr:uid="{4F2DD9AA-3523-408B-BE29-BCB81886D9C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tTI6G25Tg8llbABk6XyrD0Gudf3Rm5_ShhgcdbPjTvI/edit?usp=drive_link" TargetMode="External"/><Relationship Id="rId2" Type="http://schemas.openxmlformats.org/officeDocument/2006/relationships/hyperlink" Target="https://drive.google.com/drive/folders/1aWgPnWkHzznqP4EAl9Y3U-EUnZnBvBZ5" TargetMode="External"/><Relationship Id="rId1" Type="http://schemas.openxmlformats.org/officeDocument/2006/relationships/hyperlink" Target="https://docs.google.com/spreadsheets/d/18LBy6hnjWO7EBNpv1vBKB-5QuloIl30TxeeOBmrGh7c/edit?gid=0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hanway.hist.co.kr/ekp/hanjinkalView/app/eapp/document/eapDocViewPopup?appId=AA716603008833220706396" TargetMode="External"/><Relationship Id="rId18" Type="http://schemas.openxmlformats.org/officeDocument/2006/relationships/hyperlink" Target="https://hanway.hist.co.kr/ekp/hanjinkalView/app/eapp/document/eapDocViewPopup?appId=AA727937956662998705539" TargetMode="External"/><Relationship Id="rId26" Type="http://schemas.openxmlformats.org/officeDocument/2006/relationships/hyperlink" Target="https://hanway.hist.co.kr/ekp/hanjinkalView/app/eapp/document/eapDocViewPopup?appId=AA747879472546134116875" TargetMode="External"/><Relationship Id="rId39" Type="http://schemas.openxmlformats.org/officeDocument/2006/relationships/hyperlink" Target="mailto:crypto.sdpark@gmail.com" TargetMode="External"/><Relationship Id="rId21" Type="http://schemas.openxmlformats.org/officeDocument/2006/relationships/hyperlink" Target="https://hanway.hist.co.kr/ekp/hanjinkalView/app/eapp/document/eapDocViewPopup?appId=AA727937956662998705539" TargetMode="External"/><Relationship Id="rId34" Type="http://schemas.openxmlformats.org/officeDocument/2006/relationships/hyperlink" Target="mailto:ggc8050@ontheit.com" TargetMode="External"/><Relationship Id="rId7" Type="http://schemas.openxmlformats.org/officeDocument/2006/relationships/hyperlink" Target="https://hanway.hist.co.kr/ekp/hanjinkalView/app/eapp/document/eapDocViewPopup?appId=AA746355484928952145558" TargetMode="External"/><Relationship Id="rId12" Type="http://schemas.openxmlformats.org/officeDocument/2006/relationships/hyperlink" Target="https://hanway.hist.co.kr/ekp/hanjinkalView/app/eapp/document/eapDocViewPopup?appId=AA766049817873572614457" TargetMode="External"/><Relationship Id="rId17" Type="http://schemas.openxmlformats.org/officeDocument/2006/relationships/hyperlink" Target="https://hanway.hist.co.kr/ekp/hanjinkalView/app/eapp/document/eapDocViewPopup?appId=AA747879472546134116875" TargetMode="External"/><Relationship Id="rId25" Type="http://schemas.openxmlformats.org/officeDocument/2006/relationships/hyperlink" Target="https://hanway.hist.co.kr/ekp/hanjinkalView/app/eapp/document/eapDocViewPopup?appId=AA716603008833220706396" TargetMode="External"/><Relationship Id="rId33" Type="http://schemas.openxmlformats.org/officeDocument/2006/relationships/hyperlink" Target="https://hanway.hist.co.kr/ekp/hanjinkalView/app/eapp/document/eapDocViewPopup?appId=AA829260613667535157260" TargetMode="External"/><Relationship Id="rId38" Type="http://schemas.openxmlformats.org/officeDocument/2006/relationships/hyperlink" Target="mailto:ksy@ack.co.kr" TargetMode="External"/><Relationship Id="rId2" Type="http://schemas.openxmlformats.org/officeDocument/2006/relationships/hyperlink" Target="https://hanway.hist.co.kr/ekp/hanjinkalView/app/eapp/document/eapDocViewPopup?appId=AA829260613667535157260" TargetMode="External"/><Relationship Id="rId16" Type="http://schemas.openxmlformats.org/officeDocument/2006/relationships/hyperlink" Target="https://hanway.hist.co.kr/ekp/hanjinkalView/app/eapp/document/eapDocViewPopup?appId=AA747879472546134116875" TargetMode="External"/><Relationship Id="rId20" Type="http://schemas.openxmlformats.org/officeDocument/2006/relationships/hyperlink" Target="https://hanway.hist.co.kr/ekp/hanjinkalView/app/eapp/document/eapDocViewPopup?appId=AA727937956662998705539" TargetMode="External"/><Relationship Id="rId29" Type="http://schemas.openxmlformats.org/officeDocument/2006/relationships/hyperlink" Target="https://hanway.hist.co.kr/ekp/hanjinkalView/app/eapp/document/eapDocViewPopup?appId=AA747879472546134116875" TargetMode="External"/><Relationship Id="rId1" Type="http://schemas.openxmlformats.org/officeDocument/2006/relationships/hyperlink" Target="https://docs.google.com/spreadsheets/d/1fxN_raBKJM8YwTER5KXxHueiyzOeOH2AwrWxhaMi2QQ/edit?gid=1579425563" TargetMode="External"/><Relationship Id="rId6" Type="http://schemas.openxmlformats.org/officeDocument/2006/relationships/hyperlink" Target="https://hanway.hist.co.kr/ekp/hanjinkalView/app/eapp/document/eapDocViewPopup?appId=AA716603008833220706396" TargetMode="External"/><Relationship Id="rId11" Type="http://schemas.openxmlformats.org/officeDocument/2006/relationships/hyperlink" Target="https://hanway.hist.co.kr/ekp/hanjinkalView/app/eapp/document/eapDocViewPopup?appId=AA727937956662998705539" TargetMode="External"/><Relationship Id="rId24" Type="http://schemas.openxmlformats.org/officeDocument/2006/relationships/hyperlink" Target="https://hanway.hist.co.kr/ekp/hanjinkalView/app/eapp/document/eapDocViewPopup?appId=AA716603008833220706396" TargetMode="External"/><Relationship Id="rId32" Type="http://schemas.openxmlformats.org/officeDocument/2006/relationships/hyperlink" Target="https://hanway.hist.co.kr/ekp/hanjinkalView/app/eapp/document/eapDocViewPopup?appId=AA812608061949832423987" TargetMode="External"/><Relationship Id="rId37" Type="http://schemas.openxmlformats.org/officeDocument/2006/relationships/hyperlink" Target="mailto:hongheekim@infinitt.com" TargetMode="External"/><Relationship Id="rId40" Type="http://schemas.openxmlformats.org/officeDocument/2006/relationships/hyperlink" Target="mailto:cwryu@jiran.com" TargetMode="External"/><Relationship Id="rId5" Type="http://schemas.openxmlformats.org/officeDocument/2006/relationships/hyperlink" Target="https://hanway.hist.co.kr/ekp/hanjinkalView/app/eapp/document/eapDocViewPopup?appId=AA716603008833220706396" TargetMode="External"/><Relationship Id="rId15" Type="http://schemas.openxmlformats.org/officeDocument/2006/relationships/hyperlink" Target="https://hanway.hist.co.kr/ekp/hanjinkalView/app/eapp/document/eapDocViewPopup?appId=AA645147051584430459179" TargetMode="External"/><Relationship Id="rId23" Type="http://schemas.openxmlformats.org/officeDocument/2006/relationships/hyperlink" Target="https://hanway.hist.co.kr/ekp/hanjinkalView/app/eapp/document/eapDocViewPopup?appId=AA747879472546134116875" TargetMode="External"/><Relationship Id="rId28" Type="http://schemas.openxmlformats.org/officeDocument/2006/relationships/hyperlink" Target="https://hanway.hist.co.kr/ekp/hanjinkalView/app/eapp/document/eapDocViewPopup?appId=AA747879472546134116875" TargetMode="External"/><Relationship Id="rId36" Type="http://schemas.openxmlformats.org/officeDocument/2006/relationships/hyperlink" Target="mailto:srwon@intsystem.co.kr" TargetMode="External"/><Relationship Id="rId10" Type="http://schemas.openxmlformats.org/officeDocument/2006/relationships/hyperlink" Target="https://hanway.hist.co.kr/ekp/hanjinkalView/app/eapp/document/eapDocViewPopup?appId=AA747879472546134116875" TargetMode="External"/><Relationship Id="rId19" Type="http://schemas.openxmlformats.org/officeDocument/2006/relationships/hyperlink" Target="https://hanway.hist.co.kr/ekp/hanjinkalView/app/eapp/document/eapDocViewPopup?appId=AA727937956662998705539" TargetMode="External"/><Relationship Id="rId31" Type="http://schemas.openxmlformats.org/officeDocument/2006/relationships/hyperlink" Target="https://hanway.hist.co.kr/ekp/hanjinkalView/app/eapp/document/eapDocViewPopup?appId=AA812608061949832423987" TargetMode="External"/><Relationship Id="rId4" Type="http://schemas.openxmlformats.org/officeDocument/2006/relationships/hyperlink" Target="https://hanway.hist.co.kr/ekp/hanjinkalView/app/eapp/document/eapDocViewPopup?appId=AA812608061949832423987" TargetMode="External"/><Relationship Id="rId9" Type="http://schemas.openxmlformats.org/officeDocument/2006/relationships/hyperlink" Target="https://hanway.hist.co.kr/ekp/hanjinkalView/app/eapp/document/eapDocViewPopup?appId=AA747879472546134116875" TargetMode="External"/><Relationship Id="rId14" Type="http://schemas.openxmlformats.org/officeDocument/2006/relationships/hyperlink" Target="https://hanway.hist.co.kr/ekp/hanjinkalView/app/eapp/document/eapDocViewPopup?appId=AA746355484928952145558" TargetMode="External"/><Relationship Id="rId22" Type="http://schemas.openxmlformats.org/officeDocument/2006/relationships/hyperlink" Target="https://hanway.hist.co.kr/ekp/hanjinkalView/app/eapp/document/eapDocViewPopup?appId=AA747879472546134116875" TargetMode="External"/><Relationship Id="rId27" Type="http://schemas.openxmlformats.org/officeDocument/2006/relationships/hyperlink" Target="https://hanway.hist.co.kr/ekp/hanjinkalView/app/eapp/document/eapDocViewPopup?appId=AA747879472546134116875" TargetMode="External"/><Relationship Id="rId30" Type="http://schemas.openxmlformats.org/officeDocument/2006/relationships/hyperlink" Target="https://hanway.hist.co.kr/ekp/hanjinkalView/app/eapp/document/eapDocViewPopup?appId=AA747879472546134116875" TargetMode="External"/><Relationship Id="rId35" Type="http://schemas.openxmlformats.org/officeDocument/2006/relationships/hyperlink" Target="mailto:jhpark1@forcs.com" TargetMode="External"/><Relationship Id="rId8" Type="http://schemas.openxmlformats.org/officeDocument/2006/relationships/hyperlink" Target="https://hanway.hist.co.kr/ekp/hanjinkalView/app/eapp/document/eapDocViewPopup?appId=AA727937956662998705539" TargetMode="External"/><Relationship Id="rId3" Type="http://schemas.openxmlformats.org/officeDocument/2006/relationships/hyperlink" Target="https://hanway.hist.co.kr/ekp/hanjinkalView/app/eapp/document/eapDocViewPopup?appId=AA747879472546134116875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hanway.hist.co.kr/ekp/hanjinkalView/app/eapp/document/eapDocViewPopup?appId=AA575849244346608702996" TargetMode="External"/><Relationship Id="rId13" Type="http://schemas.openxmlformats.org/officeDocument/2006/relationships/hyperlink" Target="https://hanway.hist.co.kr/ekp/hanjinkalView/app/eapp/document/eapDocViewPopup?appId=AA581893970912989847739" TargetMode="External"/><Relationship Id="rId18" Type="http://schemas.openxmlformats.org/officeDocument/2006/relationships/hyperlink" Target="https://hanway.hist.co.kr/ekp/hanjinkalView/app/eapp/document/eapDocViewPopup?appId=AA58200322594285559677" TargetMode="External"/><Relationship Id="rId3" Type="http://schemas.openxmlformats.org/officeDocument/2006/relationships/hyperlink" Target="https://hanway.hist.co.kr/ekp/hanjinkalView/app/eapp/document/eapDocViewPopup?appId=AA569813916677202194467" TargetMode="External"/><Relationship Id="rId21" Type="http://schemas.openxmlformats.org/officeDocument/2006/relationships/hyperlink" Target="https://hanway.hist.co.kr/ekp/hanjinkalView/app/eapp/document/eapDocViewPopup?appId=AA602807224837314432445" TargetMode="External"/><Relationship Id="rId7" Type="http://schemas.openxmlformats.org/officeDocument/2006/relationships/hyperlink" Target="https://hanway.hist.co.kr/ekp/hanjinkalView/app/eapp/document/eapDocViewPopup?appId=AA575832632312389769583" TargetMode="External"/><Relationship Id="rId12" Type="http://schemas.openxmlformats.org/officeDocument/2006/relationships/hyperlink" Target="https://hanway.hist.co.kr/ekp/hanjinkalView/app/eapp/document/eapDocViewPopup?appId=AA581878460243142933244" TargetMode="External"/><Relationship Id="rId17" Type="http://schemas.openxmlformats.org/officeDocument/2006/relationships/hyperlink" Target="https://hanway.hist.co.kr/ekp/hanjinkalView/app/eapp/document/eapDocViewPopup?appId=AA582775597926400087630" TargetMode="External"/><Relationship Id="rId2" Type="http://schemas.openxmlformats.org/officeDocument/2006/relationships/hyperlink" Target="https://hanway.hist.co.kr/ekp/hanjinkalView/app/eapp/document/eapDocViewPopup?appId=AA569813302902416953206" TargetMode="External"/><Relationship Id="rId16" Type="http://schemas.openxmlformats.org/officeDocument/2006/relationships/hyperlink" Target="https://hanway.hist.co.kr/ekp/hanjinkalView/app/eapp/document/eapDocViewPopup?appId=AA581908356937561918171" TargetMode="External"/><Relationship Id="rId20" Type="http://schemas.openxmlformats.org/officeDocument/2006/relationships/hyperlink" Target="https://hanway.hist.co.kr/ekp/hanjinkalView/app/eapp/document/eapDocViewPopup?appId=AA581902328195897882160" TargetMode="External"/><Relationship Id="rId1" Type="http://schemas.openxmlformats.org/officeDocument/2006/relationships/hyperlink" Target="https://hanway.hist.co.kr/ekp/hanjinkalView/app/eapp/document/eapDocViewPopup?appId=AA545519346122008848059" TargetMode="External"/><Relationship Id="rId6" Type="http://schemas.openxmlformats.org/officeDocument/2006/relationships/hyperlink" Target="https://hanway.hist.co.kr/ekp/hanjinkalView/app/eapp/document/eapDocViewPopup?appId=AA570034987447109231763" TargetMode="External"/><Relationship Id="rId11" Type="http://schemas.openxmlformats.org/officeDocument/2006/relationships/hyperlink" Target="https://hanway.hist.co.kr/ekp/hanjinkalView/app/eapp/document/eapDocViewPopup?appId=AA576913960658937508686" TargetMode="External"/><Relationship Id="rId5" Type="http://schemas.openxmlformats.org/officeDocument/2006/relationships/hyperlink" Target="https://hanway.hist.co.kr/ekp/hanjinkalView/app/eapp/document/eapDocViewPopup?appId=AA575854251452550781106" TargetMode="External"/><Relationship Id="rId15" Type="http://schemas.openxmlformats.org/officeDocument/2006/relationships/hyperlink" Target="https://hanway.hist.co.kr/ekp/hanjinkalView/app/eapp/document/eapDocViewPopup?appId=AA582744828520755304361" TargetMode="External"/><Relationship Id="rId23" Type="http://schemas.openxmlformats.org/officeDocument/2006/relationships/hyperlink" Target="https://hanway.hist.co.kr/ekp/hanjinkalView/app/eapp/document/eapDocViewPopup?appId=AA614653494433213868236" TargetMode="External"/><Relationship Id="rId10" Type="http://schemas.openxmlformats.org/officeDocument/2006/relationships/hyperlink" Target="https://hanway.hist.co.kr/ekp/hanjinkalView/app/eapp/document/eapDocViewPopup?appId=AA575938686661050785609" TargetMode="External"/><Relationship Id="rId19" Type="http://schemas.openxmlformats.org/officeDocument/2006/relationships/hyperlink" Target="https://hanway.hist.co.kr/ekp/hanjinkalView/app/eapp/document/eapDocViewPopup?appId=AA587054518493796626662" TargetMode="External"/><Relationship Id="rId4" Type="http://schemas.openxmlformats.org/officeDocument/2006/relationships/hyperlink" Target="https://hanway.hist.co.kr/ekp/hanjinkalView/app/eapp/document/eapDocViewPopup?appId=AA569804485929885914011" TargetMode="External"/><Relationship Id="rId9" Type="http://schemas.openxmlformats.org/officeDocument/2006/relationships/hyperlink" Target="https://hanway.hist.co.kr/ekp/hanjinkalView/app/eapp/document/eapDocViewPopup?appId=AA575876906020248971954" TargetMode="External"/><Relationship Id="rId14" Type="http://schemas.openxmlformats.org/officeDocument/2006/relationships/hyperlink" Target="https://hanway.hist.co.kr/ekp/hanjinkalView/app/eapp/document/eapDocViewPopup?appId=AA58189890718900985724" TargetMode="External"/><Relationship Id="rId22" Type="http://schemas.openxmlformats.org/officeDocument/2006/relationships/hyperlink" Target="https://hanway.hist.co.kr/ekp/hanjinkalView/app/eapp/document/eapDocViewPopup?appId=AA613776108806609073053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mailto:eline@elinebiz.co.kr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hyperlink" Target="https://drive.google.com/drive/folders/171BI6toV7SyxDZ9G1VL7msTtn21OhWy7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s://docs.google.com/spreadsheets/d/1YFtAk0BEbJZuR6BLzVMbhoSIOK-P2t1I6cLaoT8akQ8/edit?gid=633161824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mailto:sykim10@hist.co.kr" TargetMode="External"/><Relationship Id="rId3" Type="http://schemas.openxmlformats.org/officeDocument/2006/relationships/hyperlink" Target="mailto:mkim@hist.co.kr" TargetMode="External"/><Relationship Id="rId7" Type="http://schemas.openxmlformats.org/officeDocument/2006/relationships/hyperlink" Target="mailto:hgkim@hist.co.kr" TargetMode="External"/><Relationship Id="rId2" Type="http://schemas.openxmlformats.org/officeDocument/2006/relationships/hyperlink" Target="mailto:ghwon@hist.co.kr" TargetMode="External"/><Relationship Id="rId1" Type="http://schemas.openxmlformats.org/officeDocument/2006/relationships/hyperlink" Target="mailto:ghwon@hist.co.kr" TargetMode="External"/><Relationship Id="rId6" Type="http://schemas.openxmlformats.org/officeDocument/2006/relationships/hyperlink" Target="mailto:choch@hist.co.kr" TargetMode="External"/><Relationship Id="rId11" Type="http://schemas.openxmlformats.org/officeDocument/2006/relationships/comments" Target="../comments5.xml"/><Relationship Id="rId5" Type="http://schemas.openxmlformats.org/officeDocument/2006/relationships/hyperlink" Target="about:blank" TargetMode="External"/><Relationship Id="rId10" Type="http://schemas.openxmlformats.org/officeDocument/2006/relationships/vmlDrawing" Target="../drawings/vmlDrawing5.vml"/><Relationship Id="rId4" Type="http://schemas.openxmlformats.org/officeDocument/2006/relationships/hyperlink" Target="mailto:jcyoo@hist.co.kr" TargetMode="External"/><Relationship Id="rId9" Type="http://schemas.openxmlformats.org/officeDocument/2006/relationships/hyperlink" Target="mailto:kims@hist.co.kr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LjUEtN5TtNGRwvqyn0vtkQ4weJ85_gpB/view?usp=drive_link" TargetMode="External"/><Relationship Id="rId2" Type="http://schemas.openxmlformats.org/officeDocument/2006/relationships/hyperlink" Target="https://drive.google.com/file/d/1oVaT0a90Ebq9ZVGKKA7Wfn3I2ooQ4chz/view?usp=drive_link" TargetMode="External"/><Relationship Id="rId1" Type="http://schemas.openxmlformats.org/officeDocument/2006/relationships/hyperlink" Target="https://drive.google.com/file/d/1DSYYAH5SCK2g-W6JeRbPsNSie2lvPp2V/view?usp=drive_link" TargetMode="External"/><Relationship Id="rId4" Type="http://schemas.openxmlformats.org/officeDocument/2006/relationships/hyperlink" Target="https://drive.google.com/file/d/1sTd9Of7x9icyz2R96MPOypguPM9VQUjK/view?usp=drive_link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mailto:sykim10@hist.co.kr" TargetMode="External"/><Relationship Id="rId3" Type="http://schemas.openxmlformats.org/officeDocument/2006/relationships/hyperlink" Target="mailto:mkim@hist.co.kr" TargetMode="External"/><Relationship Id="rId7" Type="http://schemas.openxmlformats.org/officeDocument/2006/relationships/hyperlink" Target="mailto:hgkim@hist.co.kr" TargetMode="External"/><Relationship Id="rId2" Type="http://schemas.openxmlformats.org/officeDocument/2006/relationships/hyperlink" Target="mailto:ghwon@hist.co.kr" TargetMode="External"/><Relationship Id="rId1" Type="http://schemas.openxmlformats.org/officeDocument/2006/relationships/hyperlink" Target="mailto:hankim@hist.co.kr" TargetMode="External"/><Relationship Id="rId6" Type="http://schemas.openxmlformats.org/officeDocument/2006/relationships/hyperlink" Target="mailto:choch@hist.co.kr" TargetMode="External"/><Relationship Id="rId5" Type="http://schemas.openxmlformats.org/officeDocument/2006/relationships/hyperlink" Target="about:blank" TargetMode="External"/><Relationship Id="rId4" Type="http://schemas.openxmlformats.org/officeDocument/2006/relationships/hyperlink" Target="mailto:jcyoo@hist.co.kr" TargetMode="External"/><Relationship Id="rId9" Type="http://schemas.openxmlformats.org/officeDocument/2006/relationships/hyperlink" Target="mailto:kims@hist.co.k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outlinePr summaryBelow="0" summaryRight="0"/>
  </sheetPr>
  <dimension ref="A1:BC942"/>
  <sheetViews>
    <sheetView tabSelected="1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H9" sqref="H9"/>
    </sheetView>
  </sheetViews>
  <sheetFormatPr baseColWidth="10" defaultColWidth="12.5" defaultRowHeight="15.75" customHeight="1"/>
  <cols>
    <col min="1" max="1" width="3.83203125" customWidth="1"/>
    <col min="2" max="2" width="17.5" customWidth="1"/>
    <col min="3" max="3" width="4.33203125" customWidth="1"/>
    <col min="4" max="4" width="32.5" customWidth="1"/>
    <col min="5" max="9" width="9.5" customWidth="1"/>
    <col min="10" max="10" width="11.5" customWidth="1"/>
  </cols>
  <sheetData>
    <row r="1" spans="1:55" ht="38.25" customHeight="1">
      <c r="A1" s="1" t="s">
        <v>0</v>
      </c>
      <c r="B1" s="2"/>
      <c r="C1" s="3"/>
      <c r="D1" s="2"/>
      <c r="E1" s="4"/>
      <c r="F1" s="4"/>
      <c r="G1" s="4"/>
      <c r="H1" s="4"/>
      <c r="I1" s="4"/>
      <c r="J1" s="5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spans="1:55" ht="31.5" customHeight="1">
      <c r="A2" s="6"/>
      <c r="B2" s="6"/>
      <c r="C2" s="6"/>
      <c r="D2" s="6"/>
      <c r="E2" s="6"/>
      <c r="F2" s="6"/>
      <c r="G2" s="6"/>
      <c r="H2" s="6"/>
      <c r="I2" s="7" t="s">
        <v>1</v>
      </c>
      <c r="J2" s="1063" t="s">
        <v>2</v>
      </c>
      <c r="K2" s="1064"/>
      <c r="L2" s="1064"/>
      <c r="M2" s="1064"/>
      <c r="N2" s="1064"/>
      <c r="O2" s="1065"/>
      <c r="P2" s="1066" t="s">
        <v>3</v>
      </c>
      <c r="Q2" s="1064"/>
      <c r="R2" s="1064"/>
      <c r="S2" s="1064"/>
      <c r="T2" s="1064"/>
      <c r="U2" s="1064"/>
      <c r="V2" s="1064"/>
      <c r="W2" s="1064"/>
      <c r="X2" s="1064"/>
      <c r="Y2" s="1064"/>
      <c r="Z2" s="1064"/>
      <c r="AA2" s="1065"/>
      <c r="AB2" s="1067" t="s">
        <v>4</v>
      </c>
      <c r="AC2" s="1064"/>
      <c r="AD2" s="1064"/>
      <c r="AE2" s="1064"/>
      <c r="AF2" s="1064"/>
      <c r="AG2" s="1064"/>
      <c r="AH2" s="1064"/>
      <c r="AI2" s="1064"/>
      <c r="AJ2" s="1064"/>
      <c r="AK2" s="1064"/>
      <c r="AL2" s="1064"/>
      <c r="AM2" s="1065"/>
      <c r="AN2" s="1067" t="s">
        <v>5</v>
      </c>
      <c r="AO2" s="1064"/>
      <c r="AP2" s="1064"/>
      <c r="AQ2" s="1064"/>
      <c r="AR2" s="1064"/>
      <c r="AS2" s="1064"/>
      <c r="AT2" s="1064"/>
      <c r="AU2" s="1064"/>
      <c r="AV2" s="1064"/>
      <c r="AW2" s="1064"/>
      <c r="AX2" s="1064"/>
      <c r="AY2" s="1065"/>
      <c r="AZ2" s="1067" t="s">
        <v>6</v>
      </c>
      <c r="BA2" s="1064"/>
      <c r="BB2" s="1064"/>
      <c r="BC2" s="1065"/>
    </row>
    <row r="3" spans="1:55" ht="13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8" t="s">
        <v>12</v>
      </c>
      <c r="G3" s="8" t="s">
        <v>13</v>
      </c>
      <c r="H3" s="8" t="s">
        <v>14</v>
      </c>
      <c r="I3" s="8" t="s">
        <v>15</v>
      </c>
      <c r="J3" s="9" t="s">
        <v>16</v>
      </c>
      <c r="K3" s="9" t="s">
        <v>17</v>
      </c>
      <c r="L3" s="9" t="s">
        <v>18</v>
      </c>
      <c r="M3" s="9" t="s">
        <v>19</v>
      </c>
      <c r="N3" s="9" t="s">
        <v>20</v>
      </c>
      <c r="O3" s="9" t="s">
        <v>21</v>
      </c>
      <c r="P3" s="9" t="s">
        <v>22</v>
      </c>
      <c r="Q3" s="9" t="s">
        <v>23</v>
      </c>
      <c r="R3" s="9" t="s">
        <v>24</v>
      </c>
      <c r="S3" s="9" t="s">
        <v>25</v>
      </c>
      <c r="T3" s="9" t="s">
        <v>26</v>
      </c>
      <c r="U3" s="9" t="s">
        <v>27</v>
      </c>
      <c r="V3" s="9" t="s">
        <v>28</v>
      </c>
      <c r="W3" s="9" t="s">
        <v>17</v>
      </c>
      <c r="X3" s="9" t="s">
        <v>18</v>
      </c>
      <c r="Y3" s="9" t="s">
        <v>19</v>
      </c>
      <c r="Z3" s="9" t="s">
        <v>20</v>
      </c>
      <c r="AA3" s="9" t="s">
        <v>21</v>
      </c>
      <c r="AB3" s="9" t="s">
        <v>22</v>
      </c>
      <c r="AC3" s="9" t="s">
        <v>23</v>
      </c>
      <c r="AD3" s="9" t="s">
        <v>24</v>
      </c>
      <c r="AE3" s="9" t="s">
        <v>25</v>
      </c>
      <c r="AF3" s="9" t="s">
        <v>26</v>
      </c>
      <c r="AG3" s="9" t="s">
        <v>27</v>
      </c>
      <c r="AH3" s="9" t="s">
        <v>28</v>
      </c>
      <c r="AI3" s="9" t="s">
        <v>17</v>
      </c>
      <c r="AJ3" s="9" t="s">
        <v>18</v>
      </c>
      <c r="AK3" s="9" t="s">
        <v>19</v>
      </c>
      <c r="AL3" s="9" t="s">
        <v>20</v>
      </c>
      <c r="AM3" s="9" t="s">
        <v>21</v>
      </c>
      <c r="AN3" s="9" t="s">
        <v>22</v>
      </c>
      <c r="AO3" s="9" t="s">
        <v>23</v>
      </c>
      <c r="AP3" s="9" t="s">
        <v>24</v>
      </c>
      <c r="AQ3" s="9" t="s">
        <v>25</v>
      </c>
      <c r="AR3" s="9" t="s">
        <v>26</v>
      </c>
      <c r="AS3" s="9" t="s">
        <v>27</v>
      </c>
      <c r="AT3" s="9" t="s">
        <v>28</v>
      </c>
      <c r="AU3" s="9" t="s">
        <v>17</v>
      </c>
      <c r="AV3" s="9" t="s">
        <v>18</v>
      </c>
      <c r="AW3" s="9" t="s">
        <v>19</v>
      </c>
      <c r="AX3" s="9" t="s">
        <v>20</v>
      </c>
      <c r="AY3" s="9" t="s">
        <v>21</v>
      </c>
      <c r="AZ3" s="9" t="s">
        <v>22</v>
      </c>
      <c r="BA3" s="9" t="s">
        <v>23</v>
      </c>
      <c r="BB3" s="9" t="s">
        <v>24</v>
      </c>
      <c r="BC3" s="9" t="s">
        <v>25</v>
      </c>
    </row>
    <row r="4" spans="1:55" ht="13">
      <c r="A4" s="1058">
        <v>1</v>
      </c>
      <c r="B4" s="1058" t="s">
        <v>29</v>
      </c>
      <c r="C4" s="1062" t="s">
        <v>30</v>
      </c>
      <c r="D4" s="1291" t="s">
        <v>31</v>
      </c>
      <c r="E4" s="10" t="s">
        <v>32</v>
      </c>
      <c r="F4" s="11"/>
      <c r="G4" s="10" t="s">
        <v>33</v>
      </c>
      <c r="H4" s="12">
        <v>44927</v>
      </c>
      <c r="I4" s="12">
        <v>46752</v>
      </c>
      <c r="J4" s="13">
        <v>211580473</v>
      </c>
      <c r="K4" s="14">
        <v>211580473</v>
      </c>
      <c r="L4" s="14">
        <v>211580473</v>
      </c>
      <c r="M4" s="14">
        <v>211580473</v>
      </c>
      <c r="N4" s="14">
        <v>211580473</v>
      </c>
      <c r="O4" s="14">
        <v>211580477</v>
      </c>
      <c r="P4" s="14">
        <v>215307490</v>
      </c>
      <c r="Q4" s="14">
        <v>215307490</v>
      </c>
      <c r="R4" s="14">
        <v>215307490</v>
      </c>
      <c r="S4" s="14">
        <v>215307490</v>
      </c>
      <c r="T4" s="14">
        <v>215307490</v>
      </c>
      <c r="U4" s="14">
        <v>215307490</v>
      </c>
      <c r="V4" s="14">
        <v>215307490</v>
      </c>
      <c r="W4" s="14">
        <v>215307490</v>
      </c>
      <c r="X4" s="14">
        <v>215307490</v>
      </c>
      <c r="Y4" s="14">
        <v>215307490</v>
      </c>
      <c r="Z4" s="14">
        <v>215307490</v>
      </c>
      <c r="AA4" s="14">
        <v>215307490</v>
      </c>
      <c r="AB4" s="14">
        <v>211385820</v>
      </c>
      <c r="AC4" s="14">
        <v>211385820</v>
      </c>
      <c r="AD4" s="14">
        <v>211385820</v>
      </c>
      <c r="AE4" s="14">
        <v>211385820</v>
      </c>
      <c r="AF4" s="14">
        <v>211385820</v>
      </c>
      <c r="AG4" s="14">
        <v>211385820</v>
      </c>
      <c r="AH4" s="14">
        <v>211385820</v>
      </c>
      <c r="AI4" s="14">
        <v>211385820</v>
      </c>
      <c r="AJ4" s="14">
        <v>211385820</v>
      </c>
      <c r="AK4" s="14">
        <v>211385820</v>
      </c>
      <c r="AL4" s="14">
        <v>211385820</v>
      </c>
      <c r="AM4" s="14">
        <v>211385820</v>
      </c>
      <c r="AN4" s="14">
        <v>205455980</v>
      </c>
      <c r="AO4" s="14">
        <v>205455980</v>
      </c>
      <c r="AP4" s="14">
        <v>205455980</v>
      </c>
      <c r="AQ4" s="14">
        <v>205455980</v>
      </c>
      <c r="AR4" s="14">
        <v>205455980</v>
      </c>
      <c r="AS4" s="14">
        <v>205455980</v>
      </c>
      <c r="AT4" s="14">
        <v>205455980</v>
      </c>
      <c r="AU4" s="14">
        <v>205455980</v>
      </c>
      <c r="AV4" s="14">
        <v>205455980</v>
      </c>
      <c r="AW4" s="14">
        <v>205455980</v>
      </c>
      <c r="AX4" s="14">
        <v>205455980</v>
      </c>
      <c r="AY4" s="14">
        <v>205455980</v>
      </c>
      <c r="AZ4" s="14"/>
      <c r="BA4" s="14"/>
      <c r="BB4" s="14"/>
      <c r="BC4" s="14"/>
    </row>
    <row r="5" spans="1:55" ht="13">
      <c r="A5" s="1052"/>
      <c r="B5" s="1060"/>
      <c r="C5" s="1051"/>
      <c r="D5" s="1292"/>
      <c r="E5" s="10" t="s">
        <v>34</v>
      </c>
      <c r="F5" s="11"/>
      <c r="G5" s="10" t="s">
        <v>35</v>
      </c>
      <c r="H5" s="12">
        <v>44927</v>
      </c>
      <c r="I5" s="12">
        <v>46752</v>
      </c>
      <c r="J5" s="13">
        <v>32580000</v>
      </c>
      <c r="K5" s="14">
        <v>32580000</v>
      </c>
      <c r="L5" s="14">
        <v>32580000</v>
      </c>
      <c r="M5" s="14">
        <v>32580000</v>
      </c>
      <c r="N5" s="14">
        <v>32580000</v>
      </c>
      <c r="O5" s="14">
        <v>32579996</v>
      </c>
      <c r="P5" s="14">
        <v>38192400</v>
      </c>
      <c r="Q5" s="14">
        <v>38192400</v>
      </c>
      <c r="R5" s="14">
        <v>38192400</v>
      </c>
      <c r="S5" s="14">
        <v>38192400</v>
      </c>
      <c r="T5" s="14">
        <v>38192400</v>
      </c>
      <c r="U5" s="14">
        <v>38192400</v>
      </c>
      <c r="V5" s="14">
        <v>38192400</v>
      </c>
      <c r="W5" s="14">
        <v>38192400</v>
      </c>
      <c r="X5" s="14">
        <v>38192400</v>
      </c>
      <c r="Y5" s="14">
        <v>38192400</v>
      </c>
      <c r="Z5" s="14">
        <v>38192400</v>
      </c>
      <c r="AA5" s="14">
        <v>38192400</v>
      </c>
      <c r="AB5" s="14">
        <v>39338160</v>
      </c>
      <c r="AC5" s="14">
        <v>39338160</v>
      </c>
      <c r="AD5" s="14">
        <v>39338160</v>
      </c>
      <c r="AE5" s="14">
        <v>39338160</v>
      </c>
      <c r="AF5" s="14">
        <v>39338160</v>
      </c>
      <c r="AG5" s="14">
        <v>39338160</v>
      </c>
      <c r="AH5" s="14">
        <v>39338160</v>
      </c>
      <c r="AI5" s="14">
        <v>39338160</v>
      </c>
      <c r="AJ5" s="14">
        <v>39338160</v>
      </c>
      <c r="AK5" s="14">
        <v>39338160</v>
      </c>
      <c r="AL5" s="14">
        <v>39338160</v>
      </c>
      <c r="AM5" s="14">
        <v>39338160</v>
      </c>
      <c r="AN5" s="14">
        <v>40518320</v>
      </c>
      <c r="AO5" s="14">
        <v>40518320</v>
      </c>
      <c r="AP5" s="14">
        <v>40518320</v>
      </c>
      <c r="AQ5" s="14">
        <v>40518320</v>
      </c>
      <c r="AR5" s="14">
        <v>40518320</v>
      </c>
      <c r="AS5" s="14">
        <v>40518320</v>
      </c>
      <c r="AT5" s="14">
        <v>40518320</v>
      </c>
      <c r="AU5" s="14">
        <v>40518320</v>
      </c>
      <c r="AV5" s="14">
        <v>40518320</v>
      </c>
      <c r="AW5" s="14">
        <v>40518320</v>
      </c>
      <c r="AX5" s="14">
        <v>40518320</v>
      </c>
      <c r="AY5" s="14">
        <v>40518320</v>
      </c>
      <c r="AZ5" s="14"/>
      <c r="BA5" s="14"/>
      <c r="BB5" s="14"/>
      <c r="BC5" s="14"/>
    </row>
    <row r="6" spans="1:55" ht="26">
      <c r="A6" s="10">
        <v>2</v>
      </c>
      <c r="B6" s="1060"/>
      <c r="C6" s="1051"/>
      <c r="D6" s="1293" t="s">
        <v>36</v>
      </c>
      <c r="E6" s="10" t="s">
        <v>32</v>
      </c>
      <c r="F6" s="11"/>
      <c r="G6" s="10" t="s">
        <v>33</v>
      </c>
      <c r="H6" s="12">
        <v>45292</v>
      </c>
      <c r="I6" s="12">
        <v>45657</v>
      </c>
      <c r="J6" s="13">
        <v>9785000</v>
      </c>
      <c r="K6" s="14">
        <v>9785000</v>
      </c>
      <c r="L6" s="14">
        <v>9785000</v>
      </c>
      <c r="M6" s="14">
        <v>9785000</v>
      </c>
      <c r="N6" s="14">
        <v>9785000</v>
      </c>
      <c r="O6" s="14">
        <v>9785000</v>
      </c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</row>
    <row r="7" spans="1:55" ht="26">
      <c r="A7" s="10"/>
      <c r="B7" s="1061"/>
      <c r="C7" s="1052"/>
      <c r="D7" s="1293" t="s">
        <v>37</v>
      </c>
      <c r="E7" s="10" t="s">
        <v>32</v>
      </c>
      <c r="F7" s="10" t="s">
        <v>38</v>
      </c>
      <c r="G7" s="10" t="s">
        <v>39</v>
      </c>
      <c r="H7" s="12">
        <v>45505</v>
      </c>
      <c r="I7" s="12">
        <v>45580</v>
      </c>
      <c r="J7" s="13"/>
      <c r="K7" s="14">
        <v>13666667</v>
      </c>
      <c r="L7" s="14">
        <v>13666667</v>
      </c>
      <c r="M7" s="14">
        <v>13666666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</row>
    <row r="8" spans="1:55" ht="26">
      <c r="A8" s="10">
        <v>3</v>
      </c>
      <c r="B8" s="10" t="s">
        <v>40</v>
      </c>
      <c r="C8" s="16" t="s">
        <v>41</v>
      </c>
      <c r="D8" s="1293" t="s">
        <v>42</v>
      </c>
      <c r="E8" s="10" t="s">
        <v>32</v>
      </c>
      <c r="F8" s="10" t="s">
        <v>43</v>
      </c>
      <c r="G8" s="10" t="s">
        <v>44</v>
      </c>
      <c r="H8" s="12">
        <v>44944</v>
      </c>
      <c r="I8" s="12">
        <v>46812</v>
      </c>
      <c r="J8" s="13">
        <v>141856000</v>
      </c>
      <c r="K8" s="14">
        <v>141856000</v>
      </c>
      <c r="L8" s="14">
        <v>141856000</v>
      </c>
      <c r="M8" s="14">
        <v>141856000</v>
      </c>
      <c r="N8" s="14">
        <v>120032000</v>
      </c>
      <c r="O8" s="14">
        <v>120032000</v>
      </c>
      <c r="P8" s="14">
        <v>109120000</v>
      </c>
      <c r="Q8" s="14">
        <v>109120000</v>
      </c>
      <c r="R8" s="14">
        <v>98208000</v>
      </c>
      <c r="S8" s="14">
        <v>98208000</v>
      </c>
      <c r="T8" s="14">
        <v>98208000</v>
      </c>
      <c r="U8" s="14">
        <v>98208000</v>
      </c>
      <c r="V8" s="14">
        <v>98208000</v>
      </c>
      <c r="W8" s="14">
        <v>98208000</v>
      </c>
      <c r="X8" s="14">
        <v>98208000</v>
      </c>
      <c r="Y8" s="14">
        <v>98208000</v>
      </c>
      <c r="Z8" s="14">
        <v>98208000</v>
      </c>
      <c r="AA8" s="14">
        <v>98208000</v>
      </c>
      <c r="AB8" s="14">
        <v>98208000</v>
      </c>
      <c r="AC8" s="14">
        <v>98208000</v>
      </c>
      <c r="AD8" s="14">
        <v>98208000</v>
      </c>
      <c r="AE8" s="14">
        <v>98208000</v>
      </c>
      <c r="AF8" s="14">
        <v>98208000</v>
      </c>
      <c r="AG8" s="14">
        <v>98208000</v>
      </c>
      <c r="AH8" s="14">
        <v>98208000</v>
      </c>
      <c r="AI8" s="14">
        <v>98208000</v>
      </c>
      <c r="AJ8" s="14">
        <v>98208000</v>
      </c>
      <c r="AK8" s="14">
        <v>98208000</v>
      </c>
      <c r="AL8" s="14">
        <v>98208000</v>
      </c>
      <c r="AM8" s="14">
        <v>98208000</v>
      </c>
      <c r="AN8" s="14">
        <v>98208000</v>
      </c>
      <c r="AO8" s="14">
        <v>98208000</v>
      </c>
      <c r="AP8" s="14">
        <v>87296000</v>
      </c>
      <c r="AQ8" s="14">
        <v>87296000</v>
      </c>
      <c r="AR8" s="14">
        <v>87296000</v>
      </c>
      <c r="AS8" s="14">
        <v>87296000</v>
      </c>
      <c r="AT8" s="14">
        <v>76384000</v>
      </c>
      <c r="AU8" s="14">
        <v>76384000</v>
      </c>
      <c r="AV8" s="14">
        <v>76384000</v>
      </c>
      <c r="AW8" s="14">
        <v>76384000</v>
      </c>
      <c r="AX8" s="14">
        <v>76384000</v>
      </c>
      <c r="AY8" s="14">
        <v>76384000</v>
      </c>
      <c r="AZ8" s="14">
        <v>76384000</v>
      </c>
      <c r="BA8" s="14">
        <v>76384000</v>
      </c>
      <c r="BB8" s="14"/>
      <c r="BC8" s="14"/>
    </row>
    <row r="9" spans="1:55" ht="13">
      <c r="A9" s="1058">
        <v>4</v>
      </c>
      <c r="B9" s="1058" t="s">
        <v>45</v>
      </c>
      <c r="C9" s="1062" t="s">
        <v>46</v>
      </c>
      <c r="D9" s="1291" t="s">
        <v>47</v>
      </c>
      <c r="E9" s="10" t="s">
        <v>32</v>
      </c>
      <c r="F9" s="11"/>
      <c r="G9" s="10" t="s">
        <v>48</v>
      </c>
      <c r="H9" s="12">
        <v>45292</v>
      </c>
      <c r="I9" s="12">
        <v>45657</v>
      </c>
      <c r="J9" s="13">
        <v>264416666</v>
      </c>
      <c r="K9" s="14">
        <v>264416666</v>
      </c>
      <c r="L9" s="14">
        <v>264416666</v>
      </c>
      <c r="M9" s="14">
        <v>264416666</v>
      </c>
      <c r="N9" s="14">
        <v>264416666</v>
      </c>
      <c r="O9" s="14">
        <v>264416674</v>
      </c>
      <c r="P9" s="14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</row>
    <row r="10" spans="1:55" ht="13">
      <c r="A10" s="1052"/>
      <c r="B10" s="1060"/>
      <c r="C10" s="1051"/>
      <c r="D10" s="1292"/>
      <c r="E10" s="10" t="s">
        <v>34</v>
      </c>
      <c r="F10" s="11"/>
      <c r="G10" s="10" t="s">
        <v>49</v>
      </c>
      <c r="H10" s="12">
        <v>45292</v>
      </c>
      <c r="I10" s="12">
        <v>45657</v>
      </c>
      <c r="J10" s="13">
        <v>167250000</v>
      </c>
      <c r="K10" s="14">
        <v>167250000</v>
      </c>
      <c r="L10" s="14">
        <v>167250000</v>
      </c>
      <c r="M10" s="14">
        <v>167250000</v>
      </c>
      <c r="N10" s="14">
        <v>167250000</v>
      </c>
      <c r="O10" s="14">
        <v>167250000</v>
      </c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</row>
    <row r="11" spans="1:55" ht="13">
      <c r="A11" s="10">
        <v>5</v>
      </c>
      <c r="B11" s="1060"/>
      <c r="C11" s="1052"/>
      <c r="D11" s="15" t="s">
        <v>50</v>
      </c>
      <c r="E11" s="10" t="s">
        <v>32</v>
      </c>
      <c r="F11" s="11"/>
      <c r="G11" s="10" t="s">
        <v>48</v>
      </c>
      <c r="H11" s="12">
        <v>45292</v>
      </c>
      <c r="I11" s="12">
        <v>45657</v>
      </c>
      <c r="J11" s="13">
        <v>222583333</v>
      </c>
      <c r="K11" s="14">
        <v>222583333</v>
      </c>
      <c r="L11" s="14">
        <v>222583333</v>
      </c>
      <c r="M11" s="14">
        <v>222583333</v>
      </c>
      <c r="N11" s="14">
        <v>222583333</v>
      </c>
      <c r="O11" s="14">
        <v>222583337</v>
      </c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</row>
    <row r="12" spans="1:55" ht="13">
      <c r="A12" s="10">
        <v>6</v>
      </c>
      <c r="B12" s="1060"/>
      <c r="C12" s="16" t="s">
        <v>41</v>
      </c>
      <c r="D12" s="15" t="s">
        <v>51</v>
      </c>
      <c r="E12" s="10" t="s">
        <v>32</v>
      </c>
      <c r="F12" s="11"/>
      <c r="G12" s="10" t="s">
        <v>52</v>
      </c>
      <c r="H12" s="12">
        <v>45345</v>
      </c>
      <c r="I12" s="12">
        <v>45648</v>
      </c>
      <c r="J12" s="13">
        <v>11900000</v>
      </c>
      <c r="K12" s="14">
        <v>11900000</v>
      </c>
      <c r="L12" s="14">
        <v>11900000</v>
      </c>
      <c r="M12" s="14">
        <v>11900000</v>
      </c>
      <c r="N12" s="14">
        <v>11900000</v>
      </c>
      <c r="O12" s="14">
        <v>11900000</v>
      </c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</row>
    <row r="13" spans="1:55" ht="13">
      <c r="A13" s="17"/>
      <c r="B13" s="1060"/>
      <c r="C13" s="18" t="s">
        <v>53</v>
      </c>
      <c r="D13" s="19" t="s">
        <v>54</v>
      </c>
      <c r="E13" s="17"/>
      <c r="F13" s="20"/>
      <c r="G13" s="18" t="s">
        <v>55</v>
      </c>
      <c r="H13" s="21">
        <v>45203</v>
      </c>
      <c r="I13" s="22">
        <v>45507</v>
      </c>
      <c r="J13" s="20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</row>
    <row r="14" spans="1:55" ht="26">
      <c r="A14" s="17"/>
      <c r="B14" s="1060"/>
      <c r="C14" s="18" t="s">
        <v>53</v>
      </c>
      <c r="D14" s="19" t="s">
        <v>56</v>
      </c>
      <c r="E14" s="17"/>
      <c r="F14" s="20"/>
      <c r="G14" s="18" t="s">
        <v>57</v>
      </c>
      <c r="H14" s="21">
        <v>44866</v>
      </c>
      <c r="I14" s="22">
        <v>45535</v>
      </c>
      <c r="J14" s="20"/>
      <c r="K14" s="14">
        <v>39000000</v>
      </c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</row>
    <row r="15" spans="1:55" ht="26">
      <c r="A15" s="17"/>
      <c r="B15" s="1060"/>
      <c r="C15" s="18" t="s">
        <v>53</v>
      </c>
      <c r="D15" s="19" t="s">
        <v>58</v>
      </c>
      <c r="E15" s="17"/>
      <c r="F15" s="20"/>
      <c r="G15" s="18" t="s">
        <v>59</v>
      </c>
      <c r="H15" s="21">
        <v>44866</v>
      </c>
      <c r="I15" s="22">
        <v>45535</v>
      </c>
      <c r="J15" s="13"/>
      <c r="K15" s="14">
        <v>39000000</v>
      </c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</row>
    <row r="16" spans="1:55" ht="26">
      <c r="A16" s="17"/>
      <c r="B16" s="1060"/>
      <c r="C16" s="18" t="s">
        <v>53</v>
      </c>
      <c r="D16" s="19" t="s">
        <v>60</v>
      </c>
      <c r="E16" s="17"/>
      <c r="F16" s="20"/>
      <c r="G16" s="18" t="s">
        <v>61</v>
      </c>
      <c r="H16" s="21">
        <v>45383</v>
      </c>
      <c r="I16" s="21">
        <v>45596</v>
      </c>
      <c r="J16" s="13"/>
      <c r="K16" s="14">
        <v>186000000</v>
      </c>
      <c r="L16" s="11"/>
      <c r="M16" s="14">
        <v>248000000</v>
      </c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</row>
    <row r="17" spans="1:55" ht="26">
      <c r="A17" s="17"/>
      <c r="B17" s="1061"/>
      <c r="C17" s="18" t="s">
        <v>53</v>
      </c>
      <c r="D17" s="19" t="s">
        <v>62</v>
      </c>
      <c r="E17" s="17"/>
      <c r="F17" s="20"/>
      <c r="G17" s="18" t="s">
        <v>63</v>
      </c>
      <c r="H17" s="21">
        <v>45383</v>
      </c>
      <c r="I17" s="21">
        <v>45596</v>
      </c>
      <c r="J17" s="20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</row>
    <row r="18" spans="1:55" ht="13">
      <c r="A18" s="10">
        <v>7</v>
      </c>
      <c r="B18" s="1058" t="s">
        <v>64</v>
      </c>
      <c r="C18" s="16" t="s">
        <v>65</v>
      </c>
      <c r="D18" s="15" t="s">
        <v>66</v>
      </c>
      <c r="E18" s="10" t="s">
        <v>67</v>
      </c>
      <c r="F18" s="11"/>
      <c r="G18" s="10" t="s">
        <v>68</v>
      </c>
      <c r="H18" s="12">
        <v>45292</v>
      </c>
      <c r="I18" s="12">
        <v>45657</v>
      </c>
      <c r="J18" s="13">
        <v>125324083</v>
      </c>
      <c r="K18" s="14">
        <v>125324083</v>
      </c>
      <c r="L18" s="14">
        <v>125324083</v>
      </c>
      <c r="M18" s="14">
        <v>125324083</v>
      </c>
      <c r="N18" s="14">
        <v>125324083</v>
      </c>
      <c r="O18" s="14">
        <v>125324087</v>
      </c>
      <c r="P18" s="14">
        <v>1478040800</v>
      </c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</row>
    <row r="19" spans="1:55" ht="13">
      <c r="A19" s="10">
        <v>8</v>
      </c>
      <c r="B19" s="1052"/>
      <c r="C19" s="16" t="s">
        <v>65</v>
      </c>
      <c r="D19" s="15" t="s">
        <v>69</v>
      </c>
      <c r="E19" s="10" t="s">
        <v>67</v>
      </c>
      <c r="F19" s="11"/>
      <c r="G19" s="10" t="s">
        <v>68</v>
      </c>
      <c r="H19" s="12">
        <v>45292</v>
      </c>
      <c r="I19" s="12">
        <v>45657</v>
      </c>
      <c r="J19" s="13">
        <v>17421600</v>
      </c>
      <c r="K19" s="14">
        <v>17421600</v>
      </c>
      <c r="L19" s="14">
        <v>17421600</v>
      </c>
      <c r="M19" s="14">
        <v>17421600</v>
      </c>
      <c r="N19" s="14">
        <v>17421600</v>
      </c>
      <c r="O19" s="14">
        <v>17421600</v>
      </c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</row>
    <row r="20" spans="1:55" ht="13">
      <c r="A20" s="23"/>
      <c r="B20" s="24" t="s">
        <v>70</v>
      </c>
      <c r="C20" s="25"/>
      <c r="D20" s="26" t="s">
        <v>71</v>
      </c>
      <c r="E20" s="24" t="s">
        <v>72</v>
      </c>
      <c r="F20" s="24" t="s">
        <v>73</v>
      </c>
      <c r="G20" s="24" t="s">
        <v>74</v>
      </c>
      <c r="H20" s="27">
        <f>VLOOKUP(G20,'(참고)PJT목록'!A:E,4,0)</f>
        <v>45320</v>
      </c>
      <c r="I20" s="27">
        <f>VLOOKUP(G20,'(참고)PJT목록'!A:E,5,0)</f>
        <v>45471</v>
      </c>
      <c r="J20" s="28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29"/>
      <c r="BB20" s="29"/>
      <c r="BC20" s="29"/>
    </row>
    <row r="21" spans="1:55" ht="13">
      <c r="A21" s="23"/>
      <c r="B21" s="24" t="s">
        <v>70</v>
      </c>
      <c r="C21" s="10" t="s">
        <v>75</v>
      </c>
      <c r="D21" s="26" t="s">
        <v>76</v>
      </c>
      <c r="E21" s="24" t="s">
        <v>72</v>
      </c>
      <c r="F21" s="24" t="s">
        <v>73</v>
      </c>
      <c r="G21" s="24" t="s">
        <v>77</v>
      </c>
      <c r="H21" s="27">
        <f>VLOOKUP(G21,'(참고)PJT목록'!A:E,4,0)</f>
        <v>45362</v>
      </c>
      <c r="I21" s="27">
        <f>VLOOKUP(G21,'(참고)PJT목록'!A:E,5,0)</f>
        <v>45746</v>
      </c>
      <c r="J21" s="30">
        <v>18000000</v>
      </c>
      <c r="K21" s="31">
        <v>18000000</v>
      </c>
      <c r="L21" s="31">
        <v>18000000</v>
      </c>
      <c r="M21" s="31">
        <v>18000000</v>
      </c>
      <c r="N21" s="31">
        <v>18000000</v>
      </c>
      <c r="O21" s="31">
        <v>18000000</v>
      </c>
      <c r="P21" s="31">
        <v>18000000</v>
      </c>
      <c r="Q21" s="31">
        <v>18000000</v>
      </c>
      <c r="R21" s="31">
        <v>18000000</v>
      </c>
      <c r="S21" s="31">
        <v>18000000</v>
      </c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29"/>
      <c r="BB21" s="29"/>
      <c r="BC21" s="29"/>
    </row>
    <row r="22" spans="1:55" ht="13">
      <c r="A22" s="23"/>
      <c r="B22" s="24" t="s">
        <v>70</v>
      </c>
      <c r="C22" s="10" t="s">
        <v>75</v>
      </c>
      <c r="D22" s="26" t="s">
        <v>78</v>
      </c>
      <c r="E22" s="24" t="s">
        <v>79</v>
      </c>
      <c r="F22" s="24" t="s">
        <v>80</v>
      </c>
      <c r="G22" s="24" t="s">
        <v>81</v>
      </c>
      <c r="H22" s="27">
        <f>VLOOKUP(G22,'(참고)PJT목록'!A:E,4,0)</f>
        <v>45385</v>
      </c>
      <c r="I22" s="27">
        <f>VLOOKUP(G22,'(참고)PJT목록'!A:E,5,0)</f>
        <v>47575</v>
      </c>
      <c r="J22" s="32">
        <v>1590000</v>
      </c>
      <c r="K22" s="33">
        <v>1590000</v>
      </c>
      <c r="L22" s="33">
        <v>1590000</v>
      </c>
      <c r="M22" s="33">
        <v>1590000</v>
      </c>
      <c r="N22" s="33">
        <v>1590000</v>
      </c>
      <c r="O22" s="33">
        <v>1590000</v>
      </c>
      <c r="P22" s="33">
        <v>1590000</v>
      </c>
      <c r="Q22" s="33">
        <v>1590000</v>
      </c>
      <c r="R22" s="33">
        <v>1590000</v>
      </c>
      <c r="S22" s="33">
        <v>1590000</v>
      </c>
      <c r="T22" s="33">
        <v>1590000</v>
      </c>
      <c r="U22" s="33">
        <v>1590000</v>
      </c>
      <c r="V22" s="33">
        <v>1590000</v>
      </c>
      <c r="W22" s="33">
        <v>1590000</v>
      </c>
      <c r="X22" s="33">
        <v>1590000</v>
      </c>
      <c r="Y22" s="33">
        <v>1590000</v>
      </c>
      <c r="Z22" s="33">
        <v>1590000</v>
      </c>
      <c r="AA22" s="33">
        <v>1590000</v>
      </c>
      <c r="AB22" s="33">
        <v>1590000</v>
      </c>
      <c r="AC22" s="33">
        <v>1590000</v>
      </c>
      <c r="AD22" s="33">
        <v>1590000</v>
      </c>
      <c r="AE22" s="33">
        <v>1590000</v>
      </c>
      <c r="AF22" s="33">
        <v>1590000</v>
      </c>
      <c r="AG22" s="33">
        <v>1590000</v>
      </c>
      <c r="AH22" s="33">
        <v>1590000</v>
      </c>
      <c r="AI22" s="33">
        <v>1590000</v>
      </c>
      <c r="AJ22" s="33">
        <v>1590000</v>
      </c>
      <c r="AK22" s="33">
        <v>1590000</v>
      </c>
      <c r="AL22" s="33">
        <v>1590000</v>
      </c>
      <c r="AM22" s="33">
        <v>1590000</v>
      </c>
      <c r="AN22" s="33">
        <v>1590000</v>
      </c>
      <c r="AO22" s="33">
        <v>1590000</v>
      </c>
      <c r="AP22" s="33">
        <v>1590000</v>
      </c>
      <c r="AQ22" s="33">
        <v>1590000</v>
      </c>
      <c r="AR22" s="33">
        <v>1590000</v>
      </c>
      <c r="AS22" s="33">
        <v>1590000</v>
      </c>
      <c r="AT22" s="33">
        <v>1590000</v>
      </c>
      <c r="AU22" s="33">
        <v>1590000</v>
      </c>
      <c r="AV22" s="33">
        <v>1590000</v>
      </c>
      <c r="AW22" s="33">
        <v>1590000</v>
      </c>
      <c r="AX22" s="33">
        <v>1590000</v>
      </c>
      <c r="AY22" s="33">
        <v>1590000</v>
      </c>
      <c r="AZ22" s="33">
        <v>1590000</v>
      </c>
      <c r="BA22" s="33">
        <v>1590000</v>
      </c>
      <c r="BB22" s="33">
        <v>1590000</v>
      </c>
      <c r="BC22" s="33">
        <v>1590000</v>
      </c>
    </row>
    <row r="23" spans="1:55" ht="13">
      <c r="A23" s="23"/>
      <c r="B23" s="24" t="s">
        <v>70</v>
      </c>
      <c r="C23" s="10" t="s">
        <v>82</v>
      </c>
      <c r="D23" s="26" t="s">
        <v>83</v>
      </c>
      <c r="E23" s="24" t="s">
        <v>72</v>
      </c>
      <c r="F23" s="24" t="s">
        <v>80</v>
      </c>
      <c r="G23" s="24" t="s">
        <v>84</v>
      </c>
      <c r="H23" s="27">
        <f>VLOOKUP(G23,'(참고)PJT목록'!A:E,4,0)</f>
        <v>45397</v>
      </c>
      <c r="I23" s="27">
        <f>VLOOKUP(G23,'(참고)PJT목록'!A:E,5,0)</f>
        <v>46126</v>
      </c>
      <c r="J23" s="32">
        <v>9000000</v>
      </c>
      <c r="K23" s="34">
        <v>9000000</v>
      </c>
      <c r="L23" s="34">
        <v>9000000</v>
      </c>
      <c r="M23" s="34">
        <v>9000000</v>
      </c>
      <c r="N23" s="34">
        <v>9000000</v>
      </c>
      <c r="O23" s="34">
        <v>9000000</v>
      </c>
      <c r="P23" s="34">
        <v>9000000</v>
      </c>
      <c r="Q23" s="34">
        <v>9000000</v>
      </c>
      <c r="R23" s="34">
        <v>9000000</v>
      </c>
      <c r="S23" s="34">
        <v>9000000</v>
      </c>
      <c r="T23" s="34">
        <v>9000000</v>
      </c>
      <c r="U23" s="34">
        <v>9000000</v>
      </c>
      <c r="V23" s="34">
        <v>9000000</v>
      </c>
      <c r="W23" s="34">
        <v>9000000</v>
      </c>
      <c r="X23" s="34">
        <v>9000000</v>
      </c>
      <c r="Y23" s="34">
        <v>9000000</v>
      </c>
      <c r="Z23" s="34">
        <v>9000000</v>
      </c>
      <c r="AA23" s="34">
        <v>9000000</v>
      </c>
      <c r="AB23" s="34">
        <v>9000000</v>
      </c>
      <c r="AC23" s="34">
        <v>9000000</v>
      </c>
      <c r="AD23" s="34">
        <v>9000000</v>
      </c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29"/>
      <c r="BB23" s="29"/>
      <c r="BC23" s="29"/>
    </row>
    <row r="24" spans="1:55" ht="16.5" customHeight="1">
      <c r="A24" s="23"/>
      <c r="B24" s="1058" t="s">
        <v>45</v>
      </c>
      <c r="C24" s="1058" t="s">
        <v>65</v>
      </c>
      <c r="D24" s="35" t="s">
        <v>85</v>
      </c>
      <c r="E24" s="36" t="s">
        <v>86</v>
      </c>
      <c r="F24" s="10">
        <v>414113</v>
      </c>
      <c r="G24" s="36" t="s">
        <v>87</v>
      </c>
      <c r="H24" s="27">
        <f>VLOOKUP(G24,'(참고)PJT목록'!A:E,4,0)</f>
        <v>44263</v>
      </c>
      <c r="I24" s="27">
        <f>VLOOKUP(G24,'(참고)PJT목록'!A:E,5,0)</f>
        <v>46088</v>
      </c>
      <c r="J24" s="37">
        <v>43469004</v>
      </c>
      <c r="K24" s="38">
        <v>43469004</v>
      </c>
      <c r="L24" s="38">
        <v>43469004</v>
      </c>
      <c r="M24" s="38">
        <v>43469004</v>
      </c>
      <c r="N24" s="38">
        <v>43469004</v>
      </c>
      <c r="O24" s="38">
        <v>43469004</v>
      </c>
      <c r="P24" s="38">
        <v>43469004</v>
      </c>
      <c r="Q24" s="38">
        <v>43469004</v>
      </c>
      <c r="R24" s="38">
        <v>43469004</v>
      </c>
      <c r="S24" s="38">
        <v>43469004</v>
      </c>
      <c r="T24" s="38">
        <v>43469004</v>
      </c>
      <c r="U24" s="38">
        <v>43469004</v>
      </c>
      <c r="V24" s="38">
        <v>43469004</v>
      </c>
      <c r="W24" s="38">
        <v>43469004</v>
      </c>
      <c r="X24" s="38">
        <v>43469004</v>
      </c>
      <c r="Y24" s="38">
        <v>43469004</v>
      </c>
      <c r="Z24" s="38">
        <v>43469004</v>
      </c>
      <c r="AA24" s="38">
        <v>43469004</v>
      </c>
      <c r="AB24" s="38">
        <v>43469004</v>
      </c>
      <c r="AC24" s="38">
        <v>43469004</v>
      </c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29"/>
      <c r="BB24" s="29"/>
      <c r="BC24" s="29"/>
    </row>
    <row r="25" spans="1:55" ht="16.5" customHeight="1">
      <c r="A25" s="23"/>
      <c r="B25" s="1051"/>
      <c r="C25" s="1051"/>
      <c r="D25" s="35" t="s">
        <v>88</v>
      </c>
      <c r="E25" s="36" t="s">
        <v>86</v>
      </c>
      <c r="F25" s="39">
        <v>414113</v>
      </c>
      <c r="G25" s="36" t="s">
        <v>89</v>
      </c>
      <c r="H25" s="27">
        <f>VLOOKUP(G25,'(참고)PJT목록'!A:E,4,0)</f>
        <v>43374</v>
      </c>
      <c r="I25" s="40">
        <f>VLOOKUP(G25,'(참고)PJT목록'!A:E,5,0)</f>
        <v>45565</v>
      </c>
      <c r="J25" s="37">
        <v>6345333</v>
      </c>
      <c r="K25" s="38">
        <v>6345333</v>
      </c>
      <c r="L25" s="38">
        <v>6345333</v>
      </c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29"/>
      <c r="BB25" s="29"/>
      <c r="BC25" s="29"/>
    </row>
    <row r="26" spans="1:55" ht="16.5" customHeight="1">
      <c r="A26" s="23"/>
      <c r="B26" s="1051"/>
      <c r="C26" s="1051"/>
      <c r="D26" s="35" t="s">
        <v>90</v>
      </c>
      <c r="E26" s="36" t="s">
        <v>91</v>
      </c>
      <c r="F26" s="39" t="s">
        <v>92</v>
      </c>
      <c r="G26" s="36" t="s">
        <v>93</v>
      </c>
      <c r="H26" s="27">
        <f>VLOOKUP(G26,'(참고)PJT목록'!A:E,4,0)</f>
        <v>43374</v>
      </c>
      <c r="I26" s="40">
        <f>VLOOKUP(G26,'(참고)PJT목록'!A:E,5,0)</f>
        <v>45565</v>
      </c>
      <c r="J26" s="37">
        <v>67978801</v>
      </c>
      <c r="K26" s="38">
        <v>67978801</v>
      </c>
      <c r="L26" s="38">
        <v>67978801</v>
      </c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29"/>
      <c r="BB26" s="29"/>
      <c r="BC26" s="29"/>
    </row>
    <row r="27" spans="1:55" ht="16.5" customHeight="1">
      <c r="A27" s="23"/>
      <c r="B27" s="1051"/>
      <c r="C27" s="1051"/>
      <c r="D27" s="35" t="s">
        <v>94</v>
      </c>
      <c r="E27" s="36" t="s">
        <v>95</v>
      </c>
      <c r="F27" s="10" t="s">
        <v>96</v>
      </c>
      <c r="G27" s="36" t="s">
        <v>97</v>
      </c>
      <c r="H27" s="27">
        <f>VLOOKUP(G27,'(참고)PJT목록'!A:E,4,0)</f>
        <v>45536</v>
      </c>
      <c r="I27" s="40">
        <f>VLOOKUP(G27,'(참고)PJT목록'!A:E,5,0)</f>
        <v>45900</v>
      </c>
      <c r="J27" s="37">
        <v>5600000</v>
      </c>
      <c r="K27" s="38">
        <v>5600000</v>
      </c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29"/>
      <c r="BB27" s="29"/>
      <c r="BC27" s="29"/>
    </row>
    <row r="28" spans="1:55" ht="16.5" customHeight="1">
      <c r="A28" s="23"/>
      <c r="B28" s="1052"/>
      <c r="C28" s="1052"/>
      <c r="D28" s="35" t="s">
        <v>98</v>
      </c>
      <c r="E28" s="36" t="s">
        <v>91</v>
      </c>
      <c r="F28" s="10">
        <v>414113</v>
      </c>
      <c r="G28" s="36" t="s">
        <v>99</v>
      </c>
      <c r="H28" s="27">
        <f>VLOOKUP(G28,'(참고)PJT목록'!A:E,4,0)</f>
        <v>45292</v>
      </c>
      <c r="I28" s="27">
        <f>VLOOKUP(G28,'(참고)PJT목록'!A:E,5,0)</f>
        <v>45657</v>
      </c>
      <c r="J28" s="41">
        <v>18141500</v>
      </c>
      <c r="K28" s="42">
        <v>18141500</v>
      </c>
      <c r="L28" s="42">
        <v>18141500</v>
      </c>
      <c r="M28" s="42">
        <v>18141500</v>
      </c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29"/>
      <c r="BB28" s="29"/>
      <c r="BC28" s="29"/>
    </row>
    <row r="29" spans="1:55" ht="16.5" customHeight="1">
      <c r="A29" s="23"/>
      <c r="B29" s="1057" t="s">
        <v>100</v>
      </c>
      <c r="C29" s="1058" t="s">
        <v>65</v>
      </c>
      <c r="D29" s="35" t="s">
        <v>101</v>
      </c>
      <c r="E29" s="36" t="s">
        <v>86</v>
      </c>
      <c r="F29" s="10">
        <v>414113</v>
      </c>
      <c r="G29" s="39" t="s">
        <v>102</v>
      </c>
      <c r="H29" s="27">
        <f>VLOOKUP(G29,'(참고)PJT목록'!A:E,4,0)</f>
        <v>45292</v>
      </c>
      <c r="I29" s="27">
        <f>VLOOKUP(G29,'(참고)PJT목록'!A:E,5,0)</f>
        <v>45657</v>
      </c>
      <c r="J29" s="32">
        <v>14034000</v>
      </c>
      <c r="K29" s="33">
        <v>14034000</v>
      </c>
      <c r="L29" s="33">
        <v>14034000</v>
      </c>
      <c r="M29" s="33">
        <v>14034000</v>
      </c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29"/>
      <c r="BB29" s="29"/>
      <c r="BC29" s="29"/>
    </row>
    <row r="30" spans="1:55" ht="16.5" customHeight="1">
      <c r="A30" s="23"/>
      <c r="B30" s="1051"/>
      <c r="C30" s="1051"/>
      <c r="D30" s="43" t="s">
        <v>103</v>
      </c>
      <c r="E30" s="36" t="s">
        <v>91</v>
      </c>
      <c r="F30" s="10">
        <v>413141</v>
      </c>
      <c r="G30" s="36" t="s">
        <v>104</v>
      </c>
      <c r="H30" s="27">
        <f>VLOOKUP(G30,'(참고)PJT목록'!A:E,4,0)</f>
        <v>44621</v>
      </c>
      <c r="I30" s="27">
        <f>VLOOKUP(G30,'(참고)PJT목록'!A:E,5,0)</f>
        <v>46446</v>
      </c>
      <c r="J30" s="32">
        <v>2616677</v>
      </c>
      <c r="K30" s="33">
        <v>2616677</v>
      </c>
      <c r="L30" s="33">
        <v>2616677</v>
      </c>
      <c r="M30" s="33">
        <v>2616677</v>
      </c>
      <c r="N30" s="33">
        <v>2616677</v>
      </c>
      <c r="O30" s="33">
        <v>2616677</v>
      </c>
      <c r="P30" s="33">
        <v>2616677</v>
      </c>
      <c r="Q30" s="33">
        <v>2616677</v>
      </c>
      <c r="R30" s="33">
        <v>2616677</v>
      </c>
      <c r="S30" s="33">
        <v>2616677</v>
      </c>
      <c r="T30" s="33">
        <v>2616677</v>
      </c>
      <c r="U30" s="33">
        <v>2616677</v>
      </c>
      <c r="V30" s="33">
        <v>2616677</v>
      </c>
      <c r="W30" s="33">
        <v>2616677</v>
      </c>
      <c r="X30" s="33">
        <v>2616677</v>
      </c>
      <c r="Y30" s="33">
        <v>2616677</v>
      </c>
      <c r="Z30" s="33">
        <v>2616677</v>
      </c>
      <c r="AA30" s="33">
        <v>2616677</v>
      </c>
      <c r="AB30" s="33">
        <v>2616677</v>
      </c>
      <c r="AC30" s="33">
        <v>2616677</v>
      </c>
      <c r="AD30" s="33">
        <v>2616677</v>
      </c>
      <c r="AE30" s="33">
        <v>2616677</v>
      </c>
      <c r="AF30" s="33">
        <v>2616677</v>
      </c>
      <c r="AG30" s="33">
        <v>2616677</v>
      </c>
      <c r="AH30" s="33">
        <v>2616677</v>
      </c>
      <c r="AI30" s="33">
        <v>2616677</v>
      </c>
      <c r="AJ30" s="33">
        <v>2616677</v>
      </c>
      <c r="AK30" s="33">
        <v>2616677</v>
      </c>
      <c r="AL30" s="33">
        <v>2616677</v>
      </c>
      <c r="AM30" s="33">
        <v>2616677</v>
      </c>
      <c r="AN30" s="33">
        <v>2616677</v>
      </c>
      <c r="AO30" s="33">
        <v>2616677</v>
      </c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29"/>
      <c r="BB30" s="29"/>
      <c r="BC30" s="29"/>
    </row>
    <row r="31" spans="1:55" ht="16.5" customHeight="1">
      <c r="A31" s="23"/>
      <c r="B31" s="1052"/>
      <c r="C31" s="1052"/>
      <c r="D31" s="35" t="s">
        <v>105</v>
      </c>
      <c r="E31" s="36" t="s">
        <v>86</v>
      </c>
      <c r="F31" s="10">
        <v>414113</v>
      </c>
      <c r="G31" s="36" t="s">
        <v>106</v>
      </c>
      <c r="H31" s="27">
        <f>VLOOKUP(G31,'(참고)PJT목록'!A:E,4,0)</f>
        <v>44621</v>
      </c>
      <c r="I31" s="27">
        <f>VLOOKUP(G31,'(참고)PJT목록'!A:E,5,0)</f>
        <v>46446</v>
      </c>
      <c r="J31" s="32">
        <v>1260000</v>
      </c>
      <c r="K31" s="33">
        <v>1260000</v>
      </c>
      <c r="L31" s="33">
        <v>1260000</v>
      </c>
      <c r="M31" s="33">
        <v>1260000</v>
      </c>
      <c r="N31" s="33">
        <v>1260000</v>
      </c>
      <c r="O31" s="33">
        <v>1260000</v>
      </c>
      <c r="P31" s="33">
        <v>1260000</v>
      </c>
      <c r="Q31" s="33">
        <v>1260000</v>
      </c>
      <c r="R31" s="33">
        <v>1260000</v>
      </c>
      <c r="S31" s="33">
        <v>1260000</v>
      </c>
      <c r="T31" s="33">
        <v>1260000</v>
      </c>
      <c r="U31" s="33">
        <v>1260000</v>
      </c>
      <c r="V31" s="33">
        <v>1260000</v>
      </c>
      <c r="W31" s="33">
        <v>1260000</v>
      </c>
      <c r="X31" s="33">
        <v>1260000</v>
      </c>
      <c r="Y31" s="33">
        <v>1260000</v>
      </c>
      <c r="Z31" s="33">
        <v>1260000</v>
      </c>
      <c r="AA31" s="33">
        <v>1260000</v>
      </c>
      <c r="AB31" s="33">
        <v>1260000</v>
      </c>
      <c r="AC31" s="33">
        <v>1260000</v>
      </c>
      <c r="AD31" s="33">
        <v>1260000</v>
      </c>
      <c r="AE31" s="33">
        <v>1260000</v>
      </c>
      <c r="AF31" s="33">
        <v>1260000</v>
      </c>
      <c r="AG31" s="33">
        <v>1260000</v>
      </c>
      <c r="AH31" s="33">
        <v>1260000</v>
      </c>
      <c r="AI31" s="33">
        <v>1260000</v>
      </c>
      <c r="AJ31" s="33">
        <v>1260000</v>
      </c>
      <c r="AK31" s="33">
        <v>1260000</v>
      </c>
      <c r="AL31" s="33">
        <v>1260000</v>
      </c>
      <c r="AM31" s="33">
        <v>1260000</v>
      </c>
      <c r="AN31" s="33">
        <v>1260000</v>
      </c>
      <c r="AO31" s="33">
        <v>1260000</v>
      </c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29"/>
      <c r="BB31" s="29"/>
      <c r="BC31" s="29"/>
    </row>
    <row r="32" spans="1:55" ht="16.5" customHeight="1">
      <c r="A32" s="23"/>
      <c r="B32" s="1057" t="s">
        <v>107</v>
      </c>
      <c r="C32" s="1058" t="s">
        <v>65</v>
      </c>
      <c r="D32" s="35" t="s">
        <v>108</v>
      </c>
      <c r="E32" s="36" t="s">
        <v>86</v>
      </c>
      <c r="F32" s="10">
        <v>414113</v>
      </c>
      <c r="G32" s="36" t="s">
        <v>109</v>
      </c>
      <c r="H32" s="27">
        <f>VLOOKUP(G32,'(참고)PJT목록'!A:E,4,0)</f>
        <v>44621</v>
      </c>
      <c r="I32" s="27">
        <f>VLOOKUP(G32,'(참고)PJT목록'!A:E,5,0)</f>
        <v>46446</v>
      </c>
      <c r="J32" s="32">
        <v>335000</v>
      </c>
      <c r="K32" s="33">
        <v>335000</v>
      </c>
      <c r="L32" s="33">
        <v>335000</v>
      </c>
      <c r="M32" s="33">
        <v>335000</v>
      </c>
      <c r="N32" s="33">
        <v>335000</v>
      </c>
      <c r="O32" s="33">
        <v>335000</v>
      </c>
      <c r="P32" s="33">
        <v>335000</v>
      </c>
      <c r="Q32" s="33">
        <v>335000</v>
      </c>
      <c r="R32" s="33">
        <v>335000</v>
      </c>
      <c r="S32" s="33">
        <v>335000</v>
      </c>
      <c r="T32" s="33">
        <v>335000</v>
      </c>
      <c r="U32" s="33">
        <v>335000</v>
      </c>
      <c r="V32" s="33">
        <v>335000</v>
      </c>
      <c r="W32" s="33">
        <v>335000</v>
      </c>
      <c r="X32" s="33">
        <v>335000</v>
      </c>
      <c r="Y32" s="33">
        <v>335000</v>
      </c>
      <c r="Z32" s="33">
        <v>335000</v>
      </c>
      <c r="AA32" s="33">
        <v>335000</v>
      </c>
      <c r="AB32" s="33">
        <v>335000</v>
      </c>
      <c r="AC32" s="33">
        <v>335000</v>
      </c>
      <c r="AD32" s="33">
        <v>335000</v>
      </c>
      <c r="AE32" s="33">
        <v>335000</v>
      </c>
      <c r="AF32" s="33">
        <v>335000</v>
      </c>
      <c r="AG32" s="33">
        <v>335000</v>
      </c>
      <c r="AH32" s="33">
        <v>335000</v>
      </c>
      <c r="AI32" s="33">
        <v>335000</v>
      </c>
      <c r="AJ32" s="33">
        <v>335000</v>
      </c>
      <c r="AK32" s="33">
        <v>335000</v>
      </c>
      <c r="AL32" s="33">
        <v>335000</v>
      </c>
      <c r="AM32" s="33">
        <v>335000</v>
      </c>
      <c r="AN32" s="33">
        <v>335000</v>
      </c>
      <c r="AO32" s="33">
        <v>335000</v>
      </c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29"/>
      <c r="BB32" s="29"/>
      <c r="BC32" s="29"/>
    </row>
    <row r="33" spans="1:55" ht="16.5" customHeight="1">
      <c r="A33" s="23"/>
      <c r="B33" s="1051"/>
      <c r="C33" s="1051"/>
      <c r="D33" s="43" t="s">
        <v>110</v>
      </c>
      <c r="E33" s="36" t="s">
        <v>91</v>
      </c>
      <c r="F33" s="44">
        <v>413141</v>
      </c>
      <c r="G33" s="36" t="s">
        <v>111</v>
      </c>
      <c r="H33" s="27">
        <f>VLOOKUP(G33,'(참고)PJT목록'!A:E,4,0)</f>
        <v>44621</v>
      </c>
      <c r="I33" s="27">
        <f>VLOOKUP(G33,'(참고)PJT목록'!A:E,5,0)</f>
        <v>46446</v>
      </c>
      <c r="J33" s="32">
        <v>43647</v>
      </c>
      <c r="K33" s="33">
        <v>43647</v>
      </c>
      <c r="L33" s="33">
        <v>43647</v>
      </c>
      <c r="M33" s="33">
        <v>43647</v>
      </c>
      <c r="N33" s="33">
        <v>43647</v>
      </c>
      <c r="O33" s="33">
        <v>43647</v>
      </c>
      <c r="P33" s="33">
        <v>43647</v>
      </c>
      <c r="Q33" s="33">
        <v>43647</v>
      </c>
      <c r="R33" s="33">
        <v>43647</v>
      </c>
      <c r="S33" s="33">
        <v>43647</v>
      </c>
      <c r="T33" s="33">
        <v>43647</v>
      </c>
      <c r="U33" s="33">
        <v>43647</v>
      </c>
      <c r="V33" s="33">
        <v>43647</v>
      </c>
      <c r="W33" s="33">
        <v>43647</v>
      </c>
      <c r="X33" s="33">
        <v>43647</v>
      </c>
      <c r="Y33" s="33">
        <v>43647</v>
      </c>
      <c r="Z33" s="33">
        <v>43647</v>
      </c>
      <c r="AA33" s="33">
        <v>43647</v>
      </c>
      <c r="AB33" s="33">
        <v>43647</v>
      </c>
      <c r="AC33" s="33">
        <v>43647</v>
      </c>
      <c r="AD33" s="33">
        <v>43647</v>
      </c>
      <c r="AE33" s="33">
        <v>43647</v>
      </c>
      <c r="AF33" s="33">
        <v>43647</v>
      </c>
      <c r="AG33" s="33">
        <v>43647</v>
      </c>
      <c r="AH33" s="33">
        <v>43647</v>
      </c>
      <c r="AI33" s="33">
        <v>43647</v>
      </c>
      <c r="AJ33" s="33">
        <v>43647</v>
      </c>
      <c r="AK33" s="33">
        <v>43647</v>
      </c>
      <c r="AL33" s="33">
        <v>43647</v>
      </c>
      <c r="AM33" s="33">
        <v>43647</v>
      </c>
      <c r="AN33" s="33">
        <v>43647</v>
      </c>
      <c r="AO33" s="33">
        <v>43647</v>
      </c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29"/>
      <c r="BB33" s="29"/>
      <c r="BC33" s="29"/>
    </row>
    <row r="34" spans="1:55" ht="16.5" customHeight="1">
      <c r="A34" s="23"/>
      <c r="B34" s="1052"/>
      <c r="C34" s="1052"/>
      <c r="D34" s="35" t="s">
        <v>112</v>
      </c>
      <c r="E34" s="36" t="s">
        <v>86</v>
      </c>
      <c r="F34" s="10">
        <v>414113</v>
      </c>
      <c r="G34" s="36" t="s">
        <v>106</v>
      </c>
      <c r="H34" s="27">
        <f>VLOOKUP(G34,'(참고)PJT목록'!A:E,4,0)</f>
        <v>44621</v>
      </c>
      <c r="I34" s="27">
        <f>VLOOKUP(G34,'(참고)PJT목록'!A:E,5,0)</f>
        <v>46446</v>
      </c>
      <c r="J34" s="32">
        <v>123000</v>
      </c>
      <c r="K34" s="33">
        <v>123000</v>
      </c>
      <c r="L34" s="33">
        <v>123000</v>
      </c>
      <c r="M34" s="33">
        <v>123000</v>
      </c>
      <c r="N34" s="33">
        <v>123000</v>
      </c>
      <c r="O34" s="33">
        <v>123000</v>
      </c>
      <c r="P34" s="33">
        <v>123000</v>
      </c>
      <c r="Q34" s="33">
        <v>123000</v>
      </c>
      <c r="R34" s="33">
        <v>123000</v>
      </c>
      <c r="S34" s="33">
        <v>123000</v>
      </c>
      <c r="T34" s="33">
        <v>123000</v>
      </c>
      <c r="U34" s="33">
        <v>123000</v>
      </c>
      <c r="V34" s="33">
        <v>123000</v>
      </c>
      <c r="W34" s="33">
        <v>123000</v>
      </c>
      <c r="X34" s="33">
        <v>123000</v>
      </c>
      <c r="Y34" s="33">
        <v>123000</v>
      </c>
      <c r="Z34" s="33">
        <v>123000</v>
      </c>
      <c r="AA34" s="33">
        <v>123000</v>
      </c>
      <c r="AB34" s="33">
        <v>123000</v>
      </c>
      <c r="AC34" s="33">
        <v>123000</v>
      </c>
      <c r="AD34" s="33">
        <v>123000</v>
      </c>
      <c r="AE34" s="33">
        <v>123000</v>
      </c>
      <c r="AF34" s="33">
        <v>123000</v>
      </c>
      <c r="AG34" s="33">
        <v>123000</v>
      </c>
      <c r="AH34" s="33">
        <v>123000</v>
      </c>
      <c r="AI34" s="33">
        <v>123000</v>
      </c>
      <c r="AJ34" s="33">
        <v>123000</v>
      </c>
      <c r="AK34" s="33">
        <v>123000</v>
      </c>
      <c r="AL34" s="33">
        <v>123000</v>
      </c>
      <c r="AM34" s="33">
        <v>123000</v>
      </c>
      <c r="AN34" s="33">
        <v>123000</v>
      </c>
      <c r="AO34" s="33">
        <v>123000</v>
      </c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29"/>
      <c r="BB34" s="29"/>
      <c r="BC34" s="29"/>
    </row>
    <row r="35" spans="1:55" ht="16.5" customHeight="1">
      <c r="A35" s="23"/>
      <c r="B35" s="1057" t="s">
        <v>113</v>
      </c>
      <c r="C35" s="1058" t="s">
        <v>65</v>
      </c>
      <c r="D35" s="35" t="s">
        <v>114</v>
      </c>
      <c r="E35" s="36" t="s">
        <v>86</v>
      </c>
      <c r="F35" s="10">
        <v>414113</v>
      </c>
      <c r="G35" s="36" t="s">
        <v>115</v>
      </c>
      <c r="H35" s="27">
        <f>VLOOKUP(G35,'(참고)PJT목록'!A:E,4,0)</f>
        <v>44621</v>
      </c>
      <c r="I35" s="27">
        <f>VLOOKUP(G35,'(참고)PJT목록'!A:E,5,0)</f>
        <v>46446</v>
      </c>
      <c r="J35" s="32">
        <v>1175000</v>
      </c>
      <c r="K35" s="33">
        <v>1175000</v>
      </c>
      <c r="L35" s="33">
        <v>1175000</v>
      </c>
      <c r="M35" s="33">
        <v>1175000</v>
      </c>
      <c r="N35" s="33">
        <v>1175000</v>
      </c>
      <c r="O35" s="33">
        <v>1175000</v>
      </c>
      <c r="P35" s="33">
        <v>1175000</v>
      </c>
      <c r="Q35" s="33">
        <v>1175000</v>
      </c>
      <c r="R35" s="33">
        <v>1175000</v>
      </c>
      <c r="S35" s="33">
        <v>1175000</v>
      </c>
      <c r="T35" s="33">
        <v>1175000</v>
      </c>
      <c r="U35" s="33">
        <v>1175000</v>
      </c>
      <c r="V35" s="33">
        <v>1175000</v>
      </c>
      <c r="W35" s="33">
        <v>1175000</v>
      </c>
      <c r="X35" s="33">
        <v>1175000</v>
      </c>
      <c r="Y35" s="33">
        <v>1175000</v>
      </c>
      <c r="Z35" s="33">
        <v>1175000</v>
      </c>
      <c r="AA35" s="33">
        <v>1175000</v>
      </c>
      <c r="AB35" s="33">
        <v>1175000</v>
      </c>
      <c r="AC35" s="33">
        <v>1175000</v>
      </c>
      <c r="AD35" s="33">
        <v>1175000</v>
      </c>
      <c r="AE35" s="33">
        <v>1175000</v>
      </c>
      <c r="AF35" s="33">
        <v>1175000</v>
      </c>
      <c r="AG35" s="33">
        <v>1175000</v>
      </c>
      <c r="AH35" s="33">
        <v>1175000</v>
      </c>
      <c r="AI35" s="33">
        <v>1175000</v>
      </c>
      <c r="AJ35" s="33">
        <v>1175000</v>
      </c>
      <c r="AK35" s="33">
        <v>1175000</v>
      </c>
      <c r="AL35" s="33">
        <v>1175000</v>
      </c>
      <c r="AM35" s="33">
        <v>1175000</v>
      </c>
      <c r="AN35" s="33">
        <v>1175000</v>
      </c>
      <c r="AO35" s="33">
        <v>1175000</v>
      </c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29"/>
      <c r="BB35" s="29"/>
      <c r="BC35" s="29"/>
    </row>
    <row r="36" spans="1:55" ht="16.5" customHeight="1">
      <c r="A36" s="23"/>
      <c r="B36" s="1051"/>
      <c r="C36" s="1051"/>
      <c r="D36" s="43" t="s">
        <v>110</v>
      </c>
      <c r="E36" s="36" t="s">
        <v>91</v>
      </c>
      <c r="F36" s="10">
        <v>413141</v>
      </c>
      <c r="G36" s="36" t="s">
        <v>116</v>
      </c>
      <c r="H36" s="27">
        <f>VLOOKUP(G36,'(참고)PJT목록'!A:E,4,0)</f>
        <v>44621</v>
      </c>
      <c r="I36" s="27">
        <f>VLOOKUP(G36,'(참고)PJT목록'!A:E,5,0)</f>
        <v>46446</v>
      </c>
      <c r="J36" s="32">
        <v>152674</v>
      </c>
      <c r="K36" s="33">
        <v>152674</v>
      </c>
      <c r="L36" s="33">
        <v>152674</v>
      </c>
      <c r="M36" s="33">
        <v>152674</v>
      </c>
      <c r="N36" s="33">
        <v>152674</v>
      </c>
      <c r="O36" s="33">
        <v>152674</v>
      </c>
      <c r="P36" s="33">
        <v>152674</v>
      </c>
      <c r="Q36" s="33">
        <v>152674</v>
      </c>
      <c r="R36" s="33">
        <v>152674</v>
      </c>
      <c r="S36" s="33">
        <v>152674</v>
      </c>
      <c r="T36" s="33">
        <v>152674</v>
      </c>
      <c r="U36" s="33">
        <v>152674</v>
      </c>
      <c r="V36" s="33">
        <v>152674</v>
      </c>
      <c r="W36" s="33">
        <v>152674</v>
      </c>
      <c r="X36" s="33">
        <v>152674</v>
      </c>
      <c r="Y36" s="33">
        <v>152674</v>
      </c>
      <c r="Z36" s="33">
        <v>152674</v>
      </c>
      <c r="AA36" s="33">
        <v>152674</v>
      </c>
      <c r="AB36" s="33">
        <v>152674</v>
      </c>
      <c r="AC36" s="33">
        <v>152674</v>
      </c>
      <c r="AD36" s="33">
        <v>152674</v>
      </c>
      <c r="AE36" s="33">
        <v>152674</v>
      </c>
      <c r="AF36" s="33">
        <v>152674</v>
      </c>
      <c r="AG36" s="33">
        <v>152674</v>
      </c>
      <c r="AH36" s="33">
        <v>152674</v>
      </c>
      <c r="AI36" s="33">
        <v>152674</v>
      </c>
      <c r="AJ36" s="33">
        <v>152674</v>
      </c>
      <c r="AK36" s="33">
        <v>152674</v>
      </c>
      <c r="AL36" s="33">
        <v>152674</v>
      </c>
      <c r="AM36" s="33">
        <v>152674</v>
      </c>
      <c r="AN36" s="33">
        <v>152674</v>
      </c>
      <c r="AO36" s="33">
        <v>152674</v>
      </c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29"/>
      <c r="BB36" s="29"/>
      <c r="BC36" s="29"/>
    </row>
    <row r="37" spans="1:55" ht="16.5" customHeight="1">
      <c r="A37" s="23"/>
      <c r="B37" s="1052"/>
      <c r="C37" s="1052"/>
      <c r="D37" s="35" t="s">
        <v>117</v>
      </c>
      <c r="E37" s="36" t="s">
        <v>86</v>
      </c>
      <c r="F37" s="10">
        <v>414113</v>
      </c>
      <c r="G37" s="36" t="s">
        <v>106</v>
      </c>
      <c r="H37" s="27">
        <f>VLOOKUP(G37,'(참고)PJT목록'!A:E,4,0)</f>
        <v>44621</v>
      </c>
      <c r="I37" s="27">
        <f>VLOOKUP(G37,'(참고)PJT목록'!A:E,5,0)</f>
        <v>46446</v>
      </c>
      <c r="J37" s="32">
        <v>60000</v>
      </c>
      <c r="K37" s="33">
        <v>60000</v>
      </c>
      <c r="L37" s="33">
        <v>60000</v>
      </c>
      <c r="M37" s="33">
        <v>60000</v>
      </c>
      <c r="N37" s="33">
        <v>60000</v>
      </c>
      <c r="O37" s="33">
        <v>60000</v>
      </c>
      <c r="P37" s="33">
        <v>60000</v>
      </c>
      <c r="Q37" s="33">
        <v>60000</v>
      </c>
      <c r="R37" s="33">
        <v>60000</v>
      </c>
      <c r="S37" s="33">
        <v>60000</v>
      </c>
      <c r="T37" s="33">
        <v>60000</v>
      </c>
      <c r="U37" s="33">
        <v>60000</v>
      </c>
      <c r="V37" s="33">
        <v>60000</v>
      </c>
      <c r="W37" s="33">
        <v>60000</v>
      </c>
      <c r="X37" s="33">
        <v>60000</v>
      </c>
      <c r="Y37" s="33">
        <v>60000</v>
      </c>
      <c r="Z37" s="33">
        <v>60000</v>
      </c>
      <c r="AA37" s="33">
        <v>60000</v>
      </c>
      <c r="AB37" s="33">
        <v>60000</v>
      </c>
      <c r="AC37" s="33">
        <v>60000</v>
      </c>
      <c r="AD37" s="33">
        <v>60000</v>
      </c>
      <c r="AE37" s="33">
        <v>60000</v>
      </c>
      <c r="AF37" s="33">
        <v>60000</v>
      </c>
      <c r="AG37" s="33">
        <v>60000</v>
      </c>
      <c r="AH37" s="33">
        <v>60000</v>
      </c>
      <c r="AI37" s="33">
        <v>60000</v>
      </c>
      <c r="AJ37" s="33">
        <v>60000</v>
      </c>
      <c r="AK37" s="33">
        <v>60000</v>
      </c>
      <c r="AL37" s="33">
        <v>60000</v>
      </c>
      <c r="AM37" s="33">
        <v>60000</v>
      </c>
      <c r="AN37" s="33">
        <v>60000</v>
      </c>
      <c r="AO37" s="33">
        <v>60000</v>
      </c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29"/>
      <c r="BB37" s="29"/>
      <c r="BC37" s="29"/>
    </row>
    <row r="38" spans="1:55" ht="16.5" customHeight="1">
      <c r="A38" s="23"/>
      <c r="B38" s="1057" t="s">
        <v>64</v>
      </c>
      <c r="C38" s="1058" t="s">
        <v>65</v>
      </c>
      <c r="D38" s="35" t="s">
        <v>118</v>
      </c>
      <c r="E38" s="36" t="s">
        <v>86</v>
      </c>
      <c r="F38" s="10">
        <v>414113</v>
      </c>
      <c r="G38" s="36" t="s">
        <v>119</v>
      </c>
      <c r="H38" s="27">
        <f>VLOOKUP(G38,'(참고)PJT목록'!A:E,4,0)</f>
        <v>44621</v>
      </c>
      <c r="I38" s="27">
        <f>VLOOKUP(G38,'(참고)PJT목록'!A:E,5,0)</f>
        <v>46446</v>
      </c>
      <c r="J38" s="32">
        <v>1175000</v>
      </c>
      <c r="K38" s="33">
        <v>1175000</v>
      </c>
      <c r="L38" s="33">
        <v>1175000</v>
      </c>
      <c r="M38" s="33">
        <v>1175000</v>
      </c>
      <c r="N38" s="33">
        <v>1175000</v>
      </c>
      <c r="O38" s="33">
        <v>1175000</v>
      </c>
      <c r="P38" s="33">
        <v>1175000</v>
      </c>
      <c r="Q38" s="33">
        <v>1175000</v>
      </c>
      <c r="R38" s="33">
        <v>1175000</v>
      </c>
      <c r="S38" s="33">
        <v>1175000</v>
      </c>
      <c r="T38" s="33">
        <v>1175000</v>
      </c>
      <c r="U38" s="33">
        <v>1175000</v>
      </c>
      <c r="V38" s="33">
        <v>1175000</v>
      </c>
      <c r="W38" s="33">
        <v>1175000</v>
      </c>
      <c r="X38" s="33">
        <v>1175000</v>
      </c>
      <c r="Y38" s="33">
        <v>1175000</v>
      </c>
      <c r="Z38" s="33">
        <v>1175000</v>
      </c>
      <c r="AA38" s="33">
        <v>1175000</v>
      </c>
      <c r="AB38" s="33">
        <v>1175000</v>
      </c>
      <c r="AC38" s="33">
        <v>1175000</v>
      </c>
      <c r="AD38" s="33">
        <v>1175000</v>
      </c>
      <c r="AE38" s="33">
        <v>1175000</v>
      </c>
      <c r="AF38" s="33">
        <v>1175000</v>
      </c>
      <c r="AG38" s="33">
        <v>1175000</v>
      </c>
      <c r="AH38" s="33">
        <v>1175000</v>
      </c>
      <c r="AI38" s="33">
        <v>1175000</v>
      </c>
      <c r="AJ38" s="33">
        <v>1175000</v>
      </c>
      <c r="AK38" s="33">
        <v>1175000</v>
      </c>
      <c r="AL38" s="33">
        <v>1175000</v>
      </c>
      <c r="AM38" s="33">
        <v>1175000</v>
      </c>
      <c r="AN38" s="33">
        <v>1175000</v>
      </c>
      <c r="AO38" s="33">
        <v>1175000</v>
      </c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29"/>
      <c r="BB38" s="29"/>
      <c r="BC38" s="29"/>
    </row>
    <row r="39" spans="1:55" ht="16.5" customHeight="1">
      <c r="A39" s="23"/>
      <c r="B39" s="1052"/>
      <c r="C39" s="1052"/>
      <c r="D39" s="43" t="s">
        <v>110</v>
      </c>
      <c r="E39" s="36" t="s">
        <v>91</v>
      </c>
      <c r="F39" s="10">
        <v>413141</v>
      </c>
      <c r="G39" s="36" t="s">
        <v>120</v>
      </c>
      <c r="H39" s="27">
        <f>VLOOKUP(G39,'(참고)PJT목록'!A:E,4,0)</f>
        <v>44621</v>
      </c>
      <c r="I39" s="27">
        <f>VLOOKUP(G39,'(참고)PJT목록'!A:E,5,0)</f>
        <v>46446</v>
      </c>
      <c r="J39" s="32">
        <v>152674</v>
      </c>
      <c r="K39" s="33">
        <v>152674</v>
      </c>
      <c r="L39" s="33">
        <v>152674</v>
      </c>
      <c r="M39" s="33">
        <v>152674</v>
      </c>
      <c r="N39" s="33">
        <v>152674</v>
      </c>
      <c r="O39" s="33">
        <v>152674</v>
      </c>
      <c r="P39" s="33">
        <v>152674</v>
      </c>
      <c r="Q39" s="33">
        <v>152674</v>
      </c>
      <c r="R39" s="33">
        <v>152674</v>
      </c>
      <c r="S39" s="33">
        <v>152674</v>
      </c>
      <c r="T39" s="33">
        <v>152674</v>
      </c>
      <c r="U39" s="33">
        <v>152674</v>
      </c>
      <c r="V39" s="33">
        <v>152674</v>
      </c>
      <c r="W39" s="33">
        <v>152674</v>
      </c>
      <c r="X39" s="33">
        <v>152674</v>
      </c>
      <c r="Y39" s="33">
        <v>152674</v>
      </c>
      <c r="Z39" s="33">
        <v>152674</v>
      </c>
      <c r="AA39" s="33">
        <v>152674</v>
      </c>
      <c r="AB39" s="33">
        <v>152674</v>
      </c>
      <c r="AC39" s="33">
        <v>152674</v>
      </c>
      <c r="AD39" s="33">
        <v>152674</v>
      </c>
      <c r="AE39" s="33">
        <v>152674</v>
      </c>
      <c r="AF39" s="33">
        <v>152674</v>
      </c>
      <c r="AG39" s="33">
        <v>152674</v>
      </c>
      <c r="AH39" s="33">
        <v>152674</v>
      </c>
      <c r="AI39" s="33">
        <v>152674</v>
      </c>
      <c r="AJ39" s="33">
        <v>152674</v>
      </c>
      <c r="AK39" s="33">
        <v>152674</v>
      </c>
      <c r="AL39" s="33">
        <v>152674</v>
      </c>
      <c r="AM39" s="33">
        <v>152674</v>
      </c>
      <c r="AN39" s="33">
        <v>152674</v>
      </c>
      <c r="AO39" s="33">
        <v>152674</v>
      </c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29"/>
      <c r="BB39" s="29"/>
      <c r="BC39" s="29"/>
    </row>
    <row r="40" spans="1:55" ht="16.5" customHeight="1">
      <c r="A40" s="23"/>
      <c r="B40" s="1057" t="s">
        <v>121</v>
      </c>
      <c r="C40" s="1058" t="s">
        <v>65</v>
      </c>
      <c r="D40" s="35" t="s">
        <v>122</v>
      </c>
      <c r="E40" s="36" t="s">
        <v>86</v>
      </c>
      <c r="F40" s="10">
        <v>414113</v>
      </c>
      <c r="G40" s="36" t="s">
        <v>123</v>
      </c>
      <c r="H40" s="27">
        <f>VLOOKUP(G40,'(참고)PJT목록'!A:E,4,0)</f>
        <v>44621</v>
      </c>
      <c r="I40" s="27">
        <f>VLOOKUP(G40,'(참고)PJT목록'!A:E,5,0)</f>
        <v>46446</v>
      </c>
      <c r="J40" s="32">
        <v>335000</v>
      </c>
      <c r="K40" s="33">
        <v>335000</v>
      </c>
      <c r="L40" s="33">
        <v>335000</v>
      </c>
      <c r="M40" s="33">
        <v>335000</v>
      </c>
      <c r="N40" s="33">
        <v>335000</v>
      </c>
      <c r="O40" s="33">
        <v>335000</v>
      </c>
      <c r="P40" s="33">
        <v>335000</v>
      </c>
      <c r="Q40" s="33">
        <v>335000</v>
      </c>
      <c r="R40" s="33">
        <v>335000</v>
      </c>
      <c r="S40" s="33">
        <v>335000</v>
      </c>
      <c r="T40" s="33">
        <v>335000</v>
      </c>
      <c r="U40" s="33">
        <v>335000</v>
      </c>
      <c r="V40" s="33">
        <v>335000</v>
      </c>
      <c r="W40" s="33">
        <v>335000</v>
      </c>
      <c r="X40" s="33">
        <v>335000</v>
      </c>
      <c r="Y40" s="33">
        <v>335000</v>
      </c>
      <c r="Z40" s="33">
        <v>335000</v>
      </c>
      <c r="AA40" s="33">
        <v>335000</v>
      </c>
      <c r="AB40" s="33">
        <v>335000</v>
      </c>
      <c r="AC40" s="33">
        <v>335000</v>
      </c>
      <c r="AD40" s="33">
        <v>335000</v>
      </c>
      <c r="AE40" s="33">
        <v>335000</v>
      </c>
      <c r="AF40" s="33">
        <v>335000</v>
      </c>
      <c r="AG40" s="33">
        <v>335000</v>
      </c>
      <c r="AH40" s="33">
        <v>335000</v>
      </c>
      <c r="AI40" s="33">
        <v>335000</v>
      </c>
      <c r="AJ40" s="33">
        <v>335000</v>
      </c>
      <c r="AK40" s="33">
        <v>335000</v>
      </c>
      <c r="AL40" s="33">
        <v>335000</v>
      </c>
      <c r="AM40" s="33">
        <v>335000</v>
      </c>
      <c r="AN40" s="33">
        <v>335000</v>
      </c>
      <c r="AO40" s="33">
        <v>335000</v>
      </c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29"/>
      <c r="BB40" s="29"/>
      <c r="BC40" s="29"/>
    </row>
    <row r="41" spans="1:55" ht="16.5" customHeight="1">
      <c r="A41" s="23"/>
      <c r="B41" s="1052"/>
      <c r="C41" s="1052"/>
      <c r="D41" s="43" t="s">
        <v>110</v>
      </c>
      <c r="E41" s="36" t="s">
        <v>91</v>
      </c>
      <c r="F41" s="10">
        <v>413141</v>
      </c>
      <c r="G41" s="36" t="s">
        <v>124</v>
      </c>
      <c r="H41" s="27">
        <f>VLOOKUP(G41,'(참고)PJT목록'!A:E,4,0)</f>
        <v>44621</v>
      </c>
      <c r="I41" s="27">
        <f>VLOOKUP(G41,'(참고)PJT목록'!A:E,5,0)</f>
        <v>46446</v>
      </c>
      <c r="J41" s="32">
        <v>43647</v>
      </c>
      <c r="K41" s="33">
        <v>43647</v>
      </c>
      <c r="L41" s="33">
        <v>43647</v>
      </c>
      <c r="M41" s="33">
        <v>43647</v>
      </c>
      <c r="N41" s="33">
        <v>43647</v>
      </c>
      <c r="O41" s="33">
        <v>43647</v>
      </c>
      <c r="P41" s="33">
        <v>43647</v>
      </c>
      <c r="Q41" s="33">
        <v>43647</v>
      </c>
      <c r="R41" s="33">
        <v>43647</v>
      </c>
      <c r="S41" s="33">
        <v>43647</v>
      </c>
      <c r="T41" s="33">
        <v>43647</v>
      </c>
      <c r="U41" s="33">
        <v>43647</v>
      </c>
      <c r="V41" s="33">
        <v>43647</v>
      </c>
      <c r="W41" s="33">
        <v>43647</v>
      </c>
      <c r="X41" s="33">
        <v>43647</v>
      </c>
      <c r="Y41" s="33">
        <v>43647</v>
      </c>
      <c r="Z41" s="33">
        <v>43647</v>
      </c>
      <c r="AA41" s="33">
        <v>43647</v>
      </c>
      <c r="AB41" s="33">
        <v>43647</v>
      </c>
      <c r="AC41" s="33">
        <v>43647</v>
      </c>
      <c r="AD41" s="33">
        <v>43647</v>
      </c>
      <c r="AE41" s="33">
        <v>43647</v>
      </c>
      <c r="AF41" s="33">
        <v>43647</v>
      </c>
      <c r="AG41" s="33">
        <v>43647</v>
      </c>
      <c r="AH41" s="33">
        <v>43647</v>
      </c>
      <c r="AI41" s="33">
        <v>43647</v>
      </c>
      <c r="AJ41" s="33">
        <v>43647</v>
      </c>
      <c r="AK41" s="33">
        <v>43647</v>
      </c>
      <c r="AL41" s="33">
        <v>43647</v>
      </c>
      <c r="AM41" s="33">
        <v>43647</v>
      </c>
      <c r="AN41" s="33">
        <v>43647</v>
      </c>
      <c r="AO41" s="33">
        <v>43647</v>
      </c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29"/>
      <c r="BB41" s="29"/>
      <c r="BC41" s="29"/>
    </row>
    <row r="42" spans="1:55" ht="16.5" customHeight="1">
      <c r="A42" s="23"/>
      <c r="B42" s="36" t="s">
        <v>125</v>
      </c>
      <c r="C42" s="10" t="s">
        <v>65</v>
      </c>
      <c r="D42" s="35" t="s">
        <v>126</v>
      </c>
      <c r="E42" s="36" t="s">
        <v>86</v>
      </c>
      <c r="F42" s="10">
        <v>414113</v>
      </c>
      <c r="G42" s="36" t="s">
        <v>127</v>
      </c>
      <c r="H42" s="27">
        <f>VLOOKUP(G42,'(참고)PJT목록'!A:E,4,0)</f>
        <v>44621</v>
      </c>
      <c r="I42" s="27">
        <f>VLOOKUP(G42,'(참고)PJT목록'!A:E,5,0)</f>
        <v>46387</v>
      </c>
      <c r="J42" s="32">
        <v>20000000</v>
      </c>
      <c r="K42" s="33">
        <v>20000000</v>
      </c>
      <c r="L42" s="33">
        <v>20000000</v>
      </c>
      <c r="M42" s="33">
        <v>20000000</v>
      </c>
      <c r="N42" s="33">
        <v>20000000</v>
      </c>
      <c r="O42" s="33">
        <v>20000000</v>
      </c>
      <c r="P42" s="33">
        <v>20000000</v>
      </c>
      <c r="Q42" s="33">
        <v>20000000</v>
      </c>
      <c r="R42" s="33">
        <v>20000000</v>
      </c>
      <c r="S42" s="33">
        <v>20000000</v>
      </c>
      <c r="T42" s="33">
        <v>20000000</v>
      </c>
      <c r="U42" s="33">
        <v>20000000</v>
      </c>
      <c r="V42" s="33">
        <v>20000000</v>
      </c>
      <c r="W42" s="33">
        <v>20000000</v>
      </c>
      <c r="X42" s="33">
        <v>20000000</v>
      </c>
      <c r="Y42" s="33">
        <v>20000000</v>
      </c>
      <c r="Z42" s="33">
        <v>20000000</v>
      </c>
      <c r="AA42" s="33">
        <v>20000000</v>
      </c>
      <c r="AB42" s="33">
        <v>20000000</v>
      </c>
      <c r="AC42" s="33">
        <v>20000000</v>
      </c>
      <c r="AD42" s="33">
        <v>20000000</v>
      </c>
      <c r="AE42" s="33">
        <v>20000000</v>
      </c>
      <c r="AF42" s="33">
        <v>20000000</v>
      </c>
      <c r="AG42" s="33">
        <v>20000000</v>
      </c>
      <c r="AH42" s="33">
        <v>20000000</v>
      </c>
      <c r="AI42" s="33">
        <v>20000000</v>
      </c>
      <c r="AJ42" s="33">
        <v>20000000</v>
      </c>
      <c r="AK42" s="33">
        <v>20000000</v>
      </c>
      <c r="AL42" s="33">
        <v>20000000</v>
      </c>
      <c r="AM42" s="33">
        <v>20000000</v>
      </c>
      <c r="AN42" s="33">
        <v>20000000</v>
      </c>
      <c r="AO42" s="33">
        <v>20000000</v>
      </c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29"/>
      <c r="BB42" s="29"/>
      <c r="BC42" s="29"/>
    </row>
    <row r="43" spans="1:55" ht="16.5" customHeight="1">
      <c r="A43" s="23"/>
      <c r="B43" s="1057" t="s">
        <v>128</v>
      </c>
      <c r="C43" s="1058" t="s">
        <v>65</v>
      </c>
      <c r="D43" s="35" t="s">
        <v>129</v>
      </c>
      <c r="E43" s="36" t="s">
        <v>86</v>
      </c>
      <c r="F43" s="10">
        <v>414113</v>
      </c>
      <c r="G43" s="36" t="s">
        <v>130</v>
      </c>
      <c r="H43" s="27">
        <f>VLOOKUP(G43,'(참고)PJT목록'!A:E,4,0)</f>
        <v>44621</v>
      </c>
      <c r="I43" s="27">
        <f>VLOOKUP(G43,'(참고)PJT목록'!A:E,5,0)</f>
        <v>46446</v>
      </c>
      <c r="J43" s="32">
        <v>335000</v>
      </c>
      <c r="K43" s="33">
        <v>335000</v>
      </c>
      <c r="L43" s="33">
        <v>335000</v>
      </c>
      <c r="M43" s="33">
        <v>335000</v>
      </c>
      <c r="N43" s="33">
        <v>335000</v>
      </c>
      <c r="O43" s="33">
        <v>335000</v>
      </c>
      <c r="P43" s="33">
        <v>335000</v>
      </c>
      <c r="Q43" s="33">
        <v>335000</v>
      </c>
      <c r="R43" s="33">
        <v>335000</v>
      </c>
      <c r="S43" s="33">
        <v>335000</v>
      </c>
      <c r="T43" s="33">
        <v>335000</v>
      </c>
      <c r="U43" s="33">
        <v>335000</v>
      </c>
      <c r="V43" s="33">
        <v>335000</v>
      </c>
      <c r="W43" s="33">
        <v>335000</v>
      </c>
      <c r="X43" s="33">
        <v>335000</v>
      </c>
      <c r="Y43" s="33">
        <v>335000</v>
      </c>
      <c r="Z43" s="33">
        <v>335000</v>
      </c>
      <c r="AA43" s="33">
        <v>335000</v>
      </c>
      <c r="AB43" s="33">
        <v>335000</v>
      </c>
      <c r="AC43" s="33">
        <v>335000</v>
      </c>
      <c r="AD43" s="33">
        <v>335000</v>
      </c>
      <c r="AE43" s="33">
        <v>335000</v>
      </c>
      <c r="AF43" s="33">
        <v>335000</v>
      </c>
      <c r="AG43" s="33">
        <v>335000</v>
      </c>
      <c r="AH43" s="33">
        <v>335000</v>
      </c>
      <c r="AI43" s="33">
        <v>335000</v>
      </c>
      <c r="AJ43" s="33">
        <v>335000</v>
      </c>
      <c r="AK43" s="33">
        <v>335000</v>
      </c>
      <c r="AL43" s="33">
        <v>335000</v>
      </c>
      <c r="AM43" s="33">
        <v>335000</v>
      </c>
      <c r="AN43" s="33">
        <v>335000</v>
      </c>
      <c r="AO43" s="33">
        <v>335000</v>
      </c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29"/>
      <c r="BB43" s="29"/>
      <c r="BC43" s="29"/>
    </row>
    <row r="44" spans="1:55" ht="16.5" customHeight="1">
      <c r="A44" s="23"/>
      <c r="B44" s="1051"/>
      <c r="C44" s="1051"/>
      <c r="D44" s="43" t="s">
        <v>110</v>
      </c>
      <c r="E44" s="36" t="s">
        <v>91</v>
      </c>
      <c r="F44" s="10">
        <v>413141</v>
      </c>
      <c r="G44" s="36" t="s">
        <v>131</v>
      </c>
      <c r="H44" s="27">
        <f>VLOOKUP(G44,'(참고)PJT목록'!A:E,4,0)</f>
        <v>44621</v>
      </c>
      <c r="I44" s="27">
        <f>VLOOKUP(G44,'(참고)PJT목록'!A:E,5,0)</f>
        <v>46446</v>
      </c>
      <c r="J44" s="32">
        <v>43647</v>
      </c>
      <c r="K44" s="33">
        <v>43647</v>
      </c>
      <c r="L44" s="33">
        <v>43647</v>
      </c>
      <c r="M44" s="33">
        <v>43647</v>
      </c>
      <c r="N44" s="33">
        <v>43647</v>
      </c>
      <c r="O44" s="33">
        <v>43647</v>
      </c>
      <c r="P44" s="33">
        <v>43647</v>
      </c>
      <c r="Q44" s="33">
        <v>43647</v>
      </c>
      <c r="R44" s="33">
        <v>43647</v>
      </c>
      <c r="S44" s="33">
        <v>43647</v>
      </c>
      <c r="T44" s="33">
        <v>43647</v>
      </c>
      <c r="U44" s="33">
        <v>43647</v>
      </c>
      <c r="V44" s="33">
        <v>43647</v>
      </c>
      <c r="W44" s="33">
        <v>43647</v>
      </c>
      <c r="X44" s="33">
        <v>43647</v>
      </c>
      <c r="Y44" s="33">
        <v>43647</v>
      </c>
      <c r="Z44" s="33">
        <v>43647</v>
      </c>
      <c r="AA44" s="33">
        <v>43647</v>
      </c>
      <c r="AB44" s="33">
        <v>43647</v>
      </c>
      <c r="AC44" s="33">
        <v>43647</v>
      </c>
      <c r="AD44" s="33">
        <v>43647</v>
      </c>
      <c r="AE44" s="33">
        <v>43647</v>
      </c>
      <c r="AF44" s="33">
        <v>43647</v>
      </c>
      <c r="AG44" s="33">
        <v>43647</v>
      </c>
      <c r="AH44" s="33">
        <v>43647</v>
      </c>
      <c r="AI44" s="33">
        <v>43647</v>
      </c>
      <c r="AJ44" s="33">
        <v>43647</v>
      </c>
      <c r="AK44" s="33">
        <v>43647</v>
      </c>
      <c r="AL44" s="33">
        <v>43647</v>
      </c>
      <c r="AM44" s="33">
        <v>43647</v>
      </c>
      <c r="AN44" s="33">
        <v>43647</v>
      </c>
      <c r="AO44" s="33">
        <v>43647</v>
      </c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29"/>
      <c r="BB44" s="29"/>
      <c r="BC44" s="29"/>
    </row>
    <row r="45" spans="1:55" ht="16.5" customHeight="1">
      <c r="A45" s="23"/>
      <c r="B45" s="1052"/>
      <c r="C45" s="1052"/>
      <c r="D45" s="35" t="s">
        <v>117</v>
      </c>
      <c r="E45" s="36" t="s">
        <v>86</v>
      </c>
      <c r="F45" s="10">
        <v>414113</v>
      </c>
      <c r="G45" s="36" t="s">
        <v>106</v>
      </c>
      <c r="H45" s="27">
        <f>VLOOKUP(G45,'(참고)PJT목록'!A:E,4,0)</f>
        <v>44621</v>
      </c>
      <c r="I45" s="27">
        <f>VLOOKUP(G45,'(참고)PJT목록'!A:E,5,0)</f>
        <v>46446</v>
      </c>
      <c r="J45" s="32">
        <v>80000</v>
      </c>
      <c r="K45" s="33">
        <v>80000</v>
      </c>
      <c r="L45" s="33">
        <v>80000</v>
      </c>
      <c r="M45" s="33">
        <v>80000</v>
      </c>
      <c r="N45" s="33">
        <v>80000</v>
      </c>
      <c r="O45" s="33">
        <v>80000</v>
      </c>
      <c r="P45" s="33">
        <v>80000</v>
      </c>
      <c r="Q45" s="33">
        <v>80000</v>
      </c>
      <c r="R45" s="33">
        <v>80000</v>
      </c>
      <c r="S45" s="33">
        <v>80000</v>
      </c>
      <c r="T45" s="33">
        <v>80000</v>
      </c>
      <c r="U45" s="33">
        <v>80000</v>
      </c>
      <c r="V45" s="33">
        <v>80000</v>
      </c>
      <c r="W45" s="33">
        <v>80000</v>
      </c>
      <c r="X45" s="33">
        <v>80000</v>
      </c>
      <c r="Y45" s="33">
        <v>80000</v>
      </c>
      <c r="Z45" s="33">
        <v>80000</v>
      </c>
      <c r="AA45" s="33">
        <v>80000</v>
      </c>
      <c r="AB45" s="33">
        <v>80000</v>
      </c>
      <c r="AC45" s="33">
        <v>80000</v>
      </c>
      <c r="AD45" s="33">
        <v>80000</v>
      </c>
      <c r="AE45" s="33">
        <v>80000</v>
      </c>
      <c r="AF45" s="33">
        <v>80000</v>
      </c>
      <c r="AG45" s="33">
        <v>80000</v>
      </c>
      <c r="AH45" s="33">
        <v>80000</v>
      </c>
      <c r="AI45" s="33">
        <v>80000</v>
      </c>
      <c r="AJ45" s="33">
        <v>80000</v>
      </c>
      <c r="AK45" s="33">
        <v>80000</v>
      </c>
      <c r="AL45" s="33">
        <v>80000</v>
      </c>
      <c r="AM45" s="33">
        <v>80000</v>
      </c>
      <c r="AN45" s="33">
        <v>80000</v>
      </c>
      <c r="AO45" s="33">
        <v>80000</v>
      </c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29"/>
      <c r="BB45" s="29"/>
      <c r="BC45" s="29"/>
    </row>
    <row r="46" spans="1:55" ht="16.5" customHeight="1">
      <c r="A46" s="23"/>
      <c r="B46" s="1057" t="s">
        <v>132</v>
      </c>
      <c r="C46" s="1058" t="s">
        <v>133</v>
      </c>
      <c r="D46" s="1070" t="s">
        <v>134</v>
      </c>
      <c r="E46" s="10" t="s">
        <v>86</v>
      </c>
      <c r="F46" s="10">
        <v>414113</v>
      </c>
      <c r="G46" s="10" t="s">
        <v>135</v>
      </c>
      <c r="H46" s="45">
        <f>VLOOKUP(G46,'(참고)PJT목록'!A:D,4,0)</f>
        <v>45045</v>
      </c>
      <c r="I46" s="27">
        <f>VLOOKUP(G46,'(참고)PJT목록'!A:E,5,0)</f>
        <v>46871</v>
      </c>
      <c r="J46" s="32">
        <v>10335000</v>
      </c>
      <c r="K46" s="33">
        <v>10335000</v>
      </c>
      <c r="L46" s="33">
        <v>10335000</v>
      </c>
      <c r="M46" s="33">
        <v>10335000</v>
      </c>
      <c r="N46" s="33">
        <v>10335000</v>
      </c>
      <c r="O46" s="33">
        <v>10335000</v>
      </c>
      <c r="P46" s="33">
        <v>10335000</v>
      </c>
      <c r="Q46" s="33">
        <v>10335000</v>
      </c>
      <c r="R46" s="33">
        <v>10335000</v>
      </c>
      <c r="S46" s="33">
        <v>10335000</v>
      </c>
      <c r="T46" s="33">
        <v>10335000</v>
      </c>
      <c r="U46" s="33">
        <v>10335000</v>
      </c>
      <c r="V46" s="33">
        <v>10335000</v>
      </c>
      <c r="W46" s="33">
        <v>10335000</v>
      </c>
      <c r="X46" s="33">
        <v>10335000</v>
      </c>
      <c r="Y46" s="33">
        <v>10335000</v>
      </c>
      <c r="Z46" s="33">
        <v>10335000</v>
      </c>
      <c r="AA46" s="33">
        <v>10335000</v>
      </c>
      <c r="AB46" s="33">
        <v>10335000</v>
      </c>
      <c r="AC46" s="33">
        <v>10335000</v>
      </c>
      <c r="AD46" s="33">
        <v>10335000</v>
      </c>
      <c r="AE46" s="33">
        <v>10335000</v>
      </c>
      <c r="AF46" s="33">
        <v>10335000</v>
      </c>
      <c r="AG46" s="33">
        <v>10335000</v>
      </c>
      <c r="AH46" s="33">
        <v>10335000</v>
      </c>
      <c r="AI46" s="33">
        <v>10335000</v>
      </c>
      <c r="AJ46" s="33">
        <v>10335000</v>
      </c>
      <c r="AK46" s="33">
        <v>10335000</v>
      </c>
      <c r="AL46" s="33">
        <v>10335000</v>
      </c>
      <c r="AM46" s="33">
        <v>10335000</v>
      </c>
      <c r="AN46" s="33">
        <v>10335000</v>
      </c>
      <c r="AO46" s="33">
        <v>10335000</v>
      </c>
      <c r="AP46" s="33">
        <v>10335000</v>
      </c>
      <c r="AQ46" s="33">
        <v>10335000</v>
      </c>
      <c r="AR46" s="33">
        <v>10335000</v>
      </c>
      <c r="AS46" s="33">
        <v>10335000</v>
      </c>
      <c r="AT46" s="33">
        <v>10335000</v>
      </c>
      <c r="AU46" s="33">
        <v>10335000</v>
      </c>
      <c r="AV46" s="33">
        <v>10335000</v>
      </c>
      <c r="AW46" s="33">
        <v>10335000</v>
      </c>
      <c r="AX46" s="33">
        <v>10335000</v>
      </c>
      <c r="AY46" s="33">
        <v>10335000</v>
      </c>
      <c r="AZ46" s="33">
        <v>10335000</v>
      </c>
      <c r="BA46" s="33">
        <v>10335000</v>
      </c>
      <c r="BB46" s="33">
        <v>10335000</v>
      </c>
      <c r="BC46" s="33"/>
    </row>
    <row r="47" spans="1:55" ht="16.5" customHeight="1">
      <c r="A47" s="23"/>
      <c r="B47" s="1051"/>
      <c r="C47" s="1051"/>
      <c r="D47" s="1051"/>
      <c r="E47" s="10" t="s">
        <v>91</v>
      </c>
      <c r="F47" s="10">
        <v>413141</v>
      </c>
      <c r="G47" s="10" t="s">
        <v>136</v>
      </c>
      <c r="H47" s="45">
        <f>VLOOKUP(G47,'(참고)PJT목록'!A:D,4,0)</f>
        <v>45010</v>
      </c>
      <c r="I47" s="27">
        <f>VLOOKUP(G47,'(참고)PJT목록'!A:E,5,0)</f>
        <v>46836</v>
      </c>
      <c r="J47" s="32">
        <v>4405176</v>
      </c>
      <c r="K47" s="33">
        <v>4405176</v>
      </c>
      <c r="L47" s="33">
        <v>4405176</v>
      </c>
      <c r="M47" s="33">
        <v>4405176</v>
      </c>
      <c r="N47" s="33">
        <v>4405176</v>
      </c>
      <c r="O47" s="33">
        <v>4405176</v>
      </c>
      <c r="P47" s="33">
        <v>4405176</v>
      </c>
      <c r="Q47" s="33">
        <v>4405176</v>
      </c>
      <c r="R47" s="33">
        <v>4405176</v>
      </c>
      <c r="S47" s="33">
        <v>4405176</v>
      </c>
      <c r="T47" s="33">
        <v>4405176</v>
      </c>
      <c r="U47" s="33">
        <v>4405176</v>
      </c>
      <c r="V47" s="33">
        <v>4405176</v>
      </c>
      <c r="W47" s="33">
        <v>4405176</v>
      </c>
      <c r="X47" s="33">
        <v>4405176</v>
      </c>
      <c r="Y47" s="33">
        <v>4405176</v>
      </c>
      <c r="Z47" s="33">
        <v>4405176</v>
      </c>
      <c r="AA47" s="33">
        <v>4405176</v>
      </c>
      <c r="AB47" s="33">
        <v>4405176</v>
      </c>
      <c r="AC47" s="33">
        <v>4405176</v>
      </c>
      <c r="AD47" s="33">
        <v>4405176</v>
      </c>
      <c r="AE47" s="33">
        <v>4405176</v>
      </c>
      <c r="AF47" s="33">
        <v>4405176</v>
      </c>
      <c r="AG47" s="33">
        <v>4405176</v>
      </c>
      <c r="AH47" s="33">
        <v>4405176</v>
      </c>
      <c r="AI47" s="33">
        <v>4405176</v>
      </c>
      <c r="AJ47" s="33">
        <v>4405176</v>
      </c>
      <c r="AK47" s="33">
        <v>4405176</v>
      </c>
      <c r="AL47" s="33">
        <v>4405176</v>
      </c>
      <c r="AM47" s="33">
        <v>4405176</v>
      </c>
      <c r="AN47" s="33">
        <v>4405176</v>
      </c>
      <c r="AO47" s="33">
        <v>4405176</v>
      </c>
      <c r="AP47" s="33">
        <v>4405176</v>
      </c>
      <c r="AQ47" s="33">
        <v>4405176</v>
      </c>
      <c r="AR47" s="33">
        <v>4405176</v>
      </c>
      <c r="AS47" s="33">
        <v>4405176</v>
      </c>
      <c r="AT47" s="33">
        <v>4405176</v>
      </c>
      <c r="AU47" s="33">
        <v>4405176</v>
      </c>
      <c r="AV47" s="33">
        <v>4405176</v>
      </c>
      <c r="AW47" s="33">
        <v>4405176</v>
      </c>
      <c r="AX47" s="33">
        <v>4405176</v>
      </c>
      <c r="AY47" s="33">
        <v>4405176</v>
      </c>
      <c r="AZ47" s="33">
        <v>4405176</v>
      </c>
      <c r="BA47" s="33">
        <v>4405176</v>
      </c>
      <c r="BB47" s="33">
        <v>4405176</v>
      </c>
      <c r="BC47" s="33"/>
    </row>
    <row r="48" spans="1:55" ht="16.5" customHeight="1">
      <c r="A48" s="23"/>
      <c r="B48" s="1051"/>
      <c r="C48" s="1051"/>
      <c r="D48" s="1051"/>
      <c r="E48" s="10" t="s">
        <v>79</v>
      </c>
      <c r="F48" s="10">
        <v>413141</v>
      </c>
      <c r="G48" s="10" t="s">
        <v>137</v>
      </c>
      <c r="H48" s="45">
        <f>VLOOKUP(G48,'(참고)PJT목록'!A:D,4,0)</f>
        <v>45010</v>
      </c>
      <c r="I48" s="27">
        <f>VLOOKUP(G48,'(참고)PJT목록'!A:E,5,0)</f>
        <v>46836</v>
      </c>
      <c r="J48" s="32">
        <v>2129168</v>
      </c>
      <c r="K48" s="33">
        <v>2129168</v>
      </c>
      <c r="L48" s="33">
        <v>2129168</v>
      </c>
      <c r="M48" s="33">
        <v>2129168</v>
      </c>
      <c r="N48" s="33">
        <v>2129168</v>
      </c>
      <c r="O48" s="33">
        <v>2129168</v>
      </c>
      <c r="P48" s="33">
        <v>2129168</v>
      </c>
      <c r="Q48" s="33">
        <v>2129168</v>
      </c>
      <c r="R48" s="33">
        <v>2129168</v>
      </c>
      <c r="S48" s="33">
        <v>2129168</v>
      </c>
      <c r="T48" s="33">
        <v>2129168</v>
      </c>
      <c r="U48" s="33">
        <v>2129168</v>
      </c>
      <c r="V48" s="33">
        <v>2129168</v>
      </c>
      <c r="W48" s="33">
        <v>2129168</v>
      </c>
      <c r="X48" s="33">
        <v>2129168</v>
      </c>
      <c r="Y48" s="33">
        <v>2129168</v>
      </c>
      <c r="Z48" s="33">
        <v>2129168</v>
      </c>
      <c r="AA48" s="33">
        <v>2129168</v>
      </c>
      <c r="AB48" s="33">
        <v>2129168</v>
      </c>
      <c r="AC48" s="33">
        <v>2129168</v>
      </c>
      <c r="AD48" s="33">
        <v>2129168</v>
      </c>
      <c r="AE48" s="33">
        <v>2129168</v>
      </c>
      <c r="AF48" s="33">
        <v>2129168</v>
      </c>
      <c r="AG48" s="33">
        <v>2129168</v>
      </c>
      <c r="AH48" s="33">
        <v>2129168</v>
      </c>
      <c r="AI48" s="33">
        <v>2129168</v>
      </c>
      <c r="AJ48" s="33">
        <v>2129168</v>
      </c>
      <c r="AK48" s="33">
        <v>2129168</v>
      </c>
      <c r="AL48" s="33">
        <v>2129168</v>
      </c>
      <c r="AM48" s="33">
        <v>2129168</v>
      </c>
      <c r="AN48" s="33">
        <v>2129168</v>
      </c>
      <c r="AO48" s="33">
        <v>2129168</v>
      </c>
      <c r="AP48" s="33">
        <v>2129168</v>
      </c>
      <c r="AQ48" s="33">
        <v>2129168</v>
      </c>
      <c r="AR48" s="33">
        <v>2129168</v>
      </c>
      <c r="AS48" s="33">
        <v>2129168</v>
      </c>
      <c r="AT48" s="33">
        <v>2129168</v>
      </c>
      <c r="AU48" s="33">
        <v>2129168</v>
      </c>
      <c r="AV48" s="33">
        <v>2129168</v>
      </c>
      <c r="AW48" s="33">
        <v>2129168</v>
      </c>
      <c r="AX48" s="33">
        <v>2129168</v>
      </c>
      <c r="AY48" s="33">
        <v>2129168</v>
      </c>
      <c r="AZ48" s="33">
        <v>2129168</v>
      </c>
      <c r="BA48" s="33">
        <v>2129168</v>
      </c>
      <c r="BB48" s="33">
        <v>2129168</v>
      </c>
      <c r="BC48" s="33"/>
    </row>
    <row r="49" spans="1:55" ht="16.5" customHeight="1">
      <c r="A49" s="23"/>
      <c r="B49" s="1052"/>
      <c r="C49" s="1052"/>
      <c r="D49" s="1052"/>
      <c r="E49" s="10" t="s">
        <v>138</v>
      </c>
      <c r="F49" s="10">
        <v>413141</v>
      </c>
      <c r="G49" s="10" t="s">
        <v>139</v>
      </c>
      <c r="H49" s="45">
        <f>VLOOKUP(G49,'(참고)PJT목록'!A:D,4,0)</f>
        <v>45010</v>
      </c>
      <c r="I49" s="27">
        <f>VLOOKUP(G49,'(참고)PJT목록'!A:E,5,0)</f>
        <v>46836</v>
      </c>
      <c r="J49" s="32">
        <v>807616</v>
      </c>
      <c r="K49" s="33">
        <v>807616</v>
      </c>
      <c r="L49" s="33">
        <v>807616</v>
      </c>
      <c r="M49" s="33">
        <v>807616</v>
      </c>
      <c r="N49" s="33">
        <v>807616</v>
      </c>
      <c r="O49" s="33">
        <v>807616</v>
      </c>
      <c r="P49" s="33">
        <v>807616</v>
      </c>
      <c r="Q49" s="33">
        <v>807616</v>
      </c>
      <c r="R49" s="33">
        <v>807616</v>
      </c>
      <c r="S49" s="33">
        <v>807616</v>
      </c>
      <c r="T49" s="33">
        <v>807616</v>
      </c>
      <c r="U49" s="33">
        <v>807616</v>
      </c>
      <c r="V49" s="33">
        <v>807616</v>
      </c>
      <c r="W49" s="33">
        <v>807616</v>
      </c>
      <c r="X49" s="33">
        <v>807616</v>
      </c>
      <c r="Y49" s="33">
        <v>807616</v>
      </c>
      <c r="Z49" s="33">
        <v>807616</v>
      </c>
      <c r="AA49" s="33">
        <v>807616</v>
      </c>
      <c r="AB49" s="33">
        <v>807616</v>
      </c>
      <c r="AC49" s="33">
        <v>807616</v>
      </c>
      <c r="AD49" s="33">
        <v>807616</v>
      </c>
      <c r="AE49" s="33">
        <v>807616</v>
      </c>
      <c r="AF49" s="33">
        <v>807616</v>
      </c>
      <c r="AG49" s="33">
        <v>807616</v>
      </c>
      <c r="AH49" s="33">
        <v>807616</v>
      </c>
      <c r="AI49" s="33">
        <v>807616</v>
      </c>
      <c r="AJ49" s="33">
        <v>807616</v>
      </c>
      <c r="AK49" s="33">
        <v>807616</v>
      </c>
      <c r="AL49" s="33">
        <v>807616</v>
      </c>
      <c r="AM49" s="33">
        <v>807616</v>
      </c>
      <c r="AN49" s="33">
        <v>807616</v>
      </c>
      <c r="AO49" s="33">
        <v>807616</v>
      </c>
      <c r="AP49" s="33">
        <v>807616</v>
      </c>
      <c r="AQ49" s="33">
        <v>807616</v>
      </c>
      <c r="AR49" s="33">
        <v>807616</v>
      </c>
      <c r="AS49" s="33">
        <v>807616</v>
      </c>
      <c r="AT49" s="33">
        <v>807616</v>
      </c>
      <c r="AU49" s="33">
        <v>807616</v>
      </c>
      <c r="AV49" s="33">
        <v>807616</v>
      </c>
      <c r="AW49" s="33">
        <v>807616</v>
      </c>
      <c r="AX49" s="33">
        <v>807616</v>
      </c>
      <c r="AY49" s="33">
        <v>807616</v>
      </c>
      <c r="AZ49" s="33">
        <v>807616</v>
      </c>
      <c r="BA49" s="33">
        <v>807616</v>
      </c>
      <c r="BB49" s="33">
        <v>807616</v>
      </c>
      <c r="BC49" s="33"/>
    </row>
    <row r="50" spans="1:55" ht="16.5" customHeight="1">
      <c r="A50" s="23"/>
      <c r="B50" s="1057" t="s">
        <v>140</v>
      </c>
      <c r="C50" s="1059" t="s">
        <v>30</v>
      </c>
      <c r="D50" s="1070" t="s">
        <v>134</v>
      </c>
      <c r="E50" s="10" t="s">
        <v>86</v>
      </c>
      <c r="F50" s="10">
        <v>414113</v>
      </c>
      <c r="G50" s="10" t="s">
        <v>135</v>
      </c>
      <c r="H50" s="45">
        <f>VLOOKUP(G50,'(참고)PJT목록'!A:D,4,0)</f>
        <v>45045</v>
      </c>
      <c r="I50" s="27">
        <f>VLOOKUP(G50,'(참고)PJT목록'!A:E,5,0)</f>
        <v>46871</v>
      </c>
      <c r="J50" s="32">
        <v>1542000</v>
      </c>
      <c r="K50" s="33">
        <v>1542000</v>
      </c>
      <c r="L50" s="33">
        <v>1542000</v>
      </c>
      <c r="M50" s="33">
        <v>1542000</v>
      </c>
      <c r="N50" s="33">
        <v>1542000</v>
      </c>
      <c r="O50" s="33">
        <v>1542000</v>
      </c>
      <c r="P50" s="33">
        <v>1542000</v>
      </c>
      <c r="Q50" s="33">
        <v>1542000</v>
      </c>
      <c r="R50" s="33">
        <v>1542000</v>
      </c>
      <c r="S50" s="33">
        <v>1542000</v>
      </c>
      <c r="T50" s="33">
        <v>1542000</v>
      </c>
      <c r="U50" s="33">
        <v>1542000</v>
      </c>
      <c r="V50" s="33">
        <v>1542000</v>
      </c>
      <c r="W50" s="33">
        <v>1542000</v>
      </c>
      <c r="X50" s="33">
        <v>1542000</v>
      </c>
      <c r="Y50" s="33">
        <v>1542000</v>
      </c>
      <c r="Z50" s="33">
        <v>1542000</v>
      </c>
      <c r="AA50" s="33">
        <v>1542000</v>
      </c>
      <c r="AB50" s="33">
        <v>1542000</v>
      </c>
      <c r="AC50" s="33">
        <v>1542000</v>
      </c>
      <c r="AD50" s="33">
        <v>1542000</v>
      </c>
      <c r="AE50" s="33">
        <v>1542000</v>
      </c>
      <c r="AF50" s="33">
        <v>1542000</v>
      </c>
      <c r="AG50" s="33">
        <v>1542000</v>
      </c>
      <c r="AH50" s="33">
        <v>1542000</v>
      </c>
      <c r="AI50" s="33">
        <v>1542000</v>
      </c>
      <c r="AJ50" s="33">
        <v>1542000</v>
      </c>
      <c r="AK50" s="33">
        <v>1542000</v>
      </c>
      <c r="AL50" s="33">
        <v>1542000</v>
      </c>
      <c r="AM50" s="33">
        <v>1542000</v>
      </c>
      <c r="AN50" s="33">
        <v>1542000</v>
      </c>
      <c r="AO50" s="33">
        <v>1542000</v>
      </c>
      <c r="AP50" s="33">
        <v>1542000</v>
      </c>
      <c r="AQ50" s="33">
        <v>1542000</v>
      </c>
      <c r="AR50" s="33">
        <v>1542000</v>
      </c>
      <c r="AS50" s="33">
        <v>1542000</v>
      </c>
      <c r="AT50" s="33">
        <v>1542000</v>
      </c>
      <c r="AU50" s="33">
        <v>1542000</v>
      </c>
      <c r="AV50" s="33">
        <v>1542000</v>
      </c>
      <c r="AW50" s="33">
        <v>1542000</v>
      </c>
      <c r="AX50" s="33">
        <v>1542000</v>
      </c>
      <c r="AY50" s="33">
        <v>1542000</v>
      </c>
      <c r="AZ50" s="33">
        <v>1542000</v>
      </c>
      <c r="BA50" s="33">
        <v>1542000</v>
      </c>
      <c r="BB50" s="33">
        <v>1542000</v>
      </c>
      <c r="BC50" s="33"/>
    </row>
    <row r="51" spans="1:55" ht="16.5" customHeight="1">
      <c r="A51" s="23"/>
      <c r="B51" s="1051"/>
      <c r="C51" s="1051"/>
      <c r="D51" s="1051"/>
      <c r="E51" s="10" t="s">
        <v>91</v>
      </c>
      <c r="F51" s="10">
        <v>413141</v>
      </c>
      <c r="G51" s="10" t="s">
        <v>136</v>
      </c>
      <c r="H51" s="45">
        <f>VLOOKUP(G51,'(참고)PJT목록'!A:D,4,0)</f>
        <v>45010</v>
      </c>
      <c r="I51" s="27">
        <f>VLOOKUP(G51,'(참고)PJT목록'!A:E,5,0)</f>
        <v>46836</v>
      </c>
      <c r="J51" s="32">
        <v>601800</v>
      </c>
      <c r="K51" s="33">
        <v>601800</v>
      </c>
      <c r="L51" s="33">
        <v>601800</v>
      </c>
      <c r="M51" s="33">
        <v>601800</v>
      </c>
      <c r="N51" s="33">
        <v>601800</v>
      </c>
      <c r="O51" s="33">
        <v>601800</v>
      </c>
      <c r="P51" s="33">
        <v>601800</v>
      </c>
      <c r="Q51" s="33">
        <v>601800</v>
      </c>
      <c r="R51" s="33">
        <v>601800</v>
      </c>
      <c r="S51" s="33">
        <v>601800</v>
      </c>
      <c r="T51" s="33">
        <v>601800</v>
      </c>
      <c r="U51" s="33">
        <v>601800</v>
      </c>
      <c r="V51" s="33">
        <v>601800</v>
      </c>
      <c r="W51" s="33">
        <v>601800</v>
      </c>
      <c r="X51" s="33">
        <v>601800</v>
      </c>
      <c r="Y51" s="33">
        <v>601800</v>
      </c>
      <c r="Z51" s="33">
        <v>601800</v>
      </c>
      <c r="AA51" s="33">
        <v>601800</v>
      </c>
      <c r="AB51" s="33">
        <v>601800</v>
      </c>
      <c r="AC51" s="33">
        <v>601800</v>
      </c>
      <c r="AD51" s="33">
        <v>601800</v>
      </c>
      <c r="AE51" s="33">
        <v>601800</v>
      </c>
      <c r="AF51" s="33">
        <v>601800</v>
      </c>
      <c r="AG51" s="33">
        <v>601800</v>
      </c>
      <c r="AH51" s="33">
        <v>601800</v>
      </c>
      <c r="AI51" s="33">
        <v>601800</v>
      </c>
      <c r="AJ51" s="33">
        <v>601800</v>
      </c>
      <c r="AK51" s="33">
        <v>601800</v>
      </c>
      <c r="AL51" s="33">
        <v>601800</v>
      </c>
      <c r="AM51" s="33">
        <v>601800</v>
      </c>
      <c r="AN51" s="33">
        <v>601800</v>
      </c>
      <c r="AO51" s="33">
        <v>601800</v>
      </c>
      <c r="AP51" s="33">
        <v>601800</v>
      </c>
      <c r="AQ51" s="33">
        <v>601800</v>
      </c>
      <c r="AR51" s="33">
        <v>601800</v>
      </c>
      <c r="AS51" s="33">
        <v>601800</v>
      </c>
      <c r="AT51" s="33">
        <v>601800</v>
      </c>
      <c r="AU51" s="33">
        <v>601800</v>
      </c>
      <c r="AV51" s="33">
        <v>601800</v>
      </c>
      <c r="AW51" s="33">
        <v>601800</v>
      </c>
      <c r="AX51" s="33">
        <v>601800</v>
      </c>
      <c r="AY51" s="33">
        <v>601800</v>
      </c>
      <c r="AZ51" s="33">
        <v>601800</v>
      </c>
      <c r="BA51" s="33">
        <v>601800</v>
      </c>
      <c r="BB51" s="33">
        <v>601800</v>
      </c>
      <c r="BC51" s="33"/>
    </row>
    <row r="52" spans="1:55" ht="16.5" customHeight="1">
      <c r="A52" s="23"/>
      <c r="B52" s="1051"/>
      <c r="C52" s="1051"/>
      <c r="D52" s="1051"/>
      <c r="E52" s="10" t="s">
        <v>79</v>
      </c>
      <c r="F52" s="10">
        <v>413141</v>
      </c>
      <c r="G52" s="10" t="s">
        <v>137</v>
      </c>
      <c r="H52" s="45">
        <f>VLOOKUP(G52,'(참고)PJT목록'!A:D,4,0)</f>
        <v>45010</v>
      </c>
      <c r="I52" s="27">
        <f>VLOOKUP(G52,'(참고)PJT목록'!A:E,5,0)</f>
        <v>46836</v>
      </c>
      <c r="J52" s="32">
        <v>290870</v>
      </c>
      <c r="K52" s="33">
        <v>290870</v>
      </c>
      <c r="L52" s="33">
        <v>290870</v>
      </c>
      <c r="M52" s="33">
        <v>290870</v>
      </c>
      <c r="N52" s="33">
        <v>290870</v>
      </c>
      <c r="O52" s="33">
        <v>290870</v>
      </c>
      <c r="P52" s="33">
        <v>290870</v>
      </c>
      <c r="Q52" s="33">
        <v>290870</v>
      </c>
      <c r="R52" s="33">
        <v>290870</v>
      </c>
      <c r="S52" s="33">
        <v>290870</v>
      </c>
      <c r="T52" s="33">
        <v>290870</v>
      </c>
      <c r="U52" s="33">
        <v>290870</v>
      </c>
      <c r="V52" s="33">
        <v>290870</v>
      </c>
      <c r="W52" s="33">
        <v>290870</v>
      </c>
      <c r="X52" s="33">
        <v>290870</v>
      </c>
      <c r="Y52" s="33">
        <v>290870</v>
      </c>
      <c r="Z52" s="33">
        <v>290870</v>
      </c>
      <c r="AA52" s="33">
        <v>290870</v>
      </c>
      <c r="AB52" s="33">
        <v>290870</v>
      </c>
      <c r="AC52" s="33">
        <v>290870</v>
      </c>
      <c r="AD52" s="33">
        <v>290870</v>
      </c>
      <c r="AE52" s="33">
        <v>290870</v>
      </c>
      <c r="AF52" s="33">
        <v>290870</v>
      </c>
      <c r="AG52" s="33">
        <v>290870</v>
      </c>
      <c r="AH52" s="33">
        <v>290870</v>
      </c>
      <c r="AI52" s="33">
        <v>290870</v>
      </c>
      <c r="AJ52" s="33">
        <v>290870</v>
      </c>
      <c r="AK52" s="33">
        <v>290870</v>
      </c>
      <c r="AL52" s="33">
        <v>290870</v>
      </c>
      <c r="AM52" s="33">
        <v>290870</v>
      </c>
      <c r="AN52" s="33">
        <v>290870</v>
      </c>
      <c r="AO52" s="33">
        <v>290870</v>
      </c>
      <c r="AP52" s="33">
        <v>290870</v>
      </c>
      <c r="AQ52" s="33">
        <v>290870</v>
      </c>
      <c r="AR52" s="33">
        <v>290870</v>
      </c>
      <c r="AS52" s="33">
        <v>290870</v>
      </c>
      <c r="AT52" s="33">
        <v>290870</v>
      </c>
      <c r="AU52" s="33">
        <v>290870</v>
      </c>
      <c r="AV52" s="33">
        <v>290870</v>
      </c>
      <c r="AW52" s="33">
        <v>290870</v>
      </c>
      <c r="AX52" s="33">
        <v>290870</v>
      </c>
      <c r="AY52" s="33">
        <v>290870</v>
      </c>
      <c r="AZ52" s="33">
        <v>290870</v>
      </c>
      <c r="BA52" s="33">
        <v>290870</v>
      </c>
      <c r="BB52" s="33">
        <v>290870</v>
      </c>
      <c r="BC52" s="33"/>
    </row>
    <row r="53" spans="1:55" ht="16.5" customHeight="1">
      <c r="A53" s="23"/>
      <c r="B53" s="1052"/>
      <c r="C53" s="1052"/>
      <c r="D53" s="1052"/>
      <c r="E53" s="10" t="s">
        <v>138</v>
      </c>
      <c r="F53" s="10">
        <v>413141</v>
      </c>
      <c r="G53" s="10" t="s">
        <v>139</v>
      </c>
      <c r="H53" s="45">
        <f>VLOOKUP(G53,'(참고)PJT목록'!A:D,4,0)</f>
        <v>45010</v>
      </c>
      <c r="I53" s="27">
        <f>VLOOKUP(G53,'(참고)PJT목록'!A:E,5,0)</f>
        <v>46836</v>
      </c>
      <c r="J53" s="32">
        <v>110330</v>
      </c>
      <c r="K53" s="33">
        <v>110330</v>
      </c>
      <c r="L53" s="33">
        <v>110330</v>
      </c>
      <c r="M53" s="33">
        <v>110330</v>
      </c>
      <c r="N53" s="33">
        <v>110330</v>
      </c>
      <c r="O53" s="33">
        <v>110330</v>
      </c>
      <c r="P53" s="33">
        <v>110330</v>
      </c>
      <c r="Q53" s="33">
        <v>110330</v>
      </c>
      <c r="R53" s="33">
        <v>110330</v>
      </c>
      <c r="S53" s="33">
        <v>110330</v>
      </c>
      <c r="T53" s="33">
        <v>110330</v>
      </c>
      <c r="U53" s="33">
        <v>110330</v>
      </c>
      <c r="V53" s="33">
        <v>110330</v>
      </c>
      <c r="W53" s="33">
        <v>110330</v>
      </c>
      <c r="X53" s="33">
        <v>110330</v>
      </c>
      <c r="Y53" s="33">
        <v>110330</v>
      </c>
      <c r="Z53" s="33">
        <v>110330</v>
      </c>
      <c r="AA53" s="33">
        <v>110330</v>
      </c>
      <c r="AB53" s="33">
        <v>110330</v>
      </c>
      <c r="AC53" s="33">
        <v>110330</v>
      </c>
      <c r="AD53" s="33">
        <v>110330</v>
      </c>
      <c r="AE53" s="33">
        <v>110330</v>
      </c>
      <c r="AF53" s="33">
        <v>110330</v>
      </c>
      <c r="AG53" s="33">
        <v>110330</v>
      </c>
      <c r="AH53" s="33">
        <v>110330</v>
      </c>
      <c r="AI53" s="33">
        <v>110330</v>
      </c>
      <c r="AJ53" s="33">
        <v>110330</v>
      </c>
      <c r="AK53" s="33">
        <v>110330</v>
      </c>
      <c r="AL53" s="33">
        <v>110330</v>
      </c>
      <c r="AM53" s="33">
        <v>110330</v>
      </c>
      <c r="AN53" s="33">
        <v>110330</v>
      </c>
      <c r="AO53" s="33">
        <v>110330</v>
      </c>
      <c r="AP53" s="33">
        <v>110330</v>
      </c>
      <c r="AQ53" s="33">
        <v>110330</v>
      </c>
      <c r="AR53" s="33">
        <v>110330</v>
      </c>
      <c r="AS53" s="33">
        <v>110330</v>
      </c>
      <c r="AT53" s="33">
        <v>110330</v>
      </c>
      <c r="AU53" s="33">
        <v>110330</v>
      </c>
      <c r="AV53" s="33">
        <v>110330</v>
      </c>
      <c r="AW53" s="33">
        <v>110330</v>
      </c>
      <c r="AX53" s="33">
        <v>110330</v>
      </c>
      <c r="AY53" s="33">
        <v>110330</v>
      </c>
      <c r="AZ53" s="33">
        <v>110330</v>
      </c>
      <c r="BA53" s="33">
        <v>110330</v>
      </c>
      <c r="BB53" s="33">
        <v>110330</v>
      </c>
      <c r="BC53" s="33"/>
    </row>
    <row r="54" spans="1:55" ht="16.5" customHeight="1">
      <c r="A54" s="23"/>
      <c r="B54" s="1057" t="s">
        <v>141</v>
      </c>
      <c r="C54" s="1059" t="s">
        <v>142</v>
      </c>
      <c r="D54" s="1070" t="s">
        <v>134</v>
      </c>
      <c r="E54" s="10" t="s">
        <v>86</v>
      </c>
      <c r="F54" s="10">
        <v>414113</v>
      </c>
      <c r="G54" s="10" t="s">
        <v>135</v>
      </c>
      <c r="H54" s="45">
        <f>VLOOKUP(G54,'(참고)PJT목록'!A:D,4,0)</f>
        <v>45045</v>
      </c>
      <c r="I54" s="27">
        <f>VLOOKUP(G54,'(참고)PJT목록'!A:E,5,0)</f>
        <v>46871</v>
      </c>
      <c r="J54" s="32">
        <v>1542000</v>
      </c>
      <c r="K54" s="33">
        <v>1542000</v>
      </c>
      <c r="L54" s="33">
        <v>1542000</v>
      </c>
      <c r="M54" s="33">
        <v>1542000</v>
      </c>
      <c r="N54" s="33">
        <v>1542000</v>
      </c>
      <c r="O54" s="33">
        <v>1542000</v>
      </c>
      <c r="P54" s="33">
        <v>1542000</v>
      </c>
      <c r="Q54" s="33">
        <v>1542000</v>
      </c>
      <c r="R54" s="33">
        <v>1542000</v>
      </c>
      <c r="S54" s="33">
        <v>1542000</v>
      </c>
      <c r="T54" s="33">
        <v>1542000</v>
      </c>
      <c r="U54" s="33">
        <v>1542000</v>
      </c>
      <c r="V54" s="33">
        <v>1542000</v>
      </c>
      <c r="W54" s="33">
        <v>1542000</v>
      </c>
      <c r="X54" s="33">
        <v>1542000</v>
      </c>
      <c r="Y54" s="33">
        <v>1542000</v>
      </c>
      <c r="Z54" s="33">
        <v>1542000</v>
      </c>
      <c r="AA54" s="33">
        <v>1542000</v>
      </c>
      <c r="AB54" s="33">
        <v>1542000</v>
      </c>
      <c r="AC54" s="33">
        <v>1542000</v>
      </c>
      <c r="AD54" s="33">
        <v>1542000</v>
      </c>
      <c r="AE54" s="33">
        <v>1542000</v>
      </c>
      <c r="AF54" s="33">
        <v>1542000</v>
      </c>
      <c r="AG54" s="33">
        <v>1542000</v>
      </c>
      <c r="AH54" s="33">
        <v>1542000</v>
      </c>
      <c r="AI54" s="33">
        <v>1542000</v>
      </c>
      <c r="AJ54" s="33">
        <v>1542000</v>
      </c>
      <c r="AK54" s="33">
        <v>1542000</v>
      </c>
      <c r="AL54" s="33">
        <v>1542000</v>
      </c>
      <c r="AM54" s="33">
        <v>1542000</v>
      </c>
      <c r="AN54" s="33">
        <v>1542000</v>
      </c>
      <c r="AO54" s="33">
        <v>1542000</v>
      </c>
      <c r="AP54" s="33">
        <v>1542000</v>
      </c>
      <c r="AQ54" s="33">
        <v>1542000</v>
      </c>
      <c r="AR54" s="33">
        <v>1542000</v>
      </c>
      <c r="AS54" s="33">
        <v>1542000</v>
      </c>
      <c r="AT54" s="33">
        <v>1542000</v>
      </c>
      <c r="AU54" s="33">
        <v>1542000</v>
      </c>
      <c r="AV54" s="33">
        <v>1542000</v>
      </c>
      <c r="AW54" s="33">
        <v>1542000</v>
      </c>
      <c r="AX54" s="33">
        <v>1542000</v>
      </c>
      <c r="AY54" s="33">
        <v>1542000</v>
      </c>
      <c r="AZ54" s="33">
        <v>1542000</v>
      </c>
      <c r="BA54" s="33">
        <v>1542000</v>
      </c>
      <c r="BB54" s="33">
        <v>1542000</v>
      </c>
      <c r="BC54" s="33"/>
    </row>
    <row r="55" spans="1:55" ht="16.5" customHeight="1">
      <c r="A55" s="23"/>
      <c r="B55" s="1051"/>
      <c r="C55" s="1051"/>
      <c r="D55" s="1051"/>
      <c r="E55" s="10" t="s">
        <v>91</v>
      </c>
      <c r="F55" s="10">
        <v>413141</v>
      </c>
      <c r="G55" s="10" t="s">
        <v>136</v>
      </c>
      <c r="H55" s="45">
        <f>VLOOKUP(G55,'(참고)PJT목록'!A:D,4,0)</f>
        <v>45010</v>
      </c>
      <c r="I55" s="27">
        <f>VLOOKUP(G55,'(참고)PJT목록'!A:E,5,0)</f>
        <v>46836</v>
      </c>
      <c r="J55" s="32">
        <v>777384</v>
      </c>
      <c r="K55" s="33">
        <v>777384</v>
      </c>
      <c r="L55" s="33">
        <v>777384</v>
      </c>
      <c r="M55" s="33">
        <v>777384</v>
      </c>
      <c r="N55" s="33">
        <v>777384</v>
      </c>
      <c r="O55" s="33">
        <v>777384</v>
      </c>
      <c r="P55" s="33">
        <v>777384</v>
      </c>
      <c r="Q55" s="33">
        <v>777384</v>
      </c>
      <c r="R55" s="33">
        <v>777384</v>
      </c>
      <c r="S55" s="33">
        <v>777384</v>
      </c>
      <c r="T55" s="33">
        <v>777384</v>
      </c>
      <c r="U55" s="33">
        <v>777384</v>
      </c>
      <c r="V55" s="33">
        <v>777384</v>
      </c>
      <c r="W55" s="33">
        <v>777384</v>
      </c>
      <c r="X55" s="33">
        <v>777384</v>
      </c>
      <c r="Y55" s="33">
        <v>777384</v>
      </c>
      <c r="Z55" s="33">
        <v>777384</v>
      </c>
      <c r="AA55" s="33">
        <v>777384</v>
      </c>
      <c r="AB55" s="33">
        <v>777384</v>
      </c>
      <c r="AC55" s="33">
        <v>777384</v>
      </c>
      <c r="AD55" s="33">
        <v>777384</v>
      </c>
      <c r="AE55" s="33">
        <v>777384</v>
      </c>
      <c r="AF55" s="33">
        <v>777384</v>
      </c>
      <c r="AG55" s="33">
        <v>777384</v>
      </c>
      <c r="AH55" s="33">
        <v>777384</v>
      </c>
      <c r="AI55" s="33">
        <v>777384</v>
      </c>
      <c r="AJ55" s="33">
        <v>777384</v>
      </c>
      <c r="AK55" s="33">
        <v>777384</v>
      </c>
      <c r="AL55" s="33">
        <v>777384</v>
      </c>
      <c r="AM55" s="33">
        <v>777384</v>
      </c>
      <c r="AN55" s="33">
        <v>777384</v>
      </c>
      <c r="AO55" s="33">
        <v>777384</v>
      </c>
      <c r="AP55" s="33">
        <v>777384</v>
      </c>
      <c r="AQ55" s="33">
        <v>777384</v>
      </c>
      <c r="AR55" s="33">
        <v>777384</v>
      </c>
      <c r="AS55" s="33">
        <v>777384</v>
      </c>
      <c r="AT55" s="33">
        <v>777384</v>
      </c>
      <c r="AU55" s="33">
        <v>777384</v>
      </c>
      <c r="AV55" s="33">
        <v>777384</v>
      </c>
      <c r="AW55" s="33">
        <v>777384</v>
      </c>
      <c r="AX55" s="33">
        <v>777384</v>
      </c>
      <c r="AY55" s="33">
        <v>777384</v>
      </c>
      <c r="AZ55" s="33">
        <v>777384</v>
      </c>
      <c r="BA55" s="33">
        <v>777384</v>
      </c>
      <c r="BB55" s="33">
        <v>777384</v>
      </c>
      <c r="BC55" s="33"/>
    </row>
    <row r="56" spans="1:55" ht="16.5" customHeight="1">
      <c r="A56" s="23"/>
      <c r="B56" s="1051"/>
      <c r="C56" s="1051"/>
      <c r="D56" s="1051"/>
      <c r="E56" s="10" t="s">
        <v>79</v>
      </c>
      <c r="F56" s="10">
        <v>413141</v>
      </c>
      <c r="G56" s="10" t="s">
        <v>137</v>
      </c>
      <c r="H56" s="45">
        <f>VLOOKUP(G56,'(참고)PJT목록'!A:D,4,0)</f>
        <v>45010</v>
      </c>
      <c r="I56" s="27">
        <f>VLOOKUP(G56,'(참고)PJT목록'!A:E,5,0)</f>
        <v>46836</v>
      </c>
      <c r="J56" s="32">
        <v>375736</v>
      </c>
      <c r="K56" s="33">
        <v>375736</v>
      </c>
      <c r="L56" s="33">
        <v>375736</v>
      </c>
      <c r="M56" s="33">
        <v>375736</v>
      </c>
      <c r="N56" s="33">
        <v>375736</v>
      </c>
      <c r="O56" s="33">
        <v>375736</v>
      </c>
      <c r="P56" s="33">
        <v>375736</v>
      </c>
      <c r="Q56" s="33">
        <v>375736</v>
      </c>
      <c r="R56" s="33">
        <v>375736</v>
      </c>
      <c r="S56" s="33">
        <v>375736</v>
      </c>
      <c r="T56" s="33">
        <v>375736</v>
      </c>
      <c r="U56" s="33">
        <v>375736</v>
      </c>
      <c r="V56" s="33">
        <v>375736</v>
      </c>
      <c r="W56" s="33">
        <v>375736</v>
      </c>
      <c r="X56" s="33">
        <v>375736</v>
      </c>
      <c r="Y56" s="33">
        <v>375736</v>
      </c>
      <c r="Z56" s="33">
        <v>375736</v>
      </c>
      <c r="AA56" s="33">
        <v>375736</v>
      </c>
      <c r="AB56" s="33">
        <v>375736</v>
      </c>
      <c r="AC56" s="33">
        <v>375736</v>
      </c>
      <c r="AD56" s="33">
        <v>375736</v>
      </c>
      <c r="AE56" s="33">
        <v>375736</v>
      </c>
      <c r="AF56" s="33">
        <v>375736</v>
      </c>
      <c r="AG56" s="33">
        <v>375736</v>
      </c>
      <c r="AH56" s="33">
        <v>375736</v>
      </c>
      <c r="AI56" s="33">
        <v>375736</v>
      </c>
      <c r="AJ56" s="33">
        <v>375736</v>
      </c>
      <c r="AK56" s="33">
        <v>375736</v>
      </c>
      <c r="AL56" s="33">
        <v>375736</v>
      </c>
      <c r="AM56" s="33">
        <v>375736</v>
      </c>
      <c r="AN56" s="33">
        <v>375736</v>
      </c>
      <c r="AO56" s="33">
        <v>375736</v>
      </c>
      <c r="AP56" s="33">
        <v>375736</v>
      </c>
      <c r="AQ56" s="33">
        <v>375736</v>
      </c>
      <c r="AR56" s="33">
        <v>375736</v>
      </c>
      <c r="AS56" s="33">
        <v>375736</v>
      </c>
      <c r="AT56" s="33">
        <v>375736</v>
      </c>
      <c r="AU56" s="33">
        <v>375736</v>
      </c>
      <c r="AV56" s="33">
        <v>375736</v>
      </c>
      <c r="AW56" s="33">
        <v>375736</v>
      </c>
      <c r="AX56" s="33">
        <v>375736</v>
      </c>
      <c r="AY56" s="33">
        <v>375736</v>
      </c>
      <c r="AZ56" s="33">
        <v>375736</v>
      </c>
      <c r="BA56" s="33">
        <v>375736</v>
      </c>
      <c r="BB56" s="33">
        <v>375736</v>
      </c>
      <c r="BC56" s="33"/>
    </row>
    <row r="57" spans="1:55" ht="16.5" customHeight="1">
      <c r="A57" s="23"/>
      <c r="B57" s="1052"/>
      <c r="C57" s="1052"/>
      <c r="D57" s="1052"/>
      <c r="E57" s="10" t="s">
        <v>138</v>
      </c>
      <c r="F57" s="10">
        <v>413141</v>
      </c>
      <c r="G57" s="10" t="s">
        <v>139</v>
      </c>
      <c r="H57" s="45">
        <f>VLOOKUP(G57,'(참고)PJT목록'!A:D,4,0)</f>
        <v>45010</v>
      </c>
      <c r="I57" s="27">
        <f>VLOOKUP(G57,'(참고)PJT목록'!A:E,5,0)</f>
        <v>46836</v>
      </c>
      <c r="J57" s="32">
        <v>142520</v>
      </c>
      <c r="K57" s="33">
        <v>142520</v>
      </c>
      <c r="L57" s="33">
        <v>142520</v>
      </c>
      <c r="M57" s="33">
        <v>142520</v>
      </c>
      <c r="N57" s="33">
        <v>142520</v>
      </c>
      <c r="O57" s="33">
        <v>142520</v>
      </c>
      <c r="P57" s="33">
        <v>142520</v>
      </c>
      <c r="Q57" s="33">
        <v>142520</v>
      </c>
      <c r="R57" s="33">
        <v>142520</v>
      </c>
      <c r="S57" s="33">
        <v>142520</v>
      </c>
      <c r="T57" s="33">
        <v>142520</v>
      </c>
      <c r="U57" s="33">
        <v>142520</v>
      </c>
      <c r="V57" s="33">
        <v>142520</v>
      </c>
      <c r="W57" s="33">
        <v>142520</v>
      </c>
      <c r="X57" s="33">
        <v>142520</v>
      </c>
      <c r="Y57" s="33">
        <v>142520</v>
      </c>
      <c r="Z57" s="33">
        <v>142520</v>
      </c>
      <c r="AA57" s="33">
        <v>142520</v>
      </c>
      <c r="AB57" s="33">
        <v>142520</v>
      </c>
      <c r="AC57" s="33">
        <v>142520</v>
      </c>
      <c r="AD57" s="33">
        <v>142520</v>
      </c>
      <c r="AE57" s="33">
        <v>142520</v>
      </c>
      <c r="AF57" s="33">
        <v>142520</v>
      </c>
      <c r="AG57" s="33">
        <v>142520</v>
      </c>
      <c r="AH57" s="33">
        <v>142520</v>
      </c>
      <c r="AI57" s="33">
        <v>142520</v>
      </c>
      <c r="AJ57" s="33">
        <v>142520</v>
      </c>
      <c r="AK57" s="33">
        <v>142520</v>
      </c>
      <c r="AL57" s="33">
        <v>142520</v>
      </c>
      <c r="AM57" s="33">
        <v>142520</v>
      </c>
      <c r="AN57" s="33">
        <v>142520</v>
      </c>
      <c r="AO57" s="33">
        <v>142520</v>
      </c>
      <c r="AP57" s="33">
        <v>142520</v>
      </c>
      <c r="AQ57" s="33">
        <v>142520</v>
      </c>
      <c r="AR57" s="33">
        <v>142520</v>
      </c>
      <c r="AS57" s="33">
        <v>142520</v>
      </c>
      <c r="AT57" s="33">
        <v>142520</v>
      </c>
      <c r="AU57" s="33">
        <v>142520</v>
      </c>
      <c r="AV57" s="33">
        <v>142520</v>
      </c>
      <c r="AW57" s="33">
        <v>142520</v>
      </c>
      <c r="AX57" s="33">
        <v>142520</v>
      </c>
      <c r="AY57" s="33">
        <v>142520</v>
      </c>
      <c r="AZ57" s="33">
        <v>142520</v>
      </c>
      <c r="BA57" s="33">
        <v>142520</v>
      </c>
      <c r="BB57" s="33">
        <v>142520</v>
      </c>
      <c r="BC57" s="33"/>
    </row>
    <row r="58" spans="1:55" ht="16.5" customHeight="1">
      <c r="A58" s="23"/>
      <c r="B58" s="1057" t="s">
        <v>143</v>
      </c>
      <c r="C58" s="1059" t="s">
        <v>142</v>
      </c>
      <c r="D58" s="1070" t="s">
        <v>134</v>
      </c>
      <c r="E58" s="10" t="s">
        <v>86</v>
      </c>
      <c r="F58" s="10">
        <v>414113</v>
      </c>
      <c r="G58" s="10" t="s">
        <v>135</v>
      </c>
      <c r="H58" s="45">
        <f>VLOOKUP(G58,'(참고)PJT목록'!A:D,4,0)</f>
        <v>45045</v>
      </c>
      <c r="I58" s="27">
        <f>VLOOKUP(G58,'(참고)PJT목록'!A:E,5,0)</f>
        <v>46871</v>
      </c>
      <c r="J58" s="32">
        <v>6682500</v>
      </c>
      <c r="K58" s="33">
        <v>6682500</v>
      </c>
      <c r="L58" s="33">
        <v>6682500</v>
      </c>
      <c r="M58" s="33">
        <v>6682500</v>
      </c>
      <c r="N58" s="33">
        <v>6682500</v>
      </c>
      <c r="O58" s="33">
        <v>6682500</v>
      </c>
      <c r="P58" s="33">
        <v>6682500</v>
      </c>
      <c r="Q58" s="33">
        <v>6682500</v>
      </c>
      <c r="R58" s="33">
        <v>6682500</v>
      </c>
      <c r="S58" s="33">
        <v>6682500</v>
      </c>
      <c r="T58" s="33">
        <v>6682500</v>
      </c>
      <c r="U58" s="33">
        <v>6682500</v>
      </c>
      <c r="V58" s="33">
        <v>6682500</v>
      </c>
      <c r="W58" s="33">
        <v>6682500</v>
      </c>
      <c r="X58" s="33">
        <v>6682500</v>
      </c>
      <c r="Y58" s="33">
        <v>6682500</v>
      </c>
      <c r="Z58" s="33">
        <v>6682500</v>
      </c>
      <c r="AA58" s="33">
        <v>6682500</v>
      </c>
      <c r="AB58" s="33">
        <v>6682500</v>
      </c>
      <c r="AC58" s="33">
        <v>6682500</v>
      </c>
      <c r="AD58" s="33">
        <v>6682500</v>
      </c>
      <c r="AE58" s="33">
        <v>6682500</v>
      </c>
      <c r="AF58" s="33">
        <v>6682500</v>
      </c>
      <c r="AG58" s="33">
        <v>6682500</v>
      </c>
      <c r="AH58" s="33">
        <v>6682500</v>
      </c>
      <c r="AI58" s="33">
        <v>6682500</v>
      </c>
      <c r="AJ58" s="33">
        <v>6682500</v>
      </c>
      <c r="AK58" s="33">
        <v>6682500</v>
      </c>
      <c r="AL58" s="33">
        <v>6682500</v>
      </c>
      <c r="AM58" s="33">
        <v>6682500</v>
      </c>
      <c r="AN58" s="33">
        <v>6682500</v>
      </c>
      <c r="AO58" s="33">
        <v>6682500</v>
      </c>
      <c r="AP58" s="33">
        <v>6682500</v>
      </c>
      <c r="AQ58" s="33">
        <v>6682500</v>
      </c>
      <c r="AR58" s="33">
        <v>6682500</v>
      </c>
      <c r="AS58" s="33">
        <v>6682500</v>
      </c>
      <c r="AT58" s="33">
        <v>6682500</v>
      </c>
      <c r="AU58" s="33">
        <v>6682500</v>
      </c>
      <c r="AV58" s="33">
        <v>6682500</v>
      </c>
      <c r="AW58" s="33">
        <v>6682500</v>
      </c>
      <c r="AX58" s="33">
        <v>6682500</v>
      </c>
      <c r="AY58" s="33">
        <v>6682500</v>
      </c>
      <c r="AZ58" s="33">
        <v>6682500</v>
      </c>
      <c r="BA58" s="33">
        <v>6682500</v>
      </c>
      <c r="BB58" s="33">
        <v>6682500</v>
      </c>
      <c r="BC58" s="33"/>
    </row>
    <row r="59" spans="1:55" ht="16.5" customHeight="1">
      <c r="A59" s="23"/>
      <c r="B59" s="1051"/>
      <c r="C59" s="1051"/>
      <c r="D59" s="1051"/>
      <c r="E59" s="10" t="s">
        <v>91</v>
      </c>
      <c r="F59" s="10">
        <v>413141</v>
      </c>
      <c r="G59" s="10" t="s">
        <v>136</v>
      </c>
      <c r="H59" s="45">
        <f>VLOOKUP(G59,'(참고)PJT목록'!A:D,4,0)</f>
        <v>45010</v>
      </c>
      <c r="I59" s="27">
        <f>VLOOKUP(G59,'(참고)PJT목록'!A:E,5,0)</f>
        <v>46836</v>
      </c>
      <c r="J59" s="32">
        <v>1690200</v>
      </c>
      <c r="K59" s="33">
        <v>1690200</v>
      </c>
      <c r="L59" s="33">
        <v>1690200</v>
      </c>
      <c r="M59" s="33">
        <v>1690200</v>
      </c>
      <c r="N59" s="33">
        <v>1690200</v>
      </c>
      <c r="O59" s="33">
        <v>1690200</v>
      </c>
      <c r="P59" s="33">
        <v>1690200</v>
      </c>
      <c r="Q59" s="33">
        <v>1690200</v>
      </c>
      <c r="R59" s="33">
        <v>1690200</v>
      </c>
      <c r="S59" s="33">
        <v>1690200</v>
      </c>
      <c r="T59" s="33">
        <v>1690200</v>
      </c>
      <c r="U59" s="33">
        <v>1690200</v>
      </c>
      <c r="V59" s="33">
        <v>1690200</v>
      </c>
      <c r="W59" s="33">
        <v>1690200</v>
      </c>
      <c r="X59" s="33">
        <v>1690200</v>
      </c>
      <c r="Y59" s="33">
        <v>1690200</v>
      </c>
      <c r="Z59" s="33">
        <v>1690200</v>
      </c>
      <c r="AA59" s="33">
        <v>1690200</v>
      </c>
      <c r="AB59" s="33">
        <v>1690200</v>
      </c>
      <c r="AC59" s="33">
        <v>1690200</v>
      </c>
      <c r="AD59" s="33">
        <v>1690200</v>
      </c>
      <c r="AE59" s="33">
        <v>1690200</v>
      </c>
      <c r="AF59" s="33">
        <v>1690200</v>
      </c>
      <c r="AG59" s="33">
        <v>1690200</v>
      </c>
      <c r="AH59" s="33">
        <v>1690200</v>
      </c>
      <c r="AI59" s="33">
        <v>1690200</v>
      </c>
      <c r="AJ59" s="33">
        <v>1690200</v>
      </c>
      <c r="AK59" s="33">
        <v>1690200</v>
      </c>
      <c r="AL59" s="33">
        <v>1690200</v>
      </c>
      <c r="AM59" s="33">
        <v>1690200</v>
      </c>
      <c r="AN59" s="33">
        <v>1690200</v>
      </c>
      <c r="AO59" s="33">
        <v>1690200</v>
      </c>
      <c r="AP59" s="33">
        <v>1690200</v>
      </c>
      <c r="AQ59" s="33">
        <v>1690200</v>
      </c>
      <c r="AR59" s="33">
        <v>1690200</v>
      </c>
      <c r="AS59" s="33">
        <v>1690200</v>
      </c>
      <c r="AT59" s="33">
        <v>1690200</v>
      </c>
      <c r="AU59" s="33">
        <v>1690200</v>
      </c>
      <c r="AV59" s="33">
        <v>1690200</v>
      </c>
      <c r="AW59" s="33">
        <v>1690200</v>
      </c>
      <c r="AX59" s="33">
        <v>1690200</v>
      </c>
      <c r="AY59" s="33">
        <v>1690200</v>
      </c>
      <c r="AZ59" s="33">
        <v>1690200</v>
      </c>
      <c r="BA59" s="33">
        <v>1690200</v>
      </c>
      <c r="BB59" s="33">
        <v>1690200</v>
      </c>
      <c r="BC59" s="33"/>
    </row>
    <row r="60" spans="1:55" ht="16.5" customHeight="1">
      <c r="A60" s="23"/>
      <c r="B60" s="1051"/>
      <c r="C60" s="1051"/>
      <c r="D60" s="1051"/>
      <c r="E60" s="10" t="s">
        <v>79</v>
      </c>
      <c r="F60" s="10">
        <v>413141</v>
      </c>
      <c r="G60" s="10" t="s">
        <v>137</v>
      </c>
      <c r="H60" s="45">
        <f>VLOOKUP(G60,'(참고)PJT목록'!A:D,4,0)</f>
        <v>45010</v>
      </c>
      <c r="I60" s="27">
        <f>VLOOKUP(G60,'(참고)PJT목록'!A:E,5,0)</f>
        <v>46836</v>
      </c>
      <c r="J60" s="32">
        <v>816930</v>
      </c>
      <c r="K60" s="33">
        <v>816930</v>
      </c>
      <c r="L60" s="33">
        <v>816930</v>
      </c>
      <c r="M60" s="33">
        <v>816930</v>
      </c>
      <c r="N60" s="33">
        <v>816930</v>
      </c>
      <c r="O60" s="33">
        <v>816930</v>
      </c>
      <c r="P60" s="33">
        <v>816930</v>
      </c>
      <c r="Q60" s="33">
        <v>816930</v>
      </c>
      <c r="R60" s="33">
        <v>816930</v>
      </c>
      <c r="S60" s="33">
        <v>816930</v>
      </c>
      <c r="T60" s="33">
        <v>816930</v>
      </c>
      <c r="U60" s="33">
        <v>816930</v>
      </c>
      <c r="V60" s="33">
        <v>816930</v>
      </c>
      <c r="W60" s="33">
        <v>816930</v>
      </c>
      <c r="X60" s="33">
        <v>816930</v>
      </c>
      <c r="Y60" s="33">
        <v>816930</v>
      </c>
      <c r="Z60" s="33">
        <v>816930</v>
      </c>
      <c r="AA60" s="33">
        <v>816930</v>
      </c>
      <c r="AB60" s="33">
        <v>816930</v>
      </c>
      <c r="AC60" s="33">
        <v>816930</v>
      </c>
      <c r="AD60" s="33">
        <v>816930</v>
      </c>
      <c r="AE60" s="33">
        <v>816930</v>
      </c>
      <c r="AF60" s="33">
        <v>816930</v>
      </c>
      <c r="AG60" s="33">
        <v>816930</v>
      </c>
      <c r="AH60" s="33">
        <v>816930</v>
      </c>
      <c r="AI60" s="33">
        <v>816930</v>
      </c>
      <c r="AJ60" s="33">
        <v>816930</v>
      </c>
      <c r="AK60" s="33">
        <v>816930</v>
      </c>
      <c r="AL60" s="33">
        <v>816930</v>
      </c>
      <c r="AM60" s="33">
        <v>816930</v>
      </c>
      <c r="AN60" s="33">
        <v>816930</v>
      </c>
      <c r="AO60" s="33">
        <v>816930</v>
      </c>
      <c r="AP60" s="33">
        <v>816930</v>
      </c>
      <c r="AQ60" s="33">
        <v>816930</v>
      </c>
      <c r="AR60" s="33">
        <v>816930</v>
      </c>
      <c r="AS60" s="33">
        <v>816930</v>
      </c>
      <c r="AT60" s="33">
        <v>816930</v>
      </c>
      <c r="AU60" s="33">
        <v>816930</v>
      </c>
      <c r="AV60" s="33">
        <v>816930</v>
      </c>
      <c r="AW60" s="33">
        <v>816930</v>
      </c>
      <c r="AX60" s="33">
        <v>816930</v>
      </c>
      <c r="AY60" s="33">
        <v>816930</v>
      </c>
      <c r="AZ60" s="33">
        <v>816930</v>
      </c>
      <c r="BA60" s="33">
        <v>816930</v>
      </c>
      <c r="BB60" s="33">
        <v>816930</v>
      </c>
      <c r="BC60" s="33"/>
    </row>
    <row r="61" spans="1:55" ht="16.5" customHeight="1">
      <c r="A61" s="23"/>
      <c r="B61" s="1052"/>
      <c r="C61" s="1052"/>
      <c r="D61" s="1052"/>
      <c r="E61" s="10" t="s">
        <v>138</v>
      </c>
      <c r="F61" s="10">
        <v>413141</v>
      </c>
      <c r="G61" s="10" t="s">
        <v>139</v>
      </c>
      <c r="H61" s="45">
        <f>VLOOKUP(G61,'(참고)PJT목록'!A:D,4,0)</f>
        <v>45010</v>
      </c>
      <c r="I61" s="27">
        <f>VLOOKUP(G61,'(참고)PJT목록'!A:E,5,0)</f>
        <v>46836</v>
      </c>
      <c r="J61" s="32">
        <v>309870</v>
      </c>
      <c r="K61" s="33">
        <v>309870</v>
      </c>
      <c r="L61" s="33">
        <v>309870</v>
      </c>
      <c r="M61" s="33">
        <v>309870</v>
      </c>
      <c r="N61" s="33">
        <v>309870</v>
      </c>
      <c r="O61" s="33">
        <v>309870</v>
      </c>
      <c r="P61" s="33">
        <v>309870</v>
      </c>
      <c r="Q61" s="33">
        <v>309870</v>
      </c>
      <c r="R61" s="33">
        <v>309870</v>
      </c>
      <c r="S61" s="33">
        <v>309870</v>
      </c>
      <c r="T61" s="33">
        <v>309870</v>
      </c>
      <c r="U61" s="33">
        <v>309870</v>
      </c>
      <c r="V61" s="33">
        <v>309870</v>
      </c>
      <c r="W61" s="33">
        <v>309870</v>
      </c>
      <c r="X61" s="33">
        <v>309870</v>
      </c>
      <c r="Y61" s="33">
        <v>309870</v>
      </c>
      <c r="Z61" s="33">
        <v>309870</v>
      </c>
      <c r="AA61" s="33">
        <v>309870</v>
      </c>
      <c r="AB61" s="33">
        <v>309870</v>
      </c>
      <c r="AC61" s="33">
        <v>309870</v>
      </c>
      <c r="AD61" s="33">
        <v>309870</v>
      </c>
      <c r="AE61" s="33">
        <v>309870</v>
      </c>
      <c r="AF61" s="33">
        <v>309870</v>
      </c>
      <c r="AG61" s="33">
        <v>309870</v>
      </c>
      <c r="AH61" s="33">
        <v>309870</v>
      </c>
      <c r="AI61" s="33">
        <v>309870</v>
      </c>
      <c r="AJ61" s="33">
        <v>309870</v>
      </c>
      <c r="AK61" s="33">
        <v>309870</v>
      </c>
      <c r="AL61" s="33">
        <v>309870</v>
      </c>
      <c r="AM61" s="33">
        <v>309870</v>
      </c>
      <c r="AN61" s="33">
        <v>309870</v>
      </c>
      <c r="AO61" s="33">
        <v>309870</v>
      </c>
      <c r="AP61" s="33">
        <v>309870</v>
      </c>
      <c r="AQ61" s="33">
        <v>309870</v>
      </c>
      <c r="AR61" s="33">
        <v>309870</v>
      </c>
      <c r="AS61" s="33">
        <v>309870</v>
      </c>
      <c r="AT61" s="33">
        <v>309870</v>
      </c>
      <c r="AU61" s="33">
        <v>309870</v>
      </c>
      <c r="AV61" s="33">
        <v>309870</v>
      </c>
      <c r="AW61" s="33">
        <v>309870</v>
      </c>
      <c r="AX61" s="33">
        <v>309870</v>
      </c>
      <c r="AY61" s="33">
        <v>309870</v>
      </c>
      <c r="AZ61" s="33">
        <v>309870</v>
      </c>
      <c r="BA61" s="33">
        <v>309870</v>
      </c>
      <c r="BB61" s="33">
        <v>309870</v>
      </c>
      <c r="BC61" s="33"/>
    </row>
    <row r="62" spans="1:55" ht="16.5" customHeight="1">
      <c r="A62" s="23"/>
      <c r="B62" s="1057" t="s">
        <v>144</v>
      </c>
      <c r="C62" s="1059" t="s">
        <v>142</v>
      </c>
      <c r="D62" s="1070" t="s">
        <v>134</v>
      </c>
      <c r="E62" s="10" t="s">
        <v>86</v>
      </c>
      <c r="F62" s="10">
        <v>414113</v>
      </c>
      <c r="G62" s="10" t="s">
        <v>135</v>
      </c>
      <c r="H62" s="45">
        <f>VLOOKUP(G62,'(참고)PJT목록'!A:D,4,0)</f>
        <v>45045</v>
      </c>
      <c r="I62" s="27">
        <f>VLOOKUP(G62,'(참고)PJT목록'!A:E,5,0)</f>
        <v>46871</v>
      </c>
      <c r="J62" s="32">
        <v>97660</v>
      </c>
      <c r="K62" s="33">
        <v>97660</v>
      </c>
      <c r="L62" s="33">
        <v>97660</v>
      </c>
      <c r="M62" s="33">
        <v>97660</v>
      </c>
      <c r="N62" s="33">
        <v>97660</v>
      </c>
      <c r="O62" s="33">
        <v>97660</v>
      </c>
      <c r="P62" s="33">
        <v>97660</v>
      </c>
      <c r="Q62" s="33">
        <v>97660</v>
      </c>
      <c r="R62" s="33">
        <v>97660</v>
      </c>
      <c r="S62" s="33">
        <v>97660</v>
      </c>
      <c r="T62" s="33">
        <v>97660</v>
      </c>
      <c r="U62" s="33">
        <v>97660</v>
      </c>
      <c r="V62" s="33">
        <v>97660</v>
      </c>
      <c r="W62" s="33">
        <v>97660</v>
      </c>
      <c r="X62" s="33">
        <v>97660</v>
      </c>
      <c r="Y62" s="33">
        <v>97660</v>
      </c>
      <c r="Z62" s="33">
        <v>97660</v>
      </c>
      <c r="AA62" s="33">
        <v>97660</v>
      </c>
      <c r="AB62" s="33">
        <v>97660</v>
      </c>
      <c r="AC62" s="33">
        <v>97660</v>
      </c>
      <c r="AD62" s="33">
        <v>97660</v>
      </c>
      <c r="AE62" s="33">
        <v>97660</v>
      </c>
      <c r="AF62" s="33">
        <v>97660</v>
      </c>
      <c r="AG62" s="33">
        <v>97660</v>
      </c>
      <c r="AH62" s="33">
        <v>97660</v>
      </c>
      <c r="AI62" s="33">
        <v>97660</v>
      </c>
      <c r="AJ62" s="33">
        <v>97660</v>
      </c>
      <c r="AK62" s="33">
        <v>97660</v>
      </c>
      <c r="AL62" s="33">
        <v>97660</v>
      </c>
      <c r="AM62" s="33">
        <v>97660</v>
      </c>
      <c r="AN62" s="33">
        <v>97660</v>
      </c>
      <c r="AO62" s="33">
        <v>97660</v>
      </c>
      <c r="AP62" s="33">
        <v>97660</v>
      </c>
      <c r="AQ62" s="33">
        <v>97660</v>
      </c>
      <c r="AR62" s="33">
        <v>97660</v>
      </c>
      <c r="AS62" s="33">
        <v>97660</v>
      </c>
      <c r="AT62" s="33">
        <v>97660</v>
      </c>
      <c r="AU62" s="33">
        <v>97660</v>
      </c>
      <c r="AV62" s="33">
        <v>97660</v>
      </c>
      <c r="AW62" s="33">
        <v>97660</v>
      </c>
      <c r="AX62" s="33">
        <v>97660</v>
      </c>
      <c r="AY62" s="33">
        <v>97660</v>
      </c>
      <c r="AZ62" s="33">
        <v>97660</v>
      </c>
      <c r="BA62" s="33">
        <v>97660</v>
      </c>
      <c r="BB62" s="33">
        <v>97660</v>
      </c>
      <c r="BC62" s="33"/>
    </row>
    <row r="63" spans="1:55" ht="16.5" customHeight="1">
      <c r="A63" s="23"/>
      <c r="B63" s="1051"/>
      <c r="C63" s="1051"/>
      <c r="D63" s="1051"/>
      <c r="E63" s="10" t="s">
        <v>91</v>
      </c>
      <c r="F63" s="10">
        <v>413141</v>
      </c>
      <c r="G63" s="10" t="s">
        <v>136</v>
      </c>
      <c r="H63" s="45">
        <f>VLOOKUP(G63,'(참고)PJT목록'!A:D,4,0)</f>
        <v>45010</v>
      </c>
      <c r="I63" s="27">
        <f>VLOOKUP(G63,'(참고)PJT목록'!A:E,5,0)</f>
        <v>46836</v>
      </c>
      <c r="J63" s="32">
        <v>284205</v>
      </c>
      <c r="K63" s="33">
        <v>284205</v>
      </c>
      <c r="L63" s="33">
        <v>284205</v>
      </c>
      <c r="M63" s="33">
        <v>284205</v>
      </c>
      <c r="N63" s="33">
        <v>284205</v>
      </c>
      <c r="O63" s="33">
        <v>284205</v>
      </c>
      <c r="P63" s="33">
        <v>284205</v>
      </c>
      <c r="Q63" s="33">
        <v>284205</v>
      </c>
      <c r="R63" s="33">
        <v>284205</v>
      </c>
      <c r="S63" s="33">
        <v>284205</v>
      </c>
      <c r="T63" s="33">
        <v>284205</v>
      </c>
      <c r="U63" s="33">
        <v>284205</v>
      </c>
      <c r="V63" s="33">
        <v>284205</v>
      </c>
      <c r="W63" s="33">
        <v>284205</v>
      </c>
      <c r="X63" s="33">
        <v>284205</v>
      </c>
      <c r="Y63" s="33">
        <v>284205</v>
      </c>
      <c r="Z63" s="33">
        <v>284205</v>
      </c>
      <c r="AA63" s="33">
        <v>284205</v>
      </c>
      <c r="AB63" s="33">
        <v>284205</v>
      </c>
      <c r="AC63" s="33">
        <v>284205</v>
      </c>
      <c r="AD63" s="33">
        <v>284205</v>
      </c>
      <c r="AE63" s="33">
        <v>284205</v>
      </c>
      <c r="AF63" s="33">
        <v>284205</v>
      </c>
      <c r="AG63" s="33">
        <v>284205</v>
      </c>
      <c r="AH63" s="33">
        <v>284205</v>
      </c>
      <c r="AI63" s="33">
        <v>284205</v>
      </c>
      <c r="AJ63" s="33">
        <v>284205</v>
      </c>
      <c r="AK63" s="33">
        <v>284205</v>
      </c>
      <c r="AL63" s="33">
        <v>284205</v>
      </c>
      <c r="AM63" s="33">
        <v>284205</v>
      </c>
      <c r="AN63" s="33">
        <v>284205</v>
      </c>
      <c r="AO63" s="33">
        <v>284205</v>
      </c>
      <c r="AP63" s="33">
        <v>284205</v>
      </c>
      <c r="AQ63" s="33">
        <v>284205</v>
      </c>
      <c r="AR63" s="33">
        <v>284205</v>
      </c>
      <c r="AS63" s="33">
        <v>284205</v>
      </c>
      <c r="AT63" s="33">
        <v>284205</v>
      </c>
      <c r="AU63" s="33">
        <v>284205</v>
      </c>
      <c r="AV63" s="33">
        <v>284205</v>
      </c>
      <c r="AW63" s="33">
        <v>284205</v>
      </c>
      <c r="AX63" s="33">
        <v>284205</v>
      </c>
      <c r="AY63" s="33">
        <v>284205</v>
      </c>
      <c r="AZ63" s="33">
        <v>284205</v>
      </c>
      <c r="BA63" s="33">
        <v>284205</v>
      </c>
      <c r="BB63" s="33">
        <v>284205</v>
      </c>
      <c r="BC63" s="33"/>
    </row>
    <row r="64" spans="1:55" ht="16.5" customHeight="1">
      <c r="A64" s="23"/>
      <c r="B64" s="1051"/>
      <c r="C64" s="1051"/>
      <c r="D64" s="1051"/>
      <c r="E64" s="10" t="s">
        <v>79</v>
      </c>
      <c r="F64" s="10">
        <v>413141</v>
      </c>
      <c r="G64" s="10" t="s">
        <v>137</v>
      </c>
      <c r="H64" s="45">
        <f>VLOOKUP(G64,'(참고)PJT목록'!A:D,4,0)</f>
        <v>45010</v>
      </c>
      <c r="I64" s="27">
        <f>VLOOKUP(G64,'(참고)PJT목록'!A:E,5,0)</f>
        <v>46836</v>
      </c>
      <c r="J64" s="32">
        <v>137366</v>
      </c>
      <c r="K64" s="33">
        <v>137366</v>
      </c>
      <c r="L64" s="33">
        <v>137366</v>
      </c>
      <c r="M64" s="33">
        <v>137366</v>
      </c>
      <c r="N64" s="33">
        <v>137366</v>
      </c>
      <c r="O64" s="33">
        <v>137366</v>
      </c>
      <c r="P64" s="33">
        <v>137366</v>
      </c>
      <c r="Q64" s="33">
        <v>137366</v>
      </c>
      <c r="R64" s="33">
        <v>137366</v>
      </c>
      <c r="S64" s="33">
        <v>137366</v>
      </c>
      <c r="T64" s="33">
        <v>137366</v>
      </c>
      <c r="U64" s="33">
        <v>137366</v>
      </c>
      <c r="V64" s="33">
        <v>137366</v>
      </c>
      <c r="W64" s="33">
        <v>137366</v>
      </c>
      <c r="X64" s="33">
        <v>137366</v>
      </c>
      <c r="Y64" s="33">
        <v>137366</v>
      </c>
      <c r="Z64" s="33">
        <v>137366</v>
      </c>
      <c r="AA64" s="33">
        <v>137366</v>
      </c>
      <c r="AB64" s="33">
        <v>137366</v>
      </c>
      <c r="AC64" s="33">
        <v>137366</v>
      </c>
      <c r="AD64" s="33">
        <v>137366</v>
      </c>
      <c r="AE64" s="33">
        <v>137366</v>
      </c>
      <c r="AF64" s="33">
        <v>137366</v>
      </c>
      <c r="AG64" s="33">
        <v>137366</v>
      </c>
      <c r="AH64" s="33">
        <v>137366</v>
      </c>
      <c r="AI64" s="33">
        <v>137366</v>
      </c>
      <c r="AJ64" s="33">
        <v>137366</v>
      </c>
      <c r="AK64" s="33">
        <v>137366</v>
      </c>
      <c r="AL64" s="33">
        <v>137366</v>
      </c>
      <c r="AM64" s="33">
        <v>137366</v>
      </c>
      <c r="AN64" s="33">
        <v>137366</v>
      </c>
      <c r="AO64" s="33">
        <v>137366</v>
      </c>
      <c r="AP64" s="33">
        <v>137366</v>
      </c>
      <c r="AQ64" s="33">
        <v>137366</v>
      </c>
      <c r="AR64" s="33">
        <v>137366</v>
      </c>
      <c r="AS64" s="33">
        <v>137366</v>
      </c>
      <c r="AT64" s="33">
        <v>137366</v>
      </c>
      <c r="AU64" s="33">
        <v>137366</v>
      </c>
      <c r="AV64" s="33">
        <v>137366</v>
      </c>
      <c r="AW64" s="33">
        <v>137366</v>
      </c>
      <c r="AX64" s="33">
        <v>137366</v>
      </c>
      <c r="AY64" s="33">
        <v>137366</v>
      </c>
      <c r="AZ64" s="33">
        <v>137366</v>
      </c>
      <c r="BA64" s="33">
        <v>137366</v>
      </c>
      <c r="BB64" s="33">
        <v>137366</v>
      </c>
      <c r="BC64" s="33"/>
    </row>
    <row r="65" spans="1:55" ht="16.5" customHeight="1">
      <c r="A65" s="23"/>
      <c r="B65" s="1052"/>
      <c r="C65" s="1052"/>
      <c r="D65" s="1052"/>
      <c r="E65" s="10" t="s">
        <v>138</v>
      </c>
      <c r="F65" s="10">
        <v>413141</v>
      </c>
      <c r="G65" s="10" t="s">
        <v>139</v>
      </c>
      <c r="H65" s="45">
        <f>VLOOKUP(G65,'(참고)PJT목록'!A:D,4,0)</f>
        <v>45010</v>
      </c>
      <c r="I65" s="27">
        <f>VLOOKUP(G65,'(참고)PJT목록'!A:E,5,0)</f>
        <v>46836</v>
      </c>
      <c r="J65" s="32">
        <v>52104</v>
      </c>
      <c r="K65" s="33">
        <v>52104</v>
      </c>
      <c r="L65" s="33">
        <v>52104</v>
      </c>
      <c r="M65" s="33">
        <v>52104</v>
      </c>
      <c r="N65" s="33">
        <v>52104</v>
      </c>
      <c r="O65" s="33">
        <v>52104</v>
      </c>
      <c r="P65" s="33">
        <v>52104</v>
      </c>
      <c r="Q65" s="33">
        <v>52104</v>
      </c>
      <c r="R65" s="33">
        <v>52104</v>
      </c>
      <c r="S65" s="33">
        <v>52104</v>
      </c>
      <c r="T65" s="33">
        <v>52104</v>
      </c>
      <c r="U65" s="33">
        <v>52104</v>
      </c>
      <c r="V65" s="33">
        <v>52104</v>
      </c>
      <c r="W65" s="33">
        <v>52104</v>
      </c>
      <c r="X65" s="33">
        <v>52104</v>
      </c>
      <c r="Y65" s="33">
        <v>52104</v>
      </c>
      <c r="Z65" s="33">
        <v>52104</v>
      </c>
      <c r="AA65" s="33">
        <v>52104</v>
      </c>
      <c r="AB65" s="33">
        <v>52104</v>
      </c>
      <c r="AC65" s="33">
        <v>52104</v>
      </c>
      <c r="AD65" s="33">
        <v>52104</v>
      </c>
      <c r="AE65" s="33">
        <v>52104</v>
      </c>
      <c r="AF65" s="33">
        <v>52104</v>
      </c>
      <c r="AG65" s="33">
        <v>52104</v>
      </c>
      <c r="AH65" s="33">
        <v>52104</v>
      </c>
      <c r="AI65" s="33">
        <v>52104</v>
      </c>
      <c r="AJ65" s="33">
        <v>52104</v>
      </c>
      <c r="AK65" s="33">
        <v>52104</v>
      </c>
      <c r="AL65" s="33">
        <v>52104</v>
      </c>
      <c r="AM65" s="33">
        <v>52104</v>
      </c>
      <c r="AN65" s="33">
        <v>52104</v>
      </c>
      <c r="AO65" s="33">
        <v>52104</v>
      </c>
      <c r="AP65" s="33">
        <v>52104</v>
      </c>
      <c r="AQ65" s="33">
        <v>52104</v>
      </c>
      <c r="AR65" s="33">
        <v>52104</v>
      </c>
      <c r="AS65" s="33">
        <v>52104</v>
      </c>
      <c r="AT65" s="33">
        <v>52104</v>
      </c>
      <c r="AU65" s="33">
        <v>52104</v>
      </c>
      <c r="AV65" s="33">
        <v>52104</v>
      </c>
      <c r="AW65" s="33">
        <v>52104</v>
      </c>
      <c r="AX65" s="33">
        <v>52104</v>
      </c>
      <c r="AY65" s="33">
        <v>52104</v>
      </c>
      <c r="AZ65" s="33">
        <v>52104</v>
      </c>
      <c r="BA65" s="33">
        <v>52104</v>
      </c>
      <c r="BB65" s="33">
        <v>52104</v>
      </c>
      <c r="BC65" s="33"/>
    </row>
    <row r="66" spans="1:55" ht="13">
      <c r="A66" s="23"/>
      <c r="B66" s="25" t="s">
        <v>70</v>
      </c>
      <c r="C66" s="17" t="s">
        <v>145</v>
      </c>
      <c r="D66" s="46" t="s">
        <v>71</v>
      </c>
      <c r="E66" s="47" t="s">
        <v>72</v>
      </c>
      <c r="F66" s="48">
        <v>411111</v>
      </c>
      <c r="G66" s="47" t="s">
        <v>74</v>
      </c>
      <c r="H66" s="17"/>
      <c r="I66" s="17"/>
      <c r="J66" s="49"/>
      <c r="K66" s="14"/>
      <c r="L66" s="14"/>
      <c r="M66" s="14"/>
      <c r="N66" s="14"/>
      <c r="O66" s="14"/>
      <c r="P66" s="14"/>
      <c r="Q66" s="14"/>
      <c r="R66" s="14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29"/>
      <c r="BB66" s="29"/>
      <c r="BC66" s="29"/>
    </row>
    <row r="67" spans="1:55" ht="13">
      <c r="A67" s="23"/>
      <c r="B67" s="25" t="s">
        <v>70</v>
      </c>
      <c r="C67" s="17" t="s">
        <v>75</v>
      </c>
      <c r="D67" s="46" t="s">
        <v>76</v>
      </c>
      <c r="E67" s="47" t="s">
        <v>72</v>
      </c>
      <c r="F67" s="48">
        <v>411111</v>
      </c>
      <c r="G67" s="47" t="s">
        <v>77</v>
      </c>
      <c r="H67" s="17"/>
      <c r="I67" s="17"/>
      <c r="J67" s="50">
        <v>18000000</v>
      </c>
      <c r="K67" s="14"/>
      <c r="L67" s="14"/>
      <c r="M67" s="14"/>
      <c r="N67" s="14"/>
      <c r="O67" s="14"/>
      <c r="P67" s="14"/>
      <c r="Q67" s="14"/>
      <c r="R67" s="14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29"/>
      <c r="BB67" s="29"/>
      <c r="BC67" s="29"/>
    </row>
    <row r="68" spans="1:55" ht="13">
      <c r="A68" s="23"/>
      <c r="B68" s="25" t="s">
        <v>70</v>
      </c>
      <c r="C68" s="17" t="s">
        <v>75</v>
      </c>
      <c r="D68" s="46" t="s">
        <v>78</v>
      </c>
      <c r="E68" s="47" t="s">
        <v>79</v>
      </c>
      <c r="F68" s="10">
        <v>413111</v>
      </c>
      <c r="G68" s="47" t="s">
        <v>81</v>
      </c>
      <c r="H68" s="17"/>
      <c r="I68" s="17"/>
      <c r="J68" s="50">
        <v>1590000</v>
      </c>
      <c r="K68" s="14"/>
      <c r="L68" s="14"/>
      <c r="M68" s="14"/>
      <c r="N68" s="14"/>
      <c r="O68" s="14"/>
      <c r="P68" s="14"/>
      <c r="Q68" s="14"/>
      <c r="R68" s="14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29"/>
      <c r="BB68" s="29"/>
      <c r="BC68" s="29"/>
    </row>
    <row r="69" spans="1:55" ht="13">
      <c r="A69" s="23"/>
      <c r="B69" s="25" t="s">
        <v>70</v>
      </c>
      <c r="C69" s="17" t="s">
        <v>82</v>
      </c>
      <c r="D69" s="46" t="s">
        <v>83</v>
      </c>
      <c r="E69" s="47" t="s">
        <v>72</v>
      </c>
      <c r="F69" s="10">
        <v>413111</v>
      </c>
      <c r="G69" s="47" t="s">
        <v>84</v>
      </c>
      <c r="H69" s="17"/>
      <c r="I69" s="17"/>
      <c r="J69" s="50">
        <v>9000000</v>
      </c>
      <c r="K69" s="14"/>
      <c r="L69" s="14"/>
      <c r="M69" s="14"/>
      <c r="N69" s="14"/>
      <c r="O69" s="14"/>
      <c r="P69" s="14"/>
      <c r="Q69" s="14"/>
      <c r="R69" s="14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29"/>
      <c r="BB69" s="29"/>
      <c r="BC69" s="29"/>
    </row>
    <row r="70" spans="1:55" ht="13">
      <c r="A70" s="23"/>
      <c r="B70" s="24" t="s">
        <v>146</v>
      </c>
      <c r="C70" s="17"/>
      <c r="D70" s="26" t="s">
        <v>147</v>
      </c>
      <c r="E70" s="24" t="s">
        <v>79</v>
      </c>
      <c r="F70" s="24" t="s">
        <v>80</v>
      </c>
      <c r="G70" s="51" t="s">
        <v>148</v>
      </c>
      <c r="H70" s="45">
        <v>45383</v>
      </c>
      <c r="I70" s="45">
        <v>45747</v>
      </c>
      <c r="J70" s="13">
        <v>2080000</v>
      </c>
      <c r="K70" s="14">
        <v>2080000</v>
      </c>
      <c r="L70" s="14">
        <v>2080000</v>
      </c>
      <c r="M70" s="14">
        <v>2080000</v>
      </c>
      <c r="N70" s="14">
        <v>2080000</v>
      </c>
      <c r="O70" s="14">
        <v>2080000</v>
      </c>
      <c r="P70" s="14">
        <v>2080000</v>
      </c>
      <c r="Q70" s="14">
        <v>2080000</v>
      </c>
      <c r="R70" s="14">
        <v>2080000</v>
      </c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29"/>
      <c r="BB70" s="29"/>
      <c r="BC70" s="29"/>
    </row>
    <row r="71" spans="1:55" ht="13">
      <c r="A71" s="23"/>
      <c r="B71" s="24" t="s">
        <v>146</v>
      </c>
      <c r="C71" s="17"/>
      <c r="D71" s="26" t="s">
        <v>149</v>
      </c>
      <c r="E71" s="24" t="s">
        <v>79</v>
      </c>
      <c r="F71" s="24" t="s">
        <v>80</v>
      </c>
      <c r="G71" s="24" t="s">
        <v>150</v>
      </c>
      <c r="H71" s="45">
        <v>45170</v>
      </c>
      <c r="I71" s="52">
        <v>45535</v>
      </c>
      <c r="J71" s="13">
        <v>6680000</v>
      </c>
      <c r="K71" s="14">
        <v>6680000</v>
      </c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29"/>
      <c r="BB71" s="29"/>
      <c r="BC71" s="29"/>
    </row>
    <row r="72" spans="1:55" ht="13">
      <c r="A72" s="23"/>
      <c r="B72" s="24" t="s">
        <v>151</v>
      </c>
      <c r="C72" s="17"/>
      <c r="D72" s="26" t="s">
        <v>152</v>
      </c>
      <c r="E72" s="24" t="s">
        <v>79</v>
      </c>
      <c r="F72" s="51" t="s">
        <v>153</v>
      </c>
      <c r="G72" s="24" t="s">
        <v>154</v>
      </c>
      <c r="H72" s="45">
        <v>45383</v>
      </c>
      <c r="I72" s="45">
        <v>47208</v>
      </c>
      <c r="J72" s="13">
        <v>173093</v>
      </c>
      <c r="K72" s="14">
        <v>173093</v>
      </c>
      <c r="L72" s="14">
        <v>173093</v>
      </c>
      <c r="M72" s="14">
        <v>173093</v>
      </c>
      <c r="N72" s="14">
        <v>173093</v>
      </c>
      <c r="O72" s="14">
        <v>173093</v>
      </c>
      <c r="P72" s="14">
        <v>173093</v>
      </c>
      <c r="Q72" s="14">
        <v>173093</v>
      </c>
      <c r="R72" s="14">
        <v>173093</v>
      </c>
      <c r="S72" s="14">
        <v>173093</v>
      </c>
      <c r="T72" s="14">
        <v>173093</v>
      </c>
      <c r="U72" s="14">
        <v>173093</v>
      </c>
      <c r="V72" s="14">
        <v>173093</v>
      </c>
      <c r="W72" s="14">
        <v>173093</v>
      </c>
      <c r="X72" s="14">
        <v>173093</v>
      </c>
      <c r="Y72" s="14">
        <v>173093</v>
      </c>
      <c r="Z72" s="14">
        <v>173093</v>
      </c>
      <c r="AA72" s="14">
        <v>173093</v>
      </c>
      <c r="AB72" s="14">
        <v>173093</v>
      </c>
      <c r="AC72" s="14">
        <v>173093</v>
      </c>
      <c r="AD72" s="14">
        <v>173093</v>
      </c>
      <c r="AE72" s="14">
        <v>173093</v>
      </c>
      <c r="AF72" s="14">
        <v>173093</v>
      </c>
      <c r="AG72" s="14">
        <v>173093</v>
      </c>
      <c r="AH72" s="14">
        <v>173093</v>
      </c>
      <c r="AI72" s="14">
        <v>173093</v>
      </c>
      <c r="AJ72" s="14">
        <v>173093</v>
      </c>
      <c r="AK72" s="14">
        <v>173093</v>
      </c>
      <c r="AL72" s="14">
        <v>173093</v>
      </c>
      <c r="AM72" s="14">
        <v>173093</v>
      </c>
      <c r="AN72" s="14">
        <v>173093</v>
      </c>
      <c r="AO72" s="14">
        <v>173093</v>
      </c>
      <c r="AP72" s="14">
        <v>173093</v>
      </c>
      <c r="AQ72" s="14">
        <v>173093</v>
      </c>
      <c r="AR72" s="14">
        <v>173093</v>
      </c>
      <c r="AS72" s="14">
        <v>173093</v>
      </c>
      <c r="AT72" s="14">
        <v>173093</v>
      </c>
      <c r="AU72" s="14">
        <v>173093</v>
      </c>
      <c r="AV72" s="14">
        <v>173093</v>
      </c>
      <c r="AW72" s="14">
        <v>173093</v>
      </c>
      <c r="AX72" s="14">
        <v>173093</v>
      </c>
      <c r="AY72" s="14">
        <v>173093</v>
      </c>
      <c r="AZ72" s="14">
        <v>173093</v>
      </c>
      <c r="BA72" s="14">
        <v>173093</v>
      </c>
      <c r="BB72" s="14">
        <v>173093</v>
      </c>
      <c r="BC72" s="14">
        <v>173093</v>
      </c>
    </row>
    <row r="73" spans="1:55" ht="13">
      <c r="A73" s="23"/>
      <c r="B73" s="1050" t="s">
        <v>146</v>
      </c>
      <c r="C73" s="1054"/>
      <c r="D73" s="1071" t="s">
        <v>155</v>
      </c>
      <c r="E73" s="1050" t="s">
        <v>79</v>
      </c>
      <c r="F73" s="1050" t="s">
        <v>153</v>
      </c>
      <c r="G73" s="24" t="s">
        <v>156</v>
      </c>
      <c r="H73" s="1056">
        <v>45200</v>
      </c>
      <c r="I73" s="1056">
        <v>45565</v>
      </c>
      <c r="J73" s="13">
        <v>1298283</v>
      </c>
      <c r="K73" s="14">
        <v>1298283</v>
      </c>
      <c r="L73" s="14">
        <v>1298283</v>
      </c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29"/>
      <c r="BB73" s="29"/>
      <c r="BC73" s="29"/>
    </row>
    <row r="74" spans="1:55" ht="13">
      <c r="A74" s="23"/>
      <c r="B74" s="1051"/>
      <c r="C74" s="1051"/>
      <c r="D74" s="1051"/>
      <c r="E74" s="1051"/>
      <c r="F74" s="1051"/>
      <c r="G74" s="24" t="s">
        <v>157</v>
      </c>
      <c r="H74" s="1051"/>
      <c r="I74" s="1051"/>
      <c r="J74" s="13">
        <v>577015</v>
      </c>
      <c r="K74" s="14">
        <v>577015</v>
      </c>
      <c r="L74" s="14">
        <v>577015</v>
      </c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29"/>
      <c r="BB74" s="29"/>
      <c r="BC74" s="29"/>
    </row>
    <row r="75" spans="1:55" ht="13">
      <c r="A75" s="23"/>
      <c r="B75" s="1052"/>
      <c r="C75" s="1052"/>
      <c r="D75" s="1052"/>
      <c r="E75" s="1052"/>
      <c r="F75" s="1052"/>
      <c r="G75" s="24" t="s">
        <v>158</v>
      </c>
      <c r="H75" s="1052"/>
      <c r="I75" s="1052"/>
      <c r="J75" s="13">
        <v>941601</v>
      </c>
      <c r="K75" s="14">
        <v>941601</v>
      </c>
      <c r="L75" s="14">
        <v>941601</v>
      </c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29"/>
      <c r="BB75" s="29"/>
      <c r="BC75" s="29"/>
    </row>
    <row r="76" spans="1:55" ht="13">
      <c r="A76" s="23"/>
      <c r="B76" s="24" t="s">
        <v>159</v>
      </c>
      <c r="C76" s="17"/>
      <c r="D76" s="26" t="s">
        <v>160</v>
      </c>
      <c r="E76" s="54" t="s">
        <v>79</v>
      </c>
      <c r="F76" s="54" t="s">
        <v>80</v>
      </c>
      <c r="G76" s="54" t="s">
        <v>161</v>
      </c>
      <c r="H76" s="55">
        <v>45383</v>
      </c>
      <c r="I76" s="55">
        <v>45657</v>
      </c>
      <c r="J76" s="13">
        <v>865000</v>
      </c>
      <c r="K76" s="14">
        <v>865000</v>
      </c>
      <c r="L76" s="14">
        <v>865000</v>
      </c>
      <c r="M76" s="14">
        <v>865000</v>
      </c>
      <c r="N76" s="14">
        <v>865000</v>
      </c>
      <c r="O76" s="14">
        <v>865000</v>
      </c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29"/>
      <c r="BB76" s="29"/>
      <c r="BC76" s="29"/>
    </row>
    <row r="77" spans="1:55" ht="13">
      <c r="A77" s="23"/>
      <c r="B77" s="24" t="s">
        <v>162</v>
      </c>
      <c r="C77" s="17"/>
      <c r="D77" s="26" t="s">
        <v>163</v>
      </c>
      <c r="E77" s="1053" t="s">
        <v>79</v>
      </c>
      <c r="F77" s="1053" t="s">
        <v>164</v>
      </c>
      <c r="G77" s="1053" t="s">
        <v>165</v>
      </c>
      <c r="H77" s="55">
        <f>VLOOKUP(G77,'(참고)PJT목록'!A:D,4,0)</f>
        <v>45139</v>
      </c>
      <c r="I77" s="56">
        <f>VLOOKUP(G77,'(참고)PJT목록'!A:E,5,0)</f>
        <v>46234</v>
      </c>
      <c r="J77" s="13">
        <v>5022290</v>
      </c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29"/>
      <c r="BB77" s="29"/>
      <c r="BC77" s="29"/>
    </row>
    <row r="78" spans="1:55" ht="13">
      <c r="A78" s="23"/>
      <c r="B78" s="24" t="s">
        <v>162</v>
      </c>
      <c r="C78" s="17"/>
      <c r="D78" s="26" t="s">
        <v>166</v>
      </c>
      <c r="E78" s="1052"/>
      <c r="F78" s="1052"/>
      <c r="G78" s="1052"/>
      <c r="H78" s="55">
        <v>43466</v>
      </c>
      <c r="I78" s="55">
        <v>45657</v>
      </c>
      <c r="J78" s="13">
        <v>19262970</v>
      </c>
      <c r="K78" s="14">
        <v>19262970</v>
      </c>
      <c r="L78" s="14">
        <v>19262970</v>
      </c>
      <c r="M78" s="14">
        <v>19262970</v>
      </c>
      <c r="N78" s="14">
        <v>19262970</v>
      </c>
      <c r="O78" s="14">
        <v>19262970</v>
      </c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29"/>
      <c r="BB78" s="29"/>
      <c r="BC78" s="29"/>
    </row>
    <row r="79" spans="1:55" ht="13">
      <c r="A79" s="23"/>
      <c r="B79" s="24" t="s">
        <v>45</v>
      </c>
      <c r="C79" s="17"/>
      <c r="D79" s="26" t="s">
        <v>167</v>
      </c>
      <c r="E79" s="54" t="s">
        <v>79</v>
      </c>
      <c r="F79" s="54" t="s">
        <v>168</v>
      </c>
      <c r="G79" s="54" t="s">
        <v>169</v>
      </c>
      <c r="H79" s="55">
        <v>43374</v>
      </c>
      <c r="I79" s="55">
        <v>45565</v>
      </c>
      <c r="J79" s="13">
        <v>9388000</v>
      </c>
      <c r="K79" s="14">
        <v>9388000</v>
      </c>
      <c r="L79" s="14">
        <v>9388000</v>
      </c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29"/>
      <c r="BB79" s="29"/>
      <c r="BC79" s="29"/>
    </row>
    <row r="80" spans="1:55" ht="13">
      <c r="A80" s="23"/>
      <c r="B80" s="1050" t="s">
        <v>170</v>
      </c>
      <c r="C80" s="1054"/>
      <c r="D80" s="1055" t="s">
        <v>171</v>
      </c>
      <c r="E80" s="54" t="s">
        <v>79</v>
      </c>
      <c r="F80" s="54" t="s">
        <v>153</v>
      </c>
      <c r="G80" s="54" t="s">
        <v>172</v>
      </c>
      <c r="H80" s="55">
        <f>VLOOKUP(G80,'(참고)PJT목록'!A:D,4,0)</f>
        <v>45292</v>
      </c>
      <c r="I80" s="56">
        <f>VLOOKUP(G80,'(참고)PJT목록'!A:E,5,0)</f>
        <v>45657</v>
      </c>
      <c r="J80" s="13">
        <v>21689757</v>
      </c>
      <c r="K80" s="14">
        <v>21689757</v>
      </c>
      <c r="L80" s="14">
        <v>21689757</v>
      </c>
      <c r="M80" s="14">
        <v>21689757</v>
      </c>
      <c r="N80" s="14">
        <v>21689757</v>
      </c>
      <c r="O80" s="14">
        <v>21689757</v>
      </c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29"/>
      <c r="BB80" s="29"/>
      <c r="BC80" s="29"/>
    </row>
    <row r="81" spans="1:55" ht="13">
      <c r="A81" s="23"/>
      <c r="B81" s="1051"/>
      <c r="C81" s="1051"/>
      <c r="D81" s="1051"/>
      <c r="E81" s="54" t="s">
        <v>138</v>
      </c>
      <c r="F81" s="54" t="s">
        <v>173</v>
      </c>
      <c r="G81" s="54" t="s">
        <v>174</v>
      </c>
      <c r="H81" s="55">
        <f>VLOOKUP(G81,'(참고)PJT목록'!A:D,4,0)</f>
        <v>45292</v>
      </c>
      <c r="I81" s="56">
        <f>VLOOKUP(G81,'(참고)PJT목록'!A:E,5,0)</f>
        <v>45657</v>
      </c>
      <c r="J81" s="13">
        <v>855000</v>
      </c>
      <c r="K81" s="14">
        <v>855000</v>
      </c>
      <c r="L81" s="14">
        <v>855000</v>
      </c>
      <c r="M81" s="14">
        <v>855000</v>
      </c>
      <c r="N81" s="14">
        <v>855000</v>
      </c>
      <c r="O81" s="14">
        <v>855000</v>
      </c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29"/>
      <c r="BB81" s="29"/>
      <c r="BC81" s="29"/>
    </row>
    <row r="82" spans="1:55" ht="13">
      <c r="A82" s="23"/>
      <c r="B82" s="1051"/>
      <c r="C82" s="1051"/>
      <c r="D82" s="1051"/>
      <c r="E82" s="54" t="s">
        <v>138</v>
      </c>
      <c r="F82" s="54" t="s">
        <v>173</v>
      </c>
      <c r="G82" s="54" t="s">
        <v>175</v>
      </c>
      <c r="H82" s="55">
        <f>VLOOKUP(G82,'(참고)PJT목록'!A:D,4,0)</f>
        <v>44927</v>
      </c>
      <c r="I82" s="56">
        <f>VLOOKUP(G82,'(참고)PJT목록'!A:E,5,0)</f>
        <v>46022</v>
      </c>
      <c r="J82" s="13">
        <v>1960000</v>
      </c>
      <c r="K82" s="14">
        <v>1960000</v>
      </c>
      <c r="L82" s="14">
        <v>1960000</v>
      </c>
      <c r="M82" s="14">
        <v>1960000</v>
      </c>
      <c r="N82" s="14">
        <v>1960000</v>
      </c>
      <c r="O82" s="14">
        <v>1960000</v>
      </c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29"/>
      <c r="BB82" s="29"/>
      <c r="BC82" s="29"/>
    </row>
    <row r="83" spans="1:55" ht="13">
      <c r="A83" s="23"/>
      <c r="B83" s="1052"/>
      <c r="C83" s="1052"/>
      <c r="D83" s="1052"/>
      <c r="E83" s="54" t="s">
        <v>138</v>
      </c>
      <c r="F83" s="54" t="s">
        <v>173</v>
      </c>
      <c r="G83" s="54" t="s">
        <v>174</v>
      </c>
      <c r="H83" s="55">
        <f>VLOOKUP(G83,'(참고)PJT목록'!A:D,4,0)</f>
        <v>45292</v>
      </c>
      <c r="I83" s="56">
        <f>VLOOKUP(G83,'(참고)PJT목록'!A:E,5,0)</f>
        <v>45657</v>
      </c>
      <c r="J83" s="13">
        <v>25507973</v>
      </c>
      <c r="K83" s="14">
        <v>25507973</v>
      </c>
      <c r="L83" s="14">
        <v>25507973</v>
      </c>
      <c r="M83" s="14">
        <v>25507973</v>
      </c>
      <c r="N83" s="14">
        <v>25507973</v>
      </c>
      <c r="O83" s="14">
        <v>25507973</v>
      </c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29"/>
      <c r="BB83" s="29"/>
      <c r="BC83" s="29"/>
    </row>
    <row r="84" spans="1:55" ht="13">
      <c r="A84" s="23"/>
      <c r="B84" s="24" t="s">
        <v>64</v>
      </c>
      <c r="C84" s="17"/>
      <c r="D84" s="26" t="s">
        <v>176</v>
      </c>
      <c r="E84" s="54" t="s">
        <v>79</v>
      </c>
      <c r="F84" s="54" t="s">
        <v>177</v>
      </c>
      <c r="G84" s="54" t="s">
        <v>178</v>
      </c>
      <c r="H84" s="55">
        <v>42917</v>
      </c>
      <c r="I84" s="55">
        <v>45473</v>
      </c>
      <c r="J84" s="13">
        <v>26712689</v>
      </c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29"/>
      <c r="BB84" s="29"/>
      <c r="BC84" s="29"/>
    </row>
    <row r="85" spans="1:55" ht="13">
      <c r="A85" s="23"/>
      <c r="B85" s="24" t="s">
        <v>64</v>
      </c>
      <c r="C85" s="17"/>
      <c r="D85" s="26" t="s">
        <v>179</v>
      </c>
      <c r="E85" s="54" t="s">
        <v>79</v>
      </c>
      <c r="F85" s="54" t="s">
        <v>180</v>
      </c>
      <c r="G85" s="54" t="s">
        <v>181</v>
      </c>
      <c r="H85" s="55">
        <v>42917</v>
      </c>
      <c r="I85" s="55">
        <v>45473</v>
      </c>
      <c r="J85" s="13">
        <v>2541000</v>
      </c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29"/>
      <c r="BB85" s="29"/>
      <c r="BC85" s="29"/>
    </row>
    <row r="86" spans="1:55" ht="13">
      <c r="A86" s="2"/>
      <c r="B86" s="1050" t="s">
        <v>125</v>
      </c>
      <c r="C86" s="1054"/>
      <c r="D86" s="1055" t="s">
        <v>182</v>
      </c>
      <c r="E86" s="54" t="s">
        <v>79</v>
      </c>
      <c r="F86" s="54" t="s">
        <v>183</v>
      </c>
      <c r="G86" s="54" t="s">
        <v>184</v>
      </c>
      <c r="H86" s="55">
        <f>VLOOKUP(G86,'(참고)PJT목록'!A:D,4,0)</f>
        <v>45170</v>
      </c>
      <c r="I86" s="56">
        <f>VLOOKUP(G86,'(참고)PJT목록'!A:E,5,0)</f>
        <v>46630</v>
      </c>
      <c r="J86" s="13">
        <v>2086300</v>
      </c>
      <c r="K86" s="57">
        <v>2086300</v>
      </c>
      <c r="L86" s="57">
        <v>2086300</v>
      </c>
      <c r="M86" s="57">
        <v>2086300</v>
      </c>
      <c r="N86" s="57">
        <v>2086300</v>
      </c>
      <c r="O86" s="57">
        <v>2086300</v>
      </c>
      <c r="P86" s="57">
        <v>2086300</v>
      </c>
      <c r="Q86" s="57">
        <v>2086300</v>
      </c>
      <c r="R86" s="57">
        <v>2086300</v>
      </c>
      <c r="S86" s="57">
        <v>2086300</v>
      </c>
      <c r="T86" s="57">
        <v>2086300</v>
      </c>
      <c r="U86" s="57">
        <v>2086300</v>
      </c>
      <c r="V86" s="57">
        <v>2086300</v>
      </c>
      <c r="W86" s="57">
        <v>2086300</v>
      </c>
      <c r="X86" s="57">
        <v>2086300</v>
      </c>
      <c r="Y86" s="57">
        <v>2086300</v>
      </c>
      <c r="Z86" s="57">
        <v>2086300</v>
      </c>
      <c r="AA86" s="57">
        <v>2086300</v>
      </c>
      <c r="AB86" s="57">
        <v>2086300</v>
      </c>
      <c r="AC86" s="57">
        <v>2086300</v>
      </c>
      <c r="AD86" s="57">
        <v>2086300</v>
      </c>
      <c r="AE86" s="57">
        <v>2086300</v>
      </c>
      <c r="AF86" s="57">
        <v>2086300</v>
      </c>
      <c r="AG86" s="57">
        <v>2086300</v>
      </c>
      <c r="AH86" s="57">
        <v>2086300</v>
      </c>
      <c r="AI86" s="57">
        <v>2086300</v>
      </c>
      <c r="AJ86" s="57">
        <v>2086300</v>
      </c>
      <c r="AK86" s="57">
        <v>2086300</v>
      </c>
      <c r="AL86" s="57">
        <v>2086300</v>
      </c>
      <c r="AM86" s="57">
        <v>2086300</v>
      </c>
      <c r="AN86" s="57">
        <v>2086300</v>
      </c>
      <c r="AO86" s="57">
        <v>2086300</v>
      </c>
      <c r="AP86" s="57">
        <v>2086300</v>
      </c>
      <c r="AQ86" s="57">
        <v>2086300</v>
      </c>
      <c r="AR86" s="57">
        <v>2086300</v>
      </c>
      <c r="AS86" s="57">
        <v>2086300</v>
      </c>
      <c r="AT86" s="57">
        <v>2086300</v>
      </c>
      <c r="AU86" s="57">
        <v>2086300</v>
      </c>
      <c r="AV86" s="58"/>
      <c r="AW86" s="58"/>
      <c r="AX86" s="58"/>
      <c r="AY86" s="58"/>
      <c r="AZ86" s="58"/>
      <c r="BA86" s="29"/>
      <c r="BB86" s="29"/>
      <c r="BC86" s="29"/>
    </row>
    <row r="87" spans="1:55" ht="13">
      <c r="A87" s="2"/>
      <c r="B87" s="1052"/>
      <c r="C87" s="1052"/>
      <c r="D87" s="1052"/>
      <c r="E87" s="54" t="s">
        <v>79</v>
      </c>
      <c r="F87" s="54" t="s">
        <v>185</v>
      </c>
      <c r="G87" s="54" t="s">
        <v>186</v>
      </c>
      <c r="H87" s="55">
        <f>VLOOKUP(G87,'(참고)PJT목록'!A:D,4,0)</f>
        <v>45505</v>
      </c>
      <c r="I87" s="40">
        <f>VLOOKUP(G87,'(참고)PJT목록'!A:E,5,0)</f>
        <v>45869</v>
      </c>
      <c r="J87" s="13">
        <v>687000</v>
      </c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29"/>
      <c r="BB87" s="29"/>
      <c r="BC87" s="29"/>
    </row>
    <row r="88" spans="1:55" ht="13">
      <c r="A88" s="2"/>
      <c r="B88" s="24" t="s">
        <v>187</v>
      </c>
      <c r="C88" s="17"/>
      <c r="D88" s="26" t="s">
        <v>188</v>
      </c>
      <c r="E88" s="54" t="s">
        <v>79</v>
      </c>
      <c r="F88" s="54" t="s">
        <v>153</v>
      </c>
      <c r="G88" s="54" t="s">
        <v>189</v>
      </c>
      <c r="H88" s="55">
        <v>44166</v>
      </c>
      <c r="I88" s="55">
        <v>45991</v>
      </c>
      <c r="J88" s="59">
        <v>60249128</v>
      </c>
      <c r="K88" s="60">
        <v>60249128</v>
      </c>
      <c r="L88" s="60">
        <v>60249128</v>
      </c>
      <c r="M88" s="60">
        <v>60249128</v>
      </c>
      <c r="N88" s="60">
        <v>60249128</v>
      </c>
      <c r="O88" s="60">
        <v>60249128</v>
      </c>
      <c r="P88" s="60">
        <v>60249128</v>
      </c>
      <c r="Q88" s="60">
        <v>60249128</v>
      </c>
      <c r="R88" s="60">
        <v>60249128</v>
      </c>
      <c r="S88" s="60">
        <v>60249128</v>
      </c>
      <c r="T88" s="60">
        <v>60249128</v>
      </c>
      <c r="U88" s="60">
        <v>60249128</v>
      </c>
      <c r="V88" s="60">
        <v>60249128</v>
      </c>
      <c r="W88" s="60">
        <v>60249128</v>
      </c>
      <c r="X88" s="60">
        <v>60249128</v>
      </c>
      <c r="Y88" s="60">
        <v>60249128</v>
      </c>
      <c r="Z88" s="60">
        <v>60249128</v>
      </c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29"/>
      <c r="BB88" s="29"/>
      <c r="BC88" s="29"/>
    </row>
    <row r="89" spans="1:55" ht="13">
      <c r="A89" s="2"/>
      <c r="B89" s="24" t="s">
        <v>187</v>
      </c>
      <c r="C89" s="17"/>
      <c r="D89" s="26" t="s">
        <v>190</v>
      </c>
      <c r="E89" s="54" t="s">
        <v>79</v>
      </c>
      <c r="F89" s="54" t="s">
        <v>153</v>
      </c>
      <c r="G89" s="54" t="s">
        <v>191</v>
      </c>
      <c r="H89" s="55">
        <v>44287</v>
      </c>
      <c r="I89" s="55">
        <v>46112</v>
      </c>
      <c r="J89" s="13">
        <v>2090000</v>
      </c>
      <c r="K89" s="14">
        <v>2090000</v>
      </c>
      <c r="L89" s="14">
        <v>2090000</v>
      </c>
      <c r="M89" s="14">
        <v>2090000</v>
      </c>
      <c r="N89" s="14">
        <v>2090000</v>
      </c>
      <c r="O89" s="14">
        <v>2090000</v>
      </c>
      <c r="P89" s="14">
        <v>2090000</v>
      </c>
      <c r="Q89" s="14">
        <v>2090000</v>
      </c>
      <c r="R89" s="14">
        <v>2090000</v>
      </c>
      <c r="S89" s="14">
        <v>2090000</v>
      </c>
      <c r="T89" s="14">
        <v>2090000</v>
      </c>
      <c r="U89" s="14">
        <v>2090000</v>
      </c>
      <c r="V89" s="14">
        <v>2090000</v>
      </c>
      <c r="W89" s="14">
        <v>2090000</v>
      </c>
      <c r="X89" s="14">
        <v>2090000</v>
      </c>
      <c r="Y89" s="14">
        <v>2090000</v>
      </c>
      <c r="Z89" s="14">
        <v>2090000</v>
      </c>
      <c r="AA89" s="14">
        <v>2090000</v>
      </c>
      <c r="AB89" s="14">
        <v>2090000</v>
      </c>
      <c r="AC89" s="14">
        <v>2090000</v>
      </c>
      <c r="AD89" s="14">
        <v>2090000</v>
      </c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29"/>
      <c r="BB89" s="29"/>
      <c r="BC89" s="29"/>
    </row>
    <row r="90" spans="1:55" ht="13">
      <c r="A90" s="2"/>
      <c r="B90" s="24" t="s">
        <v>192</v>
      </c>
      <c r="C90" s="17"/>
      <c r="D90" s="26" t="s">
        <v>193</v>
      </c>
      <c r="E90" s="54" t="s">
        <v>79</v>
      </c>
      <c r="F90" s="54" t="s">
        <v>180</v>
      </c>
      <c r="G90" s="54" t="s">
        <v>194</v>
      </c>
      <c r="H90" s="55">
        <v>45145</v>
      </c>
      <c r="I90" s="55">
        <v>46240</v>
      </c>
      <c r="J90" s="13">
        <v>2415000</v>
      </c>
      <c r="K90" s="14">
        <v>2415000</v>
      </c>
      <c r="L90" s="14">
        <v>2415000</v>
      </c>
      <c r="M90" s="14">
        <v>2415000</v>
      </c>
      <c r="N90" s="14">
        <v>2415000</v>
      </c>
      <c r="O90" s="14">
        <v>2415000</v>
      </c>
      <c r="P90" s="14">
        <v>2415000</v>
      </c>
      <c r="Q90" s="14">
        <v>2415000</v>
      </c>
      <c r="R90" s="14">
        <v>2415000</v>
      </c>
      <c r="S90" s="14">
        <v>2415000</v>
      </c>
      <c r="T90" s="14">
        <v>2415000</v>
      </c>
      <c r="U90" s="14">
        <v>2415000</v>
      </c>
      <c r="V90" s="14">
        <v>2415000</v>
      </c>
      <c r="W90" s="14">
        <v>2415000</v>
      </c>
      <c r="X90" s="14">
        <v>2415000</v>
      </c>
      <c r="Y90" s="14">
        <v>2415000</v>
      </c>
      <c r="Z90" s="14">
        <v>2415000</v>
      </c>
      <c r="AA90" s="14">
        <v>2415000</v>
      </c>
      <c r="AB90" s="14">
        <v>2415000</v>
      </c>
      <c r="AC90" s="14">
        <v>2415000</v>
      </c>
      <c r="AD90" s="14">
        <v>2415000</v>
      </c>
      <c r="AE90" s="14">
        <v>2415000</v>
      </c>
      <c r="AF90" s="14">
        <v>2415000</v>
      </c>
      <c r="AG90" s="14">
        <v>2415000</v>
      </c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29"/>
      <c r="BB90" s="29"/>
      <c r="BC90" s="29"/>
    </row>
    <row r="91" spans="1:55" ht="13">
      <c r="A91" s="2"/>
      <c r="B91" s="24" t="s">
        <v>195</v>
      </c>
      <c r="C91" s="17"/>
      <c r="D91" s="26" t="s">
        <v>196</v>
      </c>
      <c r="E91" s="54" t="s">
        <v>79</v>
      </c>
      <c r="F91" s="54" t="s">
        <v>197</v>
      </c>
      <c r="G91" s="54" t="s">
        <v>198</v>
      </c>
      <c r="H91" s="55">
        <v>44621</v>
      </c>
      <c r="I91" s="55">
        <v>45716</v>
      </c>
      <c r="J91" s="13">
        <v>164000</v>
      </c>
      <c r="K91" s="14">
        <v>164000</v>
      </c>
      <c r="L91" s="14">
        <v>164000</v>
      </c>
      <c r="M91" s="14">
        <v>164000</v>
      </c>
      <c r="N91" s="14">
        <v>164000</v>
      </c>
      <c r="O91" s="14">
        <v>164000</v>
      </c>
      <c r="P91" s="14">
        <v>164000</v>
      </c>
      <c r="Q91" s="14">
        <v>164000</v>
      </c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29"/>
      <c r="BB91" s="29"/>
      <c r="BC91" s="29"/>
    </row>
    <row r="92" spans="1:55" ht="13">
      <c r="A92" s="2"/>
      <c r="B92" s="1050" t="s">
        <v>70</v>
      </c>
      <c r="C92" s="1054"/>
      <c r="D92" s="1055" t="s">
        <v>199</v>
      </c>
      <c r="E92" s="54" t="s">
        <v>79</v>
      </c>
      <c r="F92" s="54" t="s">
        <v>197</v>
      </c>
      <c r="G92" s="54" t="s">
        <v>200</v>
      </c>
      <c r="H92" s="1069">
        <v>45292</v>
      </c>
      <c r="I92" s="1069">
        <v>45657</v>
      </c>
      <c r="J92" s="13">
        <v>13969728</v>
      </c>
      <c r="K92" s="14">
        <v>13969728</v>
      </c>
      <c r="L92" s="14">
        <v>13969728</v>
      </c>
      <c r="M92" s="14">
        <v>13969728</v>
      </c>
      <c r="N92" s="14">
        <v>13969728</v>
      </c>
      <c r="O92" s="14">
        <v>13969728</v>
      </c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29"/>
      <c r="BB92" s="29"/>
      <c r="BC92" s="29"/>
    </row>
    <row r="93" spans="1:55" ht="14">
      <c r="A93" s="2"/>
      <c r="B93" s="1052"/>
      <c r="C93" s="1052"/>
      <c r="D93" s="1052"/>
      <c r="E93" s="61" t="s">
        <v>91</v>
      </c>
      <c r="F93" s="54" t="s">
        <v>201</v>
      </c>
      <c r="G93" s="54" t="s">
        <v>202</v>
      </c>
      <c r="H93" s="1052"/>
      <c r="I93" s="1052"/>
      <c r="J93" s="13">
        <v>2683060</v>
      </c>
      <c r="K93" s="14">
        <v>2683060</v>
      </c>
      <c r="L93" s="14">
        <v>2683060</v>
      </c>
      <c r="M93" s="14">
        <v>2683060</v>
      </c>
      <c r="N93" s="14">
        <v>2683060</v>
      </c>
      <c r="O93" s="14">
        <v>2683060</v>
      </c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29"/>
      <c r="BB93" s="29"/>
      <c r="BC93" s="29"/>
    </row>
    <row r="94" spans="1:55" ht="13">
      <c r="A94" s="2"/>
      <c r="B94" s="24" t="s">
        <v>203</v>
      </c>
      <c r="C94" s="17"/>
      <c r="D94" s="26" t="s">
        <v>204</v>
      </c>
      <c r="E94" s="24" t="s">
        <v>79</v>
      </c>
      <c r="F94" s="24" t="s">
        <v>205</v>
      </c>
      <c r="G94" s="24" t="s">
        <v>206</v>
      </c>
      <c r="H94" s="45">
        <v>44835</v>
      </c>
      <c r="I94" s="45">
        <v>46660</v>
      </c>
      <c r="J94" s="13">
        <v>591600</v>
      </c>
      <c r="K94" s="14">
        <v>591600</v>
      </c>
      <c r="L94" s="14">
        <v>591600</v>
      </c>
      <c r="M94" s="14">
        <v>591600</v>
      </c>
      <c r="N94" s="14">
        <v>591600</v>
      </c>
      <c r="O94" s="14">
        <v>591600</v>
      </c>
      <c r="P94" s="14">
        <v>591600</v>
      </c>
      <c r="Q94" s="14">
        <v>591600</v>
      </c>
      <c r="R94" s="14">
        <v>591600</v>
      </c>
      <c r="S94" s="14">
        <v>591600</v>
      </c>
      <c r="T94" s="14">
        <v>591600</v>
      </c>
      <c r="U94" s="14">
        <v>591600</v>
      </c>
      <c r="V94" s="14">
        <v>591600</v>
      </c>
      <c r="W94" s="14">
        <v>591600</v>
      </c>
      <c r="X94" s="14">
        <v>591600</v>
      </c>
      <c r="Y94" s="14">
        <v>591600</v>
      </c>
      <c r="Z94" s="14">
        <v>591600</v>
      </c>
      <c r="AA94" s="14">
        <v>591600</v>
      </c>
      <c r="AB94" s="14">
        <v>591600</v>
      </c>
      <c r="AC94" s="14">
        <v>591600</v>
      </c>
      <c r="AD94" s="14">
        <v>591600</v>
      </c>
      <c r="AE94" s="14">
        <v>591600</v>
      </c>
      <c r="AF94" s="14">
        <v>591600</v>
      </c>
      <c r="AG94" s="14">
        <v>591600</v>
      </c>
      <c r="AH94" s="14">
        <v>591600</v>
      </c>
      <c r="AI94" s="14">
        <v>591600</v>
      </c>
      <c r="AJ94" s="14">
        <v>591600</v>
      </c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29"/>
      <c r="BB94" s="29"/>
      <c r="BC94" s="29"/>
    </row>
    <row r="95" spans="1:55" ht="13">
      <c r="A95" s="2"/>
      <c r="B95" s="24" t="s">
        <v>144</v>
      </c>
      <c r="C95" s="17"/>
      <c r="D95" s="26" t="s">
        <v>207</v>
      </c>
      <c r="E95" s="24" t="s">
        <v>79</v>
      </c>
      <c r="F95" s="24" t="s">
        <v>208</v>
      </c>
      <c r="G95" s="24" t="s">
        <v>209</v>
      </c>
      <c r="H95" s="25" t="s">
        <v>210</v>
      </c>
      <c r="I95" s="25" t="s">
        <v>211</v>
      </c>
      <c r="J95" s="13">
        <v>469800</v>
      </c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29"/>
      <c r="BB95" s="29"/>
      <c r="BC95" s="29"/>
    </row>
    <row r="96" spans="1:55" ht="13">
      <c r="A96" s="2"/>
      <c r="B96" s="24" t="s">
        <v>70</v>
      </c>
      <c r="C96" s="17"/>
      <c r="D96" s="26" t="s">
        <v>212</v>
      </c>
      <c r="E96" s="54" t="s">
        <v>79</v>
      </c>
      <c r="F96" s="54" t="s">
        <v>213</v>
      </c>
      <c r="G96" s="54" t="s">
        <v>214</v>
      </c>
      <c r="H96" s="55">
        <f>VLOOKUP(G96,'(참고)PJT목록'!A:D,4,0)</f>
        <v>39814</v>
      </c>
      <c r="I96" s="56">
        <f>VLOOKUP(G96,'(참고)PJT목록'!A:E,5,0)</f>
        <v>45657</v>
      </c>
      <c r="J96" s="62" t="s">
        <v>215</v>
      </c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29"/>
      <c r="BB96" s="29"/>
      <c r="BC96" s="29"/>
    </row>
    <row r="97" spans="1:55" ht="13">
      <c r="A97" s="2"/>
      <c r="B97" s="24" t="s">
        <v>45</v>
      </c>
      <c r="C97" s="17"/>
      <c r="D97" s="26" t="s">
        <v>216</v>
      </c>
      <c r="E97" s="63"/>
      <c r="F97" s="64"/>
      <c r="G97" s="54"/>
      <c r="H97" s="65"/>
      <c r="I97" s="65"/>
      <c r="J97" s="13">
        <v>69431340</v>
      </c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29"/>
      <c r="BB97" s="29"/>
      <c r="BC97" s="29"/>
    </row>
    <row r="98" spans="1:55" ht="13">
      <c r="A98" s="2"/>
      <c r="B98" s="24" t="s">
        <v>45</v>
      </c>
      <c r="C98" s="17"/>
      <c r="D98" s="26" t="s">
        <v>217</v>
      </c>
      <c r="E98" s="63"/>
      <c r="F98" s="64"/>
      <c r="G98" s="54"/>
      <c r="H98" s="65"/>
      <c r="I98" s="65"/>
      <c r="J98" s="13">
        <v>137406000</v>
      </c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29"/>
      <c r="BB98" s="29"/>
      <c r="BC98" s="29"/>
    </row>
    <row r="99" spans="1:55" ht="13">
      <c r="A99" s="2"/>
      <c r="B99" s="24" t="s">
        <v>45</v>
      </c>
      <c r="C99" s="17"/>
      <c r="D99" s="26" t="s">
        <v>218</v>
      </c>
      <c r="E99" s="63"/>
      <c r="F99" s="64"/>
      <c r="G99" s="54"/>
      <c r="H99" s="65"/>
      <c r="I99" s="65"/>
      <c r="J99" s="13">
        <v>41113550</v>
      </c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29"/>
      <c r="BB99" s="29"/>
      <c r="BC99" s="29"/>
    </row>
    <row r="100" spans="1:55" ht="13">
      <c r="A100" s="2"/>
      <c r="B100" s="24" t="s">
        <v>132</v>
      </c>
      <c r="C100" s="17" t="s">
        <v>133</v>
      </c>
      <c r="D100" s="26" t="s">
        <v>219</v>
      </c>
      <c r="E100" s="54" t="s">
        <v>79</v>
      </c>
      <c r="F100" s="54" t="s">
        <v>220</v>
      </c>
      <c r="G100" s="54" t="s">
        <v>221</v>
      </c>
      <c r="H100" s="55">
        <v>45017</v>
      </c>
      <c r="I100" s="55">
        <v>45747</v>
      </c>
      <c r="J100" s="13">
        <v>20181818</v>
      </c>
      <c r="K100" s="14">
        <v>20181818</v>
      </c>
      <c r="L100" s="14">
        <v>20181818</v>
      </c>
      <c r="M100" s="14">
        <v>20181818</v>
      </c>
      <c r="N100" s="14">
        <v>20181818</v>
      </c>
      <c r="O100" s="14">
        <v>20181818</v>
      </c>
      <c r="P100" s="14">
        <v>20181818</v>
      </c>
      <c r="Q100" s="14">
        <v>20181818</v>
      </c>
      <c r="R100" s="14">
        <v>20181818</v>
      </c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29"/>
      <c r="BB100" s="29"/>
      <c r="BC100" s="29"/>
    </row>
    <row r="101" spans="1:55" ht="13">
      <c r="A101" s="2"/>
      <c r="B101" s="24" t="s">
        <v>132</v>
      </c>
      <c r="C101" s="17" t="s">
        <v>133</v>
      </c>
      <c r="D101" s="26" t="s">
        <v>222</v>
      </c>
      <c r="E101" s="54" t="s">
        <v>79</v>
      </c>
      <c r="F101" s="54" t="s">
        <v>223</v>
      </c>
      <c r="G101" s="54" t="s">
        <v>224</v>
      </c>
      <c r="H101" s="55">
        <v>45505</v>
      </c>
      <c r="I101" s="55">
        <v>46387</v>
      </c>
      <c r="J101" s="13">
        <v>394550</v>
      </c>
      <c r="K101" s="14">
        <v>394550</v>
      </c>
      <c r="L101" s="14">
        <v>394550</v>
      </c>
      <c r="M101" s="14">
        <v>394550</v>
      </c>
      <c r="N101" s="14">
        <v>394550</v>
      </c>
      <c r="O101" s="14">
        <v>394550</v>
      </c>
      <c r="P101" s="14">
        <v>394550</v>
      </c>
      <c r="Q101" s="14">
        <v>394550</v>
      </c>
      <c r="R101" s="14">
        <v>394550</v>
      </c>
      <c r="S101" s="14">
        <v>394550</v>
      </c>
      <c r="T101" s="14">
        <v>394550</v>
      </c>
      <c r="U101" s="14">
        <v>394550</v>
      </c>
      <c r="V101" s="14">
        <v>394550</v>
      </c>
      <c r="W101" s="14">
        <v>394550</v>
      </c>
      <c r="X101" s="14">
        <v>394550</v>
      </c>
      <c r="Y101" s="14">
        <v>394550</v>
      </c>
      <c r="Z101" s="14">
        <v>394550</v>
      </c>
      <c r="AA101" s="14">
        <v>394550</v>
      </c>
      <c r="AB101" s="14">
        <v>394550</v>
      </c>
      <c r="AC101" s="14">
        <v>394550</v>
      </c>
      <c r="AD101" s="14">
        <v>394550</v>
      </c>
      <c r="AE101" s="14">
        <v>394550</v>
      </c>
      <c r="AF101" s="14">
        <v>394550</v>
      </c>
      <c r="AG101" s="14">
        <v>394550</v>
      </c>
      <c r="AH101" s="14">
        <v>394550</v>
      </c>
      <c r="AI101" s="14">
        <v>394550</v>
      </c>
      <c r="AJ101" s="14">
        <v>394550</v>
      </c>
      <c r="AK101" s="14">
        <v>394550</v>
      </c>
      <c r="AL101" s="14">
        <v>394550</v>
      </c>
      <c r="AM101" s="14">
        <v>394550</v>
      </c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29"/>
      <c r="BB101" s="29"/>
      <c r="BC101" s="29"/>
    </row>
    <row r="102" spans="1:55" ht="13">
      <c r="A102" s="2"/>
      <c r="B102" s="1050" t="s">
        <v>225</v>
      </c>
      <c r="C102" s="1054" t="s">
        <v>142</v>
      </c>
      <c r="D102" s="1055" t="s">
        <v>226</v>
      </c>
      <c r="E102" s="1053" t="s">
        <v>79</v>
      </c>
      <c r="F102" s="54" t="s">
        <v>153</v>
      </c>
      <c r="G102" s="54" t="s">
        <v>227</v>
      </c>
      <c r="H102" s="1068">
        <v>44562</v>
      </c>
      <c r="I102" s="1068">
        <v>45657</v>
      </c>
      <c r="J102" s="13">
        <v>7182740</v>
      </c>
      <c r="K102" s="14">
        <v>7182740</v>
      </c>
      <c r="L102" s="14">
        <v>7182740</v>
      </c>
      <c r="M102" s="14">
        <v>7182740</v>
      </c>
      <c r="N102" s="14">
        <v>7182740</v>
      </c>
      <c r="O102" s="14">
        <v>7182740</v>
      </c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29"/>
      <c r="BB102" s="29"/>
      <c r="BC102" s="29"/>
    </row>
    <row r="103" spans="1:55" ht="13">
      <c r="A103" s="2"/>
      <c r="B103" s="1051"/>
      <c r="C103" s="1051"/>
      <c r="D103" s="1051"/>
      <c r="E103" s="1051"/>
      <c r="F103" s="1053" t="s">
        <v>228</v>
      </c>
      <c r="G103" s="54" t="s">
        <v>229</v>
      </c>
      <c r="H103" s="1051"/>
      <c r="I103" s="1051"/>
      <c r="J103" s="13">
        <v>200000</v>
      </c>
      <c r="K103" s="14">
        <v>200000</v>
      </c>
      <c r="L103" s="14">
        <v>200000</v>
      </c>
      <c r="M103" s="14">
        <v>200000</v>
      </c>
      <c r="N103" s="14">
        <v>200000</v>
      </c>
      <c r="O103" s="14">
        <v>200000</v>
      </c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29"/>
      <c r="BB103" s="29"/>
      <c r="BC103" s="29"/>
    </row>
    <row r="104" spans="1:55" ht="13">
      <c r="A104" s="2"/>
      <c r="B104" s="1052"/>
      <c r="C104" s="1052"/>
      <c r="D104" s="1052"/>
      <c r="E104" s="1052"/>
      <c r="F104" s="1052"/>
      <c r="G104" s="54" t="s">
        <v>230</v>
      </c>
      <c r="H104" s="1052"/>
      <c r="I104" s="1052"/>
      <c r="J104" s="13">
        <v>7382740</v>
      </c>
      <c r="K104" s="14">
        <v>7382740</v>
      </c>
      <c r="L104" s="14">
        <v>7382740</v>
      </c>
      <c r="M104" s="14">
        <v>7382740</v>
      </c>
      <c r="N104" s="14">
        <v>7382740</v>
      </c>
      <c r="O104" s="14">
        <v>7382740</v>
      </c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29"/>
      <c r="BB104" s="29"/>
      <c r="BC104" s="29"/>
    </row>
    <row r="105" spans="1:55" ht="13">
      <c r="A105" s="2"/>
      <c r="B105" s="24" t="s">
        <v>225</v>
      </c>
      <c r="C105" s="17" t="s">
        <v>142</v>
      </c>
      <c r="D105" s="26" t="s">
        <v>231</v>
      </c>
      <c r="E105" s="54" t="s">
        <v>79</v>
      </c>
      <c r="F105" s="54" t="s">
        <v>232</v>
      </c>
      <c r="G105" s="54" t="s">
        <v>233</v>
      </c>
      <c r="H105" s="56">
        <v>43344</v>
      </c>
      <c r="I105" s="56">
        <v>45169</v>
      </c>
      <c r="J105" s="1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29"/>
      <c r="BB105" s="29"/>
      <c r="BC105" s="29"/>
    </row>
    <row r="106" spans="1:55" ht="13">
      <c r="A106" s="2"/>
      <c r="B106" s="1050" t="s">
        <v>234</v>
      </c>
      <c r="C106" s="1054" t="s">
        <v>235</v>
      </c>
      <c r="D106" s="1055" t="s">
        <v>236</v>
      </c>
      <c r="E106" s="54" t="s">
        <v>79</v>
      </c>
      <c r="F106" s="54" t="s">
        <v>183</v>
      </c>
      <c r="G106" s="54" t="s">
        <v>237</v>
      </c>
      <c r="H106" s="56">
        <f>VLOOKUP(G106,'(참고)PJT목록'!A:D,4,0)</f>
        <v>45474</v>
      </c>
      <c r="I106" s="40">
        <f>VLOOKUP(G106,'(참고)PJT목록'!A:E,5,0)</f>
        <v>46203</v>
      </c>
      <c r="J106" s="13">
        <v>6349600</v>
      </c>
      <c r="K106" s="14">
        <v>6349600</v>
      </c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29"/>
      <c r="BB106" s="29"/>
      <c r="BC106" s="29"/>
    </row>
    <row r="107" spans="1:55" ht="13">
      <c r="A107" s="2"/>
      <c r="B107" s="1052"/>
      <c r="C107" s="1052"/>
      <c r="D107" s="1052"/>
      <c r="E107" s="54" t="s">
        <v>79</v>
      </c>
      <c r="F107" s="54" t="s">
        <v>185</v>
      </c>
      <c r="G107" s="54" t="s">
        <v>238</v>
      </c>
      <c r="H107" s="56">
        <f>VLOOKUP(G107,'(참고)PJT목록'!A:D,4,0)</f>
        <v>45017</v>
      </c>
      <c r="I107" s="56">
        <f>VLOOKUP(G107,'(참고)PJT목록'!A:E,5,0)</f>
        <v>46112</v>
      </c>
      <c r="J107" s="13">
        <v>968200</v>
      </c>
      <c r="K107" s="14">
        <v>968200</v>
      </c>
      <c r="L107" s="14">
        <v>968200</v>
      </c>
      <c r="M107" s="14">
        <v>968200</v>
      </c>
      <c r="N107" s="14">
        <v>968200</v>
      </c>
      <c r="O107" s="14">
        <v>968200</v>
      </c>
      <c r="P107" s="14">
        <v>968200</v>
      </c>
      <c r="Q107" s="14">
        <v>968200</v>
      </c>
      <c r="R107" s="14">
        <v>968200</v>
      </c>
      <c r="S107" s="14">
        <v>968200</v>
      </c>
      <c r="T107" s="14">
        <v>968200</v>
      </c>
      <c r="U107" s="14">
        <v>968200</v>
      </c>
      <c r="V107" s="14">
        <v>968200</v>
      </c>
      <c r="W107" s="14">
        <v>968200</v>
      </c>
      <c r="X107" s="14">
        <v>968200</v>
      </c>
      <c r="Y107" s="14">
        <v>968200</v>
      </c>
      <c r="Z107" s="14">
        <v>968200</v>
      </c>
      <c r="AA107" s="14">
        <v>968200</v>
      </c>
      <c r="AB107" s="14">
        <v>968200</v>
      </c>
      <c r="AC107" s="14">
        <v>968200</v>
      </c>
      <c r="AD107" s="14">
        <v>968200</v>
      </c>
      <c r="AE107" s="14">
        <v>968200</v>
      </c>
      <c r="AF107" s="14">
        <v>968200</v>
      </c>
      <c r="AG107" s="14">
        <v>968200</v>
      </c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29"/>
      <c r="BB107" s="29"/>
      <c r="BC107" s="29"/>
    </row>
    <row r="108" spans="1:55" ht="13">
      <c r="A108" s="2"/>
      <c r="B108" s="1050" t="s">
        <v>70</v>
      </c>
      <c r="C108" s="1054" t="s">
        <v>142</v>
      </c>
      <c r="D108" s="1055" t="s">
        <v>239</v>
      </c>
      <c r="E108" s="54" t="s">
        <v>79</v>
      </c>
      <c r="F108" s="54" t="s">
        <v>197</v>
      </c>
      <c r="G108" s="54" t="s">
        <v>240</v>
      </c>
      <c r="H108" s="1068">
        <v>45292</v>
      </c>
      <c r="I108" s="1068">
        <v>45657</v>
      </c>
      <c r="J108" s="13">
        <v>144862279</v>
      </c>
      <c r="K108" s="14">
        <v>144862279</v>
      </c>
      <c r="L108" s="14">
        <v>144862279</v>
      </c>
      <c r="M108" s="14">
        <v>144862279</v>
      </c>
      <c r="N108" s="14">
        <v>144862279</v>
      </c>
      <c r="O108" s="14">
        <v>144862279</v>
      </c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29"/>
      <c r="BB108" s="29"/>
      <c r="BC108" s="29"/>
    </row>
    <row r="109" spans="1:55" ht="13">
      <c r="A109" s="2"/>
      <c r="B109" s="1051"/>
      <c r="C109" s="1051"/>
      <c r="D109" s="1051"/>
      <c r="E109" s="54" t="s">
        <v>79</v>
      </c>
      <c r="F109" s="54" t="s">
        <v>241</v>
      </c>
      <c r="G109" s="54" t="s">
        <v>242</v>
      </c>
      <c r="H109" s="1051"/>
      <c r="I109" s="1051"/>
      <c r="J109" s="13">
        <v>18978860</v>
      </c>
      <c r="K109" s="14">
        <v>18978860</v>
      </c>
      <c r="L109" s="14">
        <v>18978860</v>
      </c>
      <c r="M109" s="14">
        <v>18978860</v>
      </c>
      <c r="N109" s="14">
        <v>18978860</v>
      </c>
      <c r="O109" s="14">
        <v>18978860</v>
      </c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29"/>
      <c r="BB109" s="29"/>
      <c r="BC109" s="29"/>
    </row>
    <row r="110" spans="1:55" ht="13">
      <c r="A110" s="2"/>
      <c r="B110" s="1051"/>
      <c r="C110" s="1051"/>
      <c r="D110" s="1051"/>
      <c r="E110" s="54" t="s">
        <v>243</v>
      </c>
      <c r="F110" s="54" t="s">
        <v>43</v>
      </c>
      <c r="G110" s="54" t="s">
        <v>244</v>
      </c>
      <c r="H110" s="1051"/>
      <c r="I110" s="1051"/>
      <c r="J110" s="13">
        <v>11067004</v>
      </c>
      <c r="K110" s="14">
        <v>11067004</v>
      </c>
      <c r="L110" s="14">
        <v>11067004</v>
      </c>
      <c r="M110" s="14">
        <v>11067004</v>
      </c>
      <c r="N110" s="14">
        <v>11067004</v>
      </c>
      <c r="O110" s="14">
        <v>11067004</v>
      </c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29"/>
      <c r="BB110" s="29"/>
      <c r="BC110" s="29"/>
    </row>
    <row r="111" spans="1:55" ht="13">
      <c r="A111" s="2"/>
      <c r="B111" s="1052"/>
      <c r="C111" s="1051"/>
      <c r="D111" s="1052"/>
      <c r="E111" s="63"/>
      <c r="F111" s="63"/>
      <c r="G111" s="54"/>
      <c r="H111" s="1052"/>
      <c r="I111" s="1052"/>
      <c r="J111" s="13">
        <v>174908143</v>
      </c>
      <c r="K111" s="14">
        <v>174908143</v>
      </c>
      <c r="L111" s="14">
        <v>174908143</v>
      </c>
      <c r="M111" s="14">
        <v>174908143</v>
      </c>
      <c r="N111" s="14">
        <v>174908143</v>
      </c>
      <c r="O111" s="14">
        <v>174908143</v>
      </c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29"/>
      <c r="BB111" s="29"/>
      <c r="BC111" s="29"/>
    </row>
    <row r="112" spans="1:55" ht="13">
      <c r="A112" s="2"/>
      <c r="B112" s="24" t="s">
        <v>70</v>
      </c>
      <c r="C112" s="1051"/>
      <c r="D112" s="26" t="s">
        <v>245</v>
      </c>
      <c r="E112" s="54" t="s">
        <v>79</v>
      </c>
      <c r="F112" s="54" t="s">
        <v>241</v>
      </c>
      <c r="G112" s="54" t="s">
        <v>242</v>
      </c>
      <c r="H112" s="55">
        <v>45292</v>
      </c>
      <c r="I112" s="55">
        <v>45657</v>
      </c>
      <c r="J112" s="13">
        <v>3041028</v>
      </c>
      <c r="K112" s="14">
        <v>3041028</v>
      </c>
      <c r="L112" s="14">
        <v>3041028</v>
      </c>
      <c r="M112" s="14">
        <v>3041028</v>
      </c>
      <c r="N112" s="14">
        <v>3041028</v>
      </c>
      <c r="O112" s="14">
        <v>3041028</v>
      </c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29"/>
      <c r="BB112" s="29"/>
      <c r="BC112" s="29"/>
    </row>
    <row r="113" spans="1:55" ht="13">
      <c r="A113" s="2"/>
      <c r="B113" s="24" t="s">
        <v>70</v>
      </c>
      <c r="C113" s="1051"/>
      <c r="D113" s="26" t="s">
        <v>246</v>
      </c>
      <c r="E113" s="54" t="s">
        <v>79</v>
      </c>
      <c r="F113" s="54" t="s">
        <v>197</v>
      </c>
      <c r="G113" s="54" t="s">
        <v>240</v>
      </c>
      <c r="H113" s="55">
        <v>45292</v>
      </c>
      <c r="I113" s="55">
        <v>45657</v>
      </c>
      <c r="J113" s="13">
        <v>8360067</v>
      </c>
      <c r="K113" s="14">
        <v>8360067</v>
      </c>
      <c r="L113" s="14">
        <v>8360067</v>
      </c>
      <c r="M113" s="14">
        <v>8360067</v>
      </c>
      <c r="N113" s="14">
        <v>8360067</v>
      </c>
      <c r="O113" s="14">
        <v>8360067</v>
      </c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29"/>
      <c r="BB113" s="29"/>
      <c r="BC113" s="29"/>
    </row>
    <row r="114" spans="1:55" ht="13">
      <c r="A114" s="2"/>
      <c r="B114" s="1050" t="s">
        <v>70</v>
      </c>
      <c r="C114" s="1051"/>
      <c r="D114" s="1055" t="s">
        <v>247</v>
      </c>
      <c r="E114" s="54" t="s">
        <v>248</v>
      </c>
      <c r="F114" s="54" t="s">
        <v>249</v>
      </c>
      <c r="G114" s="54" t="s">
        <v>250</v>
      </c>
      <c r="H114" s="55">
        <f>VLOOKUP(G114,'(참고)PJT목록'!A:D,4,0)</f>
        <v>45292</v>
      </c>
      <c r="I114" s="56">
        <f>VLOOKUP(G114,'(참고)PJT목록'!A:E,5,0)</f>
        <v>45657</v>
      </c>
      <c r="J114" s="13">
        <v>16228768</v>
      </c>
      <c r="K114" s="14">
        <v>16228768</v>
      </c>
      <c r="L114" s="14">
        <v>16228768</v>
      </c>
      <c r="M114" s="14">
        <v>16228768</v>
      </c>
      <c r="N114" s="14">
        <v>16228768</v>
      </c>
      <c r="O114" s="14">
        <v>16228768</v>
      </c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29"/>
      <c r="BB114" s="29"/>
      <c r="BC114" s="29"/>
    </row>
    <row r="115" spans="1:55" ht="13">
      <c r="A115" s="2"/>
      <c r="B115" s="1051"/>
      <c r="C115" s="1051"/>
      <c r="D115" s="1051"/>
      <c r="E115" s="54" t="s">
        <v>138</v>
      </c>
      <c r="F115" s="54" t="s">
        <v>251</v>
      </c>
      <c r="G115" s="54" t="s">
        <v>252</v>
      </c>
      <c r="H115" s="55">
        <f>VLOOKUP(G115,'(참고)PJT목록'!A:D,4,0)</f>
        <v>45292</v>
      </c>
      <c r="I115" s="56">
        <f>VLOOKUP(G115,'(참고)PJT목록'!A:E,5,0)</f>
        <v>45657</v>
      </c>
      <c r="J115" s="13">
        <v>966000</v>
      </c>
      <c r="K115" s="14">
        <v>966000</v>
      </c>
      <c r="L115" s="14">
        <v>966000</v>
      </c>
      <c r="M115" s="14">
        <v>966000</v>
      </c>
      <c r="N115" s="14">
        <v>966000</v>
      </c>
      <c r="O115" s="14">
        <v>966000</v>
      </c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29"/>
      <c r="BB115" s="29"/>
      <c r="BC115" s="29"/>
    </row>
    <row r="116" spans="1:55" ht="13">
      <c r="A116" s="2"/>
      <c r="B116" s="1051"/>
      <c r="C116" s="1051"/>
      <c r="D116" s="1051"/>
      <c r="E116" s="54" t="s">
        <v>253</v>
      </c>
      <c r="F116" s="54" t="s">
        <v>254</v>
      </c>
      <c r="G116" s="54" t="s">
        <v>255</v>
      </c>
      <c r="H116" s="55">
        <f>VLOOKUP(G116,'(참고)PJT목록'!A:D,4,0)</f>
        <v>45292</v>
      </c>
      <c r="I116" s="56">
        <f>VLOOKUP(G116,'(참고)PJT목록'!A:E,5,0)</f>
        <v>45657</v>
      </c>
      <c r="J116" s="13">
        <v>2670000</v>
      </c>
      <c r="K116" s="14">
        <v>2670000</v>
      </c>
      <c r="L116" s="14">
        <v>2670000</v>
      </c>
      <c r="M116" s="14">
        <v>2670000</v>
      </c>
      <c r="N116" s="14">
        <v>2670000</v>
      </c>
      <c r="O116" s="14">
        <v>2670000</v>
      </c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29"/>
      <c r="BB116" s="29"/>
      <c r="BC116" s="29"/>
    </row>
    <row r="117" spans="1:55" ht="13">
      <c r="A117" s="2"/>
      <c r="B117" s="1052"/>
      <c r="C117" s="1052"/>
      <c r="D117" s="1052"/>
      <c r="E117" s="54" t="s">
        <v>79</v>
      </c>
      <c r="F117" s="54" t="s">
        <v>197</v>
      </c>
      <c r="G117" s="54" t="s">
        <v>256</v>
      </c>
      <c r="H117" s="55">
        <f>VLOOKUP(G117,'(참고)PJT목록'!A:D,4,0)</f>
        <v>45292</v>
      </c>
      <c r="I117" s="56">
        <f>VLOOKUP(G117,'(참고)PJT목록'!A:E,5,0)</f>
        <v>45657</v>
      </c>
      <c r="J117" s="13">
        <v>300000</v>
      </c>
      <c r="K117" s="14">
        <v>300000</v>
      </c>
      <c r="L117" s="14">
        <v>300000</v>
      </c>
      <c r="M117" s="14">
        <v>300000</v>
      </c>
      <c r="N117" s="14">
        <v>300000</v>
      </c>
      <c r="O117" s="14">
        <v>300000</v>
      </c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29"/>
      <c r="BB117" s="29"/>
      <c r="BC117" s="29"/>
    </row>
    <row r="118" spans="1:55" ht="13">
      <c r="A118" s="2"/>
      <c r="B118" s="1058" t="s">
        <v>257</v>
      </c>
      <c r="C118" s="1054" t="s">
        <v>142</v>
      </c>
      <c r="D118" s="1055" t="s">
        <v>258</v>
      </c>
      <c r="E118" s="54" t="s">
        <v>86</v>
      </c>
      <c r="F118" s="54" t="s">
        <v>259</v>
      </c>
      <c r="G118" s="54" t="s">
        <v>106</v>
      </c>
      <c r="H118" s="55">
        <v>44562</v>
      </c>
      <c r="I118" s="55">
        <v>46387</v>
      </c>
      <c r="J118" s="59">
        <v>1650000</v>
      </c>
      <c r="K118" s="60">
        <v>1650000</v>
      </c>
      <c r="L118" s="60">
        <v>1650000</v>
      </c>
      <c r="M118" s="60">
        <v>1650000</v>
      </c>
      <c r="N118" s="60">
        <v>1650000</v>
      </c>
      <c r="O118" s="60">
        <v>1650000</v>
      </c>
      <c r="P118" s="66"/>
      <c r="Q118" s="66"/>
      <c r="R118" s="66"/>
      <c r="S118" s="66"/>
      <c r="T118" s="66"/>
      <c r="U118" s="66"/>
      <c r="V118" s="66"/>
      <c r="W118" s="66"/>
      <c r="X118" s="66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  <c r="AI118" s="66"/>
      <c r="AJ118" s="66"/>
      <c r="AK118" s="66"/>
      <c r="AL118" s="66"/>
      <c r="AM118" s="66"/>
      <c r="AN118" s="66"/>
      <c r="AO118" s="66"/>
      <c r="AP118" s="66"/>
      <c r="AQ118" s="66"/>
      <c r="AR118" s="66"/>
      <c r="AS118" s="66"/>
      <c r="AT118" s="66"/>
      <c r="AU118" s="66"/>
      <c r="AV118" s="66"/>
      <c r="AW118" s="66"/>
      <c r="AX118" s="66"/>
      <c r="AY118" s="66"/>
      <c r="AZ118" s="66"/>
      <c r="BA118" s="67"/>
      <c r="BB118" s="67"/>
      <c r="BC118" s="67"/>
    </row>
    <row r="119" spans="1:55" ht="13">
      <c r="A119" s="2"/>
      <c r="B119" s="1051"/>
      <c r="C119" s="1051"/>
      <c r="D119" s="1051"/>
      <c r="E119" s="54" t="s">
        <v>260</v>
      </c>
      <c r="F119" s="54" t="s">
        <v>261</v>
      </c>
      <c r="G119" s="54" t="s">
        <v>262</v>
      </c>
      <c r="H119" s="55">
        <f>VLOOKUP(G119,'(참고)PJT목록'!A:D,4,0)</f>
        <v>44682</v>
      </c>
      <c r="I119" s="56">
        <f>VLOOKUP(G119,'(참고)PJT목록'!A:E,5,0)</f>
        <v>46507</v>
      </c>
      <c r="J119" s="59">
        <v>2642000</v>
      </c>
      <c r="K119" s="60">
        <v>9620000</v>
      </c>
      <c r="L119" s="60">
        <v>9620000</v>
      </c>
      <c r="M119" s="60">
        <v>9620000</v>
      </c>
      <c r="N119" s="60">
        <v>9620000</v>
      </c>
      <c r="O119" s="60">
        <v>9620000</v>
      </c>
      <c r="P119" s="60">
        <v>9620000</v>
      </c>
      <c r="Q119" s="60">
        <v>9620000</v>
      </c>
      <c r="R119" s="60">
        <v>9620000</v>
      </c>
      <c r="S119" s="60">
        <v>9620000</v>
      </c>
      <c r="T119" s="60">
        <v>9620000</v>
      </c>
      <c r="U119" s="60">
        <v>9620000</v>
      </c>
      <c r="V119" s="60">
        <v>9620000</v>
      </c>
      <c r="W119" s="60">
        <v>9620000</v>
      </c>
      <c r="X119" s="60">
        <v>9620000</v>
      </c>
      <c r="Y119" s="60">
        <v>9620000</v>
      </c>
      <c r="Z119" s="60">
        <v>9620000</v>
      </c>
      <c r="AA119" s="60">
        <v>9620000</v>
      </c>
      <c r="AB119" s="60">
        <v>9620000</v>
      </c>
      <c r="AC119" s="60">
        <v>9620000</v>
      </c>
      <c r="AD119" s="60">
        <v>9620000</v>
      </c>
      <c r="AE119" s="60">
        <v>9620000</v>
      </c>
      <c r="AF119" s="60">
        <v>9620000</v>
      </c>
      <c r="AG119" s="60">
        <v>9620000</v>
      </c>
      <c r="AH119" s="60">
        <v>9620000</v>
      </c>
      <c r="AI119" s="60">
        <v>9620000</v>
      </c>
      <c r="AJ119" s="60">
        <v>9620000</v>
      </c>
      <c r="AK119" s="60">
        <v>9620000</v>
      </c>
      <c r="AL119" s="60">
        <v>9620000</v>
      </c>
      <c r="AM119" s="60">
        <v>9620000</v>
      </c>
      <c r="AN119" s="60">
        <v>9620000</v>
      </c>
      <c r="AO119" s="60">
        <v>9620000</v>
      </c>
      <c r="AP119" s="60">
        <v>9620000</v>
      </c>
      <c r="AQ119" s="60">
        <v>9620000</v>
      </c>
      <c r="AR119" s="66"/>
      <c r="AS119" s="66"/>
      <c r="AT119" s="66"/>
      <c r="AU119" s="66"/>
      <c r="AV119" s="66"/>
      <c r="AW119" s="66"/>
      <c r="AX119" s="66"/>
      <c r="AY119" s="66"/>
      <c r="AZ119" s="66"/>
      <c r="BA119" s="67"/>
      <c r="BB119" s="67"/>
      <c r="BC119" s="67"/>
    </row>
    <row r="120" spans="1:55" ht="13">
      <c r="A120" s="2"/>
      <c r="B120" s="1051"/>
      <c r="C120" s="1051"/>
      <c r="D120" s="1051"/>
      <c r="E120" s="54" t="s">
        <v>79</v>
      </c>
      <c r="F120" s="54" t="s">
        <v>153</v>
      </c>
      <c r="G120" s="54" t="s">
        <v>263</v>
      </c>
      <c r="H120" s="55">
        <f>VLOOKUP(G120,'(참고)PJT목록'!A:D,4,0)</f>
        <v>44743</v>
      </c>
      <c r="I120" s="56">
        <f>VLOOKUP(G120,'(참고)PJT목록'!A:E,5,0)</f>
        <v>45838</v>
      </c>
      <c r="J120" s="59">
        <v>20577500</v>
      </c>
      <c r="K120" s="60">
        <v>20577500</v>
      </c>
      <c r="L120" s="60">
        <v>20577500</v>
      </c>
      <c r="M120" s="60">
        <v>20577500</v>
      </c>
      <c r="N120" s="60">
        <v>20577500</v>
      </c>
      <c r="O120" s="60">
        <v>20577500</v>
      </c>
      <c r="P120" s="60">
        <v>20577500</v>
      </c>
      <c r="Q120" s="60">
        <v>20577500</v>
      </c>
      <c r="R120" s="60">
        <v>20577500</v>
      </c>
      <c r="S120" s="60">
        <v>20577500</v>
      </c>
      <c r="T120" s="60">
        <v>20577500</v>
      </c>
      <c r="U120" s="60">
        <v>20577500</v>
      </c>
      <c r="V120" s="66"/>
      <c r="W120" s="66"/>
      <c r="X120" s="66"/>
      <c r="Y120" s="66"/>
      <c r="Z120" s="66"/>
      <c r="AA120" s="66"/>
      <c r="AB120" s="66"/>
      <c r="AC120" s="66"/>
      <c r="AD120" s="66"/>
      <c r="AE120" s="66"/>
      <c r="AF120" s="66"/>
      <c r="AG120" s="66"/>
      <c r="AH120" s="66"/>
      <c r="AI120" s="66"/>
      <c r="AJ120" s="66"/>
      <c r="AK120" s="66"/>
      <c r="AL120" s="66"/>
      <c r="AM120" s="66"/>
      <c r="AN120" s="66"/>
      <c r="AO120" s="66"/>
      <c r="AP120" s="66"/>
      <c r="AQ120" s="66"/>
      <c r="AR120" s="66"/>
      <c r="AS120" s="66"/>
      <c r="AT120" s="66"/>
      <c r="AU120" s="66"/>
      <c r="AV120" s="66"/>
      <c r="AW120" s="66"/>
      <c r="AX120" s="66"/>
      <c r="AY120" s="66"/>
      <c r="AZ120" s="66"/>
      <c r="BA120" s="67"/>
      <c r="BB120" s="67"/>
      <c r="BC120" s="67"/>
    </row>
    <row r="121" spans="1:55" ht="13">
      <c r="A121" s="2"/>
      <c r="B121" s="1051"/>
      <c r="C121" s="1051"/>
      <c r="D121" s="1051"/>
      <c r="E121" s="54" t="s">
        <v>79</v>
      </c>
      <c r="F121" s="54" t="s">
        <v>228</v>
      </c>
      <c r="G121" s="54" t="s">
        <v>264</v>
      </c>
      <c r="H121" s="55">
        <f>VLOOKUP(G121,'(참고)PJT목록'!A:D,4,0)</f>
        <v>44743</v>
      </c>
      <c r="I121" s="56">
        <f>VLOOKUP(G121,'(참고)PJT목록'!A:E,5,0)</f>
        <v>45838</v>
      </c>
      <c r="J121" s="59">
        <v>428000</v>
      </c>
      <c r="K121" s="60">
        <v>428000</v>
      </c>
      <c r="L121" s="60">
        <v>428000</v>
      </c>
      <c r="M121" s="60">
        <v>428000</v>
      </c>
      <c r="N121" s="60">
        <v>428000</v>
      </c>
      <c r="O121" s="60">
        <v>428000</v>
      </c>
      <c r="P121" s="60">
        <v>428000</v>
      </c>
      <c r="Q121" s="60">
        <v>428000</v>
      </c>
      <c r="R121" s="60">
        <v>428000</v>
      </c>
      <c r="S121" s="60">
        <v>428000</v>
      </c>
      <c r="T121" s="60">
        <v>428000</v>
      </c>
      <c r="U121" s="60">
        <v>428000</v>
      </c>
      <c r="V121" s="66"/>
      <c r="W121" s="66"/>
      <c r="X121" s="66"/>
      <c r="Y121" s="66"/>
      <c r="Z121" s="66"/>
      <c r="AA121" s="66"/>
      <c r="AB121" s="66"/>
      <c r="AC121" s="66"/>
      <c r="AD121" s="66"/>
      <c r="AE121" s="66"/>
      <c r="AF121" s="66"/>
      <c r="AG121" s="66"/>
      <c r="AH121" s="66"/>
      <c r="AI121" s="66"/>
      <c r="AJ121" s="66"/>
      <c r="AK121" s="66"/>
      <c r="AL121" s="66"/>
      <c r="AM121" s="66"/>
      <c r="AN121" s="66"/>
      <c r="AO121" s="66"/>
      <c r="AP121" s="66"/>
      <c r="AQ121" s="66"/>
      <c r="AR121" s="66"/>
      <c r="AS121" s="66"/>
      <c r="AT121" s="66"/>
      <c r="AU121" s="66"/>
      <c r="AV121" s="66"/>
      <c r="AW121" s="66"/>
      <c r="AX121" s="66"/>
      <c r="AY121" s="66"/>
      <c r="AZ121" s="66"/>
      <c r="BA121" s="67"/>
      <c r="BB121" s="67"/>
      <c r="BC121" s="67"/>
    </row>
    <row r="122" spans="1:55" ht="13">
      <c r="A122" s="2"/>
      <c r="B122" s="1052"/>
      <c r="C122" s="1052"/>
      <c r="D122" s="1052"/>
      <c r="E122" s="54" t="s">
        <v>79</v>
      </c>
      <c r="F122" s="54" t="s">
        <v>265</v>
      </c>
      <c r="G122" s="54" t="s">
        <v>266</v>
      </c>
      <c r="H122" s="55">
        <f>VLOOKUP(G122,'(참고)PJT목록'!A:D,4,0)</f>
        <v>45292</v>
      </c>
      <c r="I122" s="56">
        <f>VLOOKUP(G122,'(참고)PJT목록'!A:E,5,0)</f>
        <v>47483</v>
      </c>
      <c r="J122" s="59">
        <v>19288000</v>
      </c>
      <c r="K122" s="60">
        <v>19288000</v>
      </c>
      <c r="L122" s="60">
        <v>19288000</v>
      </c>
      <c r="M122" s="60">
        <v>19288000</v>
      </c>
      <c r="N122" s="60">
        <v>19288000</v>
      </c>
      <c r="O122" s="60">
        <v>19288000</v>
      </c>
      <c r="P122" s="60">
        <v>19288000</v>
      </c>
      <c r="Q122" s="60">
        <v>19288000</v>
      </c>
      <c r="R122" s="60">
        <v>19288000</v>
      </c>
      <c r="S122" s="60">
        <v>19288000</v>
      </c>
      <c r="T122" s="60">
        <v>19288000</v>
      </c>
      <c r="U122" s="60">
        <v>19288000</v>
      </c>
      <c r="V122" s="60">
        <v>19288000</v>
      </c>
      <c r="W122" s="60">
        <v>19288000</v>
      </c>
      <c r="X122" s="60">
        <v>19288000</v>
      </c>
      <c r="Y122" s="60">
        <v>19288000</v>
      </c>
      <c r="Z122" s="60">
        <v>19288000</v>
      </c>
      <c r="AA122" s="60">
        <v>19288000</v>
      </c>
      <c r="AB122" s="60">
        <v>19288000</v>
      </c>
      <c r="AC122" s="60">
        <v>19288000</v>
      </c>
      <c r="AD122" s="60">
        <v>19288000</v>
      </c>
      <c r="AE122" s="60">
        <v>19288000</v>
      </c>
      <c r="AF122" s="60">
        <v>19288000</v>
      </c>
      <c r="AG122" s="60">
        <v>19288000</v>
      </c>
      <c r="AH122" s="60">
        <v>19288000</v>
      </c>
      <c r="AI122" s="60">
        <v>19288000</v>
      </c>
      <c r="AJ122" s="60">
        <v>19288000</v>
      </c>
      <c r="AK122" s="60">
        <v>19288000</v>
      </c>
      <c r="AL122" s="60">
        <v>19288000</v>
      </c>
      <c r="AM122" s="60">
        <v>19288000</v>
      </c>
      <c r="AN122" s="60">
        <v>19288000</v>
      </c>
      <c r="AO122" s="60">
        <v>19288000</v>
      </c>
      <c r="AP122" s="60">
        <v>19288000</v>
      </c>
      <c r="AQ122" s="60">
        <v>19288000</v>
      </c>
      <c r="AR122" s="60">
        <v>19288000</v>
      </c>
      <c r="AS122" s="60">
        <v>19288000</v>
      </c>
      <c r="AT122" s="60">
        <v>19288000</v>
      </c>
      <c r="AU122" s="60">
        <v>19288000</v>
      </c>
      <c r="AV122" s="60">
        <v>19288000</v>
      </c>
      <c r="AW122" s="60">
        <v>19288000</v>
      </c>
      <c r="AX122" s="60">
        <v>19288000</v>
      </c>
      <c r="AY122" s="60">
        <v>19288000</v>
      </c>
      <c r="AZ122" s="60">
        <v>19288000</v>
      </c>
      <c r="BA122" s="60">
        <v>19288000</v>
      </c>
      <c r="BB122" s="60">
        <v>19288000</v>
      </c>
      <c r="BC122" s="60">
        <v>19288000</v>
      </c>
    </row>
    <row r="123" spans="1:55" ht="13">
      <c r="A123" s="2"/>
      <c r="B123" s="1058" t="s">
        <v>257</v>
      </c>
      <c r="C123" s="1054" t="s">
        <v>142</v>
      </c>
      <c r="D123" s="1055" t="s">
        <v>267</v>
      </c>
      <c r="E123" s="68" t="s">
        <v>79</v>
      </c>
      <c r="F123" s="54" t="s">
        <v>153</v>
      </c>
      <c r="G123" s="68" t="s">
        <v>263</v>
      </c>
      <c r="H123" s="55">
        <f>VLOOKUP(G123,'(참고)PJT목록'!A:D,4,0)</f>
        <v>44743</v>
      </c>
      <c r="I123" s="56">
        <f>VLOOKUP(G123,'(참고)PJT목록'!A:E,5,0)</f>
        <v>45838</v>
      </c>
      <c r="J123" s="13">
        <v>2167000</v>
      </c>
      <c r="K123" s="14">
        <v>2167000</v>
      </c>
      <c r="L123" s="14">
        <v>2167000</v>
      </c>
      <c r="M123" s="14">
        <v>2167000</v>
      </c>
      <c r="N123" s="14">
        <v>2167000</v>
      </c>
      <c r="O123" s="14">
        <v>2167000</v>
      </c>
      <c r="P123" s="14">
        <v>2167000</v>
      </c>
      <c r="Q123" s="14">
        <v>2167000</v>
      </c>
      <c r="R123" s="14">
        <v>2167000</v>
      </c>
      <c r="S123" s="14">
        <v>2167000</v>
      </c>
      <c r="T123" s="14">
        <v>2167000</v>
      </c>
      <c r="U123" s="14">
        <v>2167000</v>
      </c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29"/>
      <c r="BB123" s="29"/>
      <c r="BC123" s="29"/>
    </row>
    <row r="124" spans="1:55" ht="13">
      <c r="A124" s="2"/>
      <c r="B124" s="1051"/>
      <c r="C124" s="1051"/>
      <c r="D124" s="1051"/>
      <c r="E124" s="68" t="s">
        <v>138</v>
      </c>
      <c r="F124" s="54" t="s">
        <v>173</v>
      </c>
      <c r="G124" s="68" t="s">
        <v>175</v>
      </c>
      <c r="H124" s="55">
        <f>VLOOKUP(G124,'(참고)PJT목록'!A:D,4,0)</f>
        <v>44927</v>
      </c>
      <c r="I124" s="56">
        <f>VLOOKUP(G124,'(참고)PJT목록'!A:E,5,0)</f>
        <v>46022</v>
      </c>
      <c r="J124" s="13">
        <v>495000</v>
      </c>
      <c r="K124" s="14">
        <v>495000</v>
      </c>
      <c r="L124" s="14">
        <v>495000</v>
      </c>
      <c r="M124" s="14">
        <v>495000</v>
      </c>
      <c r="N124" s="14">
        <v>495000</v>
      </c>
      <c r="O124" s="14">
        <v>495000</v>
      </c>
      <c r="P124" s="14">
        <v>495000</v>
      </c>
      <c r="Q124" s="14">
        <v>495000</v>
      </c>
      <c r="R124" s="14">
        <v>495000</v>
      </c>
      <c r="S124" s="14">
        <v>495000</v>
      </c>
      <c r="T124" s="14">
        <v>495000</v>
      </c>
      <c r="U124" s="14">
        <v>495000</v>
      </c>
      <c r="V124" s="14">
        <v>495000</v>
      </c>
      <c r="W124" s="14">
        <v>495000</v>
      </c>
      <c r="X124" s="14">
        <v>495000</v>
      </c>
      <c r="Y124" s="14">
        <v>495000</v>
      </c>
      <c r="Z124" s="14">
        <v>495000</v>
      </c>
      <c r="AA124" s="14">
        <v>495000</v>
      </c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29"/>
      <c r="BB124" s="29"/>
      <c r="BC124" s="29"/>
    </row>
    <row r="125" spans="1:55" ht="13">
      <c r="A125" s="2"/>
      <c r="B125" s="1051"/>
      <c r="C125" s="1051"/>
      <c r="D125" s="1051"/>
      <c r="E125" s="68" t="s">
        <v>138</v>
      </c>
      <c r="F125" s="54" t="s">
        <v>201</v>
      </c>
      <c r="G125" s="68" t="s">
        <v>268</v>
      </c>
      <c r="H125" s="55">
        <f>VLOOKUP(G125,'(참고)PJT목록'!A:D,4,0)</f>
        <v>44866</v>
      </c>
      <c r="I125" s="56">
        <f>VLOOKUP(G125,'(참고)PJT목록'!A:E,5,0)</f>
        <v>46295</v>
      </c>
      <c r="J125" s="13">
        <v>3086800</v>
      </c>
      <c r="K125" s="14">
        <v>3086800</v>
      </c>
      <c r="L125" s="14">
        <v>3086800</v>
      </c>
      <c r="M125" s="14">
        <v>3086800</v>
      </c>
      <c r="N125" s="14">
        <v>3086800</v>
      </c>
      <c r="O125" s="14">
        <v>3086800</v>
      </c>
      <c r="P125" s="14">
        <v>3086800</v>
      </c>
      <c r="Q125" s="14">
        <v>3086800</v>
      </c>
      <c r="R125" s="14">
        <v>3086800</v>
      </c>
      <c r="S125" s="14">
        <v>3086800</v>
      </c>
      <c r="T125" s="14">
        <v>3086800</v>
      </c>
      <c r="U125" s="14">
        <v>3086800</v>
      </c>
      <c r="V125" s="14">
        <v>3086800</v>
      </c>
      <c r="W125" s="14">
        <v>3086800</v>
      </c>
      <c r="X125" s="14">
        <v>3086800</v>
      </c>
      <c r="Y125" s="14">
        <v>3086800</v>
      </c>
      <c r="Z125" s="14">
        <v>3086800</v>
      </c>
      <c r="AA125" s="14">
        <v>3086800</v>
      </c>
      <c r="AB125" s="14">
        <v>3086800</v>
      </c>
      <c r="AC125" s="14">
        <v>3086800</v>
      </c>
      <c r="AD125" s="14">
        <v>3086800</v>
      </c>
      <c r="AE125" s="14">
        <v>3086800</v>
      </c>
      <c r="AF125" s="14">
        <v>3086800</v>
      </c>
      <c r="AG125" s="14">
        <v>3086800</v>
      </c>
      <c r="AH125" s="14">
        <v>3086800</v>
      </c>
      <c r="AI125" s="14">
        <v>3086800</v>
      </c>
      <c r="AJ125" s="14">
        <v>3086800</v>
      </c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29"/>
      <c r="BB125" s="29"/>
      <c r="BC125" s="29"/>
    </row>
    <row r="126" spans="1:55" ht="13">
      <c r="A126" s="2"/>
      <c r="B126" s="1052"/>
      <c r="C126" s="1052"/>
      <c r="D126" s="1052"/>
      <c r="E126" s="68" t="s">
        <v>79</v>
      </c>
      <c r="F126" s="54" t="s">
        <v>201</v>
      </c>
      <c r="G126" s="68" t="s">
        <v>269</v>
      </c>
      <c r="H126" s="55">
        <f>VLOOKUP(G126,'(참고)PJT목록'!A:D,4,0)</f>
        <v>44866</v>
      </c>
      <c r="I126" s="56">
        <f>VLOOKUP(G126,'(참고)PJT목록'!A:E,5,0)</f>
        <v>46295</v>
      </c>
      <c r="J126" s="13">
        <v>700000</v>
      </c>
      <c r="K126" s="14">
        <v>700000</v>
      </c>
      <c r="L126" s="14">
        <v>700000</v>
      </c>
      <c r="M126" s="14">
        <v>700000</v>
      </c>
      <c r="N126" s="14">
        <v>700000</v>
      </c>
      <c r="O126" s="14">
        <v>700000</v>
      </c>
      <c r="P126" s="14">
        <v>700000</v>
      </c>
      <c r="Q126" s="14">
        <v>700000</v>
      </c>
      <c r="R126" s="14">
        <v>700000</v>
      </c>
      <c r="S126" s="14">
        <v>700000</v>
      </c>
      <c r="T126" s="14">
        <v>700000</v>
      </c>
      <c r="U126" s="14">
        <v>700000</v>
      </c>
      <c r="V126" s="14">
        <v>700000</v>
      </c>
      <c r="W126" s="14">
        <v>700000</v>
      </c>
      <c r="X126" s="14">
        <v>700000</v>
      </c>
      <c r="Y126" s="14">
        <v>700000</v>
      </c>
      <c r="Z126" s="14">
        <v>700000</v>
      </c>
      <c r="AA126" s="14">
        <v>700000</v>
      </c>
      <c r="AB126" s="14">
        <v>700000</v>
      </c>
      <c r="AC126" s="14">
        <v>700000</v>
      </c>
      <c r="AD126" s="14">
        <v>700000</v>
      </c>
      <c r="AE126" s="14">
        <v>700000</v>
      </c>
      <c r="AF126" s="14">
        <v>700000</v>
      </c>
      <c r="AG126" s="14">
        <v>700000</v>
      </c>
      <c r="AH126" s="14">
        <v>700000</v>
      </c>
      <c r="AI126" s="14">
        <v>700000</v>
      </c>
      <c r="AJ126" s="14">
        <v>700000</v>
      </c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29"/>
      <c r="BB126" s="29"/>
      <c r="BC126" s="29"/>
    </row>
    <row r="127" spans="1:55" ht="13">
      <c r="A127" s="2"/>
      <c r="B127" s="1058" t="s">
        <v>257</v>
      </c>
      <c r="C127" s="1054" t="s">
        <v>142</v>
      </c>
      <c r="D127" s="1055" t="s">
        <v>270</v>
      </c>
      <c r="E127" s="68" t="s">
        <v>248</v>
      </c>
      <c r="F127" s="54" t="s">
        <v>271</v>
      </c>
      <c r="G127" s="68" t="s">
        <v>272</v>
      </c>
      <c r="H127" s="55">
        <f>VLOOKUP(G127,'(참고)PJT목록'!A:D,4,0)</f>
        <v>45292</v>
      </c>
      <c r="I127" s="56">
        <f>VLOOKUP(G127,'(참고)PJT목록'!A:E,5,0)</f>
        <v>45657</v>
      </c>
      <c r="J127" s="13">
        <v>21215000</v>
      </c>
      <c r="K127" s="14">
        <v>21215000</v>
      </c>
      <c r="L127" s="14">
        <v>21215000</v>
      </c>
      <c r="M127" s="14">
        <v>21215000</v>
      </c>
      <c r="N127" s="14">
        <v>21215000</v>
      </c>
      <c r="O127" s="14">
        <v>21215000</v>
      </c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29"/>
      <c r="BB127" s="29"/>
      <c r="BC127" s="29"/>
    </row>
    <row r="128" spans="1:55" ht="13">
      <c r="A128" s="2"/>
      <c r="B128" s="1052"/>
      <c r="C128" s="1052"/>
      <c r="D128" s="1052"/>
      <c r="E128" s="68" t="s">
        <v>273</v>
      </c>
      <c r="F128" s="54" t="s">
        <v>274</v>
      </c>
      <c r="G128" s="68" t="s">
        <v>275</v>
      </c>
      <c r="H128" s="55">
        <f>VLOOKUP(G128,'(참고)PJT목록'!A:D,4,0)</f>
        <v>45292</v>
      </c>
      <c r="I128" s="56">
        <f>VLOOKUP(G128,'(참고)PJT목록'!A:E,5,0)</f>
        <v>45657</v>
      </c>
      <c r="J128" s="13">
        <v>45984000</v>
      </c>
      <c r="K128" s="14">
        <v>45984000</v>
      </c>
      <c r="L128" s="14">
        <v>45984000</v>
      </c>
      <c r="M128" s="14">
        <v>45984000</v>
      </c>
      <c r="N128" s="14">
        <v>45984000</v>
      </c>
      <c r="O128" s="14">
        <v>45984000</v>
      </c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29"/>
      <c r="BB128" s="29"/>
      <c r="BC128" s="29"/>
    </row>
    <row r="129" spans="1:55" ht="13">
      <c r="A129" s="2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</row>
    <row r="130" spans="1:55" ht="13">
      <c r="A130" s="2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</row>
    <row r="131" spans="1:55" ht="13">
      <c r="A131" s="2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</row>
    <row r="132" spans="1:55" ht="13">
      <c r="A132" s="2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</row>
    <row r="133" spans="1:55" ht="13">
      <c r="A133" s="2"/>
      <c r="B133" s="2"/>
      <c r="C133" s="3"/>
      <c r="D133" s="2"/>
      <c r="E133" s="4"/>
      <c r="F133" s="4"/>
      <c r="G133" s="4"/>
      <c r="H133" s="4"/>
      <c r="I133" s="4"/>
      <c r="J133" s="5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</row>
    <row r="134" spans="1:55" ht="13">
      <c r="A134" s="2"/>
      <c r="B134" s="2"/>
      <c r="C134" s="3"/>
      <c r="D134" s="2"/>
      <c r="E134" s="4"/>
      <c r="F134" s="4"/>
      <c r="G134" s="4"/>
      <c r="H134" s="4"/>
      <c r="I134" s="4"/>
      <c r="J134" s="5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</row>
    <row r="135" spans="1:55" ht="13">
      <c r="A135" s="2"/>
      <c r="B135" s="2"/>
      <c r="C135" s="3"/>
      <c r="D135" s="2"/>
      <c r="E135" s="4"/>
      <c r="F135" s="4"/>
      <c r="G135" s="4"/>
      <c r="H135" s="4"/>
      <c r="I135" s="4"/>
      <c r="J135" s="5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</row>
    <row r="136" spans="1:55" ht="13">
      <c r="A136" s="2"/>
      <c r="B136" s="2"/>
      <c r="C136" s="3"/>
      <c r="D136" s="2"/>
      <c r="E136" s="4"/>
      <c r="F136" s="4"/>
      <c r="G136" s="4"/>
      <c r="H136" s="4"/>
      <c r="I136" s="4"/>
      <c r="J136" s="5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</row>
    <row r="137" spans="1:55" ht="13">
      <c r="A137" s="2"/>
      <c r="B137" s="2"/>
      <c r="C137" s="3"/>
      <c r="D137" s="2"/>
      <c r="E137" s="4"/>
      <c r="F137" s="4"/>
      <c r="G137" s="4"/>
      <c r="H137" s="4"/>
      <c r="I137" s="4"/>
      <c r="J137" s="5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</row>
    <row r="138" spans="1:55" ht="13">
      <c r="A138" s="2"/>
      <c r="B138" s="2"/>
      <c r="C138" s="3"/>
      <c r="D138" s="2"/>
      <c r="E138" s="4"/>
      <c r="F138" s="4"/>
      <c r="G138" s="4"/>
      <c r="H138" s="4"/>
      <c r="I138" s="4"/>
      <c r="J138" s="5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</row>
    <row r="139" spans="1:55" ht="13">
      <c r="A139" s="2"/>
      <c r="B139" s="2"/>
      <c r="C139" s="3"/>
      <c r="D139" s="2"/>
      <c r="E139" s="4"/>
      <c r="F139" s="4"/>
      <c r="G139" s="4"/>
      <c r="H139" s="4"/>
      <c r="I139" s="4"/>
      <c r="J139" s="5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</row>
    <row r="140" spans="1:55" ht="13">
      <c r="A140" s="2"/>
      <c r="B140" s="2"/>
      <c r="C140" s="3"/>
      <c r="D140" s="2"/>
      <c r="E140" s="4"/>
      <c r="F140" s="4"/>
      <c r="G140" s="4"/>
      <c r="H140" s="4"/>
      <c r="I140" s="4"/>
      <c r="J140" s="5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</row>
    <row r="141" spans="1:55" ht="13">
      <c r="A141" s="2"/>
      <c r="B141" s="2"/>
      <c r="C141" s="3"/>
      <c r="D141" s="2"/>
      <c r="E141" s="4"/>
      <c r="F141" s="4"/>
      <c r="G141" s="4"/>
      <c r="H141" s="4"/>
      <c r="I141" s="4"/>
      <c r="J141" s="5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</row>
    <row r="142" spans="1:55" ht="13">
      <c r="A142" s="2"/>
      <c r="B142" s="2"/>
      <c r="C142" s="3"/>
      <c r="D142" s="2"/>
      <c r="E142" s="4"/>
      <c r="F142" s="4"/>
      <c r="G142" s="4"/>
      <c r="H142" s="4"/>
      <c r="I142" s="4"/>
      <c r="J142" s="5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</row>
    <row r="143" spans="1:55" ht="13">
      <c r="A143" s="2"/>
      <c r="B143" s="2"/>
      <c r="C143" s="3"/>
      <c r="D143" s="2"/>
      <c r="E143" s="4"/>
      <c r="F143" s="4"/>
      <c r="G143" s="4"/>
      <c r="H143" s="4"/>
      <c r="I143" s="4"/>
      <c r="J143" s="5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</row>
    <row r="144" spans="1:55" ht="13">
      <c r="A144" s="2"/>
      <c r="B144" s="2"/>
      <c r="C144" s="3"/>
      <c r="D144" s="2"/>
      <c r="E144" s="4"/>
      <c r="F144" s="4"/>
      <c r="G144" s="4"/>
      <c r="H144" s="4"/>
      <c r="I144" s="4"/>
      <c r="J144" s="5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</row>
    <row r="145" spans="1:55" ht="13">
      <c r="A145" s="2"/>
      <c r="B145" s="2"/>
      <c r="C145" s="3"/>
      <c r="D145" s="2"/>
      <c r="E145" s="4"/>
      <c r="F145" s="4"/>
      <c r="G145" s="4"/>
      <c r="H145" s="4"/>
      <c r="I145" s="4"/>
      <c r="J145" s="5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</row>
    <row r="146" spans="1:55" ht="13">
      <c r="A146" s="2"/>
      <c r="B146" s="2"/>
      <c r="C146" s="3"/>
      <c r="D146" s="2"/>
      <c r="E146" s="4"/>
      <c r="F146" s="4"/>
      <c r="G146" s="4"/>
      <c r="H146" s="4"/>
      <c r="I146" s="4"/>
      <c r="J146" s="5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</row>
    <row r="147" spans="1:55" ht="13">
      <c r="A147" s="2"/>
      <c r="B147" s="2"/>
      <c r="C147" s="3"/>
      <c r="D147" s="2"/>
      <c r="E147" s="4"/>
      <c r="F147" s="4"/>
      <c r="G147" s="4"/>
      <c r="H147" s="4"/>
      <c r="I147" s="4"/>
      <c r="J147" s="5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</row>
    <row r="148" spans="1:55" ht="13">
      <c r="A148" s="2"/>
      <c r="B148" s="2"/>
      <c r="C148" s="3"/>
      <c r="D148" s="2"/>
      <c r="E148" s="4"/>
      <c r="F148" s="4"/>
      <c r="G148" s="4"/>
      <c r="H148" s="4"/>
      <c r="I148" s="4"/>
      <c r="J148" s="5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</row>
    <row r="149" spans="1:55" ht="13">
      <c r="A149" s="2"/>
      <c r="B149" s="2"/>
      <c r="C149" s="3"/>
      <c r="D149" s="2"/>
      <c r="E149" s="4"/>
      <c r="F149" s="4"/>
      <c r="G149" s="4"/>
      <c r="H149" s="4"/>
      <c r="I149" s="4"/>
      <c r="J149" s="5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</row>
    <row r="150" spans="1:55" ht="13">
      <c r="A150" s="2"/>
      <c r="B150" s="2"/>
      <c r="C150" s="3"/>
      <c r="D150" s="2"/>
      <c r="E150" s="4"/>
      <c r="F150" s="4"/>
      <c r="G150" s="4"/>
      <c r="H150" s="4"/>
      <c r="I150" s="4"/>
      <c r="J150" s="5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</row>
    <row r="151" spans="1:55" ht="13">
      <c r="A151" s="2"/>
      <c r="B151" s="2"/>
      <c r="C151" s="3"/>
      <c r="D151" s="2"/>
      <c r="E151" s="4"/>
      <c r="F151" s="4"/>
      <c r="G151" s="4"/>
      <c r="H151" s="4"/>
      <c r="I151" s="4"/>
      <c r="J151" s="5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</row>
    <row r="152" spans="1:55" ht="13">
      <c r="A152" s="2"/>
      <c r="B152" s="2"/>
      <c r="C152" s="3"/>
      <c r="D152" s="2"/>
      <c r="E152" s="4"/>
      <c r="F152" s="4"/>
      <c r="G152" s="4"/>
      <c r="H152" s="4"/>
      <c r="I152" s="4"/>
      <c r="J152" s="5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</row>
    <row r="153" spans="1:55" ht="13">
      <c r="A153" s="2"/>
      <c r="B153" s="2"/>
      <c r="C153" s="3"/>
      <c r="D153" s="2"/>
      <c r="E153" s="4"/>
      <c r="F153" s="4"/>
      <c r="G153" s="4"/>
      <c r="H153" s="4"/>
      <c r="I153" s="4"/>
      <c r="J153" s="5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</row>
    <row r="154" spans="1:55" ht="13">
      <c r="A154" s="2"/>
      <c r="B154" s="2"/>
      <c r="C154" s="3"/>
      <c r="D154" s="2"/>
      <c r="E154" s="4"/>
      <c r="F154" s="4"/>
      <c r="G154" s="4"/>
      <c r="H154" s="4"/>
      <c r="I154" s="4"/>
      <c r="J154" s="5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</row>
    <row r="155" spans="1:55" ht="13">
      <c r="A155" s="2"/>
      <c r="B155" s="2"/>
      <c r="C155" s="3"/>
      <c r="D155" s="2"/>
      <c r="E155" s="4"/>
      <c r="F155" s="4"/>
      <c r="G155" s="4"/>
      <c r="H155" s="4"/>
      <c r="I155" s="4"/>
      <c r="J155" s="5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</row>
    <row r="156" spans="1:55" ht="13">
      <c r="A156" s="2"/>
      <c r="B156" s="2"/>
      <c r="C156" s="3"/>
      <c r="D156" s="2"/>
      <c r="E156" s="4"/>
      <c r="F156" s="4"/>
      <c r="G156" s="4"/>
      <c r="H156" s="4"/>
      <c r="I156" s="4"/>
      <c r="J156" s="5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</row>
    <row r="157" spans="1:55" ht="13">
      <c r="A157" s="2"/>
      <c r="B157" s="2"/>
      <c r="C157" s="3"/>
      <c r="D157" s="2"/>
      <c r="E157" s="4"/>
      <c r="F157" s="4"/>
      <c r="G157" s="4"/>
      <c r="H157" s="4"/>
      <c r="I157" s="4"/>
      <c r="J157" s="5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</row>
    <row r="158" spans="1:55" ht="13">
      <c r="A158" s="2"/>
      <c r="B158" s="2"/>
      <c r="C158" s="3"/>
      <c r="D158" s="2"/>
      <c r="E158" s="4"/>
      <c r="F158" s="4"/>
      <c r="G158" s="4"/>
      <c r="H158" s="4"/>
      <c r="I158" s="4"/>
      <c r="J158" s="5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</row>
    <row r="159" spans="1:55" ht="13">
      <c r="A159" s="2"/>
      <c r="B159" s="2"/>
      <c r="C159" s="3"/>
      <c r="D159" s="2"/>
      <c r="E159" s="4"/>
      <c r="F159" s="4"/>
      <c r="G159" s="4"/>
      <c r="H159" s="4"/>
      <c r="I159" s="4"/>
      <c r="J159" s="5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</row>
    <row r="160" spans="1:55" ht="13">
      <c r="A160" s="2"/>
      <c r="B160" s="2"/>
      <c r="C160" s="3"/>
      <c r="D160" s="2"/>
      <c r="E160" s="4"/>
      <c r="F160" s="4"/>
      <c r="G160" s="4"/>
      <c r="H160" s="4"/>
      <c r="I160" s="4"/>
      <c r="J160" s="5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</row>
    <row r="161" spans="1:55" ht="13">
      <c r="A161" s="2"/>
      <c r="B161" s="2"/>
      <c r="C161" s="3"/>
      <c r="D161" s="2"/>
      <c r="E161" s="4"/>
      <c r="F161" s="4"/>
      <c r="G161" s="4"/>
      <c r="H161" s="4"/>
      <c r="I161" s="4"/>
      <c r="J161" s="5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</row>
    <row r="162" spans="1:55" ht="13">
      <c r="A162" s="2"/>
      <c r="B162" s="2"/>
      <c r="C162" s="3"/>
      <c r="D162" s="2"/>
      <c r="E162" s="4"/>
      <c r="F162" s="4"/>
      <c r="G162" s="4"/>
      <c r="H162" s="4"/>
      <c r="I162" s="4"/>
      <c r="J162" s="5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</row>
    <row r="163" spans="1:55" ht="13">
      <c r="A163" s="2"/>
      <c r="B163" s="2"/>
      <c r="C163" s="3"/>
      <c r="D163" s="2"/>
      <c r="E163" s="4"/>
      <c r="F163" s="4"/>
      <c r="G163" s="4"/>
      <c r="H163" s="4"/>
      <c r="I163" s="4"/>
      <c r="J163" s="5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</row>
    <row r="164" spans="1:55" ht="13">
      <c r="A164" s="2"/>
      <c r="B164" s="2"/>
      <c r="C164" s="3"/>
      <c r="D164" s="2"/>
      <c r="E164" s="4"/>
      <c r="F164" s="4"/>
      <c r="G164" s="4"/>
      <c r="H164" s="4"/>
      <c r="I164" s="4"/>
      <c r="J164" s="5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</row>
    <row r="165" spans="1:55" ht="13">
      <c r="A165" s="2"/>
      <c r="B165" s="2"/>
      <c r="C165" s="3"/>
      <c r="D165" s="2"/>
      <c r="E165" s="4"/>
      <c r="F165" s="4"/>
      <c r="G165" s="4"/>
      <c r="H165" s="4"/>
      <c r="I165" s="4"/>
      <c r="J165" s="5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</row>
    <row r="166" spans="1:55" ht="13">
      <c r="A166" s="2"/>
      <c r="B166" s="2"/>
      <c r="C166" s="3"/>
      <c r="D166" s="2"/>
      <c r="E166" s="4"/>
      <c r="F166" s="4"/>
      <c r="G166" s="4"/>
      <c r="H166" s="4"/>
      <c r="I166" s="4"/>
      <c r="J166" s="5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</row>
    <row r="167" spans="1:55" ht="13">
      <c r="A167" s="2"/>
      <c r="B167" s="2"/>
      <c r="C167" s="3"/>
      <c r="D167" s="2"/>
      <c r="E167" s="4"/>
      <c r="F167" s="4"/>
      <c r="G167" s="4"/>
      <c r="H167" s="4"/>
      <c r="I167" s="4"/>
      <c r="J167" s="5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</row>
    <row r="168" spans="1:55" ht="13">
      <c r="A168" s="2"/>
      <c r="B168" s="2"/>
      <c r="C168" s="3"/>
      <c r="D168" s="2"/>
      <c r="E168" s="4"/>
      <c r="F168" s="4"/>
      <c r="G168" s="4"/>
      <c r="H168" s="4"/>
      <c r="I168" s="4"/>
      <c r="J168" s="5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</row>
    <row r="169" spans="1:55" ht="13">
      <c r="A169" s="2"/>
      <c r="B169" s="2"/>
      <c r="C169" s="3"/>
      <c r="D169" s="2"/>
      <c r="E169" s="4"/>
      <c r="F169" s="4"/>
      <c r="G169" s="4"/>
      <c r="H169" s="4"/>
      <c r="I169" s="4"/>
      <c r="J169" s="5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</row>
    <row r="170" spans="1:55" ht="13">
      <c r="A170" s="2"/>
      <c r="B170" s="2"/>
      <c r="C170" s="3"/>
      <c r="D170" s="2"/>
      <c r="E170" s="4"/>
      <c r="F170" s="4"/>
      <c r="G170" s="4"/>
      <c r="H170" s="4"/>
      <c r="I170" s="4"/>
      <c r="J170" s="5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</row>
    <row r="171" spans="1:55" ht="13">
      <c r="A171" s="2"/>
      <c r="B171" s="2"/>
      <c r="C171" s="3"/>
      <c r="D171" s="2"/>
      <c r="E171" s="4"/>
      <c r="F171" s="4"/>
      <c r="G171" s="4"/>
      <c r="H171" s="4"/>
      <c r="I171" s="4"/>
      <c r="J171" s="5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</row>
    <row r="172" spans="1:55" ht="13">
      <c r="A172" s="2"/>
      <c r="B172" s="2"/>
      <c r="C172" s="3"/>
      <c r="D172" s="2"/>
      <c r="E172" s="4"/>
      <c r="F172" s="4"/>
      <c r="G172" s="4"/>
      <c r="H172" s="4"/>
      <c r="I172" s="4"/>
      <c r="J172" s="5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</row>
    <row r="173" spans="1:55" ht="13">
      <c r="A173" s="2"/>
      <c r="B173" s="2"/>
      <c r="C173" s="3"/>
      <c r="D173" s="2"/>
      <c r="E173" s="4"/>
      <c r="F173" s="4"/>
      <c r="G173" s="4"/>
      <c r="H173" s="4"/>
      <c r="I173" s="4"/>
      <c r="J173" s="5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</row>
    <row r="174" spans="1:55" ht="13">
      <c r="A174" s="2"/>
      <c r="B174" s="2"/>
      <c r="C174" s="3"/>
      <c r="D174" s="2"/>
      <c r="E174" s="4"/>
      <c r="F174" s="4"/>
      <c r="G174" s="4"/>
      <c r="H174" s="4"/>
      <c r="I174" s="4"/>
      <c r="J174" s="5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</row>
    <row r="175" spans="1:55" ht="13">
      <c r="A175" s="2"/>
      <c r="B175" s="2"/>
      <c r="C175" s="3"/>
      <c r="D175" s="2"/>
      <c r="E175" s="4"/>
      <c r="F175" s="4"/>
      <c r="G175" s="4"/>
      <c r="H175" s="4"/>
      <c r="I175" s="4"/>
      <c r="J175" s="5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</row>
    <row r="176" spans="1:55" ht="13">
      <c r="A176" s="2"/>
      <c r="B176" s="2"/>
      <c r="C176" s="3"/>
      <c r="D176" s="2"/>
      <c r="E176" s="4"/>
      <c r="F176" s="4"/>
      <c r="G176" s="4"/>
      <c r="H176" s="4"/>
      <c r="I176" s="4"/>
      <c r="J176" s="5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</row>
    <row r="177" spans="1:55" ht="13">
      <c r="A177" s="2"/>
      <c r="B177" s="2"/>
      <c r="C177" s="3"/>
      <c r="D177" s="2"/>
      <c r="E177" s="4"/>
      <c r="F177" s="4"/>
      <c r="G177" s="4"/>
      <c r="H177" s="4"/>
      <c r="I177" s="4"/>
      <c r="J177" s="5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</row>
    <row r="178" spans="1:55" ht="13">
      <c r="A178" s="2"/>
      <c r="B178" s="2"/>
      <c r="C178" s="3"/>
      <c r="D178" s="2"/>
      <c r="E178" s="4"/>
      <c r="F178" s="4"/>
      <c r="G178" s="4"/>
      <c r="H178" s="4"/>
      <c r="I178" s="4"/>
      <c r="J178" s="5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</row>
    <row r="179" spans="1:55" ht="13">
      <c r="A179" s="2"/>
      <c r="B179" s="2"/>
      <c r="C179" s="3"/>
      <c r="D179" s="2"/>
      <c r="E179" s="4"/>
      <c r="F179" s="4"/>
      <c r="G179" s="4"/>
      <c r="H179" s="4"/>
      <c r="I179" s="4"/>
      <c r="J179" s="5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</row>
    <row r="180" spans="1:55" ht="13">
      <c r="A180" s="2"/>
      <c r="B180" s="2"/>
      <c r="C180" s="3"/>
      <c r="D180" s="2"/>
      <c r="E180" s="4"/>
      <c r="F180" s="4"/>
      <c r="G180" s="4"/>
      <c r="H180" s="4"/>
      <c r="I180" s="4"/>
      <c r="J180" s="5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</row>
    <row r="181" spans="1:55" ht="13">
      <c r="A181" s="2"/>
      <c r="B181" s="2"/>
      <c r="C181" s="3"/>
      <c r="D181" s="2"/>
      <c r="E181" s="4"/>
      <c r="F181" s="4"/>
      <c r="G181" s="4"/>
      <c r="H181" s="4"/>
      <c r="I181" s="4"/>
      <c r="J181" s="5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</row>
    <row r="182" spans="1:55" ht="13">
      <c r="A182" s="2"/>
      <c r="B182" s="2"/>
      <c r="C182" s="3"/>
      <c r="D182" s="2"/>
      <c r="E182" s="4"/>
      <c r="F182" s="4"/>
      <c r="G182" s="4"/>
      <c r="H182" s="4"/>
      <c r="I182" s="4"/>
      <c r="J182" s="5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</row>
    <row r="183" spans="1:55" ht="13">
      <c r="A183" s="2"/>
      <c r="B183" s="2"/>
      <c r="C183" s="3"/>
      <c r="D183" s="2"/>
      <c r="E183" s="4"/>
      <c r="F183" s="4"/>
      <c r="G183" s="4"/>
      <c r="H183" s="4"/>
      <c r="I183" s="4"/>
      <c r="J183" s="5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</row>
    <row r="184" spans="1:55" ht="13">
      <c r="A184" s="2"/>
      <c r="B184" s="2"/>
      <c r="C184" s="3"/>
      <c r="D184" s="2"/>
      <c r="E184" s="4"/>
      <c r="F184" s="4"/>
      <c r="G184" s="4"/>
      <c r="H184" s="4"/>
      <c r="I184" s="4"/>
      <c r="J184" s="5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</row>
    <row r="185" spans="1:55" ht="13">
      <c r="A185" s="2"/>
      <c r="B185" s="2"/>
      <c r="C185" s="3"/>
      <c r="D185" s="2"/>
      <c r="E185" s="4"/>
      <c r="F185" s="4"/>
      <c r="G185" s="4"/>
      <c r="H185" s="4"/>
      <c r="I185" s="4"/>
      <c r="J185" s="5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</row>
    <row r="186" spans="1:55" ht="13">
      <c r="A186" s="2"/>
      <c r="B186" s="2"/>
      <c r="C186" s="3"/>
      <c r="D186" s="2"/>
      <c r="E186" s="4"/>
      <c r="F186" s="4"/>
      <c r="G186" s="4"/>
      <c r="H186" s="4"/>
      <c r="I186" s="4"/>
      <c r="J186" s="5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</row>
    <row r="187" spans="1:55" ht="13">
      <c r="A187" s="2"/>
      <c r="B187" s="2"/>
      <c r="C187" s="3"/>
      <c r="D187" s="2"/>
      <c r="E187" s="4"/>
      <c r="F187" s="4"/>
      <c r="G187" s="4"/>
      <c r="H187" s="4"/>
      <c r="I187" s="4"/>
      <c r="J187" s="5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</row>
    <row r="188" spans="1:55" ht="13">
      <c r="A188" s="2"/>
      <c r="B188" s="2"/>
      <c r="C188" s="3"/>
      <c r="D188" s="2"/>
      <c r="E188" s="4"/>
      <c r="F188" s="4"/>
      <c r="G188" s="4"/>
      <c r="H188" s="4"/>
      <c r="I188" s="4"/>
      <c r="J188" s="5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</row>
    <row r="189" spans="1:55" ht="13">
      <c r="A189" s="2"/>
      <c r="B189" s="2"/>
      <c r="C189" s="3"/>
      <c r="D189" s="2"/>
      <c r="E189" s="4"/>
      <c r="F189" s="4"/>
      <c r="G189" s="4"/>
      <c r="H189" s="4"/>
      <c r="I189" s="4"/>
      <c r="J189" s="5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</row>
    <row r="190" spans="1:55" ht="13">
      <c r="A190" s="2"/>
      <c r="B190" s="2"/>
      <c r="C190" s="3"/>
      <c r="D190" s="2"/>
      <c r="E190" s="4"/>
      <c r="F190" s="4"/>
      <c r="G190" s="4"/>
      <c r="H190" s="4"/>
      <c r="I190" s="4"/>
      <c r="J190" s="5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</row>
    <row r="191" spans="1:55" ht="13">
      <c r="A191" s="2"/>
      <c r="B191" s="2"/>
      <c r="C191" s="3"/>
      <c r="D191" s="2"/>
      <c r="E191" s="4"/>
      <c r="F191" s="4"/>
      <c r="G191" s="4"/>
      <c r="H191" s="4"/>
      <c r="I191" s="4"/>
      <c r="J191" s="5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</row>
    <row r="192" spans="1:55" ht="13">
      <c r="A192" s="2"/>
      <c r="B192" s="2"/>
      <c r="C192" s="3"/>
      <c r="D192" s="2"/>
      <c r="E192" s="4"/>
      <c r="F192" s="4"/>
      <c r="G192" s="4"/>
      <c r="H192" s="4"/>
      <c r="I192" s="4"/>
      <c r="J192" s="5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</row>
    <row r="193" spans="1:55" ht="13">
      <c r="A193" s="2"/>
      <c r="B193" s="2"/>
      <c r="C193" s="3"/>
      <c r="D193" s="2"/>
      <c r="E193" s="4"/>
      <c r="F193" s="4"/>
      <c r="G193" s="4"/>
      <c r="H193" s="4"/>
      <c r="I193" s="4"/>
      <c r="J193" s="5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</row>
    <row r="194" spans="1:55" ht="13">
      <c r="A194" s="2"/>
      <c r="B194" s="2"/>
      <c r="C194" s="3"/>
      <c r="D194" s="2"/>
      <c r="E194" s="4"/>
      <c r="F194" s="4"/>
      <c r="G194" s="4"/>
      <c r="H194" s="4"/>
      <c r="I194" s="4"/>
      <c r="J194" s="5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</row>
    <row r="195" spans="1:55" ht="13">
      <c r="A195" s="2"/>
      <c r="B195" s="2"/>
      <c r="C195" s="3"/>
      <c r="D195" s="2"/>
      <c r="E195" s="4"/>
      <c r="F195" s="4"/>
      <c r="G195" s="4"/>
      <c r="H195" s="4"/>
      <c r="I195" s="4"/>
      <c r="J195" s="5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</row>
    <row r="196" spans="1:55" ht="13">
      <c r="A196" s="2"/>
      <c r="B196" s="2"/>
      <c r="C196" s="3"/>
      <c r="D196" s="2"/>
      <c r="E196" s="4"/>
      <c r="F196" s="4"/>
      <c r="G196" s="4"/>
      <c r="H196" s="4"/>
      <c r="I196" s="4"/>
      <c r="J196" s="5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</row>
    <row r="197" spans="1:55" ht="13">
      <c r="A197" s="2"/>
      <c r="B197" s="2"/>
      <c r="C197" s="3"/>
      <c r="D197" s="2"/>
      <c r="E197" s="4"/>
      <c r="F197" s="4"/>
      <c r="G197" s="4"/>
      <c r="H197" s="4"/>
      <c r="I197" s="4"/>
      <c r="J197" s="5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</row>
    <row r="198" spans="1:55" ht="13">
      <c r="A198" s="2"/>
      <c r="B198" s="2"/>
      <c r="C198" s="3"/>
      <c r="D198" s="2"/>
      <c r="E198" s="4"/>
      <c r="F198" s="4"/>
      <c r="G198" s="4"/>
      <c r="H198" s="4"/>
      <c r="I198" s="4"/>
      <c r="J198" s="5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</row>
    <row r="199" spans="1:55" ht="13">
      <c r="A199" s="2"/>
      <c r="B199" s="2"/>
      <c r="C199" s="3"/>
      <c r="D199" s="2"/>
      <c r="E199" s="4"/>
      <c r="F199" s="4"/>
      <c r="G199" s="4"/>
      <c r="H199" s="4"/>
      <c r="I199" s="4"/>
      <c r="J199" s="5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</row>
    <row r="200" spans="1:55" ht="13">
      <c r="A200" s="2"/>
      <c r="B200" s="2"/>
      <c r="C200" s="3"/>
      <c r="D200" s="2"/>
      <c r="E200" s="4"/>
      <c r="F200" s="4"/>
      <c r="G200" s="4"/>
      <c r="H200" s="4"/>
      <c r="I200" s="4"/>
      <c r="J200" s="5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</row>
    <row r="201" spans="1:55" ht="13">
      <c r="A201" s="2"/>
      <c r="B201" s="2"/>
      <c r="C201" s="3"/>
      <c r="D201" s="2"/>
      <c r="E201" s="4"/>
      <c r="F201" s="4"/>
      <c r="G201" s="4"/>
      <c r="H201" s="4"/>
      <c r="I201" s="4"/>
      <c r="J201" s="5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</row>
    <row r="202" spans="1:55" ht="13">
      <c r="A202" s="2"/>
      <c r="B202" s="2"/>
      <c r="C202" s="3"/>
      <c r="D202" s="2"/>
      <c r="E202" s="4"/>
      <c r="F202" s="4"/>
      <c r="G202" s="4"/>
      <c r="H202" s="4"/>
      <c r="I202" s="4"/>
      <c r="J202" s="5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</row>
    <row r="203" spans="1:55" ht="13">
      <c r="A203" s="2"/>
      <c r="B203" s="2"/>
      <c r="C203" s="3"/>
      <c r="D203" s="2"/>
      <c r="E203" s="4"/>
      <c r="F203" s="4"/>
      <c r="G203" s="4"/>
      <c r="H203" s="4"/>
      <c r="I203" s="4"/>
      <c r="J203" s="5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</row>
    <row r="204" spans="1:55" ht="13">
      <c r="A204" s="2"/>
      <c r="B204" s="2"/>
      <c r="C204" s="3"/>
      <c r="D204" s="2"/>
      <c r="E204" s="4"/>
      <c r="F204" s="4"/>
      <c r="G204" s="4"/>
      <c r="H204" s="4"/>
      <c r="I204" s="4"/>
      <c r="J204" s="5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</row>
    <row r="205" spans="1:55" ht="13">
      <c r="A205" s="2"/>
      <c r="B205" s="2"/>
      <c r="C205" s="3"/>
      <c r="D205" s="2"/>
      <c r="E205" s="4"/>
      <c r="F205" s="4"/>
      <c r="G205" s="4"/>
      <c r="H205" s="4"/>
      <c r="I205" s="4"/>
      <c r="J205" s="5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</row>
    <row r="206" spans="1:55" ht="13">
      <c r="A206" s="2"/>
      <c r="B206" s="2"/>
      <c r="C206" s="3"/>
      <c r="D206" s="2"/>
      <c r="E206" s="4"/>
      <c r="F206" s="4"/>
      <c r="G206" s="4"/>
      <c r="H206" s="4"/>
      <c r="I206" s="4"/>
      <c r="J206" s="5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</row>
    <row r="207" spans="1:55" ht="13">
      <c r="A207" s="2"/>
      <c r="B207" s="2"/>
      <c r="C207" s="3"/>
      <c r="D207" s="2"/>
      <c r="E207" s="4"/>
      <c r="F207" s="4"/>
      <c r="G207" s="4"/>
      <c r="H207" s="4"/>
      <c r="I207" s="4"/>
      <c r="J207" s="5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</row>
    <row r="208" spans="1:55" ht="13">
      <c r="A208" s="2"/>
      <c r="B208" s="2"/>
      <c r="C208" s="3"/>
      <c r="D208" s="2"/>
      <c r="E208" s="4"/>
      <c r="F208" s="4"/>
      <c r="G208" s="4"/>
      <c r="H208" s="4"/>
      <c r="I208" s="4"/>
      <c r="J208" s="5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</row>
    <row r="209" spans="1:55" ht="13">
      <c r="A209" s="2"/>
      <c r="B209" s="2"/>
      <c r="C209" s="3"/>
      <c r="D209" s="2"/>
      <c r="E209" s="4"/>
      <c r="F209" s="4"/>
      <c r="G209" s="4"/>
      <c r="H209" s="4"/>
      <c r="I209" s="4"/>
      <c r="J209" s="5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</row>
    <row r="210" spans="1:55" ht="13">
      <c r="A210" s="2"/>
      <c r="B210" s="2"/>
      <c r="C210" s="3"/>
      <c r="D210" s="2"/>
      <c r="E210" s="4"/>
      <c r="F210" s="4"/>
      <c r="G210" s="4"/>
      <c r="H210" s="4"/>
      <c r="I210" s="4"/>
      <c r="J210" s="5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</row>
    <row r="211" spans="1:55" ht="13">
      <c r="A211" s="2"/>
      <c r="B211" s="2"/>
      <c r="C211" s="3"/>
      <c r="D211" s="2"/>
      <c r="E211" s="4"/>
      <c r="F211" s="4"/>
      <c r="G211" s="4"/>
      <c r="H211" s="4"/>
      <c r="I211" s="4"/>
      <c r="J211" s="5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</row>
    <row r="212" spans="1:55" ht="13">
      <c r="A212" s="2"/>
      <c r="B212" s="2"/>
      <c r="C212" s="3"/>
      <c r="D212" s="2"/>
      <c r="E212" s="4"/>
      <c r="F212" s="4"/>
      <c r="G212" s="4"/>
      <c r="H212" s="4"/>
      <c r="I212" s="4"/>
      <c r="J212" s="5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</row>
    <row r="213" spans="1:55" ht="13">
      <c r="A213" s="2"/>
      <c r="B213" s="2"/>
      <c r="C213" s="3"/>
      <c r="D213" s="2"/>
      <c r="E213" s="4"/>
      <c r="F213" s="4"/>
      <c r="G213" s="4"/>
      <c r="H213" s="4"/>
      <c r="I213" s="4"/>
      <c r="J213" s="5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</row>
    <row r="214" spans="1:55" ht="13">
      <c r="A214" s="2"/>
      <c r="B214" s="2"/>
      <c r="C214" s="3"/>
      <c r="D214" s="2"/>
      <c r="E214" s="4"/>
      <c r="F214" s="4"/>
      <c r="G214" s="4"/>
      <c r="H214" s="4"/>
      <c r="I214" s="4"/>
      <c r="J214" s="5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</row>
    <row r="215" spans="1:55" ht="13">
      <c r="A215" s="2"/>
      <c r="B215" s="2"/>
      <c r="C215" s="3"/>
      <c r="D215" s="2"/>
      <c r="E215" s="4"/>
      <c r="F215" s="4"/>
      <c r="G215" s="4"/>
      <c r="H215" s="4"/>
      <c r="I215" s="4"/>
      <c r="J215" s="5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</row>
    <row r="216" spans="1:55" ht="13">
      <c r="A216" s="2"/>
      <c r="B216" s="2"/>
      <c r="C216" s="3"/>
      <c r="D216" s="2"/>
      <c r="E216" s="4"/>
      <c r="F216" s="4"/>
      <c r="G216" s="4"/>
      <c r="H216" s="4"/>
      <c r="I216" s="4"/>
      <c r="J216" s="5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</row>
    <row r="217" spans="1:55" ht="13">
      <c r="A217" s="2"/>
      <c r="B217" s="2"/>
      <c r="C217" s="3"/>
      <c r="D217" s="2"/>
      <c r="E217" s="4"/>
      <c r="F217" s="4"/>
      <c r="G217" s="4"/>
      <c r="H217" s="4"/>
      <c r="I217" s="4"/>
      <c r="J217" s="5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</row>
    <row r="218" spans="1:55" ht="13">
      <c r="A218" s="2"/>
      <c r="B218" s="2"/>
      <c r="C218" s="3"/>
      <c r="D218" s="2"/>
      <c r="E218" s="4"/>
      <c r="F218" s="4"/>
      <c r="G218" s="4"/>
      <c r="H218" s="4"/>
      <c r="I218" s="4"/>
      <c r="J218" s="5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</row>
    <row r="219" spans="1:55" ht="13">
      <c r="A219" s="2"/>
      <c r="B219" s="2"/>
      <c r="C219" s="3"/>
      <c r="D219" s="2"/>
      <c r="E219" s="4"/>
      <c r="F219" s="4"/>
      <c r="G219" s="4"/>
      <c r="H219" s="4"/>
      <c r="I219" s="4"/>
      <c r="J219" s="5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</row>
    <row r="220" spans="1:55" ht="13">
      <c r="A220" s="2"/>
      <c r="B220" s="2"/>
      <c r="C220" s="3"/>
      <c r="D220" s="2"/>
      <c r="E220" s="4"/>
      <c r="F220" s="4"/>
      <c r="G220" s="4"/>
      <c r="H220" s="4"/>
      <c r="I220" s="4"/>
      <c r="J220" s="5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</row>
    <row r="221" spans="1:55" ht="13">
      <c r="A221" s="2"/>
      <c r="B221" s="2"/>
      <c r="C221" s="3"/>
      <c r="D221" s="2"/>
      <c r="E221" s="4"/>
      <c r="F221" s="4"/>
      <c r="G221" s="4"/>
      <c r="H221" s="4"/>
      <c r="I221" s="4"/>
      <c r="J221" s="5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</row>
    <row r="222" spans="1:55" ht="13">
      <c r="A222" s="2"/>
      <c r="B222" s="2"/>
      <c r="C222" s="3"/>
      <c r="D222" s="2"/>
      <c r="E222" s="4"/>
      <c r="F222" s="4"/>
      <c r="G222" s="4"/>
      <c r="H222" s="4"/>
      <c r="I222" s="4"/>
      <c r="J222" s="5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</row>
    <row r="223" spans="1:55" ht="13">
      <c r="A223" s="2"/>
      <c r="B223" s="2"/>
      <c r="C223" s="3"/>
      <c r="D223" s="2"/>
      <c r="E223" s="4"/>
      <c r="F223" s="4"/>
      <c r="G223" s="4"/>
      <c r="H223" s="4"/>
      <c r="I223" s="4"/>
      <c r="J223" s="5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</row>
    <row r="224" spans="1:55" ht="13">
      <c r="A224" s="2"/>
      <c r="B224" s="2"/>
      <c r="C224" s="3"/>
      <c r="D224" s="2"/>
      <c r="E224" s="4"/>
      <c r="F224" s="4"/>
      <c r="G224" s="4"/>
      <c r="H224" s="4"/>
      <c r="I224" s="4"/>
      <c r="J224" s="5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</row>
    <row r="225" spans="1:55" ht="13">
      <c r="A225" s="2"/>
      <c r="B225" s="2"/>
      <c r="C225" s="3"/>
      <c r="D225" s="2"/>
      <c r="E225" s="4"/>
      <c r="F225" s="4"/>
      <c r="G225" s="4"/>
      <c r="H225" s="4"/>
      <c r="I225" s="4"/>
      <c r="J225" s="5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</row>
    <row r="226" spans="1:55" ht="13">
      <c r="A226" s="2"/>
      <c r="B226" s="2"/>
      <c r="C226" s="3"/>
      <c r="D226" s="2"/>
      <c r="E226" s="4"/>
      <c r="F226" s="4"/>
      <c r="G226" s="4"/>
      <c r="H226" s="4"/>
      <c r="I226" s="4"/>
      <c r="J226" s="5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</row>
    <row r="227" spans="1:55" ht="13">
      <c r="A227" s="2"/>
      <c r="B227" s="2"/>
      <c r="C227" s="3"/>
      <c r="D227" s="2"/>
      <c r="E227" s="4"/>
      <c r="F227" s="4"/>
      <c r="G227" s="4"/>
      <c r="H227" s="4"/>
      <c r="I227" s="4"/>
      <c r="J227" s="5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</row>
    <row r="228" spans="1:55" ht="13">
      <c r="A228" s="2"/>
      <c r="B228" s="2"/>
      <c r="C228" s="3"/>
      <c r="D228" s="2"/>
      <c r="E228" s="4"/>
      <c r="F228" s="4"/>
      <c r="G228" s="4"/>
      <c r="H228" s="4"/>
      <c r="I228" s="4"/>
      <c r="J228" s="5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</row>
    <row r="229" spans="1:55" ht="13">
      <c r="A229" s="2"/>
      <c r="B229" s="2"/>
      <c r="C229" s="3"/>
      <c r="D229" s="2"/>
      <c r="E229" s="4"/>
      <c r="F229" s="4"/>
      <c r="G229" s="4"/>
      <c r="H229" s="4"/>
      <c r="I229" s="4"/>
      <c r="J229" s="5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</row>
    <row r="230" spans="1:55" ht="13">
      <c r="A230" s="2"/>
      <c r="B230" s="2"/>
      <c r="C230" s="3"/>
      <c r="D230" s="2"/>
      <c r="E230" s="4"/>
      <c r="F230" s="4"/>
      <c r="G230" s="4"/>
      <c r="H230" s="4"/>
      <c r="I230" s="4"/>
      <c r="J230" s="5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</row>
    <row r="231" spans="1:55" ht="13">
      <c r="A231" s="2"/>
      <c r="B231" s="2"/>
      <c r="C231" s="3"/>
      <c r="D231" s="2"/>
      <c r="E231" s="4"/>
      <c r="F231" s="4"/>
      <c r="G231" s="4"/>
      <c r="H231" s="4"/>
      <c r="I231" s="4"/>
      <c r="J231" s="5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</row>
    <row r="232" spans="1:55" ht="13">
      <c r="A232" s="2"/>
      <c r="B232" s="2"/>
      <c r="C232" s="3"/>
      <c r="D232" s="2"/>
      <c r="E232" s="4"/>
      <c r="F232" s="4"/>
      <c r="G232" s="4"/>
      <c r="H232" s="4"/>
      <c r="I232" s="4"/>
      <c r="J232" s="5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</row>
    <row r="233" spans="1:55" ht="13">
      <c r="A233" s="2"/>
      <c r="B233" s="2"/>
      <c r="C233" s="3"/>
      <c r="D233" s="2"/>
      <c r="E233" s="4"/>
      <c r="F233" s="4"/>
      <c r="G233" s="4"/>
      <c r="H233" s="4"/>
      <c r="I233" s="4"/>
      <c r="J233" s="5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</row>
    <row r="234" spans="1:55" ht="13">
      <c r="A234" s="2"/>
      <c r="B234" s="2"/>
      <c r="C234" s="3"/>
      <c r="D234" s="2"/>
      <c r="E234" s="4"/>
      <c r="F234" s="4"/>
      <c r="G234" s="4"/>
      <c r="H234" s="4"/>
      <c r="I234" s="4"/>
      <c r="J234" s="5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</row>
    <row r="235" spans="1:55" ht="13">
      <c r="A235" s="2"/>
      <c r="B235" s="2"/>
      <c r="C235" s="3"/>
      <c r="D235" s="2"/>
      <c r="E235" s="4"/>
      <c r="F235" s="4"/>
      <c r="G235" s="4"/>
      <c r="H235" s="4"/>
      <c r="I235" s="4"/>
      <c r="J235" s="5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</row>
    <row r="236" spans="1:55" ht="13">
      <c r="A236" s="2"/>
      <c r="B236" s="2"/>
      <c r="C236" s="3"/>
      <c r="D236" s="2"/>
      <c r="E236" s="4"/>
      <c r="F236" s="4"/>
      <c r="G236" s="4"/>
      <c r="H236" s="4"/>
      <c r="I236" s="4"/>
      <c r="J236" s="5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</row>
    <row r="237" spans="1:55" ht="13">
      <c r="A237" s="2"/>
      <c r="B237" s="2"/>
      <c r="C237" s="3"/>
      <c r="D237" s="2"/>
      <c r="E237" s="4"/>
      <c r="F237" s="4"/>
      <c r="G237" s="4"/>
      <c r="H237" s="4"/>
      <c r="I237" s="4"/>
      <c r="J237" s="5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</row>
    <row r="238" spans="1:55" ht="13">
      <c r="A238" s="2"/>
      <c r="B238" s="2"/>
      <c r="C238" s="3"/>
      <c r="D238" s="2"/>
      <c r="E238" s="4"/>
      <c r="F238" s="4"/>
      <c r="G238" s="4"/>
      <c r="H238" s="4"/>
      <c r="I238" s="4"/>
      <c r="J238" s="5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</row>
    <row r="239" spans="1:55" ht="13">
      <c r="A239" s="2"/>
      <c r="B239" s="2"/>
      <c r="C239" s="3"/>
      <c r="D239" s="2"/>
      <c r="E239" s="4"/>
      <c r="F239" s="4"/>
      <c r="G239" s="4"/>
      <c r="H239" s="4"/>
      <c r="I239" s="4"/>
      <c r="J239" s="5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</row>
    <row r="240" spans="1:55" ht="13">
      <c r="A240" s="2"/>
      <c r="B240" s="2"/>
      <c r="C240" s="3"/>
      <c r="D240" s="2"/>
      <c r="E240" s="4"/>
      <c r="F240" s="4"/>
      <c r="G240" s="4"/>
      <c r="H240" s="4"/>
      <c r="I240" s="4"/>
      <c r="J240" s="5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</row>
    <row r="241" spans="1:55" ht="13">
      <c r="A241" s="2"/>
      <c r="B241" s="2"/>
      <c r="C241" s="3"/>
      <c r="D241" s="2"/>
      <c r="E241" s="4"/>
      <c r="F241" s="4"/>
      <c r="G241" s="4"/>
      <c r="H241" s="4"/>
      <c r="I241" s="4"/>
      <c r="J241" s="5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</row>
    <row r="242" spans="1:55" ht="13">
      <c r="A242" s="2"/>
      <c r="B242" s="2"/>
      <c r="C242" s="3"/>
      <c r="D242" s="2"/>
      <c r="E242" s="4"/>
      <c r="F242" s="4"/>
      <c r="G242" s="4"/>
      <c r="H242" s="4"/>
      <c r="I242" s="4"/>
      <c r="J242" s="5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</row>
    <row r="243" spans="1:55" ht="13">
      <c r="A243" s="2"/>
      <c r="B243" s="2"/>
      <c r="C243" s="3"/>
      <c r="D243" s="2"/>
      <c r="E243" s="4"/>
      <c r="F243" s="4"/>
      <c r="G243" s="4"/>
      <c r="H243" s="4"/>
      <c r="I243" s="4"/>
      <c r="J243" s="5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</row>
    <row r="244" spans="1:55" ht="13">
      <c r="A244" s="2"/>
      <c r="B244" s="2"/>
      <c r="C244" s="3"/>
      <c r="D244" s="2"/>
      <c r="E244" s="4"/>
      <c r="F244" s="4"/>
      <c r="G244" s="4"/>
      <c r="H244" s="4"/>
      <c r="I244" s="4"/>
      <c r="J244" s="5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</row>
    <row r="245" spans="1:55" ht="13">
      <c r="A245" s="2"/>
      <c r="B245" s="2"/>
      <c r="C245" s="3"/>
      <c r="D245" s="2"/>
      <c r="E245" s="4"/>
      <c r="F245" s="4"/>
      <c r="G245" s="4"/>
      <c r="H245" s="4"/>
      <c r="I245" s="4"/>
      <c r="J245" s="5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</row>
    <row r="246" spans="1:55" ht="13">
      <c r="A246" s="2"/>
      <c r="B246" s="2"/>
      <c r="C246" s="3"/>
      <c r="D246" s="2"/>
      <c r="E246" s="4"/>
      <c r="F246" s="4"/>
      <c r="G246" s="4"/>
      <c r="H246" s="4"/>
      <c r="I246" s="4"/>
      <c r="J246" s="5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</row>
    <row r="247" spans="1:55" ht="13">
      <c r="A247" s="2"/>
      <c r="B247" s="2"/>
      <c r="C247" s="3"/>
      <c r="D247" s="2"/>
      <c r="E247" s="4"/>
      <c r="F247" s="4"/>
      <c r="G247" s="4"/>
      <c r="H247" s="4"/>
      <c r="I247" s="4"/>
      <c r="J247" s="5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</row>
    <row r="248" spans="1:55" ht="13">
      <c r="A248" s="2"/>
      <c r="B248" s="2"/>
      <c r="C248" s="3"/>
      <c r="D248" s="2"/>
      <c r="E248" s="4"/>
      <c r="F248" s="4"/>
      <c r="G248" s="4"/>
      <c r="H248" s="4"/>
      <c r="I248" s="4"/>
      <c r="J248" s="5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</row>
    <row r="249" spans="1:55" ht="13">
      <c r="A249" s="2"/>
      <c r="B249" s="2"/>
      <c r="C249" s="3"/>
      <c r="D249" s="2"/>
      <c r="E249" s="4"/>
      <c r="F249" s="4"/>
      <c r="G249" s="4"/>
      <c r="H249" s="4"/>
      <c r="I249" s="4"/>
      <c r="J249" s="5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</row>
    <row r="250" spans="1:55" ht="13">
      <c r="A250" s="2"/>
      <c r="B250" s="2"/>
      <c r="C250" s="3"/>
      <c r="D250" s="2"/>
      <c r="E250" s="4"/>
      <c r="F250" s="4"/>
      <c r="G250" s="4"/>
      <c r="H250" s="4"/>
      <c r="I250" s="4"/>
      <c r="J250" s="5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</row>
    <row r="251" spans="1:55" ht="13">
      <c r="A251" s="2"/>
      <c r="B251" s="2"/>
      <c r="C251" s="3"/>
      <c r="D251" s="2"/>
      <c r="E251" s="4"/>
      <c r="F251" s="4"/>
      <c r="G251" s="4"/>
      <c r="H251" s="4"/>
      <c r="I251" s="4"/>
      <c r="J251" s="5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</row>
    <row r="252" spans="1:55" ht="13">
      <c r="A252" s="2"/>
      <c r="B252" s="2"/>
      <c r="C252" s="3"/>
      <c r="D252" s="2"/>
      <c r="E252" s="4"/>
      <c r="F252" s="4"/>
      <c r="G252" s="4"/>
      <c r="H252" s="4"/>
      <c r="I252" s="4"/>
      <c r="J252" s="5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</row>
    <row r="253" spans="1:55" ht="13">
      <c r="A253" s="2"/>
      <c r="B253" s="2"/>
      <c r="C253" s="3"/>
      <c r="D253" s="2"/>
      <c r="E253" s="4"/>
      <c r="F253" s="4"/>
      <c r="G253" s="4"/>
      <c r="H253" s="4"/>
      <c r="I253" s="4"/>
      <c r="J253" s="5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</row>
    <row r="254" spans="1:55" ht="13">
      <c r="A254" s="2"/>
      <c r="B254" s="2"/>
      <c r="C254" s="3"/>
      <c r="D254" s="2"/>
      <c r="E254" s="4"/>
      <c r="F254" s="4"/>
      <c r="G254" s="4"/>
      <c r="H254" s="4"/>
      <c r="I254" s="4"/>
      <c r="J254" s="5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</row>
    <row r="255" spans="1:55" ht="13">
      <c r="A255" s="2"/>
      <c r="B255" s="2"/>
      <c r="C255" s="3"/>
      <c r="D255" s="2"/>
      <c r="E255" s="4"/>
      <c r="F255" s="4"/>
      <c r="G255" s="4"/>
      <c r="H255" s="4"/>
      <c r="I255" s="4"/>
      <c r="J255" s="5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</row>
    <row r="256" spans="1:55" ht="13">
      <c r="A256" s="2"/>
      <c r="B256" s="2"/>
      <c r="C256" s="3"/>
      <c r="D256" s="2"/>
      <c r="E256" s="4"/>
      <c r="F256" s="4"/>
      <c r="G256" s="4"/>
      <c r="H256" s="4"/>
      <c r="I256" s="4"/>
      <c r="J256" s="5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</row>
    <row r="257" spans="1:55" ht="13">
      <c r="A257" s="2"/>
      <c r="B257" s="2"/>
      <c r="C257" s="3"/>
      <c r="D257" s="2"/>
      <c r="E257" s="4"/>
      <c r="F257" s="4"/>
      <c r="G257" s="4"/>
      <c r="H257" s="4"/>
      <c r="I257" s="4"/>
      <c r="J257" s="5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</row>
    <row r="258" spans="1:55" ht="13">
      <c r="A258" s="2"/>
      <c r="B258" s="2"/>
      <c r="C258" s="3"/>
      <c r="D258" s="2"/>
      <c r="E258" s="4"/>
      <c r="F258" s="4"/>
      <c r="G258" s="4"/>
      <c r="H258" s="4"/>
      <c r="I258" s="4"/>
      <c r="J258" s="5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</row>
    <row r="259" spans="1:55" ht="13">
      <c r="A259" s="2"/>
      <c r="B259" s="2"/>
      <c r="C259" s="3"/>
      <c r="D259" s="2"/>
      <c r="E259" s="4"/>
      <c r="F259" s="4"/>
      <c r="G259" s="4"/>
      <c r="H259" s="4"/>
      <c r="I259" s="4"/>
      <c r="J259" s="5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</row>
    <row r="260" spans="1:55" ht="13">
      <c r="A260" s="2"/>
      <c r="B260" s="2"/>
      <c r="C260" s="3"/>
      <c r="D260" s="2"/>
      <c r="E260" s="4"/>
      <c r="F260" s="4"/>
      <c r="G260" s="4"/>
      <c r="H260" s="4"/>
      <c r="I260" s="4"/>
      <c r="J260" s="5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</row>
    <row r="261" spans="1:55" ht="13">
      <c r="A261" s="2"/>
      <c r="B261" s="2"/>
      <c r="C261" s="3"/>
      <c r="D261" s="2"/>
      <c r="E261" s="4"/>
      <c r="F261" s="4"/>
      <c r="G261" s="4"/>
      <c r="H261" s="4"/>
      <c r="I261" s="4"/>
      <c r="J261" s="5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</row>
    <row r="262" spans="1:55" ht="13">
      <c r="A262" s="2"/>
      <c r="B262" s="2"/>
      <c r="C262" s="3"/>
      <c r="D262" s="2"/>
      <c r="E262" s="4"/>
      <c r="F262" s="4"/>
      <c r="G262" s="4"/>
      <c r="H262" s="4"/>
      <c r="I262" s="4"/>
      <c r="J262" s="5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</row>
    <row r="263" spans="1:55" ht="13">
      <c r="A263" s="2"/>
      <c r="B263" s="2"/>
      <c r="C263" s="3"/>
      <c r="D263" s="2"/>
      <c r="E263" s="4"/>
      <c r="F263" s="4"/>
      <c r="G263" s="4"/>
      <c r="H263" s="4"/>
      <c r="I263" s="4"/>
      <c r="J263" s="5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</row>
    <row r="264" spans="1:55" ht="13">
      <c r="A264" s="2"/>
      <c r="B264" s="2"/>
      <c r="C264" s="3"/>
      <c r="D264" s="2"/>
      <c r="E264" s="4"/>
      <c r="F264" s="4"/>
      <c r="G264" s="4"/>
      <c r="H264" s="4"/>
      <c r="I264" s="4"/>
      <c r="J264" s="5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</row>
    <row r="265" spans="1:55" ht="13">
      <c r="A265" s="2"/>
      <c r="B265" s="2"/>
      <c r="C265" s="3"/>
      <c r="D265" s="2"/>
      <c r="E265" s="4"/>
      <c r="F265" s="4"/>
      <c r="G265" s="4"/>
      <c r="H265" s="4"/>
      <c r="I265" s="4"/>
      <c r="J265" s="5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</row>
    <row r="266" spans="1:55" ht="13">
      <c r="A266" s="2"/>
      <c r="B266" s="2"/>
      <c r="C266" s="3"/>
      <c r="D266" s="2"/>
      <c r="E266" s="4"/>
      <c r="F266" s="4"/>
      <c r="G266" s="4"/>
      <c r="H266" s="4"/>
      <c r="I266" s="4"/>
      <c r="J266" s="5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</row>
    <row r="267" spans="1:55" ht="13">
      <c r="A267" s="2"/>
      <c r="B267" s="2"/>
      <c r="C267" s="3"/>
      <c r="D267" s="2"/>
      <c r="E267" s="4"/>
      <c r="F267" s="4"/>
      <c r="G267" s="4"/>
      <c r="H267" s="4"/>
      <c r="I267" s="4"/>
      <c r="J267" s="5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</row>
    <row r="268" spans="1:55" ht="13">
      <c r="A268" s="2"/>
      <c r="B268" s="2"/>
      <c r="C268" s="3"/>
      <c r="D268" s="2"/>
      <c r="E268" s="4"/>
      <c r="F268" s="4"/>
      <c r="G268" s="4"/>
      <c r="H268" s="4"/>
      <c r="I268" s="4"/>
      <c r="J268" s="5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</row>
    <row r="269" spans="1:55" ht="13">
      <c r="A269" s="2"/>
      <c r="B269" s="2"/>
      <c r="C269" s="3"/>
      <c r="D269" s="2"/>
      <c r="E269" s="4"/>
      <c r="F269" s="4"/>
      <c r="G269" s="4"/>
      <c r="H269" s="4"/>
      <c r="I269" s="4"/>
      <c r="J269" s="5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</row>
    <row r="270" spans="1:55" ht="13">
      <c r="A270" s="2"/>
      <c r="B270" s="2"/>
      <c r="C270" s="3"/>
      <c r="D270" s="2"/>
      <c r="E270" s="4"/>
      <c r="F270" s="4"/>
      <c r="G270" s="4"/>
      <c r="H270" s="4"/>
      <c r="I270" s="4"/>
      <c r="J270" s="5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</row>
    <row r="271" spans="1:55" ht="13">
      <c r="A271" s="2"/>
      <c r="B271" s="2"/>
      <c r="C271" s="3"/>
      <c r="D271" s="2"/>
      <c r="E271" s="4"/>
      <c r="F271" s="4"/>
      <c r="G271" s="4"/>
      <c r="H271" s="4"/>
      <c r="I271" s="4"/>
      <c r="J271" s="5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</row>
    <row r="272" spans="1:55" ht="13">
      <c r="A272" s="2"/>
      <c r="B272" s="2"/>
      <c r="C272" s="3"/>
      <c r="D272" s="2"/>
      <c r="E272" s="4"/>
      <c r="F272" s="4"/>
      <c r="G272" s="4"/>
      <c r="H272" s="4"/>
      <c r="I272" s="4"/>
      <c r="J272" s="5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</row>
    <row r="273" spans="1:55" ht="13">
      <c r="A273" s="2"/>
      <c r="B273" s="2"/>
      <c r="C273" s="3"/>
      <c r="D273" s="2"/>
      <c r="E273" s="4"/>
      <c r="F273" s="4"/>
      <c r="G273" s="4"/>
      <c r="H273" s="4"/>
      <c r="I273" s="4"/>
      <c r="J273" s="5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</row>
    <row r="274" spans="1:55" ht="13">
      <c r="A274" s="2"/>
      <c r="B274" s="2"/>
      <c r="C274" s="3"/>
      <c r="D274" s="2"/>
      <c r="E274" s="4"/>
      <c r="F274" s="4"/>
      <c r="G274" s="4"/>
      <c r="H274" s="4"/>
      <c r="I274" s="4"/>
      <c r="J274" s="5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</row>
    <row r="275" spans="1:55" ht="13">
      <c r="A275" s="2"/>
      <c r="B275" s="2"/>
      <c r="C275" s="3"/>
      <c r="D275" s="2"/>
      <c r="E275" s="4"/>
      <c r="F275" s="4"/>
      <c r="G275" s="4"/>
      <c r="H275" s="4"/>
      <c r="I275" s="4"/>
      <c r="J275" s="5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</row>
    <row r="276" spans="1:55" ht="13">
      <c r="A276" s="2"/>
      <c r="B276" s="2"/>
      <c r="C276" s="3"/>
      <c r="D276" s="2"/>
      <c r="E276" s="4"/>
      <c r="F276" s="4"/>
      <c r="G276" s="4"/>
      <c r="H276" s="4"/>
      <c r="I276" s="4"/>
      <c r="J276" s="5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</row>
    <row r="277" spans="1:55" ht="13">
      <c r="A277" s="2"/>
      <c r="B277" s="2"/>
      <c r="C277" s="3"/>
      <c r="D277" s="2"/>
      <c r="E277" s="4"/>
      <c r="F277" s="4"/>
      <c r="G277" s="4"/>
      <c r="H277" s="4"/>
      <c r="I277" s="4"/>
      <c r="J277" s="5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</row>
    <row r="278" spans="1:55" ht="13">
      <c r="A278" s="2"/>
      <c r="B278" s="2"/>
      <c r="C278" s="3"/>
      <c r="D278" s="2"/>
      <c r="E278" s="4"/>
      <c r="F278" s="4"/>
      <c r="G278" s="4"/>
      <c r="H278" s="4"/>
      <c r="I278" s="4"/>
      <c r="J278" s="5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</row>
    <row r="279" spans="1:55" ht="13">
      <c r="A279" s="2"/>
      <c r="B279" s="2"/>
      <c r="C279" s="3"/>
      <c r="D279" s="2"/>
      <c r="E279" s="4"/>
      <c r="F279" s="4"/>
      <c r="G279" s="4"/>
      <c r="H279" s="4"/>
      <c r="I279" s="4"/>
      <c r="J279" s="5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</row>
    <row r="280" spans="1:55" ht="13">
      <c r="A280" s="2"/>
      <c r="B280" s="2"/>
      <c r="C280" s="3"/>
      <c r="D280" s="2"/>
      <c r="E280" s="4"/>
      <c r="F280" s="4"/>
      <c r="G280" s="4"/>
      <c r="H280" s="4"/>
      <c r="I280" s="4"/>
      <c r="J280" s="5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</row>
    <row r="281" spans="1:55" ht="13">
      <c r="A281" s="2"/>
      <c r="B281" s="2"/>
      <c r="C281" s="3"/>
      <c r="D281" s="2"/>
      <c r="E281" s="4"/>
      <c r="F281" s="4"/>
      <c r="G281" s="4"/>
      <c r="H281" s="4"/>
      <c r="I281" s="4"/>
      <c r="J281" s="5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</row>
    <row r="282" spans="1:55" ht="13">
      <c r="A282" s="2"/>
      <c r="B282" s="2"/>
      <c r="C282" s="3"/>
      <c r="D282" s="2"/>
      <c r="E282" s="4"/>
      <c r="F282" s="4"/>
      <c r="G282" s="4"/>
      <c r="H282" s="4"/>
      <c r="I282" s="4"/>
      <c r="J282" s="5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</row>
    <row r="283" spans="1:55" ht="13">
      <c r="A283" s="2"/>
      <c r="B283" s="2"/>
      <c r="C283" s="3"/>
      <c r="D283" s="2"/>
      <c r="E283" s="4"/>
      <c r="F283" s="4"/>
      <c r="G283" s="4"/>
      <c r="H283" s="4"/>
      <c r="I283" s="4"/>
      <c r="J283" s="5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</row>
    <row r="284" spans="1:55" ht="13">
      <c r="A284" s="2"/>
      <c r="B284" s="2"/>
      <c r="C284" s="3"/>
      <c r="D284" s="2"/>
      <c r="E284" s="4"/>
      <c r="F284" s="4"/>
      <c r="G284" s="4"/>
      <c r="H284" s="4"/>
      <c r="I284" s="4"/>
      <c r="J284" s="5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</row>
    <row r="285" spans="1:55" ht="13">
      <c r="A285" s="2"/>
      <c r="B285" s="2"/>
      <c r="C285" s="3"/>
      <c r="D285" s="2"/>
      <c r="E285" s="4"/>
      <c r="F285" s="4"/>
      <c r="G285" s="4"/>
      <c r="H285" s="4"/>
      <c r="I285" s="4"/>
      <c r="J285" s="5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</row>
    <row r="286" spans="1:55" ht="13">
      <c r="A286" s="2"/>
      <c r="B286" s="2"/>
      <c r="C286" s="3"/>
      <c r="D286" s="2"/>
      <c r="E286" s="4"/>
      <c r="F286" s="4"/>
      <c r="G286" s="4"/>
      <c r="H286" s="4"/>
      <c r="I286" s="4"/>
      <c r="J286" s="5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</row>
    <row r="287" spans="1:55" ht="13">
      <c r="A287" s="2"/>
      <c r="B287" s="2"/>
      <c r="C287" s="3"/>
      <c r="D287" s="2"/>
      <c r="E287" s="4"/>
      <c r="F287" s="4"/>
      <c r="G287" s="4"/>
      <c r="H287" s="4"/>
      <c r="I287" s="4"/>
      <c r="J287" s="5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</row>
    <row r="288" spans="1:55" ht="13">
      <c r="A288" s="2"/>
      <c r="B288" s="2"/>
      <c r="C288" s="3"/>
      <c r="D288" s="2"/>
      <c r="E288" s="4"/>
      <c r="F288" s="4"/>
      <c r="G288" s="4"/>
      <c r="H288" s="4"/>
      <c r="I288" s="4"/>
      <c r="J288" s="5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</row>
    <row r="289" spans="1:55" ht="13">
      <c r="A289" s="2"/>
      <c r="B289" s="2"/>
      <c r="C289" s="3"/>
      <c r="D289" s="2"/>
      <c r="E289" s="4"/>
      <c r="F289" s="4"/>
      <c r="G289" s="4"/>
      <c r="H289" s="4"/>
      <c r="I289" s="4"/>
      <c r="J289" s="5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</row>
    <row r="290" spans="1:55" ht="13">
      <c r="A290" s="2"/>
      <c r="B290" s="2"/>
      <c r="C290" s="3"/>
      <c r="D290" s="2"/>
      <c r="E290" s="4"/>
      <c r="F290" s="4"/>
      <c r="G290" s="4"/>
      <c r="H290" s="4"/>
      <c r="I290" s="4"/>
      <c r="J290" s="5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</row>
    <row r="291" spans="1:55" ht="13">
      <c r="A291" s="2"/>
      <c r="B291" s="2"/>
      <c r="C291" s="3"/>
      <c r="D291" s="2"/>
      <c r="E291" s="4"/>
      <c r="F291" s="4"/>
      <c r="G291" s="4"/>
      <c r="H291" s="4"/>
      <c r="I291" s="4"/>
      <c r="J291" s="5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</row>
    <row r="292" spans="1:55" ht="13">
      <c r="A292" s="2"/>
      <c r="B292" s="2"/>
      <c r="C292" s="3"/>
      <c r="D292" s="2"/>
      <c r="E292" s="4"/>
      <c r="F292" s="4"/>
      <c r="G292" s="4"/>
      <c r="H292" s="4"/>
      <c r="I292" s="4"/>
      <c r="J292" s="5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</row>
    <row r="293" spans="1:55" ht="13">
      <c r="A293" s="2"/>
      <c r="B293" s="2"/>
      <c r="C293" s="3"/>
      <c r="D293" s="2"/>
      <c r="E293" s="4"/>
      <c r="F293" s="4"/>
      <c r="G293" s="4"/>
      <c r="H293" s="4"/>
      <c r="I293" s="4"/>
      <c r="J293" s="5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</row>
    <row r="294" spans="1:55" ht="13">
      <c r="A294" s="2"/>
      <c r="B294" s="2"/>
      <c r="C294" s="3"/>
      <c r="D294" s="2"/>
      <c r="E294" s="4"/>
      <c r="F294" s="4"/>
      <c r="G294" s="4"/>
      <c r="H294" s="4"/>
      <c r="I294" s="4"/>
      <c r="J294" s="5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</row>
    <row r="295" spans="1:55" ht="13">
      <c r="A295" s="2"/>
      <c r="B295" s="2"/>
      <c r="C295" s="3"/>
      <c r="D295" s="2"/>
      <c r="E295" s="4"/>
      <c r="F295" s="4"/>
      <c r="G295" s="4"/>
      <c r="H295" s="4"/>
      <c r="I295" s="4"/>
      <c r="J295" s="5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</row>
    <row r="296" spans="1:55" ht="13">
      <c r="A296" s="2"/>
      <c r="B296" s="2"/>
      <c r="C296" s="3"/>
      <c r="D296" s="2"/>
      <c r="E296" s="4"/>
      <c r="F296" s="4"/>
      <c r="G296" s="4"/>
      <c r="H296" s="4"/>
      <c r="I296" s="4"/>
      <c r="J296" s="5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</row>
    <row r="297" spans="1:55" ht="13">
      <c r="A297" s="2"/>
      <c r="B297" s="2"/>
      <c r="C297" s="3"/>
      <c r="D297" s="2"/>
      <c r="E297" s="4"/>
      <c r="F297" s="4"/>
      <c r="G297" s="4"/>
      <c r="H297" s="4"/>
      <c r="I297" s="4"/>
      <c r="J297" s="5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</row>
    <row r="298" spans="1:55" ht="13">
      <c r="A298" s="2"/>
      <c r="B298" s="2"/>
      <c r="C298" s="3"/>
      <c r="D298" s="2"/>
      <c r="E298" s="4"/>
      <c r="F298" s="4"/>
      <c r="G298" s="4"/>
      <c r="H298" s="4"/>
      <c r="I298" s="4"/>
      <c r="J298" s="5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</row>
    <row r="299" spans="1:55" ht="13">
      <c r="A299" s="2"/>
      <c r="B299" s="2"/>
      <c r="C299" s="3"/>
      <c r="D299" s="2"/>
      <c r="E299" s="4"/>
      <c r="F299" s="4"/>
      <c r="G299" s="4"/>
      <c r="H299" s="4"/>
      <c r="I299" s="4"/>
      <c r="J299" s="5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</row>
    <row r="300" spans="1:55" ht="13">
      <c r="A300" s="2"/>
      <c r="B300" s="2"/>
      <c r="C300" s="3"/>
      <c r="D300" s="2"/>
      <c r="E300" s="4"/>
      <c r="F300" s="4"/>
      <c r="G300" s="4"/>
      <c r="H300" s="4"/>
      <c r="I300" s="4"/>
      <c r="J300" s="5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</row>
    <row r="301" spans="1:55" ht="13">
      <c r="A301" s="2"/>
      <c r="B301" s="2"/>
      <c r="C301" s="3"/>
      <c r="D301" s="2"/>
      <c r="E301" s="4"/>
      <c r="F301" s="4"/>
      <c r="G301" s="4"/>
      <c r="H301" s="4"/>
      <c r="I301" s="4"/>
      <c r="J301" s="5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</row>
    <row r="302" spans="1:55" ht="13">
      <c r="A302" s="2"/>
      <c r="B302" s="2"/>
      <c r="C302" s="3"/>
      <c r="D302" s="2"/>
      <c r="E302" s="4"/>
      <c r="F302" s="4"/>
      <c r="G302" s="4"/>
      <c r="H302" s="4"/>
      <c r="I302" s="4"/>
      <c r="J302" s="5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</row>
    <row r="303" spans="1:55" ht="13">
      <c r="A303" s="2"/>
      <c r="B303" s="2"/>
      <c r="C303" s="3"/>
      <c r="D303" s="2"/>
      <c r="E303" s="4"/>
      <c r="F303" s="4"/>
      <c r="G303" s="4"/>
      <c r="H303" s="4"/>
      <c r="I303" s="4"/>
      <c r="J303" s="5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</row>
    <row r="304" spans="1:55" ht="13">
      <c r="A304" s="2"/>
      <c r="B304" s="2"/>
      <c r="C304" s="3"/>
      <c r="D304" s="2"/>
      <c r="E304" s="4"/>
      <c r="F304" s="4"/>
      <c r="G304" s="4"/>
      <c r="H304" s="4"/>
      <c r="I304" s="4"/>
      <c r="J304" s="5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</row>
    <row r="305" spans="1:55" ht="13">
      <c r="A305" s="2"/>
      <c r="B305" s="2"/>
      <c r="C305" s="3"/>
      <c r="D305" s="2"/>
      <c r="E305" s="4"/>
      <c r="F305" s="4"/>
      <c r="G305" s="4"/>
      <c r="H305" s="4"/>
      <c r="I305" s="4"/>
      <c r="J305" s="5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</row>
    <row r="306" spans="1:55" ht="13">
      <c r="A306" s="2"/>
      <c r="B306" s="2"/>
      <c r="C306" s="3"/>
      <c r="D306" s="2"/>
      <c r="E306" s="4"/>
      <c r="F306" s="4"/>
      <c r="G306" s="4"/>
      <c r="H306" s="4"/>
      <c r="I306" s="4"/>
      <c r="J306" s="5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</row>
    <row r="307" spans="1:55" ht="13">
      <c r="A307" s="2"/>
      <c r="B307" s="2"/>
      <c r="C307" s="3"/>
      <c r="D307" s="2"/>
      <c r="E307" s="4"/>
      <c r="F307" s="4"/>
      <c r="G307" s="4"/>
      <c r="H307" s="4"/>
      <c r="I307" s="4"/>
      <c r="J307" s="5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</row>
    <row r="308" spans="1:55" ht="13">
      <c r="A308" s="2"/>
      <c r="B308" s="2"/>
      <c r="C308" s="3"/>
      <c r="D308" s="2"/>
      <c r="E308" s="4"/>
      <c r="F308" s="4"/>
      <c r="G308" s="4"/>
      <c r="H308" s="4"/>
      <c r="I308" s="4"/>
      <c r="J308" s="5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</row>
    <row r="309" spans="1:55" ht="13">
      <c r="A309" s="2"/>
      <c r="B309" s="2"/>
      <c r="C309" s="3"/>
      <c r="D309" s="2"/>
      <c r="E309" s="4"/>
      <c r="F309" s="4"/>
      <c r="G309" s="4"/>
      <c r="H309" s="4"/>
      <c r="I309" s="4"/>
      <c r="J309" s="5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</row>
    <row r="310" spans="1:55" ht="13">
      <c r="A310" s="2"/>
      <c r="B310" s="2"/>
      <c r="C310" s="3"/>
      <c r="D310" s="2"/>
      <c r="E310" s="4"/>
      <c r="F310" s="4"/>
      <c r="G310" s="4"/>
      <c r="H310" s="4"/>
      <c r="I310" s="4"/>
      <c r="J310" s="5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</row>
    <row r="311" spans="1:55" ht="13">
      <c r="A311" s="2"/>
      <c r="B311" s="2"/>
      <c r="C311" s="3"/>
      <c r="D311" s="2"/>
      <c r="E311" s="4"/>
      <c r="F311" s="4"/>
      <c r="G311" s="4"/>
      <c r="H311" s="4"/>
      <c r="I311" s="4"/>
      <c r="J311" s="5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</row>
    <row r="312" spans="1:55" ht="13">
      <c r="A312" s="2"/>
      <c r="B312" s="2"/>
      <c r="C312" s="3"/>
      <c r="D312" s="2"/>
      <c r="E312" s="4"/>
      <c r="F312" s="4"/>
      <c r="G312" s="4"/>
      <c r="H312" s="4"/>
      <c r="I312" s="4"/>
      <c r="J312" s="5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</row>
    <row r="313" spans="1:55" ht="13">
      <c r="A313" s="2"/>
      <c r="B313" s="2"/>
      <c r="C313" s="3"/>
      <c r="D313" s="2"/>
      <c r="E313" s="4"/>
      <c r="F313" s="4"/>
      <c r="G313" s="4"/>
      <c r="H313" s="4"/>
      <c r="I313" s="4"/>
      <c r="J313" s="5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</row>
    <row r="314" spans="1:55" ht="13">
      <c r="A314" s="2"/>
      <c r="B314" s="2"/>
      <c r="C314" s="3"/>
      <c r="D314" s="2"/>
      <c r="E314" s="4"/>
      <c r="F314" s="4"/>
      <c r="G314" s="4"/>
      <c r="H314" s="4"/>
      <c r="I314" s="4"/>
      <c r="J314" s="5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</row>
    <row r="315" spans="1:55" ht="13">
      <c r="A315" s="2"/>
      <c r="B315" s="2"/>
      <c r="C315" s="3"/>
      <c r="D315" s="2"/>
      <c r="E315" s="4"/>
      <c r="F315" s="4"/>
      <c r="G315" s="4"/>
      <c r="H315" s="4"/>
      <c r="I315" s="4"/>
      <c r="J315" s="5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</row>
    <row r="316" spans="1:55" ht="13">
      <c r="A316" s="2"/>
      <c r="B316" s="2"/>
      <c r="C316" s="3"/>
      <c r="D316" s="2"/>
      <c r="E316" s="4"/>
      <c r="F316" s="4"/>
      <c r="G316" s="4"/>
      <c r="H316" s="4"/>
      <c r="I316" s="4"/>
      <c r="J316" s="5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</row>
    <row r="317" spans="1:55" ht="13">
      <c r="A317" s="2"/>
      <c r="B317" s="2"/>
      <c r="C317" s="3"/>
      <c r="D317" s="2"/>
      <c r="E317" s="4"/>
      <c r="F317" s="4"/>
      <c r="G317" s="4"/>
      <c r="H317" s="4"/>
      <c r="I317" s="4"/>
      <c r="J317" s="5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</row>
    <row r="318" spans="1:55" ht="13">
      <c r="A318" s="2"/>
      <c r="B318" s="2"/>
      <c r="C318" s="3"/>
      <c r="D318" s="2"/>
      <c r="E318" s="4"/>
      <c r="F318" s="4"/>
      <c r="G318" s="4"/>
      <c r="H318" s="4"/>
      <c r="I318" s="4"/>
      <c r="J318" s="5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</row>
    <row r="319" spans="1:55" ht="13">
      <c r="A319" s="2"/>
      <c r="B319" s="2"/>
      <c r="C319" s="3"/>
      <c r="D319" s="2"/>
      <c r="E319" s="4"/>
      <c r="F319" s="4"/>
      <c r="G319" s="4"/>
      <c r="H319" s="4"/>
      <c r="I319" s="4"/>
      <c r="J319" s="5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</row>
    <row r="320" spans="1:55" ht="13">
      <c r="A320" s="2"/>
      <c r="B320" s="2"/>
      <c r="C320" s="3"/>
      <c r="D320" s="2"/>
      <c r="E320" s="4"/>
      <c r="F320" s="4"/>
      <c r="G320" s="4"/>
      <c r="H320" s="4"/>
      <c r="I320" s="4"/>
      <c r="J320" s="5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</row>
    <row r="321" spans="1:55" ht="13">
      <c r="A321" s="2"/>
      <c r="B321" s="2"/>
      <c r="C321" s="3"/>
      <c r="D321" s="2"/>
      <c r="E321" s="4"/>
      <c r="F321" s="4"/>
      <c r="G321" s="4"/>
      <c r="H321" s="4"/>
      <c r="I321" s="4"/>
      <c r="J321" s="5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</row>
    <row r="322" spans="1:55" ht="13">
      <c r="A322" s="2"/>
      <c r="B322" s="2"/>
      <c r="C322" s="3"/>
      <c r="D322" s="2"/>
      <c r="E322" s="4"/>
      <c r="F322" s="4"/>
      <c r="G322" s="4"/>
      <c r="H322" s="4"/>
      <c r="I322" s="4"/>
      <c r="J322" s="5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</row>
    <row r="323" spans="1:55" ht="13">
      <c r="A323" s="2"/>
      <c r="B323" s="2"/>
      <c r="C323" s="3"/>
      <c r="D323" s="2"/>
      <c r="E323" s="4"/>
      <c r="F323" s="4"/>
      <c r="G323" s="4"/>
      <c r="H323" s="4"/>
      <c r="I323" s="4"/>
      <c r="J323" s="5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</row>
    <row r="324" spans="1:55" ht="13">
      <c r="A324" s="2"/>
      <c r="B324" s="2"/>
      <c r="C324" s="3"/>
      <c r="D324" s="2"/>
      <c r="E324" s="4"/>
      <c r="F324" s="4"/>
      <c r="G324" s="4"/>
      <c r="H324" s="4"/>
      <c r="I324" s="4"/>
      <c r="J324" s="5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</row>
    <row r="325" spans="1:55" ht="13">
      <c r="A325" s="2"/>
      <c r="B325" s="2"/>
      <c r="C325" s="3"/>
      <c r="D325" s="2"/>
      <c r="E325" s="4"/>
      <c r="F325" s="4"/>
      <c r="G325" s="4"/>
      <c r="H325" s="4"/>
      <c r="I325" s="4"/>
      <c r="J325" s="5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</row>
    <row r="326" spans="1:55" ht="13">
      <c r="A326" s="2"/>
      <c r="B326" s="2"/>
      <c r="C326" s="3"/>
      <c r="D326" s="2"/>
      <c r="E326" s="4"/>
      <c r="F326" s="4"/>
      <c r="G326" s="4"/>
      <c r="H326" s="4"/>
      <c r="I326" s="4"/>
      <c r="J326" s="5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</row>
    <row r="327" spans="1:55" ht="13">
      <c r="A327" s="2"/>
      <c r="B327" s="2"/>
      <c r="C327" s="3"/>
      <c r="D327" s="2"/>
      <c r="E327" s="4"/>
      <c r="F327" s="4"/>
      <c r="G327" s="4"/>
      <c r="H327" s="4"/>
      <c r="I327" s="4"/>
      <c r="J327" s="5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</row>
    <row r="328" spans="1:55" ht="13">
      <c r="A328" s="2"/>
      <c r="B328" s="2"/>
      <c r="C328" s="3"/>
      <c r="D328" s="2"/>
      <c r="E328" s="4"/>
      <c r="F328" s="4"/>
      <c r="G328" s="4"/>
      <c r="H328" s="4"/>
      <c r="I328" s="4"/>
      <c r="J328" s="5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</row>
    <row r="329" spans="1:55" ht="13">
      <c r="A329" s="2"/>
      <c r="B329" s="2"/>
      <c r="C329" s="3"/>
      <c r="D329" s="2"/>
      <c r="E329" s="4"/>
      <c r="F329" s="4"/>
      <c r="G329" s="4"/>
      <c r="H329" s="4"/>
      <c r="I329" s="4"/>
      <c r="J329" s="5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</row>
    <row r="330" spans="1:55" ht="13">
      <c r="A330" s="2"/>
      <c r="B330" s="2"/>
      <c r="C330" s="3"/>
      <c r="D330" s="2"/>
      <c r="E330" s="4"/>
      <c r="F330" s="4"/>
      <c r="G330" s="4"/>
      <c r="H330" s="4"/>
      <c r="I330" s="4"/>
      <c r="J330" s="5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</row>
    <row r="331" spans="1:55" ht="13">
      <c r="A331" s="2"/>
      <c r="B331" s="2"/>
      <c r="C331" s="3"/>
      <c r="D331" s="2"/>
      <c r="E331" s="4"/>
      <c r="F331" s="4"/>
      <c r="G331" s="4"/>
      <c r="H331" s="4"/>
      <c r="I331" s="4"/>
      <c r="J331" s="5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</row>
    <row r="332" spans="1:55" ht="13">
      <c r="A332" s="2"/>
      <c r="B332" s="2"/>
      <c r="C332" s="3"/>
      <c r="D332" s="2"/>
      <c r="E332" s="4"/>
      <c r="F332" s="4"/>
      <c r="G332" s="4"/>
      <c r="H332" s="4"/>
      <c r="I332" s="4"/>
      <c r="J332" s="5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</row>
    <row r="333" spans="1:55" ht="13">
      <c r="A333" s="2"/>
      <c r="B333" s="2"/>
      <c r="C333" s="3"/>
      <c r="D333" s="2"/>
      <c r="E333" s="4"/>
      <c r="F333" s="4"/>
      <c r="G333" s="4"/>
      <c r="H333" s="4"/>
      <c r="I333" s="4"/>
      <c r="J333" s="5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</row>
    <row r="334" spans="1:55" ht="13">
      <c r="A334" s="2"/>
      <c r="B334" s="2"/>
      <c r="C334" s="3"/>
      <c r="D334" s="2"/>
      <c r="E334" s="4"/>
      <c r="F334" s="4"/>
      <c r="G334" s="4"/>
      <c r="H334" s="4"/>
      <c r="I334" s="4"/>
      <c r="J334" s="5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</row>
    <row r="335" spans="1:55" ht="13">
      <c r="A335" s="2"/>
      <c r="B335" s="2"/>
      <c r="C335" s="3"/>
      <c r="D335" s="2"/>
      <c r="E335" s="4"/>
      <c r="F335" s="4"/>
      <c r="G335" s="4"/>
      <c r="H335" s="4"/>
      <c r="I335" s="4"/>
      <c r="J335" s="5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</row>
    <row r="336" spans="1:55" ht="13">
      <c r="A336" s="2"/>
      <c r="B336" s="2"/>
      <c r="C336" s="3"/>
      <c r="D336" s="2"/>
      <c r="E336" s="4"/>
      <c r="F336" s="4"/>
      <c r="G336" s="4"/>
      <c r="H336" s="4"/>
      <c r="I336" s="4"/>
      <c r="J336" s="5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</row>
    <row r="337" spans="1:55" ht="13">
      <c r="A337" s="2"/>
      <c r="B337" s="2"/>
      <c r="C337" s="3"/>
      <c r="D337" s="2"/>
      <c r="E337" s="4"/>
      <c r="F337" s="4"/>
      <c r="G337" s="4"/>
      <c r="H337" s="4"/>
      <c r="I337" s="4"/>
      <c r="J337" s="5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</row>
    <row r="338" spans="1:55" ht="13">
      <c r="A338" s="2"/>
      <c r="B338" s="2"/>
      <c r="C338" s="3"/>
      <c r="D338" s="2"/>
      <c r="E338" s="4"/>
      <c r="F338" s="4"/>
      <c r="G338" s="4"/>
      <c r="H338" s="4"/>
      <c r="I338" s="4"/>
      <c r="J338" s="5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</row>
    <row r="339" spans="1:55" ht="13">
      <c r="A339" s="2"/>
      <c r="B339" s="2"/>
      <c r="C339" s="3"/>
      <c r="D339" s="2"/>
      <c r="E339" s="4"/>
      <c r="F339" s="4"/>
      <c r="G339" s="4"/>
      <c r="H339" s="4"/>
      <c r="I339" s="4"/>
      <c r="J339" s="5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</row>
    <row r="340" spans="1:55" ht="13">
      <c r="A340" s="2"/>
      <c r="B340" s="2"/>
      <c r="C340" s="3"/>
      <c r="D340" s="2"/>
      <c r="E340" s="4"/>
      <c r="F340" s="4"/>
      <c r="G340" s="4"/>
      <c r="H340" s="4"/>
      <c r="I340" s="4"/>
      <c r="J340" s="5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</row>
    <row r="341" spans="1:55" ht="13">
      <c r="A341" s="2"/>
      <c r="B341" s="2"/>
      <c r="C341" s="3"/>
      <c r="D341" s="2"/>
      <c r="E341" s="4"/>
      <c r="F341" s="4"/>
      <c r="G341" s="4"/>
      <c r="H341" s="4"/>
      <c r="I341" s="4"/>
      <c r="J341" s="5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</row>
    <row r="342" spans="1:55" ht="13">
      <c r="A342" s="2"/>
      <c r="B342" s="2"/>
      <c r="C342" s="3"/>
      <c r="D342" s="2"/>
      <c r="E342" s="4"/>
      <c r="F342" s="4"/>
      <c r="G342" s="4"/>
      <c r="H342" s="4"/>
      <c r="I342" s="4"/>
      <c r="J342" s="5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</row>
    <row r="343" spans="1:55" ht="13">
      <c r="A343" s="2"/>
      <c r="B343" s="2"/>
      <c r="C343" s="3"/>
      <c r="D343" s="2"/>
      <c r="E343" s="4"/>
      <c r="F343" s="4"/>
      <c r="G343" s="4"/>
      <c r="H343" s="4"/>
      <c r="I343" s="4"/>
      <c r="J343" s="5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</row>
    <row r="344" spans="1:55" ht="13">
      <c r="A344" s="2"/>
      <c r="B344" s="2"/>
      <c r="C344" s="3"/>
      <c r="D344" s="2"/>
      <c r="E344" s="4"/>
      <c r="F344" s="4"/>
      <c r="G344" s="4"/>
      <c r="H344" s="4"/>
      <c r="I344" s="4"/>
      <c r="J344" s="5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</row>
    <row r="345" spans="1:55" ht="13">
      <c r="A345" s="2"/>
      <c r="B345" s="2"/>
      <c r="C345" s="3"/>
      <c r="D345" s="2"/>
      <c r="E345" s="4"/>
      <c r="F345" s="4"/>
      <c r="G345" s="4"/>
      <c r="H345" s="4"/>
      <c r="I345" s="4"/>
      <c r="J345" s="5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</row>
    <row r="346" spans="1:55" ht="13">
      <c r="A346" s="2"/>
      <c r="B346" s="2"/>
      <c r="C346" s="3"/>
      <c r="D346" s="2"/>
      <c r="E346" s="4"/>
      <c r="F346" s="4"/>
      <c r="G346" s="4"/>
      <c r="H346" s="4"/>
      <c r="I346" s="4"/>
      <c r="J346" s="5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</row>
    <row r="347" spans="1:55" ht="13">
      <c r="A347" s="2"/>
      <c r="B347" s="2"/>
      <c r="C347" s="3"/>
      <c r="D347" s="2"/>
      <c r="E347" s="4"/>
      <c r="F347" s="4"/>
      <c r="G347" s="4"/>
      <c r="H347" s="4"/>
      <c r="I347" s="4"/>
      <c r="J347" s="5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</row>
    <row r="348" spans="1:55" ht="13">
      <c r="A348" s="2"/>
      <c r="B348" s="2"/>
      <c r="C348" s="3"/>
      <c r="D348" s="2"/>
      <c r="E348" s="4"/>
      <c r="F348" s="4"/>
      <c r="G348" s="4"/>
      <c r="H348" s="4"/>
      <c r="I348" s="4"/>
      <c r="J348" s="5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</row>
    <row r="349" spans="1:55" ht="13">
      <c r="A349" s="2"/>
      <c r="B349" s="2"/>
      <c r="C349" s="3"/>
      <c r="D349" s="2"/>
      <c r="E349" s="4"/>
      <c r="F349" s="4"/>
      <c r="G349" s="4"/>
      <c r="H349" s="4"/>
      <c r="I349" s="4"/>
      <c r="J349" s="5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</row>
    <row r="350" spans="1:55" ht="13">
      <c r="A350" s="2"/>
      <c r="B350" s="2"/>
      <c r="C350" s="3"/>
      <c r="D350" s="2"/>
      <c r="E350" s="4"/>
      <c r="F350" s="4"/>
      <c r="G350" s="4"/>
      <c r="H350" s="4"/>
      <c r="I350" s="4"/>
      <c r="J350" s="5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</row>
    <row r="351" spans="1:55" ht="13">
      <c r="A351" s="2"/>
      <c r="B351" s="2"/>
      <c r="C351" s="3"/>
      <c r="D351" s="2"/>
      <c r="E351" s="4"/>
      <c r="F351" s="4"/>
      <c r="G351" s="4"/>
      <c r="H351" s="4"/>
      <c r="I351" s="4"/>
      <c r="J351" s="5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</row>
    <row r="352" spans="1:55" ht="13">
      <c r="A352" s="2"/>
      <c r="B352" s="2"/>
      <c r="C352" s="3"/>
      <c r="D352" s="2"/>
      <c r="E352" s="4"/>
      <c r="F352" s="4"/>
      <c r="G352" s="4"/>
      <c r="H352" s="4"/>
      <c r="I352" s="4"/>
      <c r="J352" s="5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</row>
    <row r="353" spans="1:55" ht="13">
      <c r="A353" s="2"/>
      <c r="B353" s="2"/>
      <c r="C353" s="3"/>
      <c r="D353" s="2"/>
      <c r="E353" s="4"/>
      <c r="F353" s="4"/>
      <c r="G353" s="4"/>
      <c r="H353" s="4"/>
      <c r="I353" s="4"/>
      <c r="J353" s="5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</row>
    <row r="354" spans="1:55" ht="13">
      <c r="A354" s="2"/>
      <c r="B354" s="2"/>
      <c r="C354" s="3"/>
      <c r="D354" s="2"/>
      <c r="E354" s="4"/>
      <c r="F354" s="4"/>
      <c r="G354" s="4"/>
      <c r="H354" s="4"/>
      <c r="I354" s="4"/>
      <c r="J354" s="5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</row>
    <row r="355" spans="1:55" ht="13">
      <c r="A355" s="2"/>
      <c r="B355" s="2"/>
      <c r="C355" s="3"/>
      <c r="D355" s="2"/>
      <c r="E355" s="4"/>
      <c r="F355" s="4"/>
      <c r="G355" s="4"/>
      <c r="H355" s="4"/>
      <c r="I355" s="4"/>
      <c r="J355" s="5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</row>
    <row r="356" spans="1:55" ht="13">
      <c r="A356" s="2"/>
      <c r="B356" s="2"/>
      <c r="C356" s="3"/>
      <c r="D356" s="2"/>
      <c r="E356" s="4"/>
      <c r="F356" s="4"/>
      <c r="G356" s="4"/>
      <c r="H356" s="4"/>
      <c r="I356" s="4"/>
      <c r="J356" s="5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</row>
    <row r="357" spans="1:55" ht="13">
      <c r="A357" s="2"/>
      <c r="B357" s="2"/>
      <c r="C357" s="3"/>
      <c r="D357" s="2"/>
      <c r="E357" s="4"/>
      <c r="F357" s="4"/>
      <c r="G357" s="4"/>
      <c r="H357" s="4"/>
      <c r="I357" s="4"/>
      <c r="J357" s="5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</row>
    <row r="358" spans="1:55" ht="13">
      <c r="A358" s="2"/>
      <c r="B358" s="2"/>
      <c r="C358" s="3"/>
      <c r="D358" s="2"/>
      <c r="E358" s="4"/>
      <c r="F358" s="4"/>
      <c r="G358" s="4"/>
      <c r="H358" s="4"/>
      <c r="I358" s="4"/>
      <c r="J358" s="5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</row>
    <row r="359" spans="1:55" ht="13">
      <c r="A359" s="2"/>
      <c r="B359" s="2"/>
      <c r="C359" s="3"/>
      <c r="D359" s="2"/>
      <c r="E359" s="4"/>
      <c r="F359" s="4"/>
      <c r="G359" s="4"/>
      <c r="H359" s="4"/>
      <c r="I359" s="4"/>
      <c r="J359" s="5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</row>
    <row r="360" spans="1:55" ht="13">
      <c r="A360" s="2"/>
      <c r="B360" s="2"/>
      <c r="C360" s="3"/>
      <c r="D360" s="2"/>
      <c r="E360" s="4"/>
      <c r="F360" s="4"/>
      <c r="G360" s="4"/>
      <c r="H360" s="4"/>
      <c r="I360" s="4"/>
      <c r="J360" s="5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</row>
    <row r="361" spans="1:55" ht="13">
      <c r="A361" s="2"/>
      <c r="B361" s="2"/>
      <c r="C361" s="3"/>
      <c r="D361" s="2"/>
      <c r="E361" s="4"/>
      <c r="F361" s="4"/>
      <c r="G361" s="4"/>
      <c r="H361" s="4"/>
      <c r="I361" s="4"/>
      <c r="J361" s="5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</row>
    <row r="362" spans="1:55" ht="13">
      <c r="A362" s="2"/>
      <c r="B362" s="2"/>
      <c r="C362" s="3"/>
      <c r="D362" s="2"/>
      <c r="E362" s="4"/>
      <c r="F362" s="4"/>
      <c r="G362" s="4"/>
      <c r="H362" s="4"/>
      <c r="I362" s="4"/>
      <c r="J362" s="5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</row>
    <row r="363" spans="1:55" ht="13">
      <c r="A363" s="2"/>
      <c r="B363" s="2"/>
      <c r="C363" s="3"/>
      <c r="D363" s="2"/>
      <c r="E363" s="4"/>
      <c r="F363" s="4"/>
      <c r="G363" s="4"/>
      <c r="H363" s="4"/>
      <c r="I363" s="4"/>
      <c r="J363" s="5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</row>
    <row r="364" spans="1:55" ht="13">
      <c r="A364" s="2"/>
      <c r="B364" s="2"/>
      <c r="C364" s="3"/>
      <c r="D364" s="2"/>
      <c r="E364" s="4"/>
      <c r="F364" s="4"/>
      <c r="G364" s="4"/>
      <c r="H364" s="4"/>
      <c r="I364" s="4"/>
      <c r="J364" s="5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</row>
    <row r="365" spans="1:55" ht="13">
      <c r="A365" s="2"/>
      <c r="B365" s="2"/>
      <c r="C365" s="3"/>
      <c r="D365" s="2"/>
      <c r="E365" s="4"/>
      <c r="F365" s="4"/>
      <c r="G365" s="4"/>
      <c r="H365" s="4"/>
      <c r="I365" s="4"/>
      <c r="J365" s="5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</row>
    <row r="366" spans="1:55" ht="13">
      <c r="A366" s="2"/>
      <c r="B366" s="2"/>
      <c r="C366" s="3"/>
      <c r="D366" s="2"/>
      <c r="E366" s="4"/>
      <c r="F366" s="4"/>
      <c r="G366" s="4"/>
      <c r="H366" s="4"/>
      <c r="I366" s="4"/>
      <c r="J366" s="5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</row>
    <row r="367" spans="1:55" ht="13">
      <c r="A367" s="2"/>
      <c r="B367" s="2"/>
      <c r="C367" s="3"/>
      <c r="D367" s="2"/>
      <c r="E367" s="4"/>
      <c r="F367" s="4"/>
      <c r="G367" s="4"/>
      <c r="H367" s="4"/>
      <c r="I367" s="4"/>
      <c r="J367" s="5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</row>
    <row r="368" spans="1:55" ht="13">
      <c r="A368" s="2"/>
      <c r="B368" s="2"/>
      <c r="C368" s="3"/>
      <c r="D368" s="2"/>
      <c r="E368" s="4"/>
      <c r="F368" s="4"/>
      <c r="G368" s="4"/>
      <c r="H368" s="4"/>
      <c r="I368" s="4"/>
      <c r="J368" s="5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</row>
    <row r="369" spans="1:55" ht="13">
      <c r="A369" s="2"/>
      <c r="B369" s="2"/>
      <c r="C369" s="3"/>
      <c r="D369" s="2"/>
      <c r="E369" s="4"/>
      <c r="F369" s="4"/>
      <c r="G369" s="4"/>
      <c r="H369" s="4"/>
      <c r="I369" s="4"/>
      <c r="J369" s="5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</row>
    <row r="370" spans="1:55" ht="13">
      <c r="A370" s="2"/>
      <c r="B370" s="2"/>
      <c r="C370" s="3"/>
      <c r="D370" s="2"/>
      <c r="E370" s="4"/>
      <c r="F370" s="4"/>
      <c r="G370" s="4"/>
      <c r="H370" s="4"/>
      <c r="I370" s="4"/>
      <c r="J370" s="5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</row>
    <row r="371" spans="1:55" ht="13">
      <c r="A371" s="2"/>
      <c r="B371" s="2"/>
      <c r="C371" s="3"/>
      <c r="D371" s="2"/>
      <c r="E371" s="4"/>
      <c r="F371" s="4"/>
      <c r="G371" s="4"/>
      <c r="H371" s="4"/>
      <c r="I371" s="4"/>
      <c r="J371" s="5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</row>
    <row r="372" spans="1:55" ht="13">
      <c r="A372" s="2"/>
      <c r="B372" s="2"/>
      <c r="C372" s="3"/>
      <c r="D372" s="2"/>
      <c r="E372" s="4"/>
      <c r="F372" s="4"/>
      <c r="G372" s="4"/>
      <c r="H372" s="4"/>
      <c r="I372" s="4"/>
      <c r="J372" s="5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</row>
    <row r="373" spans="1:55" ht="13">
      <c r="A373" s="2"/>
      <c r="B373" s="2"/>
      <c r="C373" s="3"/>
      <c r="D373" s="2"/>
      <c r="E373" s="4"/>
      <c r="F373" s="4"/>
      <c r="G373" s="4"/>
      <c r="H373" s="4"/>
      <c r="I373" s="4"/>
      <c r="J373" s="5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</row>
    <row r="374" spans="1:55" ht="13">
      <c r="A374" s="2"/>
      <c r="B374" s="2"/>
      <c r="C374" s="3"/>
      <c r="D374" s="2"/>
      <c r="E374" s="4"/>
      <c r="F374" s="4"/>
      <c r="G374" s="4"/>
      <c r="H374" s="4"/>
      <c r="I374" s="4"/>
      <c r="J374" s="5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</row>
    <row r="375" spans="1:55" ht="13">
      <c r="A375" s="2"/>
      <c r="B375" s="2"/>
      <c r="C375" s="3"/>
      <c r="D375" s="2"/>
      <c r="E375" s="4"/>
      <c r="F375" s="4"/>
      <c r="G375" s="4"/>
      <c r="H375" s="4"/>
      <c r="I375" s="4"/>
      <c r="J375" s="5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</row>
    <row r="376" spans="1:55" ht="13">
      <c r="A376" s="2"/>
      <c r="B376" s="2"/>
      <c r="C376" s="3"/>
      <c r="D376" s="2"/>
      <c r="E376" s="4"/>
      <c r="F376" s="4"/>
      <c r="G376" s="4"/>
      <c r="H376" s="4"/>
      <c r="I376" s="4"/>
      <c r="J376" s="5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</row>
    <row r="377" spans="1:55" ht="13">
      <c r="A377" s="2"/>
      <c r="B377" s="2"/>
      <c r="C377" s="3"/>
      <c r="D377" s="2"/>
      <c r="E377" s="4"/>
      <c r="F377" s="4"/>
      <c r="G377" s="4"/>
      <c r="H377" s="4"/>
      <c r="I377" s="4"/>
      <c r="J377" s="5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</row>
    <row r="378" spans="1:55" ht="13">
      <c r="A378" s="2"/>
      <c r="B378" s="2"/>
      <c r="C378" s="3"/>
      <c r="D378" s="2"/>
      <c r="E378" s="4"/>
      <c r="F378" s="4"/>
      <c r="G378" s="4"/>
      <c r="H378" s="4"/>
      <c r="I378" s="4"/>
      <c r="J378" s="5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</row>
    <row r="379" spans="1:55" ht="13">
      <c r="A379" s="2"/>
      <c r="B379" s="2"/>
      <c r="C379" s="3"/>
      <c r="D379" s="2"/>
      <c r="E379" s="4"/>
      <c r="F379" s="4"/>
      <c r="G379" s="4"/>
      <c r="H379" s="4"/>
      <c r="I379" s="4"/>
      <c r="J379" s="5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</row>
    <row r="380" spans="1:55" ht="13">
      <c r="A380" s="2"/>
      <c r="B380" s="2"/>
      <c r="C380" s="3"/>
      <c r="D380" s="2"/>
      <c r="E380" s="4"/>
      <c r="F380" s="4"/>
      <c r="G380" s="4"/>
      <c r="H380" s="4"/>
      <c r="I380" s="4"/>
      <c r="J380" s="5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</row>
    <row r="381" spans="1:55" ht="13">
      <c r="A381" s="2"/>
      <c r="B381" s="2"/>
      <c r="C381" s="3"/>
      <c r="D381" s="2"/>
      <c r="E381" s="4"/>
      <c r="F381" s="4"/>
      <c r="G381" s="4"/>
      <c r="H381" s="4"/>
      <c r="I381" s="4"/>
      <c r="J381" s="5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</row>
    <row r="382" spans="1:55" ht="13">
      <c r="A382" s="2"/>
      <c r="B382" s="2"/>
      <c r="C382" s="3"/>
      <c r="D382" s="2"/>
      <c r="E382" s="4"/>
      <c r="F382" s="4"/>
      <c r="G382" s="4"/>
      <c r="H382" s="4"/>
      <c r="I382" s="4"/>
      <c r="J382" s="5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</row>
    <row r="383" spans="1:55" ht="13">
      <c r="A383" s="2"/>
      <c r="B383" s="2"/>
      <c r="C383" s="3"/>
      <c r="D383" s="2"/>
      <c r="E383" s="4"/>
      <c r="F383" s="4"/>
      <c r="G383" s="4"/>
      <c r="H383" s="4"/>
      <c r="I383" s="4"/>
      <c r="J383" s="5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</row>
    <row r="384" spans="1:55" ht="13">
      <c r="A384" s="2"/>
      <c r="B384" s="2"/>
      <c r="C384" s="3"/>
      <c r="D384" s="2"/>
      <c r="E384" s="4"/>
      <c r="F384" s="4"/>
      <c r="G384" s="4"/>
      <c r="H384" s="4"/>
      <c r="I384" s="4"/>
      <c r="J384" s="5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</row>
    <row r="385" spans="1:55" ht="13">
      <c r="A385" s="2"/>
      <c r="B385" s="2"/>
      <c r="C385" s="3"/>
      <c r="D385" s="2"/>
      <c r="E385" s="4"/>
      <c r="F385" s="4"/>
      <c r="G385" s="4"/>
      <c r="H385" s="4"/>
      <c r="I385" s="4"/>
      <c r="J385" s="5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</row>
    <row r="386" spans="1:55" ht="13">
      <c r="A386" s="2"/>
      <c r="B386" s="2"/>
      <c r="C386" s="3"/>
      <c r="D386" s="2"/>
      <c r="E386" s="4"/>
      <c r="F386" s="4"/>
      <c r="G386" s="4"/>
      <c r="H386" s="4"/>
      <c r="I386" s="4"/>
      <c r="J386" s="5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</row>
    <row r="387" spans="1:55" ht="13">
      <c r="A387" s="2"/>
      <c r="B387" s="2"/>
      <c r="C387" s="3"/>
      <c r="D387" s="2"/>
      <c r="E387" s="4"/>
      <c r="F387" s="4"/>
      <c r="G387" s="4"/>
      <c r="H387" s="4"/>
      <c r="I387" s="4"/>
      <c r="J387" s="5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</row>
    <row r="388" spans="1:55" ht="13">
      <c r="A388" s="2"/>
      <c r="B388" s="2"/>
      <c r="C388" s="3"/>
      <c r="D388" s="2"/>
      <c r="E388" s="4"/>
      <c r="F388" s="4"/>
      <c r="G388" s="4"/>
      <c r="H388" s="4"/>
      <c r="I388" s="4"/>
      <c r="J388" s="5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</row>
    <row r="389" spans="1:55" ht="13">
      <c r="A389" s="2"/>
      <c r="B389" s="2"/>
      <c r="C389" s="3"/>
      <c r="D389" s="2"/>
      <c r="E389" s="4"/>
      <c r="F389" s="4"/>
      <c r="G389" s="4"/>
      <c r="H389" s="4"/>
      <c r="I389" s="4"/>
      <c r="J389" s="5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</row>
    <row r="390" spans="1:55" ht="13">
      <c r="A390" s="2"/>
      <c r="B390" s="2"/>
      <c r="C390" s="3"/>
      <c r="D390" s="2"/>
      <c r="E390" s="4"/>
      <c r="F390" s="4"/>
      <c r="G390" s="4"/>
      <c r="H390" s="4"/>
      <c r="I390" s="4"/>
      <c r="J390" s="5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</row>
    <row r="391" spans="1:55" ht="13">
      <c r="A391" s="2"/>
      <c r="B391" s="2"/>
      <c r="C391" s="3"/>
      <c r="D391" s="2"/>
      <c r="E391" s="4"/>
      <c r="F391" s="4"/>
      <c r="G391" s="4"/>
      <c r="H391" s="4"/>
      <c r="I391" s="4"/>
      <c r="J391" s="5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</row>
    <row r="392" spans="1:55" ht="13">
      <c r="A392" s="2"/>
      <c r="B392" s="2"/>
      <c r="C392" s="3"/>
      <c r="D392" s="2"/>
      <c r="E392" s="4"/>
      <c r="F392" s="4"/>
      <c r="G392" s="4"/>
      <c r="H392" s="4"/>
      <c r="I392" s="4"/>
      <c r="J392" s="5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</row>
    <row r="393" spans="1:55" ht="13">
      <c r="A393" s="2"/>
      <c r="B393" s="2"/>
      <c r="C393" s="3"/>
      <c r="D393" s="2"/>
      <c r="E393" s="4"/>
      <c r="F393" s="4"/>
      <c r="G393" s="4"/>
      <c r="H393" s="4"/>
      <c r="I393" s="4"/>
      <c r="J393" s="5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</row>
    <row r="394" spans="1:55" ht="13">
      <c r="A394" s="2"/>
      <c r="B394" s="2"/>
      <c r="C394" s="3"/>
      <c r="D394" s="2"/>
      <c r="E394" s="4"/>
      <c r="F394" s="4"/>
      <c r="G394" s="4"/>
      <c r="H394" s="4"/>
      <c r="I394" s="4"/>
      <c r="J394" s="5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</row>
    <row r="395" spans="1:55" ht="13">
      <c r="A395" s="2"/>
      <c r="B395" s="2"/>
      <c r="C395" s="3"/>
      <c r="D395" s="2"/>
      <c r="E395" s="4"/>
      <c r="F395" s="4"/>
      <c r="G395" s="4"/>
      <c r="H395" s="4"/>
      <c r="I395" s="4"/>
      <c r="J395" s="5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</row>
    <row r="396" spans="1:55" ht="13">
      <c r="A396" s="2"/>
      <c r="B396" s="2"/>
      <c r="C396" s="3"/>
      <c r="D396" s="2"/>
      <c r="E396" s="4"/>
      <c r="F396" s="4"/>
      <c r="G396" s="4"/>
      <c r="H396" s="4"/>
      <c r="I396" s="4"/>
      <c r="J396" s="5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</row>
    <row r="397" spans="1:55" ht="13">
      <c r="A397" s="2"/>
      <c r="B397" s="2"/>
      <c r="C397" s="3"/>
      <c r="D397" s="2"/>
      <c r="E397" s="4"/>
      <c r="F397" s="4"/>
      <c r="G397" s="4"/>
      <c r="H397" s="4"/>
      <c r="I397" s="4"/>
      <c r="J397" s="5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</row>
    <row r="398" spans="1:55" ht="13">
      <c r="A398" s="2"/>
      <c r="B398" s="2"/>
      <c r="C398" s="3"/>
      <c r="D398" s="2"/>
      <c r="E398" s="4"/>
      <c r="F398" s="4"/>
      <c r="G398" s="4"/>
      <c r="H398" s="4"/>
      <c r="I398" s="4"/>
      <c r="J398" s="5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</row>
    <row r="399" spans="1:55" ht="13">
      <c r="A399" s="2"/>
      <c r="B399" s="2"/>
      <c r="C399" s="3"/>
      <c r="D399" s="2"/>
      <c r="E399" s="4"/>
      <c r="F399" s="4"/>
      <c r="G399" s="4"/>
      <c r="H399" s="4"/>
      <c r="I399" s="4"/>
      <c r="J399" s="5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</row>
    <row r="400" spans="1:55" ht="13">
      <c r="A400" s="2"/>
      <c r="B400" s="2"/>
      <c r="C400" s="3"/>
      <c r="D400" s="2"/>
      <c r="E400" s="4"/>
      <c r="F400" s="4"/>
      <c r="G400" s="4"/>
      <c r="H400" s="4"/>
      <c r="I400" s="4"/>
      <c r="J400" s="5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</row>
    <row r="401" spans="1:55" ht="13">
      <c r="A401" s="2"/>
      <c r="B401" s="2"/>
      <c r="C401" s="3"/>
      <c r="D401" s="2"/>
      <c r="E401" s="4"/>
      <c r="F401" s="4"/>
      <c r="G401" s="4"/>
      <c r="H401" s="4"/>
      <c r="I401" s="4"/>
      <c r="J401" s="5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</row>
    <row r="402" spans="1:55" ht="13">
      <c r="A402" s="2"/>
      <c r="B402" s="2"/>
      <c r="C402" s="3"/>
      <c r="D402" s="2"/>
      <c r="E402" s="4"/>
      <c r="F402" s="4"/>
      <c r="G402" s="4"/>
      <c r="H402" s="4"/>
      <c r="I402" s="4"/>
      <c r="J402" s="5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</row>
    <row r="403" spans="1:55" ht="13">
      <c r="A403" s="2"/>
      <c r="B403" s="2"/>
      <c r="C403" s="3"/>
      <c r="D403" s="2"/>
      <c r="E403" s="4"/>
      <c r="F403" s="4"/>
      <c r="G403" s="4"/>
      <c r="H403" s="4"/>
      <c r="I403" s="4"/>
      <c r="J403" s="5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</row>
    <row r="404" spans="1:55" ht="13">
      <c r="A404" s="2"/>
      <c r="B404" s="2"/>
      <c r="C404" s="3"/>
      <c r="D404" s="2"/>
      <c r="E404" s="4"/>
      <c r="F404" s="4"/>
      <c r="G404" s="4"/>
      <c r="H404" s="4"/>
      <c r="I404" s="4"/>
      <c r="J404" s="5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</row>
    <row r="405" spans="1:55" ht="13">
      <c r="A405" s="2"/>
      <c r="B405" s="2"/>
      <c r="C405" s="3"/>
      <c r="D405" s="2"/>
      <c r="E405" s="4"/>
      <c r="F405" s="4"/>
      <c r="G405" s="4"/>
      <c r="H405" s="4"/>
      <c r="I405" s="4"/>
      <c r="J405" s="5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</row>
    <row r="406" spans="1:55" ht="13">
      <c r="A406" s="2"/>
      <c r="B406" s="2"/>
      <c r="C406" s="3"/>
      <c r="D406" s="2"/>
      <c r="E406" s="4"/>
      <c r="F406" s="4"/>
      <c r="G406" s="4"/>
      <c r="H406" s="4"/>
      <c r="I406" s="4"/>
      <c r="J406" s="5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</row>
    <row r="407" spans="1:55" ht="13">
      <c r="A407" s="2"/>
      <c r="B407" s="2"/>
      <c r="C407" s="3"/>
      <c r="D407" s="2"/>
      <c r="E407" s="4"/>
      <c r="F407" s="4"/>
      <c r="G407" s="4"/>
      <c r="H407" s="4"/>
      <c r="I407" s="4"/>
      <c r="J407" s="5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</row>
    <row r="408" spans="1:55" ht="13">
      <c r="A408" s="2"/>
      <c r="B408" s="2"/>
      <c r="C408" s="3"/>
      <c r="D408" s="2"/>
      <c r="E408" s="4"/>
      <c r="F408" s="4"/>
      <c r="G408" s="4"/>
      <c r="H408" s="4"/>
      <c r="I408" s="4"/>
      <c r="J408" s="5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</row>
    <row r="409" spans="1:55" ht="13">
      <c r="A409" s="2"/>
      <c r="B409" s="2"/>
      <c r="C409" s="3"/>
      <c r="D409" s="2"/>
      <c r="E409" s="4"/>
      <c r="F409" s="4"/>
      <c r="G409" s="4"/>
      <c r="H409" s="4"/>
      <c r="I409" s="4"/>
      <c r="J409" s="5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</row>
    <row r="410" spans="1:55" ht="13">
      <c r="A410" s="2"/>
      <c r="B410" s="2"/>
      <c r="C410" s="3"/>
      <c r="D410" s="2"/>
      <c r="E410" s="4"/>
      <c r="F410" s="4"/>
      <c r="G410" s="4"/>
      <c r="H410" s="4"/>
      <c r="I410" s="4"/>
      <c r="J410" s="5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</row>
    <row r="411" spans="1:55" ht="13">
      <c r="A411" s="2"/>
      <c r="B411" s="2"/>
      <c r="C411" s="3"/>
      <c r="D411" s="2"/>
      <c r="E411" s="4"/>
      <c r="F411" s="4"/>
      <c r="G411" s="4"/>
      <c r="H411" s="4"/>
      <c r="I411" s="4"/>
      <c r="J411" s="5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</row>
    <row r="412" spans="1:55" ht="13">
      <c r="A412" s="2"/>
      <c r="B412" s="2"/>
      <c r="C412" s="3"/>
      <c r="D412" s="2"/>
      <c r="E412" s="4"/>
      <c r="F412" s="4"/>
      <c r="G412" s="4"/>
      <c r="H412" s="4"/>
      <c r="I412" s="4"/>
      <c r="J412" s="5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</row>
    <row r="413" spans="1:55" ht="13">
      <c r="A413" s="2"/>
      <c r="B413" s="2"/>
      <c r="C413" s="3"/>
      <c r="D413" s="2"/>
      <c r="E413" s="4"/>
      <c r="F413" s="4"/>
      <c r="G413" s="4"/>
      <c r="H413" s="4"/>
      <c r="I413" s="4"/>
      <c r="J413" s="5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</row>
    <row r="414" spans="1:55" ht="13">
      <c r="A414" s="2"/>
      <c r="B414" s="2"/>
      <c r="C414" s="3"/>
      <c r="D414" s="2"/>
      <c r="E414" s="4"/>
      <c r="F414" s="4"/>
      <c r="G414" s="4"/>
      <c r="H414" s="4"/>
      <c r="I414" s="4"/>
      <c r="J414" s="5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</row>
    <row r="415" spans="1:55" ht="13">
      <c r="A415" s="2"/>
      <c r="B415" s="2"/>
      <c r="C415" s="3"/>
      <c r="D415" s="2"/>
      <c r="E415" s="4"/>
      <c r="F415" s="4"/>
      <c r="G415" s="4"/>
      <c r="H415" s="4"/>
      <c r="I415" s="4"/>
      <c r="J415" s="5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</row>
    <row r="416" spans="1:55" ht="13">
      <c r="A416" s="2"/>
      <c r="B416" s="2"/>
      <c r="C416" s="3"/>
      <c r="D416" s="2"/>
      <c r="E416" s="4"/>
      <c r="F416" s="4"/>
      <c r="G416" s="4"/>
      <c r="H416" s="4"/>
      <c r="I416" s="4"/>
      <c r="J416" s="5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</row>
    <row r="417" spans="1:55" ht="13">
      <c r="A417" s="2"/>
      <c r="B417" s="2"/>
      <c r="C417" s="3"/>
      <c r="D417" s="2"/>
      <c r="E417" s="4"/>
      <c r="F417" s="4"/>
      <c r="G417" s="4"/>
      <c r="H417" s="4"/>
      <c r="I417" s="4"/>
      <c r="J417" s="5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</row>
    <row r="418" spans="1:55" ht="13">
      <c r="A418" s="2"/>
      <c r="B418" s="2"/>
      <c r="C418" s="3"/>
      <c r="D418" s="2"/>
      <c r="E418" s="4"/>
      <c r="F418" s="4"/>
      <c r="G418" s="4"/>
      <c r="H418" s="4"/>
      <c r="I418" s="4"/>
      <c r="J418" s="5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</row>
    <row r="419" spans="1:55" ht="13">
      <c r="A419" s="2"/>
      <c r="B419" s="2"/>
      <c r="C419" s="3"/>
      <c r="D419" s="2"/>
      <c r="E419" s="4"/>
      <c r="F419" s="4"/>
      <c r="G419" s="4"/>
      <c r="H419" s="4"/>
      <c r="I419" s="4"/>
      <c r="J419" s="5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</row>
    <row r="420" spans="1:55" ht="13">
      <c r="A420" s="2"/>
      <c r="B420" s="2"/>
      <c r="C420" s="3"/>
      <c r="D420" s="2"/>
      <c r="E420" s="4"/>
      <c r="F420" s="4"/>
      <c r="G420" s="4"/>
      <c r="H420" s="4"/>
      <c r="I420" s="4"/>
      <c r="J420" s="5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</row>
    <row r="421" spans="1:55" ht="13">
      <c r="A421" s="2"/>
      <c r="B421" s="2"/>
      <c r="C421" s="3"/>
      <c r="D421" s="2"/>
      <c r="E421" s="4"/>
      <c r="F421" s="4"/>
      <c r="G421" s="4"/>
      <c r="H421" s="4"/>
      <c r="I421" s="4"/>
      <c r="J421" s="5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</row>
    <row r="422" spans="1:55" ht="13">
      <c r="A422" s="2"/>
      <c r="B422" s="2"/>
      <c r="C422" s="3"/>
      <c r="D422" s="2"/>
      <c r="E422" s="4"/>
      <c r="F422" s="4"/>
      <c r="G422" s="4"/>
      <c r="H422" s="4"/>
      <c r="I422" s="4"/>
      <c r="J422" s="5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</row>
    <row r="423" spans="1:55" ht="13">
      <c r="A423" s="2"/>
      <c r="B423" s="2"/>
      <c r="C423" s="3"/>
      <c r="D423" s="2"/>
      <c r="E423" s="4"/>
      <c r="F423" s="4"/>
      <c r="G423" s="4"/>
      <c r="H423" s="4"/>
      <c r="I423" s="4"/>
      <c r="J423" s="5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</row>
    <row r="424" spans="1:55" ht="13">
      <c r="A424" s="2"/>
      <c r="B424" s="2"/>
      <c r="C424" s="3"/>
      <c r="D424" s="2"/>
      <c r="E424" s="4"/>
      <c r="F424" s="4"/>
      <c r="G424" s="4"/>
      <c r="H424" s="4"/>
      <c r="I424" s="4"/>
      <c r="J424" s="5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</row>
    <row r="425" spans="1:55" ht="13">
      <c r="A425" s="2"/>
      <c r="B425" s="2"/>
      <c r="C425" s="3"/>
      <c r="D425" s="2"/>
      <c r="E425" s="4"/>
      <c r="F425" s="4"/>
      <c r="G425" s="4"/>
      <c r="H425" s="4"/>
      <c r="I425" s="4"/>
      <c r="J425" s="5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</row>
    <row r="426" spans="1:55" ht="13">
      <c r="A426" s="2"/>
      <c r="B426" s="2"/>
      <c r="C426" s="3"/>
      <c r="D426" s="2"/>
      <c r="E426" s="4"/>
      <c r="F426" s="4"/>
      <c r="G426" s="4"/>
      <c r="H426" s="4"/>
      <c r="I426" s="4"/>
      <c r="J426" s="5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</row>
    <row r="427" spans="1:55" ht="13">
      <c r="A427" s="2"/>
      <c r="B427" s="2"/>
      <c r="C427" s="3"/>
      <c r="D427" s="2"/>
      <c r="E427" s="4"/>
      <c r="F427" s="4"/>
      <c r="G427" s="4"/>
      <c r="H427" s="4"/>
      <c r="I427" s="4"/>
      <c r="J427" s="5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</row>
    <row r="428" spans="1:55" ht="13">
      <c r="A428" s="2"/>
      <c r="B428" s="2"/>
      <c r="C428" s="3"/>
      <c r="D428" s="2"/>
      <c r="E428" s="4"/>
      <c r="F428" s="4"/>
      <c r="G428" s="4"/>
      <c r="H428" s="4"/>
      <c r="I428" s="4"/>
      <c r="J428" s="5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</row>
    <row r="429" spans="1:55" ht="13">
      <c r="A429" s="2"/>
      <c r="B429" s="2"/>
      <c r="C429" s="3"/>
      <c r="D429" s="2"/>
      <c r="E429" s="4"/>
      <c r="F429" s="4"/>
      <c r="G429" s="4"/>
      <c r="H429" s="4"/>
      <c r="I429" s="4"/>
      <c r="J429" s="5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</row>
    <row r="430" spans="1:55" ht="13">
      <c r="A430" s="2"/>
      <c r="B430" s="2"/>
      <c r="C430" s="3"/>
      <c r="D430" s="2"/>
      <c r="E430" s="4"/>
      <c r="F430" s="4"/>
      <c r="G430" s="4"/>
      <c r="H430" s="4"/>
      <c r="I430" s="4"/>
      <c r="J430" s="5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</row>
    <row r="431" spans="1:55" ht="13">
      <c r="A431" s="2"/>
      <c r="B431" s="2"/>
      <c r="C431" s="3"/>
      <c r="D431" s="2"/>
      <c r="E431" s="4"/>
      <c r="F431" s="4"/>
      <c r="G431" s="4"/>
      <c r="H431" s="4"/>
      <c r="I431" s="4"/>
      <c r="J431" s="5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</row>
    <row r="432" spans="1:55" ht="13">
      <c r="A432" s="2"/>
      <c r="B432" s="2"/>
      <c r="C432" s="3"/>
      <c r="D432" s="2"/>
      <c r="E432" s="4"/>
      <c r="F432" s="4"/>
      <c r="G432" s="4"/>
      <c r="H432" s="4"/>
      <c r="I432" s="4"/>
      <c r="J432" s="5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</row>
    <row r="433" spans="1:55" ht="13">
      <c r="A433" s="2"/>
      <c r="B433" s="2"/>
      <c r="C433" s="3"/>
      <c r="D433" s="2"/>
      <c r="E433" s="4"/>
      <c r="F433" s="4"/>
      <c r="G433" s="4"/>
      <c r="H433" s="4"/>
      <c r="I433" s="4"/>
      <c r="J433" s="5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</row>
    <row r="434" spans="1:55" ht="13">
      <c r="A434" s="2"/>
      <c r="B434" s="2"/>
      <c r="C434" s="3"/>
      <c r="D434" s="2"/>
      <c r="E434" s="4"/>
      <c r="F434" s="4"/>
      <c r="G434" s="4"/>
      <c r="H434" s="4"/>
      <c r="I434" s="4"/>
      <c r="J434" s="5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</row>
    <row r="435" spans="1:55" ht="13">
      <c r="A435" s="2"/>
      <c r="B435" s="2"/>
      <c r="C435" s="3"/>
      <c r="D435" s="2"/>
      <c r="E435" s="4"/>
      <c r="F435" s="4"/>
      <c r="G435" s="4"/>
      <c r="H435" s="4"/>
      <c r="I435" s="4"/>
      <c r="J435" s="5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</row>
    <row r="436" spans="1:55" ht="13">
      <c r="A436" s="2"/>
      <c r="B436" s="2"/>
      <c r="C436" s="3"/>
      <c r="D436" s="2"/>
      <c r="E436" s="4"/>
      <c r="F436" s="4"/>
      <c r="G436" s="4"/>
      <c r="H436" s="4"/>
      <c r="I436" s="4"/>
      <c r="J436" s="5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</row>
    <row r="437" spans="1:55" ht="13">
      <c r="A437" s="2"/>
      <c r="B437" s="2"/>
      <c r="C437" s="3"/>
      <c r="D437" s="2"/>
      <c r="E437" s="4"/>
      <c r="F437" s="4"/>
      <c r="G437" s="4"/>
      <c r="H437" s="4"/>
      <c r="I437" s="4"/>
      <c r="J437" s="5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</row>
    <row r="438" spans="1:55" ht="13">
      <c r="A438" s="2"/>
      <c r="B438" s="2"/>
      <c r="C438" s="3"/>
      <c r="D438" s="2"/>
      <c r="E438" s="4"/>
      <c r="F438" s="4"/>
      <c r="G438" s="4"/>
      <c r="H438" s="4"/>
      <c r="I438" s="4"/>
      <c r="J438" s="5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</row>
    <row r="439" spans="1:55" ht="13">
      <c r="A439" s="2"/>
      <c r="B439" s="2"/>
      <c r="C439" s="3"/>
      <c r="D439" s="2"/>
      <c r="E439" s="4"/>
      <c r="F439" s="4"/>
      <c r="G439" s="4"/>
      <c r="H439" s="4"/>
      <c r="I439" s="4"/>
      <c r="J439" s="5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</row>
    <row r="440" spans="1:55" ht="13">
      <c r="A440" s="2"/>
      <c r="B440" s="2"/>
      <c r="C440" s="3"/>
      <c r="D440" s="2"/>
      <c r="E440" s="4"/>
      <c r="F440" s="4"/>
      <c r="G440" s="4"/>
      <c r="H440" s="4"/>
      <c r="I440" s="4"/>
      <c r="J440" s="5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</row>
    <row r="441" spans="1:55" ht="13">
      <c r="A441" s="2"/>
      <c r="B441" s="2"/>
      <c r="C441" s="3"/>
      <c r="D441" s="2"/>
      <c r="E441" s="4"/>
      <c r="F441" s="4"/>
      <c r="G441" s="4"/>
      <c r="H441" s="4"/>
      <c r="I441" s="4"/>
      <c r="J441" s="5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</row>
    <row r="442" spans="1:55" ht="13">
      <c r="A442" s="2"/>
      <c r="B442" s="2"/>
      <c r="C442" s="3"/>
      <c r="D442" s="2"/>
      <c r="E442" s="4"/>
      <c r="F442" s="4"/>
      <c r="G442" s="4"/>
      <c r="H442" s="4"/>
      <c r="I442" s="4"/>
      <c r="J442" s="5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</row>
    <row r="443" spans="1:55" ht="13">
      <c r="A443" s="2"/>
      <c r="B443" s="2"/>
      <c r="C443" s="3"/>
      <c r="D443" s="2"/>
      <c r="E443" s="4"/>
      <c r="F443" s="4"/>
      <c r="G443" s="4"/>
      <c r="H443" s="4"/>
      <c r="I443" s="4"/>
      <c r="J443" s="5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</row>
    <row r="444" spans="1:55" ht="13">
      <c r="A444" s="2"/>
      <c r="B444" s="2"/>
      <c r="C444" s="3"/>
      <c r="D444" s="2"/>
      <c r="E444" s="4"/>
      <c r="F444" s="4"/>
      <c r="G444" s="4"/>
      <c r="H444" s="4"/>
      <c r="I444" s="4"/>
      <c r="J444" s="5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</row>
    <row r="445" spans="1:55" ht="13">
      <c r="A445" s="2"/>
      <c r="B445" s="2"/>
      <c r="C445" s="3"/>
      <c r="D445" s="2"/>
      <c r="E445" s="4"/>
      <c r="F445" s="4"/>
      <c r="G445" s="4"/>
      <c r="H445" s="4"/>
      <c r="I445" s="4"/>
      <c r="J445" s="5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</row>
    <row r="446" spans="1:55" ht="13">
      <c r="A446" s="2"/>
      <c r="B446" s="2"/>
      <c r="C446" s="3"/>
      <c r="D446" s="2"/>
      <c r="E446" s="4"/>
      <c r="F446" s="4"/>
      <c r="G446" s="4"/>
      <c r="H446" s="4"/>
      <c r="I446" s="4"/>
      <c r="J446" s="5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</row>
    <row r="447" spans="1:55" ht="13">
      <c r="A447" s="2"/>
      <c r="B447" s="2"/>
      <c r="C447" s="3"/>
      <c r="D447" s="2"/>
      <c r="E447" s="4"/>
      <c r="F447" s="4"/>
      <c r="G447" s="4"/>
      <c r="H447" s="4"/>
      <c r="I447" s="4"/>
      <c r="J447" s="5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</row>
    <row r="448" spans="1:55" ht="13">
      <c r="A448" s="2"/>
      <c r="B448" s="2"/>
      <c r="C448" s="3"/>
      <c r="D448" s="2"/>
      <c r="E448" s="4"/>
      <c r="F448" s="4"/>
      <c r="G448" s="4"/>
      <c r="H448" s="4"/>
      <c r="I448" s="4"/>
      <c r="J448" s="5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</row>
    <row r="449" spans="1:55" ht="13">
      <c r="A449" s="2"/>
      <c r="B449" s="2"/>
      <c r="C449" s="3"/>
      <c r="D449" s="2"/>
      <c r="E449" s="4"/>
      <c r="F449" s="4"/>
      <c r="G449" s="4"/>
      <c r="H449" s="4"/>
      <c r="I449" s="4"/>
      <c r="J449" s="5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</row>
    <row r="450" spans="1:55" ht="13">
      <c r="A450" s="2"/>
      <c r="B450" s="2"/>
      <c r="C450" s="3"/>
      <c r="D450" s="2"/>
      <c r="E450" s="4"/>
      <c r="F450" s="4"/>
      <c r="G450" s="4"/>
      <c r="H450" s="4"/>
      <c r="I450" s="4"/>
      <c r="J450" s="5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</row>
    <row r="451" spans="1:55" ht="13">
      <c r="A451" s="2"/>
      <c r="B451" s="2"/>
      <c r="C451" s="3"/>
      <c r="D451" s="2"/>
      <c r="E451" s="4"/>
      <c r="F451" s="4"/>
      <c r="G451" s="4"/>
      <c r="H451" s="4"/>
      <c r="I451" s="4"/>
      <c r="J451" s="5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</row>
    <row r="452" spans="1:55" ht="13">
      <c r="A452" s="2"/>
      <c r="B452" s="2"/>
      <c r="C452" s="3"/>
      <c r="D452" s="2"/>
      <c r="E452" s="4"/>
      <c r="F452" s="4"/>
      <c r="G452" s="4"/>
      <c r="H452" s="4"/>
      <c r="I452" s="4"/>
      <c r="J452" s="5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</row>
    <row r="453" spans="1:55" ht="13">
      <c r="A453" s="2"/>
      <c r="B453" s="2"/>
      <c r="C453" s="3"/>
      <c r="D453" s="2"/>
      <c r="E453" s="4"/>
      <c r="F453" s="4"/>
      <c r="G453" s="4"/>
      <c r="H453" s="4"/>
      <c r="I453" s="4"/>
      <c r="J453" s="5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</row>
    <row r="454" spans="1:55" ht="13">
      <c r="A454" s="2"/>
      <c r="B454" s="2"/>
      <c r="C454" s="3"/>
      <c r="D454" s="2"/>
      <c r="E454" s="4"/>
      <c r="F454" s="4"/>
      <c r="G454" s="4"/>
      <c r="H454" s="4"/>
      <c r="I454" s="4"/>
      <c r="J454" s="5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</row>
    <row r="455" spans="1:55" ht="13">
      <c r="A455" s="2"/>
      <c r="B455" s="2"/>
      <c r="C455" s="3"/>
      <c r="D455" s="2"/>
      <c r="E455" s="4"/>
      <c r="F455" s="4"/>
      <c r="G455" s="4"/>
      <c r="H455" s="4"/>
      <c r="I455" s="4"/>
      <c r="J455" s="5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</row>
    <row r="456" spans="1:55" ht="13">
      <c r="A456" s="2"/>
      <c r="B456" s="2"/>
      <c r="C456" s="3"/>
      <c r="D456" s="2"/>
      <c r="E456" s="4"/>
      <c r="F456" s="4"/>
      <c r="G456" s="4"/>
      <c r="H456" s="4"/>
      <c r="I456" s="4"/>
      <c r="J456" s="5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</row>
    <row r="457" spans="1:55" ht="13">
      <c r="A457" s="2"/>
      <c r="B457" s="2"/>
      <c r="C457" s="3"/>
      <c r="D457" s="2"/>
      <c r="E457" s="4"/>
      <c r="F457" s="4"/>
      <c r="G457" s="4"/>
      <c r="H457" s="4"/>
      <c r="I457" s="4"/>
      <c r="J457" s="5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</row>
    <row r="458" spans="1:55" ht="13">
      <c r="A458" s="2"/>
      <c r="B458" s="2"/>
      <c r="C458" s="3"/>
      <c r="D458" s="2"/>
      <c r="E458" s="4"/>
      <c r="F458" s="4"/>
      <c r="G458" s="4"/>
      <c r="H458" s="4"/>
      <c r="I458" s="4"/>
      <c r="J458" s="5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</row>
    <row r="459" spans="1:55" ht="13">
      <c r="A459" s="2"/>
      <c r="B459" s="2"/>
      <c r="C459" s="3"/>
      <c r="D459" s="2"/>
      <c r="E459" s="4"/>
      <c r="F459" s="4"/>
      <c r="G459" s="4"/>
      <c r="H459" s="4"/>
      <c r="I459" s="4"/>
      <c r="J459" s="5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</row>
    <row r="460" spans="1:55" ht="13">
      <c r="A460" s="2"/>
      <c r="B460" s="2"/>
      <c r="C460" s="3"/>
      <c r="D460" s="2"/>
      <c r="E460" s="4"/>
      <c r="F460" s="4"/>
      <c r="G460" s="4"/>
      <c r="H460" s="4"/>
      <c r="I460" s="4"/>
      <c r="J460" s="5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</row>
    <row r="461" spans="1:55" ht="13">
      <c r="A461" s="2"/>
      <c r="B461" s="2"/>
      <c r="C461" s="3"/>
      <c r="D461" s="2"/>
      <c r="E461" s="4"/>
      <c r="F461" s="4"/>
      <c r="G461" s="4"/>
      <c r="H461" s="4"/>
      <c r="I461" s="4"/>
      <c r="J461" s="5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</row>
    <row r="462" spans="1:55" ht="13">
      <c r="A462" s="2"/>
      <c r="B462" s="2"/>
      <c r="C462" s="3"/>
      <c r="D462" s="2"/>
      <c r="E462" s="4"/>
      <c r="F462" s="4"/>
      <c r="G462" s="4"/>
      <c r="H462" s="4"/>
      <c r="I462" s="4"/>
      <c r="J462" s="5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</row>
    <row r="463" spans="1:55" ht="13">
      <c r="A463" s="2"/>
      <c r="B463" s="2"/>
      <c r="C463" s="3"/>
      <c r="D463" s="2"/>
      <c r="E463" s="4"/>
      <c r="F463" s="4"/>
      <c r="G463" s="4"/>
      <c r="H463" s="4"/>
      <c r="I463" s="4"/>
      <c r="J463" s="5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</row>
    <row r="464" spans="1:55" ht="13">
      <c r="A464" s="2"/>
      <c r="B464" s="2"/>
      <c r="C464" s="3"/>
      <c r="D464" s="2"/>
      <c r="E464" s="4"/>
      <c r="F464" s="4"/>
      <c r="G464" s="4"/>
      <c r="H464" s="4"/>
      <c r="I464" s="4"/>
      <c r="J464" s="5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</row>
    <row r="465" spans="1:55" ht="13">
      <c r="A465" s="2"/>
      <c r="B465" s="2"/>
      <c r="C465" s="3"/>
      <c r="D465" s="2"/>
      <c r="E465" s="4"/>
      <c r="F465" s="4"/>
      <c r="G465" s="4"/>
      <c r="H465" s="4"/>
      <c r="I465" s="4"/>
      <c r="J465" s="5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</row>
    <row r="466" spans="1:55" ht="13">
      <c r="A466" s="2"/>
      <c r="B466" s="2"/>
      <c r="C466" s="3"/>
      <c r="D466" s="2"/>
      <c r="E466" s="4"/>
      <c r="F466" s="4"/>
      <c r="G466" s="4"/>
      <c r="H466" s="4"/>
      <c r="I466" s="4"/>
      <c r="J466" s="5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</row>
    <row r="467" spans="1:55" ht="13">
      <c r="A467" s="2"/>
      <c r="B467" s="2"/>
      <c r="C467" s="3"/>
      <c r="D467" s="2"/>
      <c r="E467" s="4"/>
      <c r="F467" s="4"/>
      <c r="G467" s="4"/>
      <c r="H467" s="4"/>
      <c r="I467" s="4"/>
      <c r="J467" s="5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</row>
    <row r="468" spans="1:55" ht="13">
      <c r="A468" s="2"/>
      <c r="B468" s="2"/>
      <c r="C468" s="3"/>
      <c r="D468" s="2"/>
      <c r="E468" s="4"/>
      <c r="F468" s="4"/>
      <c r="G468" s="4"/>
      <c r="H468" s="4"/>
      <c r="I468" s="4"/>
      <c r="J468" s="5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</row>
    <row r="469" spans="1:55" ht="13">
      <c r="A469" s="2"/>
      <c r="B469" s="2"/>
      <c r="C469" s="3"/>
      <c r="D469" s="2"/>
      <c r="E469" s="4"/>
      <c r="F469" s="4"/>
      <c r="G469" s="4"/>
      <c r="H469" s="4"/>
      <c r="I469" s="4"/>
      <c r="J469" s="5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</row>
    <row r="470" spans="1:55" ht="13">
      <c r="A470" s="2"/>
      <c r="B470" s="2"/>
      <c r="C470" s="3"/>
      <c r="D470" s="2"/>
      <c r="E470" s="4"/>
      <c r="F470" s="4"/>
      <c r="G470" s="4"/>
      <c r="H470" s="4"/>
      <c r="I470" s="4"/>
      <c r="J470" s="5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</row>
    <row r="471" spans="1:55" ht="13">
      <c r="A471" s="2"/>
      <c r="B471" s="2"/>
      <c r="C471" s="3"/>
      <c r="D471" s="2"/>
      <c r="E471" s="4"/>
      <c r="F471" s="4"/>
      <c r="G471" s="4"/>
      <c r="H471" s="4"/>
      <c r="I471" s="4"/>
      <c r="J471" s="5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</row>
    <row r="472" spans="1:55" ht="13">
      <c r="A472" s="2"/>
      <c r="B472" s="2"/>
      <c r="C472" s="3"/>
      <c r="D472" s="2"/>
      <c r="E472" s="4"/>
      <c r="F472" s="4"/>
      <c r="G472" s="4"/>
      <c r="H472" s="4"/>
      <c r="I472" s="4"/>
      <c r="J472" s="5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</row>
    <row r="473" spans="1:55" ht="13">
      <c r="A473" s="2"/>
      <c r="B473" s="2"/>
      <c r="C473" s="3"/>
      <c r="D473" s="2"/>
      <c r="E473" s="4"/>
      <c r="F473" s="4"/>
      <c r="G473" s="4"/>
      <c r="H473" s="4"/>
      <c r="I473" s="4"/>
      <c r="J473" s="5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</row>
    <row r="474" spans="1:55" ht="13">
      <c r="A474" s="2"/>
      <c r="B474" s="2"/>
      <c r="C474" s="3"/>
      <c r="D474" s="2"/>
      <c r="E474" s="4"/>
      <c r="F474" s="4"/>
      <c r="G474" s="4"/>
      <c r="H474" s="4"/>
      <c r="I474" s="4"/>
      <c r="J474" s="5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</row>
    <row r="475" spans="1:55" ht="13">
      <c r="A475" s="2"/>
      <c r="B475" s="2"/>
      <c r="C475" s="3"/>
      <c r="D475" s="2"/>
      <c r="E475" s="4"/>
      <c r="F475" s="4"/>
      <c r="G475" s="4"/>
      <c r="H475" s="4"/>
      <c r="I475" s="4"/>
      <c r="J475" s="5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</row>
    <row r="476" spans="1:55" ht="13">
      <c r="A476" s="2"/>
      <c r="B476" s="2"/>
      <c r="C476" s="3"/>
      <c r="D476" s="2"/>
      <c r="E476" s="4"/>
      <c r="F476" s="4"/>
      <c r="G476" s="4"/>
      <c r="H476" s="4"/>
      <c r="I476" s="4"/>
      <c r="J476" s="5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</row>
    <row r="477" spans="1:55" ht="13">
      <c r="A477" s="2"/>
      <c r="B477" s="2"/>
      <c r="C477" s="3"/>
      <c r="D477" s="2"/>
      <c r="E477" s="4"/>
      <c r="F477" s="4"/>
      <c r="G477" s="4"/>
      <c r="H477" s="4"/>
      <c r="I477" s="4"/>
      <c r="J477" s="5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</row>
    <row r="478" spans="1:55" ht="13">
      <c r="A478" s="2"/>
      <c r="B478" s="2"/>
      <c r="C478" s="3"/>
      <c r="D478" s="2"/>
      <c r="E478" s="4"/>
      <c r="F478" s="4"/>
      <c r="G478" s="4"/>
      <c r="H478" s="4"/>
      <c r="I478" s="4"/>
      <c r="J478" s="5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</row>
    <row r="479" spans="1:55" ht="13">
      <c r="A479" s="2"/>
      <c r="B479" s="2"/>
      <c r="C479" s="3"/>
      <c r="D479" s="2"/>
      <c r="E479" s="4"/>
      <c r="F479" s="4"/>
      <c r="G479" s="4"/>
      <c r="H479" s="4"/>
      <c r="I479" s="4"/>
      <c r="J479" s="5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</row>
    <row r="480" spans="1:55" ht="13">
      <c r="A480" s="2"/>
      <c r="B480" s="2"/>
      <c r="C480" s="3"/>
      <c r="D480" s="2"/>
      <c r="E480" s="4"/>
      <c r="F480" s="4"/>
      <c r="G480" s="4"/>
      <c r="H480" s="4"/>
      <c r="I480" s="4"/>
      <c r="J480" s="5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</row>
    <row r="481" spans="1:55" ht="13">
      <c r="A481" s="2"/>
      <c r="B481" s="2"/>
      <c r="C481" s="3"/>
      <c r="D481" s="2"/>
      <c r="E481" s="4"/>
      <c r="F481" s="4"/>
      <c r="G481" s="4"/>
      <c r="H481" s="4"/>
      <c r="I481" s="4"/>
      <c r="J481" s="5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</row>
    <row r="482" spans="1:55" ht="13">
      <c r="A482" s="2"/>
      <c r="B482" s="2"/>
      <c r="C482" s="3"/>
      <c r="D482" s="2"/>
      <c r="E482" s="4"/>
      <c r="F482" s="4"/>
      <c r="G482" s="4"/>
      <c r="H482" s="4"/>
      <c r="I482" s="4"/>
      <c r="J482" s="5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</row>
    <row r="483" spans="1:55" ht="13">
      <c r="A483" s="2"/>
      <c r="B483" s="2"/>
      <c r="C483" s="3"/>
      <c r="D483" s="2"/>
      <c r="E483" s="4"/>
      <c r="F483" s="4"/>
      <c r="G483" s="4"/>
      <c r="H483" s="4"/>
      <c r="I483" s="4"/>
      <c r="J483" s="5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</row>
    <row r="484" spans="1:55" ht="13">
      <c r="A484" s="2"/>
      <c r="B484" s="2"/>
      <c r="C484" s="3"/>
      <c r="D484" s="2"/>
      <c r="E484" s="4"/>
      <c r="F484" s="4"/>
      <c r="G484" s="4"/>
      <c r="H484" s="4"/>
      <c r="I484" s="4"/>
      <c r="J484" s="5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</row>
    <row r="485" spans="1:55" ht="13">
      <c r="A485" s="2"/>
      <c r="B485" s="2"/>
      <c r="C485" s="3"/>
      <c r="D485" s="2"/>
      <c r="E485" s="4"/>
      <c r="F485" s="4"/>
      <c r="G485" s="4"/>
      <c r="H485" s="4"/>
      <c r="I485" s="4"/>
      <c r="J485" s="5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</row>
    <row r="486" spans="1:55" ht="13">
      <c r="A486" s="2"/>
      <c r="B486" s="2"/>
      <c r="C486" s="3"/>
      <c r="D486" s="2"/>
      <c r="E486" s="4"/>
      <c r="F486" s="4"/>
      <c r="G486" s="4"/>
      <c r="H486" s="4"/>
      <c r="I486" s="4"/>
      <c r="J486" s="5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</row>
    <row r="487" spans="1:55" ht="13">
      <c r="A487" s="2"/>
      <c r="B487" s="2"/>
      <c r="C487" s="3"/>
      <c r="D487" s="2"/>
      <c r="E487" s="4"/>
      <c r="F487" s="4"/>
      <c r="G487" s="4"/>
      <c r="H487" s="4"/>
      <c r="I487" s="4"/>
      <c r="J487" s="5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</row>
    <row r="488" spans="1:55" ht="13">
      <c r="A488" s="2"/>
      <c r="B488" s="2"/>
      <c r="C488" s="3"/>
      <c r="D488" s="2"/>
      <c r="E488" s="4"/>
      <c r="F488" s="4"/>
      <c r="G488" s="4"/>
      <c r="H488" s="4"/>
      <c r="I488" s="4"/>
      <c r="J488" s="5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</row>
    <row r="489" spans="1:55" ht="13">
      <c r="A489" s="2"/>
      <c r="B489" s="2"/>
      <c r="C489" s="3"/>
      <c r="D489" s="2"/>
      <c r="E489" s="4"/>
      <c r="F489" s="4"/>
      <c r="G489" s="4"/>
      <c r="H489" s="4"/>
      <c r="I489" s="4"/>
      <c r="J489" s="5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</row>
    <row r="490" spans="1:55" ht="13">
      <c r="A490" s="2"/>
      <c r="B490" s="2"/>
      <c r="C490" s="3"/>
      <c r="D490" s="2"/>
      <c r="E490" s="4"/>
      <c r="F490" s="4"/>
      <c r="G490" s="4"/>
      <c r="H490" s="4"/>
      <c r="I490" s="4"/>
      <c r="J490" s="5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</row>
    <row r="491" spans="1:55" ht="13">
      <c r="A491" s="2"/>
      <c r="B491" s="2"/>
      <c r="C491" s="3"/>
      <c r="D491" s="2"/>
      <c r="E491" s="4"/>
      <c r="F491" s="4"/>
      <c r="G491" s="4"/>
      <c r="H491" s="4"/>
      <c r="I491" s="4"/>
      <c r="J491" s="5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</row>
    <row r="492" spans="1:55" ht="13">
      <c r="A492" s="2"/>
      <c r="B492" s="2"/>
      <c r="C492" s="3"/>
      <c r="D492" s="2"/>
      <c r="E492" s="4"/>
      <c r="F492" s="4"/>
      <c r="G492" s="4"/>
      <c r="H492" s="4"/>
      <c r="I492" s="4"/>
      <c r="J492" s="5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</row>
    <row r="493" spans="1:55" ht="13">
      <c r="A493" s="2"/>
      <c r="B493" s="2"/>
      <c r="C493" s="3"/>
      <c r="D493" s="2"/>
      <c r="E493" s="4"/>
      <c r="F493" s="4"/>
      <c r="G493" s="4"/>
      <c r="H493" s="4"/>
      <c r="I493" s="4"/>
      <c r="J493" s="5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</row>
    <row r="494" spans="1:55" ht="13">
      <c r="A494" s="2"/>
      <c r="B494" s="2"/>
      <c r="C494" s="3"/>
      <c r="D494" s="2"/>
      <c r="E494" s="4"/>
      <c r="F494" s="4"/>
      <c r="G494" s="4"/>
      <c r="H494" s="4"/>
      <c r="I494" s="4"/>
      <c r="J494" s="5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</row>
    <row r="495" spans="1:55" ht="13">
      <c r="A495" s="2"/>
      <c r="B495" s="2"/>
      <c r="C495" s="3"/>
      <c r="D495" s="2"/>
      <c r="E495" s="4"/>
      <c r="F495" s="4"/>
      <c r="G495" s="4"/>
      <c r="H495" s="4"/>
      <c r="I495" s="4"/>
      <c r="J495" s="5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</row>
    <row r="496" spans="1:55" ht="13">
      <c r="A496" s="2"/>
      <c r="B496" s="2"/>
      <c r="C496" s="3"/>
      <c r="D496" s="2"/>
      <c r="E496" s="4"/>
      <c r="F496" s="4"/>
      <c r="G496" s="4"/>
      <c r="H496" s="4"/>
      <c r="I496" s="4"/>
      <c r="J496" s="5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</row>
    <row r="497" spans="1:55" ht="13">
      <c r="A497" s="2"/>
      <c r="B497" s="2"/>
      <c r="C497" s="3"/>
      <c r="D497" s="2"/>
      <c r="E497" s="4"/>
      <c r="F497" s="4"/>
      <c r="G497" s="4"/>
      <c r="H497" s="4"/>
      <c r="I497" s="4"/>
      <c r="J497" s="5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</row>
    <row r="498" spans="1:55" ht="13">
      <c r="A498" s="2"/>
      <c r="B498" s="2"/>
      <c r="C498" s="3"/>
      <c r="D498" s="2"/>
      <c r="E498" s="4"/>
      <c r="F498" s="4"/>
      <c r="G498" s="4"/>
      <c r="H498" s="4"/>
      <c r="I498" s="4"/>
      <c r="J498" s="5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</row>
    <row r="499" spans="1:55" ht="13">
      <c r="A499" s="2"/>
      <c r="B499" s="2"/>
      <c r="C499" s="3"/>
      <c r="D499" s="2"/>
      <c r="E499" s="4"/>
      <c r="F499" s="4"/>
      <c r="G499" s="4"/>
      <c r="H499" s="4"/>
      <c r="I499" s="4"/>
      <c r="J499" s="5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</row>
    <row r="500" spans="1:55" ht="13">
      <c r="A500" s="2"/>
      <c r="B500" s="2"/>
      <c r="C500" s="3"/>
      <c r="D500" s="2"/>
      <c r="E500" s="4"/>
      <c r="F500" s="4"/>
      <c r="G500" s="4"/>
      <c r="H500" s="4"/>
      <c r="I500" s="4"/>
      <c r="J500" s="5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</row>
    <row r="501" spans="1:55" ht="13">
      <c r="A501" s="2"/>
      <c r="B501" s="2"/>
      <c r="C501" s="3"/>
      <c r="D501" s="2"/>
      <c r="E501" s="4"/>
      <c r="F501" s="4"/>
      <c r="G501" s="4"/>
      <c r="H501" s="4"/>
      <c r="I501" s="4"/>
      <c r="J501" s="5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</row>
    <row r="502" spans="1:55" ht="13">
      <c r="A502" s="2"/>
      <c r="B502" s="2"/>
      <c r="C502" s="3"/>
      <c r="D502" s="2"/>
      <c r="E502" s="4"/>
      <c r="F502" s="4"/>
      <c r="G502" s="4"/>
      <c r="H502" s="4"/>
      <c r="I502" s="4"/>
      <c r="J502" s="5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</row>
    <row r="503" spans="1:55" ht="13">
      <c r="A503" s="2"/>
      <c r="B503" s="2"/>
      <c r="C503" s="3"/>
      <c r="D503" s="2"/>
      <c r="E503" s="4"/>
      <c r="F503" s="4"/>
      <c r="G503" s="4"/>
      <c r="H503" s="4"/>
      <c r="I503" s="4"/>
      <c r="J503" s="5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</row>
    <row r="504" spans="1:55" ht="13">
      <c r="A504" s="2"/>
      <c r="B504" s="2"/>
      <c r="C504" s="3"/>
      <c r="D504" s="2"/>
      <c r="E504" s="4"/>
      <c r="F504" s="4"/>
      <c r="G504" s="4"/>
      <c r="H504" s="4"/>
      <c r="I504" s="4"/>
      <c r="J504" s="5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</row>
    <row r="505" spans="1:55" ht="13">
      <c r="A505" s="2"/>
      <c r="B505" s="2"/>
      <c r="C505" s="3"/>
      <c r="D505" s="2"/>
      <c r="E505" s="4"/>
      <c r="F505" s="4"/>
      <c r="G505" s="4"/>
      <c r="H505" s="4"/>
      <c r="I505" s="4"/>
      <c r="J505" s="5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</row>
    <row r="506" spans="1:55" ht="13">
      <c r="A506" s="2"/>
      <c r="B506" s="2"/>
      <c r="C506" s="3"/>
      <c r="D506" s="2"/>
      <c r="E506" s="4"/>
      <c r="F506" s="4"/>
      <c r="G506" s="4"/>
      <c r="H506" s="4"/>
      <c r="I506" s="4"/>
      <c r="J506" s="5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</row>
    <row r="507" spans="1:55" ht="13">
      <c r="A507" s="2"/>
      <c r="B507" s="2"/>
      <c r="C507" s="3"/>
      <c r="D507" s="2"/>
      <c r="E507" s="4"/>
      <c r="F507" s="4"/>
      <c r="G507" s="4"/>
      <c r="H507" s="4"/>
      <c r="I507" s="4"/>
      <c r="J507" s="5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</row>
    <row r="508" spans="1:55" ht="13">
      <c r="A508" s="2"/>
      <c r="B508" s="2"/>
      <c r="C508" s="3"/>
      <c r="D508" s="2"/>
      <c r="E508" s="4"/>
      <c r="F508" s="4"/>
      <c r="G508" s="4"/>
      <c r="H508" s="4"/>
      <c r="I508" s="4"/>
      <c r="J508" s="5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</row>
    <row r="509" spans="1:55" ht="13">
      <c r="A509" s="2"/>
      <c r="B509" s="2"/>
      <c r="C509" s="3"/>
      <c r="D509" s="2"/>
      <c r="E509" s="4"/>
      <c r="F509" s="4"/>
      <c r="G509" s="4"/>
      <c r="H509" s="4"/>
      <c r="I509" s="4"/>
      <c r="J509" s="5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</row>
    <row r="510" spans="1:55" ht="13">
      <c r="A510" s="2"/>
      <c r="B510" s="2"/>
      <c r="C510" s="3"/>
      <c r="D510" s="2"/>
      <c r="E510" s="4"/>
      <c r="F510" s="4"/>
      <c r="G510" s="4"/>
      <c r="H510" s="4"/>
      <c r="I510" s="4"/>
      <c r="J510" s="5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</row>
    <row r="511" spans="1:55" ht="13">
      <c r="A511" s="2"/>
      <c r="B511" s="2"/>
      <c r="C511" s="3"/>
      <c r="D511" s="2"/>
      <c r="E511" s="4"/>
      <c r="F511" s="4"/>
      <c r="G511" s="4"/>
      <c r="H511" s="4"/>
      <c r="I511" s="4"/>
      <c r="J511" s="5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</row>
    <row r="512" spans="1:55" ht="13">
      <c r="A512" s="2"/>
      <c r="B512" s="2"/>
      <c r="C512" s="3"/>
      <c r="D512" s="2"/>
      <c r="E512" s="4"/>
      <c r="F512" s="4"/>
      <c r="G512" s="4"/>
      <c r="H512" s="4"/>
      <c r="I512" s="4"/>
      <c r="J512" s="5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</row>
    <row r="513" spans="1:55" ht="13">
      <c r="A513" s="2"/>
      <c r="B513" s="2"/>
      <c r="C513" s="3"/>
      <c r="D513" s="2"/>
      <c r="E513" s="4"/>
      <c r="F513" s="4"/>
      <c r="G513" s="4"/>
      <c r="H513" s="4"/>
      <c r="I513" s="4"/>
      <c r="J513" s="5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</row>
    <row r="514" spans="1:55" ht="13">
      <c r="A514" s="2"/>
      <c r="B514" s="2"/>
      <c r="C514" s="3"/>
      <c r="D514" s="2"/>
      <c r="E514" s="4"/>
      <c r="F514" s="4"/>
      <c r="G514" s="4"/>
      <c r="H514" s="4"/>
      <c r="I514" s="4"/>
      <c r="J514" s="5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</row>
    <row r="515" spans="1:55" ht="13">
      <c r="A515" s="2"/>
      <c r="B515" s="2"/>
      <c r="C515" s="3"/>
      <c r="D515" s="2"/>
      <c r="E515" s="4"/>
      <c r="F515" s="4"/>
      <c r="G515" s="4"/>
      <c r="H515" s="4"/>
      <c r="I515" s="4"/>
      <c r="J515" s="5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</row>
    <row r="516" spans="1:55" ht="13">
      <c r="A516" s="2"/>
      <c r="B516" s="2"/>
      <c r="C516" s="3"/>
      <c r="D516" s="2"/>
      <c r="E516" s="4"/>
      <c r="F516" s="4"/>
      <c r="G516" s="4"/>
      <c r="H516" s="4"/>
      <c r="I516" s="4"/>
      <c r="J516" s="5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</row>
    <row r="517" spans="1:55" ht="13">
      <c r="A517" s="2"/>
      <c r="B517" s="2"/>
      <c r="C517" s="3"/>
      <c r="D517" s="2"/>
      <c r="E517" s="4"/>
      <c r="F517" s="4"/>
      <c r="G517" s="4"/>
      <c r="H517" s="4"/>
      <c r="I517" s="4"/>
      <c r="J517" s="5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</row>
    <row r="518" spans="1:55" ht="13">
      <c r="A518" s="2"/>
      <c r="B518" s="2"/>
      <c r="C518" s="3"/>
      <c r="D518" s="2"/>
      <c r="E518" s="4"/>
      <c r="F518" s="4"/>
      <c r="G518" s="4"/>
      <c r="H518" s="4"/>
      <c r="I518" s="4"/>
      <c r="J518" s="5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</row>
    <row r="519" spans="1:55" ht="13">
      <c r="A519" s="2"/>
      <c r="B519" s="2"/>
      <c r="C519" s="3"/>
      <c r="D519" s="2"/>
      <c r="E519" s="4"/>
      <c r="F519" s="4"/>
      <c r="G519" s="4"/>
      <c r="H519" s="4"/>
      <c r="I519" s="4"/>
      <c r="J519" s="5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</row>
    <row r="520" spans="1:55" ht="13">
      <c r="A520" s="2"/>
      <c r="B520" s="2"/>
      <c r="C520" s="3"/>
      <c r="D520" s="2"/>
      <c r="E520" s="4"/>
      <c r="F520" s="4"/>
      <c r="G520" s="4"/>
      <c r="H520" s="4"/>
      <c r="I520" s="4"/>
      <c r="J520" s="5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</row>
    <row r="521" spans="1:55" ht="13">
      <c r="A521" s="2"/>
      <c r="B521" s="2"/>
      <c r="C521" s="3"/>
      <c r="D521" s="2"/>
      <c r="E521" s="4"/>
      <c r="F521" s="4"/>
      <c r="G521" s="4"/>
      <c r="H521" s="4"/>
      <c r="I521" s="4"/>
      <c r="J521" s="5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</row>
    <row r="522" spans="1:55" ht="13">
      <c r="A522" s="2"/>
      <c r="B522" s="2"/>
      <c r="C522" s="3"/>
      <c r="D522" s="2"/>
      <c r="E522" s="4"/>
      <c r="F522" s="4"/>
      <c r="G522" s="4"/>
      <c r="H522" s="4"/>
      <c r="I522" s="4"/>
      <c r="J522" s="5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</row>
    <row r="523" spans="1:55" ht="13">
      <c r="A523" s="2"/>
      <c r="B523" s="2"/>
      <c r="C523" s="3"/>
      <c r="D523" s="2"/>
      <c r="E523" s="4"/>
      <c r="F523" s="4"/>
      <c r="G523" s="4"/>
      <c r="H523" s="4"/>
      <c r="I523" s="4"/>
      <c r="J523" s="5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</row>
    <row r="524" spans="1:55" ht="13">
      <c r="A524" s="2"/>
      <c r="B524" s="2"/>
      <c r="C524" s="3"/>
      <c r="D524" s="2"/>
      <c r="E524" s="4"/>
      <c r="F524" s="4"/>
      <c r="G524" s="4"/>
      <c r="H524" s="4"/>
      <c r="I524" s="4"/>
      <c r="J524" s="5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</row>
    <row r="525" spans="1:55" ht="13">
      <c r="A525" s="2"/>
      <c r="B525" s="2"/>
      <c r="C525" s="3"/>
      <c r="D525" s="2"/>
      <c r="E525" s="4"/>
      <c r="F525" s="4"/>
      <c r="G525" s="4"/>
      <c r="H525" s="4"/>
      <c r="I525" s="4"/>
      <c r="J525" s="5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</row>
    <row r="526" spans="1:55" ht="13">
      <c r="A526" s="2"/>
      <c r="B526" s="2"/>
      <c r="C526" s="3"/>
      <c r="D526" s="2"/>
      <c r="E526" s="4"/>
      <c r="F526" s="4"/>
      <c r="G526" s="4"/>
      <c r="H526" s="4"/>
      <c r="I526" s="4"/>
      <c r="J526" s="5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</row>
    <row r="527" spans="1:55" ht="13">
      <c r="A527" s="2"/>
      <c r="B527" s="2"/>
      <c r="C527" s="3"/>
      <c r="D527" s="2"/>
      <c r="E527" s="4"/>
      <c r="F527" s="4"/>
      <c r="G527" s="4"/>
      <c r="H527" s="4"/>
      <c r="I527" s="4"/>
      <c r="J527" s="5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</row>
    <row r="528" spans="1:55" ht="13">
      <c r="A528" s="2"/>
      <c r="B528" s="2"/>
      <c r="C528" s="3"/>
      <c r="D528" s="2"/>
      <c r="E528" s="4"/>
      <c r="F528" s="4"/>
      <c r="G528" s="4"/>
      <c r="H528" s="4"/>
      <c r="I528" s="4"/>
      <c r="J528" s="5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</row>
    <row r="529" spans="1:55" ht="13">
      <c r="A529" s="2"/>
      <c r="B529" s="2"/>
      <c r="C529" s="3"/>
      <c r="D529" s="2"/>
      <c r="E529" s="4"/>
      <c r="F529" s="4"/>
      <c r="G529" s="4"/>
      <c r="H529" s="4"/>
      <c r="I529" s="4"/>
      <c r="J529" s="5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</row>
    <row r="530" spans="1:55" ht="13">
      <c r="A530" s="2"/>
      <c r="B530" s="2"/>
      <c r="C530" s="3"/>
      <c r="D530" s="2"/>
      <c r="E530" s="4"/>
      <c r="F530" s="4"/>
      <c r="G530" s="4"/>
      <c r="H530" s="4"/>
      <c r="I530" s="4"/>
      <c r="J530" s="5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</row>
    <row r="531" spans="1:55" ht="13">
      <c r="A531" s="2"/>
      <c r="B531" s="2"/>
      <c r="C531" s="3"/>
      <c r="D531" s="2"/>
      <c r="E531" s="4"/>
      <c r="F531" s="4"/>
      <c r="G531" s="4"/>
      <c r="H531" s="4"/>
      <c r="I531" s="4"/>
      <c r="J531" s="5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</row>
    <row r="532" spans="1:55" ht="13">
      <c r="A532" s="2"/>
      <c r="B532" s="2"/>
      <c r="C532" s="3"/>
      <c r="D532" s="2"/>
      <c r="E532" s="4"/>
      <c r="F532" s="4"/>
      <c r="G532" s="4"/>
      <c r="H532" s="4"/>
      <c r="I532" s="4"/>
      <c r="J532" s="5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</row>
    <row r="533" spans="1:55" ht="13">
      <c r="A533" s="2"/>
      <c r="B533" s="2"/>
      <c r="C533" s="3"/>
      <c r="D533" s="2"/>
      <c r="E533" s="4"/>
      <c r="F533" s="4"/>
      <c r="G533" s="4"/>
      <c r="H533" s="4"/>
      <c r="I533" s="4"/>
      <c r="J533" s="5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</row>
    <row r="534" spans="1:55" ht="13">
      <c r="A534" s="2"/>
      <c r="B534" s="2"/>
      <c r="C534" s="3"/>
      <c r="D534" s="2"/>
      <c r="E534" s="4"/>
      <c r="F534" s="4"/>
      <c r="G534" s="4"/>
      <c r="H534" s="4"/>
      <c r="I534" s="4"/>
      <c r="J534" s="5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</row>
    <row r="535" spans="1:55" ht="13">
      <c r="A535" s="2"/>
      <c r="B535" s="2"/>
      <c r="C535" s="3"/>
      <c r="D535" s="2"/>
      <c r="E535" s="4"/>
      <c r="F535" s="4"/>
      <c r="G535" s="4"/>
      <c r="H535" s="4"/>
      <c r="I535" s="4"/>
      <c r="J535" s="5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</row>
    <row r="536" spans="1:55" ht="13">
      <c r="A536" s="2"/>
      <c r="B536" s="2"/>
      <c r="C536" s="3"/>
      <c r="D536" s="2"/>
      <c r="E536" s="4"/>
      <c r="F536" s="4"/>
      <c r="G536" s="4"/>
      <c r="H536" s="4"/>
      <c r="I536" s="4"/>
      <c r="J536" s="5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</row>
    <row r="537" spans="1:55" ht="13">
      <c r="A537" s="2"/>
      <c r="B537" s="2"/>
      <c r="C537" s="3"/>
      <c r="D537" s="2"/>
      <c r="E537" s="4"/>
      <c r="F537" s="4"/>
      <c r="G537" s="4"/>
      <c r="H537" s="4"/>
      <c r="I537" s="4"/>
      <c r="J537" s="5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</row>
    <row r="538" spans="1:55" ht="13">
      <c r="A538" s="2"/>
      <c r="B538" s="2"/>
      <c r="C538" s="3"/>
      <c r="D538" s="2"/>
      <c r="E538" s="4"/>
      <c r="F538" s="4"/>
      <c r="G538" s="4"/>
      <c r="H538" s="4"/>
      <c r="I538" s="4"/>
      <c r="J538" s="5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</row>
    <row r="539" spans="1:55" ht="13">
      <c r="A539" s="2"/>
      <c r="B539" s="2"/>
      <c r="C539" s="3"/>
      <c r="D539" s="2"/>
      <c r="E539" s="4"/>
      <c r="F539" s="4"/>
      <c r="G539" s="4"/>
      <c r="H539" s="4"/>
      <c r="I539" s="4"/>
      <c r="J539" s="5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</row>
    <row r="540" spans="1:55" ht="13">
      <c r="A540" s="2"/>
      <c r="B540" s="2"/>
      <c r="C540" s="3"/>
      <c r="D540" s="2"/>
      <c r="E540" s="4"/>
      <c r="F540" s="4"/>
      <c r="G540" s="4"/>
      <c r="H540" s="4"/>
      <c r="I540" s="4"/>
      <c r="J540" s="5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</row>
    <row r="541" spans="1:55" ht="13">
      <c r="A541" s="2"/>
      <c r="B541" s="2"/>
      <c r="C541" s="3"/>
      <c r="D541" s="2"/>
      <c r="E541" s="4"/>
      <c r="F541" s="4"/>
      <c r="G541" s="4"/>
      <c r="H541" s="4"/>
      <c r="I541" s="4"/>
      <c r="J541" s="5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</row>
    <row r="542" spans="1:55" ht="13">
      <c r="A542" s="2"/>
      <c r="B542" s="2"/>
      <c r="C542" s="3"/>
      <c r="D542" s="2"/>
      <c r="E542" s="4"/>
      <c r="F542" s="4"/>
      <c r="G542" s="4"/>
      <c r="H542" s="4"/>
      <c r="I542" s="4"/>
      <c r="J542" s="5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</row>
    <row r="543" spans="1:55" ht="13">
      <c r="A543" s="2"/>
      <c r="B543" s="2"/>
      <c r="C543" s="3"/>
      <c r="D543" s="2"/>
      <c r="E543" s="4"/>
      <c r="F543" s="4"/>
      <c r="G543" s="4"/>
      <c r="H543" s="4"/>
      <c r="I543" s="4"/>
      <c r="J543" s="5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</row>
    <row r="544" spans="1:55" ht="13">
      <c r="A544" s="2"/>
      <c r="B544" s="2"/>
      <c r="C544" s="3"/>
      <c r="D544" s="2"/>
      <c r="E544" s="4"/>
      <c r="F544" s="4"/>
      <c r="G544" s="4"/>
      <c r="H544" s="4"/>
      <c r="I544" s="4"/>
      <c r="J544" s="5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</row>
    <row r="545" spans="1:55" ht="13">
      <c r="A545" s="2"/>
      <c r="B545" s="2"/>
      <c r="C545" s="3"/>
      <c r="D545" s="2"/>
      <c r="E545" s="4"/>
      <c r="F545" s="4"/>
      <c r="G545" s="4"/>
      <c r="H545" s="4"/>
      <c r="I545" s="4"/>
      <c r="J545" s="5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</row>
    <row r="546" spans="1:55" ht="13">
      <c r="A546" s="2"/>
      <c r="B546" s="2"/>
      <c r="C546" s="3"/>
      <c r="D546" s="2"/>
      <c r="E546" s="4"/>
      <c r="F546" s="4"/>
      <c r="G546" s="4"/>
      <c r="H546" s="4"/>
      <c r="I546" s="4"/>
      <c r="J546" s="5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</row>
    <row r="547" spans="1:55" ht="13">
      <c r="A547" s="2"/>
      <c r="B547" s="2"/>
      <c r="C547" s="3"/>
      <c r="D547" s="2"/>
      <c r="E547" s="4"/>
      <c r="F547" s="4"/>
      <c r="G547" s="4"/>
      <c r="H547" s="4"/>
      <c r="I547" s="4"/>
      <c r="J547" s="5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</row>
    <row r="548" spans="1:55" ht="13">
      <c r="A548" s="2"/>
      <c r="B548" s="2"/>
      <c r="C548" s="3"/>
      <c r="D548" s="2"/>
      <c r="E548" s="4"/>
      <c r="F548" s="4"/>
      <c r="G548" s="4"/>
      <c r="H548" s="4"/>
      <c r="I548" s="4"/>
      <c r="J548" s="5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</row>
    <row r="549" spans="1:55" ht="13">
      <c r="A549" s="2"/>
      <c r="B549" s="2"/>
      <c r="C549" s="3"/>
      <c r="D549" s="2"/>
      <c r="E549" s="4"/>
      <c r="F549" s="4"/>
      <c r="G549" s="4"/>
      <c r="H549" s="4"/>
      <c r="I549" s="4"/>
      <c r="J549" s="5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</row>
    <row r="550" spans="1:55" ht="13">
      <c r="A550" s="2"/>
      <c r="B550" s="2"/>
      <c r="C550" s="3"/>
      <c r="D550" s="2"/>
      <c r="E550" s="4"/>
      <c r="F550" s="4"/>
      <c r="G550" s="4"/>
      <c r="H550" s="4"/>
      <c r="I550" s="4"/>
      <c r="J550" s="5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</row>
    <row r="551" spans="1:55" ht="13">
      <c r="A551" s="2"/>
      <c r="B551" s="2"/>
      <c r="C551" s="3"/>
      <c r="D551" s="2"/>
      <c r="E551" s="4"/>
      <c r="F551" s="4"/>
      <c r="G551" s="4"/>
      <c r="H551" s="4"/>
      <c r="I551" s="4"/>
      <c r="J551" s="5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</row>
    <row r="552" spans="1:55" ht="13">
      <c r="A552" s="2"/>
      <c r="B552" s="2"/>
      <c r="C552" s="3"/>
      <c r="D552" s="2"/>
      <c r="E552" s="4"/>
      <c r="F552" s="4"/>
      <c r="G552" s="4"/>
      <c r="H552" s="4"/>
      <c r="I552" s="4"/>
      <c r="J552" s="5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</row>
    <row r="553" spans="1:55" ht="13">
      <c r="A553" s="2"/>
      <c r="B553" s="2"/>
      <c r="C553" s="3"/>
      <c r="D553" s="2"/>
      <c r="E553" s="4"/>
      <c r="F553" s="4"/>
      <c r="G553" s="4"/>
      <c r="H553" s="4"/>
      <c r="I553" s="4"/>
      <c r="J553" s="5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</row>
    <row r="554" spans="1:55" ht="13">
      <c r="A554" s="2"/>
      <c r="B554" s="2"/>
      <c r="C554" s="3"/>
      <c r="D554" s="2"/>
      <c r="E554" s="4"/>
      <c r="F554" s="4"/>
      <c r="G554" s="4"/>
      <c r="H554" s="4"/>
      <c r="I554" s="4"/>
      <c r="J554" s="5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</row>
    <row r="555" spans="1:55" ht="13">
      <c r="A555" s="2"/>
      <c r="B555" s="2"/>
      <c r="C555" s="3"/>
      <c r="D555" s="2"/>
      <c r="E555" s="4"/>
      <c r="F555" s="4"/>
      <c r="G555" s="4"/>
      <c r="H555" s="4"/>
      <c r="I555" s="4"/>
      <c r="J555" s="5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</row>
    <row r="556" spans="1:55" ht="13">
      <c r="A556" s="2"/>
      <c r="B556" s="2"/>
      <c r="C556" s="3"/>
      <c r="D556" s="2"/>
      <c r="E556" s="4"/>
      <c r="F556" s="4"/>
      <c r="G556" s="4"/>
      <c r="H556" s="4"/>
      <c r="I556" s="4"/>
      <c r="J556" s="5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</row>
    <row r="557" spans="1:55" ht="13">
      <c r="A557" s="2"/>
      <c r="B557" s="2"/>
      <c r="C557" s="3"/>
      <c r="D557" s="2"/>
      <c r="E557" s="4"/>
      <c r="F557" s="4"/>
      <c r="G557" s="4"/>
      <c r="H557" s="4"/>
      <c r="I557" s="4"/>
      <c r="J557" s="5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</row>
    <row r="558" spans="1:55" ht="13">
      <c r="A558" s="2"/>
      <c r="B558" s="2"/>
      <c r="C558" s="3"/>
      <c r="D558" s="2"/>
      <c r="E558" s="4"/>
      <c r="F558" s="4"/>
      <c r="G558" s="4"/>
      <c r="H558" s="4"/>
      <c r="I558" s="4"/>
      <c r="J558" s="5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</row>
    <row r="559" spans="1:55" ht="13">
      <c r="A559" s="2"/>
      <c r="B559" s="2"/>
      <c r="C559" s="3"/>
      <c r="D559" s="2"/>
      <c r="E559" s="4"/>
      <c r="F559" s="4"/>
      <c r="G559" s="4"/>
      <c r="H559" s="4"/>
      <c r="I559" s="4"/>
      <c r="J559" s="5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</row>
    <row r="560" spans="1:55" ht="13">
      <c r="A560" s="2"/>
      <c r="B560" s="2"/>
      <c r="C560" s="3"/>
      <c r="D560" s="2"/>
      <c r="E560" s="4"/>
      <c r="F560" s="4"/>
      <c r="G560" s="4"/>
      <c r="H560" s="4"/>
      <c r="I560" s="4"/>
      <c r="J560" s="5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</row>
    <row r="561" spans="1:55" ht="13">
      <c r="A561" s="2"/>
      <c r="B561" s="2"/>
      <c r="C561" s="3"/>
      <c r="D561" s="2"/>
      <c r="E561" s="4"/>
      <c r="F561" s="4"/>
      <c r="G561" s="4"/>
      <c r="H561" s="4"/>
      <c r="I561" s="4"/>
      <c r="J561" s="5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</row>
    <row r="562" spans="1:55" ht="13">
      <c r="A562" s="2"/>
      <c r="B562" s="2"/>
      <c r="C562" s="3"/>
      <c r="D562" s="2"/>
      <c r="E562" s="4"/>
      <c r="F562" s="4"/>
      <c r="G562" s="4"/>
      <c r="H562" s="4"/>
      <c r="I562" s="4"/>
      <c r="J562" s="5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</row>
    <row r="563" spans="1:55" ht="13">
      <c r="A563" s="2"/>
      <c r="B563" s="2"/>
      <c r="C563" s="3"/>
      <c r="D563" s="2"/>
      <c r="E563" s="4"/>
      <c r="F563" s="4"/>
      <c r="G563" s="4"/>
      <c r="H563" s="4"/>
      <c r="I563" s="4"/>
      <c r="J563" s="5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</row>
    <row r="564" spans="1:55" ht="13">
      <c r="A564" s="2"/>
      <c r="B564" s="2"/>
      <c r="C564" s="3"/>
      <c r="D564" s="2"/>
      <c r="E564" s="4"/>
      <c r="F564" s="4"/>
      <c r="G564" s="4"/>
      <c r="H564" s="4"/>
      <c r="I564" s="4"/>
      <c r="J564" s="5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</row>
    <row r="565" spans="1:55" ht="13">
      <c r="A565" s="2"/>
      <c r="B565" s="2"/>
      <c r="C565" s="3"/>
      <c r="D565" s="2"/>
      <c r="E565" s="4"/>
      <c r="F565" s="4"/>
      <c r="G565" s="4"/>
      <c r="H565" s="4"/>
      <c r="I565" s="4"/>
      <c r="J565" s="5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</row>
    <row r="566" spans="1:55" ht="13">
      <c r="A566" s="2"/>
      <c r="B566" s="2"/>
      <c r="C566" s="3"/>
      <c r="D566" s="2"/>
      <c r="E566" s="4"/>
      <c r="F566" s="4"/>
      <c r="G566" s="4"/>
      <c r="H566" s="4"/>
      <c r="I566" s="4"/>
      <c r="J566" s="5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</row>
    <row r="567" spans="1:55" ht="13">
      <c r="A567" s="2"/>
      <c r="B567" s="2"/>
      <c r="C567" s="3"/>
      <c r="D567" s="2"/>
      <c r="E567" s="4"/>
      <c r="F567" s="4"/>
      <c r="G567" s="4"/>
      <c r="H567" s="4"/>
      <c r="I567" s="4"/>
      <c r="J567" s="5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</row>
    <row r="568" spans="1:55" ht="13">
      <c r="A568" s="2"/>
      <c r="B568" s="2"/>
      <c r="C568" s="3"/>
      <c r="D568" s="2"/>
      <c r="E568" s="4"/>
      <c r="F568" s="4"/>
      <c r="G568" s="4"/>
      <c r="H568" s="4"/>
      <c r="I568" s="4"/>
      <c r="J568" s="5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</row>
    <row r="569" spans="1:55" ht="13">
      <c r="A569" s="2"/>
      <c r="B569" s="2"/>
      <c r="C569" s="3"/>
      <c r="D569" s="2"/>
      <c r="E569" s="4"/>
      <c r="F569" s="4"/>
      <c r="G569" s="4"/>
      <c r="H569" s="4"/>
      <c r="I569" s="4"/>
      <c r="J569" s="5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</row>
    <row r="570" spans="1:55" ht="13">
      <c r="A570" s="2"/>
      <c r="B570" s="2"/>
      <c r="C570" s="3"/>
      <c r="D570" s="2"/>
      <c r="E570" s="4"/>
      <c r="F570" s="4"/>
      <c r="G570" s="4"/>
      <c r="H570" s="4"/>
      <c r="I570" s="4"/>
      <c r="J570" s="5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</row>
    <row r="571" spans="1:55" ht="13">
      <c r="A571" s="2"/>
      <c r="B571" s="2"/>
      <c r="C571" s="3"/>
      <c r="D571" s="2"/>
      <c r="E571" s="4"/>
      <c r="F571" s="4"/>
      <c r="G571" s="4"/>
      <c r="H571" s="4"/>
      <c r="I571" s="4"/>
      <c r="J571" s="5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</row>
    <row r="572" spans="1:55" ht="13">
      <c r="A572" s="2"/>
      <c r="B572" s="2"/>
      <c r="C572" s="3"/>
      <c r="D572" s="2"/>
      <c r="E572" s="4"/>
      <c r="F572" s="4"/>
      <c r="G572" s="4"/>
      <c r="H572" s="4"/>
      <c r="I572" s="4"/>
      <c r="J572" s="5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</row>
    <row r="573" spans="1:55" ht="13">
      <c r="A573" s="2"/>
      <c r="B573" s="2"/>
      <c r="C573" s="3"/>
      <c r="D573" s="2"/>
      <c r="E573" s="4"/>
      <c r="F573" s="4"/>
      <c r="G573" s="4"/>
      <c r="H573" s="4"/>
      <c r="I573" s="4"/>
      <c r="J573" s="5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</row>
    <row r="574" spans="1:55" ht="13">
      <c r="A574" s="2"/>
      <c r="B574" s="2"/>
      <c r="C574" s="3"/>
      <c r="D574" s="2"/>
      <c r="E574" s="4"/>
      <c r="F574" s="4"/>
      <c r="G574" s="4"/>
      <c r="H574" s="4"/>
      <c r="I574" s="4"/>
      <c r="J574" s="5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</row>
    <row r="575" spans="1:55" ht="13">
      <c r="A575" s="2"/>
      <c r="B575" s="2"/>
      <c r="C575" s="3"/>
      <c r="D575" s="2"/>
      <c r="E575" s="4"/>
      <c r="F575" s="4"/>
      <c r="G575" s="4"/>
      <c r="H575" s="4"/>
      <c r="I575" s="4"/>
      <c r="J575" s="5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</row>
    <row r="576" spans="1:55" ht="13">
      <c r="A576" s="2"/>
      <c r="B576" s="2"/>
      <c r="C576" s="3"/>
      <c r="D576" s="2"/>
      <c r="E576" s="4"/>
      <c r="F576" s="4"/>
      <c r="G576" s="4"/>
      <c r="H576" s="4"/>
      <c r="I576" s="4"/>
      <c r="J576" s="5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</row>
    <row r="577" spans="1:55" ht="13">
      <c r="A577" s="2"/>
      <c r="B577" s="2"/>
      <c r="C577" s="3"/>
      <c r="D577" s="2"/>
      <c r="E577" s="4"/>
      <c r="F577" s="4"/>
      <c r="G577" s="4"/>
      <c r="H577" s="4"/>
      <c r="I577" s="4"/>
      <c r="J577" s="5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</row>
    <row r="578" spans="1:55" ht="13">
      <c r="A578" s="2"/>
      <c r="B578" s="2"/>
      <c r="C578" s="3"/>
      <c r="D578" s="2"/>
      <c r="E578" s="4"/>
      <c r="F578" s="4"/>
      <c r="G578" s="4"/>
      <c r="H578" s="4"/>
      <c r="I578" s="4"/>
      <c r="J578" s="5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</row>
    <row r="579" spans="1:55" ht="13">
      <c r="A579" s="2"/>
      <c r="B579" s="2"/>
      <c r="C579" s="3"/>
      <c r="D579" s="2"/>
      <c r="E579" s="4"/>
      <c r="F579" s="4"/>
      <c r="G579" s="4"/>
      <c r="H579" s="4"/>
      <c r="I579" s="4"/>
      <c r="J579" s="5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</row>
    <row r="580" spans="1:55" ht="13">
      <c r="A580" s="2"/>
      <c r="B580" s="2"/>
      <c r="C580" s="3"/>
      <c r="D580" s="2"/>
      <c r="E580" s="4"/>
      <c r="F580" s="4"/>
      <c r="G580" s="4"/>
      <c r="H580" s="4"/>
      <c r="I580" s="4"/>
      <c r="J580" s="5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</row>
    <row r="581" spans="1:55" ht="13">
      <c r="A581" s="2"/>
      <c r="B581" s="2"/>
      <c r="C581" s="3"/>
      <c r="D581" s="2"/>
      <c r="E581" s="4"/>
      <c r="F581" s="4"/>
      <c r="G581" s="4"/>
      <c r="H581" s="4"/>
      <c r="I581" s="4"/>
      <c r="J581" s="5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</row>
    <row r="582" spans="1:55" ht="13">
      <c r="A582" s="2"/>
      <c r="B582" s="2"/>
      <c r="C582" s="3"/>
      <c r="D582" s="2"/>
      <c r="E582" s="4"/>
      <c r="F582" s="4"/>
      <c r="G582" s="4"/>
      <c r="H582" s="4"/>
      <c r="I582" s="4"/>
      <c r="J582" s="5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</row>
    <row r="583" spans="1:55" ht="13">
      <c r="A583" s="2"/>
      <c r="B583" s="2"/>
      <c r="C583" s="3"/>
      <c r="D583" s="2"/>
      <c r="E583" s="4"/>
      <c r="F583" s="4"/>
      <c r="G583" s="4"/>
      <c r="H583" s="4"/>
      <c r="I583" s="4"/>
      <c r="J583" s="5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</row>
    <row r="584" spans="1:55" ht="13">
      <c r="A584" s="2"/>
      <c r="B584" s="2"/>
      <c r="C584" s="3"/>
      <c r="D584" s="2"/>
      <c r="E584" s="4"/>
      <c r="F584" s="4"/>
      <c r="G584" s="4"/>
      <c r="H584" s="4"/>
      <c r="I584" s="4"/>
      <c r="J584" s="5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</row>
    <row r="585" spans="1:55" ht="13">
      <c r="A585" s="2"/>
      <c r="B585" s="2"/>
      <c r="C585" s="3"/>
      <c r="D585" s="2"/>
      <c r="E585" s="4"/>
      <c r="F585" s="4"/>
      <c r="G585" s="4"/>
      <c r="H585" s="4"/>
      <c r="I585" s="4"/>
      <c r="J585" s="5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</row>
    <row r="586" spans="1:55" ht="13">
      <c r="A586" s="2"/>
      <c r="B586" s="2"/>
      <c r="C586" s="3"/>
      <c r="D586" s="2"/>
      <c r="E586" s="4"/>
      <c r="F586" s="4"/>
      <c r="G586" s="4"/>
      <c r="H586" s="4"/>
      <c r="I586" s="4"/>
      <c r="J586" s="5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</row>
    <row r="587" spans="1:55" ht="13">
      <c r="A587" s="2"/>
      <c r="B587" s="2"/>
      <c r="C587" s="3"/>
      <c r="D587" s="2"/>
      <c r="E587" s="4"/>
      <c r="F587" s="4"/>
      <c r="G587" s="4"/>
      <c r="H587" s="4"/>
      <c r="I587" s="4"/>
      <c r="J587" s="5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</row>
    <row r="588" spans="1:55" ht="13">
      <c r="A588" s="2"/>
      <c r="B588" s="2"/>
      <c r="C588" s="3"/>
      <c r="D588" s="2"/>
      <c r="E588" s="4"/>
      <c r="F588" s="4"/>
      <c r="G588" s="4"/>
      <c r="H588" s="4"/>
      <c r="I588" s="4"/>
      <c r="J588" s="5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</row>
    <row r="589" spans="1:55" ht="13">
      <c r="A589" s="2"/>
      <c r="B589" s="2"/>
      <c r="C589" s="3"/>
      <c r="D589" s="2"/>
      <c r="E589" s="4"/>
      <c r="F589" s="4"/>
      <c r="G589" s="4"/>
      <c r="H589" s="4"/>
      <c r="I589" s="4"/>
      <c r="J589" s="5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</row>
    <row r="590" spans="1:55" ht="13">
      <c r="A590" s="2"/>
      <c r="B590" s="2"/>
      <c r="C590" s="3"/>
      <c r="D590" s="2"/>
      <c r="E590" s="4"/>
      <c r="F590" s="4"/>
      <c r="G590" s="4"/>
      <c r="H590" s="4"/>
      <c r="I590" s="4"/>
      <c r="J590" s="5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</row>
    <row r="591" spans="1:55" ht="13">
      <c r="A591" s="2"/>
      <c r="B591" s="2"/>
      <c r="C591" s="3"/>
      <c r="D591" s="2"/>
      <c r="E591" s="4"/>
      <c r="F591" s="4"/>
      <c r="G591" s="4"/>
      <c r="H591" s="4"/>
      <c r="I591" s="4"/>
      <c r="J591" s="5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</row>
    <row r="592" spans="1:55" ht="13">
      <c r="A592" s="2"/>
      <c r="B592" s="2"/>
      <c r="C592" s="3"/>
      <c r="D592" s="2"/>
      <c r="E592" s="4"/>
      <c r="F592" s="4"/>
      <c r="G592" s="4"/>
      <c r="H592" s="4"/>
      <c r="I592" s="4"/>
      <c r="J592" s="5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</row>
    <row r="593" spans="1:55" ht="13">
      <c r="A593" s="2"/>
      <c r="B593" s="2"/>
      <c r="C593" s="3"/>
      <c r="D593" s="2"/>
      <c r="E593" s="4"/>
      <c r="F593" s="4"/>
      <c r="G593" s="4"/>
      <c r="H593" s="4"/>
      <c r="I593" s="4"/>
      <c r="J593" s="5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</row>
    <row r="594" spans="1:55" ht="13">
      <c r="A594" s="2"/>
      <c r="B594" s="2"/>
      <c r="C594" s="3"/>
      <c r="D594" s="2"/>
      <c r="E594" s="4"/>
      <c r="F594" s="4"/>
      <c r="G594" s="4"/>
      <c r="H594" s="4"/>
      <c r="I594" s="4"/>
      <c r="J594" s="5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</row>
    <row r="595" spans="1:55" ht="13">
      <c r="A595" s="2"/>
      <c r="B595" s="2"/>
      <c r="C595" s="3"/>
      <c r="D595" s="2"/>
      <c r="E595" s="4"/>
      <c r="F595" s="4"/>
      <c r="G595" s="4"/>
      <c r="H595" s="4"/>
      <c r="I595" s="4"/>
      <c r="J595" s="5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</row>
    <row r="596" spans="1:55" ht="13">
      <c r="A596" s="2"/>
      <c r="B596" s="2"/>
      <c r="C596" s="3"/>
      <c r="D596" s="2"/>
      <c r="E596" s="4"/>
      <c r="F596" s="4"/>
      <c r="G596" s="4"/>
      <c r="H596" s="4"/>
      <c r="I596" s="4"/>
      <c r="J596" s="5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</row>
    <row r="597" spans="1:55" ht="13">
      <c r="A597" s="2"/>
      <c r="B597" s="2"/>
      <c r="C597" s="3"/>
      <c r="D597" s="2"/>
      <c r="E597" s="4"/>
      <c r="F597" s="4"/>
      <c r="G597" s="4"/>
      <c r="H597" s="4"/>
      <c r="I597" s="4"/>
      <c r="J597" s="5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</row>
    <row r="598" spans="1:55" ht="13">
      <c r="A598" s="2"/>
      <c r="B598" s="2"/>
      <c r="C598" s="3"/>
      <c r="D598" s="2"/>
      <c r="E598" s="4"/>
      <c r="F598" s="4"/>
      <c r="G598" s="4"/>
      <c r="H598" s="4"/>
      <c r="I598" s="4"/>
      <c r="J598" s="5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</row>
    <row r="599" spans="1:55" ht="13">
      <c r="A599" s="2"/>
      <c r="B599" s="2"/>
      <c r="C599" s="3"/>
      <c r="D599" s="2"/>
      <c r="E599" s="4"/>
      <c r="F599" s="4"/>
      <c r="G599" s="4"/>
      <c r="H599" s="4"/>
      <c r="I599" s="4"/>
      <c r="J599" s="5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</row>
    <row r="600" spans="1:55" ht="13">
      <c r="A600" s="2"/>
      <c r="B600" s="2"/>
      <c r="C600" s="3"/>
      <c r="D600" s="2"/>
      <c r="E600" s="4"/>
      <c r="F600" s="4"/>
      <c r="G600" s="4"/>
      <c r="H600" s="4"/>
      <c r="I600" s="4"/>
      <c r="J600" s="5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</row>
    <row r="601" spans="1:55" ht="13">
      <c r="A601" s="2"/>
      <c r="B601" s="2"/>
      <c r="C601" s="3"/>
      <c r="D601" s="2"/>
      <c r="E601" s="4"/>
      <c r="F601" s="4"/>
      <c r="G601" s="4"/>
      <c r="H601" s="4"/>
      <c r="I601" s="4"/>
      <c r="J601" s="5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</row>
    <row r="602" spans="1:55" ht="13">
      <c r="A602" s="2"/>
      <c r="B602" s="2"/>
      <c r="C602" s="3"/>
      <c r="D602" s="2"/>
      <c r="E602" s="4"/>
      <c r="F602" s="4"/>
      <c r="G602" s="4"/>
      <c r="H602" s="4"/>
      <c r="I602" s="4"/>
      <c r="J602" s="5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</row>
    <row r="603" spans="1:55" ht="13">
      <c r="A603" s="2"/>
      <c r="B603" s="2"/>
      <c r="C603" s="3"/>
      <c r="D603" s="2"/>
      <c r="E603" s="4"/>
      <c r="F603" s="4"/>
      <c r="G603" s="4"/>
      <c r="H603" s="4"/>
      <c r="I603" s="4"/>
      <c r="J603" s="5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</row>
    <row r="604" spans="1:55" ht="13">
      <c r="A604" s="2"/>
      <c r="B604" s="2"/>
      <c r="C604" s="3"/>
      <c r="D604" s="2"/>
      <c r="E604" s="4"/>
      <c r="F604" s="4"/>
      <c r="G604" s="4"/>
      <c r="H604" s="4"/>
      <c r="I604" s="4"/>
      <c r="J604" s="5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</row>
    <row r="605" spans="1:55" ht="13">
      <c r="A605" s="2"/>
      <c r="B605" s="2"/>
      <c r="C605" s="3"/>
      <c r="D605" s="2"/>
      <c r="E605" s="4"/>
      <c r="F605" s="4"/>
      <c r="G605" s="4"/>
      <c r="H605" s="4"/>
      <c r="I605" s="4"/>
      <c r="J605" s="5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</row>
    <row r="606" spans="1:55" ht="13">
      <c r="A606" s="2"/>
      <c r="B606" s="2"/>
      <c r="C606" s="3"/>
      <c r="D606" s="2"/>
      <c r="E606" s="4"/>
      <c r="F606" s="4"/>
      <c r="G606" s="4"/>
      <c r="H606" s="4"/>
      <c r="I606" s="4"/>
      <c r="J606" s="5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</row>
    <row r="607" spans="1:55" ht="13">
      <c r="A607" s="2"/>
      <c r="B607" s="2"/>
      <c r="C607" s="3"/>
      <c r="D607" s="2"/>
      <c r="E607" s="4"/>
      <c r="F607" s="4"/>
      <c r="G607" s="4"/>
      <c r="H607" s="4"/>
      <c r="I607" s="4"/>
      <c r="J607" s="5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</row>
    <row r="608" spans="1:55" ht="13">
      <c r="A608" s="2"/>
      <c r="B608" s="2"/>
      <c r="C608" s="3"/>
      <c r="D608" s="2"/>
      <c r="E608" s="4"/>
      <c r="F608" s="4"/>
      <c r="G608" s="4"/>
      <c r="H608" s="4"/>
      <c r="I608" s="4"/>
      <c r="J608" s="5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</row>
    <row r="609" spans="1:55" ht="13">
      <c r="A609" s="2"/>
      <c r="B609" s="2"/>
      <c r="C609" s="3"/>
      <c r="D609" s="2"/>
      <c r="E609" s="4"/>
      <c r="F609" s="4"/>
      <c r="G609" s="4"/>
      <c r="H609" s="4"/>
      <c r="I609" s="4"/>
      <c r="J609" s="5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</row>
    <row r="610" spans="1:55" ht="13">
      <c r="A610" s="2"/>
      <c r="B610" s="2"/>
      <c r="C610" s="3"/>
      <c r="D610" s="2"/>
      <c r="E610" s="4"/>
      <c r="F610" s="4"/>
      <c r="G610" s="4"/>
      <c r="H610" s="4"/>
      <c r="I610" s="4"/>
      <c r="J610" s="5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</row>
    <row r="611" spans="1:55" ht="13">
      <c r="A611" s="2"/>
      <c r="B611" s="2"/>
      <c r="C611" s="3"/>
      <c r="D611" s="2"/>
      <c r="E611" s="4"/>
      <c r="F611" s="4"/>
      <c r="G611" s="4"/>
      <c r="H611" s="4"/>
      <c r="I611" s="4"/>
      <c r="J611" s="5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</row>
    <row r="612" spans="1:55" ht="13">
      <c r="A612" s="2"/>
      <c r="B612" s="2"/>
      <c r="C612" s="3"/>
      <c r="D612" s="2"/>
      <c r="E612" s="4"/>
      <c r="F612" s="4"/>
      <c r="G612" s="4"/>
      <c r="H612" s="4"/>
      <c r="I612" s="4"/>
      <c r="J612" s="5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</row>
    <row r="613" spans="1:55" ht="13">
      <c r="A613" s="2"/>
      <c r="B613" s="2"/>
      <c r="C613" s="3"/>
      <c r="D613" s="2"/>
      <c r="E613" s="4"/>
      <c r="F613" s="4"/>
      <c r="G613" s="4"/>
      <c r="H613" s="4"/>
      <c r="I613" s="4"/>
      <c r="J613" s="5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</row>
    <row r="614" spans="1:55" ht="13">
      <c r="A614" s="2"/>
      <c r="B614" s="2"/>
      <c r="C614" s="3"/>
      <c r="D614" s="2"/>
      <c r="E614" s="4"/>
      <c r="F614" s="4"/>
      <c r="G614" s="4"/>
      <c r="H614" s="4"/>
      <c r="I614" s="4"/>
      <c r="J614" s="5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</row>
    <row r="615" spans="1:55" ht="13">
      <c r="A615" s="2"/>
      <c r="B615" s="2"/>
      <c r="C615" s="3"/>
      <c r="D615" s="2"/>
      <c r="E615" s="4"/>
      <c r="F615" s="4"/>
      <c r="G615" s="4"/>
      <c r="H615" s="4"/>
      <c r="I615" s="4"/>
      <c r="J615" s="5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</row>
    <row r="616" spans="1:55" ht="13">
      <c r="A616" s="2"/>
      <c r="B616" s="2"/>
      <c r="C616" s="3"/>
      <c r="D616" s="2"/>
      <c r="E616" s="4"/>
      <c r="F616" s="4"/>
      <c r="G616" s="4"/>
      <c r="H616" s="4"/>
      <c r="I616" s="4"/>
      <c r="J616" s="5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</row>
    <row r="617" spans="1:55" ht="13">
      <c r="A617" s="2"/>
      <c r="B617" s="2"/>
      <c r="C617" s="3"/>
      <c r="D617" s="2"/>
      <c r="E617" s="4"/>
      <c r="F617" s="4"/>
      <c r="G617" s="4"/>
      <c r="H617" s="4"/>
      <c r="I617" s="4"/>
      <c r="J617" s="5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</row>
    <row r="618" spans="1:55" ht="13">
      <c r="A618" s="2"/>
      <c r="B618" s="2"/>
      <c r="C618" s="3"/>
      <c r="D618" s="2"/>
      <c r="E618" s="4"/>
      <c r="F618" s="4"/>
      <c r="G618" s="4"/>
      <c r="H618" s="4"/>
      <c r="I618" s="4"/>
      <c r="J618" s="5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</row>
    <row r="619" spans="1:55" ht="13">
      <c r="A619" s="2"/>
      <c r="B619" s="2"/>
      <c r="C619" s="3"/>
      <c r="D619" s="2"/>
      <c r="E619" s="4"/>
      <c r="F619" s="4"/>
      <c r="G619" s="4"/>
      <c r="H619" s="4"/>
      <c r="I619" s="4"/>
      <c r="J619" s="5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</row>
    <row r="620" spans="1:55" ht="13">
      <c r="A620" s="2"/>
      <c r="B620" s="2"/>
      <c r="C620" s="3"/>
      <c r="D620" s="2"/>
      <c r="E620" s="4"/>
      <c r="F620" s="4"/>
      <c r="G620" s="4"/>
      <c r="H620" s="4"/>
      <c r="I620" s="4"/>
      <c r="J620" s="5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</row>
    <row r="621" spans="1:55" ht="13">
      <c r="A621" s="2"/>
      <c r="B621" s="2"/>
      <c r="C621" s="3"/>
      <c r="D621" s="2"/>
      <c r="E621" s="4"/>
      <c r="F621" s="4"/>
      <c r="G621" s="4"/>
      <c r="H621" s="4"/>
      <c r="I621" s="4"/>
      <c r="J621" s="5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</row>
    <row r="622" spans="1:55" ht="13">
      <c r="A622" s="2"/>
      <c r="B622" s="2"/>
      <c r="C622" s="3"/>
      <c r="D622" s="2"/>
      <c r="E622" s="4"/>
      <c r="F622" s="4"/>
      <c r="G622" s="4"/>
      <c r="H622" s="4"/>
      <c r="I622" s="4"/>
      <c r="J622" s="5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</row>
    <row r="623" spans="1:55" ht="13">
      <c r="A623" s="2"/>
      <c r="B623" s="2"/>
      <c r="C623" s="3"/>
      <c r="D623" s="2"/>
      <c r="E623" s="4"/>
      <c r="F623" s="4"/>
      <c r="G623" s="4"/>
      <c r="H623" s="4"/>
      <c r="I623" s="4"/>
      <c r="J623" s="5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</row>
    <row r="624" spans="1:55" ht="13">
      <c r="A624" s="2"/>
      <c r="B624" s="2"/>
      <c r="C624" s="3"/>
      <c r="D624" s="2"/>
      <c r="E624" s="4"/>
      <c r="F624" s="4"/>
      <c r="G624" s="4"/>
      <c r="H624" s="4"/>
      <c r="I624" s="4"/>
      <c r="J624" s="5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</row>
    <row r="625" spans="1:55" ht="13">
      <c r="A625" s="2"/>
      <c r="B625" s="2"/>
      <c r="C625" s="3"/>
      <c r="D625" s="2"/>
      <c r="E625" s="4"/>
      <c r="F625" s="4"/>
      <c r="G625" s="4"/>
      <c r="H625" s="4"/>
      <c r="I625" s="4"/>
      <c r="J625" s="5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</row>
    <row r="626" spans="1:55" ht="13">
      <c r="A626" s="2"/>
      <c r="B626" s="2"/>
      <c r="C626" s="3"/>
      <c r="D626" s="2"/>
      <c r="E626" s="4"/>
      <c r="F626" s="4"/>
      <c r="G626" s="4"/>
      <c r="H626" s="4"/>
      <c r="I626" s="4"/>
      <c r="J626" s="5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</row>
    <row r="627" spans="1:55" ht="13">
      <c r="A627" s="2"/>
      <c r="B627" s="2"/>
      <c r="C627" s="3"/>
      <c r="D627" s="2"/>
      <c r="E627" s="4"/>
      <c r="F627" s="4"/>
      <c r="G627" s="4"/>
      <c r="H627" s="4"/>
      <c r="I627" s="4"/>
      <c r="J627" s="5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</row>
    <row r="628" spans="1:55" ht="13">
      <c r="A628" s="2"/>
      <c r="B628" s="2"/>
      <c r="C628" s="3"/>
      <c r="D628" s="2"/>
      <c r="E628" s="4"/>
      <c r="F628" s="4"/>
      <c r="G628" s="4"/>
      <c r="H628" s="4"/>
      <c r="I628" s="4"/>
      <c r="J628" s="5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</row>
    <row r="629" spans="1:55" ht="13">
      <c r="A629" s="2"/>
      <c r="B629" s="2"/>
      <c r="C629" s="3"/>
      <c r="D629" s="2"/>
      <c r="E629" s="4"/>
      <c r="F629" s="4"/>
      <c r="G629" s="4"/>
      <c r="H629" s="4"/>
      <c r="I629" s="4"/>
      <c r="J629" s="5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</row>
    <row r="630" spans="1:55" ht="13">
      <c r="A630" s="2"/>
      <c r="B630" s="2"/>
      <c r="C630" s="3"/>
      <c r="D630" s="2"/>
      <c r="E630" s="4"/>
      <c r="F630" s="4"/>
      <c r="G630" s="4"/>
      <c r="H630" s="4"/>
      <c r="I630" s="4"/>
      <c r="J630" s="5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</row>
    <row r="631" spans="1:55" ht="13">
      <c r="A631" s="2"/>
      <c r="B631" s="2"/>
      <c r="C631" s="3"/>
      <c r="D631" s="2"/>
      <c r="E631" s="4"/>
      <c r="F631" s="4"/>
      <c r="G631" s="4"/>
      <c r="H631" s="4"/>
      <c r="I631" s="4"/>
      <c r="J631" s="5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</row>
    <row r="632" spans="1:55" ht="13">
      <c r="A632" s="2"/>
      <c r="B632" s="2"/>
      <c r="C632" s="3"/>
      <c r="D632" s="2"/>
      <c r="E632" s="4"/>
      <c r="F632" s="4"/>
      <c r="G632" s="4"/>
      <c r="H632" s="4"/>
      <c r="I632" s="4"/>
      <c r="J632" s="5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</row>
    <row r="633" spans="1:55" ht="13">
      <c r="A633" s="2"/>
      <c r="B633" s="2"/>
      <c r="C633" s="3"/>
      <c r="D633" s="2"/>
      <c r="E633" s="4"/>
      <c r="F633" s="4"/>
      <c r="G633" s="4"/>
      <c r="H633" s="4"/>
      <c r="I633" s="4"/>
      <c r="J633" s="5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</row>
    <row r="634" spans="1:55" ht="13">
      <c r="A634" s="2"/>
      <c r="B634" s="2"/>
      <c r="C634" s="3"/>
      <c r="D634" s="2"/>
      <c r="E634" s="4"/>
      <c r="F634" s="4"/>
      <c r="G634" s="4"/>
      <c r="H634" s="4"/>
      <c r="I634" s="4"/>
      <c r="J634" s="5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</row>
    <row r="635" spans="1:55" ht="13">
      <c r="A635" s="2"/>
      <c r="B635" s="2"/>
      <c r="C635" s="3"/>
      <c r="D635" s="2"/>
      <c r="E635" s="4"/>
      <c r="F635" s="4"/>
      <c r="G635" s="4"/>
      <c r="H635" s="4"/>
      <c r="I635" s="4"/>
      <c r="J635" s="5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</row>
    <row r="636" spans="1:55" ht="13">
      <c r="A636" s="2"/>
      <c r="B636" s="2"/>
      <c r="C636" s="3"/>
      <c r="D636" s="2"/>
      <c r="E636" s="4"/>
      <c r="F636" s="4"/>
      <c r="G636" s="4"/>
      <c r="H636" s="4"/>
      <c r="I636" s="4"/>
      <c r="J636" s="5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</row>
    <row r="637" spans="1:55" ht="13">
      <c r="A637" s="2"/>
      <c r="B637" s="2"/>
      <c r="C637" s="3"/>
      <c r="D637" s="2"/>
      <c r="E637" s="4"/>
      <c r="F637" s="4"/>
      <c r="G637" s="4"/>
      <c r="H637" s="4"/>
      <c r="I637" s="4"/>
      <c r="J637" s="5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</row>
    <row r="638" spans="1:55" ht="13">
      <c r="A638" s="2"/>
      <c r="B638" s="2"/>
      <c r="C638" s="3"/>
      <c r="D638" s="2"/>
      <c r="E638" s="4"/>
      <c r="F638" s="4"/>
      <c r="G638" s="4"/>
      <c r="H638" s="4"/>
      <c r="I638" s="4"/>
      <c r="J638" s="5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</row>
    <row r="639" spans="1:55" ht="13">
      <c r="A639" s="2"/>
      <c r="B639" s="2"/>
      <c r="C639" s="3"/>
      <c r="D639" s="2"/>
      <c r="E639" s="4"/>
      <c r="F639" s="4"/>
      <c r="G639" s="4"/>
      <c r="H639" s="4"/>
      <c r="I639" s="4"/>
      <c r="J639" s="5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</row>
    <row r="640" spans="1:55" ht="13">
      <c r="A640" s="2"/>
      <c r="B640" s="2"/>
      <c r="C640" s="3"/>
      <c r="D640" s="2"/>
      <c r="E640" s="4"/>
      <c r="F640" s="4"/>
      <c r="G640" s="4"/>
      <c r="H640" s="4"/>
      <c r="I640" s="4"/>
      <c r="J640" s="5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</row>
    <row r="641" spans="1:55" ht="13">
      <c r="A641" s="2"/>
      <c r="B641" s="2"/>
      <c r="C641" s="3"/>
      <c r="D641" s="2"/>
      <c r="E641" s="4"/>
      <c r="F641" s="4"/>
      <c r="G641" s="4"/>
      <c r="H641" s="4"/>
      <c r="I641" s="4"/>
      <c r="J641" s="5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</row>
    <row r="642" spans="1:55" ht="13">
      <c r="A642" s="2"/>
      <c r="B642" s="2"/>
      <c r="C642" s="3"/>
      <c r="D642" s="2"/>
      <c r="E642" s="4"/>
      <c r="F642" s="4"/>
      <c r="G642" s="4"/>
      <c r="H642" s="4"/>
      <c r="I642" s="4"/>
      <c r="J642" s="5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</row>
    <row r="643" spans="1:55" ht="13">
      <c r="A643" s="2"/>
      <c r="B643" s="2"/>
      <c r="C643" s="3"/>
      <c r="D643" s="2"/>
      <c r="E643" s="4"/>
      <c r="F643" s="4"/>
      <c r="G643" s="4"/>
      <c r="H643" s="4"/>
      <c r="I643" s="4"/>
      <c r="J643" s="5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</row>
    <row r="644" spans="1:55" ht="13">
      <c r="A644" s="2"/>
      <c r="B644" s="2"/>
      <c r="C644" s="3"/>
      <c r="D644" s="2"/>
      <c r="E644" s="4"/>
      <c r="F644" s="4"/>
      <c r="G644" s="4"/>
      <c r="H644" s="4"/>
      <c r="I644" s="4"/>
      <c r="J644" s="5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</row>
    <row r="645" spans="1:55" ht="13">
      <c r="A645" s="2"/>
      <c r="B645" s="2"/>
      <c r="C645" s="3"/>
      <c r="D645" s="2"/>
      <c r="E645" s="4"/>
      <c r="F645" s="4"/>
      <c r="G645" s="4"/>
      <c r="H645" s="4"/>
      <c r="I645" s="4"/>
      <c r="J645" s="5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</row>
    <row r="646" spans="1:55" ht="13">
      <c r="A646" s="2"/>
      <c r="B646" s="2"/>
      <c r="C646" s="3"/>
      <c r="D646" s="2"/>
      <c r="E646" s="4"/>
      <c r="F646" s="4"/>
      <c r="G646" s="4"/>
      <c r="H646" s="4"/>
      <c r="I646" s="4"/>
      <c r="J646" s="5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</row>
    <row r="647" spans="1:55" ht="13">
      <c r="A647" s="2"/>
      <c r="B647" s="2"/>
      <c r="C647" s="3"/>
      <c r="D647" s="2"/>
      <c r="E647" s="4"/>
      <c r="F647" s="4"/>
      <c r="G647" s="4"/>
      <c r="H647" s="4"/>
      <c r="I647" s="4"/>
      <c r="J647" s="5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</row>
    <row r="648" spans="1:55" ht="13">
      <c r="A648" s="2"/>
      <c r="B648" s="2"/>
      <c r="C648" s="3"/>
      <c r="D648" s="2"/>
      <c r="E648" s="4"/>
      <c r="F648" s="4"/>
      <c r="G648" s="4"/>
      <c r="H648" s="4"/>
      <c r="I648" s="4"/>
      <c r="J648" s="5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</row>
    <row r="649" spans="1:55" ht="13">
      <c r="A649" s="2"/>
      <c r="B649" s="2"/>
      <c r="C649" s="3"/>
      <c r="D649" s="2"/>
      <c r="E649" s="4"/>
      <c r="F649" s="4"/>
      <c r="G649" s="4"/>
      <c r="H649" s="4"/>
      <c r="I649" s="4"/>
      <c r="J649" s="5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</row>
    <row r="650" spans="1:55" ht="13">
      <c r="A650" s="2"/>
      <c r="B650" s="2"/>
      <c r="C650" s="3"/>
      <c r="D650" s="2"/>
      <c r="E650" s="4"/>
      <c r="F650" s="4"/>
      <c r="G650" s="4"/>
      <c r="H650" s="4"/>
      <c r="I650" s="4"/>
      <c r="J650" s="5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</row>
    <row r="651" spans="1:55" ht="13">
      <c r="A651" s="2"/>
      <c r="B651" s="2"/>
      <c r="C651" s="3"/>
      <c r="D651" s="2"/>
      <c r="E651" s="4"/>
      <c r="F651" s="4"/>
      <c r="G651" s="4"/>
      <c r="H651" s="4"/>
      <c r="I651" s="4"/>
      <c r="J651" s="5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</row>
    <row r="652" spans="1:55" ht="13">
      <c r="A652" s="2"/>
      <c r="B652" s="2"/>
      <c r="C652" s="3"/>
      <c r="D652" s="2"/>
      <c r="E652" s="4"/>
      <c r="F652" s="4"/>
      <c r="G652" s="4"/>
      <c r="H652" s="4"/>
      <c r="I652" s="4"/>
      <c r="J652" s="5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</row>
    <row r="653" spans="1:55" ht="13">
      <c r="A653" s="2"/>
      <c r="B653" s="2"/>
      <c r="C653" s="3"/>
      <c r="D653" s="2"/>
      <c r="E653" s="4"/>
      <c r="F653" s="4"/>
      <c r="G653" s="4"/>
      <c r="H653" s="4"/>
      <c r="I653" s="4"/>
      <c r="J653" s="5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</row>
    <row r="654" spans="1:55" ht="13">
      <c r="A654" s="2"/>
      <c r="B654" s="2"/>
      <c r="C654" s="3"/>
      <c r="D654" s="2"/>
      <c r="E654" s="4"/>
      <c r="F654" s="4"/>
      <c r="G654" s="4"/>
      <c r="H654" s="4"/>
      <c r="I654" s="4"/>
      <c r="J654" s="5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</row>
    <row r="655" spans="1:55" ht="13">
      <c r="A655" s="2"/>
      <c r="B655" s="2"/>
      <c r="C655" s="3"/>
      <c r="D655" s="2"/>
      <c r="E655" s="4"/>
      <c r="F655" s="4"/>
      <c r="G655" s="4"/>
      <c r="H655" s="4"/>
      <c r="I655" s="4"/>
      <c r="J655" s="5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</row>
    <row r="656" spans="1:55" ht="13">
      <c r="A656" s="2"/>
      <c r="B656" s="2"/>
      <c r="C656" s="3"/>
      <c r="D656" s="2"/>
      <c r="E656" s="4"/>
      <c r="F656" s="4"/>
      <c r="G656" s="4"/>
      <c r="H656" s="4"/>
      <c r="I656" s="4"/>
      <c r="J656" s="5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</row>
    <row r="657" spans="1:55" ht="13">
      <c r="A657" s="2"/>
      <c r="B657" s="2"/>
      <c r="C657" s="3"/>
      <c r="D657" s="2"/>
      <c r="E657" s="4"/>
      <c r="F657" s="4"/>
      <c r="G657" s="4"/>
      <c r="H657" s="4"/>
      <c r="I657" s="4"/>
      <c r="J657" s="5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</row>
    <row r="658" spans="1:55" ht="13">
      <c r="A658" s="2"/>
      <c r="B658" s="2"/>
      <c r="C658" s="3"/>
      <c r="D658" s="2"/>
      <c r="E658" s="4"/>
      <c r="F658" s="4"/>
      <c r="G658" s="4"/>
      <c r="H658" s="4"/>
      <c r="I658" s="4"/>
      <c r="J658" s="5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</row>
    <row r="659" spans="1:55" ht="13">
      <c r="A659" s="2"/>
      <c r="B659" s="2"/>
      <c r="C659" s="3"/>
      <c r="D659" s="2"/>
      <c r="E659" s="4"/>
      <c r="F659" s="4"/>
      <c r="G659" s="4"/>
      <c r="H659" s="4"/>
      <c r="I659" s="4"/>
      <c r="J659" s="5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</row>
    <row r="660" spans="1:55" ht="13">
      <c r="A660" s="2"/>
      <c r="B660" s="2"/>
      <c r="C660" s="3"/>
      <c r="D660" s="2"/>
      <c r="E660" s="4"/>
      <c r="F660" s="4"/>
      <c r="G660" s="4"/>
      <c r="H660" s="4"/>
      <c r="I660" s="4"/>
      <c r="J660" s="5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</row>
    <row r="661" spans="1:55" ht="13">
      <c r="A661" s="2"/>
      <c r="B661" s="2"/>
      <c r="C661" s="3"/>
      <c r="D661" s="2"/>
      <c r="E661" s="4"/>
      <c r="F661" s="4"/>
      <c r="G661" s="4"/>
      <c r="H661" s="4"/>
      <c r="I661" s="4"/>
      <c r="J661" s="5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</row>
    <row r="662" spans="1:55" ht="13">
      <c r="A662" s="2"/>
      <c r="B662" s="2"/>
      <c r="C662" s="3"/>
      <c r="D662" s="2"/>
      <c r="E662" s="4"/>
      <c r="F662" s="4"/>
      <c r="G662" s="4"/>
      <c r="H662" s="4"/>
      <c r="I662" s="4"/>
      <c r="J662" s="5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</row>
    <row r="663" spans="1:55" ht="13">
      <c r="A663" s="2"/>
      <c r="B663" s="2"/>
      <c r="C663" s="3"/>
      <c r="D663" s="2"/>
      <c r="E663" s="4"/>
      <c r="F663" s="4"/>
      <c r="G663" s="4"/>
      <c r="H663" s="4"/>
      <c r="I663" s="4"/>
      <c r="J663" s="5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</row>
    <row r="664" spans="1:55" ht="13">
      <c r="A664" s="2"/>
      <c r="B664" s="2"/>
      <c r="C664" s="3"/>
      <c r="D664" s="2"/>
      <c r="E664" s="4"/>
      <c r="F664" s="4"/>
      <c r="G664" s="4"/>
      <c r="H664" s="4"/>
      <c r="I664" s="4"/>
      <c r="J664" s="5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</row>
    <row r="665" spans="1:55" ht="13">
      <c r="A665" s="2"/>
      <c r="B665" s="2"/>
      <c r="C665" s="3"/>
      <c r="D665" s="2"/>
      <c r="E665" s="4"/>
      <c r="F665" s="4"/>
      <c r="G665" s="4"/>
      <c r="H665" s="4"/>
      <c r="I665" s="4"/>
      <c r="J665" s="5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</row>
    <row r="666" spans="1:55" ht="13">
      <c r="A666" s="2"/>
      <c r="B666" s="2"/>
      <c r="C666" s="3"/>
      <c r="D666" s="2"/>
      <c r="E666" s="4"/>
      <c r="F666" s="4"/>
      <c r="G666" s="4"/>
      <c r="H666" s="4"/>
      <c r="I666" s="4"/>
      <c r="J666" s="5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</row>
    <row r="667" spans="1:55" ht="13">
      <c r="A667" s="2"/>
      <c r="B667" s="2"/>
      <c r="C667" s="3"/>
      <c r="D667" s="2"/>
      <c r="E667" s="4"/>
      <c r="F667" s="4"/>
      <c r="G667" s="4"/>
      <c r="H667" s="4"/>
      <c r="I667" s="4"/>
      <c r="J667" s="5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</row>
    <row r="668" spans="1:55" ht="13">
      <c r="A668" s="2"/>
      <c r="B668" s="2"/>
      <c r="C668" s="3"/>
      <c r="D668" s="2"/>
      <c r="E668" s="4"/>
      <c r="F668" s="4"/>
      <c r="G668" s="4"/>
      <c r="H668" s="4"/>
      <c r="I668" s="4"/>
      <c r="J668" s="5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</row>
    <row r="669" spans="1:55" ht="13">
      <c r="A669" s="2"/>
      <c r="B669" s="2"/>
      <c r="C669" s="3"/>
      <c r="D669" s="2"/>
      <c r="E669" s="4"/>
      <c r="F669" s="4"/>
      <c r="G669" s="4"/>
      <c r="H669" s="4"/>
      <c r="I669" s="4"/>
      <c r="J669" s="5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</row>
    <row r="670" spans="1:55" ht="13">
      <c r="A670" s="2"/>
      <c r="B670" s="2"/>
      <c r="C670" s="3"/>
      <c r="D670" s="2"/>
      <c r="E670" s="4"/>
      <c r="F670" s="4"/>
      <c r="G670" s="4"/>
      <c r="H670" s="4"/>
      <c r="I670" s="4"/>
      <c r="J670" s="5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</row>
    <row r="671" spans="1:55" ht="13">
      <c r="A671" s="2"/>
      <c r="B671" s="2"/>
      <c r="C671" s="3"/>
      <c r="D671" s="2"/>
      <c r="E671" s="4"/>
      <c r="F671" s="4"/>
      <c r="G671" s="4"/>
      <c r="H671" s="4"/>
      <c r="I671" s="4"/>
      <c r="J671" s="5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</row>
    <row r="672" spans="1:55" ht="13">
      <c r="A672" s="2"/>
      <c r="B672" s="2"/>
      <c r="C672" s="3"/>
      <c r="D672" s="2"/>
      <c r="E672" s="4"/>
      <c r="F672" s="4"/>
      <c r="G672" s="4"/>
      <c r="H672" s="4"/>
      <c r="I672" s="4"/>
      <c r="J672" s="5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</row>
    <row r="673" spans="1:55" ht="13">
      <c r="A673" s="2"/>
      <c r="B673" s="2"/>
      <c r="C673" s="3"/>
      <c r="D673" s="2"/>
      <c r="E673" s="4"/>
      <c r="F673" s="4"/>
      <c r="G673" s="4"/>
      <c r="H673" s="4"/>
      <c r="I673" s="4"/>
      <c r="J673" s="5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</row>
    <row r="674" spans="1:55" ht="13">
      <c r="A674" s="2"/>
      <c r="B674" s="2"/>
      <c r="C674" s="3"/>
      <c r="D674" s="2"/>
      <c r="E674" s="4"/>
      <c r="F674" s="4"/>
      <c r="G674" s="4"/>
      <c r="H674" s="4"/>
      <c r="I674" s="4"/>
      <c r="J674" s="5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</row>
    <row r="675" spans="1:55" ht="13">
      <c r="A675" s="2"/>
      <c r="B675" s="2"/>
      <c r="C675" s="3"/>
      <c r="D675" s="2"/>
      <c r="E675" s="4"/>
      <c r="F675" s="4"/>
      <c r="G675" s="4"/>
      <c r="H675" s="4"/>
      <c r="I675" s="4"/>
      <c r="J675" s="5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</row>
    <row r="676" spans="1:55" ht="13">
      <c r="A676" s="2"/>
      <c r="B676" s="2"/>
      <c r="C676" s="3"/>
      <c r="D676" s="2"/>
      <c r="E676" s="4"/>
      <c r="F676" s="4"/>
      <c r="G676" s="4"/>
      <c r="H676" s="4"/>
      <c r="I676" s="4"/>
      <c r="J676" s="5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</row>
    <row r="677" spans="1:55" ht="13">
      <c r="A677" s="2"/>
      <c r="B677" s="2"/>
      <c r="C677" s="3"/>
      <c r="D677" s="2"/>
      <c r="E677" s="4"/>
      <c r="F677" s="4"/>
      <c r="G677" s="4"/>
      <c r="H677" s="4"/>
      <c r="I677" s="4"/>
      <c r="J677" s="5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</row>
    <row r="678" spans="1:55" ht="13">
      <c r="A678" s="2"/>
      <c r="B678" s="2"/>
      <c r="C678" s="3"/>
      <c r="D678" s="2"/>
      <c r="E678" s="4"/>
      <c r="F678" s="4"/>
      <c r="G678" s="4"/>
      <c r="H678" s="4"/>
      <c r="I678" s="4"/>
      <c r="J678" s="5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</row>
    <row r="679" spans="1:55" ht="13">
      <c r="A679" s="2"/>
      <c r="B679" s="2"/>
      <c r="C679" s="3"/>
      <c r="D679" s="2"/>
      <c r="E679" s="4"/>
      <c r="F679" s="4"/>
      <c r="G679" s="4"/>
      <c r="H679" s="4"/>
      <c r="I679" s="4"/>
      <c r="J679" s="5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</row>
    <row r="680" spans="1:55" ht="13">
      <c r="A680" s="2"/>
      <c r="B680" s="2"/>
      <c r="C680" s="3"/>
      <c r="D680" s="2"/>
      <c r="E680" s="4"/>
      <c r="F680" s="4"/>
      <c r="G680" s="4"/>
      <c r="H680" s="4"/>
      <c r="I680" s="4"/>
      <c r="J680" s="5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</row>
    <row r="681" spans="1:55" ht="13">
      <c r="A681" s="2"/>
      <c r="B681" s="2"/>
      <c r="C681" s="3"/>
      <c r="D681" s="2"/>
      <c r="E681" s="4"/>
      <c r="F681" s="4"/>
      <c r="G681" s="4"/>
      <c r="H681" s="4"/>
      <c r="I681" s="4"/>
      <c r="J681" s="5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</row>
    <row r="682" spans="1:55" ht="13">
      <c r="A682" s="2"/>
      <c r="B682" s="2"/>
      <c r="C682" s="3"/>
      <c r="D682" s="2"/>
      <c r="E682" s="4"/>
      <c r="F682" s="4"/>
      <c r="G682" s="4"/>
      <c r="H682" s="4"/>
      <c r="I682" s="4"/>
      <c r="J682" s="5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</row>
    <row r="683" spans="1:55" ht="13">
      <c r="A683" s="2"/>
      <c r="B683" s="2"/>
      <c r="C683" s="3"/>
      <c r="D683" s="2"/>
      <c r="E683" s="4"/>
      <c r="F683" s="4"/>
      <c r="G683" s="4"/>
      <c r="H683" s="4"/>
      <c r="I683" s="4"/>
      <c r="J683" s="5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</row>
    <row r="684" spans="1:55" ht="13">
      <c r="A684" s="2"/>
      <c r="B684" s="2"/>
      <c r="C684" s="3"/>
      <c r="D684" s="2"/>
      <c r="E684" s="4"/>
      <c r="F684" s="4"/>
      <c r="G684" s="4"/>
      <c r="H684" s="4"/>
      <c r="I684" s="4"/>
      <c r="J684" s="5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</row>
    <row r="685" spans="1:55" ht="13">
      <c r="A685" s="2"/>
      <c r="B685" s="2"/>
      <c r="C685" s="3"/>
      <c r="D685" s="2"/>
      <c r="E685" s="4"/>
      <c r="F685" s="4"/>
      <c r="G685" s="4"/>
      <c r="H685" s="4"/>
      <c r="I685" s="4"/>
      <c r="J685" s="5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</row>
    <row r="686" spans="1:55" ht="13">
      <c r="A686" s="2"/>
      <c r="B686" s="2"/>
      <c r="C686" s="3"/>
      <c r="D686" s="2"/>
      <c r="E686" s="4"/>
      <c r="F686" s="4"/>
      <c r="G686" s="4"/>
      <c r="H686" s="4"/>
      <c r="I686" s="4"/>
      <c r="J686" s="5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</row>
    <row r="687" spans="1:55" ht="13">
      <c r="A687" s="2"/>
      <c r="B687" s="2"/>
      <c r="C687" s="3"/>
      <c r="D687" s="2"/>
      <c r="E687" s="4"/>
      <c r="F687" s="4"/>
      <c r="G687" s="4"/>
      <c r="H687" s="4"/>
      <c r="I687" s="4"/>
      <c r="J687" s="5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</row>
    <row r="688" spans="1:55" ht="13">
      <c r="A688" s="2"/>
      <c r="B688" s="2"/>
      <c r="C688" s="3"/>
      <c r="D688" s="2"/>
      <c r="E688" s="4"/>
      <c r="F688" s="4"/>
      <c r="G688" s="4"/>
      <c r="H688" s="4"/>
      <c r="I688" s="4"/>
      <c r="J688" s="5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</row>
    <row r="689" spans="1:55" ht="13">
      <c r="A689" s="2"/>
      <c r="B689" s="2"/>
      <c r="C689" s="3"/>
      <c r="D689" s="2"/>
      <c r="E689" s="4"/>
      <c r="F689" s="4"/>
      <c r="G689" s="4"/>
      <c r="H689" s="4"/>
      <c r="I689" s="4"/>
      <c r="J689" s="5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</row>
    <row r="690" spans="1:55" ht="13">
      <c r="A690" s="2"/>
      <c r="B690" s="2"/>
      <c r="C690" s="3"/>
      <c r="D690" s="2"/>
      <c r="E690" s="4"/>
      <c r="F690" s="4"/>
      <c r="G690" s="4"/>
      <c r="H690" s="4"/>
      <c r="I690" s="4"/>
      <c r="J690" s="5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</row>
    <row r="691" spans="1:55" ht="13">
      <c r="A691" s="2"/>
      <c r="B691" s="2"/>
      <c r="C691" s="3"/>
      <c r="D691" s="2"/>
      <c r="E691" s="4"/>
      <c r="F691" s="4"/>
      <c r="G691" s="4"/>
      <c r="H691" s="4"/>
      <c r="I691" s="4"/>
      <c r="J691" s="5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</row>
    <row r="692" spans="1:55" ht="13">
      <c r="A692" s="2"/>
      <c r="B692" s="2"/>
      <c r="C692" s="3"/>
      <c r="D692" s="2"/>
      <c r="E692" s="4"/>
      <c r="F692" s="4"/>
      <c r="G692" s="4"/>
      <c r="H692" s="4"/>
      <c r="I692" s="4"/>
      <c r="J692" s="5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</row>
    <row r="693" spans="1:55" ht="13">
      <c r="A693" s="2"/>
      <c r="B693" s="2"/>
      <c r="C693" s="3"/>
      <c r="D693" s="2"/>
      <c r="E693" s="4"/>
      <c r="F693" s="4"/>
      <c r="G693" s="4"/>
      <c r="H693" s="4"/>
      <c r="I693" s="4"/>
      <c r="J693" s="5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</row>
    <row r="694" spans="1:55" ht="13">
      <c r="A694" s="2"/>
      <c r="B694" s="2"/>
      <c r="C694" s="3"/>
      <c r="D694" s="2"/>
      <c r="E694" s="4"/>
      <c r="F694" s="4"/>
      <c r="G694" s="4"/>
      <c r="H694" s="4"/>
      <c r="I694" s="4"/>
      <c r="J694" s="5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</row>
    <row r="695" spans="1:55" ht="13">
      <c r="A695" s="2"/>
      <c r="B695" s="2"/>
      <c r="C695" s="3"/>
      <c r="D695" s="2"/>
      <c r="E695" s="4"/>
      <c r="F695" s="4"/>
      <c r="G695" s="4"/>
      <c r="H695" s="4"/>
      <c r="I695" s="4"/>
      <c r="J695" s="5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</row>
    <row r="696" spans="1:55" ht="13">
      <c r="A696" s="2"/>
      <c r="B696" s="2"/>
      <c r="C696" s="3"/>
      <c r="D696" s="2"/>
      <c r="E696" s="4"/>
      <c r="F696" s="4"/>
      <c r="G696" s="4"/>
      <c r="H696" s="4"/>
      <c r="I696" s="4"/>
      <c r="J696" s="5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</row>
    <row r="697" spans="1:55" ht="13">
      <c r="A697" s="2"/>
      <c r="B697" s="2"/>
      <c r="C697" s="3"/>
      <c r="D697" s="2"/>
      <c r="E697" s="4"/>
      <c r="F697" s="4"/>
      <c r="G697" s="4"/>
      <c r="H697" s="4"/>
      <c r="I697" s="4"/>
      <c r="J697" s="5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</row>
    <row r="698" spans="1:55" ht="13">
      <c r="A698" s="2"/>
      <c r="B698" s="2"/>
      <c r="C698" s="3"/>
      <c r="D698" s="2"/>
      <c r="E698" s="4"/>
      <c r="F698" s="4"/>
      <c r="G698" s="4"/>
      <c r="H698" s="4"/>
      <c r="I698" s="4"/>
      <c r="J698" s="5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</row>
    <row r="699" spans="1:55" ht="13">
      <c r="A699" s="2"/>
      <c r="B699" s="2"/>
      <c r="C699" s="3"/>
      <c r="D699" s="2"/>
      <c r="E699" s="4"/>
      <c r="F699" s="4"/>
      <c r="G699" s="4"/>
      <c r="H699" s="4"/>
      <c r="I699" s="4"/>
      <c r="J699" s="5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</row>
    <row r="700" spans="1:55" ht="13">
      <c r="A700" s="2"/>
      <c r="B700" s="2"/>
      <c r="C700" s="3"/>
      <c r="D700" s="2"/>
      <c r="E700" s="4"/>
      <c r="F700" s="4"/>
      <c r="G700" s="4"/>
      <c r="H700" s="4"/>
      <c r="I700" s="4"/>
      <c r="J700" s="5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</row>
    <row r="701" spans="1:55" ht="13">
      <c r="A701" s="2"/>
      <c r="B701" s="2"/>
      <c r="C701" s="3"/>
      <c r="D701" s="2"/>
      <c r="E701" s="4"/>
      <c r="F701" s="4"/>
      <c r="G701" s="4"/>
      <c r="H701" s="4"/>
      <c r="I701" s="4"/>
      <c r="J701" s="5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</row>
    <row r="702" spans="1:55" ht="13">
      <c r="A702" s="2"/>
      <c r="B702" s="2"/>
      <c r="C702" s="3"/>
      <c r="D702" s="2"/>
      <c r="E702" s="4"/>
      <c r="F702" s="4"/>
      <c r="G702" s="4"/>
      <c r="H702" s="4"/>
      <c r="I702" s="4"/>
      <c r="J702" s="5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</row>
    <row r="703" spans="1:55" ht="13">
      <c r="A703" s="2"/>
      <c r="B703" s="2"/>
      <c r="C703" s="3"/>
      <c r="D703" s="2"/>
      <c r="E703" s="4"/>
      <c r="F703" s="4"/>
      <c r="G703" s="4"/>
      <c r="H703" s="4"/>
      <c r="I703" s="4"/>
      <c r="J703" s="5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</row>
    <row r="704" spans="1:55" ht="13">
      <c r="A704" s="2"/>
      <c r="B704" s="2"/>
      <c r="C704" s="3"/>
      <c r="D704" s="2"/>
      <c r="E704" s="4"/>
      <c r="F704" s="4"/>
      <c r="G704" s="4"/>
      <c r="H704" s="4"/>
      <c r="I704" s="4"/>
      <c r="J704" s="5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</row>
    <row r="705" spans="1:55" ht="13">
      <c r="A705" s="2"/>
      <c r="B705" s="2"/>
      <c r="C705" s="3"/>
      <c r="D705" s="2"/>
      <c r="E705" s="4"/>
      <c r="F705" s="4"/>
      <c r="G705" s="4"/>
      <c r="H705" s="4"/>
      <c r="I705" s="4"/>
      <c r="J705" s="5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</row>
    <row r="706" spans="1:55" ht="13">
      <c r="A706" s="2"/>
      <c r="B706" s="2"/>
      <c r="C706" s="3"/>
      <c r="D706" s="2"/>
      <c r="E706" s="4"/>
      <c r="F706" s="4"/>
      <c r="G706" s="4"/>
      <c r="H706" s="4"/>
      <c r="I706" s="4"/>
      <c r="J706" s="5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</row>
    <row r="707" spans="1:55" ht="13">
      <c r="A707" s="2"/>
      <c r="B707" s="2"/>
      <c r="C707" s="3"/>
      <c r="D707" s="2"/>
      <c r="E707" s="4"/>
      <c r="F707" s="4"/>
      <c r="G707" s="4"/>
      <c r="H707" s="4"/>
      <c r="I707" s="4"/>
      <c r="J707" s="5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</row>
    <row r="708" spans="1:55" ht="13">
      <c r="A708" s="2"/>
      <c r="B708" s="2"/>
      <c r="C708" s="3"/>
      <c r="D708" s="2"/>
      <c r="E708" s="4"/>
      <c r="F708" s="4"/>
      <c r="G708" s="4"/>
      <c r="H708" s="4"/>
      <c r="I708" s="4"/>
      <c r="J708" s="5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</row>
    <row r="709" spans="1:55" ht="13">
      <c r="A709" s="2"/>
      <c r="B709" s="2"/>
      <c r="C709" s="3"/>
      <c r="D709" s="2"/>
      <c r="E709" s="4"/>
      <c r="F709" s="4"/>
      <c r="G709" s="4"/>
      <c r="H709" s="4"/>
      <c r="I709" s="4"/>
      <c r="J709" s="5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</row>
    <row r="710" spans="1:55" ht="13">
      <c r="A710" s="2"/>
      <c r="B710" s="2"/>
      <c r="C710" s="3"/>
      <c r="D710" s="2"/>
      <c r="E710" s="4"/>
      <c r="F710" s="4"/>
      <c r="G710" s="4"/>
      <c r="H710" s="4"/>
      <c r="I710" s="4"/>
      <c r="J710" s="5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</row>
    <row r="711" spans="1:55" ht="13">
      <c r="A711" s="2"/>
      <c r="B711" s="2"/>
      <c r="C711" s="3"/>
      <c r="D711" s="2"/>
      <c r="E711" s="4"/>
      <c r="F711" s="4"/>
      <c r="G711" s="4"/>
      <c r="H711" s="4"/>
      <c r="I711" s="4"/>
      <c r="J711" s="5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</row>
    <row r="712" spans="1:55" ht="13">
      <c r="A712" s="2"/>
      <c r="B712" s="2"/>
      <c r="C712" s="3"/>
      <c r="D712" s="2"/>
      <c r="E712" s="4"/>
      <c r="F712" s="4"/>
      <c r="G712" s="4"/>
      <c r="H712" s="4"/>
      <c r="I712" s="4"/>
      <c r="J712" s="5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</row>
    <row r="713" spans="1:55" ht="13">
      <c r="A713" s="2"/>
      <c r="B713" s="2"/>
      <c r="C713" s="3"/>
      <c r="D713" s="2"/>
      <c r="E713" s="4"/>
      <c r="F713" s="4"/>
      <c r="G713" s="4"/>
      <c r="H713" s="4"/>
      <c r="I713" s="4"/>
      <c r="J713" s="5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</row>
    <row r="714" spans="1:55" ht="13">
      <c r="A714" s="2"/>
      <c r="B714" s="2"/>
      <c r="C714" s="3"/>
      <c r="D714" s="2"/>
      <c r="E714" s="4"/>
      <c r="F714" s="4"/>
      <c r="G714" s="4"/>
      <c r="H714" s="4"/>
      <c r="I714" s="4"/>
      <c r="J714" s="5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</row>
    <row r="715" spans="1:55" ht="13">
      <c r="A715" s="2"/>
      <c r="B715" s="2"/>
      <c r="C715" s="3"/>
      <c r="D715" s="2"/>
      <c r="E715" s="4"/>
      <c r="F715" s="4"/>
      <c r="G715" s="4"/>
      <c r="H715" s="4"/>
      <c r="I715" s="4"/>
      <c r="J715" s="5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</row>
    <row r="716" spans="1:55" ht="13">
      <c r="A716" s="2"/>
      <c r="B716" s="2"/>
      <c r="C716" s="3"/>
      <c r="D716" s="2"/>
      <c r="E716" s="4"/>
      <c r="F716" s="4"/>
      <c r="G716" s="4"/>
      <c r="H716" s="4"/>
      <c r="I716" s="4"/>
      <c r="J716" s="5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</row>
    <row r="717" spans="1:55" ht="13">
      <c r="A717" s="2"/>
      <c r="B717" s="2"/>
      <c r="C717" s="3"/>
      <c r="D717" s="2"/>
      <c r="E717" s="4"/>
      <c r="F717" s="4"/>
      <c r="G717" s="4"/>
      <c r="H717" s="4"/>
      <c r="I717" s="4"/>
      <c r="J717" s="5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</row>
    <row r="718" spans="1:55" ht="13">
      <c r="A718" s="2"/>
      <c r="B718" s="2"/>
      <c r="C718" s="3"/>
      <c r="D718" s="2"/>
      <c r="E718" s="4"/>
      <c r="F718" s="4"/>
      <c r="G718" s="4"/>
      <c r="H718" s="4"/>
      <c r="I718" s="4"/>
      <c r="J718" s="5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</row>
    <row r="719" spans="1:55" ht="13">
      <c r="A719" s="2"/>
      <c r="B719" s="2"/>
      <c r="C719" s="3"/>
      <c r="D719" s="2"/>
      <c r="E719" s="4"/>
      <c r="F719" s="4"/>
      <c r="G719" s="4"/>
      <c r="H719" s="4"/>
      <c r="I719" s="4"/>
      <c r="J719" s="5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</row>
    <row r="720" spans="1:55" ht="13">
      <c r="A720" s="2"/>
      <c r="B720" s="2"/>
      <c r="C720" s="3"/>
      <c r="D720" s="2"/>
      <c r="E720" s="4"/>
      <c r="F720" s="4"/>
      <c r="G720" s="4"/>
      <c r="H720" s="4"/>
      <c r="I720" s="4"/>
      <c r="J720" s="5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</row>
    <row r="721" spans="1:55" ht="13">
      <c r="A721" s="2"/>
      <c r="B721" s="2"/>
      <c r="C721" s="3"/>
      <c r="D721" s="2"/>
      <c r="E721" s="4"/>
      <c r="F721" s="4"/>
      <c r="G721" s="4"/>
      <c r="H721" s="4"/>
      <c r="I721" s="4"/>
      <c r="J721" s="5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</row>
    <row r="722" spans="1:55" ht="13">
      <c r="A722" s="2"/>
      <c r="B722" s="2"/>
      <c r="C722" s="3"/>
      <c r="D722" s="2"/>
      <c r="E722" s="4"/>
      <c r="F722" s="4"/>
      <c r="G722" s="4"/>
      <c r="H722" s="4"/>
      <c r="I722" s="4"/>
      <c r="J722" s="5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</row>
    <row r="723" spans="1:55" ht="13">
      <c r="A723" s="2"/>
      <c r="B723" s="2"/>
      <c r="C723" s="3"/>
      <c r="D723" s="2"/>
      <c r="E723" s="4"/>
      <c r="F723" s="4"/>
      <c r="G723" s="4"/>
      <c r="H723" s="4"/>
      <c r="I723" s="4"/>
      <c r="J723" s="5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</row>
    <row r="724" spans="1:55" ht="13">
      <c r="A724" s="2"/>
      <c r="B724" s="2"/>
      <c r="C724" s="3"/>
      <c r="D724" s="2"/>
      <c r="E724" s="4"/>
      <c r="F724" s="4"/>
      <c r="G724" s="4"/>
      <c r="H724" s="4"/>
      <c r="I724" s="4"/>
      <c r="J724" s="5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</row>
    <row r="725" spans="1:55" ht="13">
      <c r="A725" s="2"/>
      <c r="B725" s="2"/>
      <c r="C725" s="3"/>
      <c r="D725" s="2"/>
      <c r="E725" s="4"/>
      <c r="F725" s="4"/>
      <c r="G725" s="4"/>
      <c r="H725" s="4"/>
      <c r="I725" s="4"/>
      <c r="J725" s="5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</row>
    <row r="726" spans="1:55" ht="13">
      <c r="A726" s="2"/>
      <c r="B726" s="2"/>
      <c r="C726" s="3"/>
      <c r="D726" s="2"/>
      <c r="E726" s="4"/>
      <c r="F726" s="4"/>
      <c r="G726" s="4"/>
      <c r="H726" s="4"/>
      <c r="I726" s="4"/>
      <c r="J726" s="5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</row>
    <row r="727" spans="1:55" ht="13">
      <c r="A727" s="2"/>
      <c r="B727" s="2"/>
      <c r="C727" s="3"/>
      <c r="D727" s="2"/>
      <c r="E727" s="4"/>
      <c r="F727" s="4"/>
      <c r="G727" s="4"/>
      <c r="H727" s="4"/>
      <c r="I727" s="4"/>
      <c r="J727" s="5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</row>
    <row r="728" spans="1:55" ht="13">
      <c r="A728" s="2"/>
      <c r="B728" s="2"/>
      <c r="C728" s="3"/>
      <c r="D728" s="2"/>
      <c r="E728" s="4"/>
      <c r="F728" s="4"/>
      <c r="G728" s="4"/>
      <c r="H728" s="4"/>
      <c r="I728" s="4"/>
      <c r="J728" s="5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</row>
    <row r="729" spans="1:55" ht="13">
      <c r="A729" s="2"/>
      <c r="B729" s="2"/>
      <c r="C729" s="3"/>
      <c r="D729" s="2"/>
      <c r="E729" s="4"/>
      <c r="F729" s="4"/>
      <c r="G729" s="4"/>
      <c r="H729" s="4"/>
      <c r="I729" s="4"/>
      <c r="J729" s="5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</row>
    <row r="730" spans="1:55" ht="13">
      <c r="A730" s="2"/>
      <c r="B730" s="2"/>
      <c r="C730" s="3"/>
      <c r="D730" s="2"/>
      <c r="E730" s="4"/>
      <c r="F730" s="4"/>
      <c r="G730" s="4"/>
      <c r="H730" s="4"/>
      <c r="I730" s="4"/>
      <c r="J730" s="5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</row>
    <row r="731" spans="1:55" ht="13">
      <c r="A731" s="2"/>
      <c r="B731" s="2"/>
      <c r="C731" s="3"/>
      <c r="D731" s="2"/>
      <c r="E731" s="4"/>
      <c r="F731" s="4"/>
      <c r="G731" s="4"/>
      <c r="H731" s="4"/>
      <c r="I731" s="4"/>
      <c r="J731" s="5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</row>
    <row r="732" spans="1:55" ht="13">
      <c r="A732" s="2"/>
      <c r="B732" s="2"/>
      <c r="C732" s="3"/>
      <c r="D732" s="2"/>
      <c r="E732" s="4"/>
      <c r="F732" s="4"/>
      <c r="G732" s="4"/>
      <c r="H732" s="4"/>
      <c r="I732" s="4"/>
      <c r="J732" s="5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</row>
    <row r="733" spans="1:55" ht="13">
      <c r="A733" s="2"/>
      <c r="B733" s="2"/>
      <c r="C733" s="3"/>
      <c r="D733" s="2"/>
      <c r="E733" s="4"/>
      <c r="F733" s="4"/>
      <c r="G733" s="4"/>
      <c r="H733" s="4"/>
      <c r="I733" s="4"/>
      <c r="J733" s="5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</row>
    <row r="734" spans="1:55" ht="13">
      <c r="A734" s="2"/>
      <c r="B734" s="2"/>
      <c r="C734" s="3"/>
      <c r="D734" s="2"/>
      <c r="E734" s="4"/>
      <c r="F734" s="4"/>
      <c r="G734" s="4"/>
      <c r="H734" s="4"/>
      <c r="I734" s="4"/>
      <c r="J734" s="5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</row>
    <row r="735" spans="1:55" ht="13">
      <c r="A735" s="2"/>
      <c r="B735" s="2"/>
      <c r="C735" s="3"/>
      <c r="D735" s="2"/>
      <c r="E735" s="4"/>
      <c r="F735" s="4"/>
      <c r="G735" s="4"/>
      <c r="H735" s="4"/>
      <c r="I735" s="4"/>
      <c r="J735" s="5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</row>
    <row r="736" spans="1:55" ht="13">
      <c r="A736" s="2"/>
      <c r="B736" s="2"/>
      <c r="C736" s="3"/>
      <c r="D736" s="2"/>
      <c r="E736" s="4"/>
      <c r="F736" s="4"/>
      <c r="G736" s="4"/>
      <c r="H736" s="4"/>
      <c r="I736" s="4"/>
      <c r="J736" s="5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</row>
    <row r="737" spans="1:55" ht="13">
      <c r="A737" s="2"/>
      <c r="B737" s="2"/>
      <c r="C737" s="3"/>
      <c r="D737" s="2"/>
      <c r="E737" s="4"/>
      <c r="F737" s="4"/>
      <c r="G737" s="4"/>
      <c r="H737" s="4"/>
      <c r="I737" s="4"/>
      <c r="J737" s="5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</row>
    <row r="738" spans="1:55" ht="13">
      <c r="A738" s="2"/>
      <c r="B738" s="2"/>
      <c r="C738" s="3"/>
      <c r="D738" s="2"/>
      <c r="E738" s="4"/>
      <c r="F738" s="4"/>
      <c r="G738" s="4"/>
      <c r="H738" s="4"/>
      <c r="I738" s="4"/>
      <c r="J738" s="5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</row>
    <row r="739" spans="1:55" ht="13">
      <c r="A739" s="2"/>
      <c r="B739" s="2"/>
      <c r="C739" s="3"/>
      <c r="D739" s="2"/>
      <c r="E739" s="4"/>
      <c r="F739" s="4"/>
      <c r="G739" s="4"/>
      <c r="H739" s="4"/>
      <c r="I739" s="4"/>
      <c r="J739" s="5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</row>
    <row r="740" spans="1:55" ht="13">
      <c r="A740" s="2"/>
      <c r="B740" s="2"/>
      <c r="C740" s="3"/>
      <c r="D740" s="2"/>
      <c r="E740" s="4"/>
      <c r="F740" s="4"/>
      <c r="G740" s="4"/>
      <c r="H740" s="4"/>
      <c r="I740" s="4"/>
      <c r="J740" s="5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</row>
    <row r="741" spans="1:55" ht="13">
      <c r="A741" s="2"/>
      <c r="B741" s="2"/>
      <c r="C741" s="3"/>
      <c r="D741" s="2"/>
      <c r="E741" s="4"/>
      <c r="F741" s="4"/>
      <c r="G741" s="4"/>
      <c r="H741" s="4"/>
      <c r="I741" s="4"/>
      <c r="J741" s="5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</row>
    <row r="742" spans="1:55" ht="13">
      <c r="A742" s="2"/>
      <c r="B742" s="2"/>
      <c r="C742" s="3"/>
      <c r="D742" s="2"/>
      <c r="E742" s="4"/>
      <c r="F742" s="4"/>
      <c r="G742" s="4"/>
      <c r="H742" s="4"/>
      <c r="I742" s="4"/>
      <c r="J742" s="5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</row>
    <row r="743" spans="1:55" ht="13">
      <c r="A743" s="2"/>
      <c r="B743" s="2"/>
      <c r="C743" s="3"/>
      <c r="D743" s="2"/>
      <c r="E743" s="4"/>
      <c r="F743" s="4"/>
      <c r="G743" s="4"/>
      <c r="H743" s="4"/>
      <c r="I743" s="4"/>
      <c r="J743" s="5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</row>
    <row r="744" spans="1:55" ht="13">
      <c r="A744" s="2"/>
      <c r="B744" s="2"/>
      <c r="C744" s="3"/>
      <c r="D744" s="2"/>
      <c r="E744" s="4"/>
      <c r="F744" s="4"/>
      <c r="G744" s="4"/>
      <c r="H744" s="4"/>
      <c r="I744" s="4"/>
      <c r="J744" s="5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</row>
    <row r="745" spans="1:55" ht="13">
      <c r="A745" s="2"/>
      <c r="B745" s="2"/>
      <c r="C745" s="3"/>
      <c r="D745" s="2"/>
      <c r="E745" s="4"/>
      <c r="F745" s="4"/>
      <c r="G745" s="4"/>
      <c r="H745" s="4"/>
      <c r="I745" s="4"/>
      <c r="J745" s="5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</row>
    <row r="746" spans="1:55" ht="13">
      <c r="A746" s="2"/>
      <c r="B746" s="2"/>
      <c r="C746" s="3"/>
      <c r="D746" s="2"/>
      <c r="E746" s="4"/>
      <c r="F746" s="4"/>
      <c r="G746" s="4"/>
      <c r="H746" s="4"/>
      <c r="I746" s="4"/>
      <c r="J746" s="5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</row>
    <row r="747" spans="1:55" ht="13">
      <c r="A747" s="2"/>
      <c r="B747" s="2"/>
      <c r="C747" s="3"/>
      <c r="D747" s="2"/>
      <c r="E747" s="4"/>
      <c r="F747" s="4"/>
      <c r="G747" s="4"/>
      <c r="H747" s="4"/>
      <c r="I747" s="4"/>
      <c r="J747" s="5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</row>
    <row r="748" spans="1:55" ht="13">
      <c r="A748" s="2"/>
      <c r="B748" s="2"/>
      <c r="C748" s="3"/>
      <c r="D748" s="2"/>
      <c r="E748" s="4"/>
      <c r="F748" s="4"/>
      <c r="G748" s="4"/>
      <c r="H748" s="4"/>
      <c r="I748" s="4"/>
      <c r="J748" s="5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</row>
    <row r="749" spans="1:55" ht="13">
      <c r="A749" s="2"/>
      <c r="B749" s="2"/>
      <c r="C749" s="3"/>
      <c r="D749" s="2"/>
      <c r="E749" s="4"/>
      <c r="F749" s="4"/>
      <c r="G749" s="4"/>
      <c r="H749" s="4"/>
      <c r="I749" s="4"/>
      <c r="J749" s="5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</row>
    <row r="750" spans="1:55" ht="13">
      <c r="A750" s="2"/>
      <c r="B750" s="2"/>
      <c r="C750" s="3"/>
      <c r="D750" s="2"/>
      <c r="E750" s="4"/>
      <c r="F750" s="4"/>
      <c r="G750" s="4"/>
      <c r="H750" s="4"/>
      <c r="I750" s="4"/>
      <c r="J750" s="5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</row>
    <row r="751" spans="1:55" ht="13">
      <c r="A751" s="2"/>
      <c r="B751" s="2"/>
      <c r="C751" s="3"/>
      <c r="D751" s="2"/>
      <c r="E751" s="4"/>
      <c r="F751" s="4"/>
      <c r="G751" s="4"/>
      <c r="H751" s="4"/>
      <c r="I751" s="4"/>
      <c r="J751" s="5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</row>
    <row r="752" spans="1:55" ht="13">
      <c r="A752" s="2"/>
      <c r="B752" s="2"/>
      <c r="C752" s="3"/>
      <c r="D752" s="2"/>
      <c r="E752" s="4"/>
      <c r="F752" s="4"/>
      <c r="G752" s="4"/>
      <c r="H752" s="4"/>
      <c r="I752" s="4"/>
      <c r="J752" s="5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</row>
    <row r="753" spans="1:55" ht="13">
      <c r="A753" s="2"/>
      <c r="B753" s="2"/>
      <c r="C753" s="3"/>
      <c r="D753" s="2"/>
      <c r="E753" s="4"/>
      <c r="F753" s="4"/>
      <c r="G753" s="4"/>
      <c r="H753" s="4"/>
      <c r="I753" s="4"/>
      <c r="J753" s="5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</row>
    <row r="754" spans="1:55" ht="13">
      <c r="A754" s="2"/>
      <c r="B754" s="2"/>
      <c r="C754" s="3"/>
      <c r="D754" s="2"/>
      <c r="E754" s="4"/>
      <c r="F754" s="4"/>
      <c r="G754" s="4"/>
      <c r="H754" s="4"/>
      <c r="I754" s="4"/>
      <c r="J754" s="5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</row>
    <row r="755" spans="1:55" ht="13">
      <c r="A755" s="2"/>
      <c r="B755" s="2"/>
      <c r="C755" s="3"/>
      <c r="D755" s="2"/>
      <c r="E755" s="4"/>
      <c r="F755" s="4"/>
      <c r="G755" s="4"/>
      <c r="H755" s="4"/>
      <c r="I755" s="4"/>
      <c r="J755" s="5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</row>
    <row r="756" spans="1:55" ht="13">
      <c r="A756" s="2"/>
      <c r="B756" s="2"/>
      <c r="C756" s="3"/>
      <c r="D756" s="2"/>
      <c r="E756" s="4"/>
      <c r="F756" s="4"/>
      <c r="G756" s="4"/>
      <c r="H756" s="4"/>
      <c r="I756" s="4"/>
      <c r="J756" s="5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</row>
    <row r="757" spans="1:55" ht="13">
      <c r="A757" s="2"/>
      <c r="B757" s="2"/>
      <c r="C757" s="3"/>
      <c r="D757" s="2"/>
      <c r="E757" s="4"/>
      <c r="F757" s="4"/>
      <c r="G757" s="4"/>
      <c r="H757" s="4"/>
      <c r="I757" s="4"/>
      <c r="J757" s="5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</row>
    <row r="758" spans="1:55" ht="13">
      <c r="A758" s="2"/>
      <c r="B758" s="2"/>
      <c r="C758" s="3"/>
      <c r="D758" s="2"/>
      <c r="E758" s="4"/>
      <c r="F758" s="4"/>
      <c r="G758" s="4"/>
      <c r="H758" s="4"/>
      <c r="I758" s="4"/>
      <c r="J758" s="5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</row>
    <row r="759" spans="1:55" ht="13">
      <c r="A759" s="2"/>
      <c r="B759" s="2"/>
      <c r="C759" s="3"/>
      <c r="D759" s="2"/>
      <c r="E759" s="4"/>
      <c r="F759" s="4"/>
      <c r="G759" s="4"/>
      <c r="H759" s="4"/>
      <c r="I759" s="4"/>
      <c r="J759" s="5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</row>
    <row r="760" spans="1:55" ht="13">
      <c r="A760" s="2"/>
      <c r="B760" s="2"/>
      <c r="C760" s="3"/>
      <c r="D760" s="2"/>
      <c r="E760" s="4"/>
      <c r="F760" s="4"/>
      <c r="G760" s="4"/>
      <c r="H760" s="4"/>
      <c r="I760" s="4"/>
      <c r="J760" s="5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</row>
    <row r="761" spans="1:55" ht="13">
      <c r="A761" s="2"/>
      <c r="B761" s="2"/>
      <c r="C761" s="3"/>
      <c r="D761" s="2"/>
      <c r="E761" s="4"/>
      <c r="F761" s="4"/>
      <c r="G761" s="4"/>
      <c r="H761" s="4"/>
      <c r="I761" s="4"/>
      <c r="J761" s="5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</row>
    <row r="762" spans="1:55" ht="13">
      <c r="A762" s="2"/>
      <c r="B762" s="2"/>
      <c r="C762" s="3"/>
      <c r="D762" s="2"/>
      <c r="E762" s="4"/>
      <c r="F762" s="4"/>
      <c r="G762" s="4"/>
      <c r="H762" s="4"/>
      <c r="I762" s="4"/>
      <c r="J762" s="5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</row>
    <row r="763" spans="1:55" ht="13">
      <c r="A763" s="2"/>
      <c r="B763" s="2"/>
      <c r="C763" s="3"/>
      <c r="D763" s="2"/>
      <c r="E763" s="4"/>
      <c r="F763" s="4"/>
      <c r="G763" s="4"/>
      <c r="H763" s="4"/>
      <c r="I763" s="4"/>
      <c r="J763" s="5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</row>
    <row r="764" spans="1:55" ht="13">
      <c r="A764" s="2"/>
      <c r="B764" s="2"/>
      <c r="C764" s="3"/>
      <c r="D764" s="2"/>
      <c r="E764" s="4"/>
      <c r="F764" s="4"/>
      <c r="G764" s="4"/>
      <c r="H764" s="4"/>
      <c r="I764" s="4"/>
      <c r="J764" s="5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</row>
    <row r="765" spans="1:55" ht="13">
      <c r="A765" s="2"/>
      <c r="B765" s="2"/>
      <c r="C765" s="3"/>
      <c r="D765" s="2"/>
      <c r="E765" s="4"/>
      <c r="F765" s="4"/>
      <c r="G765" s="4"/>
      <c r="H765" s="4"/>
      <c r="I765" s="4"/>
      <c r="J765" s="5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</row>
    <row r="766" spans="1:55" ht="13">
      <c r="A766" s="2"/>
      <c r="B766" s="2"/>
      <c r="C766" s="3"/>
      <c r="D766" s="2"/>
      <c r="E766" s="4"/>
      <c r="F766" s="4"/>
      <c r="G766" s="4"/>
      <c r="H766" s="4"/>
      <c r="I766" s="4"/>
      <c r="J766" s="5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</row>
    <row r="767" spans="1:55" ht="13">
      <c r="A767" s="2"/>
      <c r="B767" s="2"/>
      <c r="C767" s="3"/>
      <c r="D767" s="2"/>
      <c r="E767" s="4"/>
      <c r="F767" s="4"/>
      <c r="G767" s="4"/>
      <c r="H767" s="4"/>
      <c r="I767" s="4"/>
      <c r="J767" s="5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</row>
    <row r="768" spans="1:55" ht="13">
      <c r="A768" s="2"/>
      <c r="B768" s="2"/>
      <c r="C768" s="3"/>
      <c r="D768" s="2"/>
      <c r="E768" s="4"/>
      <c r="F768" s="4"/>
      <c r="G768" s="4"/>
      <c r="H768" s="4"/>
      <c r="I768" s="4"/>
      <c r="J768" s="5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</row>
    <row r="769" spans="1:55" ht="13">
      <c r="A769" s="2"/>
      <c r="B769" s="2"/>
      <c r="C769" s="3"/>
      <c r="D769" s="2"/>
      <c r="E769" s="4"/>
      <c r="F769" s="4"/>
      <c r="G769" s="4"/>
      <c r="H769" s="4"/>
      <c r="I769" s="4"/>
      <c r="J769" s="5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</row>
    <row r="770" spans="1:55" ht="13">
      <c r="A770" s="2"/>
      <c r="B770" s="2"/>
      <c r="C770" s="3"/>
      <c r="D770" s="2"/>
      <c r="E770" s="4"/>
      <c r="F770" s="4"/>
      <c r="G770" s="4"/>
      <c r="H770" s="4"/>
      <c r="I770" s="4"/>
      <c r="J770" s="5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</row>
    <row r="771" spans="1:55" ht="13">
      <c r="A771" s="2"/>
      <c r="B771" s="2"/>
      <c r="C771" s="3"/>
      <c r="D771" s="2"/>
      <c r="E771" s="4"/>
      <c r="F771" s="4"/>
      <c r="G771" s="4"/>
      <c r="H771" s="4"/>
      <c r="I771" s="4"/>
      <c r="J771" s="5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</row>
    <row r="772" spans="1:55" ht="13">
      <c r="A772" s="2"/>
      <c r="B772" s="2"/>
      <c r="C772" s="3"/>
      <c r="D772" s="2"/>
      <c r="E772" s="4"/>
      <c r="F772" s="4"/>
      <c r="G772" s="4"/>
      <c r="H772" s="4"/>
      <c r="I772" s="4"/>
      <c r="J772" s="5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</row>
    <row r="773" spans="1:55" ht="13">
      <c r="A773" s="2"/>
      <c r="B773" s="2"/>
      <c r="C773" s="3"/>
      <c r="D773" s="2"/>
      <c r="E773" s="4"/>
      <c r="F773" s="4"/>
      <c r="G773" s="4"/>
      <c r="H773" s="4"/>
      <c r="I773" s="4"/>
      <c r="J773" s="5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</row>
    <row r="774" spans="1:55" ht="13">
      <c r="A774" s="2"/>
      <c r="B774" s="2"/>
      <c r="C774" s="3"/>
      <c r="D774" s="2"/>
      <c r="E774" s="4"/>
      <c r="F774" s="4"/>
      <c r="G774" s="4"/>
      <c r="H774" s="4"/>
      <c r="I774" s="4"/>
      <c r="J774" s="5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</row>
    <row r="775" spans="1:55" ht="13">
      <c r="A775" s="2"/>
      <c r="B775" s="2"/>
      <c r="C775" s="3"/>
      <c r="D775" s="2"/>
      <c r="E775" s="4"/>
      <c r="F775" s="4"/>
      <c r="G775" s="4"/>
      <c r="H775" s="4"/>
      <c r="I775" s="4"/>
      <c r="J775" s="5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</row>
    <row r="776" spans="1:55" ht="13">
      <c r="A776" s="2"/>
      <c r="B776" s="2"/>
      <c r="C776" s="3"/>
      <c r="D776" s="2"/>
      <c r="E776" s="4"/>
      <c r="F776" s="4"/>
      <c r="G776" s="4"/>
      <c r="H776" s="4"/>
      <c r="I776" s="4"/>
      <c r="J776" s="5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</row>
    <row r="777" spans="1:55" ht="13">
      <c r="A777" s="2"/>
      <c r="B777" s="2"/>
      <c r="C777" s="3"/>
      <c r="D777" s="2"/>
      <c r="E777" s="4"/>
      <c r="F777" s="4"/>
      <c r="G777" s="4"/>
      <c r="H777" s="4"/>
      <c r="I777" s="4"/>
      <c r="J777" s="5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</row>
    <row r="778" spans="1:55" ht="13">
      <c r="A778" s="2"/>
      <c r="B778" s="2"/>
      <c r="C778" s="3"/>
      <c r="D778" s="2"/>
      <c r="E778" s="4"/>
      <c r="F778" s="4"/>
      <c r="G778" s="4"/>
      <c r="H778" s="4"/>
      <c r="I778" s="4"/>
      <c r="J778" s="5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</row>
    <row r="779" spans="1:55" ht="13">
      <c r="A779" s="2"/>
      <c r="B779" s="2"/>
      <c r="C779" s="3"/>
      <c r="D779" s="2"/>
      <c r="E779" s="4"/>
      <c r="F779" s="4"/>
      <c r="G779" s="4"/>
      <c r="H779" s="4"/>
      <c r="I779" s="4"/>
      <c r="J779" s="5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</row>
    <row r="780" spans="1:55" ht="13">
      <c r="A780" s="2"/>
      <c r="B780" s="2"/>
      <c r="C780" s="3"/>
      <c r="D780" s="2"/>
      <c r="E780" s="4"/>
      <c r="F780" s="4"/>
      <c r="G780" s="4"/>
      <c r="H780" s="4"/>
      <c r="I780" s="4"/>
      <c r="J780" s="5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</row>
    <row r="781" spans="1:55" ht="13">
      <c r="A781" s="2"/>
      <c r="B781" s="2"/>
      <c r="C781" s="3"/>
      <c r="D781" s="2"/>
      <c r="E781" s="4"/>
      <c r="F781" s="4"/>
      <c r="G781" s="4"/>
      <c r="H781" s="4"/>
      <c r="I781" s="4"/>
      <c r="J781" s="5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</row>
    <row r="782" spans="1:55" ht="13">
      <c r="A782" s="2"/>
      <c r="B782" s="2"/>
      <c r="C782" s="3"/>
      <c r="D782" s="2"/>
      <c r="E782" s="4"/>
      <c r="F782" s="4"/>
      <c r="G782" s="4"/>
      <c r="H782" s="4"/>
      <c r="I782" s="4"/>
      <c r="J782" s="5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</row>
    <row r="783" spans="1:55" ht="13">
      <c r="A783" s="2"/>
      <c r="B783" s="2"/>
      <c r="C783" s="3"/>
      <c r="D783" s="2"/>
      <c r="E783" s="4"/>
      <c r="F783" s="4"/>
      <c r="G783" s="4"/>
      <c r="H783" s="4"/>
      <c r="I783" s="4"/>
      <c r="J783" s="5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</row>
    <row r="784" spans="1:55" ht="13">
      <c r="A784" s="2"/>
      <c r="B784" s="2"/>
      <c r="C784" s="3"/>
      <c r="D784" s="2"/>
      <c r="E784" s="4"/>
      <c r="F784" s="4"/>
      <c r="G784" s="4"/>
      <c r="H784" s="4"/>
      <c r="I784" s="4"/>
      <c r="J784" s="5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</row>
    <row r="785" spans="1:55" ht="13">
      <c r="A785" s="2"/>
      <c r="B785" s="2"/>
      <c r="C785" s="3"/>
      <c r="D785" s="2"/>
      <c r="E785" s="4"/>
      <c r="F785" s="4"/>
      <c r="G785" s="4"/>
      <c r="H785" s="4"/>
      <c r="I785" s="4"/>
      <c r="J785" s="5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</row>
    <row r="786" spans="1:55" ht="13">
      <c r="A786" s="2"/>
      <c r="B786" s="2"/>
      <c r="C786" s="3"/>
      <c r="D786" s="2"/>
      <c r="E786" s="4"/>
      <c r="F786" s="4"/>
      <c r="G786" s="4"/>
      <c r="H786" s="4"/>
      <c r="I786" s="4"/>
      <c r="J786" s="5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</row>
    <row r="787" spans="1:55" ht="13">
      <c r="A787" s="2"/>
      <c r="B787" s="2"/>
      <c r="C787" s="3"/>
      <c r="D787" s="2"/>
      <c r="E787" s="4"/>
      <c r="F787" s="4"/>
      <c r="G787" s="4"/>
      <c r="H787" s="4"/>
      <c r="I787" s="4"/>
      <c r="J787" s="5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</row>
    <row r="788" spans="1:55" ht="13">
      <c r="A788" s="2"/>
      <c r="B788" s="2"/>
      <c r="C788" s="3"/>
      <c r="D788" s="2"/>
      <c r="E788" s="4"/>
      <c r="F788" s="4"/>
      <c r="G788" s="4"/>
      <c r="H788" s="4"/>
      <c r="I788" s="4"/>
      <c r="J788" s="5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</row>
    <row r="789" spans="1:55" ht="13">
      <c r="A789" s="2"/>
      <c r="B789" s="2"/>
      <c r="C789" s="3"/>
      <c r="D789" s="2"/>
      <c r="E789" s="4"/>
      <c r="F789" s="4"/>
      <c r="G789" s="4"/>
      <c r="H789" s="4"/>
      <c r="I789" s="4"/>
      <c r="J789" s="5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</row>
    <row r="790" spans="1:55" ht="13">
      <c r="A790" s="2"/>
      <c r="B790" s="2"/>
      <c r="C790" s="3"/>
      <c r="D790" s="2"/>
      <c r="E790" s="4"/>
      <c r="F790" s="4"/>
      <c r="G790" s="4"/>
      <c r="H790" s="4"/>
      <c r="I790" s="4"/>
      <c r="J790" s="5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</row>
    <row r="791" spans="1:55" ht="13">
      <c r="A791" s="2"/>
      <c r="B791" s="2"/>
      <c r="C791" s="3"/>
      <c r="D791" s="2"/>
      <c r="E791" s="4"/>
      <c r="F791" s="4"/>
      <c r="G791" s="4"/>
      <c r="H791" s="4"/>
      <c r="I791" s="4"/>
      <c r="J791" s="5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</row>
    <row r="792" spans="1:55" ht="13">
      <c r="A792" s="2"/>
      <c r="B792" s="2"/>
      <c r="C792" s="3"/>
      <c r="D792" s="2"/>
      <c r="E792" s="4"/>
      <c r="F792" s="4"/>
      <c r="G792" s="4"/>
      <c r="H792" s="4"/>
      <c r="I792" s="4"/>
      <c r="J792" s="5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</row>
    <row r="793" spans="1:55" ht="13">
      <c r="A793" s="2"/>
      <c r="B793" s="2"/>
      <c r="C793" s="3"/>
      <c r="D793" s="2"/>
      <c r="E793" s="4"/>
      <c r="F793" s="4"/>
      <c r="G793" s="4"/>
      <c r="H793" s="4"/>
      <c r="I793" s="4"/>
      <c r="J793" s="5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</row>
    <row r="794" spans="1:55" ht="13">
      <c r="A794" s="2"/>
      <c r="B794" s="2"/>
      <c r="C794" s="3"/>
      <c r="D794" s="2"/>
      <c r="E794" s="4"/>
      <c r="F794" s="4"/>
      <c r="G794" s="4"/>
      <c r="H794" s="4"/>
      <c r="I794" s="4"/>
      <c r="J794" s="5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</row>
    <row r="795" spans="1:55" ht="13">
      <c r="A795" s="2"/>
      <c r="B795" s="2"/>
      <c r="C795" s="3"/>
      <c r="D795" s="2"/>
      <c r="E795" s="4"/>
      <c r="F795" s="4"/>
      <c r="G795" s="4"/>
      <c r="H795" s="4"/>
      <c r="I795" s="4"/>
      <c r="J795" s="5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</row>
    <row r="796" spans="1:55" ht="13">
      <c r="A796" s="2"/>
      <c r="B796" s="2"/>
      <c r="C796" s="3"/>
      <c r="D796" s="2"/>
      <c r="E796" s="4"/>
      <c r="F796" s="4"/>
      <c r="G796" s="4"/>
      <c r="H796" s="4"/>
      <c r="I796" s="4"/>
      <c r="J796" s="5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</row>
    <row r="797" spans="1:55" ht="13">
      <c r="A797" s="2"/>
      <c r="B797" s="2"/>
      <c r="C797" s="3"/>
      <c r="D797" s="2"/>
      <c r="E797" s="4"/>
      <c r="F797" s="4"/>
      <c r="G797" s="4"/>
      <c r="H797" s="4"/>
      <c r="I797" s="4"/>
      <c r="J797" s="5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</row>
    <row r="798" spans="1:55" ht="13">
      <c r="A798" s="2"/>
      <c r="B798" s="2"/>
      <c r="C798" s="3"/>
      <c r="D798" s="2"/>
      <c r="E798" s="4"/>
      <c r="F798" s="4"/>
      <c r="G798" s="4"/>
      <c r="H798" s="4"/>
      <c r="I798" s="4"/>
      <c r="J798" s="5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</row>
    <row r="799" spans="1:55" ht="13">
      <c r="A799" s="2"/>
      <c r="B799" s="2"/>
      <c r="C799" s="3"/>
      <c r="D799" s="2"/>
      <c r="E799" s="4"/>
      <c r="F799" s="4"/>
      <c r="G799" s="4"/>
      <c r="H799" s="4"/>
      <c r="I799" s="4"/>
      <c r="J799" s="5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</row>
    <row r="800" spans="1:55" ht="13">
      <c r="A800" s="2"/>
      <c r="B800" s="2"/>
      <c r="C800" s="3"/>
      <c r="D800" s="2"/>
      <c r="E800" s="4"/>
      <c r="F800" s="4"/>
      <c r="G800" s="4"/>
      <c r="H800" s="4"/>
      <c r="I800" s="4"/>
      <c r="J800" s="5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</row>
    <row r="801" spans="1:55" ht="13">
      <c r="A801" s="2"/>
      <c r="B801" s="2"/>
      <c r="C801" s="3"/>
      <c r="D801" s="2"/>
      <c r="E801" s="4"/>
      <c r="F801" s="4"/>
      <c r="G801" s="4"/>
      <c r="H801" s="4"/>
      <c r="I801" s="4"/>
      <c r="J801" s="5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</row>
    <row r="802" spans="1:55" ht="13">
      <c r="A802" s="2"/>
      <c r="B802" s="2"/>
      <c r="C802" s="3"/>
      <c r="D802" s="2"/>
      <c r="E802" s="4"/>
      <c r="F802" s="4"/>
      <c r="G802" s="4"/>
      <c r="H802" s="4"/>
      <c r="I802" s="4"/>
      <c r="J802" s="5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</row>
    <row r="803" spans="1:55" ht="13">
      <c r="A803" s="2"/>
      <c r="B803" s="2"/>
      <c r="C803" s="3"/>
      <c r="D803" s="2"/>
      <c r="E803" s="4"/>
      <c r="F803" s="4"/>
      <c r="G803" s="4"/>
      <c r="H803" s="4"/>
      <c r="I803" s="4"/>
      <c r="J803" s="5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</row>
    <row r="804" spans="1:55" ht="13">
      <c r="A804" s="2"/>
      <c r="B804" s="2"/>
      <c r="C804" s="3"/>
      <c r="D804" s="2"/>
      <c r="E804" s="4"/>
      <c r="F804" s="4"/>
      <c r="G804" s="4"/>
      <c r="H804" s="4"/>
      <c r="I804" s="4"/>
      <c r="J804" s="5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</row>
    <row r="805" spans="1:55" ht="13">
      <c r="A805" s="2"/>
      <c r="B805" s="2"/>
      <c r="C805" s="3"/>
      <c r="D805" s="2"/>
      <c r="E805" s="4"/>
      <c r="F805" s="4"/>
      <c r="G805" s="4"/>
      <c r="H805" s="4"/>
      <c r="I805" s="4"/>
      <c r="J805" s="5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</row>
    <row r="806" spans="1:55" ht="13">
      <c r="A806" s="2"/>
      <c r="B806" s="2"/>
      <c r="C806" s="3"/>
      <c r="D806" s="2"/>
      <c r="E806" s="4"/>
      <c r="F806" s="4"/>
      <c r="G806" s="4"/>
      <c r="H806" s="4"/>
      <c r="I806" s="4"/>
      <c r="J806" s="5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</row>
    <row r="807" spans="1:55" ht="13">
      <c r="A807" s="2"/>
      <c r="B807" s="2"/>
      <c r="C807" s="3"/>
      <c r="D807" s="2"/>
      <c r="E807" s="4"/>
      <c r="F807" s="4"/>
      <c r="G807" s="4"/>
      <c r="H807" s="4"/>
      <c r="I807" s="4"/>
      <c r="J807" s="5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</row>
    <row r="808" spans="1:55" ht="13">
      <c r="A808" s="2"/>
      <c r="B808" s="2"/>
      <c r="C808" s="3"/>
      <c r="D808" s="2"/>
      <c r="E808" s="4"/>
      <c r="F808" s="4"/>
      <c r="G808" s="4"/>
      <c r="H808" s="4"/>
      <c r="I808" s="4"/>
      <c r="J808" s="5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</row>
    <row r="809" spans="1:55" ht="13">
      <c r="A809" s="2"/>
      <c r="B809" s="2"/>
      <c r="C809" s="3"/>
      <c r="D809" s="2"/>
      <c r="E809" s="4"/>
      <c r="F809" s="4"/>
      <c r="G809" s="4"/>
      <c r="H809" s="4"/>
      <c r="I809" s="4"/>
      <c r="J809" s="5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</row>
    <row r="810" spans="1:55" ht="13">
      <c r="A810" s="2"/>
      <c r="B810" s="2"/>
      <c r="C810" s="3"/>
      <c r="D810" s="2"/>
      <c r="E810" s="4"/>
      <c r="F810" s="4"/>
      <c r="G810" s="4"/>
      <c r="H810" s="4"/>
      <c r="I810" s="4"/>
      <c r="J810" s="5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</row>
    <row r="811" spans="1:55" ht="13">
      <c r="A811" s="2"/>
      <c r="B811" s="2"/>
      <c r="C811" s="3"/>
      <c r="D811" s="2"/>
      <c r="E811" s="4"/>
      <c r="F811" s="4"/>
      <c r="G811" s="4"/>
      <c r="H811" s="4"/>
      <c r="I811" s="4"/>
      <c r="J811" s="5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</row>
    <row r="812" spans="1:55" ht="13">
      <c r="A812" s="2"/>
      <c r="B812" s="2"/>
      <c r="C812" s="3"/>
      <c r="D812" s="2"/>
      <c r="E812" s="4"/>
      <c r="F812" s="4"/>
      <c r="G812" s="4"/>
      <c r="H812" s="4"/>
      <c r="I812" s="4"/>
      <c r="J812" s="5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</row>
    <row r="813" spans="1:55" ht="13">
      <c r="A813" s="2"/>
      <c r="B813" s="2"/>
      <c r="C813" s="3"/>
      <c r="D813" s="2"/>
      <c r="E813" s="4"/>
      <c r="F813" s="4"/>
      <c r="G813" s="4"/>
      <c r="H813" s="4"/>
      <c r="I813" s="4"/>
      <c r="J813" s="5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</row>
    <row r="814" spans="1:55" ht="13">
      <c r="A814" s="2"/>
      <c r="B814" s="2"/>
      <c r="C814" s="3"/>
      <c r="D814" s="2"/>
      <c r="E814" s="4"/>
      <c r="F814" s="4"/>
      <c r="G814" s="4"/>
      <c r="H814" s="4"/>
      <c r="I814" s="4"/>
      <c r="J814" s="5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</row>
    <row r="815" spans="1:55" ht="13">
      <c r="A815" s="2"/>
      <c r="B815" s="2"/>
      <c r="C815" s="3"/>
      <c r="D815" s="2"/>
      <c r="E815" s="4"/>
      <c r="F815" s="4"/>
      <c r="G815" s="4"/>
      <c r="H815" s="4"/>
      <c r="I815" s="4"/>
      <c r="J815" s="5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</row>
    <row r="816" spans="1:55" ht="13">
      <c r="A816" s="2"/>
      <c r="B816" s="2"/>
      <c r="C816" s="3"/>
      <c r="D816" s="2"/>
      <c r="E816" s="4"/>
      <c r="F816" s="4"/>
      <c r="G816" s="4"/>
      <c r="H816" s="4"/>
      <c r="I816" s="4"/>
      <c r="J816" s="5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</row>
    <row r="817" spans="1:55" ht="13">
      <c r="A817" s="2"/>
      <c r="B817" s="2"/>
      <c r="C817" s="3"/>
      <c r="D817" s="2"/>
      <c r="E817" s="4"/>
      <c r="F817" s="4"/>
      <c r="G817" s="4"/>
      <c r="H817" s="4"/>
      <c r="I817" s="4"/>
      <c r="J817" s="5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</row>
    <row r="818" spans="1:55" ht="13">
      <c r="A818" s="2"/>
      <c r="B818" s="2"/>
      <c r="C818" s="3"/>
      <c r="D818" s="2"/>
      <c r="E818" s="4"/>
      <c r="F818" s="4"/>
      <c r="G818" s="4"/>
      <c r="H818" s="4"/>
      <c r="I818" s="4"/>
      <c r="J818" s="5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</row>
    <row r="819" spans="1:55" ht="13">
      <c r="A819" s="2"/>
      <c r="B819" s="2"/>
      <c r="C819" s="3"/>
      <c r="D819" s="2"/>
      <c r="E819" s="4"/>
      <c r="F819" s="4"/>
      <c r="G819" s="4"/>
      <c r="H819" s="4"/>
      <c r="I819" s="4"/>
      <c r="J819" s="5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</row>
    <row r="820" spans="1:55" ht="13">
      <c r="A820" s="2"/>
      <c r="B820" s="2"/>
      <c r="C820" s="3"/>
      <c r="D820" s="2"/>
      <c r="E820" s="4"/>
      <c r="F820" s="4"/>
      <c r="G820" s="4"/>
      <c r="H820" s="4"/>
      <c r="I820" s="4"/>
      <c r="J820" s="5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</row>
    <row r="821" spans="1:55" ht="13">
      <c r="A821" s="2"/>
      <c r="B821" s="2"/>
      <c r="C821" s="3"/>
      <c r="D821" s="2"/>
      <c r="E821" s="4"/>
      <c r="F821" s="4"/>
      <c r="G821" s="4"/>
      <c r="H821" s="4"/>
      <c r="I821" s="4"/>
      <c r="J821" s="5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</row>
    <row r="822" spans="1:55" ht="13">
      <c r="A822" s="2"/>
      <c r="B822" s="2"/>
      <c r="C822" s="3"/>
      <c r="D822" s="2"/>
      <c r="E822" s="4"/>
      <c r="F822" s="4"/>
      <c r="G822" s="4"/>
      <c r="H822" s="4"/>
      <c r="I822" s="4"/>
      <c r="J822" s="5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</row>
    <row r="823" spans="1:55" ht="13">
      <c r="A823" s="2"/>
      <c r="B823" s="2"/>
      <c r="C823" s="3"/>
      <c r="D823" s="2"/>
      <c r="E823" s="4"/>
      <c r="F823" s="4"/>
      <c r="G823" s="4"/>
      <c r="H823" s="4"/>
      <c r="I823" s="4"/>
      <c r="J823" s="5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</row>
    <row r="824" spans="1:55" ht="13">
      <c r="A824" s="2"/>
      <c r="B824" s="2"/>
      <c r="C824" s="3"/>
      <c r="D824" s="2"/>
      <c r="E824" s="4"/>
      <c r="F824" s="4"/>
      <c r="G824" s="4"/>
      <c r="H824" s="4"/>
      <c r="I824" s="4"/>
      <c r="J824" s="5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</row>
    <row r="825" spans="1:55" ht="13">
      <c r="A825" s="2"/>
      <c r="B825" s="2"/>
      <c r="C825" s="3"/>
      <c r="D825" s="2"/>
      <c r="E825" s="4"/>
      <c r="F825" s="4"/>
      <c r="G825" s="4"/>
      <c r="H825" s="4"/>
      <c r="I825" s="4"/>
      <c r="J825" s="5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</row>
    <row r="826" spans="1:55" ht="13">
      <c r="A826" s="2"/>
      <c r="B826" s="2"/>
      <c r="C826" s="3"/>
      <c r="D826" s="2"/>
      <c r="E826" s="4"/>
      <c r="F826" s="4"/>
      <c r="G826" s="4"/>
      <c r="H826" s="4"/>
      <c r="I826" s="4"/>
      <c r="J826" s="5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</row>
    <row r="827" spans="1:55" ht="13">
      <c r="A827" s="2"/>
      <c r="B827" s="2"/>
      <c r="C827" s="3"/>
      <c r="D827" s="2"/>
      <c r="E827" s="4"/>
      <c r="F827" s="4"/>
      <c r="G827" s="4"/>
      <c r="H827" s="4"/>
      <c r="I827" s="4"/>
      <c r="J827" s="5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</row>
    <row r="828" spans="1:55" ht="13">
      <c r="A828" s="2"/>
      <c r="B828" s="2"/>
      <c r="C828" s="3"/>
      <c r="D828" s="2"/>
      <c r="E828" s="4"/>
      <c r="F828" s="4"/>
      <c r="G828" s="4"/>
      <c r="H828" s="4"/>
      <c r="I828" s="4"/>
      <c r="J828" s="5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</row>
    <row r="829" spans="1:55" ht="13">
      <c r="A829" s="2"/>
      <c r="B829" s="2"/>
      <c r="C829" s="3"/>
      <c r="D829" s="2"/>
      <c r="E829" s="4"/>
      <c r="F829" s="4"/>
      <c r="G829" s="4"/>
      <c r="H829" s="4"/>
      <c r="I829" s="4"/>
      <c r="J829" s="5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</row>
    <row r="830" spans="1:55" ht="13">
      <c r="A830" s="2"/>
      <c r="B830" s="2"/>
      <c r="C830" s="3"/>
      <c r="D830" s="2"/>
      <c r="E830" s="4"/>
      <c r="F830" s="4"/>
      <c r="G830" s="4"/>
      <c r="H830" s="4"/>
      <c r="I830" s="4"/>
      <c r="J830" s="5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</row>
    <row r="831" spans="1:55" ht="13">
      <c r="A831" s="2"/>
      <c r="B831" s="2"/>
      <c r="C831" s="3"/>
      <c r="D831" s="2"/>
      <c r="E831" s="4"/>
      <c r="F831" s="4"/>
      <c r="G831" s="4"/>
      <c r="H831" s="4"/>
      <c r="I831" s="4"/>
      <c r="J831" s="5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</row>
    <row r="832" spans="1:55" ht="13">
      <c r="A832" s="2"/>
      <c r="B832" s="2"/>
      <c r="C832" s="3"/>
      <c r="D832" s="2"/>
      <c r="E832" s="4"/>
      <c r="F832" s="4"/>
      <c r="G832" s="4"/>
      <c r="H832" s="4"/>
      <c r="I832" s="4"/>
      <c r="J832" s="5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</row>
    <row r="833" spans="1:55" ht="13">
      <c r="A833" s="2"/>
      <c r="B833" s="2"/>
      <c r="C833" s="3"/>
      <c r="D833" s="2"/>
      <c r="E833" s="4"/>
      <c r="F833" s="4"/>
      <c r="G833" s="4"/>
      <c r="H833" s="4"/>
      <c r="I833" s="4"/>
      <c r="J833" s="5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</row>
    <row r="834" spans="1:55" ht="13">
      <c r="A834" s="2"/>
      <c r="B834" s="2"/>
      <c r="C834" s="3"/>
      <c r="D834" s="2"/>
      <c r="E834" s="4"/>
      <c r="F834" s="4"/>
      <c r="G834" s="4"/>
      <c r="H834" s="4"/>
      <c r="I834" s="4"/>
      <c r="J834" s="5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</row>
    <row r="835" spans="1:55" ht="13">
      <c r="A835" s="2"/>
      <c r="B835" s="2"/>
      <c r="C835" s="3"/>
      <c r="D835" s="2"/>
      <c r="E835" s="4"/>
      <c r="F835" s="4"/>
      <c r="G835" s="4"/>
      <c r="H835" s="4"/>
      <c r="I835" s="4"/>
      <c r="J835" s="5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</row>
    <row r="836" spans="1:55" ht="13">
      <c r="A836" s="2"/>
      <c r="B836" s="2"/>
      <c r="C836" s="3"/>
      <c r="D836" s="2"/>
      <c r="E836" s="4"/>
      <c r="F836" s="4"/>
      <c r="G836" s="4"/>
      <c r="H836" s="4"/>
      <c r="I836" s="4"/>
      <c r="J836" s="5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</row>
    <row r="837" spans="1:55" ht="13">
      <c r="A837" s="2"/>
      <c r="B837" s="2"/>
      <c r="C837" s="3"/>
      <c r="D837" s="2"/>
      <c r="E837" s="4"/>
      <c r="F837" s="4"/>
      <c r="G837" s="4"/>
      <c r="H837" s="4"/>
      <c r="I837" s="4"/>
      <c r="J837" s="5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</row>
    <row r="838" spans="1:55" ht="13">
      <c r="A838" s="2"/>
      <c r="B838" s="2"/>
      <c r="C838" s="3"/>
      <c r="D838" s="2"/>
      <c r="E838" s="4"/>
      <c r="F838" s="4"/>
      <c r="G838" s="4"/>
      <c r="H838" s="4"/>
      <c r="I838" s="4"/>
      <c r="J838" s="5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</row>
    <row r="839" spans="1:55" ht="13">
      <c r="A839" s="2"/>
      <c r="B839" s="2"/>
      <c r="C839" s="3"/>
      <c r="D839" s="2"/>
      <c r="E839" s="4"/>
      <c r="F839" s="4"/>
      <c r="G839" s="4"/>
      <c r="H839" s="4"/>
      <c r="I839" s="4"/>
      <c r="J839" s="5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</row>
    <row r="840" spans="1:55" ht="13">
      <c r="A840" s="2"/>
      <c r="B840" s="2"/>
      <c r="C840" s="3"/>
      <c r="D840" s="2"/>
      <c r="E840" s="4"/>
      <c r="F840" s="4"/>
      <c r="G840" s="4"/>
      <c r="H840" s="4"/>
      <c r="I840" s="4"/>
      <c r="J840" s="5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</row>
    <row r="841" spans="1:55" ht="13">
      <c r="A841" s="2"/>
      <c r="B841" s="2"/>
      <c r="C841" s="3"/>
      <c r="D841" s="2"/>
      <c r="E841" s="4"/>
      <c r="F841" s="4"/>
      <c r="G841" s="4"/>
      <c r="H841" s="4"/>
      <c r="I841" s="4"/>
      <c r="J841" s="5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</row>
    <row r="842" spans="1:55" ht="13">
      <c r="A842" s="2"/>
      <c r="B842" s="2"/>
      <c r="C842" s="3"/>
      <c r="D842" s="2"/>
      <c r="E842" s="4"/>
      <c r="F842" s="4"/>
      <c r="G842" s="4"/>
      <c r="H842" s="4"/>
      <c r="I842" s="4"/>
      <c r="J842" s="5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</row>
    <row r="843" spans="1:55" ht="13">
      <c r="A843" s="2"/>
      <c r="B843" s="2"/>
      <c r="C843" s="3"/>
      <c r="D843" s="2"/>
      <c r="E843" s="4"/>
      <c r="F843" s="4"/>
      <c r="G843" s="4"/>
      <c r="H843" s="4"/>
      <c r="I843" s="4"/>
      <c r="J843" s="5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</row>
    <row r="844" spans="1:55" ht="13">
      <c r="A844" s="2"/>
      <c r="B844" s="2"/>
      <c r="C844" s="3"/>
      <c r="D844" s="2"/>
      <c r="E844" s="4"/>
      <c r="F844" s="4"/>
      <c r="G844" s="4"/>
      <c r="H844" s="4"/>
      <c r="I844" s="4"/>
      <c r="J844" s="5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</row>
    <row r="845" spans="1:55" ht="13">
      <c r="A845" s="2"/>
      <c r="B845" s="2"/>
      <c r="C845" s="3"/>
      <c r="D845" s="2"/>
      <c r="E845" s="4"/>
      <c r="F845" s="4"/>
      <c r="G845" s="4"/>
      <c r="H845" s="4"/>
      <c r="I845" s="4"/>
      <c r="J845" s="5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</row>
    <row r="846" spans="1:55" ht="13">
      <c r="A846" s="2"/>
      <c r="B846" s="2"/>
      <c r="C846" s="3"/>
      <c r="D846" s="2"/>
      <c r="E846" s="4"/>
      <c r="F846" s="4"/>
      <c r="G846" s="4"/>
      <c r="H846" s="4"/>
      <c r="I846" s="4"/>
      <c r="J846" s="5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</row>
    <row r="847" spans="1:55" ht="13">
      <c r="A847" s="2"/>
      <c r="B847" s="2"/>
      <c r="C847" s="3"/>
      <c r="D847" s="2"/>
      <c r="E847" s="4"/>
      <c r="F847" s="4"/>
      <c r="G847" s="4"/>
      <c r="H847" s="4"/>
      <c r="I847" s="4"/>
      <c r="J847" s="5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</row>
    <row r="848" spans="1:55" ht="13">
      <c r="A848" s="2"/>
      <c r="B848" s="2"/>
      <c r="C848" s="3"/>
      <c r="D848" s="2"/>
      <c r="E848" s="4"/>
      <c r="F848" s="4"/>
      <c r="G848" s="4"/>
      <c r="H848" s="4"/>
      <c r="I848" s="4"/>
      <c r="J848" s="5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</row>
    <row r="849" spans="1:55" ht="13">
      <c r="A849" s="2"/>
      <c r="B849" s="2"/>
      <c r="C849" s="3"/>
      <c r="D849" s="2"/>
      <c r="E849" s="4"/>
      <c r="F849" s="4"/>
      <c r="G849" s="4"/>
      <c r="H849" s="4"/>
      <c r="I849" s="4"/>
      <c r="J849" s="5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</row>
    <row r="850" spans="1:55" ht="13">
      <c r="A850" s="2"/>
      <c r="B850" s="2"/>
      <c r="C850" s="3"/>
      <c r="D850" s="2"/>
      <c r="E850" s="4"/>
      <c r="F850" s="4"/>
      <c r="G850" s="4"/>
      <c r="H850" s="4"/>
      <c r="I850" s="4"/>
      <c r="J850" s="5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</row>
    <row r="851" spans="1:55" ht="13">
      <c r="A851" s="2"/>
      <c r="B851" s="2"/>
      <c r="C851" s="3"/>
      <c r="D851" s="2"/>
      <c r="E851" s="4"/>
      <c r="F851" s="4"/>
      <c r="G851" s="4"/>
      <c r="H851" s="4"/>
      <c r="I851" s="4"/>
      <c r="J851" s="5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</row>
    <row r="852" spans="1:55" ht="13">
      <c r="A852" s="2"/>
      <c r="B852" s="2"/>
      <c r="C852" s="3"/>
      <c r="D852" s="2"/>
      <c r="E852" s="4"/>
      <c r="F852" s="4"/>
      <c r="G852" s="4"/>
      <c r="H852" s="4"/>
      <c r="I852" s="4"/>
      <c r="J852" s="5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</row>
    <row r="853" spans="1:55" ht="13">
      <c r="A853" s="2"/>
      <c r="B853" s="2"/>
      <c r="C853" s="3"/>
      <c r="D853" s="2"/>
      <c r="E853" s="4"/>
      <c r="F853" s="4"/>
      <c r="G853" s="4"/>
      <c r="H853" s="4"/>
      <c r="I853" s="4"/>
      <c r="J853" s="5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</row>
    <row r="854" spans="1:55" ht="13">
      <c r="A854" s="2"/>
      <c r="B854" s="2"/>
      <c r="C854" s="3"/>
      <c r="D854" s="2"/>
      <c r="E854" s="4"/>
      <c r="F854" s="4"/>
      <c r="G854" s="4"/>
      <c r="H854" s="4"/>
      <c r="I854" s="4"/>
      <c r="J854" s="5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</row>
    <row r="855" spans="1:55" ht="13">
      <c r="A855" s="2"/>
      <c r="B855" s="2"/>
      <c r="C855" s="3"/>
      <c r="D855" s="2"/>
      <c r="E855" s="4"/>
      <c r="F855" s="4"/>
      <c r="G855" s="4"/>
      <c r="H855" s="4"/>
      <c r="I855" s="4"/>
      <c r="J855" s="5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</row>
    <row r="856" spans="1:55" ht="13">
      <c r="A856" s="2"/>
      <c r="B856" s="2"/>
      <c r="C856" s="3"/>
      <c r="D856" s="2"/>
      <c r="E856" s="4"/>
      <c r="F856" s="4"/>
      <c r="G856" s="4"/>
      <c r="H856" s="4"/>
      <c r="I856" s="4"/>
      <c r="J856" s="5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</row>
    <row r="857" spans="1:55" ht="13">
      <c r="A857" s="2"/>
      <c r="B857" s="2"/>
      <c r="C857" s="3"/>
      <c r="D857" s="2"/>
      <c r="E857" s="4"/>
      <c r="F857" s="4"/>
      <c r="G857" s="4"/>
      <c r="H857" s="4"/>
      <c r="I857" s="4"/>
      <c r="J857" s="5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</row>
    <row r="858" spans="1:55" ht="13">
      <c r="A858" s="2"/>
      <c r="B858" s="2"/>
      <c r="C858" s="3"/>
      <c r="D858" s="2"/>
      <c r="E858" s="4"/>
      <c r="F858" s="4"/>
      <c r="G858" s="4"/>
      <c r="H858" s="4"/>
      <c r="I858" s="4"/>
      <c r="J858" s="5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</row>
    <row r="859" spans="1:55" ht="13">
      <c r="A859" s="2"/>
      <c r="B859" s="2"/>
      <c r="C859" s="3"/>
      <c r="D859" s="2"/>
      <c r="E859" s="4"/>
      <c r="F859" s="4"/>
      <c r="G859" s="4"/>
      <c r="H859" s="4"/>
      <c r="I859" s="4"/>
      <c r="J859" s="5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</row>
    <row r="860" spans="1:55" ht="13">
      <c r="A860" s="2"/>
      <c r="B860" s="2"/>
      <c r="C860" s="3"/>
      <c r="D860" s="2"/>
      <c r="E860" s="4"/>
      <c r="F860" s="4"/>
      <c r="G860" s="4"/>
      <c r="H860" s="4"/>
      <c r="I860" s="4"/>
      <c r="J860" s="5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</row>
    <row r="861" spans="1:55" ht="13">
      <c r="A861" s="2"/>
      <c r="B861" s="2"/>
      <c r="C861" s="3"/>
      <c r="D861" s="2"/>
      <c r="E861" s="4"/>
      <c r="F861" s="4"/>
      <c r="G861" s="4"/>
      <c r="H861" s="4"/>
      <c r="I861" s="4"/>
      <c r="J861" s="5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</row>
    <row r="862" spans="1:55" ht="13">
      <c r="A862" s="2"/>
      <c r="B862" s="2"/>
      <c r="C862" s="3"/>
      <c r="D862" s="2"/>
      <c r="E862" s="4"/>
      <c r="F862" s="4"/>
      <c r="G862" s="4"/>
      <c r="H862" s="4"/>
      <c r="I862" s="4"/>
      <c r="J862" s="5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</row>
    <row r="863" spans="1:55" ht="13">
      <c r="A863" s="2"/>
      <c r="B863" s="2"/>
      <c r="C863" s="3"/>
      <c r="D863" s="2"/>
      <c r="E863" s="4"/>
      <c r="F863" s="4"/>
      <c r="G863" s="4"/>
      <c r="H863" s="4"/>
      <c r="I863" s="4"/>
      <c r="J863" s="5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</row>
    <row r="864" spans="1:55" ht="13">
      <c r="A864" s="2"/>
      <c r="B864" s="2"/>
      <c r="C864" s="3"/>
      <c r="D864" s="2"/>
      <c r="E864" s="4"/>
      <c r="F864" s="4"/>
      <c r="G864" s="4"/>
      <c r="H864" s="4"/>
      <c r="I864" s="4"/>
      <c r="J864" s="5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</row>
    <row r="865" spans="1:55" ht="13">
      <c r="A865" s="2"/>
      <c r="B865" s="2"/>
      <c r="C865" s="3"/>
      <c r="D865" s="2"/>
      <c r="E865" s="4"/>
      <c r="F865" s="4"/>
      <c r="G865" s="4"/>
      <c r="H865" s="4"/>
      <c r="I865" s="4"/>
      <c r="J865" s="5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</row>
    <row r="866" spans="1:55" ht="13">
      <c r="A866" s="2"/>
      <c r="B866" s="2"/>
      <c r="C866" s="3"/>
      <c r="D866" s="2"/>
      <c r="E866" s="4"/>
      <c r="F866" s="4"/>
      <c r="G866" s="4"/>
      <c r="H866" s="4"/>
      <c r="I866" s="4"/>
      <c r="J866" s="5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</row>
    <row r="867" spans="1:55" ht="13">
      <c r="A867" s="2"/>
      <c r="B867" s="2"/>
      <c r="C867" s="3"/>
      <c r="D867" s="2"/>
      <c r="E867" s="4"/>
      <c r="F867" s="4"/>
      <c r="G867" s="4"/>
      <c r="H867" s="4"/>
      <c r="I867" s="4"/>
      <c r="J867" s="5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</row>
    <row r="868" spans="1:55" ht="13">
      <c r="A868" s="2"/>
      <c r="B868" s="2"/>
      <c r="C868" s="3"/>
      <c r="D868" s="2"/>
      <c r="E868" s="4"/>
      <c r="F868" s="4"/>
      <c r="G868" s="4"/>
      <c r="H868" s="4"/>
      <c r="I868" s="4"/>
      <c r="J868" s="5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</row>
    <row r="869" spans="1:55" ht="13">
      <c r="A869" s="2"/>
      <c r="B869" s="2"/>
      <c r="C869" s="3"/>
      <c r="D869" s="2"/>
      <c r="E869" s="4"/>
      <c r="F869" s="4"/>
      <c r="G869" s="4"/>
      <c r="H869" s="4"/>
      <c r="I869" s="4"/>
      <c r="J869" s="5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</row>
    <row r="870" spans="1:55" ht="13">
      <c r="A870" s="2"/>
      <c r="B870" s="2"/>
      <c r="C870" s="3"/>
      <c r="D870" s="2"/>
      <c r="E870" s="4"/>
      <c r="F870" s="4"/>
      <c r="G870" s="4"/>
      <c r="H870" s="4"/>
      <c r="I870" s="4"/>
      <c r="J870" s="5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</row>
    <row r="871" spans="1:55" ht="13">
      <c r="A871" s="2"/>
      <c r="B871" s="2"/>
      <c r="C871" s="3"/>
      <c r="D871" s="2"/>
      <c r="E871" s="4"/>
      <c r="F871" s="4"/>
      <c r="G871" s="4"/>
      <c r="H871" s="4"/>
      <c r="I871" s="4"/>
      <c r="J871" s="5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</row>
    <row r="872" spans="1:55" ht="13">
      <c r="A872" s="2"/>
      <c r="B872" s="2"/>
      <c r="C872" s="3"/>
      <c r="D872" s="2"/>
      <c r="E872" s="4"/>
      <c r="F872" s="4"/>
      <c r="G872" s="4"/>
      <c r="H872" s="4"/>
      <c r="I872" s="4"/>
      <c r="J872" s="5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</row>
    <row r="873" spans="1:55" ht="13">
      <c r="A873" s="2"/>
      <c r="B873" s="2"/>
      <c r="C873" s="3"/>
      <c r="D873" s="2"/>
      <c r="E873" s="4"/>
      <c r="F873" s="4"/>
      <c r="G873" s="4"/>
      <c r="H873" s="4"/>
      <c r="I873" s="4"/>
      <c r="J873" s="5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</row>
    <row r="874" spans="1:55" ht="13">
      <c r="A874" s="2"/>
      <c r="B874" s="2"/>
      <c r="C874" s="3"/>
      <c r="D874" s="2"/>
      <c r="E874" s="4"/>
      <c r="F874" s="4"/>
      <c r="G874" s="4"/>
      <c r="H874" s="4"/>
      <c r="I874" s="4"/>
      <c r="J874" s="5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</row>
    <row r="875" spans="1:55" ht="13">
      <c r="A875" s="2"/>
      <c r="B875" s="2"/>
      <c r="C875" s="3"/>
      <c r="D875" s="2"/>
      <c r="E875" s="4"/>
      <c r="F875" s="4"/>
      <c r="G875" s="4"/>
      <c r="H875" s="4"/>
      <c r="I875" s="4"/>
      <c r="J875" s="5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</row>
    <row r="876" spans="1:55" ht="13">
      <c r="A876" s="2"/>
      <c r="B876" s="2"/>
      <c r="C876" s="3"/>
      <c r="D876" s="2"/>
      <c r="E876" s="4"/>
      <c r="F876" s="4"/>
      <c r="G876" s="4"/>
      <c r="H876" s="4"/>
      <c r="I876" s="4"/>
      <c r="J876" s="5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</row>
    <row r="877" spans="1:55" ht="13">
      <c r="A877" s="2"/>
      <c r="B877" s="2"/>
      <c r="C877" s="3"/>
      <c r="D877" s="2"/>
      <c r="E877" s="4"/>
      <c r="F877" s="4"/>
      <c r="G877" s="4"/>
      <c r="H877" s="4"/>
      <c r="I877" s="4"/>
      <c r="J877" s="5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</row>
    <row r="878" spans="1:55" ht="13">
      <c r="A878" s="2"/>
      <c r="B878" s="2"/>
      <c r="C878" s="3"/>
      <c r="D878" s="2"/>
      <c r="E878" s="4"/>
      <c r="F878" s="4"/>
      <c r="G878" s="4"/>
      <c r="H878" s="4"/>
      <c r="I878" s="4"/>
      <c r="J878" s="5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</row>
    <row r="879" spans="1:55" ht="13">
      <c r="A879" s="2"/>
      <c r="B879" s="2"/>
      <c r="C879" s="3"/>
      <c r="D879" s="2"/>
      <c r="E879" s="4"/>
      <c r="F879" s="4"/>
      <c r="G879" s="4"/>
      <c r="H879" s="4"/>
      <c r="I879" s="4"/>
      <c r="J879" s="5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</row>
    <row r="880" spans="1:55" ht="13">
      <c r="A880" s="2"/>
      <c r="B880" s="2"/>
      <c r="C880" s="3"/>
      <c r="D880" s="2"/>
      <c r="E880" s="4"/>
      <c r="F880" s="4"/>
      <c r="G880" s="4"/>
      <c r="H880" s="4"/>
      <c r="I880" s="4"/>
      <c r="J880" s="5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</row>
    <row r="881" spans="1:55" ht="13">
      <c r="A881" s="2"/>
      <c r="B881" s="2"/>
      <c r="C881" s="3"/>
      <c r="D881" s="2"/>
      <c r="E881" s="4"/>
      <c r="F881" s="4"/>
      <c r="G881" s="4"/>
      <c r="H881" s="4"/>
      <c r="I881" s="4"/>
      <c r="J881" s="5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</row>
    <row r="882" spans="1:55" ht="13">
      <c r="A882" s="2"/>
      <c r="B882" s="2"/>
      <c r="C882" s="3"/>
      <c r="D882" s="2"/>
      <c r="E882" s="4"/>
      <c r="F882" s="4"/>
      <c r="G882" s="4"/>
      <c r="H882" s="4"/>
      <c r="I882" s="4"/>
      <c r="J882" s="5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</row>
    <row r="883" spans="1:55" ht="13">
      <c r="A883" s="2"/>
      <c r="B883" s="2"/>
      <c r="C883" s="3"/>
      <c r="D883" s="2"/>
      <c r="E883" s="4"/>
      <c r="F883" s="4"/>
      <c r="G883" s="4"/>
      <c r="H883" s="4"/>
      <c r="I883" s="4"/>
      <c r="J883" s="5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</row>
    <row r="884" spans="1:55" ht="13">
      <c r="A884" s="2"/>
      <c r="B884" s="2"/>
      <c r="C884" s="3"/>
      <c r="D884" s="2"/>
      <c r="E884" s="4"/>
      <c r="F884" s="4"/>
      <c r="G884" s="4"/>
      <c r="H884" s="4"/>
      <c r="I884" s="4"/>
      <c r="J884" s="5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</row>
    <row r="885" spans="1:55" ht="13">
      <c r="A885" s="2"/>
      <c r="B885" s="2"/>
      <c r="C885" s="3"/>
      <c r="D885" s="2"/>
      <c r="E885" s="4"/>
      <c r="F885" s="4"/>
      <c r="G885" s="4"/>
      <c r="H885" s="4"/>
      <c r="I885" s="4"/>
      <c r="J885" s="5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</row>
    <row r="886" spans="1:55" ht="13">
      <c r="A886" s="2"/>
      <c r="B886" s="2"/>
      <c r="C886" s="3"/>
      <c r="D886" s="2"/>
      <c r="E886" s="4"/>
      <c r="F886" s="4"/>
      <c r="G886" s="4"/>
      <c r="H886" s="4"/>
      <c r="I886" s="4"/>
      <c r="J886" s="5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</row>
    <row r="887" spans="1:55" ht="13">
      <c r="A887" s="2"/>
      <c r="B887" s="2"/>
      <c r="C887" s="3"/>
      <c r="D887" s="2"/>
      <c r="E887" s="4"/>
      <c r="F887" s="4"/>
      <c r="G887" s="4"/>
      <c r="H887" s="4"/>
      <c r="I887" s="4"/>
      <c r="J887" s="5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</row>
    <row r="888" spans="1:55" ht="13">
      <c r="A888" s="2"/>
      <c r="B888" s="2"/>
      <c r="C888" s="3"/>
      <c r="D888" s="2"/>
      <c r="E888" s="4"/>
      <c r="F888" s="4"/>
      <c r="G888" s="4"/>
      <c r="H888" s="4"/>
      <c r="I888" s="4"/>
      <c r="J888" s="5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</row>
    <row r="889" spans="1:55" ht="13">
      <c r="A889" s="2"/>
      <c r="B889" s="2"/>
      <c r="C889" s="3"/>
      <c r="D889" s="2"/>
      <c r="E889" s="4"/>
      <c r="F889" s="4"/>
      <c r="G889" s="4"/>
      <c r="H889" s="4"/>
      <c r="I889" s="4"/>
      <c r="J889" s="5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</row>
    <row r="890" spans="1:55" ht="13">
      <c r="A890" s="2"/>
      <c r="B890" s="2"/>
      <c r="C890" s="3"/>
      <c r="D890" s="2"/>
      <c r="E890" s="4"/>
      <c r="F890" s="4"/>
      <c r="G890" s="4"/>
      <c r="H890" s="4"/>
      <c r="I890" s="4"/>
      <c r="J890" s="5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</row>
    <row r="891" spans="1:55" ht="13">
      <c r="A891" s="2"/>
      <c r="B891" s="2"/>
      <c r="C891" s="3"/>
      <c r="D891" s="2"/>
      <c r="E891" s="4"/>
      <c r="F891" s="4"/>
      <c r="G891" s="4"/>
      <c r="H891" s="4"/>
      <c r="I891" s="4"/>
      <c r="J891" s="5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</row>
    <row r="892" spans="1:55" ht="13">
      <c r="A892" s="2"/>
      <c r="B892" s="2"/>
      <c r="C892" s="3"/>
      <c r="D892" s="2"/>
      <c r="E892" s="4"/>
      <c r="F892" s="4"/>
      <c r="G892" s="4"/>
      <c r="H892" s="4"/>
      <c r="I892" s="4"/>
      <c r="J892" s="5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</row>
    <row r="893" spans="1:55" ht="13">
      <c r="A893" s="2"/>
      <c r="B893" s="2"/>
      <c r="C893" s="3"/>
      <c r="D893" s="2"/>
      <c r="E893" s="4"/>
      <c r="F893" s="4"/>
      <c r="G893" s="4"/>
      <c r="H893" s="4"/>
      <c r="I893" s="4"/>
      <c r="J893" s="5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</row>
    <row r="894" spans="1:55" ht="13">
      <c r="A894" s="2"/>
      <c r="B894" s="2"/>
      <c r="C894" s="3"/>
      <c r="D894" s="2"/>
      <c r="E894" s="4"/>
      <c r="F894" s="4"/>
      <c r="G894" s="4"/>
      <c r="H894" s="4"/>
      <c r="I894" s="4"/>
      <c r="J894" s="5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</row>
    <row r="895" spans="1:55" ht="13">
      <c r="A895" s="2"/>
      <c r="B895" s="2"/>
      <c r="C895" s="3"/>
      <c r="D895" s="2"/>
      <c r="E895" s="4"/>
      <c r="F895" s="4"/>
      <c r="G895" s="4"/>
      <c r="H895" s="4"/>
      <c r="I895" s="4"/>
      <c r="J895" s="5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</row>
    <row r="896" spans="1:55" ht="13">
      <c r="A896" s="2"/>
      <c r="B896" s="2"/>
      <c r="C896" s="3"/>
      <c r="D896" s="2"/>
      <c r="E896" s="4"/>
      <c r="F896" s="4"/>
      <c r="G896" s="4"/>
      <c r="H896" s="4"/>
      <c r="I896" s="4"/>
      <c r="J896" s="5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</row>
    <row r="897" spans="1:55" ht="13">
      <c r="A897" s="2"/>
      <c r="B897" s="2"/>
      <c r="C897" s="3"/>
      <c r="D897" s="2"/>
      <c r="E897" s="4"/>
      <c r="F897" s="4"/>
      <c r="G897" s="4"/>
      <c r="H897" s="4"/>
      <c r="I897" s="4"/>
      <c r="J897" s="5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</row>
    <row r="898" spans="1:55" ht="13">
      <c r="A898" s="2"/>
      <c r="B898" s="2"/>
      <c r="C898" s="3"/>
      <c r="D898" s="2"/>
      <c r="E898" s="4"/>
      <c r="F898" s="4"/>
      <c r="G898" s="4"/>
      <c r="H898" s="4"/>
      <c r="I898" s="4"/>
      <c r="J898" s="5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</row>
    <row r="899" spans="1:55" ht="13">
      <c r="A899" s="2"/>
      <c r="B899" s="2"/>
      <c r="C899" s="3"/>
      <c r="D899" s="2"/>
      <c r="E899" s="4"/>
      <c r="F899" s="4"/>
      <c r="G899" s="4"/>
      <c r="H899" s="4"/>
      <c r="I899" s="4"/>
      <c r="J899" s="5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</row>
    <row r="900" spans="1:55" ht="13">
      <c r="A900" s="2"/>
      <c r="B900" s="2"/>
      <c r="C900" s="3"/>
      <c r="D900" s="2"/>
      <c r="E900" s="4"/>
      <c r="F900" s="4"/>
      <c r="G900" s="4"/>
      <c r="H900" s="4"/>
      <c r="I900" s="4"/>
      <c r="J900" s="5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</row>
    <row r="901" spans="1:55" ht="13">
      <c r="A901" s="2"/>
      <c r="B901" s="2"/>
      <c r="C901" s="3"/>
      <c r="D901" s="2"/>
      <c r="E901" s="4"/>
      <c r="F901" s="4"/>
      <c r="G901" s="4"/>
      <c r="H901" s="4"/>
      <c r="I901" s="4"/>
      <c r="J901" s="5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</row>
    <row r="902" spans="1:55" ht="13">
      <c r="A902" s="2"/>
      <c r="B902" s="2"/>
      <c r="C902" s="3"/>
      <c r="D902" s="2"/>
      <c r="E902" s="4"/>
      <c r="F902" s="4"/>
      <c r="G902" s="4"/>
      <c r="H902" s="4"/>
      <c r="I902" s="4"/>
      <c r="J902" s="5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</row>
    <row r="903" spans="1:55" ht="13">
      <c r="A903" s="2"/>
      <c r="B903" s="2"/>
      <c r="C903" s="3"/>
      <c r="D903" s="2"/>
      <c r="E903" s="4"/>
      <c r="F903" s="4"/>
      <c r="G903" s="4"/>
      <c r="H903" s="4"/>
      <c r="I903" s="4"/>
      <c r="J903" s="5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</row>
    <row r="904" spans="1:55" ht="13">
      <c r="A904" s="2"/>
      <c r="B904" s="2"/>
      <c r="C904" s="3"/>
      <c r="D904" s="2"/>
      <c r="E904" s="4"/>
      <c r="F904" s="4"/>
      <c r="G904" s="4"/>
      <c r="H904" s="4"/>
      <c r="I904" s="4"/>
      <c r="J904" s="5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</row>
    <row r="905" spans="1:55" ht="13">
      <c r="A905" s="2"/>
      <c r="B905" s="2"/>
      <c r="C905" s="3"/>
      <c r="D905" s="2"/>
      <c r="E905" s="4"/>
      <c r="F905" s="4"/>
      <c r="G905" s="4"/>
      <c r="H905" s="4"/>
      <c r="I905" s="4"/>
      <c r="J905" s="5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</row>
    <row r="906" spans="1:55" ht="13">
      <c r="A906" s="2"/>
      <c r="B906" s="2"/>
      <c r="C906" s="3"/>
      <c r="D906" s="2"/>
      <c r="E906" s="4"/>
      <c r="F906" s="4"/>
      <c r="G906" s="4"/>
      <c r="H906" s="4"/>
      <c r="I906" s="4"/>
      <c r="J906" s="5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</row>
    <row r="907" spans="1:55" ht="13">
      <c r="A907" s="2"/>
      <c r="B907" s="2"/>
      <c r="C907" s="3"/>
      <c r="D907" s="2"/>
      <c r="E907" s="4"/>
      <c r="F907" s="4"/>
      <c r="G907" s="4"/>
      <c r="H907" s="4"/>
      <c r="I907" s="4"/>
      <c r="J907" s="5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</row>
    <row r="908" spans="1:55" ht="13">
      <c r="A908" s="2"/>
      <c r="B908" s="2"/>
      <c r="C908" s="3"/>
      <c r="D908" s="2"/>
      <c r="E908" s="4"/>
      <c r="F908" s="4"/>
      <c r="G908" s="4"/>
      <c r="H908" s="4"/>
      <c r="I908" s="4"/>
      <c r="J908" s="5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</row>
    <row r="909" spans="1:55" ht="13">
      <c r="A909" s="2"/>
      <c r="B909" s="2"/>
      <c r="C909" s="3"/>
      <c r="D909" s="2"/>
      <c r="E909" s="4"/>
      <c r="F909" s="4"/>
      <c r="G909" s="4"/>
      <c r="H909" s="4"/>
      <c r="I909" s="4"/>
      <c r="J909" s="5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</row>
    <row r="910" spans="1:55" ht="13">
      <c r="A910" s="2"/>
      <c r="B910" s="2"/>
      <c r="C910" s="3"/>
      <c r="D910" s="2"/>
      <c r="E910" s="4"/>
      <c r="F910" s="4"/>
      <c r="G910" s="4"/>
      <c r="H910" s="4"/>
      <c r="I910" s="4"/>
      <c r="J910" s="5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</row>
    <row r="911" spans="1:55" ht="13">
      <c r="A911" s="2"/>
      <c r="B911" s="2"/>
      <c r="C911" s="3"/>
      <c r="D911" s="2"/>
      <c r="E911" s="4"/>
      <c r="F911" s="4"/>
      <c r="G911" s="4"/>
      <c r="H911" s="4"/>
      <c r="I911" s="4"/>
      <c r="J911" s="5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</row>
    <row r="912" spans="1:55" ht="13">
      <c r="A912" s="2"/>
      <c r="B912" s="2"/>
      <c r="C912" s="3"/>
      <c r="D912" s="2"/>
      <c r="E912" s="4"/>
      <c r="F912" s="4"/>
      <c r="G912" s="4"/>
      <c r="H912" s="4"/>
      <c r="I912" s="4"/>
      <c r="J912" s="5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</row>
    <row r="913" spans="1:55" ht="13">
      <c r="A913" s="2"/>
      <c r="B913" s="2"/>
      <c r="C913" s="3"/>
      <c r="D913" s="2"/>
      <c r="E913" s="4"/>
      <c r="F913" s="4"/>
      <c r="G913" s="4"/>
      <c r="H913" s="4"/>
      <c r="I913" s="4"/>
      <c r="J913" s="5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</row>
    <row r="914" spans="1:55" ht="13">
      <c r="A914" s="2"/>
      <c r="B914" s="2"/>
      <c r="C914" s="3"/>
      <c r="D914" s="2"/>
      <c r="E914" s="4"/>
      <c r="F914" s="4"/>
      <c r="G914" s="4"/>
      <c r="H914" s="4"/>
      <c r="I914" s="4"/>
      <c r="J914" s="5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</row>
    <row r="915" spans="1:55" ht="13">
      <c r="A915" s="2"/>
      <c r="B915" s="2"/>
      <c r="C915" s="3"/>
      <c r="D915" s="2"/>
      <c r="E915" s="4"/>
      <c r="F915" s="4"/>
      <c r="G915" s="4"/>
      <c r="H915" s="4"/>
      <c r="I915" s="4"/>
      <c r="J915" s="5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</row>
    <row r="916" spans="1:55" ht="13">
      <c r="A916" s="2"/>
      <c r="B916" s="2"/>
      <c r="C916" s="3"/>
      <c r="D916" s="2"/>
      <c r="E916" s="4"/>
      <c r="F916" s="4"/>
      <c r="G916" s="4"/>
      <c r="H916" s="4"/>
      <c r="I916" s="4"/>
      <c r="J916" s="5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</row>
    <row r="917" spans="1:55" ht="13">
      <c r="A917" s="2"/>
      <c r="B917" s="2"/>
      <c r="C917" s="3"/>
      <c r="D917" s="2"/>
      <c r="E917" s="4"/>
      <c r="F917" s="4"/>
      <c r="G917" s="4"/>
      <c r="H917" s="4"/>
      <c r="I917" s="4"/>
      <c r="J917" s="5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</row>
    <row r="918" spans="1:55" ht="13">
      <c r="A918" s="2"/>
      <c r="B918" s="2"/>
      <c r="C918" s="3"/>
      <c r="D918" s="2"/>
      <c r="E918" s="4"/>
      <c r="F918" s="4"/>
      <c r="G918" s="4"/>
      <c r="H918" s="4"/>
      <c r="I918" s="4"/>
      <c r="J918" s="5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</row>
    <row r="919" spans="1:55" ht="13">
      <c r="A919" s="2"/>
      <c r="B919" s="2"/>
      <c r="C919" s="3"/>
      <c r="D919" s="2"/>
      <c r="E919" s="4"/>
      <c r="F919" s="4"/>
      <c r="G919" s="4"/>
      <c r="H919" s="4"/>
      <c r="I919" s="4"/>
      <c r="J919" s="5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</row>
    <row r="920" spans="1:55" ht="13">
      <c r="A920" s="2"/>
      <c r="B920" s="2"/>
      <c r="C920" s="3"/>
      <c r="D920" s="2"/>
      <c r="E920" s="4"/>
      <c r="F920" s="4"/>
      <c r="G920" s="4"/>
      <c r="H920" s="4"/>
      <c r="I920" s="4"/>
      <c r="J920" s="5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</row>
    <row r="921" spans="1:55" ht="13">
      <c r="A921" s="2"/>
      <c r="B921" s="2"/>
      <c r="C921" s="3"/>
      <c r="D921" s="2"/>
      <c r="E921" s="4"/>
      <c r="F921" s="4"/>
      <c r="G921" s="4"/>
      <c r="H921" s="4"/>
      <c r="I921" s="4"/>
      <c r="J921" s="5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</row>
    <row r="922" spans="1:55" ht="13">
      <c r="A922" s="2"/>
      <c r="B922" s="2"/>
      <c r="C922" s="3"/>
      <c r="D922" s="2"/>
      <c r="E922" s="4"/>
      <c r="F922" s="4"/>
      <c r="G922" s="4"/>
      <c r="H922" s="4"/>
      <c r="I922" s="4"/>
      <c r="J922" s="5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</row>
    <row r="923" spans="1:55" ht="13">
      <c r="A923" s="2"/>
      <c r="B923" s="2"/>
      <c r="C923" s="3"/>
      <c r="D923" s="2"/>
      <c r="E923" s="4"/>
      <c r="F923" s="4"/>
      <c r="G923" s="4"/>
      <c r="H923" s="4"/>
      <c r="I923" s="4"/>
      <c r="J923" s="5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</row>
    <row r="924" spans="1:55" ht="13">
      <c r="A924" s="2"/>
      <c r="B924" s="2"/>
      <c r="C924" s="3"/>
      <c r="D924" s="2"/>
      <c r="E924" s="4"/>
      <c r="F924" s="4"/>
      <c r="G924" s="4"/>
      <c r="H924" s="4"/>
      <c r="I924" s="4"/>
      <c r="J924" s="5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</row>
    <row r="925" spans="1:55" ht="13">
      <c r="A925" s="2"/>
      <c r="B925" s="2"/>
      <c r="C925" s="3"/>
      <c r="D925" s="2"/>
      <c r="E925" s="4"/>
      <c r="F925" s="4"/>
      <c r="G925" s="4"/>
      <c r="H925" s="4"/>
      <c r="I925" s="4"/>
      <c r="J925" s="5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</row>
    <row r="926" spans="1:55" ht="13">
      <c r="A926" s="2"/>
      <c r="B926" s="2"/>
      <c r="C926" s="3"/>
      <c r="D926" s="2"/>
      <c r="E926" s="4"/>
      <c r="F926" s="4"/>
      <c r="G926" s="4"/>
      <c r="H926" s="4"/>
      <c r="I926" s="4"/>
      <c r="J926" s="5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</row>
    <row r="927" spans="1:55" ht="13">
      <c r="A927" s="2"/>
      <c r="B927" s="2"/>
      <c r="C927" s="3"/>
      <c r="D927" s="2"/>
      <c r="E927" s="4"/>
      <c r="F927" s="4"/>
      <c r="G927" s="4"/>
      <c r="H927" s="4"/>
      <c r="I927" s="4"/>
      <c r="J927" s="5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</row>
    <row r="928" spans="1:55" ht="13">
      <c r="A928" s="2"/>
      <c r="B928" s="2"/>
      <c r="C928" s="3"/>
      <c r="D928" s="2"/>
      <c r="E928" s="4"/>
      <c r="F928" s="4"/>
      <c r="G928" s="4"/>
      <c r="H928" s="4"/>
      <c r="I928" s="4"/>
      <c r="J928" s="5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</row>
    <row r="929" spans="1:55" ht="13">
      <c r="A929" s="2"/>
      <c r="B929" s="2"/>
      <c r="C929" s="3"/>
      <c r="D929" s="2"/>
      <c r="E929" s="4"/>
      <c r="F929" s="4"/>
      <c r="G929" s="4"/>
      <c r="H929" s="4"/>
      <c r="I929" s="4"/>
      <c r="J929" s="5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</row>
    <row r="930" spans="1:55" ht="13">
      <c r="A930" s="2"/>
      <c r="B930" s="2"/>
      <c r="C930" s="3"/>
      <c r="D930" s="2"/>
      <c r="E930" s="4"/>
      <c r="F930" s="4"/>
      <c r="G930" s="4"/>
      <c r="H930" s="4"/>
      <c r="I930" s="4"/>
      <c r="J930" s="5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</row>
    <row r="931" spans="1:55" ht="13">
      <c r="A931" s="2"/>
      <c r="B931" s="2"/>
      <c r="C931" s="3"/>
      <c r="D931" s="2"/>
      <c r="E931" s="4"/>
      <c r="F931" s="4"/>
      <c r="G931" s="4"/>
      <c r="H931" s="4"/>
      <c r="I931" s="4"/>
      <c r="J931" s="5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</row>
    <row r="932" spans="1:55" ht="13">
      <c r="A932" s="2"/>
      <c r="B932" s="2"/>
      <c r="C932" s="3"/>
      <c r="D932" s="2"/>
      <c r="E932" s="4"/>
      <c r="F932" s="4"/>
      <c r="G932" s="4"/>
      <c r="H932" s="4"/>
      <c r="I932" s="4"/>
      <c r="J932" s="5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</row>
    <row r="933" spans="1:55" ht="13">
      <c r="A933" s="2"/>
      <c r="B933" s="2"/>
      <c r="C933" s="3"/>
      <c r="D933" s="2"/>
      <c r="E933" s="4"/>
      <c r="F933" s="4"/>
      <c r="G933" s="4"/>
      <c r="H933" s="4"/>
      <c r="I933" s="4"/>
      <c r="J933" s="5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</row>
    <row r="934" spans="1:55" ht="13">
      <c r="A934" s="2"/>
      <c r="B934" s="2"/>
      <c r="C934" s="3"/>
      <c r="D934" s="2"/>
      <c r="E934" s="4"/>
      <c r="F934" s="4"/>
      <c r="G934" s="4"/>
      <c r="H934" s="4"/>
      <c r="I934" s="4"/>
      <c r="J934" s="5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</row>
    <row r="935" spans="1:55" ht="13">
      <c r="A935" s="2"/>
      <c r="B935" s="2"/>
      <c r="C935" s="3"/>
      <c r="D935" s="2"/>
      <c r="E935" s="4"/>
      <c r="F935" s="4"/>
      <c r="G935" s="4"/>
      <c r="H935" s="4"/>
      <c r="I935" s="4"/>
      <c r="J935" s="5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</row>
    <row r="936" spans="1:55" ht="13">
      <c r="A936" s="2"/>
      <c r="B936" s="2"/>
      <c r="C936" s="3"/>
      <c r="D936" s="2"/>
      <c r="E936" s="4"/>
      <c r="F936" s="4"/>
      <c r="G936" s="4"/>
      <c r="H936" s="4"/>
      <c r="I936" s="4"/>
      <c r="J936" s="5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</row>
    <row r="937" spans="1:55" ht="13">
      <c r="A937" s="2"/>
      <c r="B937" s="2"/>
      <c r="C937" s="3"/>
      <c r="D937" s="2"/>
      <c r="E937" s="4"/>
      <c r="F937" s="4"/>
      <c r="G937" s="4"/>
      <c r="H937" s="4"/>
      <c r="I937" s="4"/>
      <c r="J937" s="5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</row>
    <row r="938" spans="1:55" ht="13">
      <c r="A938" s="2"/>
      <c r="B938" s="2"/>
      <c r="C938" s="3"/>
      <c r="D938" s="2"/>
      <c r="E938" s="4"/>
      <c r="F938" s="4"/>
      <c r="G938" s="4"/>
      <c r="H938" s="4"/>
      <c r="I938" s="4"/>
      <c r="J938" s="5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</row>
    <row r="939" spans="1:55" ht="13">
      <c r="A939" s="2"/>
      <c r="B939" s="2"/>
      <c r="C939" s="3"/>
      <c r="D939" s="2"/>
      <c r="E939" s="4"/>
      <c r="F939" s="4"/>
      <c r="G939" s="4"/>
      <c r="H939" s="4"/>
      <c r="I939" s="4"/>
      <c r="J939" s="5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</row>
    <row r="940" spans="1:55" ht="13">
      <c r="A940" s="2"/>
      <c r="B940" s="2"/>
      <c r="C940" s="3"/>
      <c r="D940" s="2"/>
      <c r="E940" s="4"/>
      <c r="F940" s="4"/>
      <c r="G940" s="4"/>
      <c r="H940" s="4"/>
      <c r="I940" s="4"/>
      <c r="J940" s="5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</row>
    <row r="941" spans="1:55" ht="13">
      <c r="A941" s="2"/>
      <c r="B941" s="2"/>
      <c r="C941" s="3"/>
      <c r="D941" s="2"/>
      <c r="E941" s="4"/>
      <c r="F941" s="4"/>
      <c r="G941" s="4"/>
      <c r="H941" s="4"/>
      <c r="I941" s="4"/>
      <c r="J941" s="5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</row>
    <row r="942" spans="1:55" ht="13">
      <c r="A942" s="2"/>
      <c r="B942" s="2"/>
      <c r="C942" s="3"/>
      <c r="D942" s="2"/>
      <c r="E942" s="4"/>
      <c r="F942" s="4"/>
      <c r="G942" s="4"/>
      <c r="H942" s="4"/>
      <c r="I942" s="4"/>
      <c r="J942" s="5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</row>
  </sheetData>
  <mergeCells count="90">
    <mergeCell ref="C43:C45"/>
    <mergeCell ref="C46:C49"/>
    <mergeCell ref="D46:D49"/>
    <mergeCell ref="D50:D53"/>
    <mergeCell ref="B86:B87"/>
    <mergeCell ref="C86:C87"/>
    <mergeCell ref="D86:D87"/>
    <mergeCell ref="B50:B53"/>
    <mergeCell ref="B54:B57"/>
    <mergeCell ref="D62:D65"/>
    <mergeCell ref="D54:D57"/>
    <mergeCell ref="D58:D61"/>
    <mergeCell ref="C73:C75"/>
    <mergeCell ref="D73:D75"/>
    <mergeCell ref="B92:B93"/>
    <mergeCell ref="C92:C93"/>
    <mergeCell ref="D92:D93"/>
    <mergeCell ref="H92:H93"/>
    <mergeCell ref="I92:I93"/>
    <mergeCell ref="B106:B107"/>
    <mergeCell ref="C106:C107"/>
    <mergeCell ref="D106:D107"/>
    <mergeCell ref="B102:B104"/>
    <mergeCell ref="C102:C104"/>
    <mergeCell ref="D102:D104"/>
    <mergeCell ref="H108:H111"/>
    <mergeCell ref="I108:I111"/>
    <mergeCell ref="D114:D117"/>
    <mergeCell ref="I102:I104"/>
    <mergeCell ref="F103:F104"/>
    <mergeCell ref="E102:E104"/>
    <mergeCell ref="H102:H104"/>
    <mergeCell ref="B123:B126"/>
    <mergeCell ref="B127:B128"/>
    <mergeCell ref="C127:C128"/>
    <mergeCell ref="D127:D128"/>
    <mergeCell ref="B108:B111"/>
    <mergeCell ref="B114:B117"/>
    <mergeCell ref="B118:B122"/>
    <mergeCell ref="C118:C122"/>
    <mergeCell ref="D118:D122"/>
    <mergeCell ref="C123:C126"/>
    <mergeCell ref="D123:D126"/>
    <mergeCell ref="C108:C117"/>
    <mergeCell ref="D108:D111"/>
    <mergeCell ref="J2:O2"/>
    <mergeCell ref="P2:AA2"/>
    <mergeCell ref="AB2:AM2"/>
    <mergeCell ref="AN2:AY2"/>
    <mergeCell ref="AZ2:BC2"/>
    <mergeCell ref="A4:A5"/>
    <mergeCell ref="B4:B7"/>
    <mergeCell ref="C4:C7"/>
    <mergeCell ref="D4:D5"/>
    <mergeCell ref="A9:A10"/>
    <mergeCell ref="B9:B17"/>
    <mergeCell ref="C9:C11"/>
    <mergeCell ref="D9:D10"/>
    <mergeCell ref="B18:B19"/>
    <mergeCell ref="B24:B28"/>
    <mergeCell ref="C24:C28"/>
    <mergeCell ref="B29:B31"/>
    <mergeCell ref="C29:C31"/>
    <mergeCell ref="B32:B34"/>
    <mergeCell ref="C32:C34"/>
    <mergeCell ref="C35:C37"/>
    <mergeCell ref="B58:B61"/>
    <mergeCell ref="B62:B65"/>
    <mergeCell ref="C62:C65"/>
    <mergeCell ref="C54:C57"/>
    <mergeCell ref="C58:C61"/>
    <mergeCell ref="B35:B37"/>
    <mergeCell ref="B38:B39"/>
    <mergeCell ref="B40:B41"/>
    <mergeCell ref="B43:B45"/>
    <mergeCell ref="B46:B49"/>
    <mergeCell ref="C50:C53"/>
    <mergeCell ref="C38:C39"/>
    <mergeCell ref="C40:C41"/>
    <mergeCell ref="F73:F75"/>
    <mergeCell ref="H73:H75"/>
    <mergeCell ref="I73:I75"/>
    <mergeCell ref="F77:F78"/>
    <mergeCell ref="G77:G78"/>
    <mergeCell ref="E73:E75"/>
    <mergeCell ref="E77:E78"/>
    <mergeCell ref="B73:B75"/>
    <mergeCell ref="B80:B83"/>
    <mergeCell ref="C80:C83"/>
    <mergeCell ref="D80:D83"/>
  </mergeCells>
  <phoneticPr fontId="179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66E18-B596-42C6-9C47-210CB52AD02F}">
  <sheetPr>
    <tabColor rgb="FFFF0000"/>
  </sheetPr>
  <dimension ref="A1:F2"/>
  <sheetViews>
    <sheetView workbookViewId="0">
      <selection activeCell="C11" sqref="C11"/>
    </sheetView>
  </sheetViews>
  <sheetFormatPr baseColWidth="10" defaultColWidth="8.83203125" defaultRowHeight="13"/>
  <cols>
    <col min="2" max="2" width="26" bestFit="1" customWidth="1"/>
    <col min="4" max="4" width="17.5" bestFit="1" customWidth="1"/>
    <col min="5" max="5" width="10" bestFit="1" customWidth="1"/>
    <col min="6" max="6" width="16.1640625" bestFit="1" customWidth="1"/>
  </cols>
  <sheetData>
    <row r="1" spans="1:6" ht="15">
      <c r="A1" s="1047" t="s">
        <v>15297</v>
      </c>
      <c r="B1" s="1047" t="s">
        <v>15298</v>
      </c>
      <c r="C1" s="1047" t="s">
        <v>15299</v>
      </c>
      <c r="D1" s="1047" t="s">
        <v>15300</v>
      </c>
      <c r="E1" s="1047" t="s">
        <v>15301</v>
      </c>
      <c r="F1" s="1047" t="s">
        <v>15302</v>
      </c>
    </row>
    <row r="2" spans="1:6" ht="15">
      <c r="A2" s="1048">
        <v>1</v>
      </c>
      <c r="B2" s="1048" t="s">
        <v>15307</v>
      </c>
      <c r="C2" s="1049" t="s">
        <v>15303</v>
      </c>
      <c r="D2" s="1049" t="s">
        <v>15304</v>
      </c>
      <c r="E2" s="1049" t="s">
        <v>15305</v>
      </c>
      <c r="F2" s="1049" t="s">
        <v>15306</v>
      </c>
    </row>
  </sheetData>
  <phoneticPr fontId="17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  <outlinePr summaryBelow="0" summaryRight="0"/>
  </sheetPr>
  <dimension ref="A1:AF1008"/>
  <sheetViews>
    <sheetView workbookViewId="0">
      <pane ySplit="3" topLeftCell="A4" activePane="bottomLeft" state="frozen"/>
      <selection pane="bottomLeft" activeCell="B4" sqref="B4:B8"/>
    </sheetView>
  </sheetViews>
  <sheetFormatPr baseColWidth="10" defaultColWidth="12.5" defaultRowHeight="15.75" customHeight="1"/>
  <cols>
    <col min="1" max="1" width="3.83203125" customWidth="1"/>
    <col min="2" max="2" width="8.33203125" customWidth="1"/>
    <col min="3" max="3" width="6.5" customWidth="1"/>
    <col min="4" max="4" width="7.5" customWidth="1"/>
    <col min="5" max="5" width="47.1640625" customWidth="1"/>
    <col min="6" max="6" width="10" customWidth="1"/>
    <col min="7" max="7" width="7.5" customWidth="1"/>
    <col min="9" max="10" width="10.5" customWidth="1"/>
    <col min="11" max="11" width="18.33203125" customWidth="1"/>
    <col min="12" max="12" width="4.83203125" customWidth="1"/>
    <col min="14" max="14" width="62.5" customWidth="1"/>
    <col min="15" max="15" width="1.1640625" customWidth="1"/>
    <col min="16" max="16" width="71" customWidth="1"/>
  </cols>
  <sheetData>
    <row r="1" spans="1:32" ht="26">
      <c r="A1" s="69" t="s">
        <v>276</v>
      </c>
      <c r="B1" s="2"/>
      <c r="C1" s="3"/>
      <c r="D1" s="2"/>
      <c r="E1" s="2"/>
      <c r="F1" s="2"/>
      <c r="G1" s="70"/>
      <c r="H1" s="71" t="s">
        <v>32</v>
      </c>
      <c r="I1" s="72" t="s">
        <v>277</v>
      </c>
      <c r="J1" s="2"/>
      <c r="K1" s="71" t="s">
        <v>34</v>
      </c>
      <c r="L1" s="72" t="s">
        <v>278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2" ht="13">
      <c r="A2" s="73" t="s">
        <v>279</v>
      </c>
      <c r="B2" s="2"/>
      <c r="C2" s="3"/>
      <c r="D2" s="2"/>
      <c r="E2" s="2"/>
      <c r="F2" s="2"/>
      <c r="G2" s="2"/>
      <c r="H2" s="2"/>
      <c r="I2" s="2"/>
      <c r="J2" s="2"/>
      <c r="K2" s="2"/>
      <c r="L2" s="2"/>
      <c r="M2" s="2"/>
      <c r="N2" s="74">
        <v>244160473</v>
      </c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spans="1:32" ht="14">
      <c r="A3" s="75" t="s">
        <v>7</v>
      </c>
      <c r="B3" s="76" t="s">
        <v>8</v>
      </c>
      <c r="C3" s="76" t="s">
        <v>9</v>
      </c>
      <c r="D3" s="76" t="s">
        <v>280</v>
      </c>
      <c r="E3" s="76" t="s">
        <v>10</v>
      </c>
      <c r="F3" s="76" t="s">
        <v>11</v>
      </c>
      <c r="G3" s="76" t="s">
        <v>12</v>
      </c>
      <c r="H3" s="76" t="s">
        <v>13</v>
      </c>
      <c r="I3" s="76" t="s">
        <v>14</v>
      </c>
      <c r="J3" s="76" t="s">
        <v>15</v>
      </c>
      <c r="K3" s="77" t="s">
        <v>281</v>
      </c>
      <c r="L3" s="78" t="s">
        <v>282</v>
      </c>
      <c r="M3" s="78" t="s">
        <v>283</v>
      </c>
      <c r="N3" s="78" t="s">
        <v>284</v>
      </c>
      <c r="O3" s="2"/>
      <c r="P3" s="79" t="s">
        <v>285</v>
      </c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</row>
    <row r="4" spans="1:32" ht="31.5" customHeight="1">
      <c r="A4" s="1057">
        <v>1</v>
      </c>
      <c r="B4" s="1057" t="s">
        <v>29</v>
      </c>
      <c r="C4" s="1073" t="s">
        <v>30</v>
      </c>
      <c r="D4" s="80"/>
      <c r="E4" s="1072" t="s">
        <v>286</v>
      </c>
      <c r="F4" s="36" t="s">
        <v>32</v>
      </c>
      <c r="G4" s="81"/>
      <c r="H4" s="36" t="s">
        <v>33</v>
      </c>
      <c r="I4" s="82">
        <v>44927</v>
      </c>
      <c r="J4" s="82">
        <v>46752</v>
      </c>
      <c r="K4" s="1079" t="s">
        <v>287</v>
      </c>
      <c r="L4" s="1074" t="s">
        <v>288</v>
      </c>
      <c r="M4" s="34">
        <f>N2-M5</f>
        <v>211580473</v>
      </c>
      <c r="N4" s="1075" t="s">
        <v>289</v>
      </c>
      <c r="O4" s="83"/>
      <c r="P4" s="1076" t="s">
        <v>290</v>
      </c>
      <c r="Q4" s="83"/>
      <c r="R4" s="83"/>
      <c r="S4" s="83"/>
      <c r="T4" s="83"/>
      <c r="U4" s="83"/>
      <c r="V4" s="83"/>
      <c r="W4" s="83"/>
      <c r="X4" s="83"/>
      <c r="Y4" s="83"/>
      <c r="Z4" s="83"/>
      <c r="AA4" s="83"/>
      <c r="AB4" s="83"/>
      <c r="AC4" s="83"/>
      <c r="AD4" s="83"/>
      <c r="AE4" s="83"/>
      <c r="AF4" s="83"/>
    </row>
    <row r="5" spans="1:32" ht="31.5" customHeight="1">
      <c r="A5" s="1052"/>
      <c r="B5" s="1051"/>
      <c r="C5" s="1051"/>
      <c r="D5" s="80" t="s">
        <v>291</v>
      </c>
      <c r="E5" s="1052"/>
      <c r="F5" s="36" t="s">
        <v>34</v>
      </c>
      <c r="G5" s="81"/>
      <c r="H5" s="36" t="s">
        <v>35</v>
      </c>
      <c r="I5" s="82">
        <v>44927</v>
      </c>
      <c r="J5" s="82">
        <v>46752</v>
      </c>
      <c r="K5" s="1052"/>
      <c r="L5" s="1051"/>
      <c r="M5" s="84">
        <v>32580000</v>
      </c>
      <c r="N5" s="1051"/>
      <c r="O5" s="83"/>
      <c r="P5" s="1051"/>
      <c r="Q5" s="83"/>
      <c r="R5" s="83"/>
      <c r="S5" s="83"/>
      <c r="T5" s="83"/>
      <c r="U5" s="83"/>
      <c r="V5" s="83"/>
      <c r="W5" s="83"/>
      <c r="X5" s="83"/>
      <c r="Y5" s="83"/>
      <c r="Z5" s="83"/>
      <c r="AA5" s="83"/>
      <c r="AB5" s="83"/>
      <c r="AC5" s="83"/>
      <c r="AD5" s="83"/>
      <c r="AE5" s="83"/>
      <c r="AF5" s="83"/>
    </row>
    <row r="6" spans="1:32" ht="31.5" customHeight="1">
      <c r="A6" s="36">
        <v>2</v>
      </c>
      <c r="B6" s="1051"/>
      <c r="C6" s="1051"/>
      <c r="D6" s="80"/>
      <c r="E6" s="85" t="s">
        <v>292</v>
      </c>
      <c r="F6" s="36" t="s">
        <v>32</v>
      </c>
      <c r="G6" s="81" t="s">
        <v>38</v>
      </c>
      <c r="H6" s="36" t="s">
        <v>33</v>
      </c>
      <c r="I6" s="82">
        <v>45292</v>
      </c>
      <c r="J6" s="82">
        <v>45657</v>
      </c>
      <c r="K6" s="51" t="s">
        <v>293</v>
      </c>
      <c r="L6" s="1051"/>
      <c r="M6" s="34">
        <v>9785000</v>
      </c>
      <c r="N6" s="1052"/>
      <c r="O6" s="83"/>
      <c r="P6" s="1052"/>
      <c r="Q6" s="83"/>
      <c r="R6" s="83"/>
      <c r="S6" s="83"/>
      <c r="T6" s="83"/>
      <c r="U6" s="83"/>
      <c r="V6" s="83"/>
      <c r="W6" s="83"/>
      <c r="X6" s="83"/>
      <c r="Y6" s="83"/>
      <c r="Z6" s="83"/>
      <c r="AA6" s="83"/>
      <c r="AB6" s="83"/>
      <c r="AC6" s="83"/>
      <c r="AD6" s="83"/>
      <c r="AE6" s="83"/>
      <c r="AF6" s="83"/>
    </row>
    <row r="7" spans="1:32" ht="23.25" customHeight="1">
      <c r="A7" s="86"/>
      <c r="B7" s="1051"/>
      <c r="C7" s="1051"/>
      <c r="D7" s="87"/>
      <c r="E7" s="88" t="s">
        <v>294</v>
      </c>
      <c r="F7" s="86" t="s">
        <v>32</v>
      </c>
      <c r="G7" s="86" t="s">
        <v>38</v>
      </c>
      <c r="H7" s="86" t="s">
        <v>39</v>
      </c>
      <c r="I7" s="89">
        <v>45505</v>
      </c>
      <c r="J7" s="89">
        <v>45580</v>
      </c>
      <c r="K7" s="90" t="s">
        <v>295</v>
      </c>
      <c r="L7" s="1051"/>
      <c r="M7" s="91">
        <v>13666667</v>
      </c>
      <c r="N7" s="92" t="s">
        <v>296</v>
      </c>
      <c r="O7" s="93"/>
      <c r="P7" s="94"/>
      <c r="Q7" s="93"/>
      <c r="R7" s="93"/>
      <c r="S7" s="93"/>
      <c r="T7" s="93"/>
      <c r="U7" s="93"/>
      <c r="V7" s="93"/>
      <c r="W7" s="93"/>
      <c r="X7" s="93"/>
      <c r="Y7" s="93"/>
      <c r="Z7" s="93"/>
      <c r="AA7" s="93"/>
      <c r="AB7" s="93"/>
      <c r="AC7" s="93"/>
      <c r="AD7" s="93"/>
      <c r="AE7" s="93"/>
      <c r="AF7" s="93"/>
    </row>
    <row r="8" spans="1:32" ht="23.25" hidden="1" customHeight="1">
      <c r="A8" s="36"/>
      <c r="B8" s="1052"/>
      <c r="C8" s="1052"/>
      <c r="D8" s="80" t="s">
        <v>297</v>
      </c>
      <c r="E8" s="85" t="s">
        <v>298</v>
      </c>
      <c r="F8" s="36"/>
      <c r="G8" s="36"/>
      <c r="H8" s="36" t="s">
        <v>299</v>
      </c>
      <c r="I8" s="95">
        <v>45541</v>
      </c>
      <c r="J8" s="82">
        <v>45596</v>
      </c>
      <c r="K8" s="51" t="s">
        <v>300</v>
      </c>
      <c r="L8" s="1052"/>
      <c r="M8" s="96">
        <v>49900000</v>
      </c>
      <c r="N8" s="81"/>
      <c r="O8" s="83"/>
      <c r="P8" s="97"/>
      <c r="Q8" s="83"/>
      <c r="R8" s="83"/>
      <c r="S8" s="83"/>
      <c r="T8" s="83"/>
      <c r="U8" s="83"/>
      <c r="V8" s="83"/>
      <c r="W8" s="83"/>
      <c r="X8" s="83"/>
      <c r="Y8" s="83"/>
      <c r="Z8" s="83"/>
      <c r="AA8" s="83"/>
      <c r="AB8" s="83"/>
      <c r="AC8" s="83"/>
      <c r="AD8" s="83"/>
      <c r="AE8" s="83"/>
      <c r="AF8" s="83"/>
    </row>
    <row r="9" spans="1:32" ht="23.25" customHeight="1">
      <c r="A9" s="36">
        <v>3</v>
      </c>
      <c r="B9" s="36" t="s">
        <v>40</v>
      </c>
      <c r="C9" s="98" t="s">
        <v>41</v>
      </c>
      <c r="D9" s="80"/>
      <c r="E9" s="85" t="s">
        <v>301</v>
      </c>
      <c r="F9" s="36" t="s">
        <v>32</v>
      </c>
      <c r="G9" s="36" t="s">
        <v>43</v>
      </c>
      <c r="H9" s="36" t="s">
        <v>44</v>
      </c>
      <c r="I9" s="82">
        <v>44944</v>
      </c>
      <c r="J9" s="82">
        <v>46812</v>
      </c>
      <c r="K9" s="51" t="s">
        <v>302</v>
      </c>
      <c r="L9" s="99" t="s">
        <v>303</v>
      </c>
      <c r="M9" s="96">
        <v>120032000</v>
      </c>
      <c r="N9" s="97" t="s">
        <v>304</v>
      </c>
      <c r="O9" s="83"/>
      <c r="P9" s="1077" t="s">
        <v>305</v>
      </c>
      <c r="Q9" s="83"/>
      <c r="R9" s="83"/>
      <c r="S9" s="83"/>
      <c r="T9" s="83"/>
      <c r="U9" s="83"/>
      <c r="V9" s="83"/>
      <c r="W9" s="83"/>
      <c r="X9" s="83"/>
      <c r="Y9" s="83"/>
      <c r="Z9" s="83"/>
      <c r="AA9" s="83"/>
      <c r="AB9" s="83"/>
      <c r="AC9" s="83"/>
      <c r="AD9" s="83"/>
      <c r="AE9" s="83"/>
      <c r="AF9" s="83"/>
    </row>
    <row r="10" spans="1:32" ht="33" customHeight="1">
      <c r="A10" s="1057">
        <v>4</v>
      </c>
      <c r="B10" s="1057" t="s">
        <v>45</v>
      </c>
      <c r="C10" s="1073" t="s">
        <v>306</v>
      </c>
      <c r="D10" s="1078" t="s">
        <v>307</v>
      </c>
      <c r="E10" s="1072" t="s">
        <v>308</v>
      </c>
      <c r="F10" s="36" t="s">
        <v>32</v>
      </c>
      <c r="G10" s="81"/>
      <c r="H10" s="36" t="s">
        <v>48</v>
      </c>
      <c r="I10" s="82">
        <v>45292</v>
      </c>
      <c r="J10" s="82">
        <v>45657</v>
      </c>
      <c r="K10" s="1079" t="s">
        <v>309</v>
      </c>
      <c r="L10" s="1081" t="s">
        <v>303</v>
      </c>
      <c r="M10" s="34">
        <f>264416666-6613209</f>
        <v>257803457</v>
      </c>
      <c r="N10" s="1083" t="s">
        <v>310</v>
      </c>
      <c r="O10" s="100"/>
      <c r="P10" s="1051"/>
      <c r="Q10" s="100"/>
      <c r="R10" s="100"/>
      <c r="S10" s="100"/>
      <c r="T10" s="100"/>
      <c r="U10" s="100"/>
      <c r="V10" s="100"/>
      <c r="W10" s="100"/>
      <c r="X10" s="100"/>
      <c r="Y10" s="100"/>
      <c r="Z10" s="100"/>
      <c r="AA10" s="100"/>
      <c r="AB10" s="100"/>
      <c r="AC10" s="100"/>
      <c r="AD10" s="100"/>
      <c r="AE10" s="100"/>
      <c r="AF10" s="100"/>
    </row>
    <row r="11" spans="1:32" ht="33" customHeight="1">
      <c r="A11" s="1052"/>
      <c r="B11" s="1051"/>
      <c r="C11" s="1051"/>
      <c r="D11" s="1052"/>
      <c r="E11" s="1052"/>
      <c r="F11" s="36" t="s">
        <v>34</v>
      </c>
      <c r="G11" s="81"/>
      <c r="H11" s="36" t="s">
        <v>49</v>
      </c>
      <c r="I11" s="82">
        <v>45292</v>
      </c>
      <c r="J11" s="82">
        <v>45657</v>
      </c>
      <c r="K11" s="1052"/>
      <c r="L11" s="1082"/>
      <c r="M11" s="84">
        <v>167250000</v>
      </c>
      <c r="N11" s="1052"/>
      <c r="O11" s="100"/>
      <c r="P11" s="1051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  <c r="AF11" s="100"/>
    </row>
    <row r="12" spans="1:32" ht="23.25" customHeight="1">
      <c r="A12" s="36">
        <v>5</v>
      </c>
      <c r="B12" s="1051"/>
      <c r="C12" s="1052"/>
      <c r="D12" s="80" t="s">
        <v>311</v>
      </c>
      <c r="E12" s="85" t="s">
        <v>312</v>
      </c>
      <c r="F12" s="36" t="s">
        <v>32</v>
      </c>
      <c r="G12" s="81"/>
      <c r="H12" s="36" t="s">
        <v>48</v>
      </c>
      <c r="I12" s="82">
        <v>45292</v>
      </c>
      <c r="J12" s="82">
        <v>45657</v>
      </c>
      <c r="K12" s="51" t="s">
        <v>313</v>
      </c>
      <c r="L12" s="101" t="s">
        <v>303</v>
      </c>
      <c r="M12" s="84">
        <f>222583333</f>
        <v>222583333</v>
      </c>
      <c r="N12" s="102" t="s">
        <v>314</v>
      </c>
      <c r="O12" s="100"/>
      <c r="P12" s="1052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</row>
    <row r="13" spans="1:32" ht="23.25" customHeight="1">
      <c r="A13" s="36">
        <v>6</v>
      </c>
      <c r="B13" s="1051"/>
      <c r="C13" s="103" t="s">
        <v>41</v>
      </c>
      <c r="D13" s="80"/>
      <c r="E13" s="85" t="s">
        <v>315</v>
      </c>
      <c r="F13" s="36" t="s">
        <v>32</v>
      </c>
      <c r="G13" s="24" t="s">
        <v>316</v>
      </c>
      <c r="H13" s="36" t="s">
        <v>52</v>
      </c>
      <c r="I13" s="82">
        <v>45345</v>
      </c>
      <c r="J13" s="82">
        <v>45648</v>
      </c>
      <c r="K13" s="51" t="s">
        <v>317</v>
      </c>
      <c r="L13" s="104" t="s">
        <v>288</v>
      </c>
      <c r="M13" s="34">
        <v>11900000</v>
      </c>
      <c r="N13" s="97" t="s">
        <v>318</v>
      </c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</row>
    <row r="14" spans="1:32" ht="23.25" customHeight="1">
      <c r="A14" s="105"/>
      <c r="B14" s="1051"/>
      <c r="C14" s="106" t="s">
        <v>53</v>
      </c>
      <c r="D14" s="107"/>
      <c r="E14" s="108" t="s">
        <v>54</v>
      </c>
      <c r="F14" s="109" t="s">
        <v>32</v>
      </c>
      <c r="G14" s="110"/>
      <c r="H14" s="109" t="s">
        <v>55</v>
      </c>
      <c r="I14" s="111">
        <v>45203</v>
      </c>
      <c r="J14" s="112">
        <v>45507</v>
      </c>
      <c r="K14" s="113" t="s">
        <v>319</v>
      </c>
      <c r="L14" s="110"/>
      <c r="M14" s="114">
        <f>204600000+87500000</f>
        <v>292100000</v>
      </c>
      <c r="N14" s="115" t="s">
        <v>320</v>
      </c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</row>
    <row r="15" spans="1:32" ht="23.25" customHeight="1">
      <c r="A15" s="105"/>
      <c r="B15" s="1051"/>
      <c r="C15" s="116" t="s">
        <v>53</v>
      </c>
      <c r="D15" s="117"/>
      <c r="E15" s="118" t="s">
        <v>56</v>
      </c>
      <c r="F15" s="119" t="s">
        <v>32</v>
      </c>
      <c r="G15" s="94"/>
      <c r="H15" s="119" t="s">
        <v>57</v>
      </c>
      <c r="I15" s="120">
        <v>44866</v>
      </c>
      <c r="J15" s="121">
        <v>45535</v>
      </c>
      <c r="K15" s="1080" t="s">
        <v>321</v>
      </c>
      <c r="L15" s="122" t="s">
        <v>288</v>
      </c>
      <c r="M15" s="123">
        <v>39000000</v>
      </c>
      <c r="N15" s="97"/>
      <c r="O15" s="83"/>
      <c r="P15" s="83" t="s">
        <v>322</v>
      </c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</row>
    <row r="16" spans="1:32" ht="23.25" customHeight="1">
      <c r="A16" s="105"/>
      <c r="B16" s="1051"/>
      <c r="C16" s="116" t="s">
        <v>53</v>
      </c>
      <c r="D16" s="117"/>
      <c r="E16" s="118" t="s">
        <v>58</v>
      </c>
      <c r="F16" s="119" t="s">
        <v>32</v>
      </c>
      <c r="G16" s="94"/>
      <c r="H16" s="119" t="s">
        <v>59</v>
      </c>
      <c r="I16" s="120">
        <v>44866</v>
      </c>
      <c r="J16" s="121">
        <v>45535</v>
      </c>
      <c r="K16" s="1052"/>
      <c r="L16" s="122" t="s">
        <v>288</v>
      </c>
      <c r="M16" s="123">
        <v>39000000</v>
      </c>
      <c r="N16" s="97"/>
      <c r="O16" s="83"/>
      <c r="P16" s="83" t="s">
        <v>323</v>
      </c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</row>
    <row r="17" spans="1:32" ht="15">
      <c r="A17" s="105"/>
      <c r="B17" s="1051"/>
      <c r="C17" s="106" t="s">
        <v>53</v>
      </c>
      <c r="D17" s="80"/>
      <c r="E17" s="88" t="s">
        <v>60</v>
      </c>
      <c r="F17" s="92"/>
      <c r="G17" s="92"/>
      <c r="H17" s="86" t="s">
        <v>61</v>
      </c>
      <c r="I17" s="89">
        <v>45383</v>
      </c>
      <c r="J17" s="89">
        <v>45596</v>
      </c>
      <c r="K17" s="90" t="s">
        <v>324</v>
      </c>
      <c r="L17" s="92"/>
      <c r="M17" s="124">
        <v>248000000</v>
      </c>
      <c r="N17" s="81" t="s">
        <v>325</v>
      </c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</row>
    <row r="18" spans="1:32" ht="23.25" customHeight="1">
      <c r="A18" s="105"/>
      <c r="B18" s="1052"/>
      <c r="C18" s="116" t="s">
        <v>53</v>
      </c>
      <c r="D18" s="80"/>
      <c r="E18" s="88" t="s">
        <v>326</v>
      </c>
      <c r="F18" s="125"/>
      <c r="G18" s="92"/>
      <c r="H18" s="86" t="s">
        <v>63</v>
      </c>
      <c r="I18" s="89">
        <v>45383</v>
      </c>
      <c r="J18" s="89">
        <v>45596</v>
      </c>
      <c r="K18" s="92"/>
      <c r="L18" s="92"/>
      <c r="M18" s="92"/>
      <c r="N18" s="81" t="s">
        <v>327</v>
      </c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</row>
    <row r="19" spans="1:32" ht="23.25" customHeight="1">
      <c r="A19" s="36">
        <v>7</v>
      </c>
      <c r="B19" s="1057" t="s">
        <v>64</v>
      </c>
      <c r="C19" s="103" t="s">
        <v>65</v>
      </c>
      <c r="D19" s="80" t="s">
        <v>328</v>
      </c>
      <c r="E19" s="85" t="s">
        <v>329</v>
      </c>
      <c r="F19" s="36" t="s">
        <v>67</v>
      </c>
      <c r="G19" s="24" t="s">
        <v>330</v>
      </c>
      <c r="H19" s="36" t="s">
        <v>68</v>
      </c>
      <c r="I19" s="82">
        <v>45292</v>
      </c>
      <c r="J19" s="82">
        <v>45657</v>
      </c>
      <c r="K19" s="51" t="s">
        <v>331</v>
      </c>
      <c r="L19" s="126" t="s">
        <v>288</v>
      </c>
      <c r="M19" s="34">
        <v>125324083</v>
      </c>
      <c r="N19" s="1075" t="s">
        <v>332</v>
      </c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  <c r="AA19" s="100"/>
      <c r="AB19" s="100"/>
      <c r="AC19" s="100"/>
      <c r="AD19" s="100"/>
      <c r="AE19" s="100"/>
      <c r="AF19" s="100"/>
    </row>
    <row r="20" spans="1:32" ht="23.25" customHeight="1">
      <c r="A20" s="36">
        <v>8</v>
      </c>
      <c r="B20" s="1052"/>
      <c r="C20" s="103" t="s">
        <v>65</v>
      </c>
      <c r="D20" s="80" t="s">
        <v>328</v>
      </c>
      <c r="E20" s="85" t="s">
        <v>333</v>
      </c>
      <c r="F20" s="127" t="s">
        <v>67</v>
      </c>
      <c r="G20" s="24" t="s">
        <v>330</v>
      </c>
      <c r="H20" s="36" t="s">
        <v>68</v>
      </c>
      <c r="I20" s="82">
        <v>45292</v>
      </c>
      <c r="J20" s="82">
        <v>45657</v>
      </c>
      <c r="K20" s="51" t="s">
        <v>334</v>
      </c>
      <c r="L20" s="126" t="s">
        <v>288</v>
      </c>
      <c r="M20" s="34">
        <v>17421600</v>
      </c>
      <c r="N20" s="1052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  <c r="AC20" s="100"/>
      <c r="AD20" s="100"/>
      <c r="AE20" s="100"/>
      <c r="AF20" s="100"/>
    </row>
    <row r="21" spans="1:32" ht="18.75" customHeight="1">
      <c r="A21" s="2"/>
      <c r="B21" s="2" t="s">
        <v>335</v>
      </c>
      <c r="C21" s="3"/>
      <c r="D21" s="2"/>
      <c r="E21" s="2"/>
      <c r="F21" s="2"/>
      <c r="G21" s="2"/>
      <c r="H21" s="2"/>
      <c r="I21" s="2"/>
      <c r="J21" s="2"/>
      <c r="K21" s="2"/>
      <c r="L21" s="2"/>
      <c r="M21" s="2">
        <f>13666667*3</f>
        <v>41000001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</row>
    <row r="22" spans="1:32" ht="15">
      <c r="A22" s="128"/>
      <c r="B22" s="36" t="s">
        <v>336</v>
      </c>
      <c r="C22" s="129" t="s">
        <v>142</v>
      </c>
      <c r="D22" s="80" t="s">
        <v>337</v>
      </c>
      <c r="E22" s="85" t="s">
        <v>338</v>
      </c>
      <c r="F22" s="36" t="s">
        <v>339</v>
      </c>
      <c r="G22" s="36" t="s">
        <v>38</v>
      </c>
      <c r="H22" s="39" t="s">
        <v>340</v>
      </c>
      <c r="I22" s="82">
        <v>45444</v>
      </c>
      <c r="J22" s="82">
        <v>46081</v>
      </c>
      <c r="K22" s="51" t="s">
        <v>341</v>
      </c>
      <c r="L22" s="130" t="s">
        <v>342</v>
      </c>
      <c r="M22" s="96">
        <v>16171260</v>
      </c>
      <c r="N22" s="131" t="s">
        <v>343</v>
      </c>
      <c r="O22" s="83"/>
      <c r="P22" s="97" t="s">
        <v>344</v>
      </c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</row>
    <row r="23" spans="1:32" ht="13">
      <c r="A23" s="2"/>
      <c r="B23" s="2"/>
      <c r="C23" s="3"/>
      <c r="D23" s="2"/>
      <c r="E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</row>
    <row r="24" spans="1:32" ht="13">
      <c r="A24" s="2"/>
      <c r="B24" s="2"/>
      <c r="C24" s="3"/>
      <c r="D24" s="2"/>
      <c r="E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  <row r="25" spans="1:32" ht="13">
      <c r="A25" s="2"/>
      <c r="B25" s="2"/>
      <c r="C25" s="3"/>
      <c r="D25" s="2"/>
      <c r="E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</row>
    <row r="26" spans="1:32" ht="13">
      <c r="A26" s="2"/>
      <c r="B26" s="2"/>
      <c r="C26" s="3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 spans="1:32" ht="13">
      <c r="A27" s="2"/>
      <c r="B27" s="2"/>
      <c r="C27" s="3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</row>
    <row r="28" spans="1:32" ht="13">
      <c r="A28" s="2"/>
      <c r="B28" s="2"/>
      <c r="C28" s="3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</row>
    <row r="29" spans="1:32" ht="13">
      <c r="A29" s="2"/>
      <c r="B29" s="2"/>
      <c r="C29" s="3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</row>
    <row r="30" spans="1:32" ht="13">
      <c r="A30" s="2"/>
      <c r="B30" s="2"/>
      <c r="C30" s="3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</row>
    <row r="31" spans="1:32" ht="13">
      <c r="A31" s="2"/>
      <c r="B31" s="2"/>
      <c r="C31" s="3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</row>
    <row r="32" spans="1:32" ht="13">
      <c r="A32" s="2"/>
      <c r="B32" s="2"/>
      <c r="C32" s="3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</row>
    <row r="33" spans="1:32" ht="13">
      <c r="A33" s="2"/>
      <c r="B33" s="2"/>
      <c r="C33" s="3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</row>
    <row r="34" spans="1:32" ht="13">
      <c r="A34" s="2"/>
      <c r="B34" s="2"/>
      <c r="C34" s="3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</row>
    <row r="35" spans="1:32" ht="13">
      <c r="A35" s="2"/>
      <c r="B35" s="2"/>
      <c r="C35" s="3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</row>
    <row r="36" spans="1:32" ht="13">
      <c r="A36" s="2"/>
      <c r="B36" s="2"/>
      <c r="C36" s="3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</row>
    <row r="37" spans="1:32" ht="13">
      <c r="A37" s="2"/>
      <c r="B37" s="2"/>
      <c r="C37" s="3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</row>
    <row r="38" spans="1:32" ht="13">
      <c r="A38" s="2"/>
      <c r="B38" s="2"/>
      <c r="C38" s="3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</row>
    <row r="39" spans="1:32" ht="13">
      <c r="A39" s="2"/>
      <c r="B39" s="2"/>
      <c r="C39" s="3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</row>
    <row r="40" spans="1:32" ht="13">
      <c r="A40" s="2"/>
      <c r="B40" s="2"/>
      <c r="C40" s="3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</row>
    <row r="41" spans="1:32" ht="13">
      <c r="A41" s="2"/>
      <c r="B41" s="2"/>
      <c r="C41" s="3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</row>
    <row r="42" spans="1:32" ht="13">
      <c r="A42" s="2"/>
      <c r="B42" s="2"/>
      <c r="C42" s="3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</row>
    <row r="43" spans="1:32" ht="13">
      <c r="A43" s="2"/>
      <c r="B43" s="2"/>
      <c r="C43" s="3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</row>
    <row r="44" spans="1:32" ht="13">
      <c r="A44" s="2"/>
      <c r="B44" s="2"/>
      <c r="C44" s="3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</row>
    <row r="45" spans="1:32" ht="13">
      <c r="A45" s="2"/>
      <c r="B45" s="2"/>
      <c r="C45" s="3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 spans="1:32" ht="13">
      <c r="A46" s="2"/>
      <c r="B46" s="2"/>
      <c r="C46" s="3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</row>
    <row r="47" spans="1:32" ht="13">
      <c r="A47" s="2"/>
      <c r="B47" s="2"/>
      <c r="C47" s="3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 spans="1:32" ht="13">
      <c r="A48" s="2"/>
      <c r="B48" s="2"/>
      <c r="C48" s="3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</row>
    <row r="49" spans="1:32" ht="13">
      <c r="A49" s="2"/>
      <c r="B49" s="2"/>
      <c r="C49" s="3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spans="1:32" ht="13">
      <c r="A50" s="2"/>
      <c r="B50" s="2"/>
      <c r="C50" s="3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</row>
    <row r="51" spans="1:32" ht="13">
      <c r="A51" s="2"/>
      <c r="B51" s="2"/>
      <c r="C51" s="3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</row>
    <row r="52" spans="1:32" ht="13">
      <c r="A52" s="2"/>
      <c r="B52" s="2"/>
      <c r="C52" s="3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</row>
    <row r="53" spans="1:32" ht="13">
      <c r="A53" s="2"/>
      <c r="B53" s="2"/>
      <c r="C53" s="3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</row>
    <row r="54" spans="1:32" ht="13">
      <c r="A54" s="2"/>
      <c r="B54" s="2"/>
      <c r="C54" s="3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spans="1:32" ht="13">
      <c r="A55" s="2"/>
      <c r="B55" s="2"/>
      <c r="C55" s="3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</row>
    <row r="56" spans="1:32" ht="13">
      <c r="A56" s="2"/>
      <c r="B56" s="2"/>
      <c r="C56" s="3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</row>
    <row r="57" spans="1:32" ht="13">
      <c r="A57" s="2"/>
      <c r="B57" s="2"/>
      <c r="C57" s="3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 spans="1:32" ht="13">
      <c r="A58" s="2"/>
      <c r="B58" s="2"/>
      <c r="C58" s="3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</row>
    <row r="59" spans="1:32" ht="13">
      <c r="A59" s="2"/>
      <c r="B59" s="2"/>
      <c r="C59" s="3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</row>
    <row r="60" spans="1:32" ht="13">
      <c r="A60" s="2"/>
      <c r="B60" s="2"/>
      <c r="C60" s="3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</row>
    <row r="61" spans="1:32" ht="13">
      <c r="A61" s="2"/>
      <c r="B61" s="2"/>
      <c r="C61" s="3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</row>
    <row r="62" spans="1:32" ht="13">
      <c r="A62" s="2"/>
      <c r="B62" s="2"/>
      <c r="C62" s="3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</row>
    <row r="63" spans="1:32" ht="13">
      <c r="A63" s="2"/>
      <c r="B63" s="2"/>
      <c r="C63" s="3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</row>
    <row r="64" spans="1:32" ht="13">
      <c r="A64" s="2"/>
      <c r="B64" s="2"/>
      <c r="C64" s="3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</row>
    <row r="65" spans="1:32" ht="13">
      <c r="A65" s="2"/>
      <c r="B65" s="2"/>
      <c r="C65" s="3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</row>
    <row r="66" spans="1:32" ht="13">
      <c r="A66" s="2"/>
      <c r="B66" s="2"/>
      <c r="C66" s="3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</row>
    <row r="67" spans="1:32" ht="13">
      <c r="A67" s="2"/>
      <c r="B67" s="2"/>
      <c r="C67" s="3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</row>
    <row r="68" spans="1:32" ht="13">
      <c r="A68" s="2"/>
      <c r="B68" s="2"/>
      <c r="C68" s="3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</row>
    <row r="69" spans="1:32" ht="13">
      <c r="A69" s="2"/>
      <c r="B69" s="2"/>
      <c r="C69" s="3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</row>
    <row r="70" spans="1:32" ht="13">
      <c r="A70" s="2"/>
      <c r="B70" s="2"/>
      <c r="C70" s="3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</row>
    <row r="71" spans="1:32" ht="13">
      <c r="A71" s="2"/>
      <c r="B71" s="2"/>
      <c r="C71" s="3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</row>
    <row r="72" spans="1:32" ht="13">
      <c r="A72" s="2"/>
      <c r="B72" s="2"/>
      <c r="C72" s="3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</row>
    <row r="73" spans="1:32" ht="13">
      <c r="A73" s="2"/>
      <c r="B73" s="2"/>
      <c r="C73" s="3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</row>
    <row r="74" spans="1:32" ht="13">
      <c r="A74" s="2"/>
      <c r="B74" s="2"/>
      <c r="C74" s="3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</row>
    <row r="75" spans="1:32" ht="13">
      <c r="A75" s="2"/>
      <c r="B75" s="2"/>
      <c r="C75" s="3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</row>
    <row r="76" spans="1:32" ht="13">
      <c r="A76" s="2"/>
      <c r="B76" s="2"/>
      <c r="C76" s="3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 spans="1:32" ht="13">
      <c r="A77" s="2"/>
      <c r="B77" s="2"/>
      <c r="C77" s="3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</row>
    <row r="78" spans="1:32" ht="13">
      <c r="A78" s="2"/>
      <c r="B78" s="2"/>
      <c r="C78" s="3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</row>
    <row r="79" spans="1:32" ht="13">
      <c r="A79" s="2"/>
      <c r="B79" s="2"/>
      <c r="C79" s="3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</row>
    <row r="80" spans="1:32" ht="13">
      <c r="A80" s="2"/>
      <c r="B80" s="2"/>
      <c r="C80" s="3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</row>
    <row r="81" spans="1:32" ht="13">
      <c r="A81" s="2"/>
      <c r="B81" s="2"/>
      <c r="C81" s="3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</row>
    <row r="82" spans="1:32" ht="13">
      <c r="A82" s="2"/>
      <c r="B82" s="2"/>
      <c r="C82" s="3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</row>
    <row r="83" spans="1:32" ht="13">
      <c r="A83" s="2"/>
      <c r="B83" s="2"/>
      <c r="C83" s="3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</row>
    <row r="84" spans="1:32" ht="13">
      <c r="A84" s="2"/>
      <c r="B84" s="2"/>
      <c r="C84" s="3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</row>
    <row r="85" spans="1:32" ht="13">
      <c r="A85" s="2"/>
      <c r="B85" s="2"/>
      <c r="C85" s="3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</row>
    <row r="86" spans="1:32" ht="13">
      <c r="A86" s="2"/>
      <c r="B86" s="2"/>
      <c r="C86" s="3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</row>
    <row r="87" spans="1:32" ht="13">
      <c r="A87" s="2"/>
      <c r="B87" s="2"/>
      <c r="C87" s="3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 spans="1:32" ht="13">
      <c r="A88" s="2"/>
      <c r="B88" s="2"/>
      <c r="C88" s="3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 spans="1:32" ht="13">
      <c r="A89" s="2"/>
      <c r="B89" s="2"/>
      <c r="C89" s="3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 spans="1:32" ht="13">
      <c r="A90" s="2"/>
      <c r="B90" s="2"/>
      <c r="C90" s="3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 spans="1:32" ht="13">
      <c r="A91" s="2"/>
      <c r="B91" s="2"/>
      <c r="C91" s="3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 spans="1:32" ht="13">
      <c r="A92" s="2"/>
      <c r="B92" s="2"/>
      <c r="C92" s="3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</row>
    <row r="93" spans="1:32" ht="13">
      <c r="A93" s="2"/>
      <c r="B93" s="2"/>
      <c r="C93" s="3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 spans="1:32" ht="13">
      <c r="A94" s="2"/>
      <c r="B94" s="2"/>
      <c r="C94" s="3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</row>
    <row r="95" spans="1:32" ht="13">
      <c r="A95" s="2"/>
      <c r="B95" s="2"/>
      <c r="C95" s="3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 spans="1:32" ht="13">
      <c r="A96" s="2"/>
      <c r="B96" s="2"/>
      <c r="C96" s="3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</row>
    <row r="97" spans="1:32" ht="13">
      <c r="A97" s="2"/>
      <c r="B97" s="2"/>
      <c r="C97" s="3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 spans="1:32" ht="13">
      <c r="A98" s="2"/>
      <c r="B98" s="2"/>
      <c r="C98" s="3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 spans="1:32" ht="13">
      <c r="A99" s="2"/>
      <c r="B99" s="2"/>
      <c r="C99" s="3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 spans="1:32" ht="13">
      <c r="A100" s="2"/>
      <c r="B100" s="2"/>
      <c r="C100" s="3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 spans="1:32" ht="13">
      <c r="A101" s="2"/>
      <c r="B101" s="2"/>
      <c r="C101" s="3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 spans="1:32" ht="13">
      <c r="A102" s="2"/>
      <c r="B102" s="2"/>
      <c r="C102" s="3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 spans="1:32" ht="13">
      <c r="A103" s="2"/>
      <c r="B103" s="2"/>
      <c r="C103" s="3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</row>
    <row r="104" spans="1:32" ht="13">
      <c r="A104" s="2"/>
      <c r="B104" s="2"/>
      <c r="C104" s="3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</row>
    <row r="105" spans="1:32" ht="13">
      <c r="A105" s="2"/>
      <c r="B105" s="2"/>
      <c r="C105" s="3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</row>
    <row r="106" spans="1:32" ht="13">
      <c r="A106" s="2"/>
      <c r="B106" s="2"/>
      <c r="C106" s="3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</row>
    <row r="107" spans="1:32" ht="13">
      <c r="A107" s="2"/>
      <c r="B107" s="2"/>
      <c r="C107" s="3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</row>
    <row r="108" spans="1:32" ht="13">
      <c r="A108" s="2"/>
      <c r="B108" s="2"/>
      <c r="C108" s="3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</row>
    <row r="109" spans="1:32" ht="13">
      <c r="A109" s="2"/>
      <c r="B109" s="2"/>
      <c r="C109" s="3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</row>
    <row r="110" spans="1:32" ht="13">
      <c r="A110" s="2"/>
      <c r="B110" s="2"/>
      <c r="C110" s="3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</row>
    <row r="111" spans="1:32" ht="13">
      <c r="A111" s="2"/>
      <c r="B111" s="2"/>
      <c r="C111" s="3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</row>
    <row r="112" spans="1:32" ht="13">
      <c r="A112" s="2"/>
      <c r="B112" s="2"/>
      <c r="C112" s="3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</row>
    <row r="113" spans="1:32" ht="13">
      <c r="A113" s="2"/>
      <c r="B113" s="2"/>
      <c r="C113" s="3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</row>
    <row r="114" spans="1:32" ht="13">
      <c r="A114" s="2"/>
      <c r="B114" s="2"/>
      <c r="C114" s="3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</row>
    <row r="115" spans="1:32" ht="13">
      <c r="A115" s="2"/>
      <c r="B115" s="2"/>
      <c r="C115" s="3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</row>
    <row r="116" spans="1:32" ht="13">
      <c r="A116" s="2"/>
      <c r="B116" s="2"/>
      <c r="C116" s="3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</row>
    <row r="117" spans="1:32" ht="13">
      <c r="A117" s="2"/>
      <c r="B117" s="2"/>
      <c r="C117" s="3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</row>
    <row r="118" spans="1:32" ht="13">
      <c r="A118" s="2"/>
      <c r="B118" s="2"/>
      <c r="C118" s="3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</row>
    <row r="119" spans="1:32" ht="13">
      <c r="A119" s="2"/>
      <c r="B119" s="2"/>
      <c r="C119" s="3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</row>
    <row r="120" spans="1:32" ht="13">
      <c r="A120" s="2"/>
      <c r="B120" s="2"/>
      <c r="C120" s="3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</row>
    <row r="121" spans="1:32" ht="13">
      <c r="A121" s="2"/>
      <c r="B121" s="2"/>
      <c r="C121" s="3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</row>
    <row r="122" spans="1:32" ht="13">
      <c r="A122" s="2"/>
      <c r="B122" s="2"/>
      <c r="C122" s="3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</row>
    <row r="123" spans="1:32" ht="13">
      <c r="A123" s="2"/>
      <c r="B123" s="2"/>
      <c r="C123" s="3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</row>
    <row r="124" spans="1:32" ht="13">
      <c r="A124" s="2"/>
      <c r="B124" s="2"/>
      <c r="C124" s="3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</row>
    <row r="125" spans="1:32" ht="13">
      <c r="A125" s="2"/>
      <c r="B125" s="2"/>
      <c r="C125" s="3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 spans="1:32" ht="13">
      <c r="A126" s="2"/>
      <c r="B126" s="2"/>
      <c r="C126" s="3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</row>
    <row r="127" spans="1:32" ht="13">
      <c r="A127" s="2"/>
      <c r="B127" s="2"/>
      <c r="C127" s="3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</row>
    <row r="128" spans="1:32" ht="13">
      <c r="A128" s="2"/>
      <c r="B128" s="2"/>
      <c r="C128" s="3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</row>
    <row r="129" spans="1:32" ht="13">
      <c r="A129" s="2"/>
      <c r="B129" s="2"/>
      <c r="C129" s="3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</row>
    <row r="130" spans="1:32" ht="13">
      <c r="A130" s="2"/>
      <c r="B130" s="2"/>
      <c r="C130" s="3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</row>
    <row r="131" spans="1:32" ht="13">
      <c r="A131" s="2"/>
      <c r="B131" s="2"/>
      <c r="C131" s="3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</row>
    <row r="132" spans="1:32" ht="13">
      <c r="A132" s="2"/>
      <c r="B132" s="2"/>
      <c r="C132" s="3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</row>
    <row r="133" spans="1:32" ht="13">
      <c r="A133" s="2"/>
      <c r="B133" s="2"/>
      <c r="C133" s="3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</row>
    <row r="134" spans="1:32" ht="13">
      <c r="A134" s="2"/>
      <c r="B134" s="2"/>
      <c r="C134" s="3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</row>
    <row r="135" spans="1:32" ht="13">
      <c r="A135" s="2"/>
      <c r="B135" s="2"/>
      <c r="C135" s="3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</row>
    <row r="136" spans="1:32" ht="13">
      <c r="A136" s="2"/>
      <c r="B136" s="2"/>
      <c r="C136" s="3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</row>
    <row r="137" spans="1:32" ht="13">
      <c r="A137" s="2"/>
      <c r="B137" s="2"/>
      <c r="C137" s="3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</row>
    <row r="138" spans="1:32" ht="13">
      <c r="A138" s="2"/>
      <c r="B138" s="2"/>
      <c r="C138" s="3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</row>
    <row r="139" spans="1:32" ht="13">
      <c r="A139" s="2"/>
      <c r="B139" s="2"/>
      <c r="C139" s="3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</row>
    <row r="140" spans="1:32" ht="13">
      <c r="A140" s="2"/>
      <c r="B140" s="2"/>
      <c r="C140" s="3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</row>
    <row r="141" spans="1:32" ht="13">
      <c r="A141" s="2"/>
      <c r="B141" s="2"/>
      <c r="C141" s="3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</row>
    <row r="142" spans="1:32" ht="13">
      <c r="A142" s="2"/>
      <c r="B142" s="2"/>
      <c r="C142" s="3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</row>
    <row r="143" spans="1:32" ht="13">
      <c r="A143" s="2"/>
      <c r="B143" s="2"/>
      <c r="C143" s="3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</row>
    <row r="144" spans="1:32" ht="13">
      <c r="A144" s="2"/>
      <c r="B144" s="2"/>
      <c r="C144" s="3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</row>
    <row r="145" spans="1:32" ht="13">
      <c r="A145" s="2"/>
      <c r="B145" s="2"/>
      <c r="C145" s="3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</row>
    <row r="146" spans="1:32" ht="13">
      <c r="A146" s="2"/>
      <c r="B146" s="2"/>
      <c r="C146" s="3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</row>
    <row r="147" spans="1:32" ht="13">
      <c r="A147" s="2"/>
      <c r="B147" s="2"/>
      <c r="C147" s="3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</row>
    <row r="148" spans="1:32" ht="13">
      <c r="A148" s="2"/>
      <c r="B148" s="2"/>
      <c r="C148" s="3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</row>
    <row r="149" spans="1:32" ht="13">
      <c r="A149" s="2"/>
      <c r="B149" s="2"/>
      <c r="C149" s="3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</row>
    <row r="150" spans="1:32" ht="13">
      <c r="A150" s="2"/>
      <c r="B150" s="2"/>
      <c r="C150" s="3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</row>
    <row r="151" spans="1:32" ht="13">
      <c r="A151" s="2"/>
      <c r="B151" s="2"/>
      <c r="C151" s="3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</row>
    <row r="152" spans="1:32" ht="13">
      <c r="A152" s="2"/>
      <c r="B152" s="2"/>
      <c r="C152" s="3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</row>
    <row r="153" spans="1:32" ht="13">
      <c r="A153" s="2"/>
      <c r="B153" s="2"/>
      <c r="C153" s="3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</row>
    <row r="154" spans="1:32" ht="13">
      <c r="A154" s="2"/>
      <c r="B154" s="2"/>
      <c r="C154" s="3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</row>
    <row r="155" spans="1:32" ht="13">
      <c r="A155" s="2"/>
      <c r="B155" s="2"/>
      <c r="C155" s="3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</row>
    <row r="156" spans="1:32" ht="13">
      <c r="A156" s="2"/>
      <c r="B156" s="2"/>
      <c r="C156" s="3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</row>
    <row r="157" spans="1:32" ht="13">
      <c r="A157" s="2"/>
      <c r="B157" s="2"/>
      <c r="C157" s="3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</row>
    <row r="158" spans="1:32" ht="13">
      <c r="A158" s="2"/>
      <c r="B158" s="2"/>
      <c r="C158" s="3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</row>
    <row r="159" spans="1:32" ht="13">
      <c r="A159" s="2"/>
      <c r="B159" s="2"/>
      <c r="C159" s="3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</row>
    <row r="160" spans="1:32" ht="13">
      <c r="A160" s="2"/>
      <c r="B160" s="2"/>
      <c r="C160" s="3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</row>
    <row r="161" spans="1:32" ht="13">
      <c r="A161" s="2"/>
      <c r="B161" s="2"/>
      <c r="C161" s="3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</row>
    <row r="162" spans="1:32" ht="13">
      <c r="A162" s="2"/>
      <c r="B162" s="2"/>
      <c r="C162" s="3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</row>
    <row r="163" spans="1:32" ht="13">
      <c r="A163" s="2"/>
      <c r="B163" s="2"/>
      <c r="C163" s="3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</row>
    <row r="164" spans="1:32" ht="13">
      <c r="A164" s="2"/>
      <c r="B164" s="2"/>
      <c r="C164" s="3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</row>
    <row r="165" spans="1:32" ht="13">
      <c r="A165" s="2"/>
      <c r="B165" s="2"/>
      <c r="C165" s="3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</row>
    <row r="166" spans="1:32" ht="13">
      <c r="A166" s="2"/>
      <c r="B166" s="2"/>
      <c r="C166" s="3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</row>
    <row r="167" spans="1:32" ht="13">
      <c r="A167" s="2"/>
      <c r="B167" s="2"/>
      <c r="C167" s="3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</row>
    <row r="168" spans="1:32" ht="13">
      <c r="A168" s="2"/>
      <c r="B168" s="2"/>
      <c r="C168" s="3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</row>
    <row r="169" spans="1:32" ht="13">
      <c r="A169" s="2"/>
      <c r="B169" s="2"/>
      <c r="C169" s="3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</row>
    <row r="170" spans="1:32" ht="13">
      <c r="A170" s="2"/>
      <c r="B170" s="2"/>
      <c r="C170" s="3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</row>
    <row r="171" spans="1:32" ht="13">
      <c r="A171" s="2"/>
      <c r="B171" s="2"/>
      <c r="C171" s="3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</row>
    <row r="172" spans="1:32" ht="13">
      <c r="A172" s="2"/>
      <c r="B172" s="2"/>
      <c r="C172" s="3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</row>
    <row r="173" spans="1:32" ht="13">
      <c r="A173" s="2"/>
      <c r="B173" s="2"/>
      <c r="C173" s="3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</row>
    <row r="174" spans="1:32" ht="13">
      <c r="A174" s="2"/>
      <c r="B174" s="2"/>
      <c r="C174" s="3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</row>
    <row r="175" spans="1:32" ht="13">
      <c r="A175" s="2"/>
      <c r="B175" s="2"/>
      <c r="C175" s="3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</row>
    <row r="176" spans="1:32" ht="13">
      <c r="A176" s="2"/>
      <c r="B176" s="2"/>
      <c r="C176" s="3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</row>
    <row r="177" spans="1:32" ht="13">
      <c r="A177" s="2"/>
      <c r="B177" s="2"/>
      <c r="C177" s="3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</row>
    <row r="178" spans="1:32" ht="13">
      <c r="A178" s="2"/>
      <c r="B178" s="2"/>
      <c r="C178" s="3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</row>
    <row r="179" spans="1:32" ht="13">
      <c r="A179" s="2"/>
      <c r="B179" s="2"/>
      <c r="C179" s="3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</row>
    <row r="180" spans="1:32" ht="13">
      <c r="A180" s="2"/>
      <c r="B180" s="2"/>
      <c r="C180" s="3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</row>
    <row r="181" spans="1:32" ht="13">
      <c r="A181" s="2"/>
      <c r="B181" s="2"/>
      <c r="C181" s="3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</row>
    <row r="182" spans="1:32" ht="13">
      <c r="A182" s="2"/>
      <c r="B182" s="2"/>
      <c r="C182" s="3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</row>
    <row r="183" spans="1:32" ht="13">
      <c r="A183" s="2"/>
      <c r="B183" s="2"/>
      <c r="C183" s="3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</row>
    <row r="184" spans="1:32" ht="13">
      <c r="A184" s="2"/>
      <c r="B184" s="2"/>
      <c r="C184" s="3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</row>
    <row r="185" spans="1:32" ht="13">
      <c r="A185" s="2"/>
      <c r="B185" s="2"/>
      <c r="C185" s="3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</row>
    <row r="186" spans="1:32" ht="13">
      <c r="A186" s="2"/>
      <c r="B186" s="2"/>
      <c r="C186" s="3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</row>
    <row r="187" spans="1:32" ht="13">
      <c r="A187" s="2"/>
      <c r="B187" s="2"/>
      <c r="C187" s="3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</row>
    <row r="188" spans="1:32" ht="13">
      <c r="A188" s="2"/>
      <c r="B188" s="2"/>
      <c r="C188" s="3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</row>
    <row r="189" spans="1:32" ht="13">
      <c r="A189" s="2"/>
      <c r="B189" s="2"/>
      <c r="C189" s="3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</row>
    <row r="190" spans="1:32" ht="13">
      <c r="A190" s="2"/>
      <c r="B190" s="2"/>
      <c r="C190" s="3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</row>
    <row r="191" spans="1:32" ht="13">
      <c r="A191" s="2"/>
      <c r="B191" s="2"/>
      <c r="C191" s="3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</row>
    <row r="192" spans="1:32" ht="13">
      <c r="A192" s="2"/>
      <c r="B192" s="2"/>
      <c r="C192" s="3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</row>
    <row r="193" spans="1:32" ht="13">
      <c r="A193" s="2"/>
      <c r="B193" s="2"/>
      <c r="C193" s="3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</row>
    <row r="194" spans="1:32" ht="13">
      <c r="A194" s="2"/>
      <c r="B194" s="2"/>
      <c r="C194" s="3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</row>
    <row r="195" spans="1:32" ht="13">
      <c r="A195" s="2"/>
      <c r="B195" s="2"/>
      <c r="C195" s="3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</row>
    <row r="196" spans="1:32" ht="13">
      <c r="A196" s="2"/>
      <c r="B196" s="2"/>
      <c r="C196" s="3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</row>
    <row r="197" spans="1:32" ht="13">
      <c r="A197" s="2"/>
      <c r="B197" s="2"/>
      <c r="C197" s="3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</row>
    <row r="198" spans="1:32" ht="13">
      <c r="A198" s="2"/>
      <c r="B198" s="2"/>
      <c r="C198" s="3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</row>
    <row r="199" spans="1:32" ht="13">
      <c r="A199" s="2"/>
      <c r="B199" s="2"/>
      <c r="C199" s="3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</row>
    <row r="200" spans="1:32" ht="13">
      <c r="A200" s="2"/>
      <c r="B200" s="2"/>
      <c r="C200" s="3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</row>
    <row r="201" spans="1:32" ht="13">
      <c r="A201" s="2"/>
      <c r="B201" s="2"/>
      <c r="C201" s="3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</row>
    <row r="202" spans="1:32" ht="13">
      <c r="A202" s="2"/>
      <c r="B202" s="2"/>
      <c r="C202" s="3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</row>
    <row r="203" spans="1:32" ht="13">
      <c r="A203" s="2"/>
      <c r="B203" s="2"/>
      <c r="C203" s="3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</row>
    <row r="204" spans="1:32" ht="13">
      <c r="A204" s="2"/>
      <c r="B204" s="2"/>
      <c r="C204" s="3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</row>
    <row r="205" spans="1:32" ht="13">
      <c r="A205" s="2"/>
      <c r="B205" s="2"/>
      <c r="C205" s="3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</row>
    <row r="206" spans="1:32" ht="13">
      <c r="A206" s="2"/>
      <c r="B206" s="2"/>
      <c r="C206" s="3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</row>
    <row r="207" spans="1:32" ht="13">
      <c r="A207" s="2"/>
      <c r="B207" s="2"/>
      <c r="C207" s="3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</row>
    <row r="208" spans="1:32" ht="13">
      <c r="A208" s="2"/>
      <c r="B208" s="2"/>
      <c r="C208" s="3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</row>
    <row r="209" spans="1:32" ht="13">
      <c r="A209" s="2"/>
      <c r="B209" s="2"/>
      <c r="C209" s="3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</row>
    <row r="210" spans="1:32" ht="13">
      <c r="A210" s="2"/>
      <c r="B210" s="2"/>
      <c r="C210" s="3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</row>
    <row r="211" spans="1:32" ht="13">
      <c r="A211" s="2"/>
      <c r="B211" s="2"/>
      <c r="C211" s="3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</row>
    <row r="212" spans="1:32" ht="13">
      <c r="A212" s="2"/>
      <c r="B212" s="2"/>
      <c r="C212" s="3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</row>
    <row r="213" spans="1:32" ht="13">
      <c r="A213" s="2"/>
      <c r="B213" s="2"/>
      <c r="C213" s="3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</row>
    <row r="214" spans="1:32" ht="13">
      <c r="A214" s="2"/>
      <c r="B214" s="2"/>
      <c r="C214" s="3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</row>
    <row r="215" spans="1:32" ht="13">
      <c r="A215" s="2"/>
      <c r="B215" s="2"/>
      <c r="C215" s="3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</row>
    <row r="216" spans="1:32" ht="13">
      <c r="A216" s="2"/>
      <c r="B216" s="2"/>
      <c r="C216" s="3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</row>
    <row r="217" spans="1:32" ht="13">
      <c r="A217" s="2"/>
      <c r="B217" s="2"/>
      <c r="C217" s="3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</row>
    <row r="218" spans="1:32" ht="13">
      <c r="A218" s="2"/>
      <c r="B218" s="2"/>
      <c r="C218" s="3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</row>
    <row r="219" spans="1:32" ht="13">
      <c r="A219" s="2"/>
      <c r="B219" s="2"/>
      <c r="C219" s="3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</row>
    <row r="220" spans="1:32" ht="13">
      <c r="A220" s="2"/>
      <c r="B220" s="2"/>
      <c r="C220" s="3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</row>
    <row r="221" spans="1:32" ht="13">
      <c r="A221" s="2"/>
      <c r="B221" s="2"/>
      <c r="C221" s="3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</row>
    <row r="222" spans="1:32" ht="13">
      <c r="A222" s="2"/>
      <c r="B222" s="2"/>
      <c r="C222" s="3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</row>
    <row r="223" spans="1:32" ht="13">
      <c r="A223" s="2"/>
      <c r="B223" s="2"/>
      <c r="C223" s="3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</row>
    <row r="224" spans="1:32" ht="13">
      <c r="A224" s="2"/>
      <c r="B224" s="2"/>
      <c r="C224" s="3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</row>
    <row r="225" spans="1:32" ht="13">
      <c r="A225" s="2"/>
      <c r="B225" s="2"/>
      <c r="C225" s="3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</row>
    <row r="226" spans="1:32" ht="13">
      <c r="A226" s="2"/>
      <c r="B226" s="2"/>
      <c r="C226" s="3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</row>
    <row r="227" spans="1:32" ht="13">
      <c r="A227" s="2"/>
      <c r="B227" s="2"/>
      <c r="C227" s="3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</row>
    <row r="228" spans="1:32" ht="13">
      <c r="A228" s="2"/>
      <c r="B228" s="2"/>
      <c r="C228" s="3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</row>
    <row r="229" spans="1:32" ht="13">
      <c r="A229" s="2"/>
      <c r="B229" s="2"/>
      <c r="C229" s="3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</row>
    <row r="230" spans="1:32" ht="13">
      <c r="A230" s="2"/>
      <c r="B230" s="2"/>
      <c r="C230" s="3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</row>
    <row r="231" spans="1:32" ht="13">
      <c r="A231" s="2"/>
      <c r="B231" s="2"/>
      <c r="C231" s="3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</row>
    <row r="232" spans="1:32" ht="13">
      <c r="A232" s="2"/>
      <c r="B232" s="2"/>
      <c r="C232" s="3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</row>
    <row r="233" spans="1:32" ht="13">
      <c r="A233" s="2"/>
      <c r="B233" s="2"/>
      <c r="C233" s="3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</row>
    <row r="234" spans="1:32" ht="13">
      <c r="A234" s="2"/>
      <c r="B234" s="2"/>
      <c r="C234" s="3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</row>
    <row r="235" spans="1:32" ht="13">
      <c r="A235" s="2"/>
      <c r="B235" s="2"/>
      <c r="C235" s="3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</row>
    <row r="236" spans="1:32" ht="13">
      <c r="A236" s="2"/>
      <c r="B236" s="2"/>
      <c r="C236" s="3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</row>
    <row r="237" spans="1:32" ht="13">
      <c r="A237" s="2"/>
      <c r="B237" s="2"/>
      <c r="C237" s="3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</row>
    <row r="238" spans="1:32" ht="13">
      <c r="A238" s="2"/>
      <c r="B238" s="2"/>
      <c r="C238" s="3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</row>
    <row r="239" spans="1:32" ht="13">
      <c r="A239" s="2"/>
      <c r="B239" s="2"/>
      <c r="C239" s="3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</row>
    <row r="240" spans="1:32" ht="13">
      <c r="A240" s="2"/>
      <c r="B240" s="2"/>
      <c r="C240" s="3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</row>
    <row r="241" spans="1:32" ht="13">
      <c r="A241" s="2"/>
      <c r="B241" s="2"/>
      <c r="C241" s="3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</row>
    <row r="242" spans="1:32" ht="13">
      <c r="A242" s="2"/>
      <c r="B242" s="2"/>
      <c r="C242" s="3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</row>
    <row r="243" spans="1:32" ht="13">
      <c r="A243" s="2"/>
      <c r="B243" s="2"/>
      <c r="C243" s="3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</row>
    <row r="244" spans="1:32" ht="13">
      <c r="A244" s="2"/>
      <c r="B244" s="2"/>
      <c r="C244" s="3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</row>
    <row r="245" spans="1:32" ht="13">
      <c r="A245" s="2"/>
      <c r="B245" s="2"/>
      <c r="C245" s="3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</row>
    <row r="246" spans="1:32" ht="13">
      <c r="A246" s="2"/>
      <c r="B246" s="2"/>
      <c r="C246" s="3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</row>
    <row r="247" spans="1:32" ht="13">
      <c r="A247" s="2"/>
      <c r="B247" s="2"/>
      <c r="C247" s="3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</row>
    <row r="248" spans="1:32" ht="13">
      <c r="A248" s="2"/>
      <c r="B248" s="2"/>
      <c r="C248" s="3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</row>
    <row r="249" spans="1:32" ht="13">
      <c r="A249" s="2"/>
      <c r="B249" s="2"/>
      <c r="C249" s="3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</row>
    <row r="250" spans="1:32" ht="13">
      <c r="A250" s="2"/>
      <c r="B250" s="2"/>
      <c r="C250" s="3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</row>
    <row r="251" spans="1:32" ht="13">
      <c r="A251" s="2"/>
      <c r="B251" s="2"/>
      <c r="C251" s="3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</row>
    <row r="252" spans="1:32" ht="13">
      <c r="A252" s="2"/>
      <c r="B252" s="2"/>
      <c r="C252" s="3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</row>
    <row r="253" spans="1:32" ht="13">
      <c r="A253" s="2"/>
      <c r="B253" s="2"/>
      <c r="C253" s="3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</row>
    <row r="254" spans="1:32" ht="13">
      <c r="A254" s="2"/>
      <c r="B254" s="2"/>
      <c r="C254" s="3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</row>
    <row r="255" spans="1:32" ht="13">
      <c r="A255" s="2"/>
      <c r="B255" s="2"/>
      <c r="C255" s="3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</row>
    <row r="256" spans="1:32" ht="13">
      <c r="A256" s="2"/>
      <c r="B256" s="2"/>
      <c r="C256" s="3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</row>
    <row r="257" spans="1:32" ht="13">
      <c r="A257" s="2"/>
      <c r="B257" s="2"/>
      <c r="C257" s="3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</row>
    <row r="258" spans="1:32" ht="13">
      <c r="A258" s="2"/>
      <c r="B258" s="2"/>
      <c r="C258" s="3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</row>
    <row r="259" spans="1:32" ht="13">
      <c r="A259" s="2"/>
      <c r="B259" s="2"/>
      <c r="C259" s="3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</row>
    <row r="260" spans="1:32" ht="13">
      <c r="A260" s="2"/>
      <c r="B260" s="2"/>
      <c r="C260" s="3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</row>
    <row r="261" spans="1:32" ht="13">
      <c r="A261" s="2"/>
      <c r="B261" s="2"/>
      <c r="C261" s="3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</row>
    <row r="262" spans="1:32" ht="13">
      <c r="A262" s="2"/>
      <c r="B262" s="2"/>
      <c r="C262" s="3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</row>
    <row r="263" spans="1:32" ht="13">
      <c r="A263" s="2"/>
      <c r="B263" s="2"/>
      <c r="C263" s="3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</row>
    <row r="264" spans="1:32" ht="13">
      <c r="A264" s="2"/>
      <c r="B264" s="2"/>
      <c r="C264" s="3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</row>
    <row r="265" spans="1:32" ht="13">
      <c r="A265" s="2"/>
      <c r="B265" s="2"/>
      <c r="C265" s="3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</row>
    <row r="266" spans="1:32" ht="13">
      <c r="A266" s="2"/>
      <c r="B266" s="2"/>
      <c r="C266" s="3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</row>
    <row r="267" spans="1:32" ht="13">
      <c r="A267" s="2"/>
      <c r="B267" s="2"/>
      <c r="C267" s="3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</row>
    <row r="268" spans="1:32" ht="13">
      <c r="A268" s="2"/>
      <c r="B268" s="2"/>
      <c r="C268" s="3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</row>
    <row r="269" spans="1:32" ht="13">
      <c r="A269" s="2"/>
      <c r="B269" s="2"/>
      <c r="C269" s="3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</row>
    <row r="270" spans="1:32" ht="13">
      <c r="A270" s="2"/>
      <c r="B270" s="2"/>
      <c r="C270" s="3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</row>
    <row r="271" spans="1:32" ht="13">
      <c r="A271" s="2"/>
      <c r="B271" s="2"/>
      <c r="C271" s="3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</row>
    <row r="272" spans="1:32" ht="13">
      <c r="A272" s="2"/>
      <c r="B272" s="2"/>
      <c r="C272" s="3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</row>
    <row r="273" spans="1:32" ht="13">
      <c r="A273" s="2"/>
      <c r="B273" s="2"/>
      <c r="C273" s="3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</row>
    <row r="274" spans="1:32" ht="13">
      <c r="A274" s="2"/>
      <c r="B274" s="2"/>
      <c r="C274" s="3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</row>
    <row r="275" spans="1:32" ht="13">
      <c r="A275" s="2"/>
      <c r="B275" s="2"/>
      <c r="C275" s="3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</row>
    <row r="276" spans="1:32" ht="13">
      <c r="A276" s="2"/>
      <c r="B276" s="2"/>
      <c r="C276" s="3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</row>
    <row r="277" spans="1:32" ht="13">
      <c r="A277" s="2"/>
      <c r="B277" s="2"/>
      <c r="C277" s="3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</row>
    <row r="278" spans="1:32" ht="13">
      <c r="A278" s="2"/>
      <c r="B278" s="2"/>
      <c r="C278" s="3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</row>
    <row r="279" spans="1:32" ht="13">
      <c r="A279" s="2"/>
      <c r="B279" s="2"/>
      <c r="C279" s="3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</row>
    <row r="280" spans="1:32" ht="13">
      <c r="A280" s="2"/>
      <c r="B280" s="2"/>
      <c r="C280" s="3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</row>
    <row r="281" spans="1:32" ht="13">
      <c r="A281" s="2"/>
      <c r="B281" s="2"/>
      <c r="C281" s="3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</row>
    <row r="282" spans="1:32" ht="13">
      <c r="A282" s="2"/>
      <c r="B282" s="2"/>
      <c r="C282" s="3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</row>
    <row r="283" spans="1:32" ht="13">
      <c r="A283" s="2"/>
      <c r="B283" s="2"/>
      <c r="C283" s="3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</row>
    <row r="284" spans="1:32" ht="13">
      <c r="A284" s="2"/>
      <c r="B284" s="2"/>
      <c r="C284" s="3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</row>
    <row r="285" spans="1:32" ht="13">
      <c r="A285" s="2"/>
      <c r="B285" s="2"/>
      <c r="C285" s="3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</row>
    <row r="286" spans="1:32" ht="13">
      <c r="A286" s="2"/>
      <c r="B286" s="2"/>
      <c r="C286" s="3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</row>
    <row r="287" spans="1:32" ht="13">
      <c r="A287" s="2"/>
      <c r="B287" s="2"/>
      <c r="C287" s="3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</row>
    <row r="288" spans="1:32" ht="13">
      <c r="A288" s="2"/>
      <c r="B288" s="2"/>
      <c r="C288" s="3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</row>
    <row r="289" spans="1:32" ht="13">
      <c r="A289" s="2"/>
      <c r="B289" s="2"/>
      <c r="C289" s="3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</row>
    <row r="290" spans="1:32" ht="13">
      <c r="A290" s="2"/>
      <c r="B290" s="2"/>
      <c r="C290" s="3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</row>
    <row r="291" spans="1:32" ht="13">
      <c r="A291" s="2"/>
      <c r="B291" s="2"/>
      <c r="C291" s="3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</row>
    <row r="292" spans="1:32" ht="13">
      <c r="A292" s="2"/>
      <c r="B292" s="2"/>
      <c r="C292" s="3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</row>
    <row r="293" spans="1:32" ht="13">
      <c r="A293" s="2"/>
      <c r="B293" s="2"/>
      <c r="C293" s="3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</row>
    <row r="294" spans="1:32" ht="13">
      <c r="A294" s="2"/>
      <c r="B294" s="2"/>
      <c r="C294" s="3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</row>
    <row r="295" spans="1:32" ht="13">
      <c r="A295" s="2"/>
      <c r="B295" s="2"/>
      <c r="C295" s="3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</row>
    <row r="296" spans="1:32" ht="13">
      <c r="A296" s="2"/>
      <c r="B296" s="2"/>
      <c r="C296" s="3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</row>
    <row r="297" spans="1:32" ht="13">
      <c r="A297" s="2"/>
      <c r="B297" s="2"/>
      <c r="C297" s="3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</row>
    <row r="298" spans="1:32" ht="13">
      <c r="A298" s="2"/>
      <c r="B298" s="2"/>
      <c r="C298" s="3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</row>
    <row r="299" spans="1:32" ht="13">
      <c r="A299" s="2"/>
      <c r="B299" s="2"/>
      <c r="C299" s="3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</row>
    <row r="300" spans="1:32" ht="13">
      <c r="A300" s="2"/>
      <c r="B300" s="2"/>
      <c r="C300" s="3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</row>
    <row r="301" spans="1:32" ht="13">
      <c r="A301" s="2"/>
      <c r="B301" s="2"/>
      <c r="C301" s="3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</row>
    <row r="302" spans="1:32" ht="13">
      <c r="A302" s="2"/>
      <c r="B302" s="2"/>
      <c r="C302" s="3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</row>
    <row r="303" spans="1:32" ht="13">
      <c r="A303" s="2"/>
      <c r="B303" s="2"/>
      <c r="C303" s="3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</row>
    <row r="304" spans="1:32" ht="13">
      <c r="A304" s="2"/>
      <c r="B304" s="2"/>
      <c r="C304" s="3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</row>
    <row r="305" spans="1:32" ht="13">
      <c r="A305" s="2"/>
      <c r="B305" s="2"/>
      <c r="C305" s="3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</row>
    <row r="306" spans="1:32" ht="13">
      <c r="A306" s="2"/>
      <c r="B306" s="2"/>
      <c r="C306" s="3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</row>
    <row r="307" spans="1:32" ht="13">
      <c r="A307" s="2"/>
      <c r="B307" s="2"/>
      <c r="C307" s="3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</row>
    <row r="308" spans="1:32" ht="13">
      <c r="A308" s="2"/>
      <c r="B308" s="2"/>
      <c r="C308" s="3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</row>
    <row r="309" spans="1:32" ht="13">
      <c r="A309" s="2"/>
      <c r="B309" s="2"/>
      <c r="C309" s="3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</row>
    <row r="310" spans="1:32" ht="13">
      <c r="A310" s="2"/>
      <c r="B310" s="2"/>
      <c r="C310" s="3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</row>
    <row r="311" spans="1:32" ht="13">
      <c r="A311" s="2"/>
      <c r="B311" s="2"/>
      <c r="C311" s="3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</row>
    <row r="312" spans="1:32" ht="13">
      <c r="A312" s="2"/>
      <c r="B312" s="2"/>
      <c r="C312" s="3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</row>
    <row r="313" spans="1:32" ht="13">
      <c r="A313" s="2"/>
      <c r="B313" s="2"/>
      <c r="C313" s="3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</row>
    <row r="314" spans="1:32" ht="13">
      <c r="A314" s="2"/>
      <c r="B314" s="2"/>
      <c r="C314" s="3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</row>
    <row r="315" spans="1:32" ht="13">
      <c r="A315" s="2"/>
      <c r="B315" s="2"/>
      <c r="C315" s="3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</row>
    <row r="316" spans="1:32" ht="13">
      <c r="A316" s="2"/>
      <c r="B316" s="2"/>
      <c r="C316" s="3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</row>
    <row r="317" spans="1:32" ht="13">
      <c r="A317" s="2"/>
      <c r="B317" s="2"/>
      <c r="C317" s="3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</row>
    <row r="318" spans="1:32" ht="13">
      <c r="A318" s="2"/>
      <c r="B318" s="2"/>
      <c r="C318" s="3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</row>
    <row r="319" spans="1:32" ht="13">
      <c r="A319" s="2"/>
      <c r="B319" s="2"/>
      <c r="C319" s="3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</row>
    <row r="320" spans="1:32" ht="13">
      <c r="A320" s="2"/>
      <c r="B320" s="2"/>
      <c r="C320" s="3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</row>
    <row r="321" spans="1:32" ht="13">
      <c r="A321" s="2"/>
      <c r="B321" s="2"/>
      <c r="C321" s="3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</row>
    <row r="322" spans="1:32" ht="13">
      <c r="A322" s="2"/>
      <c r="B322" s="2"/>
      <c r="C322" s="3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</row>
    <row r="323" spans="1:32" ht="13">
      <c r="A323" s="2"/>
      <c r="B323" s="2"/>
      <c r="C323" s="3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</row>
    <row r="324" spans="1:32" ht="13">
      <c r="A324" s="2"/>
      <c r="B324" s="2"/>
      <c r="C324" s="3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</row>
    <row r="325" spans="1:32" ht="13">
      <c r="A325" s="2"/>
      <c r="B325" s="2"/>
      <c r="C325" s="3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</row>
    <row r="326" spans="1:32" ht="13">
      <c r="A326" s="2"/>
      <c r="B326" s="2"/>
      <c r="C326" s="3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</row>
    <row r="327" spans="1:32" ht="13">
      <c r="A327" s="2"/>
      <c r="B327" s="2"/>
      <c r="C327" s="3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</row>
    <row r="328" spans="1:32" ht="13">
      <c r="A328" s="2"/>
      <c r="B328" s="2"/>
      <c r="C328" s="3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</row>
    <row r="329" spans="1:32" ht="13">
      <c r="A329" s="2"/>
      <c r="B329" s="2"/>
      <c r="C329" s="3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</row>
    <row r="330" spans="1:32" ht="13">
      <c r="A330" s="2"/>
      <c r="B330" s="2"/>
      <c r="C330" s="3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</row>
    <row r="331" spans="1:32" ht="13">
      <c r="A331" s="2"/>
      <c r="B331" s="2"/>
      <c r="C331" s="3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</row>
    <row r="332" spans="1:32" ht="13">
      <c r="A332" s="2"/>
      <c r="B332" s="2"/>
      <c r="C332" s="3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</row>
    <row r="333" spans="1:32" ht="13">
      <c r="A333" s="2"/>
      <c r="B333" s="2"/>
      <c r="C333" s="3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</row>
    <row r="334" spans="1:32" ht="13">
      <c r="A334" s="2"/>
      <c r="B334" s="2"/>
      <c r="C334" s="3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</row>
    <row r="335" spans="1:32" ht="13">
      <c r="A335" s="2"/>
      <c r="B335" s="2"/>
      <c r="C335" s="3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</row>
    <row r="336" spans="1:32" ht="13">
      <c r="A336" s="2"/>
      <c r="B336" s="2"/>
      <c r="C336" s="3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</row>
    <row r="337" spans="1:32" ht="13">
      <c r="A337" s="2"/>
      <c r="B337" s="2"/>
      <c r="C337" s="3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</row>
    <row r="338" spans="1:32" ht="13">
      <c r="A338" s="2"/>
      <c r="B338" s="2"/>
      <c r="C338" s="3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</row>
    <row r="339" spans="1:32" ht="13">
      <c r="A339" s="2"/>
      <c r="B339" s="2"/>
      <c r="C339" s="3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</row>
    <row r="340" spans="1:32" ht="13">
      <c r="A340" s="2"/>
      <c r="B340" s="2"/>
      <c r="C340" s="3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</row>
    <row r="341" spans="1:32" ht="13">
      <c r="A341" s="2"/>
      <c r="B341" s="2"/>
      <c r="C341" s="3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</row>
    <row r="342" spans="1:32" ht="13">
      <c r="A342" s="2"/>
      <c r="B342" s="2"/>
      <c r="C342" s="3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</row>
    <row r="343" spans="1:32" ht="13">
      <c r="A343" s="2"/>
      <c r="B343" s="2"/>
      <c r="C343" s="3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</row>
    <row r="344" spans="1:32" ht="13">
      <c r="A344" s="2"/>
      <c r="B344" s="2"/>
      <c r="C344" s="3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</row>
    <row r="345" spans="1:32" ht="13">
      <c r="A345" s="2"/>
      <c r="B345" s="2"/>
      <c r="C345" s="3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</row>
    <row r="346" spans="1:32" ht="13">
      <c r="A346" s="2"/>
      <c r="B346" s="2"/>
      <c r="C346" s="3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</row>
    <row r="347" spans="1:32" ht="13">
      <c r="A347" s="2"/>
      <c r="B347" s="2"/>
      <c r="C347" s="3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</row>
    <row r="348" spans="1:32" ht="13">
      <c r="A348" s="2"/>
      <c r="B348" s="2"/>
      <c r="C348" s="3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</row>
    <row r="349" spans="1:32" ht="13">
      <c r="A349" s="2"/>
      <c r="B349" s="2"/>
      <c r="C349" s="3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</row>
    <row r="350" spans="1:32" ht="13">
      <c r="A350" s="2"/>
      <c r="B350" s="2"/>
      <c r="C350" s="3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</row>
    <row r="351" spans="1:32" ht="13">
      <c r="A351" s="2"/>
      <c r="B351" s="2"/>
      <c r="C351" s="3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</row>
    <row r="352" spans="1:32" ht="13">
      <c r="A352" s="2"/>
      <c r="B352" s="2"/>
      <c r="C352" s="3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</row>
    <row r="353" spans="1:32" ht="13">
      <c r="A353" s="2"/>
      <c r="B353" s="2"/>
      <c r="C353" s="3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</row>
    <row r="354" spans="1:32" ht="13">
      <c r="A354" s="2"/>
      <c r="B354" s="2"/>
      <c r="C354" s="3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</row>
    <row r="355" spans="1:32" ht="13">
      <c r="A355" s="2"/>
      <c r="B355" s="2"/>
      <c r="C355" s="3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</row>
    <row r="356" spans="1:32" ht="13">
      <c r="A356" s="2"/>
      <c r="B356" s="2"/>
      <c r="C356" s="3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</row>
    <row r="357" spans="1:32" ht="13">
      <c r="A357" s="2"/>
      <c r="B357" s="2"/>
      <c r="C357" s="3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</row>
    <row r="358" spans="1:32" ht="13">
      <c r="A358" s="2"/>
      <c r="B358" s="2"/>
      <c r="C358" s="3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</row>
    <row r="359" spans="1:32" ht="13">
      <c r="A359" s="2"/>
      <c r="B359" s="2"/>
      <c r="C359" s="3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</row>
    <row r="360" spans="1:32" ht="13">
      <c r="A360" s="2"/>
      <c r="B360" s="2"/>
      <c r="C360" s="3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</row>
    <row r="361" spans="1:32" ht="13">
      <c r="A361" s="2"/>
      <c r="B361" s="2"/>
      <c r="C361" s="3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</row>
    <row r="362" spans="1:32" ht="13">
      <c r="A362" s="2"/>
      <c r="B362" s="2"/>
      <c r="C362" s="3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</row>
    <row r="363" spans="1:32" ht="13">
      <c r="A363" s="2"/>
      <c r="B363" s="2"/>
      <c r="C363" s="3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</row>
    <row r="364" spans="1:32" ht="13">
      <c r="A364" s="2"/>
      <c r="B364" s="2"/>
      <c r="C364" s="3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</row>
    <row r="365" spans="1:32" ht="13">
      <c r="A365" s="2"/>
      <c r="B365" s="2"/>
      <c r="C365" s="3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</row>
    <row r="366" spans="1:32" ht="13">
      <c r="A366" s="2"/>
      <c r="B366" s="2"/>
      <c r="C366" s="3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</row>
    <row r="367" spans="1:32" ht="13">
      <c r="A367" s="2"/>
      <c r="B367" s="2"/>
      <c r="C367" s="3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</row>
    <row r="368" spans="1:32" ht="13">
      <c r="A368" s="2"/>
      <c r="B368" s="2"/>
      <c r="C368" s="3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</row>
    <row r="369" spans="1:32" ht="13">
      <c r="A369" s="2"/>
      <c r="B369" s="2"/>
      <c r="C369" s="3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</row>
    <row r="370" spans="1:32" ht="13">
      <c r="A370" s="2"/>
      <c r="B370" s="2"/>
      <c r="C370" s="3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</row>
    <row r="371" spans="1:32" ht="13">
      <c r="A371" s="2"/>
      <c r="B371" s="2"/>
      <c r="C371" s="3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</row>
    <row r="372" spans="1:32" ht="13">
      <c r="A372" s="2"/>
      <c r="B372" s="2"/>
      <c r="C372" s="3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</row>
    <row r="373" spans="1:32" ht="13">
      <c r="A373" s="2"/>
      <c r="B373" s="2"/>
      <c r="C373" s="3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</row>
    <row r="374" spans="1:32" ht="13">
      <c r="A374" s="2"/>
      <c r="B374" s="2"/>
      <c r="C374" s="3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</row>
    <row r="375" spans="1:32" ht="13">
      <c r="A375" s="2"/>
      <c r="B375" s="2"/>
      <c r="C375" s="3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</row>
    <row r="376" spans="1:32" ht="13">
      <c r="A376" s="2"/>
      <c r="B376" s="2"/>
      <c r="C376" s="3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</row>
    <row r="377" spans="1:32" ht="13">
      <c r="A377" s="2"/>
      <c r="B377" s="2"/>
      <c r="C377" s="3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</row>
    <row r="378" spans="1:32" ht="13">
      <c r="A378" s="2"/>
      <c r="B378" s="2"/>
      <c r="C378" s="3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</row>
    <row r="379" spans="1:32" ht="13">
      <c r="A379" s="2"/>
      <c r="B379" s="2"/>
      <c r="C379" s="3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</row>
    <row r="380" spans="1:32" ht="13">
      <c r="A380" s="2"/>
      <c r="B380" s="2"/>
      <c r="C380" s="3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</row>
    <row r="381" spans="1:32" ht="13">
      <c r="A381" s="2"/>
      <c r="B381" s="2"/>
      <c r="C381" s="3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</row>
    <row r="382" spans="1:32" ht="13">
      <c r="A382" s="2"/>
      <c r="B382" s="2"/>
      <c r="C382" s="3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</row>
    <row r="383" spans="1:32" ht="13">
      <c r="A383" s="2"/>
      <c r="B383" s="2"/>
      <c r="C383" s="3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</row>
    <row r="384" spans="1:32" ht="13">
      <c r="A384" s="2"/>
      <c r="B384" s="2"/>
      <c r="C384" s="3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</row>
    <row r="385" spans="1:32" ht="13">
      <c r="A385" s="2"/>
      <c r="B385" s="2"/>
      <c r="C385" s="3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</row>
    <row r="386" spans="1:32" ht="13">
      <c r="A386" s="2"/>
      <c r="B386" s="2"/>
      <c r="C386" s="3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</row>
    <row r="387" spans="1:32" ht="13">
      <c r="A387" s="2"/>
      <c r="B387" s="2"/>
      <c r="C387" s="3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</row>
    <row r="388" spans="1:32" ht="13">
      <c r="A388" s="2"/>
      <c r="B388" s="2"/>
      <c r="C388" s="3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</row>
    <row r="389" spans="1:32" ht="13">
      <c r="A389" s="2"/>
      <c r="B389" s="2"/>
      <c r="C389" s="3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</row>
    <row r="390" spans="1:32" ht="13">
      <c r="A390" s="2"/>
      <c r="B390" s="2"/>
      <c r="C390" s="3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</row>
    <row r="391" spans="1:32" ht="13">
      <c r="A391" s="2"/>
      <c r="B391" s="2"/>
      <c r="C391" s="3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</row>
    <row r="392" spans="1:32" ht="13">
      <c r="A392" s="2"/>
      <c r="B392" s="2"/>
      <c r="C392" s="3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</row>
    <row r="393" spans="1:32" ht="13">
      <c r="A393" s="2"/>
      <c r="B393" s="2"/>
      <c r="C393" s="3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</row>
    <row r="394" spans="1:32" ht="13">
      <c r="A394" s="2"/>
      <c r="B394" s="2"/>
      <c r="C394" s="3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</row>
    <row r="395" spans="1:32" ht="13">
      <c r="A395" s="2"/>
      <c r="B395" s="2"/>
      <c r="C395" s="3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</row>
    <row r="396" spans="1:32" ht="13">
      <c r="A396" s="2"/>
      <c r="B396" s="2"/>
      <c r="C396" s="3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</row>
    <row r="397" spans="1:32" ht="13">
      <c r="A397" s="2"/>
      <c r="B397" s="2"/>
      <c r="C397" s="3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</row>
    <row r="398" spans="1:32" ht="13">
      <c r="A398" s="2"/>
      <c r="B398" s="2"/>
      <c r="C398" s="3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</row>
    <row r="399" spans="1:32" ht="13">
      <c r="A399" s="2"/>
      <c r="B399" s="2"/>
      <c r="C399" s="3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</row>
    <row r="400" spans="1:32" ht="13">
      <c r="A400" s="2"/>
      <c r="B400" s="2"/>
      <c r="C400" s="3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</row>
    <row r="401" spans="1:32" ht="13">
      <c r="A401" s="2"/>
      <c r="B401" s="2"/>
      <c r="C401" s="3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</row>
    <row r="402" spans="1:32" ht="13">
      <c r="A402" s="2"/>
      <c r="B402" s="2"/>
      <c r="C402" s="3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</row>
    <row r="403" spans="1:32" ht="13">
      <c r="A403" s="2"/>
      <c r="B403" s="2"/>
      <c r="C403" s="3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</row>
    <row r="404" spans="1:32" ht="13">
      <c r="A404" s="2"/>
      <c r="B404" s="2"/>
      <c r="C404" s="3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</row>
    <row r="405" spans="1:32" ht="13">
      <c r="A405" s="2"/>
      <c r="B405" s="2"/>
      <c r="C405" s="3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</row>
    <row r="406" spans="1:32" ht="13">
      <c r="A406" s="2"/>
      <c r="B406" s="2"/>
      <c r="C406" s="3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</row>
    <row r="407" spans="1:32" ht="13">
      <c r="A407" s="2"/>
      <c r="B407" s="2"/>
      <c r="C407" s="3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</row>
    <row r="408" spans="1:32" ht="13">
      <c r="A408" s="2"/>
      <c r="B408" s="2"/>
      <c r="C408" s="3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</row>
    <row r="409" spans="1:32" ht="13">
      <c r="A409" s="2"/>
      <c r="B409" s="2"/>
      <c r="C409" s="3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</row>
    <row r="410" spans="1:32" ht="13">
      <c r="A410" s="2"/>
      <c r="B410" s="2"/>
      <c r="C410" s="3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</row>
    <row r="411" spans="1:32" ht="13">
      <c r="A411" s="2"/>
      <c r="B411" s="2"/>
      <c r="C411" s="3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</row>
    <row r="412" spans="1:32" ht="13">
      <c r="A412" s="2"/>
      <c r="B412" s="2"/>
      <c r="C412" s="3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</row>
    <row r="413" spans="1:32" ht="13">
      <c r="A413" s="2"/>
      <c r="B413" s="2"/>
      <c r="C413" s="3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</row>
    <row r="414" spans="1:32" ht="13">
      <c r="A414" s="2"/>
      <c r="B414" s="2"/>
      <c r="C414" s="3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</row>
    <row r="415" spans="1:32" ht="13">
      <c r="A415" s="2"/>
      <c r="B415" s="2"/>
      <c r="C415" s="3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</row>
    <row r="416" spans="1:32" ht="13">
      <c r="A416" s="2"/>
      <c r="B416" s="2"/>
      <c r="C416" s="3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</row>
    <row r="417" spans="1:32" ht="13">
      <c r="A417" s="2"/>
      <c r="B417" s="2"/>
      <c r="C417" s="3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</row>
    <row r="418" spans="1:32" ht="13">
      <c r="A418" s="2"/>
      <c r="B418" s="2"/>
      <c r="C418" s="3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</row>
    <row r="419" spans="1:32" ht="13">
      <c r="A419" s="2"/>
      <c r="B419" s="2"/>
      <c r="C419" s="3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</row>
    <row r="420" spans="1:32" ht="13">
      <c r="A420" s="2"/>
      <c r="B420" s="2"/>
      <c r="C420" s="3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</row>
    <row r="421" spans="1:32" ht="13">
      <c r="A421" s="2"/>
      <c r="B421" s="2"/>
      <c r="C421" s="3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</row>
    <row r="422" spans="1:32" ht="13">
      <c r="A422" s="2"/>
      <c r="B422" s="2"/>
      <c r="C422" s="3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</row>
    <row r="423" spans="1:32" ht="13">
      <c r="A423" s="2"/>
      <c r="B423" s="2"/>
      <c r="C423" s="3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</row>
    <row r="424" spans="1:32" ht="13">
      <c r="A424" s="2"/>
      <c r="B424" s="2"/>
      <c r="C424" s="3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</row>
    <row r="425" spans="1:32" ht="13">
      <c r="A425" s="2"/>
      <c r="B425" s="2"/>
      <c r="C425" s="3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</row>
    <row r="426" spans="1:32" ht="13">
      <c r="A426" s="2"/>
      <c r="B426" s="2"/>
      <c r="C426" s="3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</row>
    <row r="427" spans="1:32" ht="13">
      <c r="A427" s="2"/>
      <c r="B427" s="2"/>
      <c r="C427" s="3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</row>
    <row r="428" spans="1:32" ht="13">
      <c r="A428" s="2"/>
      <c r="B428" s="2"/>
      <c r="C428" s="3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</row>
    <row r="429" spans="1:32" ht="13">
      <c r="A429" s="2"/>
      <c r="B429" s="2"/>
      <c r="C429" s="3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</row>
    <row r="430" spans="1:32" ht="13">
      <c r="A430" s="2"/>
      <c r="B430" s="2"/>
      <c r="C430" s="3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</row>
    <row r="431" spans="1:32" ht="13">
      <c r="A431" s="2"/>
      <c r="B431" s="2"/>
      <c r="C431" s="3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</row>
    <row r="432" spans="1:32" ht="13">
      <c r="A432" s="2"/>
      <c r="B432" s="2"/>
      <c r="C432" s="3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</row>
    <row r="433" spans="1:32" ht="13">
      <c r="A433" s="2"/>
      <c r="B433" s="2"/>
      <c r="C433" s="3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</row>
    <row r="434" spans="1:32" ht="13">
      <c r="A434" s="2"/>
      <c r="B434" s="2"/>
      <c r="C434" s="3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</row>
    <row r="435" spans="1:32" ht="13">
      <c r="A435" s="2"/>
      <c r="B435" s="2"/>
      <c r="C435" s="3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</row>
    <row r="436" spans="1:32" ht="13">
      <c r="A436" s="2"/>
      <c r="B436" s="2"/>
      <c r="C436" s="3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</row>
    <row r="437" spans="1:32" ht="13">
      <c r="A437" s="2"/>
      <c r="B437" s="2"/>
      <c r="C437" s="3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</row>
    <row r="438" spans="1:32" ht="13">
      <c r="A438" s="2"/>
      <c r="B438" s="2"/>
      <c r="C438" s="3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</row>
    <row r="439" spans="1:32" ht="13">
      <c r="A439" s="2"/>
      <c r="B439" s="2"/>
      <c r="C439" s="3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</row>
    <row r="440" spans="1:32" ht="13">
      <c r="A440" s="2"/>
      <c r="B440" s="2"/>
      <c r="C440" s="3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</row>
    <row r="441" spans="1:32" ht="13">
      <c r="A441" s="2"/>
      <c r="B441" s="2"/>
      <c r="C441" s="3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</row>
    <row r="442" spans="1:32" ht="13">
      <c r="A442" s="2"/>
      <c r="B442" s="2"/>
      <c r="C442" s="3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</row>
    <row r="443" spans="1:32" ht="13">
      <c r="A443" s="2"/>
      <c r="B443" s="2"/>
      <c r="C443" s="3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</row>
    <row r="444" spans="1:32" ht="13">
      <c r="A444" s="2"/>
      <c r="B444" s="2"/>
      <c r="C444" s="3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</row>
    <row r="445" spans="1:32" ht="13">
      <c r="A445" s="2"/>
      <c r="B445" s="2"/>
      <c r="C445" s="3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</row>
    <row r="446" spans="1:32" ht="13">
      <c r="A446" s="2"/>
      <c r="B446" s="2"/>
      <c r="C446" s="3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</row>
    <row r="447" spans="1:32" ht="13">
      <c r="A447" s="2"/>
      <c r="B447" s="2"/>
      <c r="C447" s="3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</row>
    <row r="448" spans="1:32" ht="13">
      <c r="A448" s="2"/>
      <c r="B448" s="2"/>
      <c r="C448" s="3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</row>
    <row r="449" spans="1:32" ht="13">
      <c r="A449" s="2"/>
      <c r="B449" s="2"/>
      <c r="C449" s="3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</row>
    <row r="450" spans="1:32" ht="13">
      <c r="A450" s="2"/>
      <c r="B450" s="2"/>
      <c r="C450" s="3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</row>
    <row r="451" spans="1:32" ht="13">
      <c r="A451" s="2"/>
      <c r="B451" s="2"/>
      <c r="C451" s="3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</row>
    <row r="452" spans="1:32" ht="13">
      <c r="A452" s="2"/>
      <c r="B452" s="2"/>
      <c r="C452" s="3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</row>
    <row r="453" spans="1:32" ht="13">
      <c r="A453" s="2"/>
      <c r="B453" s="2"/>
      <c r="C453" s="3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</row>
    <row r="454" spans="1:32" ht="13">
      <c r="A454" s="2"/>
      <c r="B454" s="2"/>
      <c r="C454" s="3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</row>
    <row r="455" spans="1:32" ht="13">
      <c r="A455" s="2"/>
      <c r="B455" s="2"/>
      <c r="C455" s="3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</row>
    <row r="456" spans="1:32" ht="13">
      <c r="A456" s="2"/>
      <c r="B456" s="2"/>
      <c r="C456" s="3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</row>
    <row r="457" spans="1:32" ht="13">
      <c r="A457" s="2"/>
      <c r="B457" s="2"/>
      <c r="C457" s="3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</row>
    <row r="458" spans="1:32" ht="13">
      <c r="A458" s="2"/>
      <c r="B458" s="2"/>
      <c r="C458" s="3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</row>
    <row r="459" spans="1:32" ht="13">
      <c r="A459" s="2"/>
      <c r="B459" s="2"/>
      <c r="C459" s="3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</row>
    <row r="460" spans="1:32" ht="13">
      <c r="A460" s="2"/>
      <c r="B460" s="2"/>
      <c r="C460" s="3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</row>
    <row r="461" spans="1:32" ht="13">
      <c r="A461" s="2"/>
      <c r="B461" s="2"/>
      <c r="C461" s="3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</row>
    <row r="462" spans="1:32" ht="13">
      <c r="A462" s="2"/>
      <c r="B462" s="2"/>
      <c r="C462" s="3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</row>
    <row r="463" spans="1:32" ht="13">
      <c r="A463" s="2"/>
      <c r="B463" s="2"/>
      <c r="C463" s="3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</row>
    <row r="464" spans="1:32" ht="13">
      <c r="A464" s="2"/>
      <c r="B464" s="2"/>
      <c r="C464" s="3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</row>
    <row r="465" spans="1:32" ht="13">
      <c r="A465" s="2"/>
      <c r="B465" s="2"/>
      <c r="C465" s="3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</row>
    <row r="466" spans="1:32" ht="13">
      <c r="A466" s="2"/>
      <c r="B466" s="2"/>
      <c r="C466" s="3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</row>
    <row r="467" spans="1:32" ht="13">
      <c r="A467" s="2"/>
      <c r="B467" s="2"/>
      <c r="C467" s="3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</row>
    <row r="468" spans="1:32" ht="13">
      <c r="A468" s="2"/>
      <c r="B468" s="2"/>
      <c r="C468" s="3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</row>
    <row r="469" spans="1:32" ht="13">
      <c r="A469" s="2"/>
      <c r="B469" s="2"/>
      <c r="C469" s="3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</row>
    <row r="470" spans="1:32" ht="13">
      <c r="A470" s="2"/>
      <c r="B470" s="2"/>
      <c r="C470" s="3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</row>
    <row r="471" spans="1:32" ht="13">
      <c r="A471" s="2"/>
      <c r="B471" s="2"/>
      <c r="C471" s="3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</row>
    <row r="472" spans="1:32" ht="13">
      <c r="A472" s="2"/>
      <c r="B472" s="2"/>
      <c r="C472" s="3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</row>
    <row r="473" spans="1:32" ht="13">
      <c r="A473" s="2"/>
      <c r="B473" s="2"/>
      <c r="C473" s="3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</row>
    <row r="474" spans="1:32" ht="13">
      <c r="A474" s="2"/>
      <c r="B474" s="2"/>
      <c r="C474" s="3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</row>
    <row r="475" spans="1:32" ht="13">
      <c r="A475" s="2"/>
      <c r="B475" s="2"/>
      <c r="C475" s="3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</row>
    <row r="476" spans="1:32" ht="13">
      <c r="A476" s="2"/>
      <c r="B476" s="2"/>
      <c r="C476" s="3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</row>
    <row r="477" spans="1:32" ht="13">
      <c r="A477" s="2"/>
      <c r="B477" s="2"/>
      <c r="C477" s="3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</row>
    <row r="478" spans="1:32" ht="13">
      <c r="A478" s="2"/>
      <c r="B478" s="2"/>
      <c r="C478" s="3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</row>
    <row r="479" spans="1:32" ht="13">
      <c r="A479" s="2"/>
      <c r="B479" s="2"/>
      <c r="C479" s="3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</row>
    <row r="480" spans="1:32" ht="13">
      <c r="A480" s="2"/>
      <c r="B480" s="2"/>
      <c r="C480" s="3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</row>
    <row r="481" spans="1:32" ht="13">
      <c r="A481" s="2"/>
      <c r="B481" s="2"/>
      <c r="C481" s="3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</row>
    <row r="482" spans="1:32" ht="13">
      <c r="A482" s="2"/>
      <c r="B482" s="2"/>
      <c r="C482" s="3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</row>
    <row r="483" spans="1:32" ht="13">
      <c r="A483" s="2"/>
      <c r="B483" s="2"/>
      <c r="C483" s="3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</row>
    <row r="484" spans="1:32" ht="13">
      <c r="A484" s="2"/>
      <c r="B484" s="2"/>
      <c r="C484" s="3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</row>
    <row r="485" spans="1:32" ht="13">
      <c r="A485" s="2"/>
      <c r="B485" s="2"/>
      <c r="C485" s="3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</row>
    <row r="486" spans="1:32" ht="13">
      <c r="A486" s="2"/>
      <c r="B486" s="2"/>
      <c r="C486" s="3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</row>
    <row r="487" spans="1:32" ht="13">
      <c r="A487" s="2"/>
      <c r="B487" s="2"/>
      <c r="C487" s="3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</row>
    <row r="488" spans="1:32" ht="13">
      <c r="A488" s="2"/>
      <c r="B488" s="2"/>
      <c r="C488" s="3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</row>
    <row r="489" spans="1:32" ht="13">
      <c r="A489" s="2"/>
      <c r="B489" s="2"/>
      <c r="C489" s="3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</row>
    <row r="490" spans="1:32" ht="13">
      <c r="A490" s="2"/>
      <c r="B490" s="2"/>
      <c r="C490" s="3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</row>
    <row r="491" spans="1:32" ht="13">
      <c r="A491" s="2"/>
      <c r="B491" s="2"/>
      <c r="C491" s="3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</row>
    <row r="492" spans="1:32" ht="13">
      <c r="A492" s="2"/>
      <c r="B492" s="2"/>
      <c r="C492" s="3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</row>
    <row r="493" spans="1:32" ht="13">
      <c r="A493" s="2"/>
      <c r="B493" s="2"/>
      <c r="C493" s="3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</row>
    <row r="494" spans="1:32" ht="13">
      <c r="A494" s="2"/>
      <c r="B494" s="2"/>
      <c r="C494" s="3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</row>
    <row r="495" spans="1:32" ht="13">
      <c r="A495" s="2"/>
      <c r="B495" s="2"/>
      <c r="C495" s="3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</row>
    <row r="496" spans="1:32" ht="13">
      <c r="A496" s="2"/>
      <c r="B496" s="2"/>
      <c r="C496" s="3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</row>
    <row r="497" spans="1:32" ht="13">
      <c r="A497" s="2"/>
      <c r="B497" s="2"/>
      <c r="C497" s="3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</row>
    <row r="498" spans="1:32" ht="13">
      <c r="A498" s="2"/>
      <c r="B498" s="2"/>
      <c r="C498" s="3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</row>
    <row r="499" spans="1:32" ht="13">
      <c r="A499" s="2"/>
      <c r="B499" s="2"/>
      <c r="C499" s="3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</row>
    <row r="500" spans="1:32" ht="13">
      <c r="A500" s="2"/>
      <c r="B500" s="2"/>
      <c r="C500" s="3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</row>
    <row r="501" spans="1:32" ht="13">
      <c r="A501" s="2"/>
      <c r="B501" s="2"/>
      <c r="C501" s="3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</row>
    <row r="502" spans="1:32" ht="13">
      <c r="A502" s="2"/>
      <c r="B502" s="2"/>
      <c r="C502" s="3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</row>
    <row r="503" spans="1:32" ht="13">
      <c r="A503" s="2"/>
      <c r="B503" s="2"/>
      <c r="C503" s="3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</row>
    <row r="504" spans="1:32" ht="13">
      <c r="A504" s="2"/>
      <c r="B504" s="2"/>
      <c r="C504" s="3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</row>
    <row r="505" spans="1:32" ht="13">
      <c r="A505" s="2"/>
      <c r="B505" s="2"/>
      <c r="C505" s="3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</row>
    <row r="506" spans="1:32" ht="13">
      <c r="A506" s="2"/>
      <c r="B506" s="2"/>
      <c r="C506" s="3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</row>
    <row r="507" spans="1:32" ht="13">
      <c r="A507" s="2"/>
      <c r="B507" s="2"/>
      <c r="C507" s="3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</row>
    <row r="508" spans="1:32" ht="13">
      <c r="A508" s="2"/>
      <c r="B508" s="2"/>
      <c r="C508" s="3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</row>
    <row r="509" spans="1:32" ht="13">
      <c r="A509" s="2"/>
      <c r="B509" s="2"/>
      <c r="C509" s="3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</row>
    <row r="510" spans="1:32" ht="13">
      <c r="A510" s="2"/>
      <c r="B510" s="2"/>
      <c r="C510" s="3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</row>
    <row r="511" spans="1:32" ht="13">
      <c r="A511" s="2"/>
      <c r="B511" s="2"/>
      <c r="C511" s="3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</row>
    <row r="512" spans="1:32" ht="13">
      <c r="A512" s="2"/>
      <c r="B512" s="2"/>
      <c r="C512" s="3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</row>
    <row r="513" spans="1:32" ht="13">
      <c r="A513" s="2"/>
      <c r="B513" s="2"/>
      <c r="C513" s="3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</row>
    <row r="514" spans="1:32" ht="13">
      <c r="A514" s="2"/>
      <c r="B514" s="2"/>
      <c r="C514" s="3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</row>
    <row r="515" spans="1:32" ht="13">
      <c r="A515" s="2"/>
      <c r="B515" s="2"/>
      <c r="C515" s="3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</row>
    <row r="516" spans="1:32" ht="13">
      <c r="A516" s="2"/>
      <c r="B516" s="2"/>
      <c r="C516" s="3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</row>
    <row r="517" spans="1:32" ht="13">
      <c r="A517" s="2"/>
      <c r="B517" s="2"/>
      <c r="C517" s="3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</row>
    <row r="518" spans="1:32" ht="13">
      <c r="A518" s="2"/>
      <c r="B518" s="2"/>
      <c r="C518" s="3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</row>
    <row r="519" spans="1:32" ht="13">
      <c r="A519" s="2"/>
      <c r="B519" s="2"/>
      <c r="C519" s="3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</row>
    <row r="520" spans="1:32" ht="13">
      <c r="A520" s="2"/>
      <c r="B520" s="2"/>
      <c r="C520" s="3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</row>
    <row r="521" spans="1:32" ht="13">
      <c r="A521" s="2"/>
      <c r="B521" s="2"/>
      <c r="C521" s="3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</row>
    <row r="522" spans="1:32" ht="13">
      <c r="A522" s="2"/>
      <c r="B522" s="2"/>
      <c r="C522" s="3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</row>
    <row r="523" spans="1:32" ht="13">
      <c r="A523" s="2"/>
      <c r="B523" s="2"/>
      <c r="C523" s="3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</row>
    <row r="524" spans="1:32" ht="13">
      <c r="A524" s="2"/>
      <c r="B524" s="2"/>
      <c r="C524" s="3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</row>
    <row r="525" spans="1:32" ht="13">
      <c r="A525" s="2"/>
      <c r="B525" s="2"/>
      <c r="C525" s="3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</row>
    <row r="526" spans="1:32" ht="13">
      <c r="A526" s="2"/>
      <c r="B526" s="2"/>
      <c r="C526" s="3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</row>
    <row r="527" spans="1:32" ht="13">
      <c r="A527" s="2"/>
      <c r="B527" s="2"/>
      <c r="C527" s="3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</row>
    <row r="528" spans="1:32" ht="13">
      <c r="A528" s="2"/>
      <c r="B528" s="2"/>
      <c r="C528" s="3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</row>
    <row r="529" spans="1:32" ht="13">
      <c r="A529" s="2"/>
      <c r="B529" s="2"/>
      <c r="C529" s="3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</row>
    <row r="530" spans="1:32" ht="13">
      <c r="A530" s="2"/>
      <c r="B530" s="2"/>
      <c r="C530" s="3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</row>
    <row r="531" spans="1:32" ht="13">
      <c r="A531" s="2"/>
      <c r="B531" s="2"/>
      <c r="C531" s="3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</row>
    <row r="532" spans="1:32" ht="13">
      <c r="A532" s="2"/>
      <c r="B532" s="2"/>
      <c r="C532" s="3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</row>
    <row r="533" spans="1:32" ht="13">
      <c r="A533" s="2"/>
      <c r="B533" s="2"/>
      <c r="C533" s="3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</row>
    <row r="534" spans="1:32" ht="13">
      <c r="A534" s="2"/>
      <c r="B534" s="2"/>
      <c r="C534" s="3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</row>
    <row r="535" spans="1:32" ht="13">
      <c r="A535" s="2"/>
      <c r="B535" s="2"/>
      <c r="C535" s="3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</row>
    <row r="536" spans="1:32" ht="13">
      <c r="A536" s="2"/>
      <c r="B536" s="2"/>
      <c r="C536" s="3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</row>
    <row r="537" spans="1:32" ht="13">
      <c r="A537" s="2"/>
      <c r="B537" s="2"/>
      <c r="C537" s="3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</row>
    <row r="538" spans="1:32" ht="13">
      <c r="A538" s="2"/>
      <c r="B538" s="2"/>
      <c r="C538" s="3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</row>
    <row r="539" spans="1:32" ht="13">
      <c r="A539" s="2"/>
      <c r="B539" s="2"/>
      <c r="C539" s="3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</row>
    <row r="540" spans="1:32" ht="13">
      <c r="A540" s="2"/>
      <c r="B540" s="2"/>
      <c r="C540" s="3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</row>
    <row r="541" spans="1:32" ht="13">
      <c r="A541" s="2"/>
      <c r="B541" s="2"/>
      <c r="C541" s="3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</row>
    <row r="542" spans="1:32" ht="13">
      <c r="A542" s="2"/>
      <c r="B542" s="2"/>
      <c r="C542" s="3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</row>
    <row r="543" spans="1:32" ht="13">
      <c r="A543" s="2"/>
      <c r="B543" s="2"/>
      <c r="C543" s="3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</row>
    <row r="544" spans="1:32" ht="13">
      <c r="A544" s="2"/>
      <c r="B544" s="2"/>
      <c r="C544" s="3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</row>
    <row r="545" spans="1:32" ht="13">
      <c r="A545" s="2"/>
      <c r="B545" s="2"/>
      <c r="C545" s="3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</row>
    <row r="546" spans="1:32" ht="13">
      <c r="A546" s="2"/>
      <c r="B546" s="2"/>
      <c r="C546" s="3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</row>
    <row r="547" spans="1:32" ht="13">
      <c r="A547" s="2"/>
      <c r="B547" s="2"/>
      <c r="C547" s="3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</row>
    <row r="548" spans="1:32" ht="13">
      <c r="A548" s="2"/>
      <c r="B548" s="2"/>
      <c r="C548" s="3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</row>
    <row r="549" spans="1:32" ht="13">
      <c r="A549" s="2"/>
      <c r="B549" s="2"/>
      <c r="C549" s="3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</row>
    <row r="550" spans="1:32" ht="13">
      <c r="A550" s="2"/>
      <c r="B550" s="2"/>
      <c r="C550" s="3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</row>
    <row r="551" spans="1:32" ht="13">
      <c r="A551" s="2"/>
      <c r="B551" s="2"/>
      <c r="C551" s="3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</row>
    <row r="552" spans="1:32" ht="13">
      <c r="A552" s="2"/>
      <c r="B552" s="2"/>
      <c r="C552" s="3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</row>
    <row r="553" spans="1:32" ht="13">
      <c r="A553" s="2"/>
      <c r="B553" s="2"/>
      <c r="C553" s="3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</row>
    <row r="554" spans="1:32" ht="13">
      <c r="A554" s="2"/>
      <c r="B554" s="2"/>
      <c r="C554" s="3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</row>
    <row r="555" spans="1:32" ht="13">
      <c r="A555" s="2"/>
      <c r="B555" s="2"/>
      <c r="C555" s="3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</row>
    <row r="556" spans="1:32" ht="13">
      <c r="A556" s="2"/>
      <c r="B556" s="2"/>
      <c r="C556" s="3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</row>
    <row r="557" spans="1:32" ht="13">
      <c r="A557" s="2"/>
      <c r="B557" s="2"/>
      <c r="C557" s="3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</row>
    <row r="558" spans="1:32" ht="13">
      <c r="A558" s="2"/>
      <c r="B558" s="2"/>
      <c r="C558" s="3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</row>
    <row r="559" spans="1:32" ht="13">
      <c r="A559" s="2"/>
      <c r="B559" s="2"/>
      <c r="C559" s="3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</row>
    <row r="560" spans="1:32" ht="13">
      <c r="A560" s="2"/>
      <c r="B560" s="2"/>
      <c r="C560" s="3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</row>
    <row r="561" spans="1:32" ht="13">
      <c r="A561" s="2"/>
      <c r="B561" s="2"/>
      <c r="C561" s="3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</row>
    <row r="562" spans="1:32" ht="13">
      <c r="A562" s="2"/>
      <c r="B562" s="2"/>
      <c r="C562" s="3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</row>
    <row r="563" spans="1:32" ht="13">
      <c r="A563" s="2"/>
      <c r="B563" s="2"/>
      <c r="C563" s="3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</row>
    <row r="564" spans="1:32" ht="13">
      <c r="A564" s="2"/>
      <c r="B564" s="2"/>
      <c r="C564" s="3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</row>
    <row r="565" spans="1:32" ht="13">
      <c r="A565" s="2"/>
      <c r="B565" s="2"/>
      <c r="C565" s="3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</row>
    <row r="566" spans="1:32" ht="13">
      <c r="A566" s="2"/>
      <c r="B566" s="2"/>
      <c r="C566" s="3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</row>
    <row r="567" spans="1:32" ht="13">
      <c r="A567" s="2"/>
      <c r="B567" s="2"/>
      <c r="C567" s="3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</row>
    <row r="568" spans="1:32" ht="13">
      <c r="A568" s="2"/>
      <c r="B568" s="2"/>
      <c r="C568" s="3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</row>
    <row r="569" spans="1:32" ht="13">
      <c r="A569" s="2"/>
      <c r="B569" s="2"/>
      <c r="C569" s="3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</row>
    <row r="570" spans="1:32" ht="13">
      <c r="A570" s="2"/>
      <c r="B570" s="2"/>
      <c r="C570" s="3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</row>
    <row r="571" spans="1:32" ht="13">
      <c r="A571" s="2"/>
      <c r="B571" s="2"/>
      <c r="C571" s="3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</row>
    <row r="572" spans="1:32" ht="13">
      <c r="A572" s="2"/>
      <c r="B572" s="2"/>
      <c r="C572" s="3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</row>
    <row r="573" spans="1:32" ht="13">
      <c r="A573" s="2"/>
      <c r="B573" s="2"/>
      <c r="C573" s="3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</row>
    <row r="574" spans="1:32" ht="13">
      <c r="A574" s="2"/>
      <c r="B574" s="2"/>
      <c r="C574" s="3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</row>
    <row r="575" spans="1:32" ht="13">
      <c r="A575" s="2"/>
      <c r="B575" s="2"/>
      <c r="C575" s="3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</row>
    <row r="576" spans="1:32" ht="13">
      <c r="A576" s="2"/>
      <c r="B576" s="2"/>
      <c r="C576" s="3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</row>
    <row r="577" spans="1:32" ht="13">
      <c r="A577" s="2"/>
      <c r="B577" s="2"/>
      <c r="C577" s="3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</row>
    <row r="578" spans="1:32" ht="13">
      <c r="A578" s="2"/>
      <c r="B578" s="2"/>
      <c r="C578" s="3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</row>
    <row r="579" spans="1:32" ht="13">
      <c r="A579" s="2"/>
      <c r="B579" s="2"/>
      <c r="C579" s="3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</row>
    <row r="580" spans="1:32" ht="13">
      <c r="A580" s="2"/>
      <c r="B580" s="2"/>
      <c r="C580" s="3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</row>
    <row r="581" spans="1:32" ht="13">
      <c r="A581" s="2"/>
      <c r="B581" s="2"/>
      <c r="C581" s="3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</row>
    <row r="582" spans="1:32" ht="13">
      <c r="A582" s="2"/>
      <c r="B582" s="2"/>
      <c r="C582" s="3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</row>
    <row r="583" spans="1:32" ht="13">
      <c r="A583" s="2"/>
      <c r="B583" s="2"/>
      <c r="C583" s="3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</row>
    <row r="584" spans="1:32" ht="13">
      <c r="A584" s="2"/>
      <c r="B584" s="2"/>
      <c r="C584" s="3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</row>
    <row r="585" spans="1:32" ht="13">
      <c r="A585" s="2"/>
      <c r="B585" s="2"/>
      <c r="C585" s="3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</row>
    <row r="586" spans="1:32" ht="13">
      <c r="A586" s="2"/>
      <c r="B586" s="2"/>
      <c r="C586" s="3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</row>
    <row r="587" spans="1:32" ht="13">
      <c r="A587" s="2"/>
      <c r="B587" s="2"/>
      <c r="C587" s="3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</row>
    <row r="588" spans="1:32" ht="13">
      <c r="A588" s="2"/>
      <c r="B588" s="2"/>
      <c r="C588" s="3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</row>
    <row r="589" spans="1:32" ht="13">
      <c r="A589" s="2"/>
      <c r="B589" s="2"/>
      <c r="C589" s="3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</row>
    <row r="590" spans="1:32" ht="13">
      <c r="A590" s="2"/>
      <c r="B590" s="2"/>
      <c r="C590" s="3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</row>
    <row r="591" spans="1:32" ht="13">
      <c r="A591" s="2"/>
      <c r="B591" s="2"/>
      <c r="C591" s="3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</row>
    <row r="592" spans="1:32" ht="13">
      <c r="A592" s="2"/>
      <c r="B592" s="2"/>
      <c r="C592" s="3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</row>
    <row r="593" spans="1:32" ht="13">
      <c r="A593" s="2"/>
      <c r="B593" s="2"/>
      <c r="C593" s="3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</row>
    <row r="594" spans="1:32" ht="13">
      <c r="A594" s="2"/>
      <c r="B594" s="2"/>
      <c r="C594" s="3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</row>
    <row r="595" spans="1:32" ht="13">
      <c r="A595" s="2"/>
      <c r="B595" s="2"/>
      <c r="C595" s="3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</row>
    <row r="596" spans="1:32" ht="13">
      <c r="A596" s="2"/>
      <c r="B596" s="2"/>
      <c r="C596" s="3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</row>
    <row r="597" spans="1:32" ht="13">
      <c r="A597" s="2"/>
      <c r="B597" s="2"/>
      <c r="C597" s="3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</row>
    <row r="598" spans="1:32" ht="13">
      <c r="A598" s="2"/>
      <c r="B598" s="2"/>
      <c r="C598" s="3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</row>
    <row r="599" spans="1:32" ht="13">
      <c r="A599" s="2"/>
      <c r="B599" s="2"/>
      <c r="C599" s="3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</row>
    <row r="600" spans="1:32" ht="13">
      <c r="A600" s="2"/>
      <c r="B600" s="2"/>
      <c r="C600" s="3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</row>
    <row r="601" spans="1:32" ht="13">
      <c r="A601" s="2"/>
      <c r="B601" s="2"/>
      <c r="C601" s="3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</row>
    <row r="602" spans="1:32" ht="13">
      <c r="A602" s="2"/>
      <c r="B602" s="2"/>
      <c r="C602" s="3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</row>
    <row r="603" spans="1:32" ht="13">
      <c r="A603" s="2"/>
      <c r="B603" s="2"/>
      <c r="C603" s="3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</row>
    <row r="604" spans="1:32" ht="13">
      <c r="A604" s="2"/>
      <c r="B604" s="2"/>
      <c r="C604" s="3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</row>
    <row r="605" spans="1:32" ht="13">
      <c r="A605" s="2"/>
      <c r="B605" s="2"/>
      <c r="C605" s="3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</row>
    <row r="606" spans="1:32" ht="13">
      <c r="A606" s="2"/>
      <c r="B606" s="2"/>
      <c r="C606" s="3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</row>
    <row r="607" spans="1:32" ht="13">
      <c r="A607" s="2"/>
      <c r="B607" s="2"/>
      <c r="C607" s="3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</row>
    <row r="608" spans="1:32" ht="13">
      <c r="A608" s="2"/>
      <c r="B608" s="2"/>
      <c r="C608" s="3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</row>
    <row r="609" spans="1:32" ht="13">
      <c r="A609" s="2"/>
      <c r="B609" s="2"/>
      <c r="C609" s="3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</row>
    <row r="610" spans="1:32" ht="13">
      <c r="A610" s="2"/>
      <c r="B610" s="2"/>
      <c r="C610" s="3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</row>
    <row r="611" spans="1:32" ht="13">
      <c r="A611" s="2"/>
      <c r="B611" s="2"/>
      <c r="C611" s="3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</row>
    <row r="612" spans="1:32" ht="13">
      <c r="A612" s="2"/>
      <c r="B612" s="2"/>
      <c r="C612" s="3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</row>
    <row r="613" spans="1:32" ht="13">
      <c r="A613" s="2"/>
      <c r="B613" s="2"/>
      <c r="C613" s="3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</row>
    <row r="614" spans="1:32" ht="13">
      <c r="A614" s="2"/>
      <c r="B614" s="2"/>
      <c r="C614" s="3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</row>
    <row r="615" spans="1:32" ht="13">
      <c r="A615" s="2"/>
      <c r="B615" s="2"/>
      <c r="C615" s="3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</row>
    <row r="616" spans="1:32" ht="13">
      <c r="A616" s="2"/>
      <c r="B616" s="2"/>
      <c r="C616" s="3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</row>
    <row r="617" spans="1:32" ht="13">
      <c r="A617" s="2"/>
      <c r="B617" s="2"/>
      <c r="C617" s="3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</row>
    <row r="618" spans="1:32" ht="13">
      <c r="A618" s="2"/>
      <c r="B618" s="2"/>
      <c r="C618" s="3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</row>
    <row r="619" spans="1:32" ht="13">
      <c r="A619" s="2"/>
      <c r="B619" s="2"/>
      <c r="C619" s="3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</row>
    <row r="620" spans="1:32" ht="13">
      <c r="A620" s="2"/>
      <c r="B620" s="2"/>
      <c r="C620" s="3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</row>
    <row r="621" spans="1:32" ht="13">
      <c r="A621" s="2"/>
      <c r="B621" s="2"/>
      <c r="C621" s="3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</row>
    <row r="622" spans="1:32" ht="13">
      <c r="A622" s="2"/>
      <c r="B622" s="2"/>
      <c r="C622" s="3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</row>
    <row r="623" spans="1:32" ht="13">
      <c r="A623" s="2"/>
      <c r="B623" s="2"/>
      <c r="C623" s="3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</row>
    <row r="624" spans="1:32" ht="13">
      <c r="A624" s="2"/>
      <c r="B624" s="2"/>
      <c r="C624" s="3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</row>
    <row r="625" spans="1:32" ht="13">
      <c r="A625" s="2"/>
      <c r="B625" s="2"/>
      <c r="C625" s="3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</row>
    <row r="626" spans="1:32" ht="13">
      <c r="A626" s="2"/>
      <c r="B626" s="2"/>
      <c r="C626" s="3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</row>
    <row r="627" spans="1:32" ht="13">
      <c r="A627" s="2"/>
      <c r="B627" s="2"/>
      <c r="C627" s="3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</row>
    <row r="628" spans="1:32" ht="13">
      <c r="A628" s="2"/>
      <c r="B628" s="2"/>
      <c r="C628" s="3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</row>
    <row r="629" spans="1:32" ht="13">
      <c r="A629" s="2"/>
      <c r="B629" s="2"/>
      <c r="C629" s="3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</row>
    <row r="630" spans="1:32" ht="13">
      <c r="A630" s="2"/>
      <c r="B630" s="2"/>
      <c r="C630" s="3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</row>
    <row r="631" spans="1:32" ht="13">
      <c r="A631" s="2"/>
      <c r="B631" s="2"/>
      <c r="C631" s="3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</row>
    <row r="632" spans="1:32" ht="13">
      <c r="A632" s="2"/>
      <c r="B632" s="2"/>
      <c r="C632" s="3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</row>
    <row r="633" spans="1:32" ht="13">
      <c r="A633" s="2"/>
      <c r="B633" s="2"/>
      <c r="C633" s="3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</row>
    <row r="634" spans="1:32" ht="13">
      <c r="A634" s="2"/>
      <c r="B634" s="2"/>
      <c r="C634" s="3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</row>
    <row r="635" spans="1:32" ht="13">
      <c r="A635" s="2"/>
      <c r="B635" s="2"/>
      <c r="C635" s="3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</row>
    <row r="636" spans="1:32" ht="13">
      <c r="A636" s="2"/>
      <c r="B636" s="2"/>
      <c r="C636" s="3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</row>
    <row r="637" spans="1:32" ht="13">
      <c r="A637" s="2"/>
      <c r="B637" s="2"/>
      <c r="C637" s="3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</row>
    <row r="638" spans="1:32" ht="13">
      <c r="A638" s="2"/>
      <c r="B638" s="2"/>
      <c r="C638" s="3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</row>
    <row r="639" spans="1:32" ht="13">
      <c r="A639" s="2"/>
      <c r="B639" s="2"/>
      <c r="C639" s="3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</row>
    <row r="640" spans="1:32" ht="13">
      <c r="A640" s="2"/>
      <c r="B640" s="2"/>
      <c r="C640" s="3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</row>
    <row r="641" spans="1:32" ht="13">
      <c r="A641" s="2"/>
      <c r="B641" s="2"/>
      <c r="C641" s="3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</row>
    <row r="642" spans="1:32" ht="13">
      <c r="A642" s="2"/>
      <c r="B642" s="2"/>
      <c r="C642" s="3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</row>
    <row r="643" spans="1:32" ht="13">
      <c r="A643" s="2"/>
      <c r="B643" s="2"/>
      <c r="C643" s="3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</row>
    <row r="644" spans="1:32" ht="13">
      <c r="A644" s="2"/>
      <c r="B644" s="2"/>
      <c r="C644" s="3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</row>
    <row r="645" spans="1:32" ht="13">
      <c r="A645" s="2"/>
      <c r="B645" s="2"/>
      <c r="C645" s="3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</row>
    <row r="646" spans="1:32" ht="13">
      <c r="A646" s="2"/>
      <c r="B646" s="2"/>
      <c r="C646" s="3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</row>
    <row r="647" spans="1:32" ht="13">
      <c r="A647" s="2"/>
      <c r="B647" s="2"/>
      <c r="C647" s="3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</row>
    <row r="648" spans="1:32" ht="13">
      <c r="A648" s="2"/>
      <c r="B648" s="2"/>
      <c r="C648" s="3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</row>
    <row r="649" spans="1:32" ht="13">
      <c r="A649" s="2"/>
      <c r="B649" s="2"/>
      <c r="C649" s="3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</row>
    <row r="650" spans="1:32" ht="13">
      <c r="A650" s="2"/>
      <c r="B650" s="2"/>
      <c r="C650" s="3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</row>
    <row r="651" spans="1:32" ht="13">
      <c r="A651" s="2"/>
      <c r="B651" s="2"/>
      <c r="C651" s="3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</row>
    <row r="652" spans="1:32" ht="13">
      <c r="A652" s="2"/>
      <c r="B652" s="2"/>
      <c r="C652" s="3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</row>
    <row r="653" spans="1:32" ht="13">
      <c r="A653" s="2"/>
      <c r="B653" s="2"/>
      <c r="C653" s="3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</row>
    <row r="654" spans="1:32" ht="13">
      <c r="A654" s="2"/>
      <c r="B654" s="2"/>
      <c r="C654" s="3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</row>
    <row r="655" spans="1:32" ht="13">
      <c r="A655" s="2"/>
      <c r="B655" s="2"/>
      <c r="C655" s="3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</row>
    <row r="656" spans="1:32" ht="13">
      <c r="A656" s="2"/>
      <c r="B656" s="2"/>
      <c r="C656" s="3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</row>
    <row r="657" spans="1:32" ht="13">
      <c r="A657" s="2"/>
      <c r="B657" s="2"/>
      <c r="C657" s="3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</row>
    <row r="658" spans="1:32" ht="13">
      <c r="A658" s="2"/>
      <c r="B658" s="2"/>
      <c r="C658" s="3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</row>
    <row r="659" spans="1:32" ht="13">
      <c r="A659" s="2"/>
      <c r="B659" s="2"/>
      <c r="C659" s="3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</row>
    <row r="660" spans="1:32" ht="13">
      <c r="A660" s="2"/>
      <c r="B660" s="2"/>
      <c r="C660" s="3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</row>
    <row r="661" spans="1:32" ht="13">
      <c r="A661" s="2"/>
      <c r="B661" s="2"/>
      <c r="C661" s="3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</row>
    <row r="662" spans="1:32" ht="13">
      <c r="A662" s="2"/>
      <c r="B662" s="2"/>
      <c r="C662" s="3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</row>
    <row r="663" spans="1:32" ht="13">
      <c r="A663" s="2"/>
      <c r="B663" s="2"/>
      <c r="C663" s="3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</row>
    <row r="664" spans="1:32" ht="13">
      <c r="A664" s="2"/>
      <c r="B664" s="2"/>
      <c r="C664" s="3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</row>
    <row r="665" spans="1:32" ht="13">
      <c r="A665" s="2"/>
      <c r="B665" s="2"/>
      <c r="C665" s="3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</row>
    <row r="666" spans="1:32" ht="13">
      <c r="A666" s="2"/>
      <c r="B666" s="2"/>
      <c r="C666" s="3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</row>
    <row r="667" spans="1:32" ht="13">
      <c r="A667" s="2"/>
      <c r="B667" s="2"/>
      <c r="C667" s="3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</row>
    <row r="668" spans="1:32" ht="13">
      <c r="A668" s="2"/>
      <c r="B668" s="2"/>
      <c r="C668" s="3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</row>
    <row r="669" spans="1:32" ht="13">
      <c r="A669" s="2"/>
      <c r="B669" s="2"/>
      <c r="C669" s="3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</row>
    <row r="670" spans="1:32" ht="13">
      <c r="A670" s="2"/>
      <c r="B670" s="2"/>
      <c r="C670" s="3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</row>
    <row r="671" spans="1:32" ht="13">
      <c r="A671" s="2"/>
      <c r="B671" s="2"/>
      <c r="C671" s="3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</row>
    <row r="672" spans="1:32" ht="13">
      <c r="A672" s="2"/>
      <c r="B672" s="2"/>
      <c r="C672" s="3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</row>
    <row r="673" spans="1:32" ht="13">
      <c r="A673" s="2"/>
      <c r="B673" s="2"/>
      <c r="C673" s="3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</row>
    <row r="674" spans="1:32" ht="13">
      <c r="A674" s="2"/>
      <c r="B674" s="2"/>
      <c r="C674" s="3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</row>
    <row r="675" spans="1:32" ht="13">
      <c r="A675" s="2"/>
      <c r="B675" s="2"/>
      <c r="C675" s="3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</row>
    <row r="676" spans="1:32" ht="13">
      <c r="A676" s="2"/>
      <c r="B676" s="2"/>
      <c r="C676" s="3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</row>
    <row r="677" spans="1:32" ht="13">
      <c r="A677" s="2"/>
      <c r="B677" s="2"/>
      <c r="C677" s="3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</row>
    <row r="678" spans="1:32" ht="13">
      <c r="A678" s="2"/>
      <c r="B678" s="2"/>
      <c r="C678" s="3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</row>
    <row r="679" spans="1:32" ht="13">
      <c r="A679" s="2"/>
      <c r="B679" s="2"/>
      <c r="C679" s="3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</row>
    <row r="680" spans="1:32" ht="13">
      <c r="A680" s="2"/>
      <c r="B680" s="2"/>
      <c r="C680" s="3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</row>
    <row r="681" spans="1:32" ht="13">
      <c r="A681" s="2"/>
      <c r="B681" s="2"/>
      <c r="C681" s="3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</row>
    <row r="682" spans="1:32" ht="13">
      <c r="A682" s="2"/>
      <c r="B682" s="2"/>
      <c r="C682" s="3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</row>
    <row r="683" spans="1:32" ht="13">
      <c r="A683" s="2"/>
      <c r="B683" s="2"/>
      <c r="C683" s="3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</row>
    <row r="684" spans="1:32" ht="13">
      <c r="A684" s="2"/>
      <c r="B684" s="2"/>
      <c r="C684" s="3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</row>
    <row r="685" spans="1:32" ht="13">
      <c r="A685" s="2"/>
      <c r="B685" s="2"/>
      <c r="C685" s="3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</row>
    <row r="686" spans="1:32" ht="13">
      <c r="A686" s="2"/>
      <c r="B686" s="2"/>
      <c r="C686" s="3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</row>
    <row r="687" spans="1:32" ht="13">
      <c r="A687" s="2"/>
      <c r="B687" s="2"/>
      <c r="C687" s="3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</row>
    <row r="688" spans="1:32" ht="13">
      <c r="A688" s="2"/>
      <c r="B688" s="2"/>
      <c r="C688" s="3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</row>
    <row r="689" spans="1:32" ht="13">
      <c r="A689" s="2"/>
      <c r="B689" s="2"/>
      <c r="C689" s="3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</row>
    <row r="690" spans="1:32" ht="13">
      <c r="A690" s="2"/>
      <c r="B690" s="2"/>
      <c r="C690" s="3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</row>
    <row r="691" spans="1:32" ht="13">
      <c r="A691" s="2"/>
      <c r="B691" s="2"/>
      <c r="C691" s="3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</row>
    <row r="692" spans="1:32" ht="13">
      <c r="A692" s="2"/>
      <c r="B692" s="2"/>
      <c r="C692" s="3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</row>
    <row r="693" spans="1:32" ht="13">
      <c r="A693" s="2"/>
      <c r="B693" s="2"/>
      <c r="C693" s="3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</row>
    <row r="694" spans="1:32" ht="13">
      <c r="A694" s="2"/>
      <c r="B694" s="2"/>
      <c r="C694" s="3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</row>
    <row r="695" spans="1:32" ht="13">
      <c r="A695" s="2"/>
      <c r="B695" s="2"/>
      <c r="C695" s="3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</row>
    <row r="696" spans="1:32" ht="13">
      <c r="A696" s="2"/>
      <c r="B696" s="2"/>
      <c r="C696" s="3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</row>
    <row r="697" spans="1:32" ht="13">
      <c r="A697" s="2"/>
      <c r="B697" s="2"/>
      <c r="C697" s="3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</row>
    <row r="698" spans="1:32" ht="13">
      <c r="A698" s="2"/>
      <c r="B698" s="2"/>
      <c r="C698" s="3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</row>
    <row r="699" spans="1:32" ht="13">
      <c r="A699" s="2"/>
      <c r="B699" s="2"/>
      <c r="C699" s="3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</row>
    <row r="700" spans="1:32" ht="13">
      <c r="A700" s="2"/>
      <c r="B700" s="2"/>
      <c r="C700" s="3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</row>
    <row r="701" spans="1:32" ht="13">
      <c r="A701" s="2"/>
      <c r="B701" s="2"/>
      <c r="C701" s="3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</row>
    <row r="702" spans="1:32" ht="13">
      <c r="A702" s="2"/>
      <c r="B702" s="2"/>
      <c r="C702" s="3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</row>
    <row r="703" spans="1:32" ht="13">
      <c r="A703" s="2"/>
      <c r="B703" s="2"/>
      <c r="C703" s="3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</row>
    <row r="704" spans="1:32" ht="13">
      <c r="A704" s="2"/>
      <c r="B704" s="2"/>
      <c r="C704" s="3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</row>
    <row r="705" spans="1:32" ht="13">
      <c r="A705" s="2"/>
      <c r="B705" s="2"/>
      <c r="C705" s="3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</row>
    <row r="706" spans="1:32" ht="13">
      <c r="A706" s="2"/>
      <c r="B706" s="2"/>
      <c r="C706" s="3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</row>
    <row r="707" spans="1:32" ht="13">
      <c r="A707" s="2"/>
      <c r="B707" s="2"/>
      <c r="C707" s="3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</row>
    <row r="708" spans="1:32" ht="13">
      <c r="A708" s="2"/>
      <c r="B708" s="2"/>
      <c r="C708" s="3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</row>
    <row r="709" spans="1:32" ht="13">
      <c r="A709" s="2"/>
      <c r="B709" s="2"/>
      <c r="C709" s="3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</row>
    <row r="710" spans="1:32" ht="13">
      <c r="A710" s="2"/>
      <c r="B710" s="2"/>
      <c r="C710" s="3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</row>
    <row r="711" spans="1:32" ht="13">
      <c r="A711" s="2"/>
      <c r="B711" s="2"/>
      <c r="C711" s="3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</row>
    <row r="712" spans="1:32" ht="13">
      <c r="A712" s="2"/>
      <c r="B712" s="2"/>
      <c r="C712" s="3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</row>
    <row r="713" spans="1:32" ht="13">
      <c r="A713" s="2"/>
      <c r="B713" s="2"/>
      <c r="C713" s="3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</row>
    <row r="714" spans="1:32" ht="13">
      <c r="A714" s="2"/>
      <c r="B714" s="2"/>
      <c r="C714" s="3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</row>
    <row r="715" spans="1:32" ht="13">
      <c r="A715" s="2"/>
      <c r="B715" s="2"/>
      <c r="C715" s="3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</row>
    <row r="716" spans="1:32" ht="13">
      <c r="A716" s="2"/>
      <c r="B716" s="2"/>
      <c r="C716" s="3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</row>
    <row r="717" spans="1:32" ht="13">
      <c r="A717" s="2"/>
      <c r="B717" s="2"/>
      <c r="C717" s="3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</row>
    <row r="718" spans="1:32" ht="13">
      <c r="A718" s="2"/>
      <c r="B718" s="2"/>
      <c r="C718" s="3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</row>
    <row r="719" spans="1:32" ht="13">
      <c r="A719" s="2"/>
      <c r="B719" s="2"/>
      <c r="C719" s="3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</row>
    <row r="720" spans="1:32" ht="13">
      <c r="A720" s="2"/>
      <c r="B720" s="2"/>
      <c r="C720" s="3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</row>
    <row r="721" spans="1:32" ht="13">
      <c r="A721" s="2"/>
      <c r="B721" s="2"/>
      <c r="C721" s="3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</row>
    <row r="722" spans="1:32" ht="13">
      <c r="A722" s="2"/>
      <c r="B722" s="2"/>
      <c r="C722" s="3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</row>
    <row r="723" spans="1:32" ht="13">
      <c r="A723" s="2"/>
      <c r="B723" s="2"/>
      <c r="C723" s="3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</row>
    <row r="724" spans="1:32" ht="13">
      <c r="A724" s="2"/>
      <c r="B724" s="2"/>
      <c r="C724" s="3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</row>
    <row r="725" spans="1:32" ht="13">
      <c r="A725" s="2"/>
      <c r="B725" s="2"/>
      <c r="C725" s="3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</row>
    <row r="726" spans="1:32" ht="13">
      <c r="A726" s="2"/>
      <c r="B726" s="2"/>
      <c r="C726" s="3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</row>
    <row r="727" spans="1:32" ht="13">
      <c r="A727" s="2"/>
      <c r="B727" s="2"/>
      <c r="C727" s="3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</row>
    <row r="728" spans="1:32" ht="13">
      <c r="A728" s="2"/>
      <c r="B728" s="2"/>
      <c r="C728" s="3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</row>
    <row r="729" spans="1:32" ht="13">
      <c r="A729" s="2"/>
      <c r="B729" s="2"/>
      <c r="C729" s="3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</row>
    <row r="730" spans="1:32" ht="13">
      <c r="A730" s="2"/>
      <c r="B730" s="2"/>
      <c r="C730" s="3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</row>
    <row r="731" spans="1:32" ht="13">
      <c r="A731" s="2"/>
      <c r="B731" s="2"/>
      <c r="C731" s="3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</row>
    <row r="732" spans="1:32" ht="13">
      <c r="A732" s="2"/>
      <c r="B732" s="2"/>
      <c r="C732" s="3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</row>
    <row r="733" spans="1:32" ht="13">
      <c r="A733" s="2"/>
      <c r="B733" s="2"/>
      <c r="C733" s="3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</row>
    <row r="734" spans="1:32" ht="13">
      <c r="A734" s="2"/>
      <c r="B734" s="2"/>
      <c r="C734" s="3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</row>
    <row r="735" spans="1:32" ht="13">
      <c r="A735" s="2"/>
      <c r="B735" s="2"/>
      <c r="C735" s="3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</row>
    <row r="736" spans="1:32" ht="13">
      <c r="A736" s="2"/>
      <c r="B736" s="2"/>
      <c r="C736" s="3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</row>
    <row r="737" spans="1:32" ht="13">
      <c r="A737" s="2"/>
      <c r="B737" s="2"/>
      <c r="C737" s="3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</row>
    <row r="738" spans="1:32" ht="13">
      <c r="A738" s="2"/>
      <c r="B738" s="2"/>
      <c r="C738" s="3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</row>
    <row r="739" spans="1:32" ht="13">
      <c r="A739" s="2"/>
      <c r="B739" s="2"/>
      <c r="C739" s="3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</row>
    <row r="740" spans="1:32" ht="13">
      <c r="A740" s="2"/>
      <c r="B740" s="2"/>
      <c r="C740" s="3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</row>
    <row r="741" spans="1:32" ht="13">
      <c r="A741" s="2"/>
      <c r="B741" s="2"/>
      <c r="C741" s="3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</row>
    <row r="742" spans="1:32" ht="13">
      <c r="A742" s="2"/>
      <c r="B742" s="2"/>
      <c r="C742" s="3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</row>
    <row r="743" spans="1:32" ht="13">
      <c r="A743" s="2"/>
      <c r="B743" s="2"/>
      <c r="C743" s="3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</row>
    <row r="744" spans="1:32" ht="13">
      <c r="A744" s="2"/>
      <c r="B744" s="2"/>
      <c r="C744" s="3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</row>
    <row r="745" spans="1:32" ht="13">
      <c r="A745" s="2"/>
      <c r="B745" s="2"/>
      <c r="C745" s="3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</row>
    <row r="746" spans="1:32" ht="13">
      <c r="A746" s="2"/>
      <c r="B746" s="2"/>
      <c r="C746" s="3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</row>
    <row r="747" spans="1:32" ht="13">
      <c r="A747" s="2"/>
      <c r="B747" s="2"/>
      <c r="C747" s="3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</row>
    <row r="748" spans="1:32" ht="13">
      <c r="A748" s="2"/>
      <c r="B748" s="2"/>
      <c r="C748" s="3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</row>
    <row r="749" spans="1:32" ht="13">
      <c r="A749" s="2"/>
      <c r="B749" s="2"/>
      <c r="C749" s="3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</row>
    <row r="750" spans="1:32" ht="13">
      <c r="A750" s="2"/>
      <c r="B750" s="2"/>
      <c r="C750" s="3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</row>
    <row r="751" spans="1:32" ht="13">
      <c r="A751" s="2"/>
      <c r="B751" s="2"/>
      <c r="C751" s="3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</row>
    <row r="752" spans="1:32" ht="13">
      <c r="A752" s="2"/>
      <c r="B752" s="2"/>
      <c r="C752" s="3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</row>
    <row r="753" spans="1:32" ht="13">
      <c r="A753" s="2"/>
      <c r="B753" s="2"/>
      <c r="C753" s="3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</row>
    <row r="754" spans="1:32" ht="13">
      <c r="A754" s="2"/>
      <c r="B754" s="2"/>
      <c r="C754" s="3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</row>
    <row r="755" spans="1:32" ht="13">
      <c r="A755" s="2"/>
      <c r="B755" s="2"/>
      <c r="C755" s="3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</row>
    <row r="756" spans="1:32" ht="13">
      <c r="A756" s="2"/>
      <c r="B756" s="2"/>
      <c r="C756" s="3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</row>
    <row r="757" spans="1:32" ht="13">
      <c r="A757" s="2"/>
      <c r="B757" s="2"/>
      <c r="C757" s="3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</row>
    <row r="758" spans="1:32" ht="13">
      <c r="A758" s="2"/>
      <c r="B758" s="2"/>
      <c r="C758" s="3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</row>
    <row r="759" spans="1:32" ht="13">
      <c r="A759" s="2"/>
      <c r="B759" s="2"/>
      <c r="C759" s="3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</row>
    <row r="760" spans="1:32" ht="13">
      <c r="A760" s="2"/>
      <c r="B760" s="2"/>
      <c r="C760" s="3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</row>
    <row r="761" spans="1:32" ht="13">
      <c r="A761" s="2"/>
      <c r="B761" s="2"/>
      <c r="C761" s="3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</row>
    <row r="762" spans="1:32" ht="13">
      <c r="A762" s="2"/>
      <c r="B762" s="2"/>
      <c r="C762" s="3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</row>
    <row r="763" spans="1:32" ht="13">
      <c r="A763" s="2"/>
      <c r="B763" s="2"/>
      <c r="C763" s="3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</row>
    <row r="764" spans="1:32" ht="13">
      <c r="A764" s="2"/>
      <c r="B764" s="2"/>
      <c r="C764" s="3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</row>
    <row r="765" spans="1:32" ht="13">
      <c r="A765" s="2"/>
      <c r="B765" s="2"/>
      <c r="C765" s="3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</row>
    <row r="766" spans="1:32" ht="13">
      <c r="A766" s="2"/>
      <c r="B766" s="2"/>
      <c r="C766" s="3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</row>
    <row r="767" spans="1:32" ht="13">
      <c r="A767" s="2"/>
      <c r="B767" s="2"/>
      <c r="C767" s="3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</row>
    <row r="768" spans="1:32" ht="13">
      <c r="A768" s="2"/>
      <c r="B768" s="2"/>
      <c r="C768" s="3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</row>
    <row r="769" spans="1:32" ht="13">
      <c r="A769" s="2"/>
      <c r="B769" s="2"/>
      <c r="C769" s="3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</row>
    <row r="770" spans="1:32" ht="13">
      <c r="A770" s="2"/>
      <c r="B770" s="2"/>
      <c r="C770" s="3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</row>
    <row r="771" spans="1:32" ht="13">
      <c r="A771" s="2"/>
      <c r="B771" s="2"/>
      <c r="C771" s="3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</row>
    <row r="772" spans="1:32" ht="13">
      <c r="A772" s="2"/>
      <c r="B772" s="2"/>
      <c r="C772" s="3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</row>
    <row r="773" spans="1:32" ht="13">
      <c r="A773" s="2"/>
      <c r="B773" s="2"/>
      <c r="C773" s="3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</row>
    <row r="774" spans="1:32" ht="13">
      <c r="A774" s="2"/>
      <c r="B774" s="2"/>
      <c r="C774" s="3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</row>
    <row r="775" spans="1:32" ht="13">
      <c r="A775" s="2"/>
      <c r="B775" s="2"/>
      <c r="C775" s="3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</row>
    <row r="776" spans="1:32" ht="13">
      <c r="A776" s="2"/>
      <c r="B776" s="2"/>
      <c r="C776" s="3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</row>
    <row r="777" spans="1:32" ht="13">
      <c r="A777" s="2"/>
      <c r="B777" s="2"/>
      <c r="C777" s="3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</row>
    <row r="778" spans="1:32" ht="13">
      <c r="A778" s="2"/>
      <c r="B778" s="2"/>
      <c r="C778" s="3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</row>
    <row r="779" spans="1:32" ht="13">
      <c r="A779" s="2"/>
      <c r="B779" s="2"/>
      <c r="C779" s="3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</row>
    <row r="780" spans="1:32" ht="13">
      <c r="A780" s="2"/>
      <c r="B780" s="2"/>
      <c r="C780" s="3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</row>
    <row r="781" spans="1:32" ht="13">
      <c r="A781" s="2"/>
      <c r="B781" s="2"/>
      <c r="C781" s="3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</row>
    <row r="782" spans="1:32" ht="13">
      <c r="A782" s="2"/>
      <c r="B782" s="2"/>
      <c r="C782" s="3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</row>
    <row r="783" spans="1:32" ht="13">
      <c r="A783" s="2"/>
      <c r="B783" s="2"/>
      <c r="C783" s="3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</row>
    <row r="784" spans="1:32" ht="13">
      <c r="A784" s="2"/>
      <c r="B784" s="2"/>
      <c r="C784" s="3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</row>
    <row r="785" spans="1:32" ht="13">
      <c r="A785" s="2"/>
      <c r="B785" s="2"/>
      <c r="C785" s="3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</row>
    <row r="786" spans="1:32" ht="13">
      <c r="A786" s="2"/>
      <c r="B786" s="2"/>
      <c r="C786" s="3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</row>
    <row r="787" spans="1:32" ht="13">
      <c r="A787" s="2"/>
      <c r="B787" s="2"/>
      <c r="C787" s="3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</row>
    <row r="788" spans="1:32" ht="13">
      <c r="A788" s="2"/>
      <c r="B788" s="2"/>
      <c r="C788" s="3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</row>
    <row r="789" spans="1:32" ht="13">
      <c r="A789" s="2"/>
      <c r="B789" s="2"/>
      <c r="C789" s="3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</row>
    <row r="790" spans="1:32" ht="13">
      <c r="A790" s="2"/>
      <c r="B790" s="2"/>
      <c r="C790" s="3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</row>
    <row r="791" spans="1:32" ht="13">
      <c r="A791" s="2"/>
      <c r="B791" s="2"/>
      <c r="C791" s="3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</row>
    <row r="792" spans="1:32" ht="13">
      <c r="A792" s="2"/>
      <c r="B792" s="2"/>
      <c r="C792" s="3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</row>
    <row r="793" spans="1:32" ht="13">
      <c r="A793" s="2"/>
      <c r="B793" s="2"/>
      <c r="C793" s="3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</row>
    <row r="794" spans="1:32" ht="13">
      <c r="A794" s="2"/>
      <c r="B794" s="2"/>
      <c r="C794" s="3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</row>
    <row r="795" spans="1:32" ht="13">
      <c r="A795" s="2"/>
      <c r="B795" s="2"/>
      <c r="C795" s="3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</row>
    <row r="796" spans="1:32" ht="13">
      <c r="A796" s="2"/>
      <c r="B796" s="2"/>
      <c r="C796" s="3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</row>
    <row r="797" spans="1:32" ht="13">
      <c r="A797" s="2"/>
      <c r="B797" s="2"/>
      <c r="C797" s="3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</row>
    <row r="798" spans="1:32" ht="13">
      <c r="A798" s="2"/>
      <c r="B798" s="2"/>
      <c r="C798" s="3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</row>
    <row r="799" spans="1:32" ht="13">
      <c r="A799" s="2"/>
      <c r="B799" s="2"/>
      <c r="C799" s="3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</row>
    <row r="800" spans="1:32" ht="13">
      <c r="A800" s="2"/>
      <c r="B800" s="2"/>
      <c r="C800" s="3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</row>
    <row r="801" spans="1:32" ht="13">
      <c r="A801" s="2"/>
      <c r="B801" s="2"/>
      <c r="C801" s="3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</row>
    <row r="802" spans="1:32" ht="13">
      <c r="A802" s="2"/>
      <c r="B802" s="2"/>
      <c r="C802" s="3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</row>
    <row r="803" spans="1:32" ht="13">
      <c r="A803" s="2"/>
      <c r="B803" s="2"/>
      <c r="C803" s="3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</row>
    <row r="804" spans="1:32" ht="13">
      <c r="A804" s="2"/>
      <c r="B804" s="2"/>
      <c r="C804" s="3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</row>
    <row r="805" spans="1:32" ht="13">
      <c r="A805" s="2"/>
      <c r="B805" s="2"/>
      <c r="C805" s="3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</row>
    <row r="806" spans="1:32" ht="13">
      <c r="A806" s="2"/>
      <c r="B806" s="2"/>
      <c r="C806" s="3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</row>
    <row r="807" spans="1:32" ht="13">
      <c r="A807" s="2"/>
      <c r="B807" s="2"/>
      <c r="C807" s="3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</row>
    <row r="808" spans="1:32" ht="13">
      <c r="A808" s="2"/>
      <c r="B808" s="2"/>
      <c r="C808" s="3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</row>
    <row r="809" spans="1:32" ht="13">
      <c r="A809" s="2"/>
      <c r="B809" s="2"/>
      <c r="C809" s="3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</row>
    <row r="810" spans="1:32" ht="13">
      <c r="A810" s="2"/>
      <c r="B810" s="2"/>
      <c r="C810" s="3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</row>
    <row r="811" spans="1:32" ht="13">
      <c r="A811" s="2"/>
      <c r="B811" s="2"/>
      <c r="C811" s="3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</row>
    <row r="812" spans="1:32" ht="13">
      <c r="A812" s="2"/>
      <c r="B812" s="2"/>
      <c r="C812" s="3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</row>
    <row r="813" spans="1:32" ht="13">
      <c r="A813" s="2"/>
      <c r="B813" s="2"/>
      <c r="C813" s="3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</row>
    <row r="814" spans="1:32" ht="13">
      <c r="A814" s="2"/>
      <c r="B814" s="2"/>
      <c r="C814" s="3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</row>
    <row r="815" spans="1:32" ht="13">
      <c r="A815" s="2"/>
      <c r="B815" s="2"/>
      <c r="C815" s="3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</row>
    <row r="816" spans="1:32" ht="13">
      <c r="A816" s="2"/>
      <c r="B816" s="2"/>
      <c r="C816" s="3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</row>
    <row r="817" spans="1:32" ht="13">
      <c r="A817" s="2"/>
      <c r="B817" s="2"/>
      <c r="C817" s="3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</row>
    <row r="818" spans="1:32" ht="13">
      <c r="A818" s="2"/>
      <c r="B818" s="2"/>
      <c r="C818" s="3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</row>
    <row r="819" spans="1:32" ht="13">
      <c r="A819" s="2"/>
      <c r="B819" s="2"/>
      <c r="C819" s="3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</row>
    <row r="820" spans="1:32" ht="13">
      <c r="A820" s="2"/>
      <c r="B820" s="2"/>
      <c r="C820" s="3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</row>
    <row r="821" spans="1:32" ht="13">
      <c r="A821" s="2"/>
      <c r="B821" s="2"/>
      <c r="C821" s="3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</row>
    <row r="822" spans="1:32" ht="13">
      <c r="A822" s="2"/>
      <c r="B822" s="2"/>
      <c r="C822" s="3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</row>
    <row r="823" spans="1:32" ht="13">
      <c r="A823" s="2"/>
      <c r="B823" s="2"/>
      <c r="C823" s="3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</row>
    <row r="824" spans="1:32" ht="13">
      <c r="A824" s="2"/>
      <c r="B824" s="2"/>
      <c r="C824" s="3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</row>
    <row r="825" spans="1:32" ht="13">
      <c r="A825" s="2"/>
      <c r="B825" s="2"/>
      <c r="C825" s="3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</row>
    <row r="826" spans="1:32" ht="13">
      <c r="A826" s="2"/>
      <c r="B826" s="2"/>
      <c r="C826" s="3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</row>
    <row r="827" spans="1:32" ht="13">
      <c r="A827" s="2"/>
      <c r="B827" s="2"/>
      <c r="C827" s="3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</row>
    <row r="828" spans="1:32" ht="13">
      <c r="A828" s="2"/>
      <c r="B828" s="2"/>
      <c r="C828" s="3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</row>
    <row r="829" spans="1:32" ht="13">
      <c r="A829" s="2"/>
      <c r="B829" s="2"/>
      <c r="C829" s="3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</row>
    <row r="830" spans="1:32" ht="13">
      <c r="A830" s="2"/>
      <c r="B830" s="2"/>
      <c r="C830" s="3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</row>
    <row r="831" spans="1:32" ht="13">
      <c r="A831" s="2"/>
      <c r="B831" s="2"/>
      <c r="C831" s="3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</row>
    <row r="832" spans="1:32" ht="13">
      <c r="A832" s="2"/>
      <c r="B832" s="2"/>
      <c r="C832" s="3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</row>
    <row r="833" spans="1:32" ht="13">
      <c r="A833" s="2"/>
      <c r="B833" s="2"/>
      <c r="C833" s="3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</row>
    <row r="834" spans="1:32" ht="13">
      <c r="A834" s="2"/>
      <c r="B834" s="2"/>
      <c r="C834" s="3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</row>
    <row r="835" spans="1:32" ht="13">
      <c r="A835" s="2"/>
      <c r="B835" s="2"/>
      <c r="C835" s="3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</row>
    <row r="836" spans="1:32" ht="13">
      <c r="A836" s="2"/>
      <c r="B836" s="2"/>
      <c r="C836" s="3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</row>
    <row r="837" spans="1:32" ht="13">
      <c r="A837" s="2"/>
      <c r="B837" s="2"/>
      <c r="C837" s="3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</row>
    <row r="838" spans="1:32" ht="13">
      <c r="A838" s="2"/>
      <c r="B838" s="2"/>
      <c r="C838" s="3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</row>
    <row r="839" spans="1:32" ht="13">
      <c r="A839" s="2"/>
      <c r="B839" s="2"/>
      <c r="C839" s="3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</row>
    <row r="840" spans="1:32" ht="13">
      <c r="A840" s="2"/>
      <c r="B840" s="2"/>
      <c r="C840" s="3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</row>
    <row r="841" spans="1:32" ht="13">
      <c r="A841" s="2"/>
      <c r="B841" s="2"/>
      <c r="C841" s="3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</row>
    <row r="842" spans="1:32" ht="13">
      <c r="A842" s="2"/>
      <c r="B842" s="2"/>
      <c r="C842" s="3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</row>
    <row r="843" spans="1:32" ht="13">
      <c r="A843" s="2"/>
      <c r="B843" s="2"/>
      <c r="C843" s="3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</row>
    <row r="844" spans="1:32" ht="13">
      <c r="A844" s="2"/>
      <c r="B844" s="2"/>
      <c r="C844" s="3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</row>
    <row r="845" spans="1:32" ht="13">
      <c r="A845" s="2"/>
      <c r="B845" s="2"/>
      <c r="C845" s="3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</row>
    <row r="846" spans="1:32" ht="13">
      <c r="A846" s="2"/>
      <c r="B846" s="2"/>
      <c r="C846" s="3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</row>
    <row r="847" spans="1:32" ht="13">
      <c r="A847" s="2"/>
      <c r="B847" s="2"/>
      <c r="C847" s="3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</row>
    <row r="848" spans="1:32" ht="13">
      <c r="A848" s="2"/>
      <c r="B848" s="2"/>
      <c r="C848" s="3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</row>
    <row r="849" spans="1:32" ht="13">
      <c r="A849" s="2"/>
      <c r="B849" s="2"/>
      <c r="C849" s="3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</row>
    <row r="850" spans="1:32" ht="13">
      <c r="A850" s="2"/>
      <c r="B850" s="2"/>
      <c r="C850" s="3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</row>
    <row r="851" spans="1:32" ht="13">
      <c r="A851" s="2"/>
      <c r="B851" s="2"/>
      <c r="C851" s="3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</row>
    <row r="852" spans="1:32" ht="13">
      <c r="A852" s="2"/>
      <c r="B852" s="2"/>
      <c r="C852" s="3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</row>
    <row r="853" spans="1:32" ht="13">
      <c r="A853" s="2"/>
      <c r="B853" s="2"/>
      <c r="C853" s="3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</row>
    <row r="854" spans="1:32" ht="13">
      <c r="A854" s="2"/>
      <c r="B854" s="2"/>
      <c r="C854" s="3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</row>
    <row r="855" spans="1:32" ht="13">
      <c r="A855" s="2"/>
      <c r="B855" s="2"/>
      <c r="C855" s="3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</row>
    <row r="856" spans="1:32" ht="13">
      <c r="A856" s="2"/>
      <c r="B856" s="2"/>
      <c r="C856" s="3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</row>
    <row r="857" spans="1:32" ht="13">
      <c r="A857" s="2"/>
      <c r="B857" s="2"/>
      <c r="C857" s="3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</row>
    <row r="858" spans="1:32" ht="13">
      <c r="A858" s="2"/>
      <c r="B858" s="2"/>
      <c r="C858" s="3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</row>
    <row r="859" spans="1:32" ht="13">
      <c r="A859" s="2"/>
      <c r="B859" s="2"/>
      <c r="C859" s="3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</row>
    <row r="860" spans="1:32" ht="13">
      <c r="A860" s="2"/>
      <c r="B860" s="2"/>
      <c r="C860" s="3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</row>
    <row r="861" spans="1:32" ht="13">
      <c r="A861" s="2"/>
      <c r="B861" s="2"/>
      <c r="C861" s="3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</row>
    <row r="862" spans="1:32" ht="13">
      <c r="A862" s="2"/>
      <c r="B862" s="2"/>
      <c r="C862" s="3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</row>
    <row r="863" spans="1:32" ht="13">
      <c r="A863" s="2"/>
      <c r="B863" s="2"/>
      <c r="C863" s="3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</row>
    <row r="864" spans="1:32" ht="13">
      <c r="A864" s="2"/>
      <c r="B864" s="2"/>
      <c r="C864" s="3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</row>
    <row r="865" spans="1:32" ht="13">
      <c r="A865" s="2"/>
      <c r="B865" s="2"/>
      <c r="C865" s="3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</row>
    <row r="866" spans="1:32" ht="13">
      <c r="A866" s="2"/>
      <c r="B866" s="2"/>
      <c r="C866" s="3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</row>
    <row r="867" spans="1:32" ht="13">
      <c r="A867" s="2"/>
      <c r="B867" s="2"/>
      <c r="C867" s="3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</row>
    <row r="868" spans="1:32" ht="13">
      <c r="A868" s="2"/>
      <c r="B868" s="2"/>
      <c r="C868" s="3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</row>
    <row r="869" spans="1:32" ht="13">
      <c r="A869" s="2"/>
      <c r="B869" s="2"/>
      <c r="C869" s="3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</row>
    <row r="870" spans="1:32" ht="13">
      <c r="A870" s="2"/>
      <c r="B870" s="2"/>
      <c r="C870" s="3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</row>
    <row r="871" spans="1:32" ht="13">
      <c r="A871" s="2"/>
      <c r="B871" s="2"/>
      <c r="C871" s="3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</row>
    <row r="872" spans="1:32" ht="13">
      <c r="A872" s="2"/>
      <c r="B872" s="2"/>
      <c r="C872" s="3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</row>
    <row r="873" spans="1:32" ht="13">
      <c r="A873" s="2"/>
      <c r="B873" s="2"/>
      <c r="C873" s="3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</row>
    <row r="874" spans="1:32" ht="13">
      <c r="A874" s="2"/>
      <c r="B874" s="2"/>
      <c r="C874" s="3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</row>
    <row r="875" spans="1:32" ht="13">
      <c r="A875" s="2"/>
      <c r="B875" s="2"/>
      <c r="C875" s="3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</row>
    <row r="876" spans="1:32" ht="13">
      <c r="A876" s="2"/>
      <c r="B876" s="2"/>
      <c r="C876" s="3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</row>
    <row r="877" spans="1:32" ht="13">
      <c r="A877" s="2"/>
      <c r="B877" s="2"/>
      <c r="C877" s="3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</row>
    <row r="878" spans="1:32" ht="13">
      <c r="A878" s="2"/>
      <c r="B878" s="2"/>
      <c r="C878" s="3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</row>
    <row r="879" spans="1:32" ht="13">
      <c r="A879" s="2"/>
      <c r="B879" s="2"/>
      <c r="C879" s="3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</row>
    <row r="880" spans="1:32" ht="13">
      <c r="A880" s="2"/>
      <c r="B880" s="2"/>
      <c r="C880" s="3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</row>
    <row r="881" spans="1:32" ht="13">
      <c r="A881" s="2"/>
      <c r="B881" s="2"/>
      <c r="C881" s="3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</row>
    <row r="882" spans="1:32" ht="13">
      <c r="A882" s="2"/>
      <c r="B882" s="2"/>
      <c r="C882" s="3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</row>
    <row r="883" spans="1:32" ht="13">
      <c r="A883" s="2"/>
      <c r="B883" s="2"/>
      <c r="C883" s="3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</row>
    <row r="884" spans="1:32" ht="13">
      <c r="A884" s="2"/>
      <c r="B884" s="2"/>
      <c r="C884" s="3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</row>
    <row r="885" spans="1:32" ht="13">
      <c r="A885" s="2"/>
      <c r="B885" s="2"/>
      <c r="C885" s="3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</row>
    <row r="886" spans="1:32" ht="13">
      <c r="A886" s="2"/>
      <c r="B886" s="2"/>
      <c r="C886" s="3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</row>
    <row r="887" spans="1:32" ht="13">
      <c r="A887" s="2"/>
      <c r="B887" s="2"/>
      <c r="C887" s="3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</row>
    <row r="888" spans="1:32" ht="13">
      <c r="A888" s="2"/>
      <c r="B888" s="2"/>
      <c r="C888" s="3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</row>
    <row r="889" spans="1:32" ht="13">
      <c r="A889" s="2"/>
      <c r="B889" s="2"/>
      <c r="C889" s="3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</row>
    <row r="890" spans="1:32" ht="13">
      <c r="A890" s="2"/>
      <c r="B890" s="2"/>
      <c r="C890" s="3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</row>
    <row r="891" spans="1:32" ht="13">
      <c r="A891" s="2"/>
      <c r="B891" s="2"/>
      <c r="C891" s="3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</row>
    <row r="892" spans="1:32" ht="13">
      <c r="A892" s="2"/>
      <c r="B892" s="2"/>
      <c r="C892" s="3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</row>
    <row r="893" spans="1:32" ht="13">
      <c r="A893" s="2"/>
      <c r="B893" s="2"/>
      <c r="C893" s="3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</row>
    <row r="894" spans="1:32" ht="13">
      <c r="A894" s="2"/>
      <c r="B894" s="2"/>
      <c r="C894" s="3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</row>
    <row r="895" spans="1:32" ht="13">
      <c r="A895" s="2"/>
      <c r="B895" s="2"/>
      <c r="C895" s="3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</row>
    <row r="896" spans="1:32" ht="13">
      <c r="A896" s="2"/>
      <c r="B896" s="2"/>
      <c r="C896" s="3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</row>
    <row r="897" spans="1:32" ht="13">
      <c r="A897" s="2"/>
      <c r="B897" s="2"/>
      <c r="C897" s="3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</row>
    <row r="898" spans="1:32" ht="13">
      <c r="A898" s="2"/>
      <c r="B898" s="2"/>
      <c r="C898" s="3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</row>
    <row r="899" spans="1:32" ht="13">
      <c r="A899" s="2"/>
      <c r="B899" s="2"/>
      <c r="C899" s="3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</row>
    <row r="900" spans="1:32" ht="13">
      <c r="A900" s="2"/>
      <c r="B900" s="2"/>
      <c r="C900" s="3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</row>
    <row r="901" spans="1:32" ht="13">
      <c r="A901" s="2"/>
      <c r="B901" s="2"/>
      <c r="C901" s="3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</row>
    <row r="902" spans="1:32" ht="13">
      <c r="A902" s="2"/>
      <c r="B902" s="2"/>
      <c r="C902" s="3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</row>
    <row r="903" spans="1:32" ht="13">
      <c r="A903" s="2"/>
      <c r="B903" s="2"/>
      <c r="C903" s="3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</row>
    <row r="904" spans="1:32" ht="13">
      <c r="A904" s="2"/>
      <c r="B904" s="2"/>
      <c r="C904" s="3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</row>
    <row r="905" spans="1:32" ht="13">
      <c r="A905" s="2"/>
      <c r="B905" s="2"/>
      <c r="C905" s="3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</row>
    <row r="906" spans="1:32" ht="13">
      <c r="A906" s="2"/>
      <c r="B906" s="2"/>
      <c r="C906" s="3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</row>
    <row r="907" spans="1:32" ht="13">
      <c r="A907" s="2"/>
      <c r="B907" s="2"/>
      <c r="C907" s="3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</row>
    <row r="908" spans="1:32" ht="13">
      <c r="A908" s="2"/>
      <c r="B908" s="2"/>
      <c r="C908" s="3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</row>
    <row r="909" spans="1:32" ht="13">
      <c r="A909" s="2"/>
      <c r="B909" s="2"/>
      <c r="C909" s="3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</row>
    <row r="910" spans="1:32" ht="13">
      <c r="A910" s="2"/>
      <c r="B910" s="2"/>
      <c r="C910" s="3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</row>
    <row r="911" spans="1:32" ht="13">
      <c r="A911" s="2"/>
      <c r="B911" s="2"/>
      <c r="C911" s="3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</row>
    <row r="912" spans="1:32" ht="13">
      <c r="A912" s="2"/>
      <c r="B912" s="2"/>
      <c r="C912" s="3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</row>
    <row r="913" spans="1:32" ht="13">
      <c r="A913" s="2"/>
      <c r="B913" s="2"/>
      <c r="C913" s="3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</row>
    <row r="914" spans="1:32" ht="13">
      <c r="A914" s="2"/>
      <c r="B914" s="2"/>
      <c r="C914" s="3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</row>
    <row r="915" spans="1:32" ht="13">
      <c r="A915" s="2"/>
      <c r="B915" s="2"/>
      <c r="C915" s="3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</row>
    <row r="916" spans="1:32" ht="13">
      <c r="A916" s="2"/>
      <c r="B916" s="2"/>
      <c r="C916" s="3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</row>
    <row r="917" spans="1:32" ht="13">
      <c r="A917" s="2"/>
      <c r="B917" s="2"/>
      <c r="C917" s="3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</row>
    <row r="918" spans="1:32" ht="13">
      <c r="A918" s="2"/>
      <c r="B918" s="2"/>
      <c r="C918" s="3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</row>
    <row r="919" spans="1:32" ht="13">
      <c r="A919" s="2"/>
      <c r="B919" s="2"/>
      <c r="C919" s="3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</row>
    <row r="920" spans="1:32" ht="13">
      <c r="A920" s="2"/>
      <c r="B920" s="2"/>
      <c r="C920" s="3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</row>
    <row r="921" spans="1:32" ht="13">
      <c r="A921" s="2"/>
      <c r="B921" s="2"/>
      <c r="C921" s="3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</row>
    <row r="922" spans="1:32" ht="13">
      <c r="A922" s="2"/>
      <c r="B922" s="2"/>
      <c r="C922" s="3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</row>
    <row r="923" spans="1:32" ht="13">
      <c r="A923" s="2"/>
      <c r="B923" s="2"/>
      <c r="C923" s="3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</row>
    <row r="924" spans="1:32" ht="13">
      <c r="A924" s="2"/>
      <c r="B924" s="2"/>
      <c r="C924" s="3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</row>
    <row r="925" spans="1:32" ht="13">
      <c r="A925" s="2"/>
      <c r="B925" s="2"/>
      <c r="C925" s="3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</row>
    <row r="926" spans="1:32" ht="13">
      <c r="A926" s="2"/>
      <c r="B926" s="2"/>
      <c r="C926" s="3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</row>
    <row r="927" spans="1:32" ht="13">
      <c r="A927" s="2"/>
      <c r="B927" s="2"/>
      <c r="C927" s="3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</row>
    <row r="928" spans="1:32" ht="13">
      <c r="A928" s="2"/>
      <c r="B928" s="2"/>
      <c r="C928" s="3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</row>
    <row r="929" spans="1:32" ht="13">
      <c r="A929" s="2"/>
      <c r="B929" s="2"/>
      <c r="C929" s="3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</row>
    <row r="930" spans="1:32" ht="13">
      <c r="A930" s="2"/>
      <c r="B930" s="2"/>
      <c r="C930" s="3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</row>
    <row r="931" spans="1:32" ht="13">
      <c r="A931" s="2"/>
      <c r="B931" s="2"/>
      <c r="C931" s="3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</row>
    <row r="932" spans="1:32" ht="13">
      <c r="A932" s="2"/>
      <c r="B932" s="2"/>
      <c r="C932" s="3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</row>
    <row r="933" spans="1:32" ht="13">
      <c r="A933" s="2"/>
      <c r="B933" s="2"/>
      <c r="C933" s="3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</row>
    <row r="934" spans="1:32" ht="13">
      <c r="A934" s="2"/>
      <c r="B934" s="2"/>
      <c r="C934" s="3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</row>
    <row r="935" spans="1:32" ht="13">
      <c r="A935" s="2"/>
      <c r="B935" s="2"/>
      <c r="C935" s="3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</row>
    <row r="936" spans="1:32" ht="13">
      <c r="A936" s="2"/>
      <c r="B936" s="2"/>
      <c r="C936" s="3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</row>
    <row r="937" spans="1:32" ht="13">
      <c r="A937" s="2"/>
      <c r="B937" s="2"/>
      <c r="C937" s="3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</row>
    <row r="938" spans="1:32" ht="13">
      <c r="A938" s="2"/>
      <c r="B938" s="2"/>
      <c r="C938" s="3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</row>
    <row r="939" spans="1:32" ht="13">
      <c r="A939" s="2"/>
      <c r="B939" s="2"/>
      <c r="C939" s="3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</row>
    <row r="940" spans="1:32" ht="13">
      <c r="A940" s="2"/>
      <c r="B940" s="2"/>
      <c r="C940" s="3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</row>
    <row r="941" spans="1:32" ht="13">
      <c r="A941" s="2"/>
      <c r="B941" s="2"/>
      <c r="C941" s="3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</row>
    <row r="942" spans="1:32" ht="13">
      <c r="A942" s="2"/>
      <c r="B942" s="2"/>
      <c r="C942" s="3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</row>
    <row r="943" spans="1:32" ht="13">
      <c r="A943" s="2"/>
      <c r="B943" s="2"/>
      <c r="C943" s="3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</row>
    <row r="944" spans="1:32" ht="13">
      <c r="A944" s="2"/>
      <c r="B944" s="2"/>
      <c r="C944" s="3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</row>
    <row r="945" spans="1:32" ht="13">
      <c r="A945" s="2"/>
      <c r="B945" s="2"/>
      <c r="C945" s="3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</row>
    <row r="946" spans="1:32" ht="13">
      <c r="A946" s="2"/>
      <c r="B946" s="2"/>
      <c r="C946" s="3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</row>
    <row r="947" spans="1:32" ht="13">
      <c r="A947" s="2"/>
      <c r="B947" s="2"/>
      <c r="C947" s="3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</row>
    <row r="948" spans="1:32" ht="13">
      <c r="A948" s="2"/>
      <c r="B948" s="2"/>
      <c r="C948" s="3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</row>
    <row r="949" spans="1:32" ht="13">
      <c r="A949" s="2"/>
      <c r="B949" s="2"/>
      <c r="C949" s="3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</row>
    <row r="950" spans="1:32" ht="13">
      <c r="A950" s="2"/>
      <c r="B950" s="2"/>
      <c r="C950" s="3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</row>
    <row r="951" spans="1:32" ht="13">
      <c r="A951" s="2"/>
      <c r="B951" s="2"/>
      <c r="C951" s="3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</row>
    <row r="952" spans="1:32" ht="13">
      <c r="A952" s="2"/>
      <c r="B952" s="2"/>
      <c r="C952" s="3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</row>
    <row r="953" spans="1:32" ht="13">
      <c r="A953" s="2"/>
      <c r="B953" s="2"/>
      <c r="C953" s="3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</row>
    <row r="954" spans="1:32" ht="13">
      <c r="A954" s="2"/>
      <c r="B954" s="2"/>
      <c r="C954" s="3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</row>
    <row r="955" spans="1:32" ht="13">
      <c r="A955" s="2"/>
      <c r="B955" s="2"/>
      <c r="C955" s="3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</row>
    <row r="956" spans="1:32" ht="13">
      <c r="A956" s="2"/>
      <c r="B956" s="2"/>
      <c r="C956" s="3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</row>
    <row r="957" spans="1:32" ht="13">
      <c r="A957" s="2"/>
      <c r="B957" s="2"/>
      <c r="C957" s="3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</row>
    <row r="958" spans="1:32" ht="13">
      <c r="A958" s="2"/>
      <c r="B958" s="2"/>
      <c r="C958" s="3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</row>
    <row r="959" spans="1:32" ht="13">
      <c r="A959" s="2"/>
      <c r="B959" s="2"/>
      <c r="C959" s="3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</row>
    <row r="960" spans="1:32" ht="13">
      <c r="A960" s="2"/>
      <c r="B960" s="2"/>
      <c r="C960" s="3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</row>
    <row r="961" spans="1:32" ht="13">
      <c r="A961" s="2"/>
      <c r="B961" s="2"/>
      <c r="C961" s="3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</row>
    <row r="962" spans="1:32" ht="13">
      <c r="A962" s="2"/>
      <c r="B962" s="2"/>
      <c r="C962" s="3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</row>
    <row r="963" spans="1:32" ht="13">
      <c r="A963" s="2"/>
      <c r="B963" s="2"/>
      <c r="C963" s="3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</row>
    <row r="964" spans="1:32" ht="13">
      <c r="A964" s="2"/>
      <c r="B964" s="2"/>
      <c r="C964" s="3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</row>
    <row r="965" spans="1:32" ht="13">
      <c r="A965" s="2"/>
      <c r="B965" s="2"/>
      <c r="C965" s="3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</row>
    <row r="966" spans="1:32" ht="13">
      <c r="A966" s="2"/>
      <c r="B966" s="2"/>
      <c r="C966" s="3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</row>
    <row r="967" spans="1:32" ht="13">
      <c r="A967" s="2"/>
      <c r="B967" s="2"/>
      <c r="C967" s="3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</row>
    <row r="968" spans="1:32" ht="13">
      <c r="A968" s="2"/>
      <c r="B968" s="2"/>
      <c r="C968" s="3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</row>
    <row r="969" spans="1:32" ht="13">
      <c r="A969" s="2"/>
      <c r="B969" s="2"/>
      <c r="C969" s="3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</row>
    <row r="970" spans="1:32" ht="13">
      <c r="A970" s="2"/>
      <c r="B970" s="2"/>
      <c r="C970" s="3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</row>
    <row r="971" spans="1:32" ht="13">
      <c r="A971" s="2"/>
      <c r="B971" s="2"/>
      <c r="C971" s="3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</row>
    <row r="972" spans="1:32" ht="13">
      <c r="A972" s="2"/>
      <c r="B972" s="2"/>
      <c r="C972" s="3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</row>
    <row r="973" spans="1:32" ht="13">
      <c r="A973" s="2"/>
      <c r="B973" s="2"/>
      <c r="C973" s="3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</row>
    <row r="974" spans="1:32" ht="13">
      <c r="A974" s="2"/>
      <c r="B974" s="2"/>
      <c r="C974" s="3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</row>
    <row r="975" spans="1:32" ht="13">
      <c r="A975" s="2"/>
      <c r="B975" s="2"/>
      <c r="C975" s="3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</row>
    <row r="976" spans="1:32" ht="13">
      <c r="A976" s="2"/>
      <c r="B976" s="2"/>
      <c r="C976" s="3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</row>
    <row r="977" spans="1:32" ht="13">
      <c r="A977" s="2"/>
      <c r="B977" s="2"/>
      <c r="C977" s="3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</row>
    <row r="978" spans="1:32" ht="13">
      <c r="A978" s="2"/>
      <c r="B978" s="2"/>
      <c r="C978" s="3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</row>
    <row r="979" spans="1:32" ht="13">
      <c r="A979" s="2"/>
      <c r="B979" s="2"/>
      <c r="C979" s="3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</row>
    <row r="980" spans="1:32" ht="13">
      <c r="A980" s="2"/>
      <c r="B980" s="2"/>
      <c r="C980" s="3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</row>
    <row r="981" spans="1:32" ht="13">
      <c r="A981" s="2"/>
      <c r="B981" s="2"/>
      <c r="C981" s="3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</row>
    <row r="982" spans="1:32" ht="13">
      <c r="A982" s="2"/>
      <c r="B982" s="2"/>
      <c r="C982" s="3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</row>
    <row r="983" spans="1:32" ht="13">
      <c r="A983" s="2"/>
      <c r="B983" s="2"/>
      <c r="C983" s="3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</row>
    <row r="984" spans="1:32" ht="13">
      <c r="A984" s="2"/>
      <c r="B984" s="2"/>
      <c r="C984" s="3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</row>
    <row r="985" spans="1:32" ht="13">
      <c r="A985" s="2"/>
      <c r="B985" s="2"/>
      <c r="C985" s="3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</row>
    <row r="986" spans="1:32" ht="13">
      <c r="A986" s="2"/>
      <c r="B986" s="2"/>
      <c r="C986" s="3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</row>
    <row r="987" spans="1:32" ht="13">
      <c r="A987" s="2"/>
      <c r="B987" s="2"/>
      <c r="C987" s="3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</row>
    <row r="988" spans="1:32" ht="13">
      <c r="A988" s="2"/>
      <c r="B988" s="2"/>
      <c r="C988" s="3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</row>
    <row r="989" spans="1:32" ht="13">
      <c r="A989" s="2"/>
      <c r="B989" s="2"/>
      <c r="C989" s="3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</row>
    <row r="990" spans="1:32" ht="13">
      <c r="A990" s="2"/>
      <c r="B990" s="2"/>
      <c r="C990" s="3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</row>
    <row r="991" spans="1:32" ht="13">
      <c r="A991" s="2"/>
      <c r="B991" s="2"/>
      <c r="C991" s="3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</row>
    <row r="992" spans="1:32" ht="13">
      <c r="A992" s="2"/>
      <c r="B992" s="2"/>
      <c r="C992" s="3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</row>
    <row r="993" spans="1:32" ht="13">
      <c r="A993" s="2"/>
      <c r="B993" s="2"/>
      <c r="C993" s="3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</row>
    <row r="994" spans="1:32" ht="13">
      <c r="A994" s="2"/>
      <c r="B994" s="2"/>
      <c r="C994" s="3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</row>
    <row r="995" spans="1:32" ht="13">
      <c r="A995" s="2"/>
      <c r="B995" s="2"/>
      <c r="C995" s="3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</row>
    <row r="996" spans="1:32" ht="13">
      <c r="A996" s="2"/>
      <c r="B996" s="2"/>
      <c r="C996" s="3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</row>
    <row r="997" spans="1:32" ht="13">
      <c r="A997" s="2"/>
      <c r="B997" s="2"/>
      <c r="C997" s="3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</row>
    <row r="998" spans="1:32" ht="13">
      <c r="A998" s="2"/>
      <c r="B998" s="2"/>
      <c r="C998" s="3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</row>
    <row r="999" spans="1:32" ht="13">
      <c r="A999" s="2"/>
      <c r="B999" s="2"/>
      <c r="C999" s="3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</row>
    <row r="1000" spans="1:32" ht="13">
      <c r="A1000" s="2"/>
      <c r="B1000" s="2"/>
      <c r="C1000" s="3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</row>
    <row r="1001" spans="1:32" ht="13">
      <c r="A1001" s="2"/>
      <c r="B1001" s="2"/>
      <c r="C1001" s="3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</row>
    <row r="1002" spans="1:32" ht="13">
      <c r="A1002" s="2"/>
      <c r="B1002" s="2"/>
      <c r="C1002" s="3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</row>
    <row r="1003" spans="1:32" ht="13">
      <c r="A1003" s="2"/>
      <c r="B1003" s="2"/>
      <c r="C1003" s="3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</row>
    <row r="1004" spans="1:32" ht="13">
      <c r="A1004" s="2"/>
      <c r="B1004" s="2"/>
      <c r="C1004" s="3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</row>
    <row r="1005" spans="1:32" ht="13">
      <c r="A1005" s="2"/>
      <c r="B1005" s="2"/>
      <c r="C1005" s="3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</row>
    <row r="1006" spans="1:32" ht="13">
      <c r="A1006" s="2"/>
      <c r="B1006" s="2"/>
      <c r="C1006" s="3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</row>
    <row r="1007" spans="1:32" ht="13">
      <c r="A1007" s="2"/>
      <c r="B1007" s="2"/>
      <c r="C1007" s="3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</row>
    <row r="1008" spans="1:32" ht="13">
      <c r="A1008" s="2"/>
      <c r="B1008" s="2"/>
      <c r="C1008" s="3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</row>
  </sheetData>
  <mergeCells count="20">
    <mergeCell ref="N19:N20"/>
    <mergeCell ref="B19:B20"/>
    <mergeCell ref="C10:C12"/>
    <mergeCell ref="D10:D11"/>
    <mergeCell ref="K4:K5"/>
    <mergeCell ref="K10:K11"/>
    <mergeCell ref="K15:K16"/>
    <mergeCell ref="L4:L8"/>
    <mergeCell ref="N4:N6"/>
    <mergeCell ref="P4:P6"/>
    <mergeCell ref="P9:P12"/>
    <mergeCell ref="B4:B8"/>
    <mergeCell ref="B10:B18"/>
    <mergeCell ref="L10:L11"/>
    <mergeCell ref="N10:N11"/>
    <mergeCell ref="A10:A11"/>
    <mergeCell ref="E10:E11"/>
    <mergeCell ref="A4:A5"/>
    <mergeCell ref="C4:C8"/>
    <mergeCell ref="E4:E5"/>
  </mergeCells>
  <phoneticPr fontId="179" type="noConversion"/>
  <hyperlinks>
    <hyperlink ref="A2" r:id="rId1" location="gid=0" xr:uid="{00000000-0004-0000-0100-000000000000}"/>
    <hyperlink ref="N10" r:id="rId2" xr:uid="{00000000-0004-0000-0100-000001000000}"/>
    <hyperlink ref="N22" r:id="rId3" xr:uid="{00000000-0004-0000-0100-000002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D1030"/>
  <sheetViews>
    <sheetView workbookViewId="0">
      <selection sqref="A1:C1"/>
    </sheetView>
  </sheetViews>
  <sheetFormatPr baseColWidth="10" defaultColWidth="12.5" defaultRowHeight="15.75" customHeight="1"/>
  <cols>
    <col min="1" max="1" width="5.33203125" customWidth="1"/>
    <col min="3" max="3" width="13.6640625" customWidth="1"/>
    <col min="4" max="4" width="42.83203125" customWidth="1"/>
    <col min="5" max="5" width="9.5" customWidth="1"/>
    <col min="7" max="7" width="7.5" customWidth="1"/>
    <col min="8" max="9" width="9.1640625" hidden="1" customWidth="1"/>
    <col min="10" max="10" width="16.83203125" customWidth="1"/>
    <col min="11" max="11" width="4.1640625" customWidth="1"/>
    <col min="13" max="13" width="4.83203125" customWidth="1"/>
    <col min="14" max="14" width="13.5" customWidth="1"/>
    <col min="15" max="15" width="0.5" customWidth="1"/>
    <col min="20" max="20" width="18" customWidth="1"/>
  </cols>
  <sheetData>
    <row r="1" spans="1:30" ht="15.75" customHeight="1">
      <c r="A1" s="1105" t="s">
        <v>345</v>
      </c>
      <c r="B1" s="1106"/>
      <c r="C1" s="1106"/>
      <c r="D1" s="132" t="s">
        <v>346</v>
      </c>
      <c r="E1" s="133" t="s">
        <v>347</v>
      </c>
      <c r="F1" s="2"/>
      <c r="G1" s="134"/>
      <c r="H1" s="2"/>
      <c r="I1" s="2"/>
      <c r="J1" s="135"/>
      <c r="K1" s="2"/>
      <c r="L1" s="2"/>
      <c r="M1" s="2"/>
      <c r="N1" s="2"/>
      <c r="O1" s="2"/>
      <c r="P1" s="2"/>
      <c r="Q1" s="2"/>
      <c r="R1" s="136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ht="15.75" customHeight="1">
      <c r="A2" s="2" t="str">
        <f ca="1">IFERROR(__xludf.DUMMYFUNCTION("IMPORTRANGE(""https://docs.google.com/spreadsheets/d/1fxN_raBKJM8YwTER5KXxHueiyzOeOH2AwrWxhaMi2QQ/edit?gid=1579425563#gid=1579425563"",""**김구영!A2:Z1000"")"),"")</f>
        <v/>
      </c>
      <c r="B2" s="2"/>
      <c r="C2" s="3" t="str">
        <f ca="1">IFERROR(__xludf.DUMMYFUNCTION("""COMPUTED_VALUE"""),"*세금계산서 일자")</f>
        <v>*세금계산서 일자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 t="str">
        <f ca="1">IFERROR(__xludf.DUMMYFUNCTION("""COMPUTED_VALUE"""),"세금계산서")</f>
        <v>세금계산서</v>
      </c>
      <c r="W2" s="2" t="str">
        <f ca="1">IFERROR(__xludf.DUMMYFUNCTION("""COMPUTED_VALUE"""),"검수확인서")</f>
        <v>검수확인서</v>
      </c>
      <c r="X2" s="2"/>
      <c r="Y2" s="2"/>
      <c r="Z2" s="2"/>
      <c r="AA2" s="2"/>
      <c r="AB2" s="2"/>
      <c r="AC2" s="2"/>
      <c r="AD2" s="2"/>
    </row>
    <row r="3" spans="1:30" ht="15.75" customHeight="1">
      <c r="A3" s="76" t="str">
        <f ca="1">IFERROR(__xludf.DUMMYFUNCTION("""COMPUTED_VALUE"""),"구분")</f>
        <v>구분</v>
      </c>
      <c r="B3" s="76" t="str">
        <f ca="1">IFERROR(__xludf.DUMMYFUNCTION("""COMPUTED_VALUE"""),"발주처")</f>
        <v>발주처</v>
      </c>
      <c r="C3" s="76" t="str">
        <f ca="1">IFERROR(__xludf.DUMMYFUNCTION("""COMPUTED_VALUE"""),"세금계산서일자")</f>
        <v>세금계산서일자</v>
      </c>
      <c r="D3" s="76" t="str">
        <f ca="1">IFERROR(__xludf.DUMMYFUNCTION("""COMPUTED_VALUE"""),"Structured Payment Reference")</f>
        <v>Structured Payment Reference</v>
      </c>
      <c r="E3" s="76" t="str">
        <f ca="1">IFERROR(__xludf.DUMMYFUNCTION("""COMPUTED_VALUE"""),"Cost Center")</f>
        <v>Cost Center</v>
      </c>
      <c r="F3" s="76" t="str">
        <f ca="1">IFERROR(__xludf.DUMMYFUNCTION("""COMPUTED_VALUE"""),"Account")</f>
        <v>Account</v>
      </c>
      <c r="G3" s="76" t="str">
        <f ca="1">IFERROR(__xludf.DUMMYFUNCTION("""COMPUTED_VALUE"""),"Project")</f>
        <v>Project</v>
      </c>
      <c r="H3" s="76" t="str">
        <f ca="1">IFERROR(__xludf.DUMMYFUNCTION("""COMPUTED_VALUE"""),"계약시작")</f>
        <v>계약시작</v>
      </c>
      <c r="I3" s="76" t="str">
        <f ca="1">IFERROR(__xludf.DUMMYFUNCTION("""COMPUTED_VALUE"""),"계약종료")</f>
        <v>계약종료</v>
      </c>
      <c r="J3" s="77" t="str">
        <f ca="1">IFERROR(__xludf.DUMMYFUNCTION("""COMPUTED_VALUE"""),"AR번호")</f>
        <v>AR번호</v>
      </c>
      <c r="K3" s="78" t="str">
        <f ca="1">IFERROR(__xludf.DUMMYFUNCTION("""COMPUTED_VALUE"""),"역/정")</f>
        <v>역/정</v>
      </c>
      <c r="L3" s="78" t="str">
        <f ca="1">IFERROR(__xludf.DUMMYFUNCTION("""COMPUTED_VALUE"""),"청구금액(공급가액)")</f>
        <v>청구금액(공급가액)</v>
      </c>
      <c r="M3" s="137" t="str">
        <f ca="1">IFERROR(__xludf.DUMMYFUNCTION("""COMPUTED_VALUE"""),"Payment Terms")</f>
        <v>Payment Terms</v>
      </c>
      <c r="N3" s="78" t="str">
        <f ca="1">IFERROR(__xludf.DUMMYFUNCTION("""COMPUTED_VALUE"""),"비고")</f>
        <v>비고</v>
      </c>
      <c r="O3" s="2"/>
      <c r="P3" s="138" t="str">
        <f ca="1">IFERROR(__xludf.DUMMYFUNCTION("""COMPUTED_VALUE"""),"외주업체")</f>
        <v>외주업체</v>
      </c>
      <c r="Q3" s="138" t="str">
        <f ca="1">IFERROR(__xludf.DUMMYFUNCTION("""COMPUTED_VALUE"""),"PO번호")</f>
        <v>PO번호</v>
      </c>
      <c r="R3" s="138" t="str">
        <f ca="1">IFERROR(__xludf.DUMMYFUNCTION("""COMPUTED_VALUE"""),"원가부서")</f>
        <v>원가부서</v>
      </c>
      <c r="S3" s="138" t="str">
        <f ca="1">IFERROR(__xludf.DUMMYFUNCTION("""COMPUTED_VALUE"""),"PJT 코드")</f>
        <v>PJT 코드</v>
      </c>
      <c r="T3" s="139" t="str">
        <f ca="1">IFERROR(__xludf.DUMMYFUNCTION("""COMPUTED_VALUE"""),"AP번호")</f>
        <v>AP번호</v>
      </c>
      <c r="U3" s="138" t="str">
        <f ca="1">IFERROR(__xludf.DUMMYFUNCTION("""COMPUTED_VALUE"""),"세금계산서 일자")</f>
        <v>세금계산서 일자</v>
      </c>
      <c r="V3" s="140" t="str">
        <f ca="1">IFERROR(__xludf.DUMMYFUNCTION("""COMPUTED_VALUE"""),"공급가액")</f>
        <v>공급가액</v>
      </c>
      <c r="W3" s="138" t="str">
        <f ca="1">IFERROR(__xludf.DUMMYFUNCTION("""COMPUTED_VALUE"""),"VAT포함")</f>
        <v>VAT포함</v>
      </c>
      <c r="X3" s="138" t="str">
        <f ca="1">IFERROR(__xludf.DUMMYFUNCTION("""COMPUTED_VALUE"""),"Pay Terms")</f>
        <v>Pay Terms</v>
      </c>
      <c r="Y3" s="141" t="str">
        <f ca="1">IFERROR(__xludf.DUMMYFUNCTION("""COMPUTED_VALUE"""),"담당자 (세금계산서&amp;영업)")</f>
        <v>담당자 (세금계산서&amp;영업)</v>
      </c>
      <c r="Z3" s="2"/>
      <c r="AA3" s="2"/>
      <c r="AB3" s="2"/>
      <c r="AC3" s="2"/>
      <c r="AD3" s="2"/>
    </row>
    <row r="4" spans="1:30" ht="15.75" customHeight="1">
      <c r="A4" s="142" t="str">
        <f ca="1">IFERROR(__xludf.DUMMYFUNCTION("""COMPUTED_VALUE"""),"  # 11월 청구분")</f>
        <v xml:space="preserve">  # 11월 청구분</v>
      </c>
      <c r="B4" s="143"/>
      <c r="C4" s="143"/>
      <c r="D4" s="144">
        <f ca="1">IFERROR(__xludf.DUMMYFUNCTION("""COMPUTED_VALUE"""),421090000)</f>
        <v>421090000</v>
      </c>
      <c r="E4" s="145"/>
      <c r="F4" s="145"/>
      <c r="G4" s="145"/>
      <c r="H4" s="145"/>
      <c r="I4" s="145"/>
      <c r="J4" s="145" t="str">
        <f ca="1">IFERROR(__xludf.DUMMYFUNCTION("""COMPUTED_VALUE"""),"11월 청구")</f>
        <v>11월 청구</v>
      </c>
      <c r="K4" s="145"/>
      <c r="L4" s="146"/>
      <c r="M4" s="145"/>
      <c r="N4" s="145"/>
      <c r="O4" s="2"/>
      <c r="P4" s="147">
        <f ca="1">IFERROR(__xludf.DUMMYFUNCTION("""COMPUTED_VALUE"""),258000000)</f>
        <v>258000000</v>
      </c>
      <c r="Q4" s="148"/>
      <c r="R4" s="149"/>
      <c r="S4" s="149"/>
      <c r="T4" s="149"/>
      <c r="U4" s="149"/>
      <c r="V4" s="150"/>
      <c r="W4" s="151">
        <f ca="1">IFERROR(__xludf.DUMMYFUNCTION("""COMPUTED_VALUE"""),0)</f>
        <v>0</v>
      </c>
      <c r="X4" s="145"/>
      <c r="Y4" s="145"/>
      <c r="Z4" s="2"/>
      <c r="AA4" s="2"/>
      <c r="AB4" s="2"/>
      <c r="AC4" s="2"/>
      <c r="AD4" s="2"/>
    </row>
    <row r="5" spans="1:30" ht="15.75" customHeight="1">
      <c r="A5" s="1107"/>
      <c r="B5" s="1088" t="str">
        <f ca="1">IFERROR(__xludf.DUMMYFUNCTION("""COMPUTED_VALUE"""),"대한항공")</f>
        <v>대한항공</v>
      </c>
      <c r="C5" s="152"/>
      <c r="D5" s="153" t="str">
        <f ca="1">IFERROR(__xludf.DUMMYFUNCTION("""COMPUTED_VALUE"""),"8-7 대한항공 로봇 작업 프로그래밍용 SW")</f>
        <v>8-7 대한항공 로봇 작업 프로그래밍용 SW</v>
      </c>
      <c r="E5" s="1088" t="str">
        <f ca="1">IFERROR(__xludf.DUMMYFUNCTION("""COMPUTED_VALUE"""),"SELSPA")</f>
        <v>SELSPA</v>
      </c>
      <c r="F5" s="1108" t="str">
        <f ca="1">IFERROR(__xludf.DUMMYFUNCTION("""COMPUTED_VALUE"""),"412111_판매")</f>
        <v>412111_판매</v>
      </c>
      <c r="G5" s="1103" t="str">
        <f ca="1">IFERROR(__xludf.DUMMYFUNCTION("""COMPUTED_VALUE"""),"S240186")</f>
        <v>S240186</v>
      </c>
      <c r="H5" s="143" t="str">
        <f ca="1">IFERROR(__xludf.DUMMYFUNCTION("""COMPUTED_VALUE"""),"11/1 수정")</f>
        <v>11/1 수정</v>
      </c>
      <c r="I5" s="143"/>
      <c r="J5" s="154" t="str">
        <f ca="1">IFERROR(__xludf.DUMMYFUNCTION("""COMPUTED_VALUE"""),"ART241101이수임1452")</f>
        <v>ART241101이수임1452</v>
      </c>
      <c r="K5" s="1104" t="str">
        <f ca="1">IFERROR(__xludf.DUMMYFUNCTION("""COMPUTED_VALUE"""),"역")</f>
        <v>역</v>
      </c>
      <c r="L5" s="155">
        <f ca="1">IFERROR(__xludf.DUMMYFUNCTION("""COMPUTED_VALUE"""),8660000)</f>
        <v>8660000</v>
      </c>
      <c r="M5" s="1088" t="str">
        <f ca="1">IFERROR(__xludf.DUMMYFUNCTION("""COMPUTED_VALUE"""),"60일")</f>
        <v>60일</v>
      </c>
      <c r="N5" s="1088" t="str">
        <f ca="1">IFERROR(__xludf.DUMMYFUNCTION("""COMPUTED_VALUE"""),"부산 이현철 과장")</f>
        <v>부산 이현철 과장</v>
      </c>
      <c r="O5" s="2"/>
      <c r="P5" s="156" t="str">
        <f ca="1">IFERROR(__xludf.DUMMYFUNCTION("""COMPUTED_VALUE"""),"코어텍")</f>
        <v>코어텍</v>
      </c>
      <c r="Q5" s="157" t="str">
        <f ca="1">IFERROR(__xludf.DUMMYFUNCTION("""COMPUTED_VALUE"""),"HX-PO-15506")</f>
        <v>HX-PO-15506</v>
      </c>
      <c r="R5" s="1109" t="str">
        <f ca="1">IFERROR(__xludf.DUMMYFUNCTION("""COMPUTED_VALUE"""),"SELSPA")</f>
        <v>SELSPA</v>
      </c>
      <c r="S5" s="1110" t="str">
        <f ca="1">IFERROR(__xludf.DUMMYFUNCTION("""COMPUTED_VALUE"""),"S240186")</f>
        <v>S240186</v>
      </c>
      <c r="T5" s="149" t="str">
        <f ca="1">IFERROR(__xludf.DUMMYFUNCTION("""COMPUTED_VALUE"""),"API241101이수임1733")</f>
        <v>API241101이수임1733</v>
      </c>
      <c r="U5" s="1099" t="str">
        <f ca="1">IFERROR(__xludf.DUMMYFUNCTION("""COMPUTED_VALUE"""),"11/1 수정")</f>
        <v>11/1 수정</v>
      </c>
      <c r="V5" s="158">
        <f ca="1">IFERROR(__xludf.DUMMYFUNCTION("""COMPUTED_VALUE"""),8000000)</f>
        <v>8000000</v>
      </c>
      <c r="W5" s="159">
        <f ca="1">IFERROR(__xludf.DUMMYFUNCTION("""COMPUTED_VALUE"""),8800000)</f>
        <v>8800000</v>
      </c>
      <c r="X5" s="160" t="str">
        <f ca="1">IFERROR(__xludf.DUMMYFUNCTION("""COMPUTED_VALUE"""),"60일")</f>
        <v>60일</v>
      </c>
      <c r="Y5" s="145"/>
      <c r="Z5" s="2"/>
      <c r="AA5" s="2"/>
      <c r="AB5" s="2"/>
      <c r="AC5" s="2"/>
      <c r="AD5" s="2"/>
    </row>
    <row r="6" spans="1:30" ht="15.75" customHeight="1">
      <c r="A6" s="1051"/>
      <c r="B6" s="1051"/>
      <c r="C6" s="152" t="str">
        <f ca="1">IFERROR(__xludf.DUMMYFUNCTION("""COMPUTED_VALUE"""),"분할청구")</f>
        <v>분할청구</v>
      </c>
      <c r="D6" s="153" t="str">
        <f ca="1">IFERROR(__xludf.DUMMYFUNCTION("""COMPUTED_VALUE"""),"9-7 대한항공 항공우주사업본부 전자기 및 레이돔 해석용 S/W (저피탐)")</f>
        <v>9-7 대한항공 항공우주사업본부 전자기 및 레이돔 해석용 S/W (저피탐)</v>
      </c>
      <c r="E6" s="1051"/>
      <c r="F6" s="1051"/>
      <c r="G6" s="1095"/>
      <c r="H6" s="143"/>
      <c r="I6" s="143"/>
      <c r="J6" s="154" t="str">
        <f ca="1">IFERROR(__xludf.DUMMYFUNCTION("""COMPUTED_VALUE"""),"ART241114이수임1032")</f>
        <v>ART241114이수임1032</v>
      </c>
      <c r="K6" s="1051"/>
      <c r="L6" s="155">
        <f ca="1">IFERROR(__xludf.DUMMYFUNCTION("""COMPUTED_VALUE"""),19230000)</f>
        <v>19230000</v>
      </c>
      <c r="M6" s="1051"/>
      <c r="N6" s="1051"/>
      <c r="O6" s="2"/>
      <c r="P6" s="161" t="str">
        <f ca="1">IFERROR(__xludf.DUMMYFUNCTION("""COMPUTED_VALUE"""),"이맥테크 ")</f>
        <v xml:space="preserve">이맥테크 </v>
      </c>
      <c r="Q6" s="162" t="str">
        <f ca="1">IFERROR(__xludf.DUMMYFUNCTION("""COMPUTED_VALUE"""),"HX-PO-15528")</f>
        <v>HX-PO-15528</v>
      </c>
      <c r="R6" s="1051"/>
      <c r="S6" s="1095"/>
      <c r="T6" s="149" t="str">
        <f ca="1">IFERROR(__xludf.DUMMYFUNCTION("""COMPUTED_VALUE"""),"API241114이수임1349")</f>
        <v>API241114이수임1349</v>
      </c>
      <c r="U6" s="1051"/>
      <c r="V6" s="158">
        <f ca="1">IFERROR(__xludf.DUMMYFUNCTION("""COMPUTED_VALUE"""),19000000)</f>
        <v>19000000</v>
      </c>
      <c r="W6" s="159">
        <f ca="1">IFERROR(__xludf.DUMMYFUNCTION("""COMPUTED_VALUE"""),20900000)</f>
        <v>20900000</v>
      </c>
      <c r="X6" s="160" t="str">
        <f ca="1">IFERROR(__xludf.DUMMYFUNCTION("""COMPUTED_VALUE"""),"60일")</f>
        <v>60일</v>
      </c>
      <c r="Y6" s="145"/>
      <c r="Z6" s="2"/>
      <c r="AA6" s="2"/>
      <c r="AB6" s="2"/>
      <c r="AC6" s="2"/>
      <c r="AD6" s="2"/>
    </row>
    <row r="7" spans="1:30" ht="15.75" customHeight="1">
      <c r="A7" s="1051"/>
      <c r="B7" s="1051"/>
      <c r="C7" s="152"/>
      <c r="D7" s="153" t="str">
        <f ca="1">IFERROR(__xludf.DUMMYFUNCTION("""COMPUTED_VALUE"""),"10-4 대한항공 공중발사체 임무설계 S/W 구매(ASTOS)")</f>
        <v>10-4 대한항공 공중발사체 임무설계 S/W 구매(ASTOS)</v>
      </c>
      <c r="E7" s="1051"/>
      <c r="F7" s="1051"/>
      <c r="G7" s="1095"/>
      <c r="H7" s="143"/>
      <c r="I7" s="143"/>
      <c r="J7" s="154" t="str">
        <f ca="1">IFERROR(__xludf.DUMMYFUNCTION("""COMPUTED_VALUE"""),"ART241114이수임1046")</f>
        <v>ART241114이수임1046</v>
      </c>
      <c r="K7" s="1051"/>
      <c r="L7" s="155">
        <f ca="1">IFERROR(__xludf.DUMMYFUNCTION("""COMPUTED_VALUE"""),18200000)</f>
        <v>18200000</v>
      </c>
      <c r="M7" s="1051"/>
      <c r="N7" s="1051"/>
      <c r="O7" s="2"/>
      <c r="P7" s="156" t="str">
        <f ca="1">IFERROR(__xludf.DUMMYFUNCTION("""COMPUTED_VALUE"""),"독일_ASTOS Solution")</f>
        <v>독일_ASTOS Solution</v>
      </c>
      <c r="Q7" s="162" t="str">
        <f ca="1">IFERROR(__xludf.DUMMYFUNCTION("""COMPUTED_VALUE"""),"HX-PO-15500")</f>
        <v>HX-PO-15500</v>
      </c>
      <c r="R7" s="1051"/>
      <c r="S7" s="1095"/>
      <c r="T7" s="149" t="str">
        <f ca="1">IFERROR(__xludf.DUMMYFUNCTION("""COMPUTED_VALUE"""),"API241111이수임1356")</f>
        <v>API241111이수임1356</v>
      </c>
      <c r="U7" s="1051"/>
      <c r="V7" s="158" t="str">
        <f ca="1">IFERROR(__xludf.DUMMYFUNCTION("""COMPUTED_VALUE"""),"12,412.00 (EUR)")</f>
        <v>12,412.00 (EUR)</v>
      </c>
      <c r="W7" s="159" t="str">
        <f ca="1">IFERROR(__xludf.DUMMYFUNCTION("""COMPUTED_VALUE"""),"12,412.00 (EUR)")</f>
        <v>12,412.00 (EUR)</v>
      </c>
      <c r="X7" s="160" t="str">
        <f ca="1">IFERROR(__xludf.DUMMYFUNCTION("""COMPUTED_VALUE"""),"30일")</f>
        <v>30일</v>
      </c>
      <c r="Y7" s="145"/>
      <c r="Z7" s="2"/>
      <c r="AA7" s="2"/>
      <c r="AB7" s="2"/>
      <c r="AC7" s="2"/>
      <c r="AD7" s="2"/>
    </row>
    <row r="8" spans="1:30" ht="15.75" customHeight="1">
      <c r="A8" s="1051"/>
      <c r="B8" s="1051"/>
      <c r="C8" s="152" t="str">
        <f ca="1">IFERROR(__xludf.DUMMYFUNCTION("""COMPUTED_VALUE"""),"선급금 청구")</f>
        <v>선급금 청구</v>
      </c>
      <c r="D8" s="163" t="str">
        <f ca="1">IFERROR(__xludf.DUMMYFUNCTION("""COMPUTED_VALUE"""),"진에어 운항통제시스템 개발")</f>
        <v>진에어 운항통제시스템 개발</v>
      </c>
      <c r="E8" s="1051"/>
      <c r="F8" s="1051"/>
      <c r="G8" s="1095"/>
      <c r="H8" s="143"/>
      <c r="I8" s="143"/>
      <c r="J8" s="164" t="str">
        <f ca="1">IFERROR(__xludf.DUMMYFUNCTION("""COMPUTED_VALUE"""),"ART241108이수임1325")</f>
        <v>ART241108이수임1325</v>
      </c>
      <c r="K8" s="1051"/>
      <c r="L8" s="155">
        <f ca="1">IFERROR(__xludf.DUMMYFUNCTION("""COMPUTED_VALUE"""),375000000)</f>
        <v>375000000</v>
      </c>
      <c r="M8" s="1051"/>
      <c r="N8" s="1051"/>
      <c r="O8" s="2"/>
      <c r="P8" s="161" t="str">
        <f ca="1">IFERROR(__xludf.DUMMYFUNCTION("""COMPUTED_VALUE"""),"인캣")</f>
        <v>인캣</v>
      </c>
      <c r="Q8" s="162" t="str">
        <f ca="1">IFERROR(__xludf.DUMMYFUNCTION("""COMPUTED_VALUE"""),"HX-PO-15509")</f>
        <v>HX-PO-15509</v>
      </c>
      <c r="R8" s="1051"/>
      <c r="S8" s="1095"/>
      <c r="T8" s="149" t="str">
        <f ca="1">IFERROR(__xludf.DUMMYFUNCTION("""COMPUTED_VALUE"""),"API241115이수임1418")</f>
        <v>API241115이수임1418</v>
      </c>
      <c r="U8" s="1051"/>
      <c r="V8" s="158">
        <f ca="1">IFERROR(__xludf.DUMMYFUNCTION("""COMPUTED_VALUE"""),42000000)</f>
        <v>42000000</v>
      </c>
      <c r="W8" s="159">
        <f ca="1">IFERROR(__xludf.DUMMYFUNCTION("""COMPUTED_VALUE"""),46200000)</f>
        <v>46200000</v>
      </c>
      <c r="X8" s="160" t="str">
        <f ca="1">IFERROR(__xludf.DUMMYFUNCTION("""COMPUTED_VALUE"""),"30일")</f>
        <v>30일</v>
      </c>
      <c r="Y8" s="145"/>
      <c r="Z8" s="2"/>
      <c r="AA8" s="2"/>
      <c r="AB8" s="2"/>
      <c r="AC8" s="2"/>
      <c r="AD8" s="2"/>
    </row>
    <row r="9" spans="1:30" ht="15.75" customHeight="1">
      <c r="A9" s="1051"/>
      <c r="B9" s="1051"/>
      <c r="C9" s="152"/>
      <c r="D9" s="163"/>
      <c r="E9" s="1051"/>
      <c r="F9" s="1051"/>
      <c r="G9" s="1095"/>
      <c r="H9" s="143"/>
      <c r="I9" s="143"/>
      <c r="J9" s="164" t="str">
        <f ca="1">IFERROR(__xludf.DUMMYFUNCTION("""COMPUTED_VALUE"""),"기성금 30%")</f>
        <v>기성금 30%</v>
      </c>
      <c r="K9" s="1051"/>
      <c r="L9" s="155" t="str">
        <f ca="1">IFERROR(__xludf.DUMMYFUNCTION("""COMPUTED_VALUE"""),"=1250000000*0.3")</f>
        <v>=1250000000*0.3</v>
      </c>
      <c r="M9" s="1051"/>
      <c r="N9" s="1051"/>
      <c r="O9" s="2"/>
      <c r="P9" s="156" t="str">
        <f ca="1">IFERROR(__xludf.DUMMYFUNCTION("""COMPUTED_VALUE"""),"엔스마트")</f>
        <v>엔스마트</v>
      </c>
      <c r="Q9" s="162" t="str">
        <f ca="1">IFERROR(__xludf.DUMMYFUNCTION("""COMPUTED_VALUE"""),"HX-PO-15510")</f>
        <v>HX-PO-15510</v>
      </c>
      <c r="R9" s="1051"/>
      <c r="S9" s="1095"/>
      <c r="T9" s="149" t="str">
        <f ca="1">IFERROR(__xludf.DUMMYFUNCTION("""COMPUTED_VALUE"""),"API241115이수임1525")</f>
        <v>API241115이수임1525</v>
      </c>
      <c r="U9" s="1051"/>
      <c r="V9" s="158">
        <f ca="1">IFERROR(__xludf.DUMMYFUNCTION("""COMPUTED_VALUE"""),189000000)</f>
        <v>189000000</v>
      </c>
      <c r="W9" s="159">
        <f ca="1">IFERROR(__xludf.DUMMYFUNCTION("""COMPUTED_VALUE"""),207900000)</f>
        <v>207900000</v>
      </c>
      <c r="X9" s="160" t="str">
        <f ca="1">IFERROR(__xludf.DUMMYFUNCTION("""COMPUTED_VALUE"""),"30일")</f>
        <v>30일</v>
      </c>
      <c r="Y9" s="145"/>
      <c r="Z9" s="2"/>
      <c r="AA9" s="2"/>
      <c r="AB9" s="2"/>
      <c r="AC9" s="2"/>
      <c r="AD9" s="2"/>
    </row>
    <row r="10" spans="1:30" ht="15.75" customHeight="1">
      <c r="A10" s="1052"/>
      <c r="B10" s="1052"/>
      <c r="C10" s="152"/>
      <c r="D10" s="163"/>
      <c r="E10" s="1052"/>
      <c r="F10" s="1052"/>
      <c r="G10" s="1096"/>
      <c r="H10" s="143"/>
      <c r="I10" s="143"/>
      <c r="J10" s="164" t="str">
        <f ca="1">IFERROR(__xludf.DUMMYFUNCTION("""COMPUTED_VALUE"""),"잔금 40%")</f>
        <v>잔금 40%</v>
      </c>
      <c r="K10" s="1052"/>
      <c r="L10" s="155" t="str">
        <f ca="1">IFERROR(__xludf.DUMMYFUNCTION("""COMPUTED_VALUE"""),"=1250000000*0.4")</f>
        <v>=1250000000*0.4</v>
      </c>
      <c r="M10" s="1052"/>
      <c r="N10" s="1052"/>
      <c r="O10" s="2"/>
      <c r="P10" s="156"/>
      <c r="Q10" s="157"/>
      <c r="R10" s="1052"/>
      <c r="S10" s="1096"/>
      <c r="T10" s="149"/>
      <c r="U10" s="1052"/>
      <c r="V10" s="158"/>
      <c r="W10" s="159"/>
      <c r="X10" s="160"/>
      <c r="Y10" s="145"/>
      <c r="Z10" s="2"/>
      <c r="AA10" s="2"/>
      <c r="AB10" s="2"/>
      <c r="AC10" s="2"/>
      <c r="AD10" s="2"/>
    </row>
    <row r="11" spans="1:30" ht="15.75" customHeight="1">
      <c r="A11" s="165"/>
      <c r="B11" s="136"/>
      <c r="C11" s="166"/>
      <c r="D11" s="167"/>
      <c r="E11" s="136"/>
      <c r="F11" s="136"/>
      <c r="G11" s="136"/>
      <c r="H11" s="145"/>
      <c r="I11" s="145"/>
      <c r="J11" s="168"/>
      <c r="K11" s="169"/>
      <c r="L11" s="170"/>
      <c r="M11" s="136"/>
      <c r="N11" s="171"/>
      <c r="O11" s="2"/>
      <c r="P11" s="81"/>
      <c r="Q11" s="172"/>
      <c r="R11" s="171"/>
      <c r="S11" s="172"/>
      <c r="T11" s="173"/>
      <c r="U11" s="149"/>
      <c r="V11" s="34"/>
      <c r="W11" s="151"/>
      <c r="X11" s="145"/>
      <c r="Y11" s="145"/>
      <c r="Z11" s="2"/>
      <c r="AA11" s="2"/>
      <c r="AB11" s="2"/>
      <c r="AC11" s="2"/>
      <c r="AD11" s="2"/>
    </row>
    <row r="12" spans="1:30" ht="15.75" customHeight="1">
      <c r="A12" s="165"/>
      <c r="B12" s="136"/>
      <c r="C12" s="174"/>
      <c r="D12" s="175"/>
      <c r="E12" s="136"/>
      <c r="F12" s="136"/>
      <c r="G12" s="1092"/>
      <c r="H12" s="145"/>
      <c r="I12" s="145"/>
      <c r="J12" s="1100"/>
      <c r="K12" s="1101"/>
      <c r="L12" s="1102"/>
      <c r="M12" s="136"/>
      <c r="N12" s="171"/>
      <c r="O12" s="2"/>
      <c r="P12" s="176"/>
      <c r="Q12" s="24"/>
      <c r="R12" s="171"/>
      <c r="S12" s="172"/>
      <c r="T12" s="149"/>
      <c r="U12" s="149"/>
      <c r="V12" s="34"/>
      <c r="W12" s="177"/>
      <c r="X12" s="178"/>
      <c r="Y12" s="145"/>
      <c r="Z12" s="2"/>
      <c r="AA12" s="2"/>
      <c r="AB12" s="2"/>
      <c r="AC12" s="2"/>
      <c r="AD12" s="2"/>
    </row>
    <row r="13" spans="1:30" ht="15.75" customHeight="1">
      <c r="A13" s="165"/>
      <c r="B13" s="136"/>
      <c r="C13" s="166"/>
      <c r="D13" s="179"/>
      <c r="E13" s="136"/>
      <c r="F13" s="145"/>
      <c r="G13" s="1051"/>
      <c r="H13" s="145"/>
      <c r="I13" s="145"/>
      <c r="J13" s="1051"/>
      <c r="K13" s="1051"/>
      <c r="L13" s="1051"/>
      <c r="M13" s="145"/>
      <c r="N13" s="165"/>
      <c r="O13" s="2"/>
      <c r="P13" s="81"/>
      <c r="Q13" s="172"/>
      <c r="R13" s="171"/>
      <c r="S13" s="180"/>
      <c r="T13" s="149"/>
      <c r="U13" s="149"/>
      <c r="V13" s="34"/>
      <c r="W13" s="151"/>
      <c r="X13" s="181"/>
      <c r="Y13" s="145"/>
      <c r="Z13" s="2"/>
      <c r="AA13" s="2"/>
      <c r="AB13" s="2"/>
      <c r="AC13" s="2"/>
      <c r="AD13" s="2"/>
    </row>
    <row r="14" spans="1:30" ht="15.75" customHeight="1">
      <c r="A14" s="165"/>
      <c r="B14" s="136"/>
      <c r="C14" s="166"/>
      <c r="D14" s="179"/>
      <c r="E14" s="136"/>
      <c r="F14" s="145"/>
      <c r="G14" s="1051"/>
      <c r="H14" s="145"/>
      <c r="I14" s="145"/>
      <c r="J14" s="1051"/>
      <c r="K14" s="1051"/>
      <c r="L14" s="1051"/>
      <c r="M14" s="145"/>
      <c r="N14" s="165"/>
      <c r="O14" s="2"/>
      <c r="P14" s="81"/>
      <c r="Q14" s="24"/>
      <c r="R14" s="171"/>
      <c r="S14" s="180"/>
      <c r="T14" s="149"/>
      <c r="U14" s="149"/>
      <c r="V14" s="34"/>
      <c r="W14" s="151"/>
      <c r="X14" s="181"/>
      <c r="Y14" s="145"/>
      <c r="Z14" s="2"/>
      <c r="AA14" s="2"/>
      <c r="AB14" s="2"/>
      <c r="AC14" s="2"/>
      <c r="AD14" s="2"/>
    </row>
    <row r="15" spans="1:30" ht="15.75" customHeight="1">
      <c r="A15" s="165" t="str">
        <f ca="1">IFERROR(__xludf.DUMMYFUNCTION("""COMPUTED_VALUE"""),"  # 12월 청구분")</f>
        <v xml:space="preserve">  # 12월 청구분</v>
      </c>
      <c r="B15" s="136"/>
      <c r="C15" s="166"/>
      <c r="D15" s="182">
        <f ca="1">IFERROR(__xludf.DUMMYFUNCTION("""COMPUTED_VALUE"""),641990000)</f>
        <v>641990000</v>
      </c>
      <c r="E15" s="136"/>
      <c r="F15" s="145"/>
      <c r="G15" s="1052"/>
      <c r="H15" s="145"/>
      <c r="I15" s="145"/>
      <c r="J15" s="1052"/>
      <c r="K15" s="1052"/>
      <c r="L15" s="1052"/>
      <c r="M15" s="145"/>
      <c r="N15" s="165"/>
      <c r="O15" s="2"/>
      <c r="P15" s="81"/>
      <c r="Q15" s="183"/>
      <c r="R15" s="171"/>
      <c r="S15" s="180"/>
      <c r="T15" s="184"/>
      <c r="U15" s="149"/>
      <c r="V15" s="34"/>
      <c r="W15" s="151"/>
      <c r="X15" s="181"/>
      <c r="Y15" s="145"/>
      <c r="Z15" s="2"/>
      <c r="AA15" s="2"/>
      <c r="AB15" s="2"/>
      <c r="AC15" s="2"/>
      <c r="AD15" s="2"/>
    </row>
    <row r="16" spans="1:30" ht="15.75" customHeight="1">
      <c r="A16" s="165"/>
      <c r="B16" s="136" t="str">
        <f ca="1">IFERROR(__xludf.DUMMYFUNCTION("""COMPUTED_VALUE"""),"대한항공")</f>
        <v>대한항공</v>
      </c>
      <c r="C16" s="174"/>
      <c r="D16" s="175" t="str">
        <f ca="1">IFERROR(__xludf.DUMMYFUNCTION("""COMPUTED_VALUE"""),"12-2 대한항공 B787사업용(2005.1 도입) CATIA S/W RLC(SL3,AM2 외)  ")</f>
        <v xml:space="preserve">12-2 대한항공 B787사업용(2005.1 도입) CATIA S/W RLC(SL3,AM2 외)  </v>
      </c>
      <c r="E16" s="136"/>
      <c r="F16" s="136"/>
      <c r="G16" s="1092" t="str">
        <f ca="1">IFERROR(__xludf.DUMMYFUNCTION("""COMPUTED_VALUE"""),"S240178")</f>
        <v>S240178</v>
      </c>
      <c r="H16" s="145"/>
      <c r="I16" s="145"/>
      <c r="J16" s="1100"/>
      <c r="K16" s="1101" t="str">
        <f ca="1">IFERROR(__xludf.DUMMYFUNCTION("""COMPUTED_VALUE"""),"역")</f>
        <v>역</v>
      </c>
      <c r="L16" s="1102">
        <f ca="1">IFERROR(__xludf.DUMMYFUNCTION("""COMPUTED_VALUE"""),121070000)</f>
        <v>121070000</v>
      </c>
      <c r="M16" s="136"/>
      <c r="N16" s="136"/>
      <c r="O16" s="2"/>
      <c r="P16" s="81" t="str">
        <f ca="1">IFERROR(__xludf.DUMMYFUNCTION("""COMPUTED_VALUE"""),"오상자이엘")</f>
        <v>오상자이엘</v>
      </c>
      <c r="Q16" s="24" t="str">
        <f ca="1">IFERROR(__xludf.DUMMYFUNCTION("""COMPUTED_VALUE"""),"HX-PO-")</f>
        <v>HX-PO-</v>
      </c>
      <c r="R16" s="171" t="str">
        <f ca="1">IFERROR(__xludf.DUMMYFUNCTION("""COMPUTED_VALUE"""),"SELSPA")</f>
        <v>SELSPA</v>
      </c>
      <c r="S16" s="172" t="str">
        <f ca="1">IFERROR(__xludf.DUMMYFUNCTION("""COMPUTED_VALUE"""),"S240178")</f>
        <v>S240178</v>
      </c>
      <c r="T16" s="149"/>
      <c r="U16" s="149"/>
      <c r="V16" s="34">
        <f ca="1">IFERROR(__xludf.DUMMYFUNCTION("""COMPUTED_VALUE"""),116800)</f>
        <v>116800</v>
      </c>
      <c r="W16" s="151">
        <f ca="1">IFERROR(__xludf.DUMMYFUNCTION("""COMPUTED_VALUE"""),128480)</f>
        <v>128480</v>
      </c>
      <c r="X16" s="181" t="str">
        <f ca="1">IFERROR(__xludf.DUMMYFUNCTION("""COMPUTED_VALUE"""),"60일")</f>
        <v>60일</v>
      </c>
      <c r="Y16" s="145"/>
      <c r="Z16" s="2"/>
      <c r="AA16" s="2"/>
      <c r="AB16" s="2"/>
      <c r="AC16" s="2"/>
      <c r="AD16" s="2"/>
    </row>
    <row r="17" spans="1:30" ht="15.75" customHeight="1">
      <c r="A17" s="165"/>
      <c r="B17" s="136" t="str">
        <f ca="1">IFERROR(__xludf.DUMMYFUNCTION("""COMPUTED_VALUE"""),"대한항공")</f>
        <v>대한항공</v>
      </c>
      <c r="C17" s="166"/>
      <c r="D17" s="179" t="str">
        <f ca="1">IFERROR(__xludf.DUMMYFUNCTION("""COMPUTED_VALUE"""),"12-3 대한항공 A320 SL 개발용 - CAESAM(ISAMI) S/W -&gt; 업그레이드")</f>
        <v>12-3 대한항공 A320 SL 개발용 - CAESAM(ISAMI) S/W -&gt; 업그레이드</v>
      </c>
      <c r="E17" s="136"/>
      <c r="F17" s="165"/>
      <c r="G17" s="1052"/>
      <c r="H17" s="145"/>
      <c r="I17" s="145"/>
      <c r="J17" s="1052"/>
      <c r="K17" s="1052"/>
      <c r="L17" s="1052"/>
      <c r="M17" s="145"/>
      <c r="N17" s="165"/>
      <c r="O17" s="2"/>
      <c r="P17" s="81" t="str">
        <f ca="1">IFERROR(__xludf.DUMMYFUNCTION("""COMPUTED_VALUE"""),"키미이에스")</f>
        <v>키미이에스</v>
      </c>
      <c r="Q17" s="183" t="str">
        <f ca="1">IFERROR(__xludf.DUMMYFUNCTION("""COMPUTED_VALUE"""),"HX-PO-")</f>
        <v>HX-PO-</v>
      </c>
      <c r="R17" s="171" t="str">
        <f ca="1">IFERROR(__xludf.DUMMYFUNCTION("""COMPUTED_VALUE"""),"SELSPA")</f>
        <v>SELSPA</v>
      </c>
      <c r="S17" s="180" t="str">
        <f ca="1">IFERROR(__xludf.DUMMYFUNCTION("""COMPUTED_VALUE"""),"S240178")</f>
        <v>S240178</v>
      </c>
      <c r="T17" s="184"/>
      <c r="U17" s="149"/>
      <c r="V17" s="34">
        <f ca="1">IFERROR(__xludf.DUMMYFUNCTION("""COMPUTED_VALUE"""),14602)</f>
        <v>14602</v>
      </c>
      <c r="W17" s="151">
        <f ca="1">IFERROR(__xludf.DUMMYFUNCTION("""COMPUTED_VALUE"""),16062.2)</f>
        <v>16062.2</v>
      </c>
      <c r="X17" s="181" t="str">
        <f ca="1">IFERROR(__xludf.DUMMYFUNCTION("""COMPUTED_VALUE"""),"60일")</f>
        <v>60일</v>
      </c>
      <c r="Y17" s="145"/>
      <c r="Z17" s="2"/>
      <c r="AA17" s="2"/>
      <c r="AB17" s="2"/>
      <c r="AC17" s="2"/>
      <c r="AD17" s="2"/>
    </row>
    <row r="18" spans="1:30" ht="15.75" customHeight="1">
      <c r="A18" s="165"/>
      <c r="B18" s="136" t="str">
        <f ca="1">IFERROR(__xludf.DUMMYFUNCTION("""COMPUTED_VALUE"""),"대한항공")</f>
        <v>대한항공</v>
      </c>
      <c r="C18" s="174"/>
      <c r="D18" s="175" t="str">
        <f ca="1">IFERROR(__xludf.DUMMYFUNCTION("""COMPUTED_VALUE"""),"12-5 대한항공 103 차기 군 위성통신 체계개발사업용 S/W 라이선스")</f>
        <v>12-5 대한항공 103 차기 군 위성통신 체계개발사업용 S/W 라이선스</v>
      </c>
      <c r="E18" s="136"/>
      <c r="F18" s="136"/>
      <c r="G18" s="1092" t="str">
        <f ca="1">IFERROR(__xludf.DUMMYFUNCTION("""COMPUTED_VALUE"""),"S240178")</f>
        <v>S240178</v>
      </c>
      <c r="H18" s="145"/>
      <c r="I18" s="145"/>
      <c r="J18" s="1100"/>
      <c r="K18" s="1101" t="str">
        <f ca="1">IFERROR(__xludf.DUMMYFUNCTION("""COMPUTED_VALUE"""),"역")</f>
        <v>역</v>
      </c>
      <c r="L18" s="1102">
        <f ca="1">IFERROR(__xludf.DUMMYFUNCTION("""COMPUTED_VALUE"""),19602000)</f>
        <v>19602000</v>
      </c>
      <c r="M18" s="136"/>
      <c r="N18" s="136"/>
      <c r="O18" s="2"/>
      <c r="P18" s="105" t="str">
        <f ca="1">IFERROR(__xludf.DUMMYFUNCTION("""COMPUTED_VALUE"""),"매스웍스코리아")</f>
        <v>매스웍스코리아</v>
      </c>
      <c r="Q18" s="24" t="str">
        <f ca="1">IFERROR(__xludf.DUMMYFUNCTION("""COMPUTED_VALUE"""),"HX-PO-")</f>
        <v>HX-PO-</v>
      </c>
      <c r="R18" s="171" t="str">
        <f ca="1">IFERROR(__xludf.DUMMYFUNCTION("""COMPUTED_VALUE"""),"SELSPA")</f>
        <v>SELSPA</v>
      </c>
      <c r="S18" s="172" t="str">
        <f ca="1">IFERROR(__xludf.DUMMYFUNCTION("""COMPUTED_VALUE"""),"S240178")</f>
        <v>S240178</v>
      </c>
      <c r="T18" s="149"/>
      <c r="U18" s="149"/>
      <c r="V18" s="34">
        <f ca="1">IFERROR(__xludf.DUMMYFUNCTION("""COMPUTED_VALUE"""),27960)</f>
        <v>27960</v>
      </c>
      <c r="W18" s="151">
        <f ca="1">IFERROR(__xludf.DUMMYFUNCTION("""COMPUTED_VALUE"""),30756)</f>
        <v>30756</v>
      </c>
      <c r="X18" s="181" t="str">
        <f ca="1">IFERROR(__xludf.DUMMYFUNCTION("""COMPUTED_VALUE"""),"30일")</f>
        <v>30일</v>
      </c>
      <c r="Y18" s="145"/>
      <c r="Z18" s="2"/>
      <c r="AA18" s="2"/>
      <c r="AB18" s="2"/>
      <c r="AC18" s="2"/>
      <c r="AD18" s="2"/>
    </row>
    <row r="19" spans="1:30" ht="15.75" customHeight="1">
      <c r="A19" s="165"/>
      <c r="B19" s="136" t="str">
        <f ca="1">IFERROR(__xludf.DUMMYFUNCTION("""COMPUTED_VALUE"""),"대한항공")</f>
        <v>대한항공</v>
      </c>
      <c r="C19" s="166"/>
      <c r="D19" s="179" t="str">
        <f ca="1">IFERROR(__xludf.DUMMYFUNCTION("""COMPUTED_VALUE"""),"12-6 대한항공 중형기 탐색개발 사업용(중형항공기 국제공동개발) S/W 라이선스")</f>
        <v>12-6 대한항공 중형기 탐색개발 사업용(중형항공기 국제공동개발) S/W 라이선스</v>
      </c>
      <c r="E19" s="136"/>
      <c r="F19" s="165"/>
      <c r="G19" s="1051"/>
      <c r="H19" s="145"/>
      <c r="I19" s="145"/>
      <c r="J19" s="1051"/>
      <c r="K19" s="1051"/>
      <c r="L19" s="1051"/>
      <c r="M19" s="145"/>
      <c r="N19" s="165"/>
      <c r="O19" s="2"/>
      <c r="P19" s="81" t="str">
        <f ca="1">IFERROR(__xludf.DUMMYFUNCTION("""COMPUTED_VALUE"""),"알테어엔지니어링")</f>
        <v>알테어엔지니어링</v>
      </c>
      <c r="Q19" s="24" t="str">
        <f ca="1">IFERROR(__xludf.DUMMYFUNCTION("""COMPUTED_VALUE"""),"HX-PO-")</f>
        <v>HX-PO-</v>
      </c>
      <c r="R19" s="171" t="str">
        <f ca="1">IFERROR(__xludf.DUMMYFUNCTION("""COMPUTED_VALUE"""),"SELSPA")</f>
        <v>SELSPA</v>
      </c>
      <c r="S19" s="180" t="str">
        <f ca="1">IFERROR(__xludf.DUMMYFUNCTION("""COMPUTED_VALUE"""),"S240178")</f>
        <v>S240178</v>
      </c>
      <c r="T19" s="149"/>
      <c r="U19" s="149"/>
      <c r="V19" s="34">
        <f ca="1">IFERROR(__xludf.DUMMYFUNCTION("""COMPUTED_VALUE"""),11760)</f>
        <v>11760</v>
      </c>
      <c r="W19" s="151">
        <f ca="1">IFERROR(__xludf.DUMMYFUNCTION("""COMPUTED_VALUE"""),12936)</f>
        <v>12936</v>
      </c>
      <c r="X19" s="181" t="str">
        <f ca="1">IFERROR(__xludf.DUMMYFUNCTION("""COMPUTED_VALUE"""),"60일")</f>
        <v>60일</v>
      </c>
      <c r="Y19" s="145"/>
      <c r="Z19" s="2"/>
      <c r="AA19" s="2"/>
      <c r="AB19" s="2"/>
      <c r="AC19" s="2"/>
      <c r="AD19" s="2"/>
    </row>
    <row r="20" spans="1:30" ht="15.75" customHeight="1">
      <c r="A20" s="165"/>
      <c r="B20" s="136" t="str">
        <f ca="1">IFERROR(__xludf.DUMMYFUNCTION("""COMPUTED_VALUE"""),"대한항공")</f>
        <v>대한항공</v>
      </c>
      <c r="C20" s="166"/>
      <c r="D20" s="179" t="str">
        <f ca="1">IFERROR(__xludf.DUMMYFUNCTION("""COMPUTED_VALUE"""),"12-7 대한항공 차세대 날개개발_PAM")</f>
        <v>12-7 대한항공 차세대 날개개발_PAM</v>
      </c>
      <c r="E20" s="136"/>
      <c r="F20" s="165"/>
      <c r="G20" s="1052"/>
      <c r="H20" s="145"/>
      <c r="I20" s="145"/>
      <c r="J20" s="1052"/>
      <c r="K20" s="1052"/>
      <c r="L20" s="1052"/>
      <c r="M20" s="145"/>
      <c r="N20" s="165"/>
      <c r="O20" s="2"/>
      <c r="P20" s="81" t="str">
        <f ca="1">IFERROR(__xludf.DUMMYFUNCTION("""COMPUTED_VALUE"""),"한국이에스아이")</f>
        <v>한국이에스아이</v>
      </c>
      <c r="Q20" s="24" t="str">
        <f ca="1">IFERROR(__xludf.DUMMYFUNCTION("""COMPUTED_VALUE"""),"HX-PO-")</f>
        <v>HX-PO-</v>
      </c>
      <c r="R20" s="171" t="str">
        <f ca="1">IFERROR(__xludf.DUMMYFUNCTION("""COMPUTED_VALUE"""),"SELSPA")</f>
        <v>SELSPA</v>
      </c>
      <c r="S20" s="180" t="str">
        <f ca="1">IFERROR(__xludf.DUMMYFUNCTION("""COMPUTED_VALUE"""),"S240178")</f>
        <v>S240178</v>
      </c>
      <c r="T20" s="173"/>
      <c r="U20" s="149"/>
      <c r="V20" s="34">
        <f ca="1">IFERROR(__xludf.DUMMYFUNCTION("""COMPUTED_VALUE"""),33681)</f>
        <v>33681</v>
      </c>
      <c r="W20" s="151">
        <f ca="1">IFERROR(__xludf.DUMMYFUNCTION("""COMPUTED_VALUE"""),37049.1)</f>
        <v>37049.1</v>
      </c>
      <c r="X20" s="181" t="str">
        <f ca="1">IFERROR(__xludf.DUMMYFUNCTION("""COMPUTED_VALUE"""),"60일")</f>
        <v>60일</v>
      </c>
      <c r="Y20" s="145"/>
      <c r="Z20" s="2"/>
      <c r="AA20" s="2"/>
      <c r="AB20" s="2"/>
      <c r="AC20" s="2"/>
      <c r="AD20" s="2"/>
    </row>
    <row r="21" spans="1:30" ht="15.75" customHeight="1">
      <c r="A21" s="165"/>
      <c r="B21" s="136" t="str">
        <f ca="1">IFERROR(__xludf.DUMMYFUNCTION("""COMPUTED_VALUE"""),"대한항공")</f>
        <v>대한항공</v>
      </c>
      <c r="C21" s="185"/>
      <c r="D21" s="167" t="str">
        <f ca="1">IFERROR(__xludf.DUMMYFUNCTION("""COMPUTED_VALUE"""),"12-8 대한항공 저피탐 무인편대기 비행체")</f>
        <v>12-8 대한항공 저피탐 무인편대기 비행체</v>
      </c>
      <c r="E21" s="136"/>
      <c r="F21" s="171"/>
      <c r="G21" s="136" t="str">
        <f ca="1">IFERROR(__xludf.DUMMYFUNCTION("""COMPUTED_VALUE"""),"S240178")</f>
        <v>S240178</v>
      </c>
      <c r="H21" s="145"/>
      <c r="I21" s="145"/>
      <c r="J21" s="186"/>
      <c r="K21" s="169" t="str">
        <f ca="1">IFERROR(__xludf.DUMMYFUNCTION("""COMPUTED_VALUE"""),"역")</f>
        <v>역</v>
      </c>
      <c r="L21" s="170">
        <f ca="1">IFERROR(__xludf.DUMMYFUNCTION("""COMPUTED_VALUE"""),96050000)</f>
        <v>96050000</v>
      </c>
      <c r="M21" s="136"/>
      <c r="N21" s="171"/>
      <c r="O21" s="2"/>
      <c r="P21" s="81" t="str">
        <f ca="1">IFERROR(__xludf.DUMMYFUNCTION("""COMPUTED_VALUE"""),"테너지소프트")</f>
        <v>테너지소프트</v>
      </c>
      <c r="Q21" s="183" t="str">
        <f ca="1">IFERROR(__xludf.DUMMYFUNCTION("""COMPUTED_VALUE"""),"HX-PO-")</f>
        <v>HX-PO-</v>
      </c>
      <c r="R21" s="171" t="str">
        <f ca="1">IFERROR(__xludf.DUMMYFUNCTION("""COMPUTED_VALUE"""),"SELSPA")</f>
        <v>SELSPA</v>
      </c>
      <c r="S21" s="172" t="str">
        <f ca="1">IFERROR(__xludf.DUMMYFUNCTION("""COMPUTED_VALUE"""),"S240178")</f>
        <v>S240178</v>
      </c>
      <c r="T21" s="184"/>
      <c r="U21" s="149"/>
      <c r="V21" s="34">
        <f ca="1">IFERROR(__xludf.DUMMYFUNCTION("""COMPUTED_VALUE"""),60083)</f>
        <v>60083</v>
      </c>
      <c r="W21" s="151">
        <f ca="1">IFERROR(__xludf.DUMMYFUNCTION("""COMPUTED_VALUE"""),66091.3)</f>
        <v>66091.3</v>
      </c>
      <c r="X21" s="181" t="str">
        <f ca="1">IFERROR(__xludf.DUMMYFUNCTION("""COMPUTED_VALUE"""),"60일")</f>
        <v>60일</v>
      </c>
      <c r="Y21" s="145"/>
      <c r="Z21" s="2"/>
      <c r="AA21" s="2"/>
      <c r="AB21" s="2"/>
      <c r="AC21" s="2"/>
      <c r="AD21" s="2"/>
    </row>
    <row r="22" spans="1:30" ht="15.75" customHeight="1">
      <c r="A22" s="165"/>
      <c r="B22" s="136"/>
      <c r="C22" s="146"/>
      <c r="D22" s="187"/>
      <c r="E22" s="136"/>
      <c r="F22" s="165"/>
      <c r="G22" s="171"/>
      <c r="H22" s="145"/>
      <c r="I22" s="145"/>
      <c r="J22" s="186"/>
      <c r="K22" s="169"/>
      <c r="L22" s="170"/>
      <c r="M22" s="136"/>
      <c r="N22" s="171"/>
      <c r="O22" s="2"/>
      <c r="P22" s="81" t="str">
        <f ca="1">IFERROR(__xludf.DUMMYFUNCTION("""COMPUTED_VALUE"""),"MDS테크")</f>
        <v>MDS테크</v>
      </c>
      <c r="Q22" s="24" t="str">
        <f ca="1">IFERROR(__xludf.DUMMYFUNCTION("""COMPUTED_VALUE"""),"HX-PO-")</f>
        <v>HX-PO-</v>
      </c>
      <c r="R22" s="171" t="str">
        <f ca="1">IFERROR(__xludf.DUMMYFUNCTION("""COMPUTED_VALUE"""),"SELSPA")</f>
        <v>SELSPA</v>
      </c>
      <c r="S22" s="172"/>
      <c r="T22" s="149"/>
      <c r="U22" s="149"/>
      <c r="V22" s="34">
        <f ca="1">IFERROR(__xludf.DUMMYFUNCTION("""COMPUTED_VALUE"""),9900)</f>
        <v>9900</v>
      </c>
      <c r="W22" s="151">
        <f ca="1">IFERROR(__xludf.DUMMYFUNCTION("""COMPUTED_VALUE"""),10890)</f>
        <v>10890</v>
      </c>
      <c r="X22" s="181" t="str">
        <f ca="1">IFERROR(__xludf.DUMMYFUNCTION("""COMPUTED_VALUE"""),"60일")</f>
        <v>60일</v>
      </c>
      <c r="Y22" s="145"/>
      <c r="Z22" s="2"/>
      <c r="AA22" s="2"/>
      <c r="AB22" s="2"/>
      <c r="AC22" s="2"/>
      <c r="AD22" s="2"/>
    </row>
    <row r="23" spans="1:30" ht="15.75" customHeight="1">
      <c r="A23" s="165"/>
      <c r="B23" s="136"/>
      <c r="C23" s="145"/>
      <c r="D23" s="188"/>
      <c r="E23" s="136"/>
      <c r="F23" s="165"/>
      <c r="G23" s="172"/>
      <c r="H23" s="145"/>
      <c r="I23" s="145"/>
      <c r="J23" s="186"/>
      <c r="K23" s="169"/>
      <c r="L23" s="170"/>
      <c r="M23" s="136"/>
      <c r="N23" s="171"/>
      <c r="O23" s="2"/>
      <c r="P23" s="81" t="str">
        <f ca="1">IFERROR(__xludf.DUMMYFUNCTION("""COMPUTED_VALUE"""),"애드아이씨티")</f>
        <v>애드아이씨티</v>
      </c>
      <c r="Q23" s="24" t="str">
        <f ca="1">IFERROR(__xludf.DUMMYFUNCTION("""COMPUTED_VALUE"""),"HX-PO-")</f>
        <v>HX-PO-</v>
      </c>
      <c r="R23" s="171" t="str">
        <f ca="1">IFERROR(__xludf.DUMMYFUNCTION("""COMPUTED_VALUE"""),"SELSPA")</f>
        <v>SELSPA</v>
      </c>
      <c r="S23" s="172"/>
      <c r="T23" s="149"/>
      <c r="U23" s="149"/>
      <c r="V23" s="34">
        <f ca="1">IFERROR(__xludf.DUMMYFUNCTION("""COMPUTED_VALUE"""),22000)</f>
        <v>22000</v>
      </c>
      <c r="W23" s="151">
        <f ca="1">IFERROR(__xludf.DUMMYFUNCTION("""COMPUTED_VALUE"""),24200)</f>
        <v>24200</v>
      </c>
      <c r="X23" s="181" t="str">
        <f ca="1">IFERROR(__xludf.DUMMYFUNCTION("""COMPUTED_VALUE"""),"60일")</f>
        <v>60일</v>
      </c>
      <c r="Y23" s="145"/>
      <c r="Z23" s="2"/>
      <c r="AA23" s="2"/>
      <c r="AB23" s="2"/>
      <c r="AC23" s="2"/>
      <c r="AD23" s="2"/>
    </row>
    <row r="24" spans="1:30" ht="15.75" customHeight="1">
      <c r="A24" s="165"/>
      <c r="B24" s="136"/>
      <c r="C24" s="145"/>
      <c r="D24" s="187"/>
      <c r="E24" s="136"/>
      <c r="F24" s="171"/>
      <c r="G24" s="171"/>
      <c r="H24" s="145"/>
      <c r="I24" s="145"/>
      <c r="J24" s="189"/>
      <c r="K24" s="169"/>
      <c r="L24" s="190"/>
      <c r="M24" s="136"/>
      <c r="N24" s="191"/>
      <c r="O24" s="2"/>
      <c r="P24" s="81" t="str">
        <f ca="1">IFERROR(__xludf.DUMMYFUNCTION("""COMPUTED_VALUE"""),"제이알맥스")</f>
        <v>제이알맥스</v>
      </c>
      <c r="Q24" s="24" t="str">
        <f ca="1">IFERROR(__xludf.DUMMYFUNCTION("""COMPUTED_VALUE"""),"HX-PO-")</f>
        <v>HX-PO-</v>
      </c>
      <c r="R24" s="171" t="str">
        <f ca="1">IFERROR(__xludf.DUMMYFUNCTION("""COMPUTED_VALUE"""),"SELSPA")</f>
        <v>SELSPA</v>
      </c>
      <c r="S24" s="172"/>
      <c r="T24" s="149"/>
      <c r="U24" s="149"/>
      <c r="V24" s="34">
        <f ca="1">IFERROR(__xludf.DUMMYFUNCTION("""COMPUTED_VALUE"""),1060)</f>
        <v>1060</v>
      </c>
      <c r="W24" s="146">
        <f ca="1">IFERROR(__xludf.DUMMYFUNCTION("""COMPUTED_VALUE"""),1166)</f>
        <v>1166</v>
      </c>
      <c r="X24" s="145" t="str">
        <f ca="1">IFERROR(__xludf.DUMMYFUNCTION("""COMPUTED_VALUE"""),"60일")</f>
        <v>60일</v>
      </c>
      <c r="Y24" s="145"/>
      <c r="Z24" s="2"/>
      <c r="AA24" s="2"/>
      <c r="AB24" s="2"/>
      <c r="AC24" s="2"/>
      <c r="AD24" s="2"/>
    </row>
    <row r="25" spans="1:30" ht="15.75" customHeight="1">
      <c r="A25" s="165"/>
      <c r="B25" s="145" t="str">
        <f ca="1">IFERROR(__xludf.DUMMYFUNCTION("""COMPUTED_VALUE"""),"대한항공")</f>
        <v>대한항공</v>
      </c>
      <c r="C25" s="145"/>
      <c r="D25" s="145" t="str">
        <f ca="1">IFERROR(__xludf.DUMMYFUNCTION("""COMPUTED_VALUE"""),"12-9 대한항공 항공우주사업 재개22/유지보수 재개 ('22년)")</f>
        <v>12-9 대한항공 항공우주사업 재개22/유지보수 재개 ('22년)</v>
      </c>
      <c r="E25" s="145"/>
      <c r="F25" s="165"/>
      <c r="G25" s="165" t="str">
        <f ca="1">IFERROR(__xludf.DUMMYFUNCTION("""COMPUTED_VALUE"""),"S240178")</f>
        <v>S240178</v>
      </c>
      <c r="H25" s="145"/>
      <c r="I25" s="145"/>
      <c r="J25" s="145"/>
      <c r="K25" s="145" t="str">
        <f ca="1">IFERROR(__xludf.DUMMYFUNCTION("""COMPUTED_VALUE"""),"역")</f>
        <v>역</v>
      </c>
      <c r="L25" s="146">
        <f ca="1">IFERROR(__xludf.DUMMYFUNCTION("""COMPUTED_VALUE"""),107570000)</f>
        <v>107570000</v>
      </c>
      <c r="M25" s="145"/>
      <c r="N25" s="165"/>
      <c r="O25" s="2"/>
      <c r="P25" s="148" t="str">
        <f ca="1">IFERROR(__xludf.DUMMYFUNCTION("""COMPUTED_VALUE"""),"태성에스엔이")</f>
        <v>태성에스엔이</v>
      </c>
      <c r="Q25" s="148" t="str">
        <f ca="1">IFERROR(__xludf.DUMMYFUNCTION("""COMPUTED_VALUE"""),"HX-PO-")</f>
        <v>HX-PO-</v>
      </c>
      <c r="R25" s="165" t="str">
        <f ca="1">IFERROR(__xludf.DUMMYFUNCTION("""COMPUTED_VALUE"""),"SELSPA")</f>
        <v>SELSPA</v>
      </c>
      <c r="S25" s="192" t="str">
        <f ca="1">IFERROR(__xludf.DUMMYFUNCTION("""COMPUTED_VALUE"""),"S240178")</f>
        <v>S240178</v>
      </c>
      <c r="T25" s="149"/>
      <c r="U25" s="149"/>
      <c r="V25" s="150">
        <f ca="1">IFERROR(__xludf.DUMMYFUNCTION("""COMPUTED_VALUE"""),101000)</f>
        <v>101000</v>
      </c>
      <c r="W25" s="146">
        <f ca="1">IFERROR(__xludf.DUMMYFUNCTION("""COMPUTED_VALUE"""),111100)</f>
        <v>111100</v>
      </c>
      <c r="X25" s="145" t="str">
        <f ca="1">IFERROR(__xludf.DUMMYFUNCTION("""COMPUTED_VALUE"""),"60일")</f>
        <v>60일</v>
      </c>
      <c r="Y25" s="145"/>
      <c r="Z25" s="2"/>
      <c r="AA25" s="2"/>
      <c r="AB25" s="2"/>
      <c r="AC25" s="2"/>
      <c r="AD25" s="2"/>
    </row>
    <row r="26" spans="1:30" ht="15.75" customHeight="1">
      <c r="A26" s="165"/>
      <c r="B26" s="145"/>
      <c r="C26" s="145"/>
      <c r="D26" s="145"/>
      <c r="E26" s="145"/>
      <c r="F26" s="165"/>
      <c r="G26" s="165" t="str">
        <f ca="1">IFERROR(__xludf.DUMMYFUNCTION("""COMPUTED_VALUE"""),"S240178")</f>
        <v>S240178</v>
      </c>
      <c r="H26" s="145"/>
      <c r="I26" s="145"/>
      <c r="J26" s="145"/>
      <c r="K26" s="145" t="str">
        <f ca="1">IFERROR(__xludf.DUMMYFUNCTION("""COMPUTED_VALUE"""),"역")</f>
        <v>역</v>
      </c>
      <c r="L26" s="146">
        <f ca="1">IFERROR(__xludf.DUMMYFUNCTION("""COMPUTED_VALUE"""),30970000)</f>
        <v>30970000</v>
      </c>
      <c r="M26" s="145"/>
      <c r="N26" s="165"/>
      <c r="O26" s="2"/>
      <c r="P26" s="148" t="str">
        <f ca="1">IFERROR(__xludf.DUMMYFUNCTION("""COMPUTED_VALUE"""),"에스브이디")</f>
        <v>에스브이디</v>
      </c>
      <c r="Q26" s="148" t="str">
        <f ca="1">IFERROR(__xludf.DUMMYFUNCTION("""COMPUTED_VALUE"""),"HX-PO-")</f>
        <v>HX-PO-</v>
      </c>
      <c r="R26" s="165" t="str">
        <f ca="1">IFERROR(__xludf.DUMMYFUNCTION("""COMPUTED_VALUE"""),"SELSPA")</f>
        <v>SELSPA</v>
      </c>
      <c r="S26" s="192" t="str">
        <f ca="1">IFERROR(__xludf.DUMMYFUNCTION("""COMPUTED_VALUE"""),"S240178")</f>
        <v>S240178</v>
      </c>
      <c r="T26" s="149"/>
      <c r="U26" s="149"/>
      <c r="V26" s="150">
        <f ca="1">IFERROR(__xludf.DUMMYFUNCTION("""COMPUTED_VALUE"""),30000)</f>
        <v>30000</v>
      </c>
      <c r="W26" s="151">
        <f ca="1">IFERROR(__xludf.DUMMYFUNCTION("""COMPUTED_VALUE"""),33000)</f>
        <v>33000</v>
      </c>
      <c r="X26" s="145" t="str">
        <f ca="1">IFERROR(__xludf.DUMMYFUNCTION("""COMPUTED_VALUE"""),"60일")</f>
        <v>60일</v>
      </c>
      <c r="Y26" s="145"/>
      <c r="Z26" s="2"/>
      <c r="AA26" s="2"/>
      <c r="AB26" s="2"/>
      <c r="AC26" s="2"/>
      <c r="AD26" s="2"/>
    </row>
    <row r="27" spans="1:30" ht="15.75" customHeight="1">
      <c r="A27" s="142"/>
      <c r="B27" s="143" t="str">
        <f ca="1">IFERROR(__xludf.DUMMYFUNCTION("""COMPUTED_VALUE"""),"대한항공")</f>
        <v>대한항공</v>
      </c>
      <c r="C27" s="143"/>
      <c r="D27" s="193" t="str">
        <f ca="1">IFERROR(__xludf.DUMMYFUNCTION("""COMPUTED_VALUE"""),"대한항공 비대면 원격검사시스템 구축 ")</f>
        <v xml:space="preserve">대한항공 비대면 원격검사시스템 구축 </v>
      </c>
      <c r="E27" s="145"/>
      <c r="F27" s="165" t="str">
        <f ca="1">IFERROR(__xludf.DUMMYFUNCTION("""COMPUTED_VALUE"""),"용역수익_일반")</f>
        <v>용역수익_일반</v>
      </c>
      <c r="G27" s="165" t="str">
        <f ca="1">IFERROR(__xludf.DUMMYFUNCTION("""COMPUTED_VALUE"""),"R240036")</f>
        <v>R240036</v>
      </c>
      <c r="H27" s="145"/>
      <c r="I27" s="145"/>
      <c r="J27" s="194"/>
      <c r="K27" s="145"/>
      <c r="L27" s="146" t="str">
        <f ca="1">IFERROR(__xludf.DUMMYFUNCTION("""COMPUTED_VALUE"""),"74,052,000")</f>
        <v>74,052,000</v>
      </c>
      <c r="M27" s="145"/>
      <c r="N27" s="165"/>
      <c r="O27" s="2"/>
      <c r="P27" s="148" t="str">
        <f ca="1">IFERROR(__xludf.DUMMYFUNCTION("""COMPUTED_VALUE"""),"윌네트")</f>
        <v>윌네트</v>
      </c>
      <c r="Q27" s="148" t="str">
        <f ca="1">IFERROR(__xludf.DUMMYFUNCTION("""COMPUTED_VALUE"""),"HX-PO-15238")</f>
        <v>HX-PO-15238</v>
      </c>
      <c r="R27" s="165"/>
      <c r="S27" s="192"/>
      <c r="T27" s="149" t="str">
        <f ca="1">IFERROR(__xludf.DUMMYFUNCTION("""COMPUTED_VALUE"""),"API240702이수임1554")</f>
        <v>API240702이수임1554</v>
      </c>
      <c r="U27" s="149">
        <f ca="1">IFERROR(__xludf.DUMMYFUNCTION("""COMPUTED_VALUE"""),45475)</f>
        <v>45475</v>
      </c>
      <c r="V27" s="150">
        <f ca="1">IFERROR(__xludf.DUMMYFUNCTION("""COMPUTED_VALUE"""),57300000)</f>
        <v>57300000</v>
      </c>
      <c r="W27" s="151"/>
      <c r="X27" s="145"/>
      <c r="Y27" s="145"/>
      <c r="Z27" s="2"/>
      <c r="AA27" s="2"/>
      <c r="AB27" s="2"/>
      <c r="AC27" s="2"/>
      <c r="AD27" s="2"/>
    </row>
    <row r="28" spans="1:30" ht="15.75" customHeight="1">
      <c r="A28" s="171"/>
      <c r="B28" s="136" t="str">
        <f ca="1">IFERROR(__xludf.DUMMYFUNCTION("""COMPUTED_VALUE"""),"대한항공")</f>
        <v>대한항공</v>
      </c>
      <c r="C28" s="185"/>
      <c r="D28" s="167" t="str">
        <f ca="1">IFERROR(__xludf.DUMMYFUNCTION("""COMPUTED_VALUE"""),"대한항공 비대면 원격검사시스템 구축 ")</f>
        <v xml:space="preserve">대한항공 비대면 원격검사시스템 구축 </v>
      </c>
      <c r="E28" s="136"/>
      <c r="F28" s="171" t="str">
        <f ca="1">IFERROR(__xludf.DUMMYFUNCTION("""COMPUTED_VALUE"""),"용역수익_일반")</f>
        <v>용역수익_일반</v>
      </c>
      <c r="G28" s="171" t="str">
        <f ca="1">IFERROR(__xludf.DUMMYFUNCTION("""COMPUTED_VALUE"""),"R240036")</f>
        <v>R240036</v>
      </c>
      <c r="H28" s="145"/>
      <c r="I28" s="145"/>
      <c r="J28" s="145"/>
      <c r="K28" s="169"/>
      <c r="L28" s="195">
        <f ca="1">IFERROR(__xludf.DUMMYFUNCTION("""COMPUTED_VALUE"""),172788000)</f>
        <v>172788000</v>
      </c>
      <c r="M28" s="136"/>
      <c r="N28" s="171"/>
      <c r="O28" s="2"/>
      <c r="P28" s="81" t="str">
        <f ca="1">IFERROR(__xludf.DUMMYFUNCTION("""COMPUTED_VALUE"""),"윌네트")</f>
        <v>윌네트</v>
      </c>
      <c r="Q28" s="24" t="str">
        <f ca="1">IFERROR(__xludf.DUMMYFUNCTION("""COMPUTED_VALUE"""),"HX-PO-15238")</f>
        <v>HX-PO-15238</v>
      </c>
      <c r="R28" s="171" t="str">
        <f ca="1">IFERROR(__xludf.DUMMYFUNCTION("""COMPUTED_VALUE"""),"SELSPA")</f>
        <v>SELSPA</v>
      </c>
      <c r="S28" s="172" t="str">
        <f ca="1">IFERROR(__xludf.DUMMYFUNCTION("""COMPUTED_VALUE"""),"R240036")</f>
        <v>R240036</v>
      </c>
      <c r="T28" s="149"/>
      <c r="U28" s="149"/>
      <c r="V28" s="34"/>
      <c r="W28" s="151"/>
      <c r="X28" s="181"/>
      <c r="Y28" s="145"/>
      <c r="Z28" s="2"/>
      <c r="AA28" s="2"/>
      <c r="AB28" s="2"/>
      <c r="AC28" s="2"/>
      <c r="AD28" s="2"/>
    </row>
    <row r="29" spans="1:30" ht="15.75" customHeight="1">
      <c r="A29" s="165"/>
      <c r="B29" s="145" t="str">
        <f ca="1">IFERROR(__xludf.DUMMYFUNCTION("""COMPUTED_VALUE"""),"현대무벡스")</f>
        <v>현대무벡스</v>
      </c>
      <c r="C29" s="145" t="str">
        <f ca="1">IFERROR(__xludf.DUMMYFUNCTION("""COMPUTED_VALUE"""),"11월  청구??")</f>
        <v>11월  청구??</v>
      </c>
      <c r="D29" s="196" t="str">
        <f ca="1">IFERROR(__xludf.DUMMYFUNCTION("""COMPUTED_VALUE"""),"현대무벡스 다카공항 CMS 시스템 (추가) -잔금 33%    /면세")</f>
        <v>현대무벡스 다카공항 CMS 시스템 (추가) -잔금 33%    /면세</v>
      </c>
      <c r="E29" s="145" t="str">
        <f ca="1">IFERROR(__xludf.DUMMYFUNCTION("""COMPUTED_VALUE"""),"SELSPA")</f>
        <v>SELSPA</v>
      </c>
      <c r="F29" s="165" t="str">
        <f ca="1">IFERROR(__xludf.DUMMYFUNCTION("""COMPUTED_VALUE"""),"용역수익_중점")</f>
        <v>용역수익_중점</v>
      </c>
      <c r="G29" s="172" t="str">
        <f ca="1">IFERROR(__xludf.DUMMYFUNCTION("""COMPUTED_VALUE"""),"P200010")</f>
        <v>P200010</v>
      </c>
      <c r="H29" s="145"/>
      <c r="I29" s="145"/>
      <c r="J29" s="145"/>
      <c r="K29" s="169" t="str">
        <f ca="1">IFERROR(__xludf.DUMMYFUNCTION("""COMPUTED_VALUE"""),"정")</f>
        <v>정</v>
      </c>
      <c r="L29" s="197">
        <f ca="1">IFERROR(__xludf.DUMMYFUNCTION("""COMPUTED_VALUE"""),33000000)</f>
        <v>33000000</v>
      </c>
      <c r="M29" s="145" t="str">
        <f ca="1">IFERROR(__xludf.DUMMYFUNCTION("""COMPUTED_VALUE"""),"30일")</f>
        <v>30일</v>
      </c>
      <c r="N29" s="165" t="str">
        <f ca="1">IFERROR(__xludf.DUMMYFUNCTION("""COMPUTED_VALUE"""),"이세영 매니저 02-3782-1616 sy.lee@hyundaimovex.com")</f>
        <v>이세영 매니저 02-3782-1616 sy.lee@hyundaimovex.com</v>
      </c>
      <c r="O29" s="2"/>
      <c r="P29" s="145" t="str">
        <f ca="1">IFERROR(__xludf.DUMMYFUNCTION("""COMPUTED_VALUE"""),"없음")</f>
        <v>없음</v>
      </c>
      <c r="Q29" s="24"/>
      <c r="R29" s="171"/>
      <c r="S29" s="172"/>
      <c r="T29" s="198"/>
      <c r="U29" s="165"/>
      <c r="V29" s="151"/>
      <c r="W29" s="177"/>
      <c r="X29" s="178"/>
      <c r="Y29" s="145"/>
      <c r="Z29" s="2"/>
      <c r="AA29" s="2"/>
      <c r="AB29" s="2"/>
      <c r="AC29" s="2"/>
      <c r="AD29" s="2"/>
    </row>
    <row r="30" spans="1:30" ht="15.75" customHeight="1">
      <c r="A30" s="165"/>
      <c r="B30" s="145"/>
      <c r="C30" s="145"/>
      <c r="D30" s="145"/>
      <c r="E30" s="145"/>
      <c r="F30" s="165"/>
      <c r="G30" s="165"/>
      <c r="H30" s="145"/>
      <c r="I30" s="145"/>
      <c r="J30" s="145"/>
      <c r="K30" s="145"/>
      <c r="L30" s="146"/>
      <c r="M30" s="145"/>
      <c r="N30" s="165"/>
      <c r="O30" s="2"/>
      <c r="P30" s="145"/>
      <c r="Q30" s="145"/>
      <c r="R30" s="165"/>
      <c r="S30" s="165"/>
      <c r="T30" s="165"/>
      <c r="U30" s="165"/>
      <c r="V30" s="146"/>
      <c r="W30" s="146"/>
      <c r="X30" s="145"/>
      <c r="Y30" s="145"/>
      <c r="Z30" s="2"/>
      <c r="AA30" s="2"/>
      <c r="AB30" s="2"/>
      <c r="AC30" s="2"/>
      <c r="AD30" s="2"/>
    </row>
    <row r="31" spans="1:30" ht="15.75" customHeight="1">
      <c r="A31" s="165"/>
      <c r="B31" s="145"/>
      <c r="C31" s="145"/>
      <c r="D31" s="145"/>
      <c r="E31" s="145"/>
      <c r="F31" s="165"/>
      <c r="G31" s="165"/>
      <c r="H31" s="145"/>
      <c r="I31" s="145"/>
      <c r="J31" s="145"/>
      <c r="K31" s="145"/>
      <c r="L31" s="146"/>
      <c r="M31" s="145"/>
      <c r="N31" s="165"/>
      <c r="O31" s="2"/>
      <c r="P31" s="145"/>
      <c r="Q31" s="145"/>
      <c r="R31" s="165"/>
      <c r="S31" s="165"/>
      <c r="T31" s="165"/>
      <c r="U31" s="165"/>
      <c r="V31" s="146"/>
      <c r="W31" s="146"/>
      <c r="X31" s="145"/>
      <c r="Y31" s="145"/>
      <c r="Z31" s="2"/>
      <c r="AA31" s="2"/>
      <c r="AB31" s="2"/>
      <c r="AC31" s="2"/>
      <c r="AD31" s="2"/>
    </row>
    <row r="32" spans="1:30" ht="15.75" customHeight="1">
      <c r="A32" s="142"/>
      <c r="B32" s="143"/>
      <c r="C32" s="143"/>
      <c r="D32" s="144"/>
      <c r="E32" s="145"/>
      <c r="F32" s="165"/>
      <c r="G32" s="165"/>
      <c r="H32" s="145"/>
      <c r="I32" s="145"/>
      <c r="J32" s="194"/>
      <c r="K32" s="145"/>
      <c r="L32" s="146"/>
      <c r="M32" s="145"/>
      <c r="N32" s="165"/>
      <c r="O32" s="2"/>
      <c r="P32" s="145"/>
      <c r="Q32" s="145"/>
      <c r="R32" s="165"/>
      <c r="S32" s="165"/>
      <c r="T32" s="165"/>
      <c r="U32" s="165"/>
      <c r="V32" s="146"/>
      <c r="W32" s="146"/>
      <c r="X32" s="145"/>
      <c r="Y32" s="145"/>
      <c r="Z32" s="2"/>
      <c r="AA32" s="2"/>
      <c r="AB32" s="2"/>
      <c r="AC32" s="2"/>
      <c r="AD32" s="2"/>
    </row>
    <row r="33" spans="1:30" ht="15.75" customHeight="1">
      <c r="A33" s="165"/>
      <c r="B33" s="136"/>
      <c r="C33" s="145"/>
      <c r="D33" s="105"/>
      <c r="E33" s="145"/>
      <c r="F33" s="145"/>
      <c r="G33" s="172"/>
      <c r="H33" s="145"/>
      <c r="I33" s="145"/>
      <c r="J33" s="145"/>
      <c r="K33" s="169"/>
      <c r="L33" s="197"/>
      <c r="M33" s="145"/>
      <c r="N33" s="165"/>
      <c r="O33" s="2"/>
      <c r="P33" s="145"/>
      <c r="Q33" s="24"/>
      <c r="R33" s="171"/>
      <c r="S33" s="172"/>
      <c r="T33" s="165"/>
      <c r="U33" s="165"/>
      <c r="V33" s="151"/>
      <c r="W33" s="151"/>
      <c r="X33" s="181"/>
      <c r="Y33" s="145"/>
      <c r="Z33" s="2"/>
      <c r="AA33" s="2"/>
      <c r="AB33" s="2"/>
      <c r="AC33" s="2"/>
      <c r="AD33" s="2"/>
    </row>
    <row r="34" spans="1:30" ht="15.75" customHeight="1">
      <c r="A34" s="165"/>
      <c r="B34" s="136"/>
      <c r="C34" s="145"/>
      <c r="D34" s="105"/>
      <c r="E34" s="145"/>
      <c r="F34" s="145"/>
      <c r="G34" s="172"/>
      <c r="H34" s="145"/>
      <c r="I34" s="145"/>
      <c r="J34" s="145"/>
      <c r="K34" s="169"/>
      <c r="L34" s="197"/>
      <c r="M34" s="145"/>
      <c r="N34" s="165"/>
      <c r="O34" s="2"/>
      <c r="P34" s="145" t="str">
        <f ca="1">IFERROR(__xludf.DUMMYFUNCTION("""COMPUTED_VALUE"""),"3.포시에스")</f>
        <v>3.포시에스</v>
      </c>
      <c r="Q34" s="24" t="str">
        <f ca="1">IFERROR(__xludf.DUMMYFUNCTION("""COMPUTED_VALUE"""),"HX-PO-14657")</f>
        <v>HX-PO-14657</v>
      </c>
      <c r="R34" s="136"/>
      <c r="S34" s="172"/>
      <c r="T34" s="165"/>
      <c r="U34" s="165"/>
      <c r="V34" s="151">
        <f ca="1">IFERROR(__xludf.DUMMYFUNCTION("""COMPUTED_VALUE"""),794000)</f>
        <v>794000</v>
      </c>
      <c r="W34" s="151"/>
      <c r="X34" s="181"/>
      <c r="Y34" s="145"/>
      <c r="Z34" s="2"/>
      <c r="AA34" s="2"/>
      <c r="AB34" s="2"/>
      <c r="AC34" s="2"/>
      <c r="AD34" s="2"/>
    </row>
    <row r="35" spans="1:30" ht="15.75" customHeight="1">
      <c r="A35" s="165"/>
      <c r="B35" s="136"/>
      <c r="C35" s="145"/>
      <c r="D35" s="105"/>
      <c r="E35" s="145"/>
      <c r="F35" s="145"/>
      <c r="G35" s="24"/>
      <c r="H35" s="145"/>
      <c r="I35" s="145"/>
      <c r="J35" s="145"/>
      <c r="K35" s="169"/>
      <c r="L35" s="197"/>
      <c r="M35" s="145"/>
      <c r="N35" s="165"/>
      <c r="O35" s="2"/>
      <c r="P35" s="176" t="str">
        <f ca="1">IFERROR(__xludf.DUMMYFUNCTION("""COMPUTED_VALUE"""),"2.온더아이티")</f>
        <v>2.온더아이티</v>
      </c>
      <c r="Q35" s="24" t="str">
        <f ca="1">IFERROR(__xludf.DUMMYFUNCTION("""COMPUTED_VALUE"""),"HX-PO-12472")</f>
        <v>HX-PO-12472</v>
      </c>
      <c r="R35" s="136"/>
      <c r="S35" s="172"/>
      <c r="T35" s="165"/>
      <c r="U35" s="165"/>
      <c r="V35" s="151">
        <f ca="1">IFERROR(__xludf.DUMMYFUNCTION("""COMPUTED_VALUE"""),1080000)</f>
        <v>1080000</v>
      </c>
      <c r="W35" s="177"/>
      <c r="X35" s="178"/>
      <c r="Y35" s="145"/>
      <c r="Z35" s="2"/>
      <c r="AA35" s="2"/>
      <c r="AB35" s="2"/>
      <c r="AC35" s="2"/>
      <c r="AD35" s="2"/>
    </row>
    <row r="36" spans="1:30" ht="15.75" customHeight="1">
      <c r="A36" s="165"/>
      <c r="B36" s="136"/>
      <c r="C36" s="145"/>
      <c r="D36" s="105"/>
      <c r="E36" s="145"/>
      <c r="F36" s="165"/>
      <c r="G36" s="24"/>
      <c r="H36" s="145"/>
      <c r="I36" s="145"/>
      <c r="J36" s="145"/>
      <c r="K36" s="169"/>
      <c r="L36" s="197"/>
      <c r="M36" s="145"/>
      <c r="N36" s="165"/>
      <c r="O36" s="2"/>
      <c r="P36" s="145" t="str">
        <f ca="1">IFERROR(__xludf.DUMMYFUNCTION("""COMPUTED_VALUE"""),"3.포시에스")</f>
        <v>3.포시에스</v>
      </c>
      <c r="Q36" s="24" t="str">
        <f ca="1">IFERROR(__xludf.DUMMYFUNCTION("""COMPUTED_VALUE"""),"HX-PO-12471")</f>
        <v>HX-PO-12471</v>
      </c>
      <c r="R36" s="136"/>
      <c r="S36" s="172"/>
      <c r="T36" s="165"/>
      <c r="U36" s="165"/>
      <c r="V36" s="151">
        <f ca="1">IFERROR(__xludf.DUMMYFUNCTION("""COMPUTED_VALUE"""),952500)</f>
        <v>952500</v>
      </c>
      <c r="W36" s="151"/>
      <c r="X36" s="181"/>
      <c r="Y36" s="145"/>
      <c r="Z36" s="2"/>
      <c r="AA36" s="2"/>
      <c r="AB36" s="2"/>
      <c r="AC36" s="2"/>
      <c r="AD36" s="2"/>
    </row>
    <row r="37" spans="1:30" ht="15.75" customHeight="1">
      <c r="A37" s="165"/>
      <c r="B37" s="136"/>
      <c r="C37" s="145"/>
      <c r="D37" s="105"/>
      <c r="E37" s="145"/>
      <c r="F37" s="145"/>
      <c r="G37" s="24"/>
      <c r="H37" s="145"/>
      <c r="I37" s="145"/>
      <c r="J37" s="145"/>
      <c r="K37" s="169"/>
      <c r="L37" s="197"/>
      <c r="M37" s="145"/>
      <c r="N37" s="165"/>
      <c r="O37" s="2"/>
      <c r="P37" s="145" t="str">
        <f ca="1">IFERROR(__xludf.DUMMYFUNCTION("""COMPUTED_VALUE"""),"4.아이앤티시스템")</f>
        <v>4.아이앤티시스템</v>
      </c>
      <c r="Q37" s="24" t="str">
        <f ca="1">IFERROR(__xludf.DUMMYFUNCTION("""COMPUTED_VALUE"""),"HX-PO-12474")</f>
        <v>HX-PO-12474</v>
      </c>
      <c r="R37" s="136"/>
      <c r="S37" s="172"/>
      <c r="T37" s="165"/>
      <c r="U37" s="165"/>
      <c r="V37" s="151">
        <f ca="1">IFERROR(__xludf.DUMMYFUNCTION("""COMPUTED_VALUE"""),723000)</f>
        <v>723000</v>
      </c>
      <c r="W37" s="151"/>
      <c r="X37" s="181"/>
      <c r="Y37" s="145"/>
      <c r="Z37" s="2"/>
      <c r="AA37" s="2"/>
      <c r="AB37" s="2"/>
      <c r="AC37" s="2"/>
      <c r="AD37" s="2"/>
    </row>
    <row r="38" spans="1:30" ht="15.75" customHeight="1">
      <c r="A38" s="165"/>
      <c r="B38" s="1092"/>
      <c r="C38" s="1093"/>
      <c r="D38" s="1085"/>
      <c r="E38" s="145"/>
      <c r="F38" s="165"/>
      <c r="G38" s="24"/>
      <c r="H38" s="145"/>
      <c r="I38" s="145"/>
      <c r="J38" s="145"/>
      <c r="K38" s="169"/>
      <c r="L38" s="1097"/>
      <c r="M38" s="145"/>
      <c r="N38" s="1098"/>
      <c r="O38" s="2"/>
      <c r="P38" s="145" t="str">
        <f ca="1">IFERROR(__xludf.DUMMYFUNCTION("""COMPUTED_VALUE"""),"5.인피니트헬스케어")</f>
        <v>5.인피니트헬스케어</v>
      </c>
      <c r="Q38" s="24" t="str">
        <f ca="1">IFERROR(__xludf.DUMMYFUNCTION("""COMPUTED_VALUE"""),"HX-PO-12475")</f>
        <v>HX-PO-12475</v>
      </c>
      <c r="R38" s="136"/>
      <c r="S38" s="1099"/>
      <c r="T38" s="165"/>
      <c r="U38" s="165"/>
      <c r="V38" s="151">
        <f ca="1">IFERROR(__xludf.DUMMYFUNCTION("""COMPUTED_VALUE"""),1950000)</f>
        <v>1950000</v>
      </c>
      <c r="W38" s="151"/>
      <c r="X38" s="181"/>
      <c r="Y38" s="145"/>
      <c r="Z38" s="2"/>
      <c r="AA38" s="2"/>
      <c r="AB38" s="2"/>
      <c r="AC38" s="2"/>
      <c r="AD38" s="2"/>
    </row>
    <row r="39" spans="1:30" ht="15.75" customHeight="1">
      <c r="A39" s="165"/>
      <c r="B39" s="1051"/>
      <c r="C39" s="1051"/>
      <c r="D39" s="1051"/>
      <c r="E39" s="145"/>
      <c r="F39" s="165"/>
      <c r="G39" s="145"/>
      <c r="H39" s="145"/>
      <c r="I39" s="145"/>
      <c r="J39" s="145"/>
      <c r="K39" s="145"/>
      <c r="L39" s="1051"/>
      <c r="M39" s="145"/>
      <c r="N39" s="1051"/>
      <c r="O39" s="2"/>
      <c r="P39" s="145" t="str">
        <f ca="1">IFERROR(__xludf.DUMMYFUNCTION("""COMPUTED_VALUE"""),"6.에이씨케이")</f>
        <v>6.에이씨케이</v>
      </c>
      <c r="Q39" s="24" t="str">
        <f ca="1">IFERROR(__xludf.DUMMYFUNCTION("""COMPUTED_VALUE"""),"HX-PO-12476")</f>
        <v>HX-PO-12476</v>
      </c>
      <c r="R39" s="136"/>
      <c r="S39" s="1051"/>
      <c r="T39" s="165"/>
      <c r="U39" s="165"/>
      <c r="V39" s="151">
        <f ca="1">IFERROR(__xludf.DUMMYFUNCTION("""COMPUTED_VALUE"""),2000000)</f>
        <v>2000000</v>
      </c>
      <c r="W39" s="151"/>
      <c r="X39" s="181"/>
      <c r="Y39" s="145"/>
      <c r="Z39" s="2"/>
      <c r="AA39" s="2"/>
      <c r="AB39" s="2"/>
      <c r="AC39" s="2"/>
      <c r="AD39" s="2"/>
    </row>
    <row r="40" spans="1:30" ht="15.75" customHeight="1">
      <c r="A40" s="165"/>
      <c r="B40" s="1051"/>
      <c r="C40" s="1051"/>
      <c r="D40" s="1051"/>
      <c r="E40" s="145"/>
      <c r="F40" s="165"/>
      <c r="G40" s="145"/>
      <c r="H40" s="145"/>
      <c r="I40" s="145"/>
      <c r="J40" s="145"/>
      <c r="K40" s="145"/>
      <c r="L40" s="1051"/>
      <c r="M40" s="145"/>
      <c r="N40" s="1051"/>
      <c r="O40" s="2"/>
      <c r="P40" s="145" t="str">
        <f ca="1">IFERROR(__xludf.DUMMYFUNCTION("""COMPUTED_VALUE"""),"7.크립토소사이어티")</f>
        <v>7.크립토소사이어티</v>
      </c>
      <c r="Q40" s="24" t="str">
        <f ca="1">IFERROR(__xludf.DUMMYFUNCTION("""COMPUTED_VALUE"""),"HX-PO-12477")</f>
        <v>HX-PO-12477</v>
      </c>
      <c r="R40" s="200"/>
      <c r="S40" s="1051"/>
      <c r="T40" s="165"/>
      <c r="U40" s="165"/>
      <c r="V40" s="151">
        <f ca="1">IFERROR(__xludf.DUMMYFUNCTION("""COMPUTED_VALUE"""),23810000)</f>
        <v>23810000</v>
      </c>
      <c r="W40" s="151"/>
      <c r="X40" s="181"/>
      <c r="Y40" s="145"/>
      <c r="Z40" s="2"/>
      <c r="AA40" s="2"/>
      <c r="AB40" s="2"/>
      <c r="AC40" s="2"/>
      <c r="AD40" s="2"/>
    </row>
    <row r="41" spans="1:30" ht="15.75" customHeight="1">
      <c r="A41" s="165"/>
      <c r="B41" s="1052"/>
      <c r="C41" s="1052"/>
      <c r="D41" s="1052"/>
      <c r="E41" s="145"/>
      <c r="F41" s="165"/>
      <c r="G41" s="145"/>
      <c r="H41" s="145"/>
      <c r="I41" s="145"/>
      <c r="J41" s="145"/>
      <c r="K41" s="145"/>
      <c r="L41" s="1052"/>
      <c r="M41" s="145"/>
      <c r="N41" s="1052"/>
      <c r="O41" s="2"/>
      <c r="P41" s="145" t="str">
        <f ca="1">IFERROR(__xludf.DUMMYFUNCTION("""COMPUTED_VALUE"""),"8.지란지교소프트")</f>
        <v>8.지란지교소프트</v>
      </c>
      <c r="Q41" s="24" t="str">
        <f ca="1">IFERROR(__xludf.DUMMYFUNCTION("""COMPUTED_VALUE"""),"HX-PO-12478")</f>
        <v>HX-PO-12478</v>
      </c>
      <c r="R41" s="200"/>
      <c r="S41" s="1052"/>
      <c r="T41" s="165"/>
      <c r="U41" s="165"/>
      <c r="V41" s="151">
        <f ca="1">IFERROR(__xludf.DUMMYFUNCTION("""COMPUTED_VALUE"""),4500000)</f>
        <v>4500000</v>
      </c>
      <c r="W41" s="151"/>
      <c r="X41" s="181"/>
      <c r="Y41" s="145"/>
      <c r="Z41" s="2"/>
      <c r="AA41" s="2"/>
      <c r="AB41" s="2"/>
      <c r="AC41" s="2"/>
      <c r="AD41" s="2"/>
    </row>
    <row r="42" spans="1:30" ht="15.75" customHeight="1">
      <c r="A42" s="165"/>
      <c r="B42" s="1092"/>
      <c r="C42" s="145"/>
      <c r="D42" s="1085"/>
      <c r="E42" s="145"/>
      <c r="F42" s="165"/>
      <c r="G42" s="24"/>
      <c r="H42" s="145"/>
      <c r="I42" s="145"/>
      <c r="J42" s="145"/>
      <c r="K42" s="169"/>
      <c r="L42" s="197"/>
      <c r="M42" s="145"/>
      <c r="N42" s="1098"/>
      <c r="O42" s="2"/>
      <c r="P42" s="145"/>
      <c r="Q42" s="24"/>
      <c r="R42" s="200"/>
      <c r="S42" s="172"/>
      <c r="T42" s="165"/>
      <c r="U42" s="165"/>
      <c r="V42" s="151"/>
      <c r="W42" s="151"/>
      <c r="X42" s="181"/>
      <c r="Y42" s="145"/>
      <c r="Z42" s="2"/>
      <c r="AA42" s="2"/>
      <c r="AB42" s="2"/>
      <c r="AC42" s="2"/>
      <c r="AD42" s="2"/>
    </row>
    <row r="43" spans="1:30" ht="15.75" customHeight="1">
      <c r="A43" s="165" t="str">
        <f ca="1">IFERROR(__xludf.DUMMYFUNCTION("""COMPUTED_VALUE"""),"  # 8월 청구분")</f>
        <v xml:space="preserve">  # 8월 청구분</v>
      </c>
      <c r="B43" s="1052"/>
      <c r="C43" s="145"/>
      <c r="D43" s="1052"/>
      <c r="E43" s="145"/>
      <c r="F43" s="165"/>
      <c r="G43" s="201"/>
      <c r="H43" s="145"/>
      <c r="I43" s="145"/>
      <c r="J43" s="145"/>
      <c r="K43" s="169"/>
      <c r="L43" s="197"/>
      <c r="M43" s="145"/>
      <c r="N43" s="1052"/>
      <c r="O43" s="2"/>
      <c r="P43" s="145"/>
      <c r="Q43" s="24"/>
      <c r="R43" s="200"/>
      <c r="S43" s="172"/>
      <c r="T43" s="165"/>
      <c r="U43" s="165"/>
      <c r="V43" s="151"/>
      <c r="W43" s="151"/>
      <c r="X43" s="181"/>
      <c r="Y43" s="145"/>
      <c r="Z43" s="2"/>
      <c r="AA43" s="2"/>
      <c r="AB43" s="2"/>
      <c r="AC43" s="2"/>
      <c r="AD43" s="2"/>
    </row>
    <row r="44" spans="1:30" ht="15.75" customHeight="1">
      <c r="A44" s="202">
        <f ca="1">IFERROR(__xludf.DUMMYFUNCTION("""COMPUTED_VALUE"""),45512)</f>
        <v>45512</v>
      </c>
      <c r="B44" s="203" t="str">
        <f ca="1">IFERROR(__xludf.DUMMYFUNCTION("""COMPUTED_VALUE"""),"대한항공")</f>
        <v>대한항공</v>
      </c>
      <c r="C44" s="204">
        <f ca="1">IFERROR(__xludf.DUMMYFUNCTION("""COMPUTED_VALUE"""),45534)</f>
        <v>45534</v>
      </c>
      <c r="D44" s="205" t="str">
        <f ca="1">IFERROR(__xludf.DUMMYFUNCTION("""COMPUTED_VALUE"""),"7-4 대한항공 PUSBB KUH 사업용(2011.8도입) CATIA RLC _DM1")</f>
        <v>7-4 대한항공 PUSBB KUH 사업용(2011.8도입) CATIA RLC _DM1</v>
      </c>
      <c r="E44" s="206" t="str">
        <f ca="1">IFERROR(__xludf.DUMMYFUNCTION("""COMPUTED_VALUE"""),"SELSPA")</f>
        <v>SELSPA</v>
      </c>
      <c r="F44" s="207" t="str">
        <f ca="1">IFERROR(__xludf.DUMMYFUNCTION("""COMPUTED_VALUE"""),"412111_판매")</f>
        <v>412111_판매</v>
      </c>
      <c r="G44" s="203" t="str">
        <f ca="1">IFERROR(__xludf.DUMMYFUNCTION("""COMPUTED_VALUE"""),"S240123")</f>
        <v>S240123</v>
      </c>
      <c r="H44" s="206"/>
      <c r="I44" s="206"/>
      <c r="J44" s="206" t="str">
        <f ca="1">IFERROR(__xludf.DUMMYFUNCTION("""COMPUTED_VALUE"""),"ART240830이수임0905")</f>
        <v>ART240830이수임0905</v>
      </c>
      <c r="K44" s="206" t="str">
        <f ca="1">IFERROR(__xludf.DUMMYFUNCTION("""COMPUTED_VALUE"""),"역")</f>
        <v>역</v>
      </c>
      <c r="L44" s="208">
        <f ca="1">IFERROR(__xludf.DUMMYFUNCTION("""COMPUTED_VALUE"""),1800000)</f>
        <v>1800000</v>
      </c>
      <c r="M44" s="206" t="str">
        <f ca="1">IFERROR(__xludf.DUMMYFUNCTION("""COMPUTED_VALUE"""),"60일")</f>
        <v>60일</v>
      </c>
      <c r="N44" s="202" t="str">
        <f ca="1">IFERROR(__xludf.DUMMYFUNCTION("""COMPUTED_VALUE"""),"부산 이현철 과장")</f>
        <v>부산 이현철 과장</v>
      </c>
      <c r="O44" s="209"/>
      <c r="P44" s="210" t="str">
        <f ca="1">IFERROR(__xludf.DUMMYFUNCTION("""COMPUTED_VALUE"""),"오상자이엘")</f>
        <v>오상자이엘</v>
      </c>
      <c r="Q44" s="211" t="str">
        <f ca="1">IFERROR(__xludf.DUMMYFUNCTION("""COMPUTED_VALUE"""),"HX-PO-15276")</f>
        <v>HX-PO-15276</v>
      </c>
      <c r="R44" s="212" t="str">
        <f ca="1">IFERROR(__xludf.DUMMYFUNCTION("""COMPUTED_VALUE"""),"SELSPA")</f>
        <v>SELSPA</v>
      </c>
      <c r="S44" s="213" t="str">
        <f ca="1">IFERROR(__xludf.DUMMYFUNCTION("""COMPUTED_VALUE"""),"S240123")</f>
        <v>S240123</v>
      </c>
      <c r="T44" s="214" t="str">
        <f ca="1">IFERROR(__xludf.DUMMYFUNCTION("""COMPUTED_VALUE"""),"API240830이수임1246")</f>
        <v>API240830이수임1246</v>
      </c>
      <c r="U44" s="215">
        <f ca="1">IFERROR(__xludf.DUMMYFUNCTION("""COMPUTED_VALUE"""),45534)</f>
        <v>45534</v>
      </c>
      <c r="V44" s="216">
        <f ca="1">IFERROR(__xludf.DUMMYFUNCTION("""COMPUTED_VALUE"""),1870000)</f>
        <v>1870000</v>
      </c>
      <c r="W44" s="146">
        <f ca="1">IFERROR(__xludf.DUMMYFUNCTION("""COMPUTED_VALUE"""),2057000)</f>
        <v>2057000</v>
      </c>
      <c r="X44" s="145" t="str">
        <f ca="1">IFERROR(__xludf.DUMMYFUNCTION("""COMPUTED_VALUE"""),"60일")</f>
        <v>60일</v>
      </c>
      <c r="Y44" s="145"/>
      <c r="Z44" s="2"/>
      <c r="AA44" s="2"/>
      <c r="AB44" s="2"/>
      <c r="AC44" s="2"/>
      <c r="AD44" s="2"/>
    </row>
    <row r="45" spans="1:30" ht="15.75" customHeight="1">
      <c r="A45" s="165">
        <f ca="1">IFERROR(__xludf.DUMMYFUNCTION("""COMPUTED_VALUE"""),45512)</f>
        <v>45512</v>
      </c>
      <c r="B45" s="136" t="str">
        <f ca="1">IFERROR(__xludf.DUMMYFUNCTION("""COMPUTED_VALUE"""),"대한항공")</f>
        <v>대한항공</v>
      </c>
      <c r="C45" s="166">
        <f ca="1">IFERROR(__xludf.DUMMYFUNCTION("""COMPUTED_VALUE"""),45534)</f>
        <v>45534</v>
      </c>
      <c r="D45" s="217" t="str">
        <f ca="1">IFERROR(__xludf.DUMMYFUNCTION("""COMPUTED_VALUE"""),"7-5 대한항공 사단 UAV 사업용(2011.8도입) CAITA RLC_MD1외 8종")</f>
        <v>7-5 대한항공 사단 UAV 사업용(2011.8도입) CAITA RLC_MD1외 8종</v>
      </c>
      <c r="E45" s="145" t="str">
        <f ca="1">IFERROR(__xludf.DUMMYFUNCTION("""COMPUTED_VALUE"""),"SELSPA")</f>
        <v>SELSPA</v>
      </c>
      <c r="F45" s="218" t="str">
        <f ca="1">IFERROR(__xludf.DUMMYFUNCTION("""COMPUTED_VALUE"""),"412111_판매")</f>
        <v>412111_판매</v>
      </c>
      <c r="G45" s="219" t="str">
        <f ca="1">IFERROR(__xludf.DUMMYFUNCTION("""COMPUTED_VALUE"""),"S240140")</f>
        <v>S240140</v>
      </c>
      <c r="H45" s="145"/>
      <c r="I45" s="145"/>
      <c r="J45" s="145" t="str">
        <f ca="1">IFERROR(__xludf.DUMMYFUNCTION("""COMPUTED_VALUE"""),"ART240830이수임1058")</f>
        <v>ART240830이수임1058</v>
      </c>
      <c r="K45" s="145" t="str">
        <f ca="1">IFERROR(__xludf.DUMMYFUNCTION("""COMPUTED_VALUE"""),"역")</f>
        <v>역</v>
      </c>
      <c r="L45" s="197">
        <f ca="1">IFERROR(__xludf.DUMMYFUNCTION("""COMPUTED_VALUE"""),122890000)</f>
        <v>122890000</v>
      </c>
      <c r="M45" s="145" t="str">
        <f ca="1">IFERROR(__xludf.DUMMYFUNCTION("""COMPUTED_VALUE"""),"60일")</f>
        <v>60일</v>
      </c>
      <c r="N45" s="165" t="str">
        <f ca="1">IFERROR(__xludf.DUMMYFUNCTION("""COMPUTED_VALUE"""),"대전 박지은 대리")</f>
        <v>대전 박지은 대리</v>
      </c>
      <c r="O45" s="2"/>
      <c r="P45" s="81" t="str">
        <f ca="1">IFERROR(__xludf.DUMMYFUNCTION("""COMPUTED_VALUE"""),"오상자이엘")</f>
        <v>오상자이엘</v>
      </c>
      <c r="Q45" s="220" t="str">
        <f ca="1">IFERROR(__xludf.DUMMYFUNCTION("""COMPUTED_VALUE"""),"HX-PO-15288")</f>
        <v>HX-PO-15288</v>
      </c>
      <c r="R45" s="200" t="str">
        <f ca="1">IFERROR(__xludf.DUMMYFUNCTION("""COMPUTED_VALUE"""),"SELSPA")</f>
        <v>SELSPA</v>
      </c>
      <c r="S45" s="172" t="str">
        <f ca="1">IFERROR(__xludf.DUMMYFUNCTION("""COMPUTED_VALUE"""),"S240140")</f>
        <v>S240140</v>
      </c>
      <c r="T45" s="149" t="str">
        <f ca="1">IFERROR(__xludf.DUMMYFUNCTION("""COMPUTED_VALUE"""),"API240830이수임1251")</f>
        <v>API240830이수임1251</v>
      </c>
      <c r="U45" s="221">
        <f ca="1">IFERROR(__xludf.DUMMYFUNCTION("""COMPUTED_VALUE"""),45534)</f>
        <v>45534</v>
      </c>
      <c r="V45" s="150">
        <f ca="1">IFERROR(__xludf.DUMMYFUNCTION("""COMPUTED_VALUE"""),117500000)</f>
        <v>117500000</v>
      </c>
      <c r="W45" s="146">
        <f ca="1">IFERROR(__xludf.DUMMYFUNCTION("""COMPUTED_VALUE"""),129250000)</f>
        <v>129250000</v>
      </c>
      <c r="X45" s="145" t="str">
        <f ca="1">IFERROR(__xludf.DUMMYFUNCTION("""COMPUTED_VALUE"""),"60일")</f>
        <v>60일</v>
      </c>
      <c r="Y45" s="145"/>
      <c r="Z45" s="2"/>
      <c r="AA45" s="2"/>
      <c r="AB45" s="2"/>
      <c r="AC45" s="2"/>
      <c r="AD45" s="2"/>
    </row>
    <row r="46" spans="1:30" ht="15.75" customHeight="1">
      <c r="A46" s="149">
        <f ca="1">IFERROR(__xludf.DUMMYFUNCTION("""COMPUTED_VALUE"""),45530)</f>
        <v>45530</v>
      </c>
      <c r="B46" s="136" t="str">
        <f ca="1">IFERROR(__xludf.DUMMYFUNCTION("""COMPUTED_VALUE"""),"대한항공")</f>
        <v>대한항공</v>
      </c>
      <c r="C46" s="222">
        <f ca="1">IFERROR(__xludf.DUMMYFUNCTION("""COMPUTED_VALUE"""),45534)</f>
        <v>45534</v>
      </c>
      <c r="D46" s="223" t="str">
        <f ca="1">IFERROR(__xludf.DUMMYFUNCTION("""COMPUTED_VALUE"""),"8-1 대한항공 중고도무인기사업용 전산장비 (2차 도입분) SW 라이선스")</f>
        <v>8-1 대한항공 중고도무인기사업용 전산장비 (2차 도입분) SW 라이선스</v>
      </c>
      <c r="E46" s="136" t="str">
        <f ca="1">IFERROR(__xludf.DUMMYFUNCTION("""COMPUTED_VALUE"""),"SELSPA")</f>
        <v>SELSPA</v>
      </c>
      <c r="F46" s="224" t="str">
        <f ca="1">IFERROR(__xludf.DUMMYFUNCTION("""COMPUTED_VALUE"""),"412111_판매")</f>
        <v>412111_판매</v>
      </c>
      <c r="G46" s="225" t="str">
        <f ca="1">IFERROR(__xludf.DUMMYFUNCTION("""COMPUTED_VALUE"""),"S240140")</f>
        <v>S240140</v>
      </c>
      <c r="H46" s="145"/>
      <c r="I46" s="145"/>
      <c r="J46" s="145" t="str">
        <f ca="1">IFERROR(__xludf.DUMMYFUNCTION("""COMPUTED_VALUE"""),"ART240830이수임1101")</f>
        <v>ART240830이수임1101</v>
      </c>
      <c r="K46" s="226" t="str">
        <f ca="1">IFERROR(__xludf.DUMMYFUNCTION("""COMPUTED_VALUE"""),"역")</f>
        <v>역</v>
      </c>
      <c r="L46" s="197">
        <f ca="1">IFERROR(__xludf.DUMMYFUNCTION("""COMPUTED_VALUE"""),114550000)</f>
        <v>114550000</v>
      </c>
      <c r="M46" s="136" t="str">
        <f ca="1">IFERROR(__xludf.DUMMYFUNCTION("""COMPUTED_VALUE"""),"60일")</f>
        <v>60일</v>
      </c>
      <c r="N46" s="227" t="str">
        <f ca="1">IFERROR(__xludf.DUMMYFUNCTION("""COMPUTED_VALUE"""),"대전 박지은 대리")</f>
        <v>대전 박지은 대리</v>
      </c>
      <c r="O46" s="2"/>
      <c r="P46" s="228" t="str">
        <f ca="1">IFERROR(__xludf.DUMMYFUNCTION("""COMPUTED_VALUE"""),"씨테크시스템")</f>
        <v>씨테크시스템</v>
      </c>
      <c r="Q46" s="229" t="str">
        <f ca="1">IFERROR(__xludf.DUMMYFUNCTION("""COMPUTED_VALUE"""),"HX-PO-15311")</f>
        <v>HX-PO-15311</v>
      </c>
      <c r="R46" s="192" t="str">
        <f ca="1">IFERROR(__xludf.DUMMYFUNCTION("""COMPUTED_VALUE"""),"SELSPA")</f>
        <v>SELSPA</v>
      </c>
      <c r="S46" s="192" t="str">
        <f ca="1">IFERROR(__xludf.DUMMYFUNCTION("""COMPUTED_VALUE"""),"S240140")</f>
        <v>S240140</v>
      </c>
      <c r="T46" s="192" t="str">
        <f ca="1">IFERROR(__xludf.DUMMYFUNCTION("""COMPUTED_VALUE"""),"API240829이수임1301")</f>
        <v>API240829이수임1301</v>
      </c>
      <c r="U46" s="192">
        <f ca="1">IFERROR(__xludf.DUMMYFUNCTION("""COMPUTED_VALUE"""),45533)</f>
        <v>45533</v>
      </c>
      <c r="V46" s="230">
        <f ca="1">IFERROR(__xludf.DUMMYFUNCTION("""COMPUTED_VALUE"""),105000000)</f>
        <v>105000000</v>
      </c>
      <c r="W46" s="231">
        <f ca="1">IFERROR(__xludf.DUMMYFUNCTION("""COMPUTED_VALUE"""),115500000)</f>
        <v>115500000</v>
      </c>
      <c r="X46" s="145" t="str">
        <f ca="1">IFERROR(__xludf.DUMMYFUNCTION("""COMPUTED_VALUE"""),"60일")</f>
        <v>60일</v>
      </c>
      <c r="Y46" s="145"/>
      <c r="Z46" s="2"/>
      <c r="AA46" s="2"/>
      <c r="AB46" s="2"/>
      <c r="AC46" s="2"/>
      <c r="AD46" s="2"/>
    </row>
    <row r="47" spans="1:30" ht="15.75" customHeight="1">
      <c r="A47" s="165">
        <f ca="1">IFERROR(__xludf.DUMMYFUNCTION("""COMPUTED_VALUE"""),45530)</f>
        <v>45530</v>
      </c>
      <c r="B47" s="145" t="str">
        <f ca="1">IFERROR(__xludf.DUMMYFUNCTION("""COMPUTED_VALUE"""),"대한항공")</f>
        <v>대한항공</v>
      </c>
      <c r="C47" s="166">
        <f ca="1">IFERROR(__xludf.DUMMYFUNCTION("""COMPUTED_VALUE"""),45534)</f>
        <v>45534</v>
      </c>
      <c r="D47" s="232" t="str">
        <f ca="1">IFERROR(__xludf.DUMMYFUNCTION("""COMPUTED_VALUE"""),"8-5 대한항공 검사 계획서(IP) 작성용 SW")</f>
        <v>8-5 대한항공 검사 계획서(IP) 작성용 SW</v>
      </c>
      <c r="E47" s="145" t="str">
        <f ca="1">IFERROR(__xludf.DUMMYFUNCTION("""COMPUTED_VALUE"""),"SELSPA")</f>
        <v>SELSPA</v>
      </c>
      <c r="F47" s="145" t="str">
        <f ca="1">IFERROR(__xludf.DUMMYFUNCTION("""COMPUTED_VALUE"""),"412111_판매")</f>
        <v>412111_판매</v>
      </c>
      <c r="G47" s="145" t="str">
        <f ca="1">IFERROR(__xludf.DUMMYFUNCTION("""COMPUTED_VALUE"""),"S240123")</f>
        <v>S240123</v>
      </c>
      <c r="H47" s="145"/>
      <c r="I47" s="145"/>
      <c r="J47" s="145" t="str">
        <f ca="1">IFERROR(__xludf.DUMMYFUNCTION("""COMPUTED_VALUE"""),"ART240830이수임1107")</f>
        <v>ART240830이수임1107</v>
      </c>
      <c r="K47" s="145" t="str">
        <f ca="1">IFERROR(__xludf.DUMMYFUNCTION("""COMPUTED_VALUE"""),"역")</f>
        <v>역</v>
      </c>
      <c r="L47" s="146">
        <f ca="1">IFERROR(__xludf.DUMMYFUNCTION("""COMPUTED_VALUE"""),6640000)</f>
        <v>6640000</v>
      </c>
      <c r="M47" s="145" t="str">
        <f ca="1">IFERROR(__xludf.DUMMYFUNCTION("""COMPUTED_VALUE"""),"60일")</f>
        <v>60일</v>
      </c>
      <c r="N47" s="145" t="str">
        <f ca="1">IFERROR(__xludf.DUMMYFUNCTION("""COMPUTED_VALUE"""),"부산 이현철 과장")</f>
        <v>부산 이현철 과장</v>
      </c>
      <c r="O47" s="2"/>
      <c r="P47" s="148" t="str">
        <f ca="1">IFERROR(__xludf.DUMMYFUNCTION("""COMPUTED_VALUE"""),"이즈소프트")</f>
        <v>이즈소프트</v>
      </c>
      <c r="Q47" s="148" t="str">
        <f ca="1">IFERROR(__xludf.DUMMYFUNCTION("""COMPUTED_VALUE"""),"HX-PO-15287")</f>
        <v>HX-PO-15287</v>
      </c>
      <c r="R47" s="150" t="str">
        <f ca="1">IFERROR(__xludf.DUMMYFUNCTION("""COMPUTED_VALUE"""),"SELSPA")</f>
        <v>SELSPA</v>
      </c>
      <c r="S47" s="149" t="str">
        <f ca="1">IFERROR(__xludf.DUMMYFUNCTION("""COMPUTED_VALUE"""),"S240123")</f>
        <v>S240123</v>
      </c>
      <c r="T47" s="149" t="str">
        <f ca="1">IFERROR(__xludf.DUMMYFUNCTION("""COMPUTED_VALUE"""),"API240830이수임1330")</f>
        <v>API240830이수임1330</v>
      </c>
      <c r="U47" s="166">
        <f ca="1">IFERROR(__xludf.DUMMYFUNCTION("""COMPUTED_VALUE"""),45534)</f>
        <v>45534</v>
      </c>
      <c r="V47" s="150">
        <f ca="1">IFERROR(__xludf.DUMMYFUNCTION("""COMPUTED_VALUE"""),6100000)</f>
        <v>6100000</v>
      </c>
      <c r="W47" s="146">
        <f ca="1">IFERROR(__xludf.DUMMYFUNCTION("""COMPUTED_VALUE"""),6710000)</f>
        <v>6710000</v>
      </c>
      <c r="X47" s="145" t="str">
        <f ca="1">IFERROR(__xludf.DUMMYFUNCTION("""COMPUTED_VALUE"""),"60일")</f>
        <v>60일</v>
      </c>
      <c r="Y47" s="145"/>
      <c r="Z47" s="2"/>
      <c r="AA47" s="2"/>
      <c r="AB47" s="2"/>
      <c r="AC47" s="2"/>
      <c r="AD47" s="2"/>
    </row>
    <row r="48" spans="1:30" ht="15.75" customHeight="1">
      <c r="A48" s="145" t="str">
        <f ca="1">IFERROR(__xludf.DUMMYFUNCTION("""COMPUTED_VALUE"""),"-")</f>
        <v>-</v>
      </c>
      <c r="B48" s="145" t="str">
        <f ca="1">IFERROR(__xludf.DUMMYFUNCTION("""COMPUTED_VALUE"""),"대한항공")</f>
        <v>대한항공</v>
      </c>
      <c r="C48" s="166">
        <f ca="1">IFERROR(__xludf.DUMMYFUNCTION("""COMPUTED_VALUE"""),45534)</f>
        <v>45534</v>
      </c>
      <c r="D48" s="232" t="str">
        <f ca="1">IFERROR(__xludf.DUMMYFUNCTION("""COMPUTED_VALUE"""),"대한항공 ADFS서버 전자인증서 판매")</f>
        <v>대한항공 ADFS서버 전자인증서 판매</v>
      </c>
      <c r="E48" s="145" t="str">
        <f ca="1">IFERROR(__xludf.DUMMYFUNCTION("""COMPUTED_VALUE"""),"SELSPA")</f>
        <v>SELSPA</v>
      </c>
      <c r="F48" s="145" t="str">
        <f ca="1">IFERROR(__xludf.DUMMYFUNCTION("""COMPUTED_VALUE"""),"412111_판매")</f>
        <v>412111_판매</v>
      </c>
      <c r="G48" s="145" t="str">
        <f ca="1">IFERROR(__xludf.DUMMYFUNCTION("""COMPUTED_VALUE"""),"S240157")</f>
        <v>S240157</v>
      </c>
      <c r="H48" s="145"/>
      <c r="I48" s="145"/>
      <c r="J48" s="145" t="str">
        <f ca="1">IFERROR(__xludf.DUMMYFUNCTION("""COMPUTED_VALUE"""),"ART240830이수임1115")</f>
        <v>ART240830이수임1115</v>
      </c>
      <c r="K48" s="145" t="str">
        <f ca="1">IFERROR(__xludf.DUMMYFUNCTION("""COMPUTED_VALUE"""),"정")</f>
        <v>정</v>
      </c>
      <c r="L48" s="146">
        <f ca="1">IFERROR(__xludf.DUMMYFUNCTION("""COMPUTED_VALUE"""),140000)</f>
        <v>140000</v>
      </c>
      <c r="M48" s="145" t="str">
        <f ca="1">IFERROR(__xludf.DUMMYFUNCTION("""COMPUTED_VALUE"""),"60일")</f>
        <v>60일</v>
      </c>
      <c r="N48" s="145" t="str">
        <f ca="1">IFERROR(__xludf.DUMMYFUNCTION("""COMPUTED_VALUE"""),"정무영 과장")</f>
        <v>정무영 과장</v>
      </c>
      <c r="O48" s="2"/>
      <c r="P48" s="148" t="str">
        <f ca="1">IFERROR(__xludf.DUMMYFUNCTION("""COMPUTED_VALUE"""),"한국전자인증")</f>
        <v>한국전자인증</v>
      </c>
      <c r="Q48" s="148" t="str">
        <f ca="1">IFERROR(__xludf.DUMMYFUNCTION("""COMPUTED_VALUE"""),"HX-PO-15329")</f>
        <v>HX-PO-15329</v>
      </c>
      <c r="R48" s="148" t="str">
        <f ca="1">IFERROR(__xludf.DUMMYFUNCTION("""COMPUTED_VALUE"""),"SELSPA")</f>
        <v>SELSPA</v>
      </c>
      <c r="S48" s="149" t="str">
        <f ca="1">IFERROR(__xludf.DUMMYFUNCTION("""COMPUTED_VALUE"""),"S240157")</f>
        <v>S240157</v>
      </c>
      <c r="T48" s="148" t="str">
        <f ca="1">IFERROR(__xludf.DUMMYFUNCTION("""COMPUTED_VALUE"""),"API240830이수임1336")</f>
        <v>API240830이수임1336</v>
      </c>
      <c r="U48" s="166">
        <f ca="1">IFERROR(__xludf.DUMMYFUNCTION("""COMPUTED_VALUE"""),45534)</f>
        <v>45534</v>
      </c>
      <c r="V48" s="150">
        <f ca="1">IFERROR(__xludf.DUMMYFUNCTION("""COMPUTED_VALUE"""),120000)</f>
        <v>120000</v>
      </c>
      <c r="W48" s="146">
        <f ca="1">IFERROR(__xludf.DUMMYFUNCTION("""COMPUTED_VALUE"""),132000)</f>
        <v>132000</v>
      </c>
      <c r="X48" s="145" t="str">
        <f ca="1">IFERROR(__xludf.DUMMYFUNCTION("""COMPUTED_VALUE"""),"60일")</f>
        <v>60일</v>
      </c>
      <c r="Y48" s="145" t="str">
        <f ca="1">IFERROR(__xludf.DUMMYFUNCTION("""COMPUTED_VALUE"""),"최광화 팀장")</f>
        <v>최광화 팀장</v>
      </c>
      <c r="Z48" s="2"/>
      <c r="AA48" s="2"/>
      <c r="AB48" s="2"/>
      <c r="AC48" s="2"/>
      <c r="AD48" s="2"/>
    </row>
    <row r="49" spans="1:30" ht="15.75" customHeight="1">
      <c r="A49" s="145"/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6"/>
      <c r="M49" s="145"/>
      <c r="N49" s="145"/>
      <c r="O49" s="2"/>
      <c r="P49" s="145"/>
      <c r="Q49" s="145"/>
      <c r="R49" s="145"/>
      <c r="S49" s="145"/>
      <c r="T49" s="145"/>
      <c r="U49" s="166"/>
      <c r="V49" s="146"/>
      <c r="W49" s="145"/>
      <c r="X49" s="145"/>
      <c r="Y49" s="145"/>
      <c r="Z49" s="2"/>
      <c r="AA49" s="2"/>
      <c r="AB49" s="2"/>
      <c r="AC49" s="2"/>
      <c r="AD49" s="2"/>
    </row>
    <row r="50" spans="1:30" ht="15.75" customHeight="1">
      <c r="A50" s="145"/>
      <c r="B50" s="145" t="str">
        <f ca="1">IFERROR(__xludf.DUMMYFUNCTION("""COMPUTED_VALUE"""),"대한항공")</f>
        <v>대한항공</v>
      </c>
      <c r="C50" s="145" t="str">
        <f ca="1">IFERROR(__xludf.DUMMYFUNCTION("""COMPUTED_VALUE"""),"30일")</f>
        <v>30일</v>
      </c>
      <c r="D50" s="232" t="str">
        <f ca="1">IFERROR(__xludf.DUMMYFUNCTION("""COMPUTED_VALUE"""),"대한항공 비대면 원격검사시스템 구축")</f>
        <v>대한항공 비대면 원격검사시스템 구축</v>
      </c>
      <c r="E50" s="145" t="str">
        <f ca="1">IFERROR(__xludf.DUMMYFUNCTION("""COMPUTED_VALUE"""),"SELSPA")</f>
        <v>SELSPA</v>
      </c>
      <c r="F50" s="145" t="str">
        <f ca="1">IFERROR(__xludf.DUMMYFUNCTION("""COMPUTED_VALUE"""),"용역수익_일반")</f>
        <v>용역수익_일반</v>
      </c>
      <c r="G50" s="145" t="str">
        <f ca="1">IFERROR(__xludf.DUMMYFUNCTION("""COMPUTED_VALUE"""),"R240036")</f>
        <v>R240036</v>
      </c>
      <c r="H50" s="145"/>
      <c r="I50" s="145"/>
      <c r="J50" s="145" t="str">
        <f ca="1">IFERROR(__xludf.DUMMYFUNCTION("""COMPUTED_VALUE"""),"ART240624이수임1603")</f>
        <v>ART240624이수임1603</v>
      </c>
      <c r="K50" s="145" t="str">
        <f ca="1">IFERROR(__xludf.DUMMYFUNCTION("""COMPUTED_VALUE"""),"정")</f>
        <v>정</v>
      </c>
      <c r="L50" s="146">
        <f ca="1">IFERROR(__xludf.DUMMYFUNCTION("""COMPUTED_VALUE"""),74052000)</f>
        <v>74052000</v>
      </c>
      <c r="M50" s="145" t="str">
        <f ca="1">IFERROR(__xludf.DUMMYFUNCTION("""COMPUTED_VALUE"""),"60일")</f>
        <v>60일</v>
      </c>
      <c r="N50" s="145" t="str">
        <f ca="1">IFERROR(__xludf.DUMMYFUNCTION("""COMPUTED_VALUE"""),"부산 이현철 과장")</f>
        <v>부산 이현철 과장</v>
      </c>
      <c r="O50" s="2"/>
      <c r="P50" s="148" t="str">
        <f ca="1">IFERROR(__xludf.DUMMYFUNCTION("""COMPUTED_VALUE"""),"에어키")</f>
        <v>에어키</v>
      </c>
      <c r="Q50" s="148" t="str">
        <f ca="1">IFERROR(__xludf.DUMMYFUNCTION("""COMPUTED_VALUE"""),"HX-PO-15244")</f>
        <v>HX-PO-15244</v>
      </c>
      <c r="R50" s="148" t="str">
        <f ca="1">IFERROR(__xludf.DUMMYFUNCTION("""COMPUTED_VALUE"""),"SELSPA")</f>
        <v>SELSPA</v>
      </c>
      <c r="S50" s="148" t="str">
        <f ca="1">IFERROR(__xludf.DUMMYFUNCTION("""COMPUTED_VALUE"""),"R240036")</f>
        <v>R240036</v>
      </c>
      <c r="T50" s="148" t="str">
        <f ca="1">IFERROR(__xludf.DUMMYFUNCTION("""COMPUTED_VALUE"""),"API240830이수임1304")</f>
        <v>API240830이수임1304</v>
      </c>
      <c r="U50" s="150">
        <f ca="1">IFERROR(__xludf.DUMMYFUNCTION("""COMPUTED_VALUE"""),45534)</f>
        <v>45534</v>
      </c>
      <c r="V50" s="233">
        <f ca="1">IFERROR(__xludf.DUMMYFUNCTION("""COMPUTED_VALUE"""),1075000)</f>
        <v>1075000</v>
      </c>
      <c r="W50" s="146">
        <f ca="1">IFERROR(__xludf.DUMMYFUNCTION("""COMPUTED_VALUE"""),1182500)</f>
        <v>1182500</v>
      </c>
      <c r="X50" s="145" t="str">
        <f ca="1">IFERROR(__xludf.DUMMYFUNCTION("""COMPUTED_VALUE"""),"60일")</f>
        <v>60일</v>
      </c>
      <c r="Y50" s="145" t="str">
        <f ca="1">IFERROR(__xludf.DUMMYFUNCTION("""COMPUTED_VALUE"""),"이희근 이사 010-5479-2247 hklee0823@airquay.com")</f>
        <v>이희근 이사 010-5479-2247 hklee0823@airquay.com</v>
      </c>
      <c r="Z50" s="2"/>
      <c r="AA50" s="2"/>
      <c r="AB50" s="2"/>
      <c r="AC50" s="2"/>
      <c r="AD50" s="2"/>
    </row>
    <row r="51" spans="1:30" ht="15.75" customHeight="1">
      <c r="A51" s="145"/>
      <c r="B51" s="145" t="str">
        <f ca="1">IFERROR(__xludf.DUMMYFUNCTION("""COMPUTED_VALUE"""),"현대무벡스")</f>
        <v>현대무벡스</v>
      </c>
      <c r="C51" s="166">
        <f ca="1">IFERROR(__xludf.DUMMYFUNCTION("""COMPUTED_VALUE"""),45504)</f>
        <v>45504</v>
      </c>
      <c r="D51" s="146" t="str">
        <f ca="1">IFERROR(__xludf.DUMMYFUNCTION("""COMPUTED_VALUE"""),"현대무벡스 다카공항 CMS 시스템  - 기성금 4차")</f>
        <v>현대무벡스 다카공항 CMS 시스템  - 기성금 4차</v>
      </c>
      <c r="E51" s="145" t="str">
        <f ca="1">IFERROR(__xludf.DUMMYFUNCTION("""COMPUTED_VALUE"""),"SELSPA")</f>
        <v>SELSPA</v>
      </c>
      <c r="F51" s="145" t="str">
        <f ca="1">IFERROR(__xludf.DUMMYFUNCTION("""COMPUTED_VALUE"""),"용역수익_중점")</f>
        <v>용역수익_중점</v>
      </c>
      <c r="G51" s="145" t="str">
        <f ca="1">IFERROR(__xludf.DUMMYFUNCTION("""COMPUTED_VALUE"""),"P200010")</f>
        <v>P200010</v>
      </c>
      <c r="H51" s="145"/>
      <c r="I51" s="145"/>
      <c r="J51" s="145" t="str">
        <f ca="1">IFERROR(__xludf.DUMMYFUNCTION("""COMPUTED_VALUE"""),"ART240731이수임1402")</f>
        <v>ART240731이수임1402</v>
      </c>
      <c r="K51" s="145" t="str">
        <f ca="1">IFERROR(__xludf.DUMMYFUNCTION("""COMPUTED_VALUE"""),"정")</f>
        <v>정</v>
      </c>
      <c r="L51" s="146"/>
      <c r="M51" s="145" t="str">
        <f ca="1">IFERROR(__xludf.DUMMYFUNCTION("""COMPUTED_VALUE"""),"30일")</f>
        <v>30일</v>
      </c>
      <c r="N51" s="145" t="str">
        <f ca="1">IFERROR(__xludf.DUMMYFUNCTION("""COMPUTED_VALUE"""),"이세영 매니저 02-3782-1616  sy.lee@hyundaimovex.com")</f>
        <v>이세영 매니저 02-3782-1616  sy.lee@hyundaimovex.com</v>
      </c>
      <c r="O51" s="2"/>
      <c r="P51" s="234" t="str">
        <f ca="1">IFERROR(__xludf.DUMMYFUNCTION("""COMPUTED_VALUE"""),"한국글로발로지스틱스")</f>
        <v>한국글로발로지스틱스</v>
      </c>
      <c r="Q51" s="235" t="str">
        <f ca="1">IFERROR(__xludf.DUMMYFUNCTION("""COMPUTED_VALUE"""),"HX-PO-11284")</f>
        <v>HX-PO-11284</v>
      </c>
      <c r="R51" s="212"/>
      <c r="S51" s="212"/>
      <c r="T51" s="212" t="str">
        <f ca="1">IFERROR(__xludf.DUMMYFUNCTION("""COMPUTED_VALUE"""),"API240731이수임1326")</f>
        <v>API240731이수임1326</v>
      </c>
      <c r="U51" s="236">
        <f ca="1">IFERROR(__xludf.DUMMYFUNCTION("""COMPUTED_VALUE"""),45504)</f>
        <v>45504</v>
      </c>
      <c r="V51" s="216">
        <f ca="1">IFERROR(__xludf.DUMMYFUNCTION("""COMPUTED_VALUE"""),80000000)</f>
        <v>80000000</v>
      </c>
      <c r="W51" s="146">
        <f ca="1">IFERROR(__xludf.DUMMYFUNCTION("""COMPUTED_VALUE"""),88000000)</f>
        <v>88000000</v>
      </c>
      <c r="X51" s="145" t="str">
        <f ca="1">IFERROR(__xludf.DUMMYFUNCTION("""COMPUTED_VALUE"""),"30일")</f>
        <v>30일</v>
      </c>
      <c r="Y51" s="145" t="str">
        <f ca="1">IFERROR(__xludf.DUMMYFUNCTION("""COMPUTED_VALUE"""),"유병곤 부장")</f>
        <v>유병곤 부장</v>
      </c>
      <c r="Z51" s="2"/>
      <c r="AA51" s="2"/>
      <c r="AB51" s="2"/>
      <c r="AC51" s="2"/>
      <c r="AD51" s="2"/>
    </row>
    <row r="52" spans="1:30" ht="15.75" customHeight="1">
      <c r="A52" s="165"/>
      <c r="B52" s="145" t="str">
        <f ca="1">IFERROR(__xludf.DUMMYFUNCTION("""COMPUTED_VALUE"""),"현대무벡스")</f>
        <v>현대무벡스</v>
      </c>
      <c r="C52" s="166">
        <f ca="1">IFERROR(__xludf.DUMMYFUNCTION("""COMPUTED_VALUE"""),45504)</f>
        <v>45504</v>
      </c>
      <c r="D52" s="145" t="str">
        <f ca="1">IFERROR(__xludf.DUMMYFUNCTION("""COMPUTED_VALUE"""),"현대무벡스 다카공항 CMS 시스템  - 기성금 4차")</f>
        <v>현대무벡스 다카공항 CMS 시스템  - 기성금 4차</v>
      </c>
      <c r="E52" s="145" t="str">
        <f ca="1">IFERROR(__xludf.DUMMYFUNCTION("""COMPUTED_VALUE"""),"SELSPA")</f>
        <v>SELSPA</v>
      </c>
      <c r="F52" s="145" t="str">
        <f ca="1">IFERROR(__xludf.DUMMYFUNCTION("""COMPUTED_VALUE"""),"용역수익_중점")</f>
        <v>용역수익_중점</v>
      </c>
      <c r="G52" s="145" t="str">
        <f ca="1">IFERROR(__xludf.DUMMYFUNCTION("""COMPUTED_VALUE"""),"P200010")</f>
        <v>P200010</v>
      </c>
      <c r="H52" s="145"/>
      <c r="I52" s="145"/>
      <c r="J52" s="145" t="str">
        <f ca="1">IFERROR(__xludf.DUMMYFUNCTION("""COMPUTED_VALUE"""),"ART240731이수임1402")</f>
        <v>ART240731이수임1402</v>
      </c>
      <c r="K52" s="145" t="str">
        <f ca="1">IFERROR(__xludf.DUMMYFUNCTION("""COMPUTED_VALUE"""),"정")</f>
        <v>정</v>
      </c>
      <c r="L52" s="146">
        <f ca="1">IFERROR(__xludf.DUMMYFUNCTION("""COMPUTED_VALUE"""),398000000)</f>
        <v>398000000</v>
      </c>
      <c r="M52" s="145" t="str">
        <f ca="1">IFERROR(__xludf.DUMMYFUNCTION("""COMPUTED_VALUE"""),"30일")</f>
        <v>30일</v>
      </c>
      <c r="N52" s="145" t="str">
        <f ca="1">IFERROR(__xludf.DUMMYFUNCTION("""COMPUTED_VALUE"""),"이세영 매니저 02-3782-1616  sy.lee@hyundaimovex.com")</f>
        <v>이세영 매니저 02-3782-1616  sy.lee@hyundaimovex.com</v>
      </c>
      <c r="O52" s="2"/>
      <c r="P52" s="81" t="str">
        <f ca="1">IFERROR(__xludf.DUMMYFUNCTION("""COMPUTED_VALUE"""),"한국글로발로지스틱스")</f>
        <v>한국글로발로지스틱스</v>
      </c>
      <c r="Q52" s="172" t="str">
        <f ca="1">IFERROR(__xludf.DUMMYFUNCTION("""COMPUTED_VALUE"""),"HX-PO-11284")</f>
        <v>HX-PO-11284</v>
      </c>
      <c r="R52" s="150" t="str">
        <f ca="1">IFERROR(__xludf.DUMMYFUNCTION("""COMPUTED_VALUE"""),"SELSPA")</f>
        <v>SELSPA</v>
      </c>
      <c r="S52" s="150" t="str">
        <f ca="1">IFERROR(__xludf.DUMMYFUNCTION("""COMPUTED_VALUE"""),"P200010")</f>
        <v>P200010</v>
      </c>
      <c r="T52" s="150" t="str">
        <f ca="1">IFERROR(__xludf.DUMMYFUNCTION("""COMPUTED_VALUE"""),"API240831이수임1412")</f>
        <v>API240831이수임1412</v>
      </c>
      <c r="U52" s="221">
        <f ca="1">IFERROR(__xludf.DUMMYFUNCTION("""COMPUTED_VALUE"""),45535)</f>
        <v>45535</v>
      </c>
      <c r="V52" s="34">
        <f ca="1">IFERROR(__xludf.DUMMYFUNCTION("""COMPUTED_VALUE"""),40000000)</f>
        <v>40000000</v>
      </c>
      <c r="W52" s="146">
        <f ca="1">IFERROR(__xludf.DUMMYFUNCTION("""COMPUTED_VALUE"""),44000000)</f>
        <v>44000000</v>
      </c>
      <c r="X52" s="145" t="str">
        <f ca="1">IFERROR(__xludf.DUMMYFUNCTION("""COMPUTED_VALUE"""),"30 일")</f>
        <v>30 일</v>
      </c>
      <c r="Y52" s="145" t="str">
        <f ca="1">IFERROR(__xludf.DUMMYFUNCTION("""COMPUTED_VALUE"""),"전나경 부장 010-2964-1226 nkjeon@traxon.co.kr ")</f>
        <v xml:space="preserve">전나경 부장 010-2964-1226 nkjeon@traxon.co.kr </v>
      </c>
      <c r="Z52" s="2"/>
      <c r="AA52" s="2"/>
      <c r="AB52" s="2"/>
      <c r="AC52" s="2"/>
      <c r="AD52" s="2"/>
    </row>
    <row r="53" spans="1:30" ht="15.75" customHeight="1">
      <c r="A53" s="145"/>
      <c r="B53" s="145" t="str">
        <f ca="1">IFERROR(__xludf.DUMMYFUNCTION("""COMPUTED_VALUE"""),"현대무벡스")</f>
        <v>현대무벡스</v>
      </c>
      <c r="C53" s="166">
        <f ca="1">IFERROR(__xludf.DUMMYFUNCTION("""COMPUTED_VALUE"""),45535)</f>
        <v>45535</v>
      </c>
      <c r="D53" s="232" t="str">
        <f ca="1">IFERROR(__xludf.DUMMYFUNCTION("""COMPUTED_VALUE"""),"현대무벡스 다카공항 CMS 시스템 (추가) -중도금 67% /면세")</f>
        <v>현대무벡스 다카공항 CMS 시스템 (추가) -중도금 67% /면세</v>
      </c>
      <c r="E53" s="145" t="str">
        <f ca="1">IFERROR(__xludf.DUMMYFUNCTION("""COMPUTED_VALUE"""),"SELSPA")</f>
        <v>SELSPA</v>
      </c>
      <c r="F53" s="145" t="str">
        <f ca="1">IFERROR(__xludf.DUMMYFUNCTION("""COMPUTED_VALUE"""),"용역수익_중점")</f>
        <v>용역수익_중점</v>
      </c>
      <c r="G53" s="145" t="str">
        <f ca="1">IFERROR(__xludf.DUMMYFUNCTION("""COMPUTED_VALUE"""),"P200010")</f>
        <v>P200010</v>
      </c>
      <c r="H53" s="145"/>
      <c r="I53" s="145"/>
      <c r="J53" s="145" t="str">
        <f ca="1">IFERROR(__xludf.DUMMYFUNCTION("""COMPUTED_VALUE"""),"ART240831이수임1048")</f>
        <v>ART240831이수임1048</v>
      </c>
      <c r="K53" s="145" t="str">
        <f ca="1">IFERROR(__xludf.DUMMYFUNCTION("""COMPUTED_VALUE"""),"정")</f>
        <v>정</v>
      </c>
      <c r="L53" s="146">
        <f ca="1">IFERROR(__xludf.DUMMYFUNCTION("""COMPUTED_VALUE"""),66000000)</f>
        <v>66000000</v>
      </c>
      <c r="M53" s="145" t="str">
        <f ca="1">IFERROR(__xludf.DUMMYFUNCTION("""COMPUTED_VALUE"""),"30일")</f>
        <v>30일</v>
      </c>
      <c r="N53" s="145" t="str">
        <f ca="1">IFERROR(__xludf.DUMMYFUNCTION("""COMPUTED_VALUE"""),"이세영 매니저 02-3782-1616 sy.lee@hyundaimovex.com")</f>
        <v>이세영 매니저 02-3782-1616 sy.lee@hyundaimovex.com</v>
      </c>
      <c r="O53" s="2"/>
      <c r="P53" s="237" t="str">
        <f ca="1">IFERROR(__xludf.DUMMYFUNCTION("""COMPUTED_VALUE"""),"-")</f>
        <v>-</v>
      </c>
      <c r="Q53" s="24"/>
      <c r="R53" s="150"/>
      <c r="S53" s="150"/>
      <c r="T53" s="150"/>
      <c r="U53" s="221"/>
      <c r="V53" s="34"/>
      <c r="W53" s="145"/>
      <c r="X53" s="145"/>
      <c r="Y53" s="145"/>
      <c r="Z53" s="2"/>
      <c r="AA53" s="2"/>
      <c r="AB53" s="2"/>
      <c r="AC53" s="2"/>
      <c r="AD53" s="2"/>
    </row>
    <row r="54" spans="1:30" ht="15.75" customHeight="1">
      <c r="A54" s="145"/>
      <c r="B54" s="145"/>
      <c r="C54" s="145"/>
      <c r="D54" s="145"/>
      <c r="E54" s="145"/>
      <c r="F54" s="145"/>
      <c r="G54" s="145"/>
      <c r="H54" s="145"/>
      <c r="I54" s="145"/>
      <c r="J54" s="145"/>
      <c r="K54" s="145"/>
      <c r="L54" s="146"/>
      <c r="M54" s="145"/>
      <c r="N54" s="145"/>
      <c r="O54" s="2"/>
      <c r="P54" s="81"/>
      <c r="Q54" s="24"/>
      <c r="R54" s="150"/>
      <c r="S54" s="150"/>
      <c r="T54" s="150"/>
      <c r="U54" s="221"/>
      <c r="V54" s="34"/>
      <c r="W54" s="145"/>
      <c r="X54" s="145"/>
      <c r="Y54" s="145"/>
      <c r="Z54" s="2"/>
      <c r="AA54" s="2"/>
      <c r="AB54" s="2"/>
      <c r="AC54" s="2"/>
      <c r="AD54" s="2"/>
    </row>
    <row r="55" spans="1:30" ht="15.75" customHeight="1">
      <c r="A55" s="145" t="str">
        <f ca="1">IFERROR(__xludf.DUMMYFUNCTION("""COMPUTED_VALUE"""),"  # 9월 청구분")</f>
        <v xml:space="preserve">  # 9월 청구분</v>
      </c>
      <c r="B55" s="145"/>
      <c r="C55" s="145"/>
      <c r="D55" s="146">
        <f ca="1">IFERROR(__xludf.DUMMYFUNCTION("""COMPUTED_VALUE"""),674130000)</f>
        <v>674130000</v>
      </c>
      <c r="E55" s="145"/>
      <c r="F55" s="145"/>
      <c r="G55" s="145"/>
      <c r="H55" s="145"/>
      <c r="I55" s="145"/>
      <c r="J55" s="145" t="str">
        <f ca="1">IFERROR(__xludf.DUMMYFUNCTION("""COMPUTED_VALUE"""),"9월 청구")</f>
        <v>9월 청구</v>
      </c>
      <c r="K55" s="145"/>
      <c r="L55" s="146"/>
      <c r="M55" s="145"/>
      <c r="N55" s="145"/>
      <c r="O55" s="2"/>
      <c r="P55" s="238">
        <f ca="1">IFERROR(__xludf.DUMMYFUNCTION("""COMPUTED_VALUE"""),459799000)</f>
        <v>459799000</v>
      </c>
      <c r="Q55" s="24"/>
      <c r="R55" s="150"/>
      <c r="S55" s="150"/>
      <c r="T55" s="150"/>
      <c r="U55" s="221"/>
      <c r="V55" s="34"/>
      <c r="W55" s="145"/>
      <c r="X55" s="145"/>
      <c r="Y55" s="145"/>
      <c r="Z55" s="2"/>
      <c r="AA55" s="2"/>
      <c r="AB55" s="2"/>
      <c r="AC55" s="2"/>
      <c r="AD55" s="2"/>
    </row>
    <row r="56" spans="1:30" ht="15.75" customHeight="1">
      <c r="A56" s="165">
        <f ca="1">IFERROR(__xludf.DUMMYFUNCTION("""COMPUTED_VALUE"""),45446)</f>
        <v>45446</v>
      </c>
      <c r="B56" s="145" t="str">
        <f ca="1">IFERROR(__xludf.DUMMYFUNCTION("""COMPUTED_VALUE"""),"대한항공")</f>
        <v>대한항공</v>
      </c>
      <c r="C56" s="166">
        <f ca="1">IFERROR(__xludf.DUMMYFUNCTION("""COMPUTED_VALUE"""),45565)</f>
        <v>45565</v>
      </c>
      <c r="D56" s="232" t="str">
        <f ca="1">IFERROR(__xludf.DUMMYFUNCTION("""COMPUTED_VALUE"""),"6-3 대한항공 MUAV 체계개발 사업용")</f>
        <v>6-3 대한항공 MUAV 체계개발 사업용</v>
      </c>
      <c r="E56" s="145" t="str">
        <f ca="1">IFERROR(__xludf.DUMMYFUNCTION("""COMPUTED_VALUE"""),"SELSPA")</f>
        <v>SELSPA</v>
      </c>
      <c r="F56" s="145" t="str">
        <f ca="1">IFERROR(__xludf.DUMMYFUNCTION("""COMPUTED_VALUE"""),"412111_판매")</f>
        <v>412111_판매</v>
      </c>
      <c r="G56" s="145" t="str">
        <f ca="1">IFERROR(__xludf.DUMMYFUNCTION("""COMPUTED_VALUE"""),"S240074")</f>
        <v>S240074</v>
      </c>
      <c r="H56" s="145"/>
      <c r="I56" s="145"/>
      <c r="J56" s="145" t="str">
        <f ca="1">IFERROR(__xludf.DUMMYFUNCTION("""COMPUTED_VALUE"""),"ART240930이수임0001")</f>
        <v>ART240930이수임0001</v>
      </c>
      <c r="K56" s="145" t="str">
        <f ca="1">IFERROR(__xludf.DUMMYFUNCTION("""COMPUTED_VALUE"""),"역")</f>
        <v>역</v>
      </c>
      <c r="L56" s="146">
        <f ca="1">IFERROR(__xludf.DUMMYFUNCTION("""COMPUTED_VALUE"""),60620000)</f>
        <v>60620000</v>
      </c>
      <c r="M56" s="145" t="str">
        <f ca="1">IFERROR(__xludf.DUMMYFUNCTION("""COMPUTED_VALUE"""),"60일")</f>
        <v>60일</v>
      </c>
      <c r="N56" s="145" t="str">
        <f ca="1">IFERROR(__xludf.DUMMYFUNCTION("""COMPUTED_VALUE"""),"대전 박지은 대리")</f>
        <v>대전 박지은 대리</v>
      </c>
      <c r="O56" s="2"/>
      <c r="P56" s="81" t="str">
        <f ca="1">IFERROR(__xludf.DUMMYFUNCTION("""COMPUTED_VALUE"""),"오상자이엘")</f>
        <v>오상자이엘</v>
      </c>
      <c r="Q56" s="24" t="str">
        <f ca="1">IFERROR(__xludf.DUMMYFUNCTION("""COMPUTED_VALUE"""),"HX-PO-15393")</f>
        <v>HX-PO-15393</v>
      </c>
      <c r="R56" s="150" t="str">
        <f ca="1">IFERROR(__xludf.DUMMYFUNCTION("""COMPUTED_VALUE"""),"SELSPA")</f>
        <v>SELSPA</v>
      </c>
      <c r="S56" s="150" t="str">
        <f ca="1">IFERROR(__xludf.DUMMYFUNCTION("""COMPUTED_VALUE"""),"S240074")</f>
        <v>S240074</v>
      </c>
      <c r="T56" s="150" t="str">
        <f ca="1">IFERROR(__xludf.DUMMYFUNCTION("""COMPUTED_VALUE"""),"API240930이수임0838")</f>
        <v>API240930이수임0838</v>
      </c>
      <c r="U56" s="221">
        <f ca="1">IFERROR(__xludf.DUMMYFUNCTION("""COMPUTED_VALUE"""),45565)</f>
        <v>45565</v>
      </c>
      <c r="V56" s="34">
        <f ca="1">IFERROR(__xludf.DUMMYFUNCTION("""COMPUTED_VALUE"""),24250000)</f>
        <v>24250000</v>
      </c>
      <c r="W56" s="146">
        <f ca="1">IFERROR(__xludf.DUMMYFUNCTION("""COMPUTED_VALUE"""),26675000)</f>
        <v>26675000</v>
      </c>
      <c r="X56" s="145" t="str">
        <f ca="1">IFERROR(__xludf.DUMMYFUNCTION("""COMPUTED_VALUE"""),"60일")</f>
        <v>60일</v>
      </c>
      <c r="Y56" s="145"/>
      <c r="Z56" s="2"/>
      <c r="AA56" s="2"/>
      <c r="AB56" s="2"/>
      <c r="AC56" s="2"/>
      <c r="AD56" s="2"/>
    </row>
    <row r="57" spans="1:30" ht="15.75" customHeight="1">
      <c r="A57" s="165">
        <f ca="1">IFERROR(__xludf.DUMMYFUNCTION("""COMPUTED_VALUE"""),45446)</f>
        <v>45446</v>
      </c>
      <c r="B57" s="145" t="str">
        <f ca="1">IFERROR(__xludf.DUMMYFUNCTION("""COMPUTED_VALUE"""),"대한항공")</f>
        <v>대한항공</v>
      </c>
      <c r="C57" s="145"/>
      <c r="D57" s="145"/>
      <c r="E57" s="145"/>
      <c r="F57" s="145"/>
      <c r="G57" s="145"/>
      <c r="H57" s="145"/>
      <c r="I57" s="145"/>
      <c r="J57" s="145"/>
      <c r="K57" s="145" t="str">
        <f ca="1">IFERROR(__xludf.DUMMYFUNCTION("""COMPUTED_VALUE"""),"역")</f>
        <v>역</v>
      </c>
      <c r="L57" s="146"/>
      <c r="M57" s="145"/>
      <c r="N57" s="145"/>
      <c r="O57" s="2"/>
      <c r="P57" s="81" t="str">
        <f ca="1">IFERROR(__xludf.DUMMYFUNCTION("""COMPUTED_VALUE"""),"한국에이에이씨")</f>
        <v>한국에이에이씨</v>
      </c>
      <c r="Q57" s="24" t="str">
        <f ca="1">IFERROR(__xludf.DUMMYFUNCTION("""COMPUTED_VALUE"""),"HX-PO-15400")</f>
        <v>HX-PO-15400</v>
      </c>
      <c r="R57" s="150" t="str">
        <f ca="1">IFERROR(__xludf.DUMMYFUNCTION("""COMPUTED_VALUE"""),"SELSPA")</f>
        <v>SELSPA</v>
      </c>
      <c r="S57" s="150" t="str">
        <f ca="1">IFERROR(__xludf.DUMMYFUNCTION("""COMPUTED_VALUE"""),"S240074")</f>
        <v>S240074</v>
      </c>
      <c r="T57" s="150" t="str">
        <f ca="1">IFERROR(__xludf.DUMMYFUNCTION("""COMPUTED_VALUE"""),"API240930이수임0854")</f>
        <v>API240930이수임0854</v>
      </c>
      <c r="U57" s="221">
        <f ca="1">IFERROR(__xludf.DUMMYFUNCTION("""COMPUTED_VALUE"""),45565)</f>
        <v>45565</v>
      </c>
      <c r="V57" s="34">
        <f ca="1">IFERROR(__xludf.DUMMYFUNCTION("""COMPUTED_VALUE"""),13500000)</f>
        <v>13500000</v>
      </c>
      <c r="W57" s="146">
        <f ca="1">IFERROR(__xludf.DUMMYFUNCTION("""COMPUTED_VALUE"""),14850000)</f>
        <v>14850000</v>
      </c>
      <c r="X57" s="145" t="str">
        <f ca="1">IFERROR(__xludf.DUMMYFUNCTION("""COMPUTED_VALUE"""),"60일")</f>
        <v>60일</v>
      </c>
      <c r="Y57" s="145"/>
      <c r="Z57" s="2"/>
      <c r="AA57" s="2"/>
      <c r="AB57" s="2"/>
      <c r="AC57" s="2"/>
      <c r="AD57" s="2"/>
    </row>
    <row r="58" spans="1:30" ht="15.75" customHeight="1">
      <c r="A58" s="165">
        <f ca="1">IFERROR(__xludf.DUMMYFUNCTION("""COMPUTED_VALUE"""),45446)</f>
        <v>45446</v>
      </c>
      <c r="B58" s="145" t="str">
        <f ca="1">IFERROR(__xludf.DUMMYFUNCTION("""COMPUTED_VALUE"""),"대한항공")</f>
        <v>대한항공</v>
      </c>
      <c r="C58" s="145"/>
      <c r="D58" s="145"/>
      <c r="E58" s="145"/>
      <c r="F58" s="145"/>
      <c r="G58" s="145"/>
      <c r="H58" s="145"/>
      <c r="I58" s="145"/>
      <c r="J58" s="145"/>
      <c r="K58" s="145" t="str">
        <f ca="1">IFERROR(__xludf.DUMMYFUNCTION("""COMPUTED_VALUE"""),"역")</f>
        <v>역</v>
      </c>
      <c r="L58" s="146"/>
      <c r="M58" s="145"/>
      <c r="N58" s="145"/>
      <c r="O58" s="2"/>
      <c r="P58" s="210" t="str">
        <f ca="1">IFERROR(__xludf.DUMMYFUNCTION("""COMPUTED_VALUE"""),"매스웍스코리아")</f>
        <v>매스웍스코리아</v>
      </c>
      <c r="Q58" s="203" t="str">
        <f ca="1">IFERROR(__xludf.DUMMYFUNCTION("""COMPUTED_VALUE"""),"HX-PO-15327")</f>
        <v>HX-PO-15327</v>
      </c>
      <c r="R58" s="239" t="str">
        <f ca="1">IFERROR(__xludf.DUMMYFUNCTION("""COMPUTED_VALUE"""),"SELSPA")</f>
        <v>SELSPA</v>
      </c>
      <c r="S58" s="239" t="str">
        <f ca="1">IFERROR(__xludf.DUMMYFUNCTION("""COMPUTED_VALUE"""),"S240074")</f>
        <v>S240074</v>
      </c>
      <c r="T58" s="239" t="str">
        <f ca="1">IFERROR(__xludf.DUMMYFUNCTION("""COMPUTED_VALUE"""),"API240930이수임0842")</f>
        <v>API240930이수임0842</v>
      </c>
      <c r="U58" s="204">
        <f ca="1">IFERROR(__xludf.DUMMYFUNCTION("""COMPUTED_VALUE"""),45565)</f>
        <v>45565</v>
      </c>
      <c r="V58" s="208">
        <f ca="1">IFERROR(__xludf.DUMMYFUNCTION("""COMPUTED_VALUE"""),20424000)</f>
        <v>20424000</v>
      </c>
      <c r="W58" s="146">
        <f ca="1">IFERROR(__xludf.DUMMYFUNCTION("""COMPUTED_VALUE"""),22466400)</f>
        <v>22466400</v>
      </c>
      <c r="X58" s="145" t="str">
        <f ca="1">IFERROR(__xludf.DUMMYFUNCTION("""COMPUTED_VALUE"""),"30일")</f>
        <v>30일</v>
      </c>
      <c r="Y58" s="145"/>
      <c r="Z58" s="2"/>
      <c r="AA58" s="2"/>
      <c r="AB58" s="2"/>
      <c r="AC58" s="2"/>
      <c r="AD58" s="2"/>
    </row>
    <row r="59" spans="1:30" ht="15.75" customHeight="1">
      <c r="A59" s="240">
        <f ca="1">IFERROR(__xludf.DUMMYFUNCTION("""COMPUTED_VALUE"""),45446)</f>
        <v>45446</v>
      </c>
      <c r="B59" s="2" t="str">
        <f ca="1">IFERROR(__xludf.DUMMYFUNCTION("""COMPUTED_VALUE"""),"대한항공")</f>
        <v>대한항공</v>
      </c>
      <c r="C59" s="2"/>
      <c r="D59" s="2"/>
      <c r="E59" s="2"/>
      <c r="F59" s="2"/>
      <c r="G59" s="2"/>
      <c r="H59" s="2"/>
      <c r="I59" s="2"/>
      <c r="J59" s="2"/>
      <c r="K59" s="2" t="str">
        <f ca="1">IFERROR(__xludf.DUMMYFUNCTION("""COMPUTED_VALUE"""),"역")</f>
        <v>역</v>
      </c>
      <c r="L59" s="241"/>
      <c r="M59" s="2"/>
      <c r="N59" s="2"/>
      <c r="O59" s="2"/>
      <c r="P59" s="2" t="str">
        <f ca="1">IFERROR(__xludf.DUMMYFUNCTION("""COMPUTED_VALUE"""),"투데이시스템즈")</f>
        <v>투데이시스템즈</v>
      </c>
      <c r="Q59" s="2" t="str">
        <f ca="1">IFERROR(__xludf.DUMMYFUNCTION("""COMPUTED_VALUE"""),"HX-PO-15397")</f>
        <v>HX-PO-15397</v>
      </c>
      <c r="R59" s="241" t="str">
        <f ca="1">IFERROR(__xludf.DUMMYFUNCTION("""COMPUTED_VALUE"""),"SELSPA")</f>
        <v>SELSPA</v>
      </c>
      <c r="S59" s="241" t="str">
        <f ca="1">IFERROR(__xludf.DUMMYFUNCTION("""COMPUTED_VALUE"""),"S240074")</f>
        <v>S240074</v>
      </c>
      <c r="T59" s="241" t="str">
        <f ca="1">IFERROR(__xludf.DUMMYFUNCTION("""COMPUTED_VALUE"""),"API240930이수임0850")</f>
        <v>API240930이수임0850</v>
      </c>
      <c r="U59" s="242">
        <f ca="1">IFERROR(__xludf.DUMMYFUNCTION("""COMPUTED_VALUE"""),45565)</f>
        <v>45565</v>
      </c>
      <c r="V59" s="241">
        <f ca="1">IFERROR(__xludf.DUMMYFUNCTION("""COMPUTED_VALUE"""),4520000)</f>
        <v>4520000</v>
      </c>
      <c r="W59" s="241">
        <f ca="1">IFERROR(__xludf.DUMMYFUNCTION("""COMPUTED_VALUE"""),4972000)</f>
        <v>4972000</v>
      </c>
      <c r="X59" s="2" t="str">
        <f ca="1">IFERROR(__xludf.DUMMYFUNCTION("""COMPUTED_VALUE"""),"60일")</f>
        <v>60일</v>
      </c>
      <c r="Y59" s="2"/>
      <c r="Z59" s="2"/>
      <c r="AA59" s="2"/>
      <c r="AB59" s="2"/>
      <c r="AC59" s="2"/>
      <c r="AD59" s="2"/>
    </row>
    <row r="60" spans="1:30" ht="15.75" customHeight="1">
      <c r="A60" s="243">
        <f ca="1">IFERROR(__xludf.DUMMYFUNCTION("""COMPUTED_VALUE"""),45562)</f>
        <v>45562</v>
      </c>
      <c r="B60" s="179" t="str">
        <f ca="1">IFERROR(__xludf.DUMMYFUNCTION("""COMPUTED_VALUE"""),"대한항공")</f>
        <v>대한항공</v>
      </c>
      <c r="C60" s="244">
        <f ca="1">IFERROR(__xludf.DUMMYFUNCTION("""COMPUTED_VALUE"""),45565)</f>
        <v>45565</v>
      </c>
      <c r="D60" s="245" t="str">
        <f ca="1">IFERROR(__xludf.DUMMYFUNCTION("""COMPUTED_VALUE"""),"8-1 대한항공 중고도무인기사업용 전산장비 (2차 도입분) SW 라이선스")</f>
        <v>8-1 대한항공 중고도무인기사업용 전산장비 (2차 도입분) SW 라이선스</v>
      </c>
      <c r="E60" s="145" t="str">
        <f ca="1">IFERROR(__xludf.DUMMYFUNCTION("""COMPUTED_VALUE"""),"SELSPA")</f>
        <v>SELSPA</v>
      </c>
      <c r="F60" s="145" t="str">
        <f ca="1">IFERROR(__xludf.DUMMYFUNCTION("""COMPUTED_VALUE"""),"412111_판매")</f>
        <v>412111_판매</v>
      </c>
      <c r="G60" s="145" t="str">
        <f ca="1">IFERROR(__xludf.DUMMYFUNCTION("""COMPUTED_VALUE"""),"S240140")</f>
        <v>S240140</v>
      </c>
      <c r="H60" s="145"/>
      <c r="I60" s="145"/>
      <c r="J60" s="145" t="str">
        <f ca="1">IFERROR(__xludf.DUMMYFUNCTION("""COMPUTED_VALUE"""),"ART240930이수임0002")</f>
        <v>ART240930이수임0002</v>
      </c>
      <c r="K60" s="145" t="str">
        <f ca="1">IFERROR(__xludf.DUMMYFUNCTION("""COMPUTED_VALUE"""),"역")</f>
        <v>역</v>
      </c>
      <c r="L60" s="146">
        <f ca="1">IFERROR(__xludf.DUMMYFUNCTION("""COMPUTED_VALUE"""),77580000)</f>
        <v>77580000</v>
      </c>
      <c r="M60" s="145" t="str">
        <f ca="1">IFERROR(__xludf.DUMMYFUNCTION("""COMPUTED_VALUE"""),"60일")</f>
        <v>60일</v>
      </c>
      <c r="N60" s="145" t="str">
        <f ca="1">IFERROR(__xludf.DUMMYFUNCTION("""COMPUTED_VALUE"""),"대전 박지은 대리")</f>
        <v>대전 박지은 대리</v>
      </c>
      <c r="O60" s="2"/>
      <c r="P60" s="148" t="str">
        <f ca="1">IFERROR(__xludf.DUMMYFUNCTION("""COMPUTED_VALUE"""),"오상자이엘")</f>
        <v>오상자이엘</v>
      </c>
      <c r="Q60" s="148" t="str">
        <f ca="1">IFERROR(__xludf.DUMMYFUNCTION("""COMPUTED_VALUE"""),"HX-PO-15406")</f>
        <v>HX-PO-15406</v>
      </c>
      <c r="R60" s="150" t="str">
        <f ca="1">IFERROR(__xludf.DUMMYFUNCTION("""COMPUTED_VALUE"""),"SELSPA")</f>
        <v>SELSPA</v>
      </c>
      <c r="S60" s="150" t="str">
        <f ca="1">IFERROR(__xludf.DUMMYFUNCTION("""COMPUTED_VALUE"""),"S240140")</f>
        <v>S240140</v>
      </c>
      <c r="T60" s="150" t="str">
        <f ca="1">IFERROR(__xludf.DUMMYFUNCTION("""COMPUTED_VALUE"""),"API240930이수임0857")</f>
        <v>API240930이수임0857</v>
      </c>
      <c r="U60" s="221">
        <f ca="1">IFERROR(__xludf.DUMMYFUNCTION("""COMPUTED_VALUE"""),45565)</f>
        <v>45565</v>
      </c>
      <c r="V60" s="150">
        <f ca="1">IFERROR(__xludf.DUMMYFUNCTION("""COMPUTED_VALUE"""),74000000)</f>
        <v>74000000</v>
      </c>
      <c r="W60" s="146">
        <f ca="1">IFERROR(__xludf.DUMMYFUNCTION("""COMPUTED_VALUE"""),81400000)</f>
        <v>81400000</v>
      </c>
      <c r="X60" s="145" t="str">
        <f ca="1">IFERROR(__xludf.DUMMYFUNCTION("""COMPUTED_VALUE"""),"60일")</f>
        <v>60일</v>
      </c>
      <c r="Y60" s="145"/>
      <c r="Z60" s="2"/>
      <c r="AA60" s="2"/>
      <c r="AB60" s="2"/>
      <c r="AC60" s="2"/>
      <c r="AD60" s="2"/>
    </row>
    <row r="61" spans="1:30" ht="15.75" customHeight="1">
      <c r="A61" s="246">
        <f ca="1">IFERROR(__xludf.DUMMYFUNCTION("""COMPUTED_VALUE"""),45562)</f>
        <v>45562</v>
      </c>
      <c r="B61" s="106" t="str">
        <f ca="1">IFERROR(__xludf.DUMMYFUNCTION("""COMPUTED_VALUE"""),"대한항공")</f>
        <v>대한항공</v>
      </c>
      <c r="C61" s="247">
        <f ca="1">IFERROR(__xludf.DUMMYFUNCTION("""COMPUTED_VALUE"""),45565)</f>
        <v>45565</v>
      </c>
      <c r="D61" s="248" t="str">
        <f ca="1">IFERROR(__xludf.DUMMYFUNCTION("""COMPUTED_VALUE"""),"8-6  대한항공 단간 연결 엄빌리컬 개발 과제")</f>
        <v>8-6  대한항공 단간 연결 엄빌리컬 개발 과제</v>
      </c>
      <c r="E61" s="106" t="str">
        <f ca="1">IFERROR(__xludf.DUMMYFUNCTION("""COMPUTED_VALUE"""),"SELSPA")</f>
        <v>SELSPA</v>
      </c>
      <c r="F61" s="106" t="str">
        <f ca="1">IFERROR(__xludf.DUMMYFUNCTION("""COMPUTED_VALUE"""),"412111_판매")</f>
        <v>412111_판매</v>
      </c>
      <c r="G61" s="106" t="str">
        <f ca="1">IFERROR(__xludf.DUMMYFUNCTION("""COMPUTED_VALUE"""),"S240140")</f>
        <v>S240140</v>
      </c>
      <c r="H61" s="143"/>
      <c r="I61" s="143"/>
      <c r="J61" s="249" t="str">
        <f ca="1">IFERROR(__xludf.DUMMYFUNCTION("""COMPUTED_VALUE"""),"ART240930이수임0003")</f>
        <v>ART240930이수임0003</v>
      </c>
      <c r="K61" s="250" t="str">
        <f ca="1">IFERROR(__xludf.DUMMYFUNCTION("""COMPUTED_VALUE"""),"역")</f>
        <v>역</v>
      </c>
      <c r="L61" s="251">
        <f ca="1">IFERROR(__xludf.DUMMYFUNCTION("""COMPUTED_VALUE"""),3590000)</f>
        <v>3590000</v>
      </c>
      <c r="M61" s="252" t="str">
        <f ca="1">IFERROR(__xludf.DUMMYFUNCTION("""COMPUTED_VALUE"""),"60일")</f>
        <v>60일</v>
      </c>
      <c r="N61" s="252" t="str">
        <f ca="1">IFERROR(__xludf.DUMMYFUNCTION("""COMPUTED_VALUE"""),"대전 박지은 대리")</f>
        <v>대전 박지은 대리</v>
      </c>
      <c r="O61" s="253"/>
      <c r="P61" s="254" t="str">
        <f ca="1">IFERROR(__xludf.DUMMYFUNCTION("""COMPUTED_VALUE"""),"에스앤에스이앤지")</f>
        <v>에스앤에스이앤지</v>
      </c>
      <c r="Q61" s="255" t="str">
        <f ca="1">IFERROR(__xludf.DUMMYFUNCTION("""COMPUTED_VALUE"""),"HX-PO-15417")</f>
        <v>HX-PO-15417</v>
      </c>
      <c r="R61" s="256" t="str">
        <f ca="1">IFERROR(__xludf.DUMMYFUNCTION("""COMPUTED_VALUE"""),"SELSPA")</f>
        <v>SELSPA</v>
      </c>
      <c r="S61" s="257" t="str">
        <f ca="1">IFERROR(__xludf.DUMMYFUNCTION("""COMPUTED_VALUE"""),"S240140")</f>
        <v>S240140</v>
      </c>
      <c r="T61" s="258" t="str">
        <f ca="1">IFERROR(__xludf.DUMMYFUNCTION("""COMPUTED_VALUE"""),"API240930이수임0859")</f>
        <v>API240930이수임0859</v>
      </c>
      <c r="U61" s="259">
        <f ca="1">IFERROR(__xludf.DUMMYFUNCTION("""COMPUTED_VALUE"""),45565)</f>
        <v>45565</v>
      </c>
      <c r="V61" s="260">
        <f ca="1">IFERROR(__xludf.DUMMYFUNCTION("""COMPUTED_VALUE"""),3465000)</f>
        <v>3465000</v>
      </c>
      <c r="W61" s="261">
        <f ca="1">IFERROR(__xludf.DUMMYFUNCTION("""COMPUTED_VALUE"""),3811500)</f>
        <v>3811500</v>
      </c>
      <c r="X61" s="181" t="str">
        <f ca="1">IFERROR(__xludf.DUMMYFUNCTION("""COMPUTED_VALUE"""),"60일")</f>
        <v>60일</v>
      </c>
      <c r="Y61" s="145"/>
      <c r="Z61" s="2"/>
      <c r="AA61" s="2"/>
      <c r="AB61" s="2"/>
      <c r="AC61" s="2"/>
      <c r="AD61" s="2"/>
    </row>
    <row r="62" spans="1:30" ht="15.75" customHeight="1">
      <c r="A62" s="246">
        <f ca="1">IFERROR(__xludf.DUMMYFUNCTION("""COMPUTED_VALUE"""),45560)</f>
        <v>45560</v>
      </c>
      <c r="B62" s="106" t="str">
        <f ca="1">IFERROR(__xludf.DUMMYFUNCTION("""COMPUTED_VALUE"""),"대한항공")</f>
        <v>대한항공</v>
      </c>
      <c r="C62" s="247">
        <f ca="1">IFERROR(__xludf.DUMMYFUNCTION("""COMPUTED_VALUE"""),45565)</f>
        <v>45565</v>
      </c>
      <c r="D62" s="248" t="str">
        <f ca="1">IFERROR(__xludf.DUMMYFUNCTION("""COMPUTED_VALUE"""),"9-1 대한항공 A320 SL 개발용(2010.9도입) CATIA")</f>
        <v>9-1 대한항공 A320 SL 개발용(2010.9도입) CATIA</v>
      </c>
      <c r="E62" s="106" t="str">
        <f ca="1">IFERROR(__xludf.DUMMYFUNCTION("""COMPUTED_VALUE"""),"SELSPA")</f>
        <v>SELSPA</v>
      </c>
      <c r="F62" s="106" t="str">
        <f ca="1">IFERROR(__xludf.DUMMYFUNCTION("""COMPUTED_VALUE"""),"412111_판매")</f>
        <v>412111_판매</v>
      </c>
      <c r="G62" s="106" t="str">
        <f ca="1">IFERROR(__xludf.DUMMYFUNCTION("""COMPUTED_VALUE"""),"S240123")</f>
        <v>S240123</v>
      </c>
      <c r="H62" s="143"/>
      <c r="I62" s="143"/>
      <c r="J62" s="249" t="str">
        <f ca="1">IFERROR(__xludf.DUMMYFUNCTION("""COMPUTED_VALUE"""),"ART240930이수임0004")</f>
        <v>ART240930이수임0004</v>
      </c>
      <c r="K62" s="250" t="str">
        <f ca="1">IFERROR(__xludf.DUMMYFUNCTION("""COMPUTED_VALUE"""),"역")</f>
        <v>역</v>
      </c>
      <c r="L62" s="251">
        <f ca="1">IFERROR(__xludf.DUMMYFUNCTION("""COMPUTED_VALUE"""),45460000)</f>
        <v>45460000</v>
      </c>
      <c r="M62" s="252" t="str">
        <f ca="1">IFERROR(__xludf.DUMMYFUNCTION("""COMPUTED_VALUE"""),"60일")</f>
        <v>60일</v>
      </c>
      <c r="N62" s="252" t="str">
        <f ca="1">IFERROR(__xludf.DUMMYFUNCTION("""COMPUTED_VALUE"""),"부산 이현철 과장")</f>
        <v>부산 이현철 과장</v>
      </c>
      <c r="O62" s="253"/>
      <c r="P62" s="254" t="str">
        <f ca="1">IFERROR(__xludf.DUMMYFUNCTION("""COMPUTED_VALUE"""),"오상자이엘")</f>
        <v>오상자이엘</v>
      </c>
      <c r="Q62" s="255" t="str">
        <f ca="1">IFERROR(__xludf.DUMMYFUNCTION("""COMPUTED_VALUE"""),"HX-PO-15407")</f>
        <v>HX-PO-15407</v>
      </c>
      <c r="R62" s="256" t="str">
        <f ca="1">IFERROR(__xludf.DUMMYFUNCTION("""COMPUTED_VALUE"""),"SELSPA")</f>
        <v>SELSPA</v>
      </c>
      <c r="S62" s="257" t="str">
        <f ca="1">IFERROR(__xludf.DUMMYFUNCTION("""COMPUTED_VALUE"""),"S240123")</f>
        <v>S240123</v>
      </c>
      <c r="T62" s="258" t="str">
        <f ca="1">IFERROR(__xludf.DUMMYFUNCTION("""COMPUTED_VALUE"""),"API240930이수임0907")</f>
        <v>API240930이수임0907</v>
      </c>
      <c r="U62" s="259">
        <f ca="1">IFERROR(__xludf.DUMMYFUNCTION("""COMPUTED_VALUE"""),45565)</f>
        <v>45565</v>
      </c>
      <c r="V62" s="260">
        <f ca="1">IFERROR(__xludf.DUMMYFUNCTION("""COMPUTED_VALUE"""),43700000)</f>
        <v>43700000</v>
      </c>
      <c r="W62" s="261">
        <f ca="1">IFERROR(__xludf.DUMMYFUNCTION("""COMPUTED_VALUE"""),48070000)</f>
        <v>48070000</v>
      </c>
      <c r="X62" s="181" t="str">
        <f ca="1">IFERROR(__xludf.DUMMYFUNCTION("""COMPUTED_VALUE"""),"60일")</f>
        <v>60일</v>
      </c>
      <c r="Y62" s="145"/>
      <c r="Z62" s="2"/>
      <c r="AA62" s="2"/>
      <c r="AB62" s="2"/>
      <c r="AC62" s="2"/>
      <c r="AD62" s="2"/>
    </row>
    <row r="63" spans="1:30" ht="15.75" customHeight="1">
      <c r="A63" s="246">
        <f ca="1">IFERROR(__xludf.DUMMYFUNCTION("""COMPUTED_VALUE"""),45560)</f>
        <v>45560</v>
      </c>
      <c r="B63" s="106" t="str">
        <f ca="1">IFERROR(__xludf.DUMMYFUNCTION("""COMPUTED_VALUE"""),"대한항공")</f>
        <v>대한항공</v>
      </c>
      <c r="C63" s="247">
        <f ca="1">IFERROR(__xludf.DUMMYFUNCTION("""COMPUTED_VALUE"""),45565)</f>
        <v>45565</v>
      </c>
      <c r="D63" s="248" t="str">
        <f ca="1">IFERROR(__xludf.DUMMYFUNCTION("""COMPUTED_VALUE"""),"9-2 대한항공 항공우주사업본부 지경부 샤크렛 과제용 S/W 라이선스")</f>
        <v>9-2 대한항공 항공우주사업본부 지경부 샤크렛 과제용 S/W 라이선스</v>
      </c>
      <c r="E63" s="106" t="str">
        <f ca="1">IFERROR(__xludf.DUMMYFUNCTION("""COMPUTED_VALUE"""),"SELSPA")</f>
        <v>SELSPA</v>
      </c>
      <c r="F63" s="106" t="str">
        <f ca="1">IFERROR(__xludf.DUMMYFUNCTION("""COMPUTED_VALUE"""),"412111_판매")</f>
        <v>412111_판매</v>
      </c>
      <c r="G63" s="262" t="str">
        <f ca="1">IFERROR(__xludf.DUMMYFUNCTION("""COMPUTED_VALUE"""),"S240123")</f>
        <v>S240123</v>
      </c>
      <c r="H63" s="143"/>
      <c r="I63" s="143"/>
      <c r="J63" s="249" t="str">
        <f ca="1">IFERROR(__xludf.DUMMYFUNCTION("""COMPUTED_VALUE"""),"ART240930이수임0005")</f>
        <v>ART240930이수임0005</v>
      </c>
      <c r="K63" s="250" t="str">
        <f ca="1">IFERROR(__xludf.DUMMYFUNCTION("""COMPUTED_VALUE"""),"역")</f>
        <v>역</v>
      </c>
      <c r="L63" s="251">
        <f ca="1">IFERROR(__xludf.DUMMYFUNCTION("""COMPUTED_VALUE"""),12190000)</f>
        <v>12190000</v>
      </c>
      <c r="M63" s="252" t="str">
        <f ca="1">IFERROR(__xludf.DUMMYFUNCTION("""COMPUTED_VALUE"""),"60일")</f>
        <v>60일</v>
      </c>
      <c r="N63" s="252" t="str">
        <f ca="1">IFERROR(__xludf.DUMMYFUNCTION("""COMPUTED_VALUE"""),"부산 이현철 과장")</f>
        <v>부산 이현철 과장</v>
      </c>
      <c r="O63" s="253"/>
      <c r="P63" s="254" t="str">
        <f ca="1">IFERROR(__xludf.DUMMYFUNCTION("""COMPUTED_VALUE"""),"오상자이엘")</f>
        <v>오상자이엘</v>
      </c>
      <c r="Q63" s="255" t="str">
        <f ca="1">IFERROR(__xludf.DUMMYFUNCTION("""COMPUTED_VALUE"""),"HX-PO-15405")</f>
        <v>HX-PO-15405</v>
      </c>
      <c r="R63" s="256" t="str">
        <f ca="1">IFERROR(__xludf.DUMMYFUNCTION("""COMPUTED_VALUE"""),"SELSPA")</f>
        <v>SELSPA</v>
      </c>
      <c r="S63" s="257" t="str">
        <f ca="1">IFERROR(__xludf.DUMMYFUNCTION("""COMPUTED_VALUE"""),"S240123")</f>
        <v>S240123</v>
      </c>
      <c r="T63" s="258" t="str">
        <f ca="1">IFERROR(__xludf.DUMMYFUNCTION("""COMPUTED_VALUE"""),"API240930이수임0914")</f>
        <v>API240930이수임0914</v>
      </c>
      <c r="U63" s="263">
        <f ca="1">IFERROR(__xludf.DUMMYFUNCTION("""COMPUTED_VALUE"""),45565)</f>
        <v>45565</v>
      </c>
      <c r="V63" s="260">
        <f ca="1">IFERROR(__xludf.DUMMYFUNCTION("""COMPUTED_VALUE"""),11700000)</f>
        <v>11700000</v>
      </c>
      <c r="W63" s="261">
        <f ca="1">IFERROR(__xludf.DUMMYFUNCTION("""COMPUTED_VALUE"""),12870000)</f>
        <v>12870000</v>
      </c>
      <c r="X63" s="181" t="str">
        <f ca="1">IFERROR(__xludf.DUMMYFUNCTION("""COMPUTED_VALUE"""),"60일")</f>
        <v>60일</v>
      </c>
      <c r="Y63" s="145"/>
      <c r="Z63" s="2"/>
      <c r="AA63" s="2"/>
      <c r="AB63" s="2"/>
      <c r="AC63" s="2"/>
      <c r="AD63" s="2"/>
    </row>
    <row r="64" spans="1:30" ht="13">
      <c r="A64" s="246">
        <f ca="1">IFERROR(__xludf.DUMMYFUNCTION("""COMPUTED_VALUE"""),45560)</f>
        <v>45560</v>
      </c>
      <c r="B64" s="106" t="str">
        <f ca="1">IFERROR(__xludf.DUMMYFUNCTION("""COMPUTED_VALUE"""),"대한항공")</f>
        <v>대한항공</v>
      </c>
      <c r="C64" s="247">
        <f ca="1">IFERROR(__xludf.DUMMYFUNCTION("""COMPUTED_VALUE"""),45565)</f>
        <v>45565</v>
      </c>
      <c r="D64" s="248" t="str">
        <f ca="1">IFERROR(__xludf.DUMMYFUNCTION("""COMPUTED_VALUE"""),"9-3 대한항공 수출사업 SHIM 설계용 CATIA S/W RLC")</f>
        <v>9-3 대한항공 수출사업 SHIM 설계용 CATIA S/W RLC</v>
      </c>
      <c r="E64" s="106" t="str">
        <f ca="1">IFERROR(__xludf.DUMMYFUNCTION("""COMPUTED_VALUE"""),"SELSPA")</f>
        <v>SELSPA</v>
      </c>
      <c r="F64" s="106" t="str">
        <f ca="1">IFERROR(__xludf.DUMMYFUNCTION("""COMPUTED_VALUE"""),"412111_판매")</f>
        <v>412111_판매</v>
      </c>
      <c r="G64" s="106" t="str">
        <f ca="1">IFERROR(__xludf.DUMMYFUNCTION("""COMPUTED_VALUE"""),"S240123")</f>
        <v>S240123</v>
      </c>
      <c r="H64" s="143"/>
      <c r="I64" s="143"/>
      <c r="J64" s="249" t="str">
        <f ca="1">IFERROR(__xludf.DUMMYFUNCTION("""COMPUTED_VALUE"""),"ART240930이수임0006")</f>
        <v>ART240930이수임0006</v>
      </c>
      <c r="K64" s="250" t="str">
        <f ca="1">IFERROR(__xludf.DUMMYFUNCTION("""COMPUTED_VALUE"""),"역")</f>
        <v>역</v>
      </c>
      <c r="L64" s="251">
        <f ca="1">IFERROR(__xludf.DUMMYFUNCTION("""COMPUTED_VALUE"""),4720000)</f>
        <v>4720000</v>
      </c>
      <c r="M64" s="252" t="str">
        <f ca="1">IFERROR(__xludf.DUMMYFUNCTION("""COMPUTED_VALUE"""),"60일")</f>
        <v>60일</v>
      </c>
      <c r="N64" s="252" t="str">
        <f ca="1">IFERROR(__xludf.DUMMYFUNCTION("""COMPUTED_VALUE"""),"부산 이현철 과장")</f>
        <v>부산 이현철 과장</v>
      </c>
      <c r="O64" s="253"/>
      <c r="P64" s="254" t="str">
        <f ca="1">IFERROR(__xludf.DUMMYFUNCTION("""COMPUTED_VALUE"""),"오상자이엘")</f>
        <v>오상자이엘</v>
      </c>
      <c r="Q64" s="255" t="str">
        <f ca="1">IFERROR(__xludf.DUMMYFUNCTION("""COMPUTED_VALUE"""),"HX-PO-15404")</f>
        <v>HX-PO-15404</v>
      </c>
      <c r="R64" s="256" t="str">
        <f ca="1">IFERROR(__xludf.DUMMYFUNCTION("""COMPUTED_VALUE"""),"SELSPA")</f>
        <v>SELSPA</v>
      </c>
      <c r="S64" s="257" t="str">
        <f ca="1">IFERROR(__xludf.DUMMYFUNCTION("""COMPUTED_VALUE"""),"S240123")</f>
        <v>S240123</v>
      </c>
      <c r="T64" s="258" t="str">
        <f ca="1">IFERROR(__xludf.DUMMYFUNCTION("""COMPUTED_VALUE"""),"API240930이수임0918")</f>
        <v>API240930이수임0918</v>
      </c>
      <c r="U64" s="259">
        <f ca="1">IFERROR(__xludf.DUMMYFUNCTION("""COMPUTED_VALUE"""),45565)</f>
        <v>45565</v>
      </c>
      <c r="V64" s="260">
        <f ca="1">IFERROR(__xludf.DUMMYFUNCTION("""COMPUTED_VALUE"""),4700000)</f>
        <v>4700000</v>
      </c>
      <c r="W64" s="261">
        <f ca="1">IFERROR(__xludf.DUMMYFUNCTION("""COMPUTED_VALUE"""),5170000)</f>
        <v>5170000</v>
      </c>
      <c r="X64" s="181" t="str">
        <f ca="1">IFERROR(__xludf.DUMMYFUNCTION("""COMPUTED_VALUE"""),"60일")</f>
        <v>60일</v>
      </c>
      <c r="Y64" s="145"/>
      <c r="Z64" s="2"/>
      <c r="AA64" s="2"/>
      <c r="AB64" s="2"/>
      <c r="AC64" s="2"/>
      <c r="AD64" s="2"/>
    </row>
    <row r="65" spans="1:30" ht="13">
      <c r="A65" s="246">
        <f ca="1">IFERROR(__xludf.DUMMYFUNCTION("""COMPUTED_VALUE"""),45560)</f>
        <v>45560</v>
      </c>
      <c r="B65" s="106" t="str">
        <f ca="1">IFERROR(__xludf.DUMMYFUNCTION("""COMPUTED_VALUE"""),"대한항공")</f>
        <v>대한항공</v>
      </c>
      <c r="C65" s="247">
        <f ca="1">IFERROR(__xludf.DUMMYFUNCTION("""COMPUTED_VALUE"""),45565)</f>
        <v>45565</v>
      </c>
      <c r="D65" s="248" t="str">
        <f ca="1">IFERROR(__xludf.DUMMYFUNCTION("""COMPUTED_VALUE"""),"9-4 대한항공 A320 SL 개발용 S/W 라이선스 갱신")</f>
        <v>9-4 대한항공 A320 SL 개발용 S/W 라이선스 갱신</v>
      </c>
      <c r="E65" s="106" t="str">
        <f ca="1">IFERROR(__xludf.DUMMYFUNCTION("""COMPUTED_VALUE"""),"SELSPA")</f>
        <v>SELSPA</v>
      </c>
      <c r="F65" s="106" t="str">
        <f ca="1">IFERROR(__xludf.DUMMYFUNCTION("""COMPUTED_VALUE"""),"412111_판매")</f>
        <v>412111_판매</v>
      </c>
      <c r="G65" s="264" t="str">
        <f ca="1">IFERROR(__xludf.DUMMYFUNCTION("""COMPUTED_VALUE"""),"S240123")</f>
        <v>S240123</v>
      </c>
      <c r="H65" s="143"/>
      <c r="I65" s="143"/>
      <c r="J65" s="249" t="str">
        <f ca="1">IFERROR(__xludf.DUMMYFUNCTION("""COMPUTED_VALUE"""),"ART240930이수임0007")</f>
        <v>ART240930이수임0007</v>
      </c>
      <c r="K65" s="252" t="str">
        <f ca="1">IFERROR(__xludf.DUMMYFUNCTION("""COMPUTED_VALUE"""),"역")</f>
        <v>역</v>
      </c>
      <c r="L65" s="251">
        <f ca="1">IFERROR(__xludf.DUMMYFUNCTION("""COMPUTED_VALUE"""),14240000)</f>
        <v>14240000</v>
      </c>
      <c r="M65" s="252" t="str">
        <f ca="1">IFERROR(__xludf.DUMMYFUNCTION("""COMPUTED_VALUE"""),"60일")</f>
        <v>60일</v>
      </c>
      <c r="N65" s="252" t="str">
        <f ca="1">IFERROR(__xludf.DUMMYFUNCTION("""COMPUTED_VALUE"""),"부산 이현철 과장")</f>
        <v>부산 이현철 과장</v>
      </c>
      <c r="O65" s="253"/>
      <c r="P65" s="254" t="str">
        <f ca="1">IFERROR(__xludf.DUMMYFUNCTION("""COMPUTED_VALUE"""),"에스브이디_SVD")</f>
        <v>에스브이디_SVD</v>
      </c>
      <c r="Q65" s="252" t="str">
        <f ca="1">IFERROR(__xludf.DUMMYFUNCTION("""COMPUTED_VALUE"""),"HX-PO-15396")</f>
        <v>HX-PO-15396</v>
      </c>
      <c r="R65" s="252" t="str">
        <f ca="1">IFERROR(__xludf.DUMMYFUNCTION("""COMPUTED_VALUE"""),"SELSPA")</f>
        <v>SELSPA</v>
      </c>
      <c r="S65" s="257" t="str">
        <f ca="1">IFERROR(__xludf.DUMMYFUNCTION("""COMPUTED_VALUE"""),"S240123")</f>
        <v>S240123</v>
      </c>
      <c r="T65" s="265" t="str">
        <f ca="1">IFERROR(__xludf.DUMMYFUNCTION("""COMPUTED_VALUE"""),"API240930이수임1333")</f>
        <v>API240930이수임1333</v>
      </c>
      <c r="U65" s="259">
        <f ca="1">IFERROR(__xludf.DUMMYFUNCTION("""COMPUTED_VALUE"""),45565)</f>
        <v>45565</v>
      </c>
      <c r="V65" s="260">
        <f ca="1">IFERROR(__xludf.DUMMYFUNCTION("""COMPUTED_VALUE"""),13300000)</f>
        <v>13300000</v>
      </c>
      <c r="W65" s="261">
        <f ca="1">IFERROR(__xludf.DUMMYFUNCTION("""COMPUTED_VALUE"""),14630000)</f>
        <v>14630000</v>
      </c>
      <c r="X65" s="181" t="str">
        <f ca="1">IFERROR(__xludf.DUMMYFUNCTION("""COMPUTED_VALUE"""),"60일")</f>
        <v>60일</v>
      </c>
      <c r="Y65" s="145"/>
      <c r="Z65" s="2"/>
      <c r="AA65" s="2"/>
      <c r="AB65" s="2"/>
      <c r="AC65" s="2"/>
      <c r="AD65" s="2"/>
    </row>
    <row r="66" spans="1:30" ht="13">
      <c r="A66" s="165">
        <f ca="1">IFERROR(__xludf.DUMMYFUNCTION("""COMPUTED_VALUE"""),45562)</f>
        <v>45562</v>
      </c>
      <c r="B66" s="145" t="str">
        <f ca="1">IFERROR(__xludf.DUMMYFUNCTION("""COMPUTED_VALUE"""),"대한항공")</f>
        <v>대한항공</v>
      </c>
      <c r="C66" s="166">
        <f ca="1">IFERROR(__xludf.DUMMYFUNCTION("""COMPUTED_VALUE"""),45565)</f>
        <v>45565</v>
      </c>
      <c r="D66" s="245" t="str">
        <f ca="1">IFERROR(__xludf.DUMMYFUNCTION("""COMPUTED_VALUE"""),"9-5 대한항공 항공우주사업본부 해상초계기(P-3C 성능개량) 사업용 S/W 라이선스")</f>
        <v>9-5 대한항공 항공우주사업본부 해상초계기(P-3C 성능개량) 사업용 S/W 라이선스</v>
      </c>
      <c r="E66" s="145" t="str">
        <f ca="1">IFERROR(__xludf.DUMMYFUNCTION("""COMPUTED_VALUE"""),"SELSPA")</f>
        <v>SELSPA</v>
      </c>
      <c r="F66" s="145" t="str">
        <f ca="1">IFERROR(__xludf.DUMMYFUNCTION("""COMPUTED_VALUE"""),"412111_판매")</f>
        <v>412111_판매</v>
      </c>
      <c r="G66" s="145" t="str">
        <f ca="1">IFERROR(__xludf.DUMMYFUNCTION("""COMPUTED_VALUE"""),"S240140")</f>
        <v>S240140</v>
      </c>
      <c r="H66" s="145"/>
      <c r="I66" s="145"/>
      <c r="J66" s="145" t="str">
        <f ca="1">IFERROR(__xludf.DUMMYFUNCTION("""COMPUTED_VALUE"""),"ART240930이수임0008")</f>
        <v>ART240930이수임0008</v>
      </c>
      <c r="K66" s="145" t="str">
        <f ca="1">IFERROR(__xludf.DUMMYFUNCTION("""COMPUTED_VALUE"""),"역")</f>
        <v>역</v>
      </c>
      <c r="L66" s="146">
        <f ca="1">IFERROR(__xludf.DUMMYFUNCTION("""COMPUTED_VALUE"""),136570000)</f>
        <v>136570000</v>
      </c>
      <c r="M66" s="145" t="str">
        <f ca="1">IFERROR(__xludf.DUMMYFUNCTION("""COMPUTED_VALUE"""),"60일")</f>
        <v>60일</v>
      </c>
      <c r="N66" s="145" t="str">
        <f ca="1">IFERROR(__xludf.DUMMYFUNCTION("""COMPUTED_VALUE"""),"대전 박지은 대리")</f>
        <v>대전 박지은 대리</v>
      </c>
      <c r="O66" s="2"/>
      <c r="P66" s="229" t="str">
        <f ca="1">IFERROR(__xludf.DUMMYFUNCTION("""COMPUTED_VALUE"""),"씨테크시스템")</f>
        <v>씨테크시스템</v>
      </c>
      <c r="Q66" s="229" t="str">
        <f ca="1">IFERROR(__xludf.DUMMYFUNCTION("""COMPUTED_VALUE"""),"HX-PO-15409")</f>
        <v>HX-PO-15409</v>
      </c>
      <c r="R66" s="192" t="str">
        <f ca="1">IFERROR(__xludf.DUMMYFUNCTION("""COMPUTED_VALUE"""),"SELSPA")</f>
        <v>SELSPA</v>
      </c>
      <c r="S66" s="192" t="str">
        <f ca="1">IFERROR(__xludf.DUMMYFUNCTION("""COMPUTED_VALUE"""),"S240140")</f>
        <v>S240140</v>
      </c>
      <c r="T66" s="192" t="str">
        <f ca="1">IFERROR(__xludf.DUMMYFUNCTION("""COMPUTED_VALUE"""),"API240930이수임1338")</f>
        <v>API240930이수임1338</v>
      </c>
      <c r="U66" s="192">
        <f ca="1">IFERROR(__xludf.DUMMYFUNCTION("""COMPUTED_VALUE"""),45565)</f>
        <v>45565</v>
      </c>
      <c r="V66" s="230">
        <f ca="1">IFERROR(__xludf.DUMMYFUNCTION("""COMPUTED_VALUE"""),124500000)</f>
        <v>124500000</v>
      </c>
      <c r="W66" s="231">
        <f ca="1">IFERROR(__xludf.DUMMYFUNCTION("""COMPUTED_VALUE"""),136950000)</f>
        <v>136950000</v>
      </c>
      <c r="X66" s="145" t="str">
        <f ca="1">IFERROR(__xludf.DUMMYFUNCTION("""COMPUTED_VALUE"""),"60일")</f>
        <v>60일</v>
      </c>
      <c r="Y66" s="145"/>
      <c r="Z66" s="2"/>
      <c r="AA66" s="2"/>
      <c r="AB66" s="2"/>
      <c r="AC66" s="2"/>
      <c r="AD66" s="2"/>
    </row>
    <row r="67" spans="1:30" ht="13">
      <c r="A67" s="266">
        <f ca="1">IFERROR(__xludf.DUMMYFUNCTION("""COMPUTED_VALUE"""),45562)</f>
        <v>45562</v>
      </c>
      <c r="B67" s="267" t="str">
        <f ca="1">IFERROR(__xludf.DUMMYFUNCTION("""COMPUTED_VALUE"""),"대한항공")</f>
        <v>대한항공</v>
      </c>
      <c r="C67" s="268">
        <f ca="1">IFERROR(__xludf.DUMMYFUNCTION("""COMPUTED_VALUE"""),45565)</f>
        <v>45565</v>
      </c>
      <c r="D67" s="269" t="str">
        <f ca="1">IFERROR(__xludf.DUMMYFUNCTION("""COMPUTED_VALUE"""),"9-6 대한항공 항공우주사업본부 MUAV-OO 개발 사업용 S/W 라이선스")</f>
        <v>9-6 대한항공 항공우주사업본부 MUAV-OO 개발 사업용 S/W 라이선스</v>
      </c>
      <c r="E67" s="106" t="str">
        <f ca="1">IFERROR(__xludf.DUMMYFUNCTION("""COMPUTED_VALUE"""),"SELSPA")</f>
        <v>SELSPA</v>
      </c>
      <c r="F67" s="141" t="str">
        <f ca="1">IFERROR(__xludf.DUMMYFUNCTION("""COMPUTED_VALUE"""),"412111_판매")</f>
        <v>412111_판매</v>
      </c>
      <c r="G67" s="267" t="str">
        <f ca="1">IFERROR(__xludf.DUMMYFUNCTION("""COMPUTED_VALUE"""),"S240140")</f>
        <v>S240140</v>
      </c>
      <c r="H67" s="143"/>
      <c r="I67" s="143"/>
      <c r="J67" s="106" t="str">
        <f ca="1">IFERROR(__xludf.DUMMYFUNCTION("""COMPUTED_VALUE"""),"ART240930이수임0009")</f>
        <v>ART240930이수임0009</v>
      </c>
      <c r="K67" s="138" t="str">
        <f ca="1">IFERROR(__xludf.DUMMYFUNCTION("""COMPUTED_VALUE"""),"역")</f>
        <v>역</v>
      </c>
      <c r="L67" s="270">
        <f ca="1">IFERROR(__xludf.DUMMYFUNCTION("""COMPUTED_VALUE"""),120160000)</f>
        <v>120160000</v>
      </c>
      <c r="M67" s="106" t="str">
        <f ca="1">IFERROR(__xludf.DUMMYFUNCTION("""COMPUTED_VALUE"""),"60일")</f>
        <v>60일</v>
      </c>
      <c r="N67" s="271" t="str">
        <f ca="1">IFERROR(__xludf.DUMMYFUNCTION("""COMPUTED_VALUE"""),"대전 박지은 대리")</f>
        <v>대전 박지은 대리</v>
      </c>
      <c r="O67" s="2"/>
      <c r="P67" s="272" t="str">
        <f ca="1">IFERROR(__xludf.DUMMYFUNCTION("""COMPUTED_VALUE"""),"태성에스엔이")</f>
        <v>태성에스엔이</v>
      </c>
      <c r="Q67" s="273" t="str">
        <f ca="1">IFERROR(__xludf.DUMMYFUNCTION("""COMPUTED_VALUE"""),"HX-PO-15399")</f>
        <v>HX-PO-15399</v>
      </c>
      <c r="R67" s="106" t="str">
        <f ca="1">IFERROR(__xludf.DUMMYFUNCTION("""COMPUTED_VALUE"""),"SELSPA")</f>
        <v>SELSPA</v>
      </c>
      <c r="S67" s="274" t="str">
        <f ca="1">IFERROR(__xludf.DUMMYFUNCTION("""COMPUTED_VALUE"""),"S240140")</f>
        <v>S240140</v>
      </c>
      <c r="T67" s="154" t="str">
        <f ca="1">IFERROR(__xludf.DUMMYFUNCTION("""COMPUTED_VALUE"""),"API240930이수임1341")</f>
        <v>API240930이수임1341</v>
      </c>
      <c r="U67" s="246">
        <f ca="1">IFERROR(__xludf.DUMMYFUNCTION("""COMPUTED_VALUE"""),45565)</f>
        <v>45565</v>
      </c>
      <c r="V67" s="155">
        <f ca="1">IFERROR(__xludf.DUMMYFUNCTION("""COMPUTED_VALUE"""),42800000)</f>
        <v>42800000</v>
      </c>
      <c r="W67" s="275">
        <f ca="1">IFERROR(__xludf.DUMMYFUNCTION("""COMPUTED_VALUE"""),47080000)</f>
        <v>47080000</v>
      </c>
      <c r="X67" s="276" t="str">
        <f ca="1">IFERROR(__xludf.DUMMYFUNCTION("""COMPUTED_VALUE"""),"60일")</f>
        <v>60일</v>
      </c>
      <c r="Y67" s="229"/>
      <c r="Z67" s="2"/>
      <c r="AA67" s="2"/>
      <c r="AB67" s="2"/>
      <c r="AC67" s="2"/>
      <c r="AD67" s="2"/>
    </row>
    <row r="68" spans="1:30" ht="13">
      <c r="A68" s="266">
        <f ca="1">IFERROR(__xludf.DUMMYFUNCTION("""COMPUTED_VALUE"""),45562)</f>
        <v>45562</v>
      </c>
      <c r="B68" s="106" t="str">
        <f ca="1">IFERROR(__xludf.DUMMYFUNCTION("""COMPUTED_VALUE"""),"대한항공")</f>
        <v>대한항공</v>
      </c>
      <c r="C68" s="247"/>
      <c r="D68" s="277"/>
      <c r="E68" s="106"/>
      <c r="F68" s="278"/>
      <c r="G68" s="267"/>
      <c r="H68" s="143"/>
      <c r="I68" s="143"/>
      <c r="J68" s="279"/>
      <c r="K68" s="280" t="str">
        <f ca="1">IFERROR(__xludf.DUMMYFUNCTION("""COMPUTED_VALUE"""),"역")</f>
        <v>역</v>
      </c>
      <c r="L68" s="281"/>
      <c r="M68" s="106"/>
      <c r="N68" s="279"/>
      <c r="O68" s="2"/>
      <c r="P68" s="282" t="str">
        <f ca="1">IFERROR(__xludf.DUMMYFUNCTION("""COMPUTED_VALUE"""),"씨테크시스템")</f>
        <v>씨테크시스템</v>
      </c>
      <c r="Q68" s="283" t="str">
        <f ca="1">IFERROR(__xludf.DUMMYFUNCTION("""COMPUTED_VALUE"""),"HX-PO-15410")</f>
        <v>HX-PO-15410</v>
      </c>
      <c r="R68" s="282" t="str">
        <f ca="1">IFERROR(__xludf.DUMMYFUNCTION("""COMPUTED_VALUE"""),"SELSPA")</f>
        <v>SELSPA</v>
      </c>
      <c r="S68" s="282" t="str">
        <f ca="1">IFERROR(__xludf.DUMMYFUNCTION("""COMPUTED_VALUE"""),"S240140")</f>
        <v>S240140</v>
      </c>
      <c r="T68" s="284" t="str">
        <f ca="1">IFERROR(__xludf.DUMMYFUNCTION("""COMPUTED_VALUE"""),"API240930이수임1358")</f>
        <v>API240930이수임1358</v>
      </c>
      <c r="U68" s="285">
        <f ca="1">IFERROR(__xludf.DUMMYFUNCTION("""COMPUTED_VALUE"""),45565)</f>
        <v>45565</v>
      </c>
      <c r="V68" s="286">
        <f ca="1">IFERROR(__xludf.DUMMYFUNCTION("""COMPUTED_VALUE"""),65500000)</f>
        <v>65500000</v>
      </c>
      <c r="W68" s="287">
        <f ca="1">IFERROR(__xludf.DUMMYFUNCTION("""COMPUTED_VALUE"""),72050000)</f>
        <v>72050000</v>
      </c>
      <c r="X68" s="283" t="str">
        <f ca="1">IFERROR(__xludf.DUMMYFUNCTION("""COMPUTED_VALUE"""),"60일")</f>
        <v>60일</v>
      </c>
      <c r="Y68" s="282"/>
      <c r="Z68" s="2"/>
      <c r="AA68" s="2"/>
      <c r="AB68" s="2"/>
      <c r="AC68" s="2"/>
      <c r="AD68" s="2"/>
    </row>
    <row r="69" spans="1:30" ht="13">
      <c r="A69" s="266"/>
      <c r="B69" s="106" t="str">
        <f ca="1">IFERROR(__xludf.DUMMYFUNCTION("""COMPUTED_VALUE"""),"대한항공")</f>
        <v>대한항공</v>
      </c>
      <c r="C69" s="247"/>
      <c r="D69" s="269" t="str">
        <f ca="1">IFERROR(__xludf.DUMMYFUNCTION("""COMPUTED_VALUE"""),"대한항공 비대면 원격검사시스템 구축 ")</f>
        <v xml:space="preserve">대한항공 비대면 원격검사시스템 구축 </v>
      </c>
      <c r="E69" s="106" t="str">
        <f ca="1">IFERROR(__xludf.DUMMYFUNCTION("""COMPUTED_VALUE"""),"SELSPA")</f>
        <v>SELSPA</v>
      </c>
      <c r="F69" s="278" t="str">
        <f ca="1">IFERROR(__xludf.DUMMYFUNCTION("""COMPUTED_VALUE"""),"용역수익_일반")</f>
        <v>용역수익_일반</v>
      </c>
      <c r="G69" s="267" t="str">
        <f ca="1">IFERROR(__xludf.DUMMYFUNCTION("""COMPUTED_VALUE"""),"R240036")</f>
        <v>R240036</v>
      </c>
      <c r="H69" s="143"/>
      <c r="I69" s="143"/>
      <c r="J69" s="279" t="str">
        <f ca="1">IFERROR(__xludf.DUMMYFUNCTION("""COMPUTED_VALUE"""),"ART240624이수임1603")</f>
        <v>ART240624이수임1603</v>
      </c>
      <c r="K69" s="280"/>
      <c r="L69" s="270"/>
      <c r="M69" s="106"/>
      <c r="N69" s="279"/>
      <c r="O69" s="2"/>
      <c r="P69" s="272" t="str">
        <f ca="1">IFERROR(__xludf.DUMMYFUNCTION("""COMPUTED_VALUE"""),"이라인비즈")</f>
        <v>이라인비즈</v>
      </c>
      <c r="Q69" s="288" t="str">
        <f ca="1">IFERROR(__xludf.DUMMYFUNCTION("""COMPUTED_VALUE"""),"HX-PO-15245")</f>
        <v>HX-PO-15245</v>
      </c>
      <c r="R69" s="106" t="str">
        <f ca="1">IFERROR(__xludf.DUMMYFUNCTION("""COMPUTED_VALUE"""),"SELSPA")</f>
        <v>SELSPA</v>
      </c>
      <c r="S69" s="289" t="str">
        <f ca="1">IFERROR(__xludf.DUMMYFUNCTION("""COMPUTED_VALUE"""),"R240036")</f>
        <v>R240036</v>
      </c>
      <c r="T69" s="290" t="str">
        <f ca="1">IFERROR(__xludf.DUMMYFUNCTION("""COMPUTED_VALUE"""),"API240927이수임1407")</f>
        <v>API240927이수임1407</v>
      </c>
      <c r="U69" s="288">
        <f ca="1">IFERROR(__xludf.DUMMYFUNCTION("""COMPUTED_VALUE"""),45562)</f>
        <v>45562</v>
      </c>
      <c r="V69" s="291">
        <f ca="1">IFERROR(__xludf.DUMMYFUNCTION("""COMPUTED_VALUE"""),13440000)</f>
        <v>13440000</v>
      </c>
      <c r="W69" s="291">
        <f ca="1">IFERROR(__xludf.DUMMYFUNCTION("""COMPUTED_VALUE"""),14784000)</f>
        <v>14784000</v>
      </c>
      <c r="X69" s="292" t="str">
        <f ca="1">IFERROR(__xludf.DUMMYFUNCTION("""COMPUTED_VALUE"""),"60일")</f>
        <v>60일</v>
      </c>
      <c r="Y69" s="229"/>
      <c r="Z69" s="2"/>
      <c r="AA69" s="2"/>
      <c r="AB69" s="2"/>
      <c r="AC69" s="2"/>
      <c r="AD69" s="2"/>
    </row>
    <row r="70" spans="1:30" ht="13">
      <c r="A70" s="266"/>
      <c r="B70" s="106" t="str">
        <f ca="1">IFERROR(__xludf.DUMMYFUNCTION("""COMPUTED_VALUE"""),"대한항공")</f>
        <v>대한항공</v>
      </c>
      <c r="C70" s="247"/>
      <c r="D70" s="293" t="str">
        <f ca="1">IFERROR(__xludf.DUMMYFUNCTION("""COMPUTED_VALUE"""),"대한항공 비대면 원격검사시스템 구축 ")</f>
        <v xml:space="preserve">대한항공 비대면 원격검사시스템 구축 </v>
      </c>
      <c r="E70" s="106" t="str">
        <f ca="1">IFERROR(__xludf.DUMMYFUNCTION("""COMPUTED_VALUE"""),"SELSPA")</f>
        <v>SELSPA</v>
      </c>
      <c r="F70" s="294" t="str">
        <f ca="1">IFERROR(__xludf.DUMMYFUNCTION("""COMPUTED_VALUE"""),"용역수익_일반")</f>
        <v>용역수익_일반</v>
      </c>
      <c r="G70" s="283" t="str">
        <f ca="1">IFERROR(__xludf.DUMMYFUNCTION("""COMPUTED_VALUE"""),"R240036")</f>
        <v>R240036</v>
      </c>
      <c r="H70" s="143"/>
      <c r="I70" s="143"/>
      <c r="J70" s="249" t="str">
        <f ca="1">IFERROR(__xludf.DUMMYFUNCTION("""COMPUTED_VALUE"""),"ART240624이수임1603")</f>
        <v>ART240624이수임1603</v>
      </c>
      <c r="K70" s="280"/>
      <c r="L70" s="155"/>
      <c r="M70" s="106"/>
      <c r="N70" s="279"/>
      <c r="O70" s="2"/>
      <c r="P70" s="228" t="str">
        <f ca="1">IFERROR(__xludf.DUMMYFUNCTION("""COMPUTED_VALUE"""),"케이원")</f>
        <v>케이원</v>
      </c>
      <c r="Q70" s="229" t="str">
        <f ca="1">IFERROR(__xludf.DUMMYFUNCTION("""COMPUTED_VALUE"""),"HX-PO-15232")</f>
        <v>HX-PO-15232</v>
      </c>
      <c r="R70" s="192" t="str">
        <f ca="1">IFERROR(__xludf.DUMMYFUNCTION("""COMPUTED_VALUE"""),"SELSPA")</f>
        <v>SELSPA</v>
      </c>
      <c r="S70" s="192" t="str">
        <f ca="1">IFERROR(__xludf.DUMMYFUNCTION("""COMPUTED_VALUE"""),"R240036")</f>
        <v>R240036</v>
      </c>
      <c r="T70" s="192" t="str">
        <f ca="1">IFERROR(__xludf.DUMMYFUNCTION("""COMPUTED_VALUE"""),"API240930이수임1413")</f>
        <v>API240930이수임1413</v>
      </c>
      <c r="U70" s="192">
        <f ca="1">IFERROR(__xludf.DUMMYFUNCTION("""COMPUTED_VALUE"""),45565)</f>
        <v>45565</v>
      </c>
      <c r="V70" s="230">
        <f ca="1">IFERROR(__xludf.DUMMYFUNCTION("""COMPUTED_VALUE"""),2150000)</f>
        <v>2150000</v>
      </c>
      <c r="W70" s="231">
        <f ca="1">IFERROR(__xludf.DUMMYFUNCTION("""COMPUTED_VALUE"""),2365000)</f>
        <v>2365000</v>
      </c>
      <c r="X70" s="145" t="str">
        <f ca="1">IFERROR(__xludf.DUMMYFUNCTION("""COMPUTED_VALUE"""),"60일")</f>
        <v>60일</v>
      </c>
      <c r="Y70" s="145"/>
      <c r="Z70" s="2"/>
      <c r="AA70" s="2"/>
      <c r="AB70" s="2"/>
      <c r="AC70" s="2"/>
      <c r="AD70" s="2"/>
    </row>
    <row r="71" spans="1:30" ht="13">
      <c r="A71" s="2"/>
      <c r="B71" s="2" t="str">
        <f ca="1">IFERROR(__xludf.DUMMYFUNCTION("""COMPUTED_VALUE"""),"현대무벡스")</f>
        <v>현대무벡스</v>
      </c>
      <c r="C71" s="242">
        <f ca="1">IFERROR(__xludf.DUMMYFUNCTION("""COMPUTED_VALUE"""),45565)</f>
        <v>45565</v>
      </c>
      <c r="D71" s="2" t="str">
        <f ca="1">IFERROR(__xludf.DUMMYFUNCTION("""COMPUTED_VALUE"""),"현대무벡스 다카공항 CMS 시스템 - 잔금 10%          /부가세별도")</f>
        <v>현대무벡스 다카공항 CMS 시스템 - 잔금 10%          /부가세별도</v>
      </c>
      <c r="E71" s="2" t="str">
        <f ca="1">IFERROR(__xludf.DUMMYFUNCTION("""COMPUTED_VALUE"""),"SELSPA")</f>
        <v>SELSPA</v>
      </c>
      <c r="F71" s="2" t="str">
        <f ca="1">IFERROR(__xludf.DUMMYFUNCTION("""COMPUTED_VALUE"""),"용역수익_중점")</f>
        <v>용역수익_중점</v>
      </c>
      <c r="G71" s="2" t="str">
        <f ca="1">IFERROR(__xludf.DUMMYFUNCTION("""COMPUTED_VALUE"""),"P200010")</f>
        <v>P200010</v>
      </c>
      <c r="H71" s="2"/>
      <c r="I71" s="2"/>
      <c r="J71" s="2" t="str">
        <f ca="1">IFERROR(__xludf.DUMMYFUNCTION("""COMPUTED_VALUE"""),"ART240930이수임1749")</f>
        <v>ART240930이수임1749</v>
      </c>
      <c r="K71" s="2" t="str">
        <f ca="1">IFERROR(__xludf.DUMMYFUNCTION("""COMPUTED_VALUE"""),"정")</f>
        <v>정</v>
      </c>
      <c r="L71" s="241">
        <f ca="1">IFERROR(__xludf.DUMMYFUNCTION("""COMPUTED_VALUE"""),199000000)</f>
        <v>199000000</v>
      </c>
      <c r="M71" s="2" t="str">
        <f ca="1">IFERROR(__xludf.DUMMYFUNCTION("""COMPUTED_VALUE"""),"30일")</f>
        <v>30일</v>
      </c>
      <c r="N71" s="2" t="str">
        <f ca="1">IFERROR(__xludf.DUMMYFUNCTION("""COMPUTED_VALUE"""),"이세영 매니저 02-3782-1616 sy.lee@hyundaimovex.com")</f>
        <v>이세영 매니저 02-3782-1616 sy.lee@hyundaimovex.com</v>
      </c>
      <c r="O71" s="2"/>
      <c r="P71" s="2" t="str">
        <f ca="1">IFERROR(__xludf.DUMMYFUNCTION("""COMPUTED_VALUE"""),"없음")</f>
        <v>없음</v>
      </c>
      <c r="Q71" s="2"/>
      <c r="R71" s="241"/>
      <c r="S71" s="241"/>
      <c r="T71" s="241"/>
      <c r="U71" s="2"/>
      <c r="V71" s="241"/>
      <c r="W71" s="2"/>
      <c r="X71" s="2"/>
      <c r="Y71" s="2"/>
      <c r="Z71" s="2"/>
      <c r="AA71" s="2"/>
      <c r="AB71" s="2"/>
      <c r="AC71" s="2"/>
      <c r="AD71" s="2"/>
    </row>
    <row r="72" spans="1:30" ht="13">
      <c r="A72" s="295"/>
      <c r="B72" s="143"/>
      <c r="C72" s="143"/>
      <c r="D72" s="144"/>
      <c r="E72" s="145"/>
      <c r="F72" s="145"/>
      <c r="G72" s="145"/>
      <c r="H72" s="145"/>
      <c r="I72" s="145"/>
      <c r="J72" s="194"/>
      <c r="K72" s="145"/>
      <c r="L72" s="146"/>
      <c r="M72" s="145"/>
      <c r="N72" s="145"/>
      <c r="O72" s="2"/>
      <c r="P72" s="147"/>
      <c r="Q72" s="229"/>
      <c r="R72" s="192"/>
      <c r="S72" s="192"/>
      <c r="T72" s="192"/>
      <c r="U72" s="192"/>
      <c r="V72" s="150"/>
      <c r="W72" s="145"/>
      <c r="X72" s="145"/>
      <c r="Y72" s="145"/>
      <c r="Z72" s="2"/>
      <c r="AA72" s="2"/>
      <c r="AB72" s="2"/>
      <c r="AC72" s="2"/>
      <c r="AD72" s="2"/>
    </row>
    <row r="73" spans="1:30" ht="13">
      <c r="A73" s="171" t="str">
        <f ca="1">IFERROR(__xludf.DUMMYFUNCTION("""COMPUTED_VALUE"""),"  # 10월 청구분")</f>
        <v xml:space="preserve">  # 10월 청구분</v>
      </c>
      <c r="B73" s="136"/>
      <c r="C73" s="1086"/>
      <c r="D73" s="1087">
        <f ca="1">IFERROR(__xludf.DUMMYFUNCTION("""COMPUTED_VALUE"""),392952000)</f>
        <v>392952000</v>
      </c>
      <c r="E73" s="1088"/>
      <c r="F73" s="1088"/>
      <c r="G73" s="1089"/>
      <c r="H73" s="143"/>
      <c r="I73" s="143"/>
      <c r="J73" s="1091"/>
      <c r="K73" s="296"/>
      <c r="L73" s="1094"/>
      <c r="M73" s="136"/>
      <c r="N73" s="136"/>
      <c r="O73" s="2"/>
      <c r="P73" s="297">
        <f ca="1">IFERROR(__xludf.DUMMYFUNCTION("""COMPUTED_VALUE"""),307775900)</f>
        <v>307775900</v>
      </c>
      <c r="Q73" s="298"/>
      <c r="R73" s="299"/>
      <c r="S73" s="246"/>
      <c r="T73" s="300"/>
      <c r="U73" s="301"/>
      <c r="V73" s="155"/>
      <c r="W73" s="270">
        <f ca="1">IFERROR(__xludf.DUMMYFUNCTION("""COMPUTED_VALUE"""),0)</f>
        <v>0</v>
      </c>
      <c r="X73" s="181"/>
      <c r="Y73" s="145"/>
      <c r="Z73" s="2"/>
      <c r="AA73" s="2"/>
      <c r="AB73" s="2"/>
      <c r="AC73" s="2"/>
      <c r="AD73" s="2"/>
    </row>
    <row r="74" spans="1:30" ht="13">
      <c r="A74" s="171">
        <f ca="1">IFERROR(__xludf.DUMMYFUNCTION("""COMPUTED_VALUE"""),45566)</f>
        <v>45566</v>
      </c>
      <c r="B74" s="136" t="str">
        <f ca="1">IFERROR(__xludf.DUMMYFUNCTION("""COMPUTED_VALUE"""),"대한항공")</f>
        <v>대한항공</v>
      </c>
      <c r="C74" s="1051"/>
      <c r="D74" s="1051"/>
      <c r="E74" s="1051"/>
      <c r="F74" s="1051"/>
      <c r="G74" s="1051"/>
      <c r="H74" s="143"/>
      <c r="I74" s="143"/>
      <c r="J74" s="1051"/>
      <c r="K74" s="296" t="str">
        <f ca="1">IFERROR(__xludf.DUMMYFUNCTION("""COMPUTED_VALUE"""),"역")</f>
        <v>역</v>
      </c>
      <c r="L74" s="1095"/>
      <c r="M74" s="145" t="str">
        <f ca="1">IFERROR(__xludf.DUMMYFUNCTION("""COMPUTED_VALUE"""),"60일")</f>
        <v>60일</v>
      </c>
      <c r="N74" s="145" t="str">
        <f ca="1">IFERROR(__xludf.DUMMYFUNCTION("""COMPUTED_VALUE"""),"XW 임종화 과장")</f>
        <v>XW 임종화 과장</v>
      </c>
      <c r="O74" s="2"/>
      <c r="P74" s="277" t="str">
        <f ca="1">IFERROR(__xludf.DUMMYFUNCTION("""COMPUTED_VALUE"""),"2.온더아이티")</f>
        <v>2.온더아이티</v>
      </c>
      <c r="Q74" s="298" t="str">
        <f ca="1">IFERROR(__xludf.DUMMYFUNCTION("""COMPUTED_VALUE"""),"HX-PO-12472")</f>
        <v>HX-PO-12472</v>
      </c>
      <c r="R74" s="299" t="str">
        <f ca="1">IFERROR(__xludf.DUMMYFUNCTION("""COMPUTED_VALUE"""),"SELSPA")</f>
        <v>SELSPA</v>
      </c>
      <c r="S74" s="299" t="str">
        <f ca="1">IFERROR(__xludf.DUMMYFUNCTION("""COMPUTED_VALUE"""),"R220007")</f>
        <v>R220007</v>
      </c>
      <c r="T74" s="300" t="str">
        <f ca="1">IFERROR(__xludf.DUMMYFUNCTION("""COMPUTED_VALUE"""),"API241030이수임2003")</f>
        <v>API241030이수임2003</v>
      </c>
      <c r="U74" s="301">
        <f ca="1">IFERROR(__xludf.DUMMYFUNCTION("""COMPUTED_VALUE"""),45595)</f>
        <v>45595</v>
      </c>
      <c r="V74" s="155">
        <f ca="1">IFERROR(__xludf.DUMMYFUNCTION("""COMPUTED_VALUE"""),1080000)</f>
        <v>1080000</v>
      </c>
      <c r="W74" s="270">
        <f ca="1">IFERROR(__xludf.DUMMYFUNCTION("""COMPUTED_VALUE"""),1188000)</f>
        <v>1188000</v>
      </c>
      <c r="X74" s="181" t="str">
        <f ca="1">IFERROR(__xludf.DUMMYFUNCTION("""COMPUTED_VALUE"""),"30일")</f>
        <v>30일</v>
      </c>
      <c r="Y74" s="145"/>
      <c r="Z74" s="2"/>
      <c r="AA74" s="2"/>
      <c r="AB74" s="2"/>
      <c r="AC74" s="2"/>
      <c r="AD74" s="2"/>
    </row>
    <row r="75" spans="1:30" ht="13">
      <c r="A75" s="171"/>
      <c r="B75" s="136"/>
      <c r="C75" s="1051"/>
      <c r="D75" s="1051"/>
      <c r="E75" s="1051"/>
      <c r="F75" s="1051"/>
      <c r="G75" s="1051"/>
      <c r="H75" s="143"/>
      <c r="I75" s="143"/>
      <c r="J75" s="1051"/>
      <c r="K75" s="296"/>
      <c r="L75" s="1095"/>
      <c r="M75" s="145"/>
      <c r="N75" s="145"/>
      <c r="O75" s="2"/>
      <c r="P75" s="302" t="str">
        <f ca="1">IFERROR(__xludf.DUMMYFUNCTION("""COMPUTED_VALUE"""),"3.포시에스")</f>
        <v>3.포시에스</v>
      </c>
      <c r="Q75" s="298" t="str">
        <f ca="1">IFERROR(__xludf.DUMMYFUNCTION("""COMPUTED_VALUE"""),"HX-PO-12471")</f>
        <v>HX-PO-12471</v>
      </c>
      <c r="R75" s="299"/>
      <c r="S75" s="299"/>
      <c r="T75" s="300" t="str">
        <f ca="1">IFERROR(__xludf.DUMMYFUNCTION("""COMPUTED_VALUE"""),"API241030이수임0833")</f>
        <v>API241030이수임0833</v>
      </c>
      <c r="U75" s="301"/>
      <c r="V75" s="155">
        <f ca="1">IFERROR(__xludf.DUMMYFUNCTION("""COMPUTED_VALUE"""),952500)</f>
        <v>952500</v>
      </c>
      <c r="W75" s="270">
        <f ca="1">IFERROR(__xludf.DUMMYFUNCTION("""COMPUTED_VALUE"""),1047750)</f>
        <v>1047750</v>
      </c>
      <c r="X75" s="303" t="str">
        <f ca="1">IFERROR(__xludf.DUMMYFUNCTION("""COMPUTED_VALUE"""),"30일")</f>
        <v>30일</v>
      </c>
      <c r="Y75" s="145"/>
      <c r="Z75" s="2"/>
      <c r="AA75" s="2"/>
      <c r="AB75" s="2"/>
      <c r="AC75" s="2"/>
      <c r="AD75" s="2"/>
    </row>
    <row r="76" spans="1:30" ht="13">
      <c r="A76" s="171"/>
      <c r="B76" s="136"/>
      <c r="C76" s="1052"/>
      <c r="D76" s="1052"/>
      <c r="E76" s="1052"/>
      <c r="F76" s="1052"/>
      <c r="G76" s="1052"/>
      <c r="H76" s="143"/>
      <c r="I76" s="143"/>
      <c r="J76" s="1052"/>
      <c r="K76" s="296"/>
      <c r="L76" s="1096"/>
      <c r="M76" s="145"/>
      <c r="N76" s="145"/>
      <c r="O76" s="2"/>
      <c r="P76" s="277" t="str">
        <f ca="1">IFERROR(__xludf.DUMMYFUNCTION("""COMPUTED_VALUE"""),"4.아이앤티시스템")</f>
        <v>4.아이앤티시스템</v>
      </c>
      <c r="Q76" s="298" t="str">
        <f ca="1">IFERROR(__xludf.DUMMYFUNCTION("""COMPUTED_VALUE"""),"HX-PO-12474")</f>
        <v>HX-PO-12474</v>
      </c>
      <c r="R76" s="299"/>
      <c r="S76" s="299"/>
      <c r="T76" s="300" t="str">
        <f ca="1">IFERROR(__xludf.DUMMYFUNCTION("""COMPUTED_VALUE"""),"API241030이수임0836")</f>
        <v>API241030이수임0836</v>
      </c>
      <c r="U76" s="301"/>
      <c r="V76" s="155">
        <f ca="1">IFERROR(__xludf.DUMMYFUNCTION("""COMPUTED_VALUE"""),723000)</f>
        <v>723000</v>
      </c>
      <c r="W76" s="270">
        <f ca="1">IFERROR(__xludf.DUMMYFUNCTION("""COMPUTED_VALUE"""),795300)</f>
        <v>795300</v>
      </c>
      <c r="X76" s="181" t="str">
        <f ca="1">IFERROR(__xludf.DUMMYFUNCTION("""COMPUTED_VALUE"""),"30일")</f>
        <v>30일</v>
      </c>
      <c r="Y76" s="145"/>
      <c r="Z76" s="2"/>
      <c r="AA76" s="2"/>
      <c r="AB76" s="2"/>
      <c r="AC76" s="2"/>
      <c r="AD76" s="2"/>
    </row>
    <row r="77" spans="1:30" ht="13">
      <c r="A77" s="171"/>
      <c r="B77" s="136"/>
      <c r="C77" s="301">
        <f ca="1">IFERROR(__xludf.DUMMYFUNCTION("""COMPUTED_VALUE"""),45566)</f>
        <v>45566</v>
      </c>
      <c r="D77" s="248" t="str">
        <f ca="1">IFERROR(__xludf.DUMMYFUNCTION("""COMPUTED_VALUE"""),"대한항공 Tool SW_영상판독")</f>
        <v>대한항공 Tool SW_영상판독</v>
      </c>
      <c r="E77" s="106"/>
      <c r="F77" s="106"/>
      <c r="G77" s="106"/>
      <c r="H77" s="143"/>
      <c r="I77" s="143"/>
      <c r="J77" s="280" t="str">
        <f ca="1">IFERROR(__xludf.DUMMYFUNCTION("""COMPUTED_VALUE"""),"ART241001이수임1602")</f>
        <v>ART241001이수임1602</v>
      </c>
      <c r="K77" s="296"/>
      <c r="L77" s="155">
        <f ca="1">IFERROR(__xludf.DUMMYFUNCTION("""COMPUTED_VALUE"""),2024750)</f>
        <v>2024750</v>
      </c>
      <c r="M77" s="136"/>
      <c r="N77" s="136"/>
      <c r="O77" s="2"/>
      <c r="P77" s="277" t="str">
        <f ca="1">IFERROR(__xludf.DUMMYFUNCTION("""COMPUTED_VALUE"""),"5.인피니트헬스케어")</f>
        <v>5.인피니트헬스케어</v>
      </c>
      <c r="Q77" s="106" t="str">
        <f ca="1">IFERROR(__xludf.DUMMYFUNCTION("""COMPUTED_VALUE"""),"HX-PO-12475")</f>
        <v>HX-PO-12475</v>
      </c>
      <c r="R77" s="299"/>
      <c r="S77" s="246"/>
      <c r="T77" s="300" t="str">
        <f ca="1">IFERROR(__xludf.DUMMYFUNCTION("""COMPUTED_VALUE"""),"API241030이수임2008")</f>
        <v>API241030이수임2008</v>
      </c>
      <c r="U77" s="301"/>
      <c r="V77" s="155">
        <f ca="1">IFERROR(__xludf.DUMMYFUNCTION("""COMPUTED_VALUE"""),1950000)</f>
        <v>1950000</v>
      </c>
      <c r="W77" s="270">
        <f ca="1">IFERROR(__xludf.DUMMYFUNCTION("""COMPUTED_VALUE"""),2145000)</f>
        <v>2145000</v>
      </c>
      <c r="X77" s="181" t="str">
        <f ca="1">IFERROR(__xludf.DUMMYFUNCTION("""COMPUTED_VALUE"""),"30일")</f>
        <v>30일</v>
      </c>
      <c r="Y77" s="145"/>
      <c r="Z77" s="2"/>
      <c r="AA77" s="2"/>
      <c r="AB77" s="2"/>
      <c r="AC77" s="2"/>
      <c r="AD77" s="2"/>
    </row>
    <row r="78" spans="1:30" ht="13">
      <c r="A78" s="171"/>
      <c r="B78" s="136"/>
      <c r="C78" s="301">
        <f ca="1">IFERROR(__xludf.DUMMYFUNCTION("""COMPUTED_VALUE"""),45566)</f>
        <v>45566</v>
      </c>
      <c r="D78" s="248" t="str">
        <f ca="1">IFERROR(__xludf.DUMMYFUNCTION("""COMPUTED_VALUE"""),"대한항공 Tool SW_의료검사IF")</f>
        <v>대한항공 Tool SW_의료검사IF</v>
      </c>
      <c r="E78" s="106"/>
      <c r="F78" s="106"/>
      <c r="G78" s="106"/>
      <c r="H78" s="143"/>
      <c r="I78" s="143"/>
      <c r="J78" s="280" t="str">
        <f ca="1">IFERROR(__xludf.DUMMYFUNCTION("""COMPUTED_VALUE"""),"ART241001이수임1604")</f>
        <v>ART241001이수임1604</v>
      </c>
      <c r="K78" s="296"/>
      <c r="L78" s="155">
        <f ca="1">IFERROR(__xludf.DUMMYFUNCTION("""COMPUTED_VALUE"""),2165000)</f>
        <v>2165000</v>
      </c>
      <c r="M78" s="136"/>
      <c r="N78" s="136"/>
      <c r="O78" s="2"/>
      <c r="P78" s="277" t="str">
        <f ca="1">IFERROR(__xludf.DUMMYFUNCTION("""COMPUTED_VALUE"""),"6.에이씨케이")</f>
        <v>6.에이씨케이</v>
      </c>
      <c r="Q78" s="106" t="str">
        <f ca="1">IFERROR(__xludf.DUMMYFUNCTION("""COMPUTED_VALUE"""),"HX-PO-12476")</f>
        <v>HX-PO-12476</v>
      </c>
      <c r="R78" s="106"/>
      <c r="S78" s="246"/>
      <c r="T78" s="154" t="str">
        <f ca="1">IFERROR(__xludf.DUMMYFUNCTION("""COMPUTED_VALUE"""),"API241030이수임2014")</f>
        <v>API241030이수임2014</v>
      </c>
      <c r="U78" s="301"/>
      <c r="V78" s="155">
        <f ca="1">IFERROR(__xludf.DUMMYFUNCTION("""COMPUTED_VALUE"""),2000000)</f>
        <v>2000000</v>
      </c>
      <c r="W78" s="270">
        <f ca="1">IFERROR(__xludf.DUMMYFUNCTION("""COMPUTED_VALUE"""),2200000)</f>
        <v>2200000</v>
      </c>
      <c r="X78" s="181" t="str">
        <f ca="1">IFERROR(__xludf.DUMMYFUNCTION("""COMPUTED_VALUE"""),"30일")</f>
        <v>30일</v>
      </c>
      <c r="Y78" s="145"/>
      <c r="Z78" s="2"/>
      <c r="AA78" s="2"/>
      <c r="AB78" s="2"/>
      <c r="AC78" s="2"/>
      <c r="AD78" s="2"/>
    </row>
    <row r="79" spans="1:30" ht="13">
      <c r="A79" s="171"/>
      <c r="B79" s="136"/>
      <c r="C79" s="301">
        <f ca="1">IFERROR(__xludf.DUMMYFUNCTION("""COMPUTED_VALUE"""),45566)</f>
        <v>45566</v>
      </c>
      <c r="D79" s="248" t="str">
        <f ca="1">IFERROR(__xludf.DUMMYFUNCTION("""COMPUTED_VALUE"""),"대한항공 Tool SW_Xmetal")</f>
        <v>대한항공 Tool SW_Xmetal</v>
      </c>
      <c r="E79" s="106"/>
      <c r="F79" s="106"/>
      <c r="G79" s="106"/>
      <c r="H79" s="143"/>
      <c r="I79" s="143"/>
      <c r="J79" s="280" t="str">
        <f ca="1">IFERROR(__xludf.DUMMYFUNCTION("""COMPUTED_VALUE"""),"ART241001이수임1608")</f>
        <v>ART241001이수임1608</v>
      </c>
      <c r="K79" s="296"/>
      <c r="L79" s="155">
        <f ca="1">IFERROR(__xludf.DUMMYFUNCTION("""COMPUTED_VALUE"""),24549000)</f>
        <v>24549000</v>
      </c>
      <c r="M79" s="136"/>
      <c r="N79" s="136"/>
      <c r="O79" s="2"/>
      <c r="P79" s="277" t="str">
        <f ca="1">IFERROR(__xludf.DUMMYFUNCTION("""COMPUTED_VALUE"""),"7.크립토소사이어티")</f>
        <v>7.크립토소사이어티</v>
      </c>
      <c r="Q79" s="106" t="str">
        <f ca="1">IFERROR(__xludf.DUMMYFUNCTION("""COMPUTED_VALUE"""),"HX-PO-12477")</f>
        <v>HX-PO-12477</v>
      </c>
      <c r="R79" s="106"/>
      <c r="S79" s="246"/>
      <c r="T79" s="154" t="str">
        <f ca="1">IFERROR(__xludf.DUMMYFUNCTION("""COMPUTED_VALUE"""),"API241030이수임2018")</f>
        <v>API241030이수임2018</v>
      </c>
      <c r="U79" s="301"/>
      <c r="V79" s="155">
        <f ca="1">IFERROR(__xludf.DUMMYFUNCTION("""COMPUTED_VALUE"""),23810000)</f>
        <v>23810000</v>
      </c>
      <c r="W79" s="270">
        <f ca="1">IFERROR(__xludf.DUMMYFUNCTION("""COMPUTED_VALUE"""),26191000)</f>
        <v>26191000</v>
      </c>
      <c r="X79" s="181" t="str">
        <f ca="1">IFERROR(__xludf.DUMMYFUNCTION("""COMPUTED_VALUE"""),"30일")</f>
        <v>30일</v>
      </c>
      <c r="Y79" s="145"/>
      <c r="Z79" s="2"/>
      <c r="AA79" s="2"/>
      <c r="AB79" s="2"/>
      <c r="AC79" s="2"/>
      <c r="AD79" s="2"/>
    </row>
    <row r="80" spans="1:30" ht="13">
      <c r="A80" s="171"/>
      <c r="B80" s="136" t="str">
        <f ca="1">IFERROR(__xludf.DUMMYFUNCTION("""COMPUTED_VALUE"""),"대한항공")</f>
        <v>대한항공</v>
      </c>
      <c r="C80" s="301"/>
      <c r="D80" s="248" t="str">
        <f ca="1">IFERROR(__xludf.DUMMYFUNCTION("""COMPUTED_VALUE"""),"7-1 대한항공 항공우주사업본부 507사업용 S/W 라이선스 ")</f>
        <v xml:space="preserve">7-1 대한항공 항공우주사업본부 507사업용 S/W 라이선스 </v>
      </c>
      <c r="E80" s="106" t="str">
        <f ca="1">IFERROR(__xludf.DUMMYFUNCTION("""COMPUTED_VALUE"""),"SELSPA")</f>
        <v>SELSPA</v>
      </c>
      <c r="F80" s="106" t="str">
        <f ca="1">IFERROR(__xludf.DUMMYFUNCTION("""COMPUTED_VALUE"""),"412111_판매")</f>
        <v>412111_판매</v>
      </c>
      <c r="G80" s="106" t="str">
        <f ca="1">IFERROR(__xludf.DUMMYFUNCTION("""COMPUTED_VALUE"""),"S240140")</f>
        <v>S240140</v>
      </c>
      <c r="H80" s="143"/>
      <c r="I80" s="143"/>
      <c r="J80" s="280" t="str">
        <f ca="1">IFERROR(__xludf.DUMMYFUNCTION("""COMPUTED_VALUE"""),"ART241016이수임1253")</f>
        <v>ART241016이수임1253</v>
      </c>
      <c r="K80" s="296" t="str">
        <f ca="1">IFERROR(__xludf.DUMMYFUNCTION("""COMPUTED_VALUE"""),"역")</f>
        <v>역</v>
      </c>
      <c r="L80" s="155">
        <f ca="1">IFERROR(__xludf.DUMMYFUNCTION("""COMPUTED_VALUE"""),3199000)</f>
        <v>3199000</v>
      </c>
      <c r="M80" s="136" t="str">
        <f ca="1">IFERROR(__xludf.DUMMYFUNCTION("""COMPUTED_VALUE"""),"60일")</f>
        <v>60일</v>
      </c>
      <c r="N80" s="136" t="str">
        <f ca="1">IFERROR(__xludf.DUMMYFUNCTION("""COMPUTED_VALUE"""),"대전 박지은 대리")</f>
        <v>대전 박지은 대리</v>
      </c>
      <c r="O80" s="2"/>
      <c r="P80" s="277" t="str">
        <f ca="1">IFERROR(__xludf.DUMMYFUNCTION("""COMPUTED_VALUE"""),"예신소프트 ")</f>
        <v xml:space="preserve">예신소프트 </v>
      </c>
      <c r="Q80" s="246" t="str">
        <f ca="1">IFERROR(__xludf.DUMMYFUNCTION("""COMPUTED_VALUE"""),"HX-PO-15477")</f>
        <v>HX-PO-15477</v>
      </c>
      <c r="R80" s="246" t="str">
        <f ca="1">IFERROR(__xludf.DUMMYFUNCTION("""COMPUTED_VALUE"""),"SELSPA")</f>
        <v>SELSPA</v>
      </c>
      <c r="S80" s="246" t="str">
        <f ca="1">IFERROR(__xludf.DUMMYFUNCTION("""COMPUTED_VALUE"""),"S240140")</f>
        <v>S240140</v>
      </c>
      <c r="T80" s="154" t="str">
        <f ca="1">IFERROR(__xludf.DUMMYFUNCTION("""COMPUTED_VALUE"""),"API241031이수임1823")</f>
        <v>API241031이수임1823</v>
      </c>
      <c r="U80" s="301"/>
      <c r="V80" s="155">
        <f ca="1">IFERROR(__xludf.DUMMYFUNCTION("""COMPUTED_VALUE"""),3045000)</f>
        <v>3045000</v>
      </c>
      <c r="W80" s="270">
        <f ca="1">IFERROR(__xludf.DUMMYFUNCTION("""COMPUTED_VALUE"""),3349500)</f>
        <v>3349500</v>
      </c>
      <c r="X80" s="181" t="str">
        <f ca="1">IFERROR(__xludf.DUMMYFUNCTION("""COMPUTED_VALUE"""),"60일")</f>
        <v>60일</v>
      </c>
      <c r="Y80" s="145"/>
      <c r="Z80" s="2"/>
      <c r="AA80" s="2"/>
      <c r="AB80" s="2"/>
      <c r="AC80" s="2"/>
      <c r="AD80" s="2"/>
    </row>
    <row r="81" spans="1:30" ht="13">
      <c r="A81" s="171"/>
      <c r="B81" s="136" t="str">
        <f ca="1">IFERROR(__xludf.DUMMYFUNCTION("""COMPUTED_VALUE"""),"대한항공")</f>
        <v>대한항공</v>
      </c>
      <c r="C81" s="301" t="str">
        <f ca="1">IFERROR(__xludf.DUMMYFUNCTION("""COMPUTED_VALUE"""),"분할청구")</f>
        <v>분할청구</v>
      </c>
      <c r="D81" s="248" t="str">
        <f ca="1">IFERROR(__xludf.DUMMYFUNCTION("""COMPUTED_VALUE"""),"8-1 대한항공 중고도무인기사업용 전산장비 (2차 도입분) SW 라이선스")</f>
        <v>8-1 대한항공 중고도무인기사업용 전산장비 (2차 도입분) SW 라이선스</v>
      </c>
      <c r="E81" s="106" t="str">
        <f ca="1">IFERROR(__xludf.DUMMYFUNCTION("""COMPUTED_VALUE"""),"SELSPA")</f>
        <v>SELSPA</v>
      </c>
      <c r="F81" s="106" t="str">
        <f ca="1">IFERROR(__xludf.DUMMYFUNCTION("""COMPUTED_VALUE"""),"412111_판매")</f>
        <v>412111_판매</v>
      </c>
      <c r="G81" s="106" t="str">
        <f ca="1">IFERROR(__xludf.DUMMYFUNCTION("""COMPUTED_VALUE"""),"S240140")</f>
        <v>S240140</v>
      </c>
      <c r="H81" s="143"/>
      <c r="I81" s="143"/>
      <c r="J81" s="280" t="str">
        <f ca="1">IFERROR(__xludf.DUMMYFUNCTION("""COMPUTED_VALUE"""),"ART241016이수임1300")</f>
        <v>ART241016이수임1300</v>
      </c>
      <c r="K81" s="296" t="str">
        <f ca="1">IFERROR(__xludf.DUMMYFUNCTION("""COMPUTED_VALUE"""),"역")</f>
        <v>역</v>
      </c>
      <c r="L81" s="155">
        <f ca="1">IFERROR(__xludf.DUMMYFUNCTION("""COMPUTED_VALUE"""),80110000)</f>
        <v>80110000</v>
      </c>
      <c r="M81" s="136" t="str">
        <f ca="1">IFERROR(__xludf.DUMMYFUNCTION("""COMPUTED_VALUE"""),"60일")</f>
        <v>60일</v>
      </c>
      <c r="N81" s="136" t="str">
        <f ca="1">IFERROR(__xludf.DUMMYFUNCTION("""COMPUTED_VALUE"""),"대전 박지은 대리")</f>
        <v>대전 박지은 대리</v>
      </c>
      <c r="O81" s="2"/>
      <c r="P81" s="277" t="str">
        <f ca="1">IFERROR(__xludf.DUMMYFUNCTION("""COMPUTED_VALUE"""),"매스웍스코리아")</f>
        <v>매스웍스코리아</v>
      </c>
      <c r="Q81" s="106" t="str">
        <f ca="1">IFERROR(__xludf.DUMMYFUNCTION("""COMPUTED_VALUE"""),"HX-PO-15326")</f>
        <v>HX-PO-15326</v>
      </c>
      <c r="R81" s="246" t="str">
        <f ca="1">IFERROR(__xludf.DUMMYFUNCTION("""COMPUTED_VALUE"""),"SELSPA")</f>
        <v>SELSPA</v>
      </c>
      <c r="S81" s="246" t="str">
        <f ca="1">IFERROR(__xludf.DUMMYFUNCTION("""COMPUTED_VALUE"""),"S240140")</f>
        <v>S240140</v>
      </c>
      <c r="T81" s="154" t="str">
        <f ca="1">IFERROR(__xludf.DUMMYFUNCTION("""COMPUTED_VALUE"""),"API241025이수임1831")</f>
        <v>API241025이수임1831</v>
      </c>
      <c r="U81" s="301">
        <f ca="1">IFERROR(__xludf.DUMMYFUNCTION("""COMPUTED_VALUE"""),45590)</f>
        <v>45590</v>
      </c>
      <c r="V81" s="155">
        <f ca="1">IFERROR(__xludf.DUMMYFUNCTION("""COMPUTED_VALUE"""),29642400)</f>
        <v>29642400</v>
      </c>
      <c r="W81" s="270">
        <f ca="1">IFERROR(__xludf.DUMMYFUNCTION("""COMPUTED_VALUE"""),32606640)</f>
        <v>32606640</v>
      </c>
      <c r="X81" s="181" t="str">
        <f ca="1">IFERROR(__xludf.DUMMYFUNCTION("""COMPUTED_VALUE"""),"30일")</f>
        <v>30일</v>
      </c>
      <c r="Y81" s="145"/>
      <c r="Z81" s="2"/>
      <c r="AA81" s="2"/>
      <c r="AB81" s="2"/>
      <c r="AC81" s="2"/>
      <c r="AD81" s="2"/>
    </row>
    <row r="82" spans="1:30" ht="13">
      <c r="A82" s="171"/>
      <c r="B82" s="136" t="str">
        <f ca="1">IFERROR(__xludf.DUMMYFUNCTION("""COMPUTED_VALUE"""),"대한항공")</f>
        <v>대한항공</v>
      </c>
      <c r="C82" s="301"/>
      <c r="D82" s="248"/>
      <c r="E82" s="106" t="str">
        <f ca="1">IFERROR(__xludf.DUMMYFUNCTION("""COMPUTED_VALUE"""),"SELSPA")</f>
        <v>SELSPA</v>
      </c>
      <c r="F82" s="106"/>
      <c r="G82" s="106"/>
      <c r="H82" s="143"/>
      <c r="I82" s="143"/>
      <c r="J82" s="280"/>
      <c r="K82" s="296"/>
      <c r="L82" s="155"/>
      <c r="M82" s="136"/>
      <c r="N82" s="136"/>
      <c r="O82" s="2"/>
      <c r="P82" s="277" t="str">
        <f ca="1">IFERROR(__xludf.DUMMYFUNCTION("""COMPUTED_VALUE"""),"김화기술 ")</f>
        <v xml:space="preserve">김화기술 </v>
      </c>
      <c r="Q82" s="106" t="str">
        <f ca="1">IFERROR(__xludf.DUMMYFUNCTION("""COMPUTED_VALUE"""),"HX-PO-15461")</f>
        <v>HX-PO-15461</v>
      </c>
      <c r="R82" s="246" t="str">
        <f ca="1">IFERROR(__xludf.DUMMYFUNCTION("""COMPUTED_VALUE"""),"SELSPA")</f>
        <v>SELSPA</v>
      </c>
      <c r="S82" s="246" t="str">
        <f ca="1">IFERROR(__xludf.DUMMYFUNCTION("""COMPUTED_VALUE"""),"S240140")</f>
        <v>S240140</v>
      </c>
      <c r="T82" s="154" t="str">
        <f ca="1">IFERROR(__xludf.DUMMYFUNCTION("""COMPUTED_VALUE"""),"API241025이수임1841")</f>
        <v>API241025이수임1841</v>
      </c>
      <c r="U82" s="301">
        <f ca="1">IFERROR(__xludf.DUMMYFUNCTION("""COMPUTED_VALUE"""),45590)</f>
        <v>45590</v>
      </c>
      <c r="V82" s="155">
        <f ca="1">IFERROR(__xludf.DUMMYFUNCTION("""COMPUTED_VALUE"""),11500000)</f>
        <v>11500000</v>
      </c>
      <c r="W82" s="270">
        <f ca="1">IFERROR(__xludf.DUMMYFUNCTION("""COMPUTED_VALUE"""),12650000)</f>
        <v>12650000</v>
      </c>
      <c r="X82" s="181" t="str">
        <f ca="1">IFERROR(__xludf.DUMMYFUNCTION("""COMPUTED_VALUE"""),"60일")</f>
        <v>60일</v>
      </c>
      <c r="Y82" s="145"/>
      <c r="Z82" s="2"/>
      <c r="AA82" s="2"/>
      <c r="AB82" s="2"/>
      <c r="AC82" s="2"/>
      <c r="AD82" s="2"/>
    </row>
    <row r="83" spans="1:30" ht="13">
      <c r="A83" s="171"/>
      <c r="B83" s="136" t="str">
        <f ca="1">IFERROR(__xludf.DUMMYFUNCTION("""COMPUTED_VALUE"""),"대한항공")</f>
        <v>대한항공</v>
      </c>
      <c r="C83" s="301"/>
      <c r="D83" s="248"/>
      <c r="E83" s="106" t="str">
        <f ca="1">IFERROR(__xludf.DUMMYFUNCTION("""COMPUTED_VALUE"""),"SELSPA")</f>
        <v>SELSPA</v>
      </c>
      <c r="F83" s="106"/>
      <c r="G83" s="106"/>
      <c r="H83" s="143"/>
      <c r="I83" s="143"/>
      <c r="J83" s="280"/>
      <c r="K83" s="296"/>
      <c r="L83" s="155"/>
      <c r="M83" s="136"/>
      <c r="N83" s="136"/>
      <c r="O83" s="2"/>
      <c r="P83" s="304" t="str">
        <f ca="1">IFERROR(__xludf.DUMMYFUNCTION("""COMPUTED_VALUE"""),"모아소프트")</f>
        <v>모아소프트</v>
      </c>
      <c r="Q83" s="106" t="str">
        <f ca="1">IFERROR(__xludf.DUMMYFUNCTION("""COMPUTED_VALUE"""),"HX-PO-15481")</f>
        <v>HX-PO-15481</v>
      </c>
      <c r="R83" s="246" t="str">
        <f ca="1">IFERROR(__xludf.DUMMYFUNCTION("""COMPUTED_VALUE"""),"SELSPA")</f>
        <v>SELSPA</v>
      </c>
      <c r="S83" s="246" t="str">
        <f ca="1">IFERROR(__xludf.DUMMYFUNCTION("""COMPUTED_VALUE"""),"S240140")</f>
        <v>S240140</v>
      </c>
      <c r="T83" s="154" t="str">
        <f ca="1">IFERROR(__xludf.DUMMYFUNCTION("""COMPUTED_VALUE"""),"API241031이수임1645")</f>
        <v>API241031이수임1645</v>
      </c>
      <c r="U83" s="301"/>
      <c r="V83" s="155">
        <f ca="1">IFERROR(__xludf.DUMMYFUNCTION("""COMPUTED_VALUE"""),30000000)</f>
        <v>30000000</v>
      </c>
      <c r="W83" s="270">
        <f ca="1">IFERROR(__xludf.DUMMYFUNCTION("""COMPUTED_VALUE"""),33000000)</f>
        <v>33000000</v>
      </c>
      <c r="X83" s="181" t="str">
        <f ca="1">IFERROR(__xludf.DUMMYFUNCTION("""COMPUTED_VALUE"""),"60일")</f>
        <v>60일</v>
      </c>
      <c r="Y83" s="145"/>
      <c r="Z83" s="2"/>
      <c r="AA83" s="2"/>
      <c r="AB83" s="2"/>
      <c r="AC83" s="2"/>
      <c r="AD83" s="2"/>
    </row>
    <row r="84" spans="1:30" ht="13">
      <c r="A84" s="171"/>
      <c r="B84" s="136" t="str">
        <f ca="1">IFERROR(__xludf.DUMMYFUNCTION("""COMPUTED_VALUE"""),"대한항공")</f>
        <v>대한항공</v>
      </c>
      <c r="C84" s="1086"/>
      <c r="D84" s="248"/>
      <c r="E84" s="1088" t="str">
        <f ca="1">IFERROR(__xludf.DUMMYFUNCTION("""COMPUTED_VALUE"""),"SELSPA")</f>
        <v>SELSPA</v>
      </c>
      <c r="F84" s="1088"/>
      <c r="G84" s="1090"/>
      <c r="H84" s="143"/>
      <c r="I84" s="143"/>
      <c r="J84" s="1091"/>
      <c r="K84" s="296"/>
      <c r="L84" s="1084"/>
      <c r="M84" s="136"/>
      <c r="N84" s="136"/>
      <c r="O84" s="2"/>
      <c r="P84" s="277" t="str">
        <f ca="1">IFERROR(__xludf.DUMMYFUNCTION("""COMPUTED_VALUE"""),"알테어")</f>
        <v>알테어</v>
      </c>
      <c r="Q84" s="106" t="str">
        <f ca="1">IFERROR(__xludf.DUMMYFUNCTION("""COMPUTED_VALUE"""),"HX-PO-15479")</f>
        <v>HX-PO-15479</v>
      </c>
      <c r="R84" s="246" t="str">
        <f ca="1">IFERROR(__xludf.DUMMYFUNCTION("""COMPUTED_VALUE"""),"SELSPA")</f>
        <v>SELSPA</v>
      </c>
      <c r="S84" s="246" t="str">
        <f ca="1">IFERROR(__xludf.DUMMYFUNCTION("""COMPUTED_VALUE"""),"S240140")</f>
        <v>S240140</v>
      </c>
      <c r="T84" s="154" t="str">
        <f ca="1">IFERROR(__xludf.DUMMYFUNCTION("""COMPUTED_VALUE"""),"API241025이수임1800")</f>
        <v>API241025이수임1800</v>
      </c>
      <c r="U84" s="301">
        <f ca="1">IFERROR(__xludf.DUMMYFUNCTION("""COMPUTED_VALUE"""),45590)</f>
        <v>45590</v>
      </c>
      <c r="V84" s="155">
        <f ca="1">IFERROR(__xludf.DUMMYFUNCTION("""COMPUTED_VALUE"""),13500000)</f>
        <v>13500000</v>
      </c>
      <c r="W84" s="270">
        <f ca="1">IFERROR(__xludf.DUMMYFUNCTION("""COMPUTED_VALUE"""),14850000)</f>
        <v>14850000</v>
      </c>
      <c r="X84" s="181" t="str">
        <f ca="1">IFERROR(__xludf.DUMMYFUNCTION("""COMPUTED_VALUE"""),"60일")</f>
        <v>60일</v>
      </c>
      <c r="Y84" s="145"/>
      <c r="Z84" s="2"/>
      <c r="AA84" s="2"/>
      <c r="AB84" s="2"/>
      <c r="AC84" s="2"/>
      <c r="AD84" s="2"/>
    </row>
    <row r="85" spans="1:30" ht="13">
      <c r="A85" s="171"/>
      <c r="B85" s="136" t="str">
        <f ca="1">IFERROR(__xludf.DUMMYFUNCTION("""COMPUTED_VALUE"""),"대한항공")</f>
        <v>대한항공</v>
      </c>
      <c r="C85" s="1052"/>
      <c r="D85" s="305" t="str">
        <f ca="1">IFERROR(__xludf.DUMMYFUNCTION("""COMPUTED_VALUE"""),"9-5 대한항공 항공우주사업본부 해상초계기(P-3C 성능개량) 사업용 S/W 라이선스")</f>
        <v>9-5 대한항공 항공우주사업본부 해상초계기(P-3C 성능개량) 사업용 S/W 라이선스</v>
      </c>
      <c r="E85" s="1052"/>
      <c r="F85" s="1052"/>
      <c r="G85" s="1052"/>
      <c r="H85" s="143"/>
      <c r="I85" s="143"/>
      <c r="J85" s="1052"/>
      <c r="K85" s="296" t="str">
        <f ca="1">IFERROR(__xludf.DUMMYFUNCTION("""COMPUTED_VALUE"""),"역")</f>
        <v>역</v>
      </c>
      <c r="L85" s="1052"/>
      <c r="M85" s="145" t="str">
        <f ca="1">IFERROR(__xludf.DUMMYFUNCTION("""COMPUTED_VALUE"""),"60일")</f>
        <v>60일</v>
      </c>
      <c r="N85" s="165" t="str">
        <f ca="1">IFERROR(__xludf.DUMMYFUNCTION("""COMPUTED_VALUE"""),"대전 박지은 대리")</f>
        <v>대전 박지은 대리</v>
      </c>
      <c r="O85" s="2"/>
      <c r="P85" s="304" t="str">
        <f ca="1">IFERROR(__xludf.DUMMYFUNCTION("""COMPUTED_VALUE"""),"오상자이엘")</f>
        <v>오상자이엘</v>
      </c>
      <c r="Q85" s="106" t="str">
        <f ca="1">IFERROR(__xludf.DUMMYFUNCTION("""COMPUTED_VALUE"""),"HX-PO-15462")</f>
        <v>HX-PO-15462</v>
      </c>
      <c r="R85" s="246" t="str">
        <f ca="1">IFERROR(__xludf.DUMMYFUNCTION("""COMPUTED_VALUE"""),"SELSPA")</f>
        <v>SELSPA</v>
      </c>
      <c r="S85" s="274" t="str">
        <f ca="1">IFERROR(__xludf.DUMMYFUNCTION("""COMPUTED_VALUE"""),"S240140")</f>
        <v>S240140</v>
      </c>
      <c r="T85" s="306" t="str">
        <f ca="1">IFERROR(__xludf.DUMMYFUNCTION("""COMPUTED_VALUE"""),"API241031이수임1849")</f>
        <v>API241031이수임1849</v>
      </c>
      <c r="U85" s="301"/>
      <c r="V85" s="155">
        <f ca="1">IFERROR(__xludf.DUMMYFUNCTION("""COMPUTED_VALUE"""),74000000)</f>
        <v>74000000</v>
      </c>
      <c r="W85" s="270">
        <f ca="1">IFERROR(__xludf.DUMMYFUNCTION("""COMPUTED_VALUE"""),81400000)</f>
        <v>81400000</v>
      </c>
      <c r="X85" s="181" t="str">
        <f ca="1">IFERROR(__xludf.DUMMYFUNCTION("""COMPUTED_VALUE"""),"60일")</f>
        <v>60일</v>
      </c>
      <c r="Y85" s="145"/>
      <c r="Z85" s="2"/>
      <c r="AA85" s="2"/>
      <c r="AB85" s="2"/>
      <c r="AC85" s="2"/>
      <c r="AD85" s="2"/>
    </row>
    <row r="86" spans="1:30" ht="13">
      <c r="A86" s="266"/>
      <c r="B86" s="106" t="str">
        <f ca="1">IFERROR(__xludf.DUMMYFUNCTION("""COMPUTED_VALUE"""),"대한항공")</f>
        <v>대한항공</v>
      </c>
      <c r="C86" s="143"/>
      <c r="D86" s="307"/>
      <c r="E86" s="106" t="str">
        <f ca="1">IFERROR(__xludf.DUMMYFUNCTION("""COMPUTED_VALUE"""),"SELSPA")</f>
        <v>SELSPA</v>
      </c>
      <c r="F86" s="308"/>
      <c r="G86" s="106"/>
      <c r="H86" s="143"/>
      <c r="I86" s="143"/>
      <c r="J86" s="309"/>
      <c r="K86" s="143"/>
      <c r="L86" s="281"/>
      <c r="M86" s="143"/>
      <c r="N86" s="143"/>
      <c r="O86" s="2"/>
      <c r="P86" s="277" t="str">
        <f ca="1">IFERROR(__xludf.DUMMYFUNCTION("""COMPUTED_VALUE"""),"알테어")</f>
        <v>알테어</v>
      </c>
      <c r="Q86" s="298" t="str">
        <f ca="1">IFERROR(__xludf.DUMMYFUNCTION("""COMPUTED_VALUE"""),"HX-PO-15479")</f>
        <v>HX-PO-15479</v>
      </c>
      <c r="R86" s="246" t="str">
        <f ca="1">IFERROR(__xludf.DUMMYFUNCTION("""COMPUTED_VALUE"""),"SELSPA")</f>
        <v>SELSPA</v>
      </c>
      <c r="S86" s="310" t="str">
        <f ca="1">IFERROR(__xludf.DUMMYFUNCTION("""COMPUTED_VALUE"""),"S240140")</f>
        <v>S240140</v>
      </c>
      <c r="T86" s="154" t="str">
        <f ca="1">IFERROR(__xludf.DUMMYFUNCTION("""COMPUTED_VALUE"""),"API241025이수임1800")</f>
        <v>API241025이수임1800</v>
      </c>
      <c r="U86" s="311">
        <f ca="1">IFERROR(__xludf.DUMMYFUNCTION("""COMPUTED_VALUE"""),45590)</f>
        <v>45590</v>
      </c>
      <c r="V86" s="155">
        <f ca="1">IFERROR(__xludf.DUMMYFUNCTION("""COMPUTED_VALUE"""),56700000)</f>
        <v>56700000</v>
      </c>
      <c r="W86" s="270">
        <f ca="1">IFERROR(__xludf.DUMMYFUNCTION("""COMPUTED_VALUE"""),62370000)</f>
        <v>62370000</v>
      </c>
      <c r="X86" s="181" t="str">
        <f ca="1">IFERROR(__xludf.DUMMYFUNCTION("""COMPUTED_VALUE"""),"60일")</f>
        <v>60일</v>
      </c>
      <c r="Y86" s="145"/>
      <c r="Z86" s="2"/>
      <c r="AA86" s="2"/>
      <c r="AB86" s="2"/>
      <c r="AC86" s="2"/>
      <c r="AD86" s="2"/>
    </row>
    <row r="87" spans="1:30" ht="13">
      <c r="A87" s="266"/>
      <c r="B87" s="106" t="str">
        <f ca="1">IFERROR(__xludf.DUMMYFUNCTION("""COMPUTED_VALUE"""),"대한항공")</f>
        <v>대한항공</v>
      </c>
      <c r="C87" s="312" t="str">
        <f ca="1">IFERROR(__xludf.DUMMYFUNCTION("""COMPUTED_VALUE"""),"분할청구")</f>
        <v>분할청구</v>
      </c>
      <c r="D87" s="307" t="str">
        <f ca="1">IFERROR(__xludf.DUMMYFUNCTION("""COMPUTED_VALUE"""),"9-6 대한항공 항공우주사업본부 MUAV-OO 개발 사업용 S/W 라이선스")</f>
        <v>9-6 대한항공 항공우주사업본부 MUAV-OO 개발 사업용 S/W 라이선스</v>
      </c>
      <c r="E87" s="106" t="str">
        <f ca="1">IFERROR(__xludf.DUMMYFUNCTION("""COMPUTED_VALUE"""),"SELSPA")</f>
        <v>SELSPA</v>
      </c>
      <c r="F87" s="308" t="str">
        <f ca="1">IFERROR(__xludf.DUMMYFUNCTION("""COMPUTED_VALUE"""),"412111_판매")</f>
        <v>412111_판매</v>
      </c>
      <c r="G87" s="106" t="str">
        <f ca="1">IFERROR(__xludf.DUMMYFUNCTION("""COMPUTED_VALUE"""),"S240140")</f>
        <v>S240140</v>
      </c>
      <c r="H87" s="143"/>
      <c r="I87" s="143"/>
      <c r="J87" s="309" t="str">
        <f ca="1">IFERROR(__xludf.DUMMYFUNCTION("""COMPUTED_VALUE"""),"ART241016이수임1317")</f>
        <v>ART241016이수임1317</v>
      </c>
      <c r="K87" s="143" t="str">
        <f ca="1">IFERROR(__xludf.DUMMYFUNCTION("""COMPUTED_VALUE"""),"역")</f>
        <v>역</v>
      </c>
      <c r="L87" s="281">
        <f ca="1">IFERROR(__xludf.DUMMYFUNCTION("""COMPUTED_VALUE"""),35840000)</f>
        <v>35840000</v>
      </c>
      <c r="M87" s="143" t="str">
        <f ca="1">IFERROR(__xludf.DUMMYFUNCTION("""COMPUTED_VALUE"""),"60일")</f>
        <v>60일</v>
      </c>
      <c r="N87" s="143" t="str">
        <f ca="1">IFERROR(__xludf.DUMMYFUNCTION("""COMPUTED_VALUE"""),"대전 박지은 대리")</f>
        <v>대전 박지은 대리</v>
      </c>
      <c r="O87" s="2"/>
      <c r="P87" s="273" t="str">
        <f ca="1">IFERROR(__xludf.DUMMYFUNCTION("""COMPUTED_VALUE"""),"한국에이에이씨")</f>
        <v>한국에이에이씨</v>
      </c>
      <c r="Q87" s="273" t="str">
        <f ca="1">IFERROR(__xludf.DUMMYFUNCTION("""COMPUTED_VALUE"""),"HX-PO-15480")</f>
        <v>HX-PO-15480</v>
      </c>
      <c r="R87" s="246" t="str">
        <f ca="1">IFERROR(__xludf.DUMMYFUNCTION("""COMPUTED_VALUE"""),"SELSPA")</f>
        <v>SELSPA</v>
      </c>
      <c r="S87" s="310" t="str">
        <f ca="1">IFERROR(__xludf.DUMMYFUNCTION("""COMPUTED_VALUE"""),"S240140")</f>
        <v>S240140</v>
      </c>
      <c r="T87" s="306" t="str">
        <f ca="1">IFERROR(__xludf.DUMMYFUNCTION("""COMPUTED_VALUE"""),"API241031이수임1911")</f>
        <v>API241031이수임1911</v>
      </c>
      <c r="U87" s="313"/>
      <c r="V87" s="155">
        <f ca="1">IFERROR(__xludf.DUMMYFUNCTION("""COMPUTED_VALUE"""),13290000)</f>
        <v>13290000</v>
      </c>
      <c r="W87" s="270">
        <f ca="1">IFERROR(__xludf.DUMMYFUNCTION("""COMPUTED_VALUE"""),14619000)</f>
        <v>14619000</v>
      </c>
      <c r="X87" s="314" t="str">
        <f ca="1">IFERROR(__xludf.DUMMYFUNCTION("""COMPUTED_VALUE"""),"60일")</f>
        <v>60일</v>
      </c>
      <c r="Y87" s="145"/>
      <c r="Z87" s="2"/>
      <c r="AA87" s="2"/>
      <c r="AB87" s="2"/>
      <c r="AC87" s="2"/>
      <c r="AD87" s="2"/>
    </row>
    <row r="88" spans="1:30" ht="13">
      <c r="A88" s="266"/>
      <c r="B88" s="106" t="str">
        <f ca="1">IFERROR(__xludf.DUMMYFUNCTION("""COMPUTED_VALUE"""),"대한항공")</f>
        <v>대한항공</v>
      </c>
      <c r="C88" s="313"/>
      <c r="D88" s="279"/>
      <c r="E88" s="106"/>
      <c r="F88" s="294"/>
      <c r="G88" s="267"/>
      <c r="H88" s="143"/>
      <c r="I88" s="143"/>
      <c r="J88" s="315"/>
      <c r="K88" s="280"/>
      <c r="L88" s="155"/>
      <c r="M88" s="136"/>
      <c r="N88" s="316"/>
      <c r="O88" s="2"/>
      <c r="P88" s="228" t="str">
        <f ca="1">IFERROR(__xludf.DUMMYFUNCTION("""COMPUTED_VALUE"""),"오상자이엘")</f>
        <v>오상자이엘</v>
      </c>
      <c r="Q88" s="192" t="str">
        <f ca="1">IFERROR(__xludf.DUMMYFUNCTION("""COMPUTED_VALUE"""),"HX-PO-15460")</f>
        <v>HX-PO-15460</v>
      </c>
      <c r="R88" s="165" t="str">
        <f ca="1">IFERROR(__xludf.DUMMYFUNCTION("""COMPUTED_VALUE"""),"SELSPA")</f>
        <v>SELSPA</v>
      </c>
      <c r="S88" s="192" t="str">
        <f ca="1">IFERROR(__xludf.DUMMYFUNCTION("""COMPUTED_VALUE"""),"S240140")</f>
        <v>S240140</v>
      </c>
      <c r="T88" s="192" t="str">
        <f ca="1">IFERROR(__xludf.DUMMYFUNCTION("""COMPUTED_VALUE"""),"API241031이수임1936")</f>
        <v>API241031이수임1936</v>
      </c>
      <c r="U88" s="192"/>
      <c r="V88" s="230">
        <f ca="1">IFERROR(__xludf.DUMMYFUNCTION("""COMPUTED_VALUE"""),19600000)</f>
        <v>19600000</v>
      </c>
      <c r="W88" s="231">
        <f ca="1">IFERROR(__xludf.DUMMYFUNCTION("""COMPUTED_VALUE"""),21560000)</f>
        <v>21560000</v>
      </c>
      <c r="X88" s="145" t="str">
        <f ca="1">IFERROR(__xludf.DUMMYFUNCTION("""COMPUTED_VALUE"""),"60일")</f>
        <v>60일</v>
      </c>
      <c r="Y88" s="145"/>
      <c r="Z88" s="2"/>
      <c r="AA88" s="2"/>
      <c r="AB88" s="2"/>
      <c r="AC88" s="2"/>
      <c r="AD88" s="2"/>
    </row>
    <row r="89" spans="1:30" ht="13">
      <c r="A89" s="240"/>
      <c r="B89" s="2" t="str">
        <f ca="1">IFERROR(__xludf.DUMMYFUNCTION("""COMPUTED_VALUE"""),"대한항공")</f>
        <v>대한항공</v>
      </c>
      <c r="C89" s="242"/>
      <c r="D89" s="2"/>
      <c r="E89" s="2" t="str">
        <f ca="1">IFERROR(__xludf.DUMMYFUNCTION("""COMPUTED_VALUE"""),"SELSPA")</f>
        <v>SELSPA</v>
      </c>
      <c r="F89" s="2"/>
      <c r="G89" s="2"/>
      <c r="H89" s="2"/>
      <c r="I89" s="2"/>
      <c r="J89" s="2"/>
      <c r="K89" s="2"/>
      <c r="L89" s="241"/>
      <c r="M89" s="2"/>
      <c r="N89" s="2"/>
      <c r="O89" s="2"/>
      <c r="P89" s="2" t="str">
        <f ca="1">IFERROR(__xludf.DUMMYFUNCTION("""COMPUTED_VALUE"""),"예신소프트")</f>
        <v>예신소프트</v>
      </c>
      <c r="Q89" s="2" t="str">
        <f ca="1">IFERROR(__xludf.DUMMYFUNCTION("""COMPUTED_VALUE"""),"HX-PO-15477")</f>
        <v>HX-PO-15477</v>
      </c>
      <c r="R89" s="240" t="str">
        <f ca="1">IFERROR(__xludf.DUMMYFUNCTION("""COMPUTED_VALUE"""),"SELSPA")</f>
        <v>SELSPA</v>
      </c>
      <c r="S89" s="240" t="str">
        <f ca="1">IFERROR(__xludf.DUMMYFUNCTION("""COMPUTED_VALUE"""),"S240140")</f>
        <v>S240140</v>
      </c>
      <c r="T89" s="240" t="str">
        <f ca="1">IFERROR(__xludf.DUMMYFUNCTION("""COMPUTED_VALUE"""),"API241031이수임1823")</f>
        <v>API241031이수임1823</v>
      </c>
      <c r="U89" s="240"/>
      <c r="V89" s="241">
        <f ca="1">IFERROR(__xludf.DUMMYFUNCTION("""COMPUTED_VALUE"""),2783000)</f>
        <v>2783000</v>
      </c>
      <c r="W89" s="241">
        <f ca="1">IFERROR(__xludf.DUMMYFUNCTION("""COMPUTED_VALUE"""),3061300)</f>
        <v>3061300</v>
      </c>
      <c r="X89" s="2" t="str">
        <f ca="1">IFERROR(__xludf.DUMMYFUNCTION("""COMPUTED_VALUE"""),"60일")</f>
        <v>60일</v>
      </c>
      <c r="Y89" s="2"/>
      <c r="Z89" s="2"/>
      <c r="AA89" s="2"/>
      <c r="AB89" s="2"/>
      <c r="AC89" s="2"/>
      <c r="AD89" s="2"/>
    </row>
    <row r="90" spans="1:30" ht="13">
      <c r="A90" s="2"/>
      <c r="B90" s="317" t="str">
        <f ca="1">IFERROR(__xludf.DUMMYFUNCTION("""COMPUTED_VALUE"""),"대한항공")</f>
        <v>대한항공</v>
      </c>
      <c r="C90" s="318" t="str">
        <f ca="1">IFERROR(__xludf.DUMMYFUNCTION("""COMPUTED_VALUE"""),"분할청구")</f>
        <v>분할청구</v>
      </c>
      <c r="D90" s="319" t="str">
        <f ca="1">IFERROR(__xludf.DUMMYFUNCTION("""COMPUTED_VALUE"""),"9-7 대한항공 항공우주사업본부 전자기 및 레이돔 해석용 S/W (저피탐)")</f>
        <v>9-7 대한항공 항공우주사업본부 전자기 및 레이돔 해석용 S/W (저피탐)</v>
      </c>
      <c r="E90" s="320" t="str">
        <f ca="1">IFERROR(__xludf.DUMMYFUNCTION("""COMPUTED_VALUE"""),"SELSPA")</f>
        <v>SELSPA</v>
      </c>
      <c r="F90" s="2" t="str">
        <f ca="1">IFERROR(__xludf.DUMMYFUNCTION("""COMPUTED_VALUE"""),"412111_판매")</f>
        <v>412111_판매</v>
      </c>
      <c r="G90" s="2" t="str">
        <f ca="1">IFERROR(__xludf.DUMMYFUNCTION("""COMPUTED_VALUE"""),"S240140")</f>
        <v>S240140</v>
      </c>
      <c r="H90" s="2"/>
      <c r="I90" s="2"/>
      <c r="J90" s="2" t="str">
        <f ca="1">IFERROR(__xludf.DUMMYFUNCTION("""COMPUTED_VALUE"""),"ART241016이수임1405")</f>
        <v>ART241016이수임1405</v>
      </c>
      <c r="K90" s="2" t="str">
        <f ca="1">IFERROR(__xludf.DUMMYFUNCTION("""COMPUTED_VALUE"""),"역")</f>
        <v>역</v>
      </c>
      <c r="L90" s="241">
        <f ca="1">IFERROR(__xludf.DUMMYFUNCTION("""COMPUTED_VALUE"""),25400000)</f>
        <v>25400000</v>
      </c>
      <c r="M90" s="2" t="str">
        <f ca="1">IFERROR(__xludf.DUMMYFUNCTION("""COMPUTED_VALUE"""),"60일")</f>
        <v>60일</v>
      </c>
      <c r="N90" s="2" t="str">
        <f ca="1">IFERROR(__xludf.DUMMYFUNCTION("""COMPUTED_VALUE"""),"대전 박지은 대리")</f>
        <v>대전 박지은 대리</v>
      </c>
      <c r="O90" s="2"/>
      <c r="P90" s="2" t="str">
        <f ca="1">IFERROR(__xludf.DUMMYFUNCTION("""COMPUTED_VALUE"""),"알테어")</f>
        <v>알테어</v>
      </c>
      <c r="Q90" s="2" t="str">
        <f ca="1">IFERROR(__xludf.DUMMYFUNCTION("""COMPUTED_VALUE"""),"HX-PO-15479")</f>
        <v>HX-PO-15479</v>
      </c>
      <c r="R90" s="240" t="str">
        <f ca="1">IFERROR(__xludf.DUMMYFUNCTION("""COMPUTED_VALUE"""),"SELSPA")</f>
        <v>SELSPA</v>
      </c>
      <c r="S90" s="240" t="str">
        <f ca="1">IFERROR(__xludf.DUMMYFUNCTION("""COMPUTED_VALUE"""),"S240140")</f>
        <v>S240140</v>
      </c>
      <c r="T90" s="2" t="str">
        <f ca="1">IFERROR(__xludf.DUMMYFUNCTION("""COMPUTED_VALUE"""),"API241025이수임1800")</f>
        <v>API241025이수임1800</v>
      </c>
      <c r="U90" s="242">
        <f ca="1">IFERROR(__xludf.DUMMYFUNCTION("""COMPUTED_VALUE"""),45590)</f>
        <v>45590</v>
      </c>
      <c r="V90" s="241">
        <f ca="1">IFERROR(__xludf.DUMMYFUNCTION("""COMPUTED_VALUE"""),23200000)</f>
        <v>23200000</v>
      </c>
      <c r="W90" s="241">
        <f ca="1">IFERROR(__xludf.DUMMYFUNCTION("""COMPUTED_VALUE"""),25520000)</f>
        <v>25520000</v>
      </c>
      <c r="X90" s="2" t="str">
        <f ca="1">IFERROR(__xludf.DUMMYFUNCTION("""COMPUTED_VALUE"""),"60일")</f>
        <v>60일</v>
      </c>
      <c r="Y90" s="2"/>
      <c r="Z90" s="2"/>
      <c r="AA90" s="2"/>
      <c r="AB90" s="2"/>
      <c r="AC90" s="2"/>
      <c r="AD90" s="2"/>
    </row>
    <row r="91" spans="1:30" ht="13">
      <c r="A91" s="2"/>
      <c r="B91" s="81" t="str">
        <f ca="1">IFERROR(__xludf.DUMMYFUNCTION("""COMPUTED_VALUE"""),"대한항공")</f>
        <v>대한항공</v>
      </c>
      <c r="C91" s="321"/>
      <c r="D91" s="232" t="str">
        <f ca="1">IFERROR(__xludf.DUMMYFUNCTION("""COMPUTED_VALUE"""),"10-1 대한항공 회전익 항공기 통합해석 ")</f>
        <v xml:space="preserve">10-1 대한항공 회전익 항공기 통합해석 </v>
      </c>
      <c r="E91" s="145" t="str">
        <f ca="1">IFERROR(__xludf.DUMMYFUNCTION("""COMPUTED_VALUE"""),"SELSPA")</f>
        <v>SELSPA</v>
      </c>
      <c r="F91" s="2"/>
      <c r="G91" s="2" t="str">
        <f ca="1">IFERROR(__xludf.DUMMYFUNCTION("""COMPUTED_VALUE"""),"S240178")</f>
        <v>S240178</v>
      </c>
      <c r="H91" s="2"/>
      <c r="I91" s="2"/>
      <c r="J91" s="2" t="str">
        <f ca="1">IFERROR(__xludf.DUMMYFUNCTION("""COMPUTED_VALUE"""),"ART241016이수임1412")</f>
        <v>ART241016이수임1412</v>
      </c>
      <c r="K91" s="2" t="str">
        <f ca="1">IFERROR(__xludf.DUMMYFUNCTION("""COMPUTED_VALUE"""),"역")</f>
        <v>역</v>
      </c>
      <c r="L91" s="241">
        <f ca="1">IFERROR(__xludf.DUMMYFUNCTION("""COMPUTED_VALUE"""),44900000)</f>
        <v>44900000</v>
      </c>
      <c r="M91" s="2" t="str">
        <f ca="1">IFERROR(__xludf.DUMMYFUNCTION("""COMPUTED_VALUE"""),"60일")</f>
        <v>60일</v>
      </c>
      <c r="N91" s="2" t="str">
        <f ca="1">IFERROR(__xludf.DUMMYFUNCTION("""COMPUTED_VALUE"""),"대전 박지은 대리")</f>
        <v>대전 박지은 대리</v>
      </c>
      <c r="O91" s="2"/>
      <c r="P91" s="2" t="str">
        <f ca="1">IFERROR(__xludf.DUMMYFUNCTION("""COMPUTED_VALUE"""),"리얼타임비쥬얼")</f>
        <v>리얼타임비쥬얼</v>
      </c>
      <c r="Q91" s="2" t="str">
        <f ca="1">IFERROR(__xludf.DUMMYFUNCTION("""COMPUTED_VALUE"""),"HX-PO-15498")</f>
        <v>HX-PO-15498</v>
      </c>
      <c r="R91" s="240" t="str">
        <f ca="1">IFERROR(__xludf.DUMMYFUNCTION("""COMPUTED_VALUE"""),"SELSPA")</f>
        <v>SELSPA</v>
      </c>
      <c r="S91" s="240" t="str">
        <f ca="1">IFERROR(__xludf.DUMMYFUNCTION("""COMPUTED_VALUE"""),"S240178")</f>
        <v>S240178</v>
      </c>
      <c r="T91" s="2" t="str">
        <f ca="1">IFERROR(__xludf.DUMMYFUNCTION("""COMPUTED_VALUE"""),"API241031이수임1932")</f>
        <v>API241031이수임1932</v>
      </c>
      <c r="U91" s="2"/>
      <c r="V91" s="241">
        <f ca="1">IFERROR(__xludf.DUMMYFUNCTION("""COMPUTED_VALUE"""),44100000)</f>
        <v>44100000</v>
      </c>
      <c r="W91" s="241">
        <f ca="1">IFERROR(__xludf.DUMMYFUNCTION("""COMPUTED_VALUE"""),48510000)</f>
        <v>48510000</v>
      </c>
      <c r="X91" s="2" t="str">
        <f ca="1">IFERROR(__xludf.DUMMYFUNCTION("""COMPUTED_VALUE"""),"60일")</f>
        <v>60일</v>
      </c>
      <c r="Y91" s="2"/>
      <c r="Z91" s="2"/>
      <c r="AA91" s="2"/>
      <c r="AB91" s="2"/>
      <c r="AC91" s="2"/>
      <c r="AD91" s="2"/>
    </row>
    <row r="92" spans="1:30" ht="13">
      <c r="A92" s="2"/>
      <c r="B92" s="81" t="str">
        <f ca="1">IFERROR(__xludf.DUMMYFUNCTION("""COMPUTED_VALUE"""),"대한항공")</f>
        <v>대한항공</v>
      </c>
      <c r="C92" s="321"/>
      <c r="D92" s="232" t="str">
        <f ca="1">IFERROR(__xludf.DUMMYFUNCTION("""COMPUTED_VALUE"""),"10-2 대한항공 유지보수 재개 ('23년)")</f>
        <v>10-2 대한항공 유지보수 재개 ('23년)</v>
      </c>
      <c r="E92" s="145" t="str">
        <f ca="1">IFERROR(__xludf.DUMMYFUNCTION("""COMPUTED_VALUE"""),"SELSPA")</f>
        <v>SELSPA</v>
      </c>
      <c r="F92" s="2"/>
      <c r="G92" s="2" t="str">
        <f ca="1">IFERROR(__xludf.DUMMYFUNCTION("""COMPUTED_VALUE"""),"S240178")</f>
        <v>S240178</v>
      </c>
      <c r="H92" s="2"/>
      <c r="I92" s="2"/>
      <c r="J92" s="2" t="str">
        <f ca="1">IFERROR(__xludf.DUMMYFUNCTION("""COMPUTED_VALUE"""),"ART241016이수임1419")</f>
        <v>ART241016이수임1419</v>
      </c>
      <c r="K92" s="2" t="str">
        <f ca="1">IFERROR(__xludf.DUMMYFUNCTION("""COMPUTED_VALUE"""),"역")</f>
        <v>역</v>
      </c>
      <c r="L92" s="241">
        <f ca="1">IFERROR(__xludf.DUMMYFUNCTION("""COMPUTED_VALUE"""),24500000)</f>
        <v>24500000</v>
      </c>
      <c r="M92" s="2" t="str">
        <f ca="1">IFERROR(__xludf.DUMMYFUNCTION("""COMPUTED_VALUE"""),"60일")</f>
        <v>60일</v>
      </c>
      <c r="N92" s="2" t="str">
        <f ca="1">IFERROR(__xludf.DUMMYFUNCTION("""COMPUTED_VALUE"""),"대전 박지은 대리")</f>
        <v>대전 박지은 대리</v>
      </c>
      <c r="O92" s="2"/>
      <c r="P92" s="2" t="str">
        <f ca="1">IFERROR(__xludf.DUMMYFUNCTION("""COMPUTED_VALUE"""),"테너지소프트")</f>
        <v>테너지소프트</v>
      </c>
      <c r="Q92" s="2" t="str">
        <f ca="1">IFERROR(__xludf.DUMMYFUNCTION("""COMPUTED_VALUE"""),"HX-PO-15458")</f>
        <v>HX-PO-15458</v>
      </c>
      <c r="R92" s="240" t="str">
        <f ca="1">IFERROR(__xludf.DUMMYFUNCTION("""COMPUTED_VALUE"""),"SELSPA")</f>
        <v>SELSPA</v>
      </c>
      <c r="S92" s="240" t="str">
        <f ca="1">IFERROR(__xludf.DUMMYFUNCTION("""COMPUTED_VALUE"""),"S240178")</f>
        <v>S240178</v>
      </c>
      <c r="T92" s="2" t="str">
        <f ca="1">IFERROR(__xludf.DUMMYFUNCTION("""COMPUTED_VALUE"""),"API241028이수임1946")</f>
        <v>API241028이수임1946</v>
      </c>
      <c r="U92" s="242">
        <f ca="1">IFERROR(__xludf.DUMMYFUNCTION("""COMPUTED_VALUE"""),45593)</f>
        <v>45593</v>
      </c>
      <c r="V92" s="241">
        <f ca="1">IFERROR(__xludf.DUMMYFUNCTION("""COMPUTED_VALUE"""),23000000)</f>
        <v>23000000</v>
      </c>
      <c r="W92" s="241">
        <f ca="1">IFERROR(__xludf.DUMMYFUNCTION("""COMPUTED_VALUE"""),25300000)</f>
        <v>25300000</v>
      </c>
      <c r="X92" s="2" t="str">
        <f ca="1">IFERROR(__xludf.DUMMYFUNCTION("""COMPUTED_VALUE"""),"60일")</f>
        <v>60일</v>
      </c>
      <c r="Y92" s="2"/>
      <c r="Z92" s="2"/>
      <c r="AA92" s="2"/>
      <c r="AB92" s="2"/>
      <c r="AC92" s="2"/>
      <c r="AD92" s="2"/>
    </row>
    <row r="93" spans="1:30" ht="13">
      <c r="A93" s="2"/>
      <c r="B93" s="81" t="str">
        <f ca="1">IFERROR(__xludf.DUMMYFUNCTION("""COMPUTED_VALUE"""),"대한항공")</f>
        <v>대한항공</v>
      </c>
      <c r="C93" s="321"/>
      <c r="D93" s="232" t="str">
        <f ca="1">IFERROR(__xludf.DUMMYFUNCTION("""COMPUTED_VALUE"""),"8-7 대한항공 로봇 작업 프로그래밍용 SW")</f>
        <v>8-7 대한항공 로봇 작업 프로그래밍용 SW</v>
      </c>
      <c r="E93" s="145" t="str">
        <f ca="1">IFERROR(__xludf.DUMMYFUNCTION("""COMPUTED_VALUE"""),"SELSPA")</f>
        <v>SELSPA</v>
      </c>
      <c r="F93" s="2" t="str">
        <f ca="1">IFERROR(__xludf.DUMMYFUNCTION("""COMPUTED_VALUE"""),"412111_판매")</f>
        <v>412111_판매</v>
      </c>
      <c r="G93" s="2" t="str">
        <f ca="1">IFERROR(__xludf.DUMMYFUNCTION("""COMPUTED_VALUE"""),"S240186")</f>
        <v>S240186</v>
      </c>
      <c r="H93" s="2" t="str">
        <f ca="1">IFERROR(__xludf.DUMMYFUNCTION("""COMPUTED_VALUE"""),"11/1 수정")</f>
        <v>11/1 수정</v>
      </c>
      <c r="I93" s="2"/>
      <c r="J93" s="2" t="str">
        <f ca="1">IFERROR(__xludf.DUMMYFUNCTION("""COMPUTED_VALUE"""),"ART241016이수임1422")</f>
        <v>ART241016이수임1422</v>
      </c>
      <c r="K93" s="2" t="str">
        <f ca="1">IFERROR(__xludf.DUMMYFUNCTION("""COMPUTED_VALUE"""),"역")</f>
        <v>역</v>
      </c>
      <c r="L93" s="241">
        <f ca="1">IFERROR(__xludf.DUMMYFUNCTION("""COMPUTED_VALUE"""),8660000)</f>
        <v>8660000</v>
      </c>
      <c r="M93" s="2" t="str">
        <f ca="1">IFERROR(__xludf.DUMMYFUNCTION("""COMPUTED_VALUE"""),"60일")</f>
        <v>60일</v>
      </c>
      <c r="N93" s="2" t="str">
        <f ca="1">IFERROR(__xludf.DUMMYFUNCTION("""COMPUTED_VALUE"""),"부산 이현철 과장")</f>
        <v>부산 이현철 과장</v>
      </c>
      <c r="O93" s="2"/>
      <c r="P93" s="2" t="str">
        <f ca="1">IFERROR(__xludf.DUMMYFUNCTION("""COMPUTED_VALUE"""),"코어텍")</f>
        <v>코어텍</v>
      </c>
      <c r="Q93" s="2" t="str">
        <f ca="1">IFERROR(__xludf.DUMMYFUNCTION("""COMPUTED_VALUE"""),"HX-PO-15506")</f>
        <v>HX-PO-15506</v>
      </c>
      <c r="R93" s="240" t="str">
        <f ca="1">IFERROR(__xludf.DUMMYFUNCTION("""COMPUTED_VALUE"""),"SELSPA")</f>
        <v>SELSPA</v>
      </c>
      <c r="S93" s="240" t="str">
        <f ca="1">IFERROR(__xludf.DUMMYFUNCTION("""COMPUTED_VALUE"""),"S240186")</f>
        <v>S240186</v>
      </c>
      <c r="T93" s="2" t="str">
        <f ca="1">IFERROR(__xludf.DUMMYFUNCTION("""COMPUTED_VALUE"""),"API241031이수임1955")</f>
        <v>API241031이수임1955</v>
      </c>
      <c r="U93" s="2" t="str">
        <f ca="1">IFERROR(__xludf.DUMMYFUNCTION("""COMPUTED_VALUE"""),"11/1 수정")</f>
        <v>11/1 수정</v>
      </c>
      <c r="V93" s="241">
        <f ca="1">IFERROR(__xludf.DUMMYFUNCTION("""COMPUTED_VALUE"""),8000000)</f>
        <v>8000000</v>
      </c>
      <c r="W93" s="241">
        <f ca="1">IFERROR(__xludf.DUMMYFUNCTION("""COMPUTED_VALUE"""),8800000)</f>
        <v>8800000</v>
      </c>
      <c r="X93" s="2" t="str">
        <f ca="1">IFERROR(__xludf.DUMMYFUNCTION("""COMPUTED_VALUE"""),"60일")</f>
        <v>60일</v>
      </c>
      <c r="Y93" s="2"/>
      <c r="Z93" s="2"/>
      <c r="AA93" s="2"/>
      <c r="AB93" s="2"/>
      <c r="AC93" s="2"/>
      <c r="AD93" s="2"/>
    </row>
    <row r="94" spans="1:30" ht="13">
      <c r="A94" s="2"/>
      <c r="B94" s="81"/>
      <c r="C94" s="321"/>
      <c r="D94" s="145"/>
      <c r="E94" s="145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3">
      <c r="A95" s="2"/>
      <c r="B95" s="81" t="str">
        <f ca="1">IFERROR(__xludf.DUMMYFUNCTION("""COMPUTED_VALUE"""),"업체명")</f>
        <v>업체명</v>
      </c>
      <c r="C95" s="321" t="str">
        <f ca="1">IFERROR(__xludf.DUMMYFUNCTION("""COMPUTED_VALUE"""),"담당자")</f>
        <v>담당자</v>
      </c>
      <c r="D95" s="145" t="str">
        <f ca="1">IFERROR(__xludf.DUMMYFUNCTION("""COMPUTED_VALUE"""),"연락처")</f>
        <v>연락처</v>
      </c>
      <c r="E95" s="145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3">
      <c r="A96" s="2"/>
      <c r="B96" s="81" t="str">
        <f ca="1">IFERROR(__xludf.DUMMYFUNCTION("""COMPUTED_VALUE"""),"이즈파크")</f>
        <v>이즈파크</v>
      </c>
      <c r="C96" s="321" t="str">
        <f ca="1">IFERROR(__xludf.DUMMYFUNCTION("""COMPUTED_VALUE"""),"고창수 이사")</f>
        <v>고창수 이사</v>
      </c>
      <c r="D96" s="145" t="str">
        <f ca="1">IFERROR(__xludf.DUMMYFUNCTION("""COMPUTED_VALUE"""),"010-8900-3436 055-275-3161 csko@ispark.kr")</f>
        <v>010-8900-3436 055-275-3161 csko@ispark.kr</v>
      </c>
      <c r="E96" s="145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3">
      <c r="A97" s="2"/>
      <c r="B97" s="81" t="str">
        <f ca="1">IFERROR(__xludf.DUMMYFUNCTION("""COMPUTED_VALUE"""),"케이씨이아이")</f>
        <v>케이씨이아이</v>
      </c>
      <c r="C97" s="321" t="str">
        <f ca="1">IFERROR(__xludf.DUMMYFUNCTION("""COMPUTED_VALUE"""),"이석일 차장")</f>
        <v>이석일 차장</v>
      </c>
      <c r="D97" s="145" t="str">
        <f ca="1">IFERROR(__xludf.DUMMYFUNCTION("""COMPUTED_VALUE"""),"010-4601-2151 02-2103-4036 seokiry@kcei.com")</f>
        <v>010-4601-2151 02-2103-4036 seokiry@kcei.com</v>
      </c>
      <c r="E97" s="145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3">
      <c r="A98" s="2"/>
      <c r="B98" s="81" t="str">
        <f ca="1">IFERROR(__xludf.DUMMYFUNCTION("""COMPUTED_VALUE"""),"오상자이엘")</f>
        <v>오상자이엘</v>
      </c>
      <c r="C98" s="321" t="str">
        <f ca="1">IFERROR(__xludf.DUMMYFUNCTION("""COMPUTED_VALUE"""),"김애란 차장")</f>
        <v>김애란 차장</v>
      </c>
      <c r="D98" s="145" t="str">
        <f ca="1">IFERROR(__xludf.DUMMYFUNCTION("""COMPUTED_VALUE"""),"010-4611-8017 055-266-9082~3 arkim@jaiel.co.kr")</f>
        <v>010-4611-8017 055-266-9082~3 arkim@jaiel.co.kr</v>
      </c>
      <c r="E98" s="145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3">
      <c r="A99" s="2"/>
      <c r="B99" s="81" t="str">
        <f ca="1">IFERROR(__xludf.DUMMYFUNCTION("""COMPUTED_VALUE"""),"태성SNE")</f>
        <v>태성SNE</v>
      </c>
      <c r="C99" s="321" t="str">
        <f ca="1">IFERROR(__xludf.DUMMYFUNCTION("""COMPUTED_VALUE"""),"송영배 수석")</f>
        <v>송영배 수석</v>
      </c>
      <c r="D99" s="145" t="str">
        <f ca="1">IFERROR(__xludf.DUMMYFUNCTION("""COMPUTED_VALUE"""),"010-4930-0070 070-8789-1511 ybsong@tsne.co.kr")</f>
        <v>010-4930-0070 070-8789-1511 ybsong@tsne.co.kr</v>
      </c>
      <c r="E99" s="145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3">
      <c r="A100" s="2"/>
      <c r="B100" s="81" t="str">
        <f ca="1">IFERROR(__xludf.DUMMYFUNCTION("""COMPUTED_VALUE"""),"에쓰와이제이(구,태양..)")</f>
        <v>에쓰와이제이(구,태양..)</v>
      </c>
      <c r="C100" s="321" t="str">
        <f ca="1">IFERROR(__xludf.DUMMYFUNCTION("""COMPUTED_VALUE"""),"서영진 팀장")</f>
        <v>서영진 팀장</v>
      </c>
      <c r="D100" s="145" t="str">
        <f ca="1">IFERROR(__xludf.DUMMYFUNCTION("""COMPUTED_VALUE"""),"010-9908-6908 042-622-8501 syj@syj2.kr")</f>
        <v>010-9908-6908 042-622-8501 syj@syj2.kr</v>
      </c>
      <c r="E100" s="145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3">
      <c r="A101" s="2"/>
      <c r="B101" s="81" t="str">
        <f ca="1">IFERROR(__xludf.DUMMYFUNCTION("""COMPUTED_VALUE"""),"씨테크시스템")</f>
        <v>씨테크시스템</v>
      </c>
      <c r="C101" s="321" t="str">
        <f ca="1">IFERROR(__xludf.DUMMYFUNCTION("""COMPUTED_VALUE"""),"안정훈 부장")</f>
        <v>안정훈 부장</v>
      </c>
      <c r="D101" s="145" t="str">
        <f ca="1">IFERROR(__xludf.DUMMYFUNCTION("""COMPUTED_VALUE"""),"010-8508-9007 02-2025-8740 jhahn@citek.co.kr")</f>
        <v>010-8508-9007 02-2025-8740 jhahn@citek.co.kr</v>
      </c>
      <c r="E101" s="145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3">
      <c r="A102" s="2"/>
      <c r="B102" s="81" t="str">
        <f ca="1">IFERROR(__xludf.DUMMYFUNCTION("""COMPUTED_VALUE"""),"알테어엔지니어링")</f>
        <v>알테어엔지니어링</v>
      </c>
      <c r="C102" s="321" t="str">
        <f ca="1">IFERROR(__xludf.DUMMYFUNCTION("""COMPUTED_VALUE"""),"김민철 부장")</f>
        <v>김민철 부장</v>
      </c>
      <c r="D102" s="145" t="str">
        <f ca="1">IFERROR(__xludf.DUMMYFUNCTION("""COMPUTED_VALUE"""),"010-8903-8784 070-4050-9200 mincheol@altair.com")</f>
        <v>010-8903-8784 070-4050-9200 mincheol@altair.com</v>
      </c>
      <c r="E102" s="145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3">
      <c r="A103" s="2"/>
      <c r="B103" s="81" t="str">
        <f ca="1">IFERROR(__xludf.DUMMYFUNCTION("""COMPUTED_VALUE"""),"에이서스")</f>
        <v>에이서스</v>
      </c>
      <c r="C103" s="321" t="str">
        <f ca="1">IFERROR(__xludf.DUMMYFUNCTION("""COMPUTED_VALUE"""),"이원복 대표")</f>
        <v>이원복 대표</v>
      </c>
      <c r="D103" s="148" t="str">
        <f ca="1">IFERROR(__xludf.DUMMYFUNCTION("""COMPUTED_VALUE"""),"010-3039-9034 070-8112-9034 ")</f>
        <v xml:space="preserve">010-3039-9034 070-8112-9034 </v>
      </c>
      <c r="E103" s="148" t="str">
        <f ca="1">IFERROR(__xludf.DUMMYFUNCTION("""COMPUTED_VALUE"""),"toquee@naver.com,  won@acess.co.kr")</f>
        <v>toquee@naver.com,  won@acess.co.kr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3">
      <c r="A104" s="2"/>
      <c r="B104" s="81" t="str">
        <f ca="1">IFERROR(__xludf.DUMMYFUNCTION("""COMPUTED_VALUE"""),"매스웍스코리아")</f>
        <v>매스웍스코리아</v>
      </c>
      <c r="C104" s="321" t="str">
        <f ca="1">IFERROR(__xludf.DUMMYFUNCTION("""COMPUTED_VALUE"""),"이형민 과장")</f>
        <v>이형민 과장</v>
      </c>
      <c r="D104" s="148" t="str">
        <f ca="1">IFERROR(__xludf.DUMMYFUNCTION("""COMPUTED_VALUE"""),"010-8470-2442 mlee@mathworks.com")</f>
        <v>010-8470-2442 mlee@mathworks.com</v>
      </c>
      <c r="E104" s="32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3">
      <c r="A105" s="2"/>
      <c r="B105" s="81" t="str">
        <f ca="1">IFERROR(__xludf.DUMMYFUNCTION("""COMPUTED_VALUE"""),"제이알맥스")</f>
        <v>제이알맥스</v>
      </c>
      <c r="C105" s="321" t="str">
        <f ca="1">IFERROR(__xludf.DUMMYFUNCTION("""COMPUTED_VALUE"""),"박호준 부장")</f>
        <v>박호준 부장</v>
      </c>
      <c r="D105" s="148" t="str">
        <f ca="1">IFERROR(__xludf.DUMMYFUNCTION("""COMPUTED_VALUE"""),"010-6412-5993 origin@jrmax.co.kr")</f>
        <v>010-6412-5993 origin@jrmax.co.kr</v>
      </c>
      <c r="E105" s="32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3">
      <c r="A106" s="2"/>
      <c r="B106" s="81" t="str">
        <f ca="1">IFERROR(__xludf.DUMMYFUNCTION("""COMPUTED_VALUE"""),"플로우마스터코리아")</f>
        <v>플로우마스터코리아</v>
      </c>
      <c r="C106" s="321" t="str">
        <f ca="1">IFERROR(__xludf.DUMMYFUNCTION("""COMPUTED_VALUE"""),"이웅기 대표")</f>
        <v>이웅기 대표</v>
      </c>
      <c r="D106" s="148" t="str">
        <f ca="1">IFERROR(__xludf.DUMMYFUNCTION("""COMPUTED_VALUE"""),"02-2093-2975 wklee@flowsystem.co.kr")</f>
        <v>02-2093-2975 wklee@flowsystem.co.kr</v>
      </c>
      <c r="E106" s="32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3">
      <c r="A107" s="2"/>
      <c r="B107" s="81" t="str">
        <f ca="1">IFERROR(__xludf.DUMMYFUNCTION("""COMPUTED_VALUE"""),"테너지소프트")</f>
        <v>테너지소프트</v>
      </c>
      <c r="C107" s="321" t="str">
        <f ca="1">IFERROR(__xludf.DUMMYFUNCTION("""COMPUTED_VALUE"""),"한정수 상무")</f>
        <v>한정수 상무</v>
      </c>
      <c r="D107" s="148" t="str">
        <f ca="1">IFERROR(__xludf.DUMMYFUNCTION("""COMPUTED_VALUE"""),"010-5002-5969 jshan@tenergysoft.com")</f>
        <v>010-5002-5969 jshan@tenergysoft.com</v>
      </c>
      <c r="E107" s="32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3">
      <c r="A108" s="2"/>
      <c r="B108" s="81" t="str">
        <f ca="1">IFERROR(__xludf.DUMMYFUNCTION("""COMPUTED_VALUE"""),"휴머스온")</f>
        <v>휴머스온</v>
      </c>
      <c r="C108" s="321" t="str">
        <f ca="1">IFERROR(__xludf.DUMMYFUNCTION("""COMPUTED_VALUE"""),"박예림")</f>
        <v>박예림</v>
      </c>
      <c r="D108" s="148" t="str">
        <f ca="1">IFERROR(__xludf.DUMMYFUNCTION("""COMPUTED_VALUE"""),"02-6713-0952")</f>
        <v>02-6713-0952</v>
      </c>
      <c r="E108" s="322" t="str">
        <f ca="1">IFERROR(__xludf.DUMMYFUNCTION("""COMPUTED_VALUE"""),"tms_cs@humuson.com")</f>
        <v>tms_cs@humuson.com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3">
      <c r="A109" s="2"/>
      <c r="B109" s="81" t="str">
        <f ca="1">IFERROR(__xludf.DUMMYFUNCTION("""COMPUTED_VALUE"""),"온더아이티")</f>
        <v>온더아이티</v>
      </c>
      <c r="C109" s="321" t="str">
        <f ca="1">IFERROR(__xludf.DUMMYFUNCTION("""COMPUTED_VALUE"""),"최지혜")</f>
        <v>최지혜</v>
      </c>
      <c r="D109" s="148" t="str">
        <f ca="1">IFERROR(__xludf.DUMMYFUNCTION("""COMPUTED_VALUE"""),"031-8018-7114")</f>
        <v>031-8018-7114</v>
      </c>
      <c r="E109" s="245" t="str">
        <f ca="1">IFERROR(__xludf.DUMMYFUNCTION("""COMPUTED_VALUE"""),"ggc8050@ontheit.com")</f>
        <v>ggc8050@ontheit.com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3">
      <c r="A110" s="2"/>
      <c r="B110" s="81" t="str">
        <f ca="1">IFERROR(__xludf.DUMMYFUNCTION("""COMPUTED_VALUE"""),"포시에스")</f>
        <v>포시에스</v>
      </c>
      <c r="C110" s="321" t="str">
        <f ca="1">IFERROR(__xludf.DUMMYFUNCTION("""COMPUTED_VALUE"""),"박지혜 과장")</f>
        <v>박지혜 과장</v>
      </c>
      <c r="D110" s="148" t="str">
        <f ca="1">IFERROR(__xludf.DUMMYFUNCTION("""COMPUTED_VALUE"""),"02-6188-8408")</f>
        <v>02-6188-8408</v>
      </c>
      <c r="E110" s="245" t="str">
        <f ca="1">IFERROR(__xludf.DUMMYFUNCTION("""COMPUTED_VALUE"""),"jhpark1@forcs.com")</f>
        <v>jhpark1@forcs.com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3">
      <c r="A111" s="2"/>
      <c r="B111" s="2" t="str">
        <f ca="1">IFERROR(__xludf.DUMMYFUNCTION("""COMPUTED_VALUE"""),"아이앤티시스템")</f>
        <v>아이앤티시스템</v>
      </c>
      <c r="C111" s="2" t="str">
        <f ca="1">IFERROR(__xludf.DUMMYFUNCTION("""COMPUTED_VALUE"""),"원소라 대리")</f>
        <v>원소라 대리</v>
      </c>
      <c r="D111" s="2" t="str">
        <f ca="1">IFERROR(__xludf.DUMMYFUNCTION("""COMPUTED_VALUE"""),"02-861-8463")</f>
        <v>02-861-8463</v>
      </c>
      <c r="E111" s="323" t="str">
        <f ca="1">IFERROR(__xludf.DUMMYFUNCTION("""COMPUTED_VALUE"""),"srwon@intsystem.co.kr")</f>
        <v>srwon@intsystem.co.kr</v>
      </c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3">
      <c r="A112" s="2"/>
      <c r="B112" s="2" t="str">
        <f ca="1">IFERROR(__xludf.DUMMYFUNCTION("""COMPUTED_VALUE"""),"인피니트헬스케어")</f>
        <v>인피니트헬스케어</v>
      </c>
      <c r="C112" s="2" t="str">
        <f ca="1">IFERROR(__xludf.DUMMYFUNCTION("""COMPUTED_VALUE"""),"김홍희")</f>
        <v>김홍희</v>
      </c>
      <c r="D112" s="2" t="str">
        <f ca="1">IFERROR(__xludf.DUMMYFUNCTION("""COMPUTED_VALUE"""),"02-2194-6639")</f>
        <v>02-2194-6639</v>
      </c>
      <c r="E112" s="323" t="str">
        <f ca="1">IFERROR(__xludf.DUMMYFUNCTION("""COMPUTED_VALUE"""),"hongheekim@infinitt.com")</f>
        <v>hongheekim@infinitt.com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3">
      <c r="A113" s="2"/>
      <c r="B113" s="2" t="str">
        <f ca="1">IFERROR(__xludf.DUMMYFUNCTION("""COMPUTED_VALUE"""),"에이씨케이")</f>
        <v>에이씨케이</v>
      </c>
      <c r="C113" s="2" t="str">
        <f ca="1">IFERROR(__xludf.DUMMYFUNCTION("""COMPUTED_VALUE"""),"김선영 대리")</f>
        <v>김선영 대리</v>
      </c>
      <c r="D113" s="2" t="str">
        <f ca="1">IFERROR(__xludf.DUMMYFUNCTION("""COMPUTED_VALUE"""),"070-8785-9228")</f>
        <v>070-8785-9228</v>
      </c>
      <c r="E113" s="323" t="str">
        <f ca="1">IFERROR(__xludf.DUMMYFUNCTION("""COMPUTED_VALUE"""),"ksy@ack.co.kr")</f>
        <v>ksy@ack.co.kr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3">
      <c r="A114" s="2"/>
      <c r="B114" s="2" t="str">
        <f ca="1">IFERROR(__xludf.DUMMYFUNCTION("""COMPUTED_VALUE"""),"크립토소사이어티")</f>
        <v>크립토소사이어티</v>
      </c>
      <c r="C114" s="2" t="str">
        <f ca="1">IFERROR(__xludf.DUMMYFUNCTION("""COMPUTED_VALUE"""),"박상도 대표")</f>
        <v>박상도 대표</v>
      </c>
      <c r="D114" s="2" t="str">
        <f ca="1">IFERROR(__xludf.DUMMYFUNCTION("""COMPUTED_VALUE"""),"010-6562-0601")</f>
        <v>010-6562-0601</v>
      </c>
      <c r="E114" s="323" t="str">
        <f ca="1">IFERROR(__xludf.DUMMYFUNCTION("""COMPUTED_VALUE"""),"crypto.sdpark@gmail.com")</f>
        <v>crypto.sdpark@gmail.com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3">
      <c r="A115" s="2"/>
      <c r="B115" s="2" t="str">
        <f ca="1">IFERROR(__xludf.DUMMYFUNCTION("""COMPUTED_VALUE"""),"지란지교소프트")</f>
        <v>지란지교소프트</v>
      </c>
      <c r="C115" s="2" t="str">
        <f ca="1">IFERROR(__xludf.DUMMYFUNCTION("""COMPUTED_VALUE"""),"류철운 이사")</f>
        <v>류철운 이사</v>
      </c>
      <c r="D115" s="2" t="str">
        <f ca="1">IFERROR(__xludf.DUMMYFUNCTION("""COMPUTED_VALUE"""),"010-3395-5177")</f>
        <v>010-3395-5177</v>
      </c>
      <c r="E115" s="323" t="str">
        <f ca="1">IFERROR(__xludf.DUMMYFUNCTION("""COMPUTED_VALUE"""),"cwryu@jiran.com")</f>
        <v>cwryu@jiran.com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t="1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  <row r="999" spans="1:30" ht="1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</row>
    <row r="1000" spans="1:30" ht="1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</row>
    <row r="1001" spans="1:30" ht="13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</row>
    <row r="1002" spans="1:30" ht="13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</row>
    <row r="1003" spans="1:30" ht="13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</row>
    <row r="1004" spans="1:30" ht="13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</row>
    <row r="1005" spans="1:30" ht="13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</row>
    <row r="1006" spans="1:30" ht="13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</row>
    <row r="1007" spans="1:30" ht="13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</row>
    <row r="1008" spans="1:30" ht="13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</row>
    <row r="1009" spans="1:30" ht="13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</row>
    <row r="1010" spans="1:30" ht="13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</row>
    <row r="1011" spans="1:30" ht="13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</row>
    <row r="1012" spans="1:30" ht="13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</row>
    <row r="1013" spans="1:30" ht="13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</row>
    <row r="1014" spans="1:30" ht="13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</row>
    <row r="1015" spans="1:30" ht="13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</row>
    <row r="1016" spans="1:30" ht="13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</row>
    <row r="1017" spans="1:30" ht="13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</row>
    <row r="1018" spans="1:30" ht="13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</row>
    <row r="1019" spans="1:30" ht="13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</row>
    <row r="1020" spans="1:30" ht="13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</row>
    <row r="1021" spans="1:30" ht="13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</row>
    <row r="1022" spans="1:30" ht="13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</row>
    <row r="1023" spans="1:30" ht="13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</row>
    <row r="1024" spans="1:30" ht="13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</row>
    <row r="1025" spans="1:30" ht="13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</row>
    <row r="1026" spans="1:30" ht="13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</row>
    <row r="1027" spans="1:30" ht="13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</row>
    <row r="1028" spans="1:30" ht="13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</row>
    <row r="1029" spans="1:30" ht="13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</row>
    <row r="1030" spans="1:30" ht="13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</row>
  </sheetData>
  <mergeCells count="46">
    <mergeCell ref="M5:M10"/>
    <mergeCell ref="N5:N10"/>
    <mergeCell ref="R5:R10"/>
    <mergeCell ref="S5:S10"/>
    <mergeCell ref="U5:U10"/>
    <mergeCell ref="A1:C1"/>
    <mergeCell ref="A5:A10"/>
    <mergeCell ref="B5:B10"/>
    <mergeCell ref="E5:E10"/>
    <mergeCell ref="F5:F10"/>
    <mergeCell ref="G5:G10"/>
    <mergeCell ref="K5:K10"/>
    <mergeCell ref="G12:G15"/>
    <mergeCell ref="J12:J15"/>
    <mergeCell ref="K12:K15"/>
    <mergeCell ref="L12:L15"/>
    <mergeCell ref="J16:J17"/>
    <mergeCell ref="K16:K17"/>
    <mergeCell ref="L16:L17"/>
    <mergeCell ref="L18:L20"/>
    <mergeCell ref="N38:N41"/>
    <mergeCell ref="S38:S41"/>
    <mergeCell ref="N42:N43"/>
    <mergeCell ref="G16:G17"/>
    <mergeCell ref="G18:G20"/>
    <mergeCell ref="J18:J20"/>
    <mergeCell ref="K18:K20"/>
    <mergeCell ref="B38:B41"/>
    <mergeCell ref="C38:C41"/>
    <mergeCell ref="B42:B43"/>
    <mergeCell ref="J73:J76"/>
    <mergeCell ref="L73:L76"/>
    <mergeCell ref="L38:L41"/>
    <mergeCell ref="L84:L85"/>
    <mergeCell ref="D38:D41"/>
    <mergeCell ref="D42:D43"/>
    <mergeCell ref="C73:C76"/>
    <mergeCell ref="D73:D76"/>
    <mergeCell ref="E73:E76"/>
    <mergeCell ref="F73:F76"/>
    <mergeCell ref="G73:G76"/>
    <mergeCell ref="C84:C85"/>
    <mergeCell ref="E84:E85"/>
    <mergeCell ref="F84:F85"/>
    <mergeCell ref="G84:G85"/>
    <mergeCell ref="J84:J85"/>
  </mergeCells>
  <phoneticPr fontId="179" type="noConversion"/>
  <hyperlinks>
    <hyperlink ref="E1" r:id="rId1" location="gid=1579425563" xr:uid="{00000000-0004-0000-0200-000000000000}"/>
    <hyperlink ref="D5" r:id="rId2" display="https://hanway.hist.co.kr/ekp/hanjinkalView/app/eapp/document/eapDocViewPopup?appId=AA829260613667535157260" xr:uid="{00000000-0004-0000-0200-000001000000}"/>
    <hyperlink ref="D6" r:id="rId3" display="https://hanway.hist.co.kr/ekp/hanjinkalView/app/eapp/document/eapDocViewPopup?appId=AA747879472546134116875" xr:uid="{00000000-0004-0000-0200-000002000000}"/>
    <hyperlink ref="D7" r:id="rId4" display="https://hanway.hist.co.kr/ekp/hanjinkalView/app/eapp/document/eapDocViewPopup?appId=AA812608061949832423987" xr:uid="{00000000-0004-0000-0200-000003000000}"/>
    <hyperlink ref="D27" r:id="rId5" display="https://hanway.hist.co.kr/ekp/hanjinkalView/app/eapp/document/eapDocViewPopup?appId=AA716603008833220706396" xr:uid="{00000000-0004-0000-0200-000004000000}"/>
    <hyperlink ref="D28" r:id="rId6" display="https://hanway.hist.co.kr/ekp/hanjinkalView/app/eapp/document/eapDocViewPopup?appId=AA716603008833220706396" xr:uid="{00000000-0004-0000-0200-000005000000}"/>
    <hyperlink ref="D29" r:id="rId7" display="https://hanway.hist.co.kr/ekp/hanjinkalView/app/eapp/document/eapDocViewPopup?appId=AA746355484928952145558" xr:uid="{00000000-0004-0000-0200-000006000000}"/>
    <hyperlink ref="D44" r:id="rId8" display="https://hanway.hist.co.kr/ekp/hanjinkalView/app/eapp/document/eapDocViewPopup?appId=AA727937956662998705539" xr:uid="{00000000-0004-0000-0200-000007000000}"/>
    <hyperlink ref="D45" r:id="rId9" display="https://hanway.hist.co.kr/ekp/hanjinkalView/app/eapp/document/eapDocViewPopup?appId=AA747879472546134116875" xr:uid="{00000000-0004-0000-0200-000008000000}"/>
    <hyperlink ref="D46" r:id="rId10" display="https://hanway.hist.co.kr/ekp/hanjinkalView/app/eapp/document/eapDocViewPopup?appId=AA747879472546134116875" xr:uid="{00000000-0004-0000-0200-000009000000}"/>
    <hyperlink ref="D47" r:id="rId11" display="https://hanway.hist.co.kr/ekp/hanjinkalView/app/eapp/document/eapDocViewPopup?appId=AA727937956662998705539" xr:uid="{00000000-0004-0000-0200-00000A000000}"/>
    <hyperlink ref="D48" r:id="rId12" display="https://hanway.hist.co.kr/ekp/hanjinkalView/app/eapp/document/eapDocViewPopup?appId=AA766049817873572614457" xr:uid="{00000000-0004-0000-0200-00000B000000}"/>
    <hyperlink ref="D50" r:id="rId13" display="https://hanway.hist.co.kr/ekp/hanjinkalView/app/eapp/document/eapDocViewPopup?appId=AA716603008833220706396" xr:uid="{00000000-0004-0000-0200-00000C000000}"/>
    <hyperlink ref="D53" r:id="rId14" display="https://hanway.hist.co.kr/ekp/hanjinkalView/app/eapp/document/eapDocViewPopup?appId=AA746355484928952145558" xr:uid="{00000000-0004-0000-0200-00000D000000}"/>
    <hyperlink ref="D56" r:id="rId15" display="https://hanway.hist.co.kr/ekp/hanjinkalView/app/eapp/document/eapDocViewPopup?appId=AA645147051584430459179" xr:uid="{00000000-0004-0000-0200-00000E000000}"/>
    <hyperlink ref="D60" r:id="rId16" display="https://hanway.hist.co.kr/ekp/hanjinkalView/app/eapp/document/eapDocViewPopup?appId=AA747879472546134116875" xr:uid="{00000000-0004-0000-0200-00000F000000}"/>
    <hyperlink ref="D61" r:id="rId17" display="https://hanway.hist.co.kr/ekp/hanjinkalView/app/eapp/document/eapDocViewPopup?appId=AA747879472546134116875" xr:uid="{00000000-0004-0000-0200-000010000000}"/>
    <hyperlink ref="D62" r:id="rId18" display="https://hanway.hist.co.kr/ekp/hanjinkalView/app/eapp/document/eapDocViewPopup?appId=AA727937956662998705539" xr:uid="{00000000-0004-0000-0200-000011000000}"/>
    <hyperlink ref="D63" r:id="rId19" display="https://hanway.hist.co.kr/ekp/hanjinkalView/app/eapp/document/eapDocViewPopup?appId=AA727937956662998705539" xr:uid="{00000000-0004-0000-0200-000012000000}"/>
    <hyperlink ref="D64" r:id="rId20" display="https://hanway.hist.co.kr/ekp/hanjinkalView/app/eapp/document/eapDocViewPopup?appId=AA727937956662998705539" xr:uid="{00000000-0004-0000-0200-000013000000}"/>
    <hyperlink ref="D65" r:id="rId21" display="https://hanway.hist.co.kr/ekp/hanjinkalView/app/eapp/document/eapDocViewPopup?appId=AA727937956662998705539" xr:uid="{00000000-0004-0000-0200-000014000000}"/>
    <hyperlink ref="D66" r:id="rId22" display="https://hanway.hist.co.kr/ekp/hanjinkalView/app/eapp/document/eapDocViewPopup?appId=AA747879472546134116875" xr:uid="{00000000-0004-0000-0200-000015000000}"/>
    <hyperlink ref="D67" r:id="rId23" display="https://hanway.hist.co.kr/ekp/hanjinkalView/app/eapp/document/eapDocViewPopup?appId=AA747879472546134116875" xr:uid="{00000000-0004-0000-0200-000016000000}"/>
    <hyperlink ref="D69" r:id="rId24" display="https://hanway.hist.co.kr/ekp/hanjinkalView/app/eapp/document/eapDocViewPopup?appId=AA716603008833220706396" xr:uid="{00000000-0004-0000-0200-000017000000}"/>
    <hyperlink ref="D70" r:id="rId25" display="https://hanway.hist.co.kr/ekp/hanjinkalView/app/eapp/document/eapDocViewPopup?appId=AA716603008833220706396" xr:uid="{00000000-0004-0000-0200-000018000000}"/>
    <hyperlink ref="D80" r:id="rId26" display="https://hanway.hist.co.kr/ekp/hanjinkalView/app/eapp/document/eapDocViewPopup?appId=AA747879472546134116875" xr:uid="{00000000-0004-0000-0200-000019000000}"/>
    <hyperlink ref="D81" r:id="rId27" display="https://hanway.hist.co.kr/ekp/hanjinkalView/app/eapp/document/eapDocViewPopup?appId=AA747879472546134116875" xr:uid="{00000000-0004-0000-0200-00001A000000}"/>
    <hyperlink ref="D85" r:id="rId28" display="https://hanway.hist.co.kr/ekp/hanjinkalView/app/eapp/document/eapDocViewPopup?appId=AA747879472546134116875" xr:uid="{00000000-0004-0000-0200-00001B000000}"/>
    <hyperlink ref="D87" r:id="rId29" display="https://hanway.hist.co.kr/ekp/hanjinkalView/app/eapp/document/eapDocViewPopup?appId=AA747879472546134116875" xr:uid="{00000000-0004-0000-0200-00001C000000}"/>
    <hyperlink ref="D90" r:id="rId30" display="https://hanway.hist.co.kr/ekp/hanjinkalView/app/eapp/document/eapDocViewPopup?appId=AA747879472546134116875" xr:uid="{00000000-0004-0000-0200-00001D000000}"/>
    <hyperlink ref="D91" r:id="rId31" display="https://hanway.hist.co.kr/ekp/hanjinkalView/app/eapp/document/eapDocViewPopup?appId=AA812608061949832423987" xr:uid="{00000000-0004-0000-0200-00001E000000}"/>
    <hyperlink ref="D92" r:id="rId32" display="https://hanway.hist.co.kr/ekp/hanjinkalView/app/eapp/document/eapDocViewPopup?appId=AA812608061949832423987" xr:uid="{00000000-0004-0000-0200-00001F000000}"/>
    <hyperlink ref="D93" r:id="rId33" display="https://hanway.hist.co.kr/ekp/hanjinkalView/app/eapp/document/eapDocViewPopup?appId=AA829260613667535157260" xr:uid="{00000000-0004-0000-0200-000020000000}"/>
    <hyperlink ref="E109" r:id="rId34" display="mailto:ggc8050@ontheit.com" xr:uid="{00000000-0004-0000-0200-000021000000}"/>
    <hyperlink ref="E110" r:id="rId35" display="mailto:jhpark1@forcs.com" xr:uid="{00000000-0004-0000-0200-000022000000}"/>
    <hyperlink ref="E111" r:id="rId36" display="mailto:srwon@intsystem.co.kr" xr:uid="{00000000-0004-0000-0200-000023000000}"/>
    <hyperlink ref="E112" r:id="rId37" display="mailto:hongheekim@infinitt.com" xr:uid="{00000000-0004-0000-0200-000024000000}"/>
    <hyperlink ref="E113" r:id="rId38" display="mailto:ksy@ack.co.kr" xr:uid="{00000000-0004-0000-0200-000025000000}"/>
    <hyperlink ref="E114" r:id="rId39" display="mailto:crypto.sdpark@gmail.com" xr:uid="{00000000-0004-0000-0200-000026000000}"/>
    <hyperlink ref="E115" r:id="rId40" display="mailto:cwryu@jiran.com" xr:uid="{00000000-0004-0000-0200-000027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  <outlinePr summaryBelow="0" summaryRight="0"/>
  </sheetPr>
  <dimension ref="A1:AC996"/>
  <sheetViews>
    <sheetView workbookViewId="0">
      <pane ySplit="4" topLeftCell="A5" activePane="bottomLeft" state="frozen"/>
      <selection pane="bottomLeft" activeCell="B6" sqref="B6"/>
    </sheetView>
  </sheetViews>
  <sheetFormatPr baseColWidth="10" defaultColWidth="12.5" defaultRowHeight="15.75" customHeight="1"/>
  <cols>
    <col min="2" max="2" width="55.5" customWidth="1"/>
    <col min="3" max="3" width="16.83203125" customWidth="1"/>
    <col min="8" max="8" width="16.83203125" customWidth="1"/>
  </cols>
  <sheetData>
    <row r="1" spans="1:29" ht="15.75" customHeight="1">
      <c r="A1" s="324" t="s">
        <v>348</v>
      </c>
      <c r="B1" s="325"/>
      <c r="C1" s="326"/>
      <c r="D1" s="325"/>
      <c r="E1" s="2"/>
      <c r="F1" s="2"/>
      <c r="G1" s="2"/>
      <c r="H1" s="327"/>
      <c r="I1" s="325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spans="1:29" ht="15.75" customHeight="1">
      <c r="A2" s="328"/>
      <c r="B2" s="325"/>
      <c r="C2" s="326"/>
      <c r="D2" s="325"/>
      <c r="E2" s="2"/>
      <c r="F2" s="2"/>
      <c r="G2" s="2"/>
      <c r="H2" s="327"/>
      <c r="I2" s="325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29" ht="15.75" customHeight="1">
      <c r="A3" s="328" t="s">
        <v>349</v>
      </c>
      <c r="B3" s="325" t="s">
        <v>350</v>
      </c>
      <c r="C3" s="326" t="s">
        <v>297</v>
      </c>
      <c r="D3" s="325" t="s">
        <v>351</v>
      </c>
      <c r="E3" s="2"/>
      <c r="F3" s="2"/>
      <c r="G3" s="2"/>
      <c r="H3" s="329" t="s">
        <v>352</v>
      </c>
      <c r="I3" s="325" t="s">
        <v>353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spans="1:29" ht="15.75" customHeight="1">
      <c r="A4" s="330" t="s">
        <v>8</v>
      </c>
      <c r="B4" s="330" t="s">
        <v>354</v>
      </c>
      <c r="C4" s="331" t="s">
        <v>281</v>
      </c>
      <c r="D4" s="332" t="s">
        <v>355</v>
      </c>
      <c r="E4" s="330" t="s">
        <v>356</v>
      </c>
      <c r="F4" s="333" t="s">
        <v>357</v>
      </c>
      <c r="G4" s="333" t="s">
        <v>358</v>
      </c>
      <c r="H4" s="334" t="s">
        <v>359</v>
      </c>
      <c r="I4" s="333" t="s">
        <v>360</v>
      </c>
      <c r="J4" s="335" t="s">
        <v>361</v>
      </c>
      <c r="K4" s="333" t="s">
        <v>284</v>
      </c>
      <c r="L4" s="333" t="s">
        <v>280</v>
      </c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</row>
    <row r="5" spans="1:29" ht="15.75" customHeight="1">
      <c r="A5" s="336" t="s">
        <v>362</v>
      </c>
      <c r="B5" s="337" t="s">
        <v>363</v>
      </c>
      <c r="C5" s="338" t="s">
        <v>364</v>
      </c>
      <c r="D5" s="339">
        <v>651000</v>
      </c>
      <c r="E5" s="336" t="s">
        <v>365</v>
      </c>
      <c r="F5" s="336" t="s">
        <v>366</v>
      </c>
      <c r="G5" s="336" t="s">
        <v>367</v>
      </c>
      <c r="H5" s="340" t="s">
        <v>368</v>
      </c>
      <c r="I5" s="341">
        <v>45293</v>
      </c>
      <c r="J5" s="339">
        <v>619000</v>
      </c>
      <c r="K5" s="342"/>
      <c r="L5" s="34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</row>
    <row r="6" spans="1:29" ht="15.75" customHeight="1">
      <c r="A6" s="342"/>
      <c r="B6" s="337" t="s">
        <v>369</v>
      </c>
      <c r="C6" s="338" t="s">
        <v>370</v>
      </c>
      <c r="D6" s="339">
        <v>1785000</v>
      </c>
      <c r="E6" s="336" t="s">
        <v>371</v>
      </c>
      <c r="F6" s="336" t="s">
        <v>372</v>
      </c>
      <c r="G6" s="336" t="s">
        <v>373</v>
      </c>
      <c r="H6" s="340" t="s">
        <v>374</v>
      </c>
      <c r="I6" s="341">
        <v>45293</v>
      </c>
      <c r="J6" s="339">
        <v>1380000</v>
      </c>
      <c r="K6" s="342"/>
      <c r="L6" s="34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spans="1:29" ht="15.75" customHeight="1">
      <c r="A7" s="342"/>
      <c r="B7" s="342"/>
      <c r="C7" s="264"/>
      <c r="D7" s="342"/>
      <c r="E7" s="342"/>
      <c r="F7" s="336" t="s">
        <v>375</v>
      </c>
      <c r="G7" s="336" t="s">
        <v>376</v>
      </c>
      <c r="H7" s="340" t="s">
        <v>377</v>
      </c>
      <c r="I7" s="341">
        <v>45294</v>
      </c>
      <c r="J7" s="343">
        <v>300000</v>
      </c>
      <c r="K7" s="342"/>
      <c r="L7" s="34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spans="1:29" ht="15.75" customHeight="1">
      <c r="A8" s="342"/>
      <c r="B8" s="337" t="s">
        <v>378</v>
      </c>
      <c r="C8" s="338" t="s">
        <v>379</v>
      </c>
      <c r="D8" s="339">
        <v>1575000</v>
      </c>
      <c r="E8" s="336" t="s">
        <v>380</v>
      </c>
      <c r="F8" s="336" t="s">
        <v>372</v>
      </c>
      <c r="G8" s="336" t="s">
        <v>381</v>
      </c>
      <c r="H8" s="340" t="s">
        <v>382</v>
      </c>
      <c r="I8" s="341">
        <v>45293</v>
      </c>
      <c r="J8" s="339">
        <v>1380000</v>
      </c>
      <c r="K8" s="342"/>
      <c r="L8" s="34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spans="1:29" ht="15.75" customHeight="1">
      <c r="A9" s="342"/>
      <c r="B9" s="342"/>
      <c r="C9" s="264"/>
      <c r="D9" s="342"/>
      <c r="E9" s="342"/>
      <c r="F9" s="336" t="s">
        <v>375</v>
      </c>
      <c r="G9" s="336" t="s">
        <v>383</v>
      </c>
      <c r="H9" s="340" t="s">
        <v>384</v>
      </c>
      <c r="I9" s="341">
        <v>45296</v>
      </c>
      <c r="J9" s="339">
        <v>100000</v>
      </c>
      <c r="K9" s="342"/>
      <c r="L9" s="34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spans="1:29" ht="15.75" customHeight="1">
      <c r="A10" s="342"/>
      <c r="B10" s="337" t="s">
        <v>385</v>
      </c>
      <c r="C10" s="338" t="s">
        <v>386</v>
      </c>
      <c r="D10" s="339">
        <v>1745000</v>
      </c>
      <c r="E10" s="336" t="s">
        <v>387</v>
      </c>
      <c r="F10" s="336" t="s">
        <v>372</v>
      </c>
      <c r="G10" s="336" t="s">
        <v>388</v>
      </c>
      <c r="H10" s="340" t="s">
        <v>389</v>
      </c>
      <c r="I10" s="341">
        <v>45293</v>
      </c>
      <c r="J10" s="339">
        <v>1380000</v>
      </c>
      <c r="K10" s="342"/>
      <c r="L10" s="34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</row>
    <row r="11" spans="1:29" ht="15.75" customHeight="1">
      <c r="A11" s="342"/>
      <c r="B11" s="342"/>
      <c r="C11" s="264"/>
      <c r="D11" s="342"/>
      <c r="E11" s="342"/>
      <c r="F11" s="336" t="s">
        <v>375</v>
      </c>
      <c r="G11" s="336" t="s">
        <v>390</v>
      </c>
      <c r="H11" s="340" t="s">
        <v>391</v>
      </c>
      <c r="I11" s="341">
        <v>45294</v>
      </c>
      <c r="J11" s="339">
        <v>100000</v>
      </c>
      <c r="K11" s="342"/>
      <c r="L11" s="34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spans="1:29" ht="15.75" customHeight="1">
      <c r="A12" s="342"/>
      <c r="B12" s="342"/>
      <c r="C12" s="264"/>
      <c r="D12" s="342"/>
      <c r="E12" s="342"/>
      <c r="F12" s="336" t="s">
        <v>392</v>
      </c>
      <c r="G12" s="336" t="s">
        <v>393</v>
      </c>
      <c r="H12" s="340" t="s">
        <v>394</v>
      </c>
      <c r="I12" s="341">
        <v>45295</v>
      </c>
      <c r="J12" s="339">
        <v>151000</v>
      </c>
      <c r="K12" s="342"/>
      <c r="L12" s="34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spans="1:29" ht="15.75" customHeight="1">
      <c r="A13" s="342"/>
      <c r="B13" s="337" t="s">
        <v>395</v>
      </c>
      <c r="C13" s="338" t="s">
        <v>396</v>
      </c>
      <c r="D13" s="339">
        <v>36750000</v>
      </c>
      <c r="E13" s="336" t="s">
        <v>397</v>
      </c>
      <c r="F13" s="336" t="s">
        <v>372</v>
      </c>
      <c r="G13" s="336" t="s">
        <v>398</v>
      </c>
      <c r="H13" s="340" t="s">
        <v>399</v>
      </c>
      <c r="I13" s="341">
        <v>45299</v>
      </c>
      <c r="J13" s="339">
        <v>34500000</v>
      </c>
      <c r="K13" s="342"/>
      <c r="L13" s="34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</row>
    <row r="14" spans="1:29" ht="15.75" customHeight="1">
      <c r="A14" s="342"/>
      <c r="B14" s="337" t="s">
        <v>400</v>
      </c>
      <c r="C14" s="338" t="s">
        <v>401</v>
      </c>
      <c r="D14" s="339">
        <v>153000</v>
      </c>
      <c r="E14" s="336" t="s">
        <v>402</v>
      </c>
      <c r="F14" s="336" t="s">
        <v>403</v>
      </c>
      <c r="G14" s="336" t="s">
        <v>404</v>
      </c>
      <c r="H14" s="340" t="s">
        <v>405</v>
      </c>
      <c r="I14" s="341">
        <v>45303</v>
      </c>
      <c r="J14" s="339">
        <v>145000</v>
      </c>
      <c r="K14" s="342"/>
      <c r="L14" s="34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spans="1:29" ht="15.75" customHeight="1">
      <c r="A15" s="342"/>
      <c r="B15" s="337" t="s">
        <v>406</v>
      </c>
      <c r="C15" s="338" t="s">
        <v>407</v>
      </c>
      <c r="D15" s="339">
        <v>2760000</v>
      </c>
      <c r="E15" s="336" t="s">
        <v>408</v>
      </c>
      <c r="F15" s="336" t="s">
        <v>372</v>
      </c>
      <c r="G15" s="336" t="s">
        <v>409</v>
      </c>
      <c r="H15" s="340" t="s">
        <v>410</v>
      </c>
      <c r="I15" s="341">
        <v>45295</v>
      </c>
      <c r="J15" s="339">
        <v>1380000</v>
      </c>
      <c r="K15" s="342"/>
      <c r="L15" s="34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spans="1:29" ht="15.75" customHeight="1">
      <c r="A16" s="342"/>
      <c r="B16" s="342"/>
      <c r="C16" s="264"/>
      <c r="D16" s="342"/>
      <c r="E16" s="342"/>
      <c r="F16" s="336" t="s">
        <v>375</v>
      </c>
      <c r="G16" s="336" t="s">
        <v>411</v>
      </c>
      <c r="H16" s="340" t="s">
        <v>412</v>
      </c>
      <c r="I16" s="341">
        <v>45296</v>
      </c>
      <c r="J16" s="339">
        <v>200000</v>
      </c>
      <c r="K16" s="342"/>
      <c r="L16" s="34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spans="1:29" ht="15.75" customHeight="1">
      <c r="A17" s="342"/>
      <c r="B17" s="342"/>
      <c r="C17" s="264"/>
      <c r="D17" s="342"/>
      <c r="E17" s="342"/>
      <c r="F17" s="336" t="s">
        <v>392</v>
      </c>
      <c r="G17" s="336" t="s">
        <v>413</v>
      </c>
      <c r="H17" s="340" t="s">
        <v>414</v>
      </c>
      <c r="I17" s="341">
        <v>45296</v>
      </c>
      <c r="J17" s="339">
        <v>1000000</v>
      </c>
      <c r="K17" s="342"/>
      <c r="L17" s="34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spans="1:29" ht="15.75" customHeight="1">
      <c r="A18" s="342"/>
      <c r="B18" s="337" t="s">
        <v>415</v>
      </c>
      <c r="C18" s="338" t="s">
        <v>416</v>
      </c>
      <c r="D18" s="339">
        <v>127170000</v>
      </c>
      <c r="E18" s="336" t="s">
        <v>417</v>
      </c>
      <c r="F18" s="336" t="s">
        <v>418</v>
      </c>
      <c r="G18" s="336" t="s">
        <v>419</v>
      </c>
      <c r="H18" s="340" t="s">
        <v>420</v>
      </c>
      <c r="I18" s="341">
        <v>45306</v>
      </c>
      <c r="J18" s="339">
        <v>119880000</v>
      </c>
      <c r="K18" s="342"/>
      <c r="L18" s="34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spans="1:29" ht="15.75" customHeight="1">
      <c r="A19" s="342"/>
      <c r="B19" s="337" t="s">
        <v>421</v>
      </c>
      <c r="C19" s="338" t="s">
        <v>422</v>
      </c>
      <c r="D19" s="339">
        <v>28000000</v>
      </c>
      <c r="E19" s="336" t="s">
        <v>423</v>
      </c>
      <c r="F19" s="336" t="s">
        <v>418</v>
      </c>
      <c r="G19" s="336" t="s">
        <v>424</v>
      </c>
      <c r="H19" s="340" t="s">
        <v>425</v>
      </c>
      <c r="I19" s="341">
        <v>45306</v>
      </c>
      <c r="J19" s="339">
        <v>25000000</v>
      </c>
      <c r="K19" s="342"/>
      <c r="L19" s="34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spans="1:29" ht="15.75" customHeight="1">
      <c r="A20" s="342"/>
      <c r="B20" s="337" t="s">
        <v>426</v>
      </c>
      <c r="C20" s="338" t="s">
        <v>427</v>
      </c>
      <c r="D20" s="339">
        <v>2000000</v>
      </c>
      <c r="E20" s="336" t="s">
        <v>428</v>
      </c>
      <c r="F20" s="336" t="s">
        <v>429</v>
      </c>
      <c r="G20" s="336" t="s">
        <v>430</v>
      </c>
      <c r="H20" s="340" t="s">
        <v>431</v>
      </c>
      <c r="I20" s="341">
        <v>45309</v>
      </c>
      <c r="J20" s="339">
        <v>1800000</v>
      </c>
      <c r="K20" s="342"/>
      <c r="L20" s="34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spans="1:29" ht="15.75" customHeight="1">
      <c r="A21" s="342"/>
      <c r="B21" s="337" t="s">
        <v>432</v>
      </c>
      <c r="C21" s="338" t="s">
        <v>433</v>
      </c>
      <c r="D21" s="339">
        <v>1995000</v>
      </c>
      <c r="E21" s="336" t="s">
        <v>434</v>
      </c>
      <c r="F21" s="336" t="s">
        <v>372</v>
      </c>
      <c r="G21" s="336" t="s">
        <v>435</v>
      </c>
      <c r="H21" s="340" t="s">
        <v>436</v>
      </c>
      <c r="I21" s="341">
        <v>45295</v>
      </c>
      <c r="J21" s="339">
        <v>1850000</v>
      </c>
      <c r="K21" s="342"/>
      <c r="L21" s="34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 spans="1:29" ht="15.75" customHeight="1">
      <c r="A22" s="342"/>
      <c r="B22" s="337" t="s">
        <v>437</v>
      </c>
      <c r="C22" s="338" t="s">
        <v>438</v>
      </c>
      <c r="D22" s="339">
        <v>4410000</v>
      </c>
      <c r="E22" s="336" t="s">
        <v>439</v>
      </c>
      <c r="F22" s="336" t="s">
        <v>372</v>
      </c>
      <c r="G22" s="336" t="s">
        <v>440</v>
      </c>
      <c r="H22" s="340" t="s">
        <v>441</v>
      </c>
      <c r="I22" s="341">
        <v>45311</v>
      </c>
      <c r="J22" s="339">
        <v>4140000</v>
      </c>
      <c r="K22" s="342"/>
      <c r="L22" s="34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 spans="1:29" ht="15.75" customHeight="1">
      <c r="A23" s="342"/>
      <c r="B23" s="337" t="s">
        <v>442</v>
      </c>
      <c r="C23" s="338" t="s">
        <v>443</v>
      </c>
      <c r="D23" s="339">
        <v>2040000</v>
      </c>
      <c r="E23" s="336" t="s">
        <v>444</v>
      </c>
      <c r="F23" s="336" t="s">
        <v>392</v>
      </c>
      <c r="G23" s="336" t="s">
        <v>445</v>
      </c>
      <c r="H23" s="340" t="s">
        <v>446</v>
      </c>
      <c r="I23" s="341">
        <v>45307</v>
      </c>
      <c r="J23" s="339">
        <v>1812000</v>
      </c>
      <c r="K23" s="342"/>
      <c r="L23" s="34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</row>
    <row r="24" spans="1:29" ht="15.75" customHeight="1">
      <c r="A24" s="342"/>
      <c r="B24" s="337" t="s">
        <v>447</v>
      </c>
      <c r="C24" s="338" t="s">
        <v>448</v>
      </c>
      <c r="D24" s="339">
        <v>1785000</v>
      </c>
      <c r="E24" s="336" t="s">
        <v>449</v>
      </c>
      <c r="F24" s="336" t="s">
        <v>372</v>
      </c>
      <c r="G24" s="336" t="s">
        <v>450</v>
      </c>
      <c r="H24" s="340" t="s">
        <v>451</v>
      </c>
      <c r="I24" s="341">
        <v>45302</v>
      </c>
      <c r="J24" s="339">
        <v>1380000</v>
      </c>
      <c r="K24" s="342"/>
      <c r="L24" s="34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 spans="1:29" ht="15.75" customHeight="1">
      <c r="A25" s="342"/>
      <c r="B25" s="342"/>
      <c r="C25" s="264"/>
      <c r="D25" s="342"/>
      <c r="E25" s="342"/>
      <c r="F25" s="336" t="s">
        <v>375</v>
      </c>
      <c r="G25" s="336" t="s">
        <v>452</v>
      </c>
      <c r="H25" s="340" t="s">
        <v>453</v>
      </c>
      <c r="I25" s="341">
        <v>45303</v>
      </c>
      <c r="J25" s="339">
        <v>300000</v>
      </c>
      <c r="K25" s="342"/>
      <c r="L25" s="34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 spans="1:29" ht="15.75" customHeight="1">
      <c r="A26" s="342"/>
      <c r="B26" s="337" t="s">
        <v>454</v>
      </c>
      <c r="C26" s="338" t="s">
        <v>455</v>
      </c>
      <c r="D26" s="339">
        <v>4420000</v>
      </c>
      <c r="E26" s="336" t="s">
        <v>456</v>
      </c>
      <c r="F26" s="336" t="s">
        <v>372</v>
      </c>
      <c r="G26" s="336" t="s">
        <v>457</v>
      </c>
      <c r="H26" s="340" t="s">
        <v>458</v>
      </c>
      <c r="I26" s="341">
        <v>45303</v>
      </c>
      <c r="J26" s="339">
        <v>3700000</v>
      </c>
      <c r="K26" s="342"/>
      <c r="L26" s="34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 spans="1:29" ht="15.75" customHeight="1">
      <c r="A27" s="342"/>
      <c r="B27" s="342"/>
      <c r="C27" s="264"/>
      <c r="D27" s="344"/>
      <c r="E27" s="342"/>
      <c r="F27" s="336" t="s">
        <v>392</v>
      </c>
      <c r="G27" s="336" t="s">
        <v>459</v>
      </c>
      <c r="H27" s="340" t="s">
        <v>460</v>
      </c>
      <c r="I27" s="341">
        <v>45308</v>
      </c>
      <c r="J27" s="339">
        <v>404000</v>
      </c>
      <c r="K27" s="342"/>
      <c r="L27" s="34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spans="1:29" ht="15.75" customHeight="1">
      <c r="A28" s="342"/>
      <c r="B28" s="337" t="s">
        <v>461</v>
      </c>
      <c r="C28" s="338" t="s">
        <v>462</v>
      </c>
      <c r="D28" s="339">
        <v>3320000</v>
      </c>
      <c r="E28" s="336" t="s">
        <v>463</v>
      </c>
      <c r="F28" s="336" t="s">
        <v>375</v>
      </c>
      <c r="G28" s="336" t="s">
        <v>464</v>
      </c>
      <c r="H28" s="340" t="s">
        <v>465</v>
      </c>
      <c r="I28" s="341">
        <v>45303</v>
      </c>
      <c r="J28" s="339">
        <v>200000</v>
      </c>
      <c r="K28" s="342"/>
      <c r="L28" s="34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spans="1:29" ht="15.75" customHeight="1">
      <c r="A29" s="342"/>
      <c r="B29" s="342"/>
      <c r="C29" s="264"/>
      <c r="D29" s="342"/>
      <c r="E29" s="342"/>
      <c r="F29" s="336" t="s">
        <v>372</v>
      </c>
      <c r="G29" s="336" t="s">
        <v>466</v>
      </c>
      <c r="H29" s="340" t="s">
        <v>467</v>
      </c>
      <c r="I29" s="341">
        <v>45301</v>
      </c>
      <c r="J29" s="339">
        <v>2760000</v>
      </c>
      <c r="K29" s="342"/>
      <c r="L29" s="34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spans="1:29" ht="15.75" customHeight="1">
      <c r="A30" s="342"/>
      <c r="B30" s="342"/>
      <c r="C30" s="264"/>
      <c r="D30" s="344"/>
      <c r="E30" s="342"/>
      <c r="F30" s="336" t="s">
        <v>392</v>
      </c>
      <c r="G30" s="336" t="s">
        <v>468</v>
      </c>
      <c r="H30" s="340" t="s">
        <v>469</v>
      </c>
      <c r="I30" s="341">
        <v>45307</v>
      </c>
      <c r="J30" s="339">
        <v>151000</v>
      </c>
      <c r="K30" s="342"/>
      <c r="L30" s="34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spans="1:29" ht="15.75" customHeight="1">
      <c r="A31" s="342"/>
      <c r="B31" s="337" t="s">
        <v>470</v>
      </c>
      <c r="C31" s="338" t="s">
        <v>471</v>
      </c>
      <c r="D31" s="339">
        <v>380000</v>
      </c>
      <c r="E31" s="336" t="s">
        <v>472</v>
      </c>
      <c r="F31" s="336" t="s">
        <v>392</v>
      </c>
      <c r="G31" s="336" t="s">
        <v>473</v>
      </c>
      <c r="H31" s="340" t="s">
        <v>474</v>
      </c>
      <c r="I31" s="341">
        <v>45307</v>
      </c>
      <c r="J31" s="339">
        <v>151000</v>
      </c>
      <c r="K31" s="342"/>
      <c r="L31" s="34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spans="1:29" ht="15.75" customHeight="1">
      <c r="A32" s="342"/>
      <c r="B32" s="342"/>
      <c r="C32" s="264"/>
      <c r="D32" s="344"/>
      <c r="E32" s="342"/>
      <c r="F32" s="336" t="s">
        <v>392</v>
      </c>
      <c r="G32" s="336" t="s">
        <v>475</v>
      </c>
      <c r="H32" s="340" t="s">
        <v>476</v>
      </c>
      <c r="I32" s="341">
        <v>45307</v>
      </c>
      <c r="J32" s="339">
        <v>180000</v>
      </c>
      <c r="K32" s="342"/>
      <c r="L32" s="34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spans="1:29" ht="15.75" customHeight="1">
      <c r="A33" s="342"/>
      <c r="B33" s="337" t="s">
        <v>477</v>
      </c>
      <c r="C33" s="338" t="s">
        <v>478</v>
      </c>
      <c r="D33" s="339">
        <v>3280000</v>
      </c>
      <c r="E33" s="336" t="s">
        <v>479</v>
      </c>
      <c r="F33" s="336" t="s">
        <v>372</v>
      </c>
      <c r="G33" s="336" t="s">
        <v>480</v>
      </c>
      <c r="H33" s="340" t="s">
        <v>481</v>
      </c>
      <c r="I33" s="341">
        <v>45302</v>
      </c>
      <c r="J33" s="339">
        <v>2800000</v>
      </c>
      <c r="K33" s="342"/>
      <c r="L33" s="34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spans="1:29" ht="15.75" customHeight="1">
      <c r="A34" s="342"/>
      <c r="B34" s="342"/>
      <c r="C34" s="264"/>
      <c r="D34" s="344"/>
      <c r="E34" s="342"/>
      <c r="F34" s="336" t="s">
        <v>392</v>
      </c>
      <c r="G34" s="336" t="s">
        <v>482</v>
      </c>
      <c r="H34" s="340" t="s">
        <v>483</v>
      </c>
      <c r="I34" s="341">
        <v>45310</v>
      </c>
      <c r="J34" s="339">
        <v>302000</v>
      </c>
      <c r="K34" s="342"/>
      <c r="L34" s="34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spans="1:29" ht="15.75" customHeight="1">
      <c r="A35" s="342"/>
      <c r="B35" s="337" t="s">
        <v>484</v>
      </c>
      <c r="C35" s="338" t="s">
        <v>485</v>
      </c>
      <c r="D35" s="339">
        <v>170000</v>
      </c>
      <c r="E35" s="336" t="s">
        <v>486</v>
      </c>
      <c r="F35" s="336" t="s">
        <v>392</v>
      </c>
      <c r="G35" s="336" t="s">
        <v>487</v>
      </c>
      <c r="H35" s="340" t="s">
        <v>488</v>
      </c>
      <c r="I35" s="341">
        <v>45314</v>
      </c>
      <c r="J35" s="339">
        <v>151000</v>
      </c>
      <c r="K35" s="342"/>
      <c r="L35" s="34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spans="1:29" ht="15.75" customHeight="1">
      <c r="A36" s="342"/>
      <c r="B36" s="337" t="s">
        <v>489</v>
      </c>
      <c r="C36" s="338" t="s">
        <v>490</v>
      </c>
      <c r="D36" s="339">
        <v>445000</v>
      </c>
      <c r="E36" s="336" t="s">
        <v>491</v>
      </c>
      <c r="F36" s="336" t="s">
        <v>392</v>
      </c>
      <c r="G36" s="336" t="s">
        <v>492</v>
      </c>
      <c r="H36" s="340" t="s">
        <v>493</v>
      </c>
      <c r="I36" s="341">
        <v>45307</v>
      </c>
      <c r="J36" s="339">
        <v>302000</v>
      </c>
      <c r="K36" s="342"/>
      <c r="L36" s="34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spans="1:29" ht="15.75" customHeight="1">
      <c r="A37" s="342"/>
      <c r="B37" s="342"/>
      <c r="C37" s="264"/>
      <c r="D37" s="342"/>
      <c r="E37" s="342"/>
      <c r="F37" s="336" t="s">
        <v>375</v>
      </c>
      <c r="G37" s="336" t="s">
        <v>494</v>
      </c>
      <c r="H37" s="340" t="s">
        <v>495</v>
      </c>
      <c r="I37" s="341">
        <v>45307</v>
      </c>
      <c r="J37" s="339">
        <v>100000</v>
      </c>
      <c r="K37" s="342"/>
      <c r="L37" s="34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spans="1:29" ht="15.75" customHeight="1">
      <c r="A38" s="342"/>
      <c r="B38" s="336" t="s">
        <v>496</v>
      </c>
      <c r="C38" s="338" t="s">
        <v>497</v>
      </c>
      <c r="D38" s="339">
        <v>1470000</v>
      </c>
      <c r="E38" s="336" t="s">
        <v>498</v>
      </c>
      <c r="F38" s="336" t="s">
        <v>372</v>
      </c>
      <c r="G38" s="336" t="s">
        <v>499</v>
      </c>
      <c r="H38" s="340" t="s">
        <v>500</v>
      </c>
      <c r="I38" s="341">
        <v>45316</v>
      </c>
      <c r="J38" s="339">
        <v>1380000</v>
      </c>
      <c r="K38" s="342"/>
      <c r="L38" s="34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spans="1:29" ht="15.75" customHeight="1">
      <c r="A39" s="342"/>
      <c r="B39" s="345" t="s">
        <v>501</v>
      </c>
      <c r="C39" s="338" t="s">
        <v>502</v>
      </c>
      <c r="D39" s="339">
        <v>3490000</v>
      </c>
      <c r="E39" s="336" t="s">
        <v>503</v>
      </c>
      <c r="F39" s="336" t="s">
        <v>372</v>
      </c>
      <c r="G39" s="336" t="s">
        <v>504</v>
      </c>
      <c r="H39" s="340" t="s">
        <v>505</v>
      </c>
      <c r="I39" s="341">
        <v>45317</v>
      </c>
      <c r="J39" s="339">
        <v>2760000</v>
      </c>
      <c r="K39" s="342"/>
      <c r="L39" s="34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spans="1:29" ht="15.75" customHeight="1">
      <c r="A40" s="342"/>
      <c r="B40" s="342"/>
      <c r="C40" s="264"/>
      <c r="D40" s="344"/>
      <c r="E40" s="342"/>
      <c r="F40" s="336" t="s">
        <v>392</v>
      </c>
      <c r="G40" s="336" t="s">
        <v>506</v>
      </c>
      <c r="H40" s="340" t="s">
        <v>507</v>
      </c>
      <c r="I40" s="341">
        <v>45314</v>
      </c>
      <c r="J40" s="339">
        <v>302000</v>
      </c>
      <c r="K40" s="342"/>
      <c r="L40" s="34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spans="1:29" ht="15.75" customHeight="1">
      <c r="A41" s="342"/>
      <c r="B41" s="342"/>
      <c r="C41" s="264"/>
      <c r="D41" s="344"/>
      <c r="E41" s="342"/>
      <c r="F41" s="336" t="s">
        <v>375</v>
      </c>
      <c r="G41" s="336" t="s">
        <v>508</v>
      </c>
      <c r="H41" s="340" t="s">
        <v>509</v>
      </c>
      <c r="I41" s="341">
        <v>45315</v>
      </c>
      <c r="J41" s="339">
        <v>200000</v>
      </c>
      <c r="K41" s="342"/>
      <c r="L41" s="34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spans="1:29" ht="15.75" customHeight="1">
      <c r="A42" s="2"/>
      <c r="B42" s="346" t="s">
        <v>510</v>
      </c>
      <c r="C42" s="347">
        <f>COUNTA(C6:C41)</f>
        <v>21</v>
      </c>
      <c r="D42" s="348"/>
      <c r="E42" s="70"/>
      <c r="F42" s="70"/>
      <c r="G42" s="70"/>
      <c r="H42" s="349">
        <f>COUNTA(H6:H41)</f>
        <v>36</v>
      </c>
      <c r="I42" s="350"/>
      <c r="J42" s="348"/>
      <c r="K42" s="70"/>
      <c r="L42" s="70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spans="1:29" ht="15.75" customHeight="1">
      <c r="A43" s="342"/>
      <c r="B43" s="337" t="s">
        <v>511</v>
      </c>
      <c r="C43" s="338" t="s">
        <v>512</v>
      </c>
      <c r="D43" s="339">
        <v>120000</v>
      </c>
      <c r="E43" s="336" t="s">
        <v>513</v>
      </c>
      <c r="F43" s="336" t="s">
        <v>375</v>
      </c>
      <c r="G43" s="336" t="s">
        <v>514</v>
      </c>
      <c r="H43" s="340" t="s">
        <v>515</v>
      </c>
      <c r="I43" s="341">
        <v>45328</v>
      </c>
      <c r="J43" s="339">
        <v>100000</v>
      </c>
      <c r="K43" s="342"/>
      <c r="L43" s="34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spans="1:29" ht="15.75" customHeight="1">
      <c r="A44" s="342"/>
      <c r="B44" s="342"/>
      <c r="C44" s="264"/>
      <c r="D44" s="342"/>
      <c r="E44" s="342"/>
      <c r="F44" s="336" t="s">
        <v>516</v>
      </c>
      <c r="G44" s="336" t="s">
        <v>517</v>
      </c>
      <c r="H44" s="340" t="s">
        <v>512</v>
      </c>
      <c r="I44" s="341">
        <v>45336</v>
      </c>
      <c r="J44" s="339">
        <v>10000</v>
      </c>
      <c r="K44" s="342"/>
      <c r="L44" s="34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spans="1:29" ht="15.75" customHeight="1">
      <c r="A45" s="342"/>
      <c r="B45" s="337" t="s">
        <v>518</v>
      </c>
      <c r="C45" s="338" t="s">
        <v>519</v>
      </c>
      <c r="D45" s="339">
        <v>120000</v>
      </c>
      <c r="E45" s="336" t="s">
        <v>520</v>
      </c>
      <c r="F45" s="336" t="s">
        <v>375</v>
      </c>
      <c r="G45" s="336" t="s">
        <v>521</v>
      </c>
      <c r="H45" s="340" t="s">
        <v>522</v>
      </c>
      <c r="I45" s="341">
        <v>45342</v>
      </c>
      <c r="J45" s="339">
        <v>100000</v>
      </c>
      <c r="K45" s="342"/>
      <c r="L45" s="34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spans="1:29" ht="15.75" customHeight="1">
      <c r="A46" s="342"/>
      <c r="B46" s="342"/>
      <c r="C46" s="264"/>
      <c r="D46" s="342"/>
      <c r="E46" s="342"/>
      <c r="F46" s="336" t="s">
        <v>516</v>
      </c>
      <c r="G46" s="336" t="s">
        <v>523</v>
      </c>
      <c r="H46" s="340" t="s">
        <v>524</v>
      </c>
      <c r="I46" s="341">
        <v>45345</v>
      </c>
      <c r="J46" s="339">
        <v>10000</v>
      </c>
      <c r="K46" s="342"/>
      <c r="L46" s="34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spans="1:29" ht="15.75" customHeight="1">
      <c r="A47" s="342"/>
      <c r="B47" s="337" t="s">
        <v>525</v>
      </c>
      <c r="C47" s="338" t="s">
        <v>526</v>
      </c>
      <c r="D47" s="339">
        <v>240000</v>
      </c>
      <c r="E47" s="336" t="s">
        <v>527</v>
      </c>
      <c r="F47" s="336" t="s">
        <v>375</v>
      </c>
      <c r="G47" s="336" t="s">
        <v>528</v>
      </c>
      <c r="H47" s="340" t="s">
        <v>529</v>
      </c>
      <c r="I47" s="341">
        <v>45345</v>
      </c>
      <c r="J47" s="339">
        <v>200000</v>
      </c>
      <c r="K47" s="342"/>
      <c r="L47" s="34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spans="1:29" ht="15.75" customHeight="1">
      <c r="A48" s="342"/>
      <c r="B48" s="342"/>
      <c r="C48" s="264"/>
      <c r="D48" s="342"/>
      <c r="E48" s="342"/>
      <c r="F48" s="336" t="s">
        <v>516</v>
      </c>
      <c r="G48" s="336" t="s">
        <v>530</v>
      </c>
      <c r="H48" s="340" t="s">
        <v>531</v>
      </c>
      <c r="I48" s="341">
        <v>45348</v>
      </c>
      <c r="J48" s="339">
        <v>20000</v>
      </c>
      <c r="K48" s="342"/>
      <c r="L48" s="34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spans="1:29" ht="15.75" customHeight="1">
      <c r="A49" s="2"/>
      <c r="B49" s="346" t="s">
        <v>532</v>
      </c>
      <c r="C49" s="347">
        <f>COUNTA(C43:C48)</f>
        <v>3</v>
      </c>
      <c r="D49" s="348"/>
      <c r="E49" s="70"/>
      <c r="F49" s="70"/>
      <c r="G49" s="70"/>
      <c r="H49" s="349">
        <f>COUNTA(H43:H48)</f>
        <v>6</v>
      </c>
      <c r="I49" s="350"/>
      <c r="J49" s="348"/>
      <c r="K49" s="70"/>
      <c r="L49" s="70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spans="1:29" ht="15.75" customHeight="1">
      <c r="A50" s="342"/>
      <c r="B50" s="336" t="s">
        <v>533</v>
      </c>
      <c r="C50" s="338" t="s">
        <v>534</v>
      </c>
      <c r="D50" s="339">
        <v>120000</v>
      </c>
      <c r="E50" s="336" t="s">
        <v>535</v>
      </c>
      <c r="F50" s="336" t="s">
        <v>516</v>
      </c>
      <c r="G50" s="336" t="s">
        <v>536</v>
      </c>
      <c r="H50" s="340" t="s">
        <v>537</v>
      </c>
      <c r="I50" s="341">
        <v>45357</v>
      </c>
      <c r="J50" s="339">
        <v>10000</v>
      </c>
      <c r="K50" s="342"/>
      <c r="L50" s="34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spans="1:29" ht="15.75" customHeight="1">
      <c r="A51" s="342"/>
      <c r="B51" s="342"/>
      <c r="C51" s="264"/>
      <c r="D51" s="342"/>
      <c r="E51" s="342"/>
      <c r="F51" s="336" t="s">
        <v>375</v>
      </c>
      <c r="G51" s="336" t="s">
        <v>538</v>
      </c>
      <c r="H51" s="340" t="s">
        <v>539</v>
      </c>
      <c r="I51" s="341">
        <v>45357</v>
      </c>
      <c r="J51" s="339">
        <v>100000</v>
      </c>
      <c r="K51" s="342"/>
      <c r="L51" s="34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spans="1:29" ht="15.75" customHeight="1">
      <c r="A52" s="342"/>
      <c r="B52" s="336" t="s">
        <v>540</v>
      </c>
      <c r="C52" s="338" t="s">
        <v>541</v>
      </c>
      <c r="D52" s="339">
        <v>120000</v>
      </c>
      <c r="E52" s="336" t="s">
        <v>542</v>
      </c>
      <c r="F52" s="336" t="s">
        <v>375</v>
      </c>
      <c r="G52" s="336" t="s">
        <v>543</v>
      </c>
      <c r="H52" s="340" t="s">
        <v>544</v>
      </c>
      <c r="I52" s="341">
        <v>45358</v>
      </c>
      <c r="J52" s="339">
        <v>100000</v>
      </c>
      <c r="K52" s="342"/>
      <c r="L52" s="34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spans="1:29" ht="15.75" customHeight="1">
      <c r="A53" s="342"/>
      <c r="B53" s="342"/>
      <c r="C53" s="264"/>
      <c r="D53" s="342"/>
      <c r="E53" s="342"/>
      <c r="F53" s="342"/>
      <c r="G53" s="336" t="s">
        <v>545</v>
      </c>
      <c r="H53" s="340" t="s">
        <v>546</v>
      </c>
      <c r="I53" s="341">
        <v>45359</v>
      </c>
      <c r="J53" s="339">
        <v>10000</v>
      </c>
      <c r="K53" s="342"/>
      <c r="L53" s="34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spans="1:29" ht="15.75" customHeight="1">
      <c r="A54" s="342"/>
      <c r="B54" s="336" t="s">
        <v>547</v>
      </c>
      <c r="C54" s="338" t="s">
        <v>548</v>
      </c>
      <c r="D54" s="339">
        <v>170000</v>
      </c>
      <c r="E54" s="336" t="s">
        <v>549</v>
      </c>
      <c r="F54" s="336" t="s">
        <v>392</v>
      </c>
      <c r="G54" s="336" t="s">
        <v>550</v>
      </c>
      <c r="H54" s="340" t="s">
        <v>551</v>
      </c>
      <c r="I54" s="341">
        <v>45362</v>
      </c>
      <c r="J54" s="339">
        <v>151000</v>
      </c>
      <c r="K54" s="342"/>
      <c r="L54" s="34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spans="1:29" ht="15.75" customHeight="1">
      <c r="A55" s="336" t="s">
        <v>552</v>
      </c>
      <c r="B55" s="336" t="s">
        <v>553</v>
      </c>
      <c r="C55" s="338" t="s">
        <v>554</v>
      </c>
      <c r="D55" s="339">
        <v>1072500</v>
      </c>
      <c r="E55" s="336" t="s">
        <v>555</v>
      </c>
      <c r="F55" s="336" t="s">
        <v>556</v>
      </c>
      <c r="G55" s="336" t="s">
        <v>557</v>
      </c>
      <c r="H55" s="340" t="s">
        <v>558</v>
      </c>
      <c r="I55" s="341">
        <v>45370</v>
      </c>
      <c r="J55" s="339">
        <v>994500</v>
      </c>
      <c r="K55" s="342"/>
      <c r="L55" s="34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spans="1:29" ht="15.75" customHeight="1">
      <c r="A56" s="342"/>
      <c r="B56" s="336" t="s">
        <v>559</v>
      </c>
      <c r="C56" s="338" t="s">
        <v>560</v>
      </c>
      <c r="D56" s="339">
        <v>892500</v>
      </c>
      <c r="E56" s="336" t="s">
        <v>561</v>
      </c>
      <c r="F56" s="336" t="s">
        <v>562</v>
      </c>
      <c r="G56" s="336" t="s">
        <v>563</v>
      </c>
      <c r="H56" s="340" t="s">
        <v>564</v>
      </c>
      <c r="I56" s="341">
        <v>45355</v>
      </c>
      <c r="J56" s="339">
        <v>690540</v>
      </c>
      <c r="K56" s="342"/>
      <c r="L56" s="34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spans="1:29" ht="15.75" customHeight="1">
      <c r="A57" s="2"/>
      <c r="B57" s="346" t="s">
        <v>565</v>
      </c>
      <c r="C57" s="347">
        <f>COUNTA(C50:C56)</f>
        <v>5</v>
      </c>
      <c r="D57" s="348"/>
      <c r="E57" s="70"/>
      <c r="F57" s="70"/>
      <c r="G57" s="70"/>
      <c r="H57" s="349">
        <f>COUNTA(H50:H56)</f>
        <v>7</v>
      </c>
      <c r="I57" s="350"/>
      <c r="J57" s="348"/>
      <c r="K57" s="70"/>
      <c r="L57" s="70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spans="1:29" ht="15.75" customHeight="1">
      <c r="A58" s="342"/>
      <c r="B58" s="336" t="s">
        <v>566</v>
      </c>
      <c r="C58" s="338" t="s">
        <v>567</v>
      </c>
      <c r="D58" s="339">
        <v>526500</v>
      </c>
      <c r="E58" s="336" t="s">
        <v>568</v>
      </c>
      <c r="F58" s="336" t="s">
        <v>562</v>
      </c>
      <c r="G58" s="336" t="s">
        <v>569</v>
      </c>
      <c r="H58" s="340" t="s">
        <v>570</v>
      </c>
      <c r="I58" s="341">
        <v>45399</v>
      </c>
      <c r="J58" s="339">
        <v>475200</v>
      </c>
      <c r="K58" s="342"/>
      <c r="L58" s="34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spans="1:29" ht="15.75" customHeight="1">
      <c r="A59" s="342"/>
      <c r="B59" s="336" t="s">
        <v>571</v>
      </c>
      <c r="C59" s="338" t="s">
        <v>572</v>
      </c>
      <c r="D59" s="339">
        <v>435000</v>
      </c>
      <c r="E59" s="336" t="s">
        <v>573</v>
      </c>
      <c r="F59" s="336" t="s">
        <v>375</v>
      </c>
      <c r="G59" s="336" t="s">
        <v>574</v>
      </c>
      <c r="H59" s="340" t="s">
        <v>575</v>
      </c>
      <c r="I59" s="341">
        <v>45398</v>
      </c>
      <c r="J59" s="339">
        <v>366000</v>
      </c>
      <c r="K59" s="342"/>
      <c r="L59" s="34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spans="1:29" ht="15.75" customHeight="1">
      <c r="A60" s="342"/>
      <c r="B60" s="342"/>
      <c r="C60" s="264"/>
      <c r="D60" s="342"/>
      <c r="E60" s="342"/>
      <c r="F60" s="336" t="s">
        <v>516</v>
      </c>
      <c r="G60" s="336" t="s">
        <v>576</v>
      </c>
      <c r="H60" s="340" t="s">
        <v>572</v>
      </c>
      <c r="I60" s="341">
        <v>45404</v>
      </c>
      <c r="J60" s="339">
        <v>30000</v>
      </c>
      <c r="K60" s="342"/>
      <c r="L60" s="34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spans="1:29" ht="15.75" customHeight="1">
      <c r="A61" s="342"/>
      <c r="B61" s="336" t="s">
        <v>577</v>
      </c>
      <c r="C61" s="338" t="s">
        <v>578</v>
      </c>
      <c r="D61" s="339">
        <v>145000</v>
      </c>
      <c r="E61" s="336" t="s">
        <v>579</v>
      </c>
      <c r="F61" s="336" t="s">
        <v>375</v>
      </c>
      <c r="G61" s="336" t="s">
        <v>580</v>
      </c>
      <c r="H61" s="340" t="s">
        <v>581</v>
      </c>
      <c r="I61" s="341">
        <v>45400</v>
      </c>
      <c r="J61" s="339">
        <v>122000</v>
      </c>
      <c r="K61" s="342"/>
      <c r="L61" s="34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spans="1:29" ht="15.75" customHeight="1">
      <c r="A62" s="342"/>
      <c r="B62" s="342"/>
      <c r="C62" s="264"/>
      <c r="D62" s="342"/>
      <c r="E62" s="342"/>
      <c r="F62" s="336" t="s">
        <v>516</v>
      </c>
      <c r="G62" s="336" t="s">
        <v>582</v>
      </c>
      <c r="H62" s="340" t="s">
        <v>583</v>
      </c>
      <c r="I62" s="341">
        <v>45406</v>
      </c>
      <c r="J62" s="339">
        <v>10000</v>
      </c>
      <c r="K62" s="342"/>
      <c r="L62" s="34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spans="1:29" ht="15.75" customHeight="1">
      <c r="A63" s="342"/>
      <c r="B63" s="336" t="s">
        <v>584</v>
      </c>
      <c r="C63" s="338" t="s">
        <v>585</v>
      </c>
      <c r="D63" s="339">
        <v>145000</v>
      </c>
      <c r="E63" s="336" t="s">
        <v>586</v>
      </c>
      <c r="F63" s="336" t="s">
        <v>375</v>
      </c>
      <c r="G63" s="336" t="s">
        <v>587</v>
      </c>
      <c r="H63" s="340" t="s">
        <v>588</v>
      </c>
      <c r="I63" s="341">
        <v>45400</v>
      </c>
      <c r="J63" s="339">
        <v>122000</v>
      </c>
      <c r="K63" s="342"/>
      <c r="L63" s="34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spans="1:29" ht="15.75" customHeight="1">
      <c r="A64" s="342"/>
      <c r="B64" s="342"/>
      <c r="C64" s="264"/>
      <c r="D64" s="342"/>
      <c r="E64" s="342"/>
      <c r="F64" s="336" t="s">
        <v>516</v>
      </c>
      <c r="G64" s="336" t="s">
        <v>589</v>
      </c>
      <c r="H64" s="340" t="s">
        <v>590</v>
      </c>
      <c r="I64" s="341">
        <v>45407</v>
      </c>
      <c r="J64" s="339">
        <v>10000</v>
      </c>
      <c r="K64" s="342"/>
      <c r="L64" s="34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spans="1:29" ht="15.75" customHeight="1">
      <c r="A65" s="342"/>
      <c r="B65" s="336" t="s">
        <v>591</v>
      </c>
      <c r="C65" s="338" t="s">
        <v>592</v>
      </c>
      <c r="D65" s="339">
        <v>145000</v>
      </c>
      <c r="E65" s="336" t="s">
        <v>593</v>
      </c>
      <c r="F65" s="336" t="s">
        <v>375</v>
      </c>
      <c r="G65" s="336" t="s">
        <v>594</v>
      </c>
      <c r="H65" s="340" t="s">
        <v>595</v>
      </c>
      <c r="I65" s="341">
        <v>45394</v>
      </c>
      <c r="J65" s="339">
        <v>122000</v>
      </c>
      <c r="K65" s="342"/>
      <c r="L65" s="34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spans="1:29" ht="15.75" customHeight="1">
      <c r="A66" s="342"/>
      <c r="B66" s="342"/>
      <c r="C66" s="264"/>
      <c r="D66" s="342"/>
      <c r="E66" s="342"/>
      <c r="F66" s="336" t="s">
        <v>516</v>
      </c>
      <c r="G66" s="336" t="s">
        <v>596</v>
      </c>
      <c r="H66" s="340" t="s">
        <v>597</v>
      </c>
      <c r="I66" s="341">
        <v>45404</v>
      </c>
      <c r="J66" s="339">
        <v>10000</v>
      </c>
      <c r="K66" s="342"/>
      <c r="L66" s="34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spans="1:29" ht="15.75" customHeight="1">
      <c r="A67" s="2"/>
      <c r="B67" s="346" t="s">
        <v>598</v>
      </c>
      <c r="C67" s="347">
        <f>COUNTA(C58:C66)</f>
        <v>5</v>
      </c>
      <c r="D67" s="348"/>
      <c r="E67" s="70"/>
      <c r="F67" s="70"/>
      <c r="G67" s="70"/>
      <c r="H67" s="349">
        <f>COUNTA(H58:H66)</f>
        <v>9</v>
      </c>
      <c r="I67" s="350"/>
      <c r="J67" s="348"/>
      <c r="K67" s="70"/>
      <c r="L67" s="70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spans="1:29" ht="15.75" customHeight="1">
      <c r="A68" s="342"/>
      <c r="B68" s="336" t="s">
        <v>599</v>
      </c>
      <c r="C68" s="338" t="s">
        <v>600</v>
      </c>
      <c r="D68" s="339">
        <v>145000</v>
      </c>
      <c r="E68" s="336" t="s">
        <v>601</v>
      </c>
      <c r="F68" s="336" t="s">
        <v>375</v>
      </c>
      <c r="G68" s="336" t="s">
        <v>602</v>
      </c>
      <c r="H68" s="340" t="s">
        <v>603</v>
      </c>
      <c r="I68" s="341">
        <v>45420</v>
      </c>
      <c r="J68" s="339">
        <v>122000</v>
      </c>
      <c r="K68" s="342"/>
      <c r="L68" s="34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spans="1:29" ht="13">
      <c r="A69" s="342"/>
      <c r="B69" s="342"/>
      <c r="C69" s="264"/>
      <c r="D69" s="342"/>
      <c r="E69" s="342"/>
      <c r="F69" s="336" t="s">
        <v>516</v>
      </c>
      <c r="G69" s="336" t="s">
        <v>604</v>
      </c>
      <c r="H69" s="351" t="s">
        <v>605</v>
      </c>
      <c r="I69" s="352">
        <v>45425</v>
      </c>
      <c r="J69" s="353">
        <v>10000</v>
      </c>
      <c r="K69" s="342"/>
      <c r="L69" s="34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spans="1:29" ht="13">
      <c r="A70" s="342"/>
      <c r="B70" s="336" t="s">
        <v>606</v>
      </c>
      <c r="C70" s="338" t="s">
        <v>607</v>
      </c>
      <c r="D70" s="339">
        <v>145000</v>
      </c>
      <c r="E70" s="336" t="s">
        <v>608</v>
      </c>
      <c r="F70" s="336" t="s">
        <v>375</v>
      </c>
      <c r="G70" s="336" t="s">
        <v>609</v>
      </c>
      <c r="H70" s="340" t="s">
        <v>610</v>
      </c>
      <c r="I70" s="341">
        <v>45422</v>
      </c>
      <c r="J70" s="339">
        <v>122000</v>
      </c>
      <c r="K70" s="342"/>
      <c r="L70" s="34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spans="1:29" ht="13">
      <c r="A71" s="342"/>
      <c r="B71" s="342"/>
      <c r="C71" s="264"/>
      <c r="D71" s="342"/>
      <c r="E71" s="342"/>
      <c r="F71" s="336" t="s">
        <v>516</v>
      </c>
      <c r="G71" s="336" t="s">
        <v>611</v>
      </c>
      <c r="H71" s="340" t="s">
        <v>612</v>
      </c>
      <c r="I71" s="341">
        <v>45426</v>
      </c>
      <c r="J71" s="339">
        <v>10000</v>
      </c>
      <c r="K71" s="342"/>
      <c r="L71" s="34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spans="1:29" ht="13">
      <c r="A72" s="2"/>
      <c r="B72" s="346" t="s">
        <v>613</v>
      </c>
      <c r="C72" s="347">
        <f>COUNTA(C68:C71)</f>
        <v>2</v>
      </c>
      <c r="D72" s="348"/>
      <c r="E72" s="70"/>
      <c r="F72" s="70"/>
      <c r="G72" s="70"/>
      <c r="H72" s="349">
        <f>COUNTA(H68:H71)</f>
        <v>4</v>
      </c>
      <c r="I72" s="350"/>
      <c r="J72" s="348"/>
      <c r="K72" s="70"/>
      <c r="L72" s="70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spans="1:29" ht="13">
      <c r="A73" s="336" t="s">
        <v>614</v>
      </c>
      <c r="B73" s="336" t="s">
        <v>615</v>
      </c>
      <c r="C73" s="338" t="s">
        <v>616</v>
      </c>
      <c r="D73" s="339">
        <v>580000</v>
      </c>
      <c r="E73" s="336" t="s">
        <v>617</v>
      </c>
      <c r="F73" s="336" t="s">
        <v>375</v>
      </c>
      <c r="G73" s="336" t="s">
        <v>618</v>
      </c>
      <c r="H73" s="340" t="s">
        <v>619</v>
      </c>
      <c r="I73" s="341">
        <v>45447</v>
      </c>
      <c r="J73" s="339">
        <v>488000</v>
      </c>
      <c r="K73" s="342"/>
      <c r="L73" s="34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spans="1:29" ht="13">
      <c r="A74" s="342"/>
      <c r="B74" s="342"/>
      <c r="C74" s="264"/>
      <c r="D74" s="342"/>
      <c r="E74" s="342"/>
      <c r="F74" s="336" t="s">
        <v>516</v>
      </c>
      <c r="G74" s="336" t="s">
        <v>620</v>
      </c>
      <c r="H74" s="340" t="s">
        <v>621</v>
      </c>
      <c r="I74" s="341">
        <v>45447</v>
      </c>
      <c r="J74" s="339">
        <v>40000</v>
      </c>
      <c r="K74" s="342"/>
      <c r="L74" s="34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spans="1:29" ht="13">
      <c r="A75" s="2"/>
      <c r="B75" s="354" t="s">
        <v>622</v>
      </c>
      <c r="C75" s="347">
        <f>COUNTA(C73:C74)</f>
        <v>1</v>
      </c>
      <c r="D75" s="241"/>
      <c r="E75" s="2"/>
      <c r="F75" s="2"/>
      <c r="G75" s="2"/>
      <c r="H75" s="355">
        <f>COUNTA(H73:H74)</f>
        <v>2</v>
      </c>
      <c r="I75" s="356"/>
      <c r="J75" s="241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spans="1:29" ht="13">
      <c r="A76" s="342"/>
      <c r="B76" s="336" t="s">
        <v>623</v>
      </c>
      <c r="C76" s="338" t="s">
        <v>624</v>
      </c>
      <c r="D76" s="339">
        <v>735000</v>
      </c>
      <c r="E76" s="336" t="s">
        <v>625</v>
      </c>
      <c r="F76" s="336" t="s">
        <v>562</v>
      </c>
      <c r="G76" s="336" t="s">
        <v>626</v>
      </c>
      <c r="H76" s="340" t="s">
        <v>627</v>
      </c>
      <c r="I76" s="341">
        <v>45477</v>
      </c>
      <c r="J76" s="339">
        <v>477273</v>
      </c>
      <c r="K76" s="342"/>
      <c r="L76" s="34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spans="1:29" ht="13">
      <c r="A77" s="336" t="s">
        <v>628</v>
      </c>
      <c r="B77" s="336" t="s">
        <v>511</v>
      </c>
      <c r="C77" s="338" t="s">
        <v>629</v>
      </c>
      <c r="D77" s="339">
        <v>145000</v>
      </c>
      <c r="E77" s="336" t="s">
        <v>630</v>
      </c>
      <c r="F77" s="336" t="s">
        <v>375</v>
      </c>
      <c r="G77" s="336" t="s">
        <v>631</v>
      </c>
      <c r="H77" s="340" t="s">
        <v>632</v>
      </c>
      <c r="I77" s="341">
        <v>45492</v>
      </c>
      <c r="J77" s="339">
        <v>122000</v>
      </c>
      <c r="K77" s="342"/>
      <c r="L77" s="34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spans="1:29" ht="13">
      <c r="A78" s="342"/>
      <c r="B78" s="342"/>
      <c r="C78" s="264"/>
      <c r="D78" s="344"/>
      <c r="E78" s="342"/>
      <c r="F78" s="336" t="s">
        <v>516</v>
      </c>
      <c r="G78" s="336" t="s">
        <v>633</v>
      </c>
      <c r="H78" s="340" t="s">
        <v>634</v>
      </c>
      <c r="I78" s="341">
        <v>45495</v>
      </c>
      <c r="J78" s="339">
        <v>10000</v>
      </c>
      <c r="K78" s="342"/>
      <c r="L78" s="34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spans="1:29" ht="13">
      <c r="A79" s="342"/>
      <c r="B79" s="336" t="s">
        <v>635</v>
      </c>
      <c r="C79" s="338" t="s">
        <v>636</v>
      </c>
      <c r="D79" s="339">
        <v>186000000</v>
      </c>
      <c r="E79" s="342"/>
      <c r="F79" s="336" t="s">
        <v>637</v>
      </c>
      <c r="G79" s="336" t="s">
        <v>638</v>
      </c>
      <c r="H79" s="340" t="s">
        <v>639</v>
      </c>
      <c r="I79" s="341">
        <v>45504</v>
      </c>
      <c r="J79" s="339">
        <v>39648000</v>
      </c>
      <c r="K79" s="342"/>
      <c r="L79" s="34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spans="1:29" ht="13">
      <c r="A80" s="342"/>
      <c r="B80" s="342"/>
      <c r="C80" s="264"/>
      <c r="D80" s="344"/>
      <c r="E80" s="342"/>
      <c r="F80" s="336" t="s">
        <v>640</v>
      </c>
      <c r="G80" s="336" t="s">
        <v>641</v>
      </c>
      <c r="H80" s="340" t="s">
        <v>642</v>
      </c>
      <c r="I80" s="341">
        <v>45504</v>
      </c>
      <c r="J80" s="339">
        <v>105900000</v>
      </c>
      <c r="K80" s="342"/>
      <c r="L80" s="34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spans="1:29" ht="13">
      <c r="A81" s="336" t="s">
        <v>643</v>
      </c>
      <c r="B81" s="336" t="s">
        <v>644</v>
      </c>
      <c r="C81" s="338" t="s">
        <v>645</v>
      </c>
      <c r="D81" s="339">
        <v>145000</v>
      </c>
      <c r="E81" s="336" t="s">
        <v>646</v>
      </c>
      <c r="F81" s="336" t="s">
        <v>375</v>
      </c>
      <c r="G81" s="336" t="s">
        <v>647</v>
      </c>
      <c r="H81" s="340" t="s">
        <v>648</v>
      </c>
      <c r="I81" s="341">
        <v>45504</v>
      </c>
      <c r="J81" s="339">
        <v>122000</v>
      </c>
      <c r="K81" s="342"/>
      <c r="L81" s="34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spans="1:29" ht="13">
      <c r="A82" s="342"/>
      <c r="B82" s="342"/>
      <c r="C82" s="264"/>
      <c r="D82" s="344"/>
      <c r="E82" s="342"/>
      <c r="F82" s="336" t="s">
        <v>516</v>
      </c>
      <c r="G82" s="336" t="s">
        <v>649</v>
      </c>
      <c r="H82" s="340" t="s">
        <v>650</v>
      </c>
      <c r="I82" s="341">
        <v>45504</v>
      </c>
      <c r="J82" s="339">
        <v>10000</v>
      </c>
      <c r="K82" s="342"/>
      <c r="L82" s="34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spans="1:29" ht="13">
      <c r="A83" s="336" t="s">
        <v>651</v>
      </c>
      <c r="B83" s="336" t="s">
        <v>584</v>
      </c>
      <c r="C83" s="338" t="s">
        <v>652</v>
      </c>
      <c r="D83" s="339">
        <v>145000</v>
      </c>
      <c r="E83" s="336" t="s">
        <v>653</v>
      </c>
      <c r="F83" s="336" t="s">
        <v>375</v>
      </c>
      <c r="G83" s="336" t="s">
        <v>654</v>
      </c>
      <c r="H83" s="340" t="s">
        <v>655</v>
      </c>
      <c r="I83" s="341">
        <v>45504</v>
      </c>
      <c r="J83" s="339">
        <v>122000</v>
      </c>
      <c r="K83" s="342"/>
      <c r="L83" s="34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spans="1:29" ht="13">
      <c r="A84" s="342"/>
      <c r="B84" s="342"/>
      <c r="C84" s="264"/>
      <c r="D84" s="344"/>
      <c r="E84" s="342"/>
      <c r="F84" s="336" t="s">
        <v>516</v>
      </c>
      <c r="G84" s="336" t="s">
        <v>656</v>
      </c>
      <c r="H84" s="340" t="s">
        <v>657</v>
      </c>
      <c r="I84" s="341">
        <v>45504</v>
      </c>
      <c r="J84" s="339">
        <v>10000</v>
      </c>
      <c r="K84" s="342"/>
      <c r="L84" s="34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spans="1:29" ht="13">
      <c r="A85" s="2"/>
      <c r="B85" s="354" t="s">
        <v>658</v>
      </c>
      <c r="C85" s="347">
        <f>COUNTA(C76:C84)</f>
        <v>5</v>
      </c>
      <c r="D85" s="241"/>
      <c r="E85" s="2"/>
      <c r="F85" s="2"/>
      <c r="G85" s="2"/>
      <c r="H85" s="355">
        <f>COUNTA(H76:H84)</f>
        <v>9</v>
      </c>
      <c r="I85" s="356"/>
      <c r="J85" s="241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spans="1:29" ht="13">
      <c r="A86" s="336"/>
      <c r="B86" s="336" t="s">
        <v>659</v>
      </c>
      <c r="C86" s="338" t="s">
        <v>660</v>
      </c>
      <c r="D86" s="357">
        <v>144000000</v>
      </c>
      <c r="E86" s="336" t="s">
        <v>661</v>
      </c>
      <c r="F86" s="100"/>
      <c r="G86" s="100"/>
      <c r="H86" s="358"/>
      <c r="I86" s="100"/>
      <c r="J86" s="359"/>
      <c r="K86" s="100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  <c r="Z86" s="100"/>
      <c r="AA86" s="100"/>
      <c r="AB86" s="100"/>
      <c r="AC86" s="100"/>
    </row>
    <row r="87" spans="1:29" ht="13">
      <c r="A87" s="360"/>
      <c r="B87" s="361"/>
      <c r="C87" s="362"/>
      <c r="D87" s="363"/>
      <c r="E87" s="363"/>
      <c r="F87" s="363"/>
      <c r="G87" s="363"/>
      <c r="H87" s="364"/>
      <c r="I87" s="363"/>
      <c r="J87" s="365"/>
      <c r="K87" s="363"/>
      <c r="L87" s="363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spans="1:29" ht="13">
      <c r="A88" s="360" t="s">
        <v>2</v>
      </c>
      <c r="B88" s="361" t="s">
        <v>662</v>
      </c>
      <c r="C88" s="362">
        <f>SUM(C42,C49,C57,C67,C72,C75,C85)</f>
        <v>42</v>
      </c>
      <c r="D88" s="363"/>
      <c r="E88" s="363"/>
      <c r="F88" s="363"/>
      <c r="G88" s="363"/>
      <c r="H88" s="364">
        <f>SUM(H42,H49,H57,H67,H72,H75,H85)</f>
        <v>73</v>
      </c>
      <c r="I88" s="363"/>
      <c r="J88" s="365"/>
      <c r="K88" s="363"/>
      <c r="L88" s="363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spans="1:29" ht="13">
      <c r="A89" s="2"/>
      <c r="B89" s="2"/>
      <c r="C89" s="3"/>
      <c r="D89" s="2"/>
      <c r="E89" s="2"/>
      <c r="F89" s="2"/>
      <c r="G89" s="2"/>
      <c r="H89" s="2"/>
      <c r="I89" s="2"/>
      <c r="J89" s="241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spans="1:29" ht="13">
      <c r="A90" s="83"/>
      <c r="B90" s="83" t="s">
        <v>663</v>
      </c>
      <c r="C90" s="83" t="s">
        <v>664</v>
      </c>
      <c r="D90" s="366">
        <v>201013280</v>
      </c>
      <c r="E90" s="83" t="s">
        <v>665</v>
      </c>
      <c r="F90" s="83"/>
      <c r="G90" s="83"/>
      <c r="H90" s="367"/>
      <c r="I90" s="83"/>
      <c r="J90" s="366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  <c r="W90" s="83"/>
      <c r="X90" s="83"/>
      <c r="Y90" s="83"/>
      <c r="Z90" s="83"/>
      <c r="AA90" s="83"/>
      <c r="AB90" s="83"/>
      <c r="AC90" s="83"/>
    </row>
    <row r="91" spans="1:29" ht="13">
      <c r="A91" s="2"/>
      <c r="B91" s="2"/>
      <c r="C91" s="3"/>
      <c r="D91" s="2"/>
      <c r="E91" s="2"/>
      <c r="F91" s="2"/>
      <c r="G91" s="2"/>
      <c r="H91" s="2"/>
      <c r="I91" s="2"/>
      <c r="J91" s="241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spans="1:29" ht="13">
      <c r="A92" s="2"/>
      <c r="B92" s="2"/>
      <c r="C92" s="3"/>
      <c r="D92" s="2"/>
      <c r="E92" s="2"/>
      <c r="F92" s="2"/>
      <c r="G92" s="2"/>
      <c r="H92" s="2"/>
      <c r="I92" s="2"/>
      <c r="J92" s="241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spans="1:29" ht="13">
      <c r="A93" s="2"/>
      <c r="B93" s="2"/>
      <c r="C93" s="3"/>
      <c r="D93" s="2"/>
      <c r="E93" s="2"/>
      <c r="F93" s="2"/>
      <c r="G93" s="2"/>
      <c r="H93" s="2"/>
      <c r="I93" s="2"/>
      <c r="J93" s="241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spans="1:29" ht="13">
      <c r="A94" s="2"/>
      <c r="B94" s="2"/>
      <c r="C94" s="3"/>
      <c r="D94" s="2"/>
      <c r="E94" s="2"/>
      <c r="F94" s="2"/>
      <c r="G94" s="2"/>
      <c r="H94" s="2"/>
      <c r="I94" s="2"/>
      <c r="J94" s="241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spans="1:29" ht="13">
      <c r="A95" s="2"/>
      <c r="B95" s="2"/>
      <c r="C95" s="3"/>
      <c r="D95" s="2"/>
      <c r="E95" s="2"/>
      <c r="F95" s="2"/>
      <c r="G95" s="2"/>
      <c r="H95" s="2"/>
      <c r="I95" s="2"/>
      <c r="J95" s="241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spans="1:29" ht="13">
      <c r="A96" s="2"/>
      <c r="B96" s="2"/>
      <c r="C96" s="3"/>
      <c r="D96" s="2"/>
      <c r="E96" s="2"/>
      <c r="F96" s="2"/>
      <c r="G96" s="2"/>
      <c r="H96" s="2"/>
      <c r="I96" s="2"/>
      <c r="J96" s="241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spans="1:29" ht="13">
      <c r="A97" s="2"/>
      <c r="B97" s="2"/>
      <c r="C97" s="3"/>
      <c r="D97" s="2"/>
      <c r="E97" s="2"/>
      <c r="F97" s="2"/>
      <c r="G97" s="2"/>
      <c r="H97" s="2"/>
      <c r="I97" s="2"/>
      <c r="J97" s="241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spans="1:29" ht="13">
      <c r="A98" s="2"/>
      <c r="B98" s="2"/>
      <c r="C98" s="3"/>
      <c r="D98" s="2"/>
      <c r="E98" s="2"/>
      <c r="F98" s="2"/>
      <c r="G98" s="2"/>
      <c r="H98" s="2"/>
      <c r="I98" s="2"/>
      <c r="J98" s="241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spans="1:29" ht="13">
      <c r="A99" s="2"/>
      <c r="B99" s="2"/>
      <c r="C99" s="3"/>
      <c r="D99" s="2"/>
      <c r="E99" s="2"/>
      <c r="F99" s="2"/>
      <c r="G99" s="2"/>
      <c r="H99" s="2"/>
      <c r="I99" s="2"/>
      <c r="J99" s="241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spans="1:29" ht="13">
      <c r="A100" s="2"/>
      <c r="B100" s="2"/>
      <c r="C100" s="3"/>
      <c r="D100" s="2"/>
      <c r="E100" s="2"/>
      <c r="F100" s="2"/>
      <c r="G100" s="2"/>
      <c r="H100" s="2"/>
      <c r="I100" s="2"/>
      <c r="J100" s="241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spans="1:29" ht="13">
      <c r="A101" s="2"/>
      <c r="B101" s="2"/>
      <c r="C101" s="3"/>
      <c r="D101" s="2"/>
      <c r="E101" s="2"/>
      <c r="F101" s="2"/>
      <c r="G101" s="2"/>
      <c r="H101" s="2"/>
      <c r="I101" s="2"/>
      <c r="J101" s="241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spans="1:29" ht="13">
      <c r="A102" s="2"/>
      <c r="B102" s="2"/>
      <c r="C102" s="3"/>
      <c r="D102" s="2"/>
      <c r="E102" s="2"/>
      <c r="F102" s="2"/>
      <c r="G102" s="2"/>
      <c r="H102" s="2"/>
      <c r="I102" s="2"/>
      <c r="J102" s="241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spans="1:29" ht="13">
      <c r="A103" s="2"/>
      <c r="B103" s="2"/>
      <c r="C103" s="3"/>
      <c r="D103" s="2"/>
      <c r="E103" s="2"/>
      <c r="F103" s="2"/>
      <c r="G103" s="2"/>
      <c r="H103" s="2"/>
      <c r="I103" s="2"/>
      <c r="J103" s="241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spans="1:29" ht="13">
      <c r="A104" s="2"/>
      <c r="B104" s="2"/>
      <c r="C104" s="3"/>
      <c r="D104" s="2"/>
      <c r="E104" s="2"/>
      <c r="F104" s="2"/>
      <c r="G104" s="2"/>
      <c r="H104" s="2"/>
      <c r="I104" s="2"/>
      <c r="J104" s="241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spans="1:29" ht="13">
      <c r="A105" s="2"/>
      <c r="B105" s="2"/>
      <c r="C105" s="3"/>
      <c r="D105" s="2"/>
      <c r="E105" s="2"/>
      <c r="F105" s="2"/>
      <c r="G105" s="2"/>
      <c r="H105" s="2"/>
      <c r="I105" s="2"/>
      <c r="J105" s="241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spans="1:29" ht="13">
      <c r="A106" s="2"/>
      <c r="B106" s="2"/>
      <c r="C106" s="3"/>
      <c r="D106" s="2"/>
      <c r="E106" s="2"/>
      <c r="F106" s="2"/>
      <c r="G106" s="2"/>
      <c r="H106" s="2"/>
      <c r="I106" s="2"/>
      <c r="J106" s="241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spans="1:29" ht="13">
      <c r="A107" s="2"/>
      <c r="B107" s="2"/>
      <c r="C107" s="3"/>
      <c r="D107" s="2"/>
      <c r="E107" s="2"/>
      <c r="F107" s="2"/>
      <c r="G107" s="2"/>
      <c r="H107" s="2"/>
      <c r="I107" s="2"/>
      <c r="J107" s="241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spans="1:29" ht="13">
      <c r="A108" s="2"/>
      <c r="B108" s="2"/>
      <c r="C108" s="3"/>
      <c r="D108" s="2"/>
      <c r="E108" s="2"/>
      <c r="F108" s="2"/>
      <c r="G108" s="2"/>
      <c r="H108" s="2"/>
      <c r="I108" s="2"/>
      <c r="J108" s="241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spans="1:29" ht="13">
      <c r="A109" s="2"/>
      <c r="B109" s="2"/>
      <c r="C109" s="3"/>
      <c r="D109" s="2"/>
      <c r="E109" s="2"/>
      <c r="F109" s="2"/>
      <c r="G109" s="2"/>
      <c r="H109" s="2"/>
      <c r="I109" s="2"/>
      <c r="J109" s="241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spans="1:29" ht="13">
      <c r="A110" s="2"/>
      <c r="B110" s="2"/>
      <c r="C110" s="3"/>
      <c r="D110" s="2"/>
      <c r="E110" s="2"/>
      <c r="F110" s="2"/>
      <c r="G110" s="2"/>
      <c r="H110" s="2"/>
      <c r="I110" s="2"/>
      <c r="J110" s="241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spans="1:29" ht="13">
      <c r="A111" s="2"/>
      <c r="B111" s="2"/>
      <c r="C111" s="3"/>
      <c r="D111" s="2"/>
      <c r="E111" s="2"/>
      <c r="F111" s="2"/>
      <c r="G111" s="2"/>
      <c r="H111" s="2"/>
      <c r="I111" s="2"/>
      <c r="J111" s="241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spans="1:29" ht="13">
      <c r="A112" s="2"/>
      <c r="B112" s="2"/>
      <c r="C112" s="3"/>
      <c r="D112" s="2"/>
      <c r="E112" s="2"/>
      <c r="F112" s="2"/>
      <c r="G112" s="2"/>
      <c r="H112" s="2"/>
      <c r="I112" s="2"/>
      <c r="J112" s="241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spans="1:29" ht="13">
      <c r="A113" s="2"/>
      <c r="B113" s="2"/>
      <c r="C113" s="3"/>
      <c r="D113" s="2"/>
      <c r="E113" s="2"/>
      <c r="F113" s="2"/>
      <c r="G113" s="2"/>
      <c r="H113" s="2"/>
      <c r="I113" s="2"/>
      <c r="J113" s="241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spans="1:29" ht="13">
      <c r="A114" s="2"/>
      <c r="B114" s="2"/>
      <c r="C114" s="3"/>
      <c r="D114" s="2"/>
      <c r="E114" s="2"/>
      <c r="F114" s="2"/>
      <c r="G114" s="2"/>
      <c r="H114" s="2"/>
      <c r="I114" s="2"/>
      <c r="J114" s="241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spans="1:29" ht="13">
      <c r="A115" s="2"/>
      <c r="B115" s="2"/>
      <c r="C115" s="3"/>
      <c r="D115" s="2"/>
      <c r="E115" s="2"/>
      <c r="F115" s="2"/>
      <c r="G115" s="2"/>
      <c r="H115" s="2"/>
      <c r="I115" s="2"/>
      <c r="J115" s="241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spans="1:29" ht="13">
      <c r="A116" s="2"/>
      <c r="B116" s="2"/>
      <c r="C116" s="3"/>
      <c r="D116" s="2"/>
      <c r="E116" s="2"/>
      <c r="F116" s="2"/>
      <c r="G116" s="2"/>
      <c r="H116" s="2"/>
      <c r="I116" s="2"/>
      <c r="J116" s="241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spans="1:29" ht="13">
      <c r="A117" s="2"/>
      <c r="B117" s="2"/>
      <c r="C117" s="3"/>
      <c r="D117" s="2"/>
      <c r="E117" s="2"/>
      <c r="F117" s="2"/>
      <c r="G117" s="2"/>
      <c r="H117" s="2"/>
      <c r="I117" s="2"/>
      <c r="J117" s="241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spans="1:29" ht="13">
      <c r="A118" s="2"/>
      <c r="B118" s="2"/>
      <c r="C118" s="3"/>
      <c r="D118" s="2"/>
      <c r="E118" s="2"/>
      <c r="F118" s="2"/>
      <c r="G118" s="2"/>
      <c r="H118" s="2"/>
      <c r="I118" s="2"/>
      <c r="J118" s="241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spans="1:29" ht="13">
      <c r="A119" s="2"/>
      <c r="B119" s="2"/>
      <c r="C119" s="3"/>
      <c r="D119" s="2"/>
      <c r="E119" s="2"/>
      <c r="F119" s="2"/>
      <c r="G119" s="2"/>
      <c r="H119" s="2"/>
      <c r="I119" s="2"/>
      <c r="J119" s="241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spans="1:29" ht="13">
      <c r="A120" s="2"/>
      <c r="B120" s="2"/>
      <c r="C120" s="3"/>
      <c r="D120" s="2"/>
      <c r="E120" s="2"/>
      <c r="F120" s="2"/>
      <c r="G120" s="2"/>
      <c r="H120" s="2"/>
      <c r="I120" s="2"/>
      <c r="J120" s="241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spans="1:29" ht="13">
      <c r="A121" s="2"/>
      <c r="B121" s="2"/>
      <c r="C121" s="3"/>
      <c r="D121" s="2"/>
      <c r="E121" s="2"/>
      <c r="F121" s="2"/>
      <c r="G121" s="2"/>
      <c r="H121" s="2"/>
      <c r="I121" s="2"/>
      <c r="J121" s="241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spans="1:29" ht="13">
      <c r="A122" s="2"/>
      <c r="B122" s="2"/>
      <c r="C122" s="3"/>
      <c r="D122" s="2"/>
      <c r="E122" s="2"/>
      <c r="F122" s="2"/>
      <c r="G122" s="2"/>
      <c r="H122" s="2"/>
      <c r="I122" s="2"/>
      <c r="J122" s="241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spans="1:29" ht="13">
      <c r="A123" s="2"/>
      <c r="B123" s="2"/>
      <c r="C123" s="3"/>
      <c r="D123" s="2"/>
      <c r="E123" s="2"/>
      <c r="F123" s="2"/>
      <c r="G123" s="2"/>
      <c r="H123" s="2"/>
      <c r="I123" s="2"/>
      <c r="J123" s="241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spans="1:29" ht="13">
      <c r="A124" s="2"/>
      <c r="B124" s="2"/>
      <c r="C124" s="3"/>
      <c r="D124" s="2"/>
      <c r="E124" s="2"/>
      <c r="F124" s="2"/>
      <c r="G124" s="2"/>
      <c r="H124" s="2"/>
      <c r="I124" s="2"/>
      <c r="J124" s="241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spans="1:29" ht="13">
      <c r="A125" s="2"/>
      <c r="B125" s="2"/>
      <c r="C125" s="3"/>
      <c r="D125" s="2"/>
      <c r="E125" s="2"/>
      <c r="F125" s="2"/>
      <c r="G125" s="2"/>
      <c r="H125" s="2"/>
      <c r="I125" s="2"/>
      <c r="J125" s="241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spans="1:29" ht="13">
      <c r="A126" s="2"/>
      <c r="B126" s="2"/>
      <c r="C126" s="3"/>
      <c r="D126" s="2"/>
      <c r="E126" s="2"/>
      <c r="F126" s="2"/>
      <c r="G126" s="2"/>
      <c r="H126" s="2"/>
      <c r="I126" s="2"/>
      <c r="J126" s="241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spans="1:29" ht="13">
      <c r="A127" s="2"/>
      <c r="B127" s="2"/>
      <c r="C127" s="3"/>
      <c r="D127" s="2"/>
      <c r="E127" s="2"/>
      <c r="F127" s="2"/>
      <c r="G127" s="2"/>
      <c r="H127" s="2"/>
      <c r="I127" s="2"/>
      <c r="J127" s="241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spans="1:29" ht="13">
      <c r="A128" s="2"/>
      <c r="B128" s="2"/>
      <c r="C128" s="3"/>
      <c r="D128" s="2"/>
      <c r="E128" s="2"/>
      <c r="F128" s="2"/>
      <c r="G128" s="2"/>
      <c r="H128" s="2"/>
      <c r="I128" s="2"/>
      <c r="J128" s="241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spans="1:29" ht="13">
      <c r="A129" s="2"/>
      <c r="B129" s="2"/>
      <c r="C129" s="3"/>
      <c r="D129" s="2"/>
      <c r="E129" s="2"/>
      <c r="F129" s="2"/>
      <c r="G129" s="2"/>
      <c r="H129" s="2"/>
      <c r="I129" s="2"/>
      <c r="J129" s="241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spans="1:29" ht="13">
      <c r="A130" s="2"/>
      <c r="B130" s="2"/>
      <c r="C130" s="3"/>
      <c r="D130" s="2"/>
      <c r="E130" s="2"/>
      <c r="F130" s="2"/>
      <c r="G130" s="2"/>
      <c r="H130" s="2"/>
      <c r="I130" s="2"/>
      <c r="J130" s="241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spans="1:29" ht="13">
      <c r="A131" s="2"/>
      <c r="B131" s="2"/>
      <c r="C131" s="3"/>
      <c r="D131" s="2"/>
      <c r="E131" s="2"/>
      <c r="F131" s="2"/>
      <c r="G131" s="2"/>
      <c r="H131" s="2"/>
      <c r="I131" s="2"/>
      <c r="J131" s="241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spans="1:29" ht="13">
      <c r="A132" s="2"/>
      <c r="B132" s="2"/>
      <c r="C132" s="3"/>
      <c r="D132" s="2"/>
      <c r="E132" s="2"/>
      <c r="F132" s="2"/>
      <c r="G132" s="2"/>
      <c r="H132" s="2"/>
      <c r="I132" s="2"/>
      <c r="J132" s="241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spans="1:29" ht="13">
      <c r="A133" s="2"/>
      <c r="B133" s="2"/>
      <c r="C133" s="3"/>
      <c r="D133" s="2"/>
      <c r="E133" s="2"/>
      <c r="F133" s="2"/>
      <c r="G133" s="2"/>
      <c r="H133" s="2"/>
      <c r="I133" s="2"/>
      <c r="J133" s="241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spans="1:29" ht="13">
      <c r="A134" s="2"/>
      <c r="B134" s="2"/>
      <c r="C134" s="3"/>
      <c r="D134" s="2"/>
      <c r="E134" s="2"/>
      <c r="F134" s="2"/>
      <c r="G134" s="2"/>
      <c r="H134" s="2"/>
      <c r="I134" s="2"/>
      <c r="J134" s="241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spans="1:29" ht="13">
      <c r="A135" s="2"/>
      <c r="B135" s="2"/>
      <c r="C135" s="3"/>
      <c r="D135" s="2"/>
      <c r="E135" s="2"/>
      <c r="F135" s="2"/>
      <c r="G135" s="2"/>
      <c r="H135" s="2"/>
      <c r="I135" s="2"/>
      <c r="J135" s="241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spans="1:29" ht="13">
      <c r="A136" s="2"/>
      <c r="B136" s="2"/>
      <c r="C136" s="3"/>
      <c r="D136" s="2"/>
      <c r="E136" s="2"/>
      <c r="F136" s="2"/>
      <c r="G136" s="2"/>
      <c r="H136" s="2"/>
      <c r="I136" s="2"/>
      <c r="J136" s="241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spans="1:29" ht="13">
      <c r="A137" s="2"/>
      <c r="B137" s="2"/>
      <c r="C137" s="3"/>
      <c r="D137" s="2"/>
      <c r="E137" s="2"/>
      <c r="F137" s="2"/>
      <c r="G137" s="2"/>
      <c r="H137" s="2"/>
      <c r="I137" s="2"/>
      <c r="J137" s="241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spans="1:29" ht="13">
      <c r="A138" s="2"/>
      <c r="B138" s="2"/>
      <c r="C138" s="3"/>
      <c r="D138" s="2"/>
      <c r="E138" s="2"/>
      <c r="F138" s="2"/>
      <c r="G138" s="2"/>
      <c r="H138" s="2"/>
      <c r="I138" s="2"/>
      <c r="J138" s="241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spans="1:29" ht="13">
      <c r="A139" s="2"/>
      <c r="B139" s="2"/>
      <c r="C139" s="3"/>
      <c r="D139" s="2"/>
      <c r="E139" s="2"/>
      <c r="F139" s="2"/>
      <c r="G139" s="2"/>
      <c r="H139" s="2"/>
      <c r="I139" s="2"/>
      <c r="J139" s="241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spans="1:29" ht="13">
      <c r="A140" s="2"/>
      <c r="B140" s="2"/>
      <c r="C140" s="3"/>
      <c r="D140" s="2"/>
      <c r="E140" s="2"/>
      <c r="F140" s="2"/>
      <c r="G140" s="2"/>
      <c r="H140" s="2"/>
      <c r="I140" s="2"/>
      <c r="J140" s="241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spans="1:29" ht="13">
      <c r="A141" s="2"/>
      <c r="B141" s="2"/>
      <c r="C141" s="3"/>
      <c r="D141" s="2"/>
      <c r="E141" s="2"/>
      <c r="F141" s="2"/>
      <c r="G141" s="2"/>
      <c r="H141" s="2"/>
      <c r="I141" s="2"/>
      <c r="J141" s="241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spans="1:29" ht="13">
      <c r="A142" s="2"/>
      <c r="B142" s="2"/>
      <c r="C142" s="3"/>
      <c r="D142" s="2"/>
      <c r="E142" s="2"/>
      <c r="F142" s="2"/>
      <c r="G142" s="2"/>
      <c r="H142" s="2"/>
      <c r="I142" s="2"/>
      <c r="J142" s="241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spans="1:29" ht="13">
      <c r="A143" s="2"/>
      <c r="B143" s="2"/>
      <c r="C143" s="3"/>
      <c r="D143" s="2"/>
      <c r="E143" s="2"/>
      <c r="F143" s="2"/>
      <c r="G143" s="2"/>
      <c r="H143" s="2"/>
      <c r="I143" s="2"/>
      <c r="J143" s="241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spans="1:29" ht="13">
      <c r="A144" s="2"/>
      <c r="B144" s="2"/>
      <c r="C144" s="3"/>
      <c r="D144" s="2"/>
      <c r="E144" s="2"/>
      <c r="F144" s="2"/>
      <c r="G144" s="2"/>
      <c r="H144" s="2"/>
      <c r="I144" s="2"/>
      <c r="J144" s="241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spans="1:29" ht="13">
      <c r="A145" s="2"/>
      <c r="B145" s="2"/>
      <c r="C145" s="3"/>
      <c r="D145" s="2"/>
      <c r="E145" s="2"/>
      <c r="F145" s="2"/>
      <c r="G145" s="2"/>
      <c r="H145" s="2"/>
      <c r="I145" s="2"/>
      <c r="J145" s="241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spans="1:29" ht="13">
      <c r="A146" s="2"/>
      <c r="B146" s="2"/>
      <c r="C146" s="3"/>
      <c r="D146" s="2"/>
      <c r="E146" s="2"/>
      <c r="F146" s="2"/>
      <c r="G146" s="2"/>
      <c r="H146" s="2"/>
      <c r="I146" s="2"/>
      <c r="J146" s="241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spans="1:29" ht="13">
      <c r="A147" s="2"/>
      <c r="B147" s="2"/>
      <c r="C147" s="3"/>
      <c r="D147" s="2"/>
      <c r="E147" s="2"/>
      <c r="F147" s="2"/>
      <c r="G147" s="2"/>
      <c r="H147" s="2"/>
      <c r="I147" s="2"/>
      <c r="J147" s="241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spans="1:29" ht="13">
      <c r="A148" s="2"/>
      <c r="B148" s="2"/>
      <c r="C148" s="3"/>
      <c r="D148" s="2"/>
      <c r="E148" s="2"/>
      <c r="F148" s="2"/>
      <c r="G148" s="2"/>
      <c r="H148" s="2"/>
      <c r="I148" s="2"/>
      <c r="J148" s="241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spans="1:29" ht="13">
      <c r="A149" s="2"/>
      <c r="B149" s="2"/>
      <c r="C149" s="3"/>
      <c r="D149" s="2"/>
      <c r="E149" s="2"/>
      <c r="F149" s="2"/>
      <c r="G149" s="2"/>
      <c r="H149" s="2"/>
      <c r="I149" s="2"/>
      <c r="J149" s="241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spans="1:29" ht="13">
      <c r="A150" s="2"/>
      <c r="B150" s="2"/>
      <c r="C150" s="3"/>
      <c r="D150" s="2"/>
      <c r="E150" s="2"/>
      <c r="F150" s="2"/>
      <c r="G150" s="2"/>
      <c r="H150" s="2"/>
      <c r="I150" s="2"/>
      <c r="J150" s="241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spans="1:29" ht="13">
      <c r="A151" s="2"/>
      <c r="B151" s="2"/>
      <c r="C151" s="3"/>
      <c r="D151" s="2"/>
      <c r="E151" s="2"/>
      <c r="F151" s="2"/>
      <c r="G151" s="2"/>
      <c r="H151" s="2"/>
      <c r="I151" s="2"/>
      <c r="J151" s="241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spans="1:29" ht="13">
      <c r="A152" s="2"/>
      <c r="B152" s="2"/>
      <c r="C152" s="3"/>
      <c r="D152" s="2"/>
      <c r="E152" s="2"/>
      <c r="F152" s="2"/>
      <c r="G152" s="2"/>
      <c r="H152" s="2"/>
      <c r="I152" s="2"/>
      <c r="J152" s="241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spans="1:29" ht="13">
      <c r="A153" s="2"/>
      <c r="B153" s="2"/>
      <c r="C153" s="3"/>
      <c r="D153" s="2"/>
      <c r="E153" s="2"/>
      <c r="F153" s="2"/>
      <c r="G153" s="2"/>
      <c r="H153" s="2"/>
      <c r="I153" s="2"/>
      <c r="J153" s="241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spans="1:29" ht="13">
      <c r="A154" s="2"/>
      <c r="B154" s="2"/>
      <c r="C154" s="3"/>
      <c r="D154" s="2"/>
      <c r="E154" s="2"/>
      <c r="F154" s="2"/>
      <c r="G154" s="2"/>
      <c r="H154" s="2"/>
      <c r="I154" s="2"/>
      <c r="J154" s="241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spans="1:29" ht="13">
      <c r="A155" s="2"/>
      <c r="B155" s="2"/>
      <c r="C155" s="3"/>
      <c r="D155" s="2"/>
      <c r="E155" s="2"/>
      <c r="F155" s="2"/>
      <c r="G155" s="2"/>
      <c r="H155" s="2"/>
      <c r="I155" s="2"/>
      <c r="J155" s="241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spans="1:29" ht="13">
      <c r="A156" s="2"/>
      <c r="B156" s="2"/>
      <c r="C156" s="3"/>
      <c r="D156" s="2"/>
      <c r="E156" s="2"/>
      <c r="F156" s="2"/>
      <c r="G156" s="2"/>
      <c r="H156" s="2"/>
      <c r="I156" s="2"/>
      <c r="J156" s="241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spans="1:29" ht="13">
      <c r="A157" s="2"/>
      <c r="B157" s="2"/>
      <c r="C157" s="3"/>
      <c r="D157" s="2"/>
      <c r="E157" s="2"/>
      <c r="F157" s="2"/>
      <c r="G157" s="2"/>
      <c r="H157" s="2"/>
      <c r="I157" s="2"/>
      <c r="J157" s="241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spans="1:29" ht="13">
      <c r="A158" s="2"/>
      <c r="B158" s="2"/>
      <c r="C158" s="3"/>
      <c r="D158" s="2"/>
      <c r="E158" s="2"/>
      <c r="F158" s="2"/>
      <c r="G158" s="2"/>
      <c r="H158" s="2"/>
      <c r="I158" s="2"/>
      <c r="J158" s="241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spans="1:29" ht="13">
      <c r="A159" s="2"/>
      <c r="B159" s="2"/>
      <c r="C159" s="3"/>
      <c r="D159" s="2"/>
      <c r="E159" s="2"/>
      <c r="F159" s="2"/>
      <c r="G159" s="2"/>
      <c r="H159" s="2"/>
      <c r="I159" s="2"/>
      <c r="J159" s="241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spans="1:29" ht="13">
      <c r="A160" s="2"/>
      <c r="B160" s="2"/>
      <c r="C160" s="3"/>
      <c r="D160" s="2"/>
      <c r="E160" s="2"/>
      <c r="F160" s="2"/>
      <c r="G160" s="2"/>
      <c r="H160" s="2"/>
      <c r="I160" s="2"/>
      <c r="J160" s="241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spans="1:29" ht="13">
      <c r="A161" s="2"/>
      <c r="B161" s="2"/>
      <c r="C161" s="3"/>
      <c r="D161" s="2"/>
      <c r="E161" s="2"/>
      <c r="F161" s="2"/>
      <c r="G161" s="2"/>
      <c r="H161" s="2"/>
      <c r="I161" s="2"/>
      <c r="J161" s="241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spans="1:29" ht="13">
      <c r="A162" s="2"/>
      <c r="B162" s="2"/>
      <c r="C162" s="3"/>
      <c r="D162" s="2"/>
      <c r="E162" s="2"/>
      <c r="F162" s="2"/>
      <c r="G162" s="2"/>
      <c r="H162" s="2"/>
      <c r="I162" s="2"/>
      <c r="J162" s="241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spans="1:29" ht="13">
      <c r="A163" s="2"/>
      <c r="B163" s="2"/>
      <c r="C163" s="3"/>
      <c r="D163" s="2"/>
      <c r="E163" s="2"/>
      <c r="F163" s="2"/>
      <c r="G163" s="2"/>
      <c r="H163" s="2"/>
      <c r="I163" s="2"/>
      <c r="J163" s="241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spans="1:29" ht="13">
      <c r="A164" s="2"/>
      <c r="B164" s="2"/>
      <c r="C164" s="3"/>
      <c r="D164" s="2"/>
      <c r="E164" s="2"/>
      <c r="F164" s="2"/>
      <c r="G164" s="2"/>
      <c r="H164" s="2"/>
      <c r="I164" s="2"/>
      <c r="J164" s="241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spans="1:29" ht="13">
      <c r="A165" s="2"/>
      <c r="B165" s="2"/>
      <c r="C165" s="3"/>
      <c r="D165" s="2"/>
      <c r="E165" s="2"/>
      <c r="F165" s="2"/>
      <c r="G165" s="2"/>
      <c r="H165" s="2"/>
      <c r="I165" s="2"/>
      <c r="J165" s="241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spans="1:29" ht="13">
      <c r="A166" s="2"/>
      <c r="B166" s="2"/>
      <c r="C166" s="3"/>
      <c r="D166" s="2"/>
      <c r="E166" s="2"/>
      <c r="F166" s="2"/>
      <c r="G166" s="2"/>
      <c r="H166" s="2"/>
      <c r="I166" s="2"/>
      <c r="J166" s="241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spans="1:29" ht="13">
      <c r="A167" s="2"/>
      <c r="B167" s="2"/>
      <c r="C167" s="3"/>
      <c r="D167" s="2"/>
      <c r="E167" s="2"/>
      <c r="F167" s="2"/>
      <c r="G167" s="2"/>
      <c r="H167" s="2"/>
      <c r="I167" s="2"/>
      <c r="J167" s="241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spans="1:29" ht="13">
      <c r="A168" s="2"/>
      <c r="B168" s="2"/>
      <c r="C168" s="3"/>
      <c r="D168" s="2"/>
      <c r="E168" s="2"/>
      <c r="F168" s="2"/>
      <c r="G168" s="2"/>
      <c r="H168" s="2"/>
      <c r="I168" s="2"/>
      <c r="J168" s="241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spans="1:29" ht="13">
      <c r="A169" s="2"/>
      <c r="B169" s="2"/>
      <c r="C169" s="3"/>
      <c r="D169" s="2"/>
      <c r="E169" s="2"/>
      <c r="F169" s="2"/>
      <c r="G169" s="2"/>
      <c r="H169" s="2"/>
      <c r="I169" s="2"/>
      <c r="J169" s="241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spans="1:29" ht="13">
      <c r="A170" s="2"/>
      <c r="B170" s="2"/>
      <c r="C170" s="3"/>
      <c r="D170" s="2"/>
      <c r="E170" s="2"/>
      <c r="F170" s="2"/>
      <c r="G170" s="2"/>
      <c r="H170" s="2"/>
      <c r="I170" s="2"/>
      <c r="J170" s="241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spans="1:29" ht="13">
      <c r="A171" s="2"/>
      <c r="B171" s="2"/>
      <c r="C171" s="3"/>
      <c r="D171" s="2"/>
      <c r="E171" s="2"/>
      <c r="F171" s="2"/>
      <c r="G171" s="2"/>
      <c r="H171" s="2"/>
      <c r="I171" s="2"/>
      <c r="J171" s="241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spans="1:29" ht="13">
      <c r="A172" s="2"/>
      <c r="B172" s="2"/>
      <c r="C172" s="3"/>
      <c r="D172" s="2"/>
      <c r="E172" s="2"/>
      <c r="F172" s="2"/>
      <c r="G172" s="2"/>
      <c r="H172" s="2"/>
      <c r="I172" s="2"/>
      <c r="J172" s="241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spans="1:29" ht="13">
      <c r="A173" s="2"/>
      <c r="B173" s="2"/>
      <c r="C173" s="3"/>
      <c r="D173" s="2"/>
      <c r="E173" s="2"/>
      <c r="F173" s="2"/>
      <c r="G173" s="2"/>
      <c r="H173" s="2"/>
      <c r="I173" s="2"/>
      <c r="J173" s="241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spans="1:29" ht="13">
      <c r="A174" s="2"/>
      <c r="B174" s="2"/>
      <c r="C174" s="3"/>
      <c r="D174" s="2"/>
      <c r="E174" s="2"/>
      <c r="F174" s="2"/>
      <c r="G174" s="2"/>
      <c r="H174" s="2"/>
      <c r="I174" s="2"/>
      <c r="J174" s="241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spans="1:29" ht="13">
      <c r="A175" s="2"/>
      <c r="B175" s="2"/>
      <c r="C175" s="3"/>
      <c r="D175" s="2"/>
      <c r="E175" s="2"/>
      <c r="F175" s="2"/>
      <c r="G175" s="2"/>
      <c r="H175" s="2"/>
      <c r="I175" s="2"/>
      <c r="J175" s="241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spans="1:29" ht="13">
      <c r="A176" s="2"/>
      <c r="B176" s="2"/>
      <c r="C176" s="3"/>
      <c r="D176" s="2"/>
      <c r="E176" s="2"/>
      <c r="F176" s="2"/>
      <c r="G176" s="2"/>
      <c r="H176" s="2"/>
      <c r="I176" s="2"/>
      <c r="J176" s="241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spans="1:29" ht="13">
      <c r="A177" s="2"/>
      <c r="B177" s="2"/>
      <c r="C177" s="3"/>
      <c r="D177" s="2"/>
      <c r="E177" s="2"/>
      <c r="F177" s="2"/>
      <c r="G177" s="2"/>
      <c r="H177" s="2"/>
      <c r="I177" s="2"/>
      <c r="J177" s="241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spans="1:29" ht="13">
      <c r="A178" s="2"/>
      <c r="B178" s="2"/>
      <c r="C178" s="3"/>
      <c r="D178" s="2"/>
      <c r="E178" s="2"/>
      <c r="F178" s="2"/>
      <c r="G178" s="2"/>
      <c r="H178" s="2"/>
      <c r="I178" s="2"/>
      <c r="J178" s="241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spans="1:29" ht="13">
      <c r="A179" s="2"/>
      <c r="B179" s="2"/>
      <c r="C179" s="3"/>
      <c r="D179" s="2"/>
      <c r="E179" s="2"/>
      <c r="F179" s="2"/>
      <c r="G179" s="2"/>
      <c r="H179" s="2"/>
      <c r="I179" s="2"/>
      <c r="J179" s="241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spans="1:29" ht="13">
      <c r="A180" s="2"/>
      <c r="B180" s="2"/>
      <c r="C180" s="3"/>
      <c r="D180" s="2"/>
      <c r="E180" s="2"/>
      <c r="F180" s="2"/>
      <c r="G180" s="2"/>
      <c r="H180" s="2"/>
      <c r="I180" s="2"/>
      <c r="J180" s="241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spans="1:29" ht="13">
      <c r="A181" s="2"/>
      <c r="B181" s="2"/>
      <c r="C181" s="3"/>
      <c r="D181" s="2"/>
      <c r="E181" s="2"/>
      <c r="F181" s="2"/>
      <c r="G181" s="2"/>
      <c r="H181" s="2"/>
      <c r="I181" s="2"/>
      <c r="J181" s="241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spans="1:29" ht="13">
      <c r="A182" s="2"/>
      <c r="B182" s="2"/>
      <c r="C182" s="3"/>
      <c r="D182" s="2"/>
      <c r="E182" s="2"/>
      <c r="F182" s="2"/>
      <c r="G182" s="2"/>
      <c r="H182" s="2"/>
      <c r="I182" s="2"/>
      <c r="J182" s="241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spans="1:29" ht="13">
      <c r="A183" s="2"/>
      <c r="B183" s="2"/>
      <c r="C183" s="3"/>
      <c r="D183" s="2"/>
      <c r="E183" s="2"/>
      <c r="F183" s="2"/>
      <c r="G183" s="2"/>
      <c r="H183" s="2"/>
      <c r="I183" s="2"/>
      <c r="J183" s="241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spans="1:29" ht="13">
      <c r="A184" s="2"/>
      <c r="B184" s="2"/>
      <c r="C184" s="3"/>
      <c r="D184" s="2"/>
      <c r="E184" s="2"/>
      <c r="F184" s="2"/>
      <c r="G184" s="2"/>
      <c r="H184" s="2"/>
      <c r="I184" s="2"/>
      <c r="J184" s="241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spans="1:29" ht="13">
      <c r="A185" s="2"/>
      <c r="B185" s="2"/>
      <c r="C185" s="3"/>
      <c r="D185" s="2"/>
      <c r="E185" s="2"/>
      <c r="F185" s="2"/>
      <c r="G185" s="2"/>
      <c r="H185" s="2"/>
      <c r="I185" s="2"/>
      <c r="J185" s="241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spans="1:29" ht="13">
      <c r="A186" s="2"/>
      <c r="B186" s="2"/>
      <c r="C186" s="3"/>
      <c r="D186" s="2"/>
      <c r="E186" s="2"/>
      <c r="F186" s="2"/>
      <c r="G186" s="2"/>
      <c r="H186" s="2"/>
      <c r="I186" s="2"/>
      <c r="J186" s="241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spans="1:29" ht="13">
      <c r="A187" s="2"/>
      <c r="B187" s="2"/>
      <c r="C187" s="3"/>
      <c r="D187" s="2"/>
      <c r="E187" s="2"/>
      <c r="F187" s="2"/>
      <c r="G187" s="2"/>
      <c r="H187" s="2"/>
      <c r="I187" s="2"/>
      <c r="J187" s="241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spans="1:29" ht="13">
      <c r="A188" s="2"/>
      <c r="B188" s="2"/>
      <c r="C188" s="3"/>
      <c r="D188" s="2"/>
      <c r="E188" s="2"/>
      <c r="F188" s="2"/>
      <c r="G188" s="2"/>
      <c r="H188" s="2"/>
      <c r="I188" s="2"/>
      <c r="J188" s="241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spans="1:29" ht="13">
      <c r="A189" s="2"/>
      <c r="B189" s="2"/>
      <c r="C189" s="3"/>
      <c r="D189" s="2"/>
      <c r="E189" s="2"/>
      <c r="F189" s="2"/>
      <c r="G189" s="2"/>
      <c r="H189" s="2"/>
      <c r="I189" s="2"/>
      <c r="J189" s="241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spans="1:29" ht="13">
      <c r="A190" s="2"/>
      <c r="B190" s="2"/>
      <c r="C190" s="3"/>
      <c r="D190" s="2"/>
      <c r="E190" s="2"/>
      <c r="F190" s="2"/>
      <c r="G190" s="2"/>
      <c r="H190" s="2"/>
      <c r="I190" s="2"/>
      <c r="J190" s="241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spans="1:29" ht="13">
      <c r="A191" s="2"/>
      <c r="B191" s="2"/>
      <c r="C191" s="3"/>
      <c r="D191" s="2"/>
      <c r="E191" s="2"/>
      <c r="F191" s="2"/>
      <c r="G191" s="2"/>
      <c r="H191" s="2"/>
      <c r="I191" s="2"/>
      <c r="J191" s="241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spans="1:29" ht="13">
      <c r="A192" s="2"/>
      <c r="B192" s="2"/>
      <c r="C192" s="3"/>
      <c r="D192" s="2"/>
      <c r="E192" s="2"/>
      <c r="F192" s="2"/>
      <c r="G192" s="2"/>
      <c r="H192" s="2"/>
      <c r="I192" s="2"/>
      <c r="J192" s="241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spans="1:29" ht="13">
      <c r="A193" s="2"/>
      <c r="B193" s="2"/>
      <c r="C193" s="3"/>
      <c r="D193" s="2"/>
      <c r="E193" s="2"/>
      <c r="F193" s="2"/>
      <c r="G193" s="2"/>
      <c r="H193" s="2"/>
      <c r="I193" s="2"/>
      <c r="J193" s="241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spans="1:29" ht="13">
      <c r="A194" s="2"/>
      <c r="B194" s="2"/>
      <c r="C194" s="3"/>
      <c r="D194" s="2"/>
      <c r="E194" s="2"/>
      <c r="F194" s="2"/>
      <c r="G194" s="2"/>
      <c r="H194" s="2"/>
      <c r="I194" s="2"/>
      <c r="J194" s="241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spans="1:29" ht="13">
      <c r="A195" s="2"/>
      <c r="B195" s="2"/>
      <c r="C195" s="3"/>
      <c r="D195" s="2"/>
      <c r="E195" s="2"/>
      <c r="F195" s="2"/>
      <c r="G195" s="2"/>
      <c r="H195" s="2"/>
      <c r="I195" s="2"/>
      <c r="J195" s="241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spans="1:29" ht="13">
      <c r="A196" s="2"/>
      <c r="B196" s="2"/>
      <c r="C196" s="3"/>
      <c r="D196" s="2"/>
      <c r="E196" s="2"/>
      <c r="F196" s="2"/>
      <c r="G196" s="2"/>
      <c r="H196" s="2"/>
      <c r="I196" s="2"/>
      <c r="J196" s="241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spans="1:29" ht="13">
      <c r="A197" s="2"/>
      <c r="B197" s="2"/>
      <c r="C197" s="3"/>
      <c r="D197" s="2"/>
      <c r="E197" s="2"/>
      <c r="F197" s="2"/>
      <c r="G197" s="2"/>
      <c r="H197" s="2"/>
      <c r="I197" s="2"/>
      <c r="J197" s="241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spans="1:29" ht="13">
      <c r="A198" s="2"/>
      <c r="B198" s="2"/>
      <c r="C198" s="3"/>
      <c r="D198" s="2"/>
      <c r="E198" s="2"/>
      <c r="F198" s="2"/>
      <c r="G198" s="2"/>
      <c r="H198" s="2"/>
      <c r="I198" s="2"/>
      <c r="J198" s="241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spans="1:29" ht="13">
      <c r="A199" s="2"/>
      <c r="B199" s="2"/>
      <c r="C199" s="3"/>
      <c r="D199" s="2"/>
      <c r="E199" s="2"/>
      <c r="F199" s="2"/>
      <c r="G199" s="2"/>
      <c r="H199" s="2"/>
      <c r="I199" s="2"/>
      <c r="J199" s="241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spans="1:29" ht="13">
      <c r="A200" s="2"/>
      <c r="B200" s="2"/>
      <c r="C200" s="3"/>
      <c r="D200" s="2"/>
      <c r="E200" s="2"/>
      <c r="F200" s="2"/>
      <c r="G200" s="2"/>
      <c r="H200" s="2"/>
      <c r="I200" s="2"/>
      <c r="J200" s="241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spans="1:29" ht="13">
      <c r="A201" s="2"/>
      <c r="B201" s="2"/>
      <c r="C201" s="3"/>
      <c r="D201" s="2"/>
      <c r="E201" s="2"/>
      <c r="F201" s="2"/>
      <c r="G201" s="2"/>
      <c r="H201" s="2"/>
      <c r="I201" s="2"/>
      <c r="J201" s="241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spans="1:29" ht="13">
      <c r="A202" s="2"/>
      <c r="B202" s="2"/>
      <c r="C202" s="3"/>
      <c r="D202" s="2"/>
      <c r="E202" s="2"/>
      <c r="F202" s="2"/>
      <c r="G202" s="2"/>
      <c r="H202" s="2"/>
      <c r="I202" s="2"/>
      <c r="J202" s="241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 spans="1:29" ht="13">
      <c r="A203" s="2"/>
      <c r="B203" s="2"/>
      <c r="C203" s="3"/>
      <c r="D203" s="2"/>
      <c r="E203" s="2"/>
      <c r="F203" s="2"/>
      <c r="G203" s="2"/>
      <c r="H203" s="2"/>
      <c r="I203" s="2"/>
      <c r="J203" s="241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 spans="1:29" ht="13">
      <c r="A204" s="2"/>
      <c r="B204" s="2"/>
      <c r="C204" s="3"/>
      <c r="D204" s="2"/>
      <c r="E204" s="2"/>
      <c r="F204" s="2"/>
      <c r="G204" s="2"/>
      <c r="H204" s="2"/>
      <c r="I204" s="2"/>
      <c r="J204" s="241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 spans="1:29" ht="13">
      <c r="A205" s="2"/>
      <c r="B205" s="2"/>
      <c r="C205" s="3"/>
      <c r="D205" s="2"/>
      <c r="E205" s="2"/>
      <c r="F205" s="2"/>
      <c r="G205" s="2"/>
      <c r="H205" s="2"/>
      <c r="I205" s="2"/>
      <c r="J205" s="241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 spans="1:29" ht="13">
      <c r="A206" s="2"/>
      <c r="B206" s="2"/>
      <c r="C206" s="3"/>
      <c r="D206" s="2"/>
      <c r="E206" s="2"/>
      <c r="F206" s="2"/>
      <c r="G206" s="2"/>
      <c r="H206" s="2"/>
      <c r="I206" s="2"/>
      <c r="J206" s="241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 spans="1:29" ht="13">
      <c r="A207" s="2"/>
      <c r="B207" s="2"/>
      <c r="C207" s="3"/>
      <c r="D207" s="2"/>
      <c r="E207" s="2"/>
      <c r="F207" s="2"/>
      <c r="G207" s="2"/>
      <c r="H207" s="2"/>
      <c r="I207" s="2"/>
      <c r="J207" s="241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 spans="1:29" ht="13">
      <c r="A208" s="2"/>
      <c r="B208" s="2"/>
      <c r="C208" s="3"/>
      <c r="D208" s="2"/>
      <c r="E208" s="2"/>
      <c r="F208" s="2"/>
      <c r="G208" s="2"/>
      <c r="H208" s="2"/>
      <c r="I208" s="2"/>
      <c r="J208" s="241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 spans="1:29" ht="13">
      <c r="A209" s="2"/>
      <c r="B209" s="2"/>
      <c r="C209" s="3"/>
      <c r="D209" s="2"/>
      <c r="E209" s="2"/>
      <c r="F209" s="2"/>
      <c r="G209" s="2"/>
      <c r="H209" s="2"/>
      <c r="I209" s="2"/>
      <c r="J209" s="241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 spans="1:29" ht="13">
      <c r="A210" s="2"/>
      <c r="B210" s="2"/>
      <c r="C210" s="3"/>
      <c r="D210" s="2"/>
      <c r="E210" s="2"/>
      <c r="F210" s="2"/>
      <c r="G210" s="2"/>
      <c r="H210" s="2"/>
      <c r="I210" s="2"/>
      <c r="J210" s="241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 spans="1:29" ht="13">
      <c r="A211" s="2"/>
      <c r="B211" s="2"/>
      <c r="C211" s="3"/>
      <c r="D211" s="2"/>
      <c r="E211" s="2"/>
      <c r="F211" s="2"/>
      <c r="G211" s="2"/>
      <c r="H211" s="2"/>
      <c r="I211" s="2"/>
      <c r="J211" s="241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 spans="1:29" ht="13">
      <c r="A212" s="2"/>
      <c r="B212" s="2"/>
      <c r="C212" s="3"/>
      <c r="D212" s="2"/>
      <c r="E212" s="2"/>
      <c r="F212" s="2"/>
      <c r="G212" s="2"/>
      <c r="H212" s="2"/>
      <c r="I212" s="2"/>
      <c r="J212" s="241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 spans="1:29" ht="13">
      <c r="A213" s="2"/>
      <c r="B213" s="2"/>
      <c r="C213" s="3"/>
      <c r="D213" s="2"/>
      <c r="E213" s="2"/>
      <c r="F213" s="2"/>
      <c r="G213" s="2"/>
      <c r="H213" s="2"/>
      <c r="I213" s="2"/>
      <c r="J213" s="241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 spans="1:29" ht="13">
      <c r="A214" s="2"/>
      <c r="B214" s="2"/>
      <c r="C214" s="3"/>
      <c r="D214" s="2"/>
      <c r="E214" s="2"/>
      <c r="F214" s="2"/>
      <c r="G214" s="2"/>
      <c r="H214" s="2"/>
      <c r="I214" s="2"/>
      <c r="J214" s="241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 spans="1:29" ht="13">
      <c r="A215" s="2"/>
      <c r="B215" s="2"/>
      <c r="C215" s="3"/>
      <c r="D215" s="2"/>
      <c r="E215" s="2"/>
      <c r="F215" s="2"/>
      <c r="G215" s="2"/>
      <c r="H215" s="2"/>
      <c r="I215" s="2"/>
      <c r="J215" s="241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 spans="1:29" ht="13">
      <c r="A216" s="2"/>
      <c r="B216" s="2"/>
      <c r="C216" s="3"/>
      <c r="D216" s="2"/>
      <c r="E216" s="2"/>
      <c r="F216" s="2"/>
      <c r="G216" s="2"/>
      <c r="H216" s="2"/>
      <c r="I216" s="2"/>
      <c r="J216" s="241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 spans="1:29" ht="13">
      <c r="A217" s="2"/>
      <c r="B217" s="2"/>
      <c r="C217" s="3"/>
      <c r="D217" s="2"/>
      <c r="E217" s="2"/>
      <c r="F217" s="2"/>
      <c r="G217" s="2"/>
      <c r="H217" s="2"/>
      <c r="I217" s="2"/>
      <c r="J217" s="241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 spans="1:29" ht="13">
      <c r="A218" s="2"/>
      <c r="B218" s="2"/>
      <c r="C218" s="3"/>
      <c r="D218" s="2"/>
      <c r="E218" s="2"/>
      <c r="F218" s="2"/>
      <c r="G218" s="2"/>
      <c r="H218" s="2"/>
      <c r="I218" s="2"/>
      <c r="J218" s="241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 spans="1:29" ht="13">
      <c r="A219" s="2"/>
      <c r="B219" s="2"/>
      <c r="C219" s="3"/>
      <c r="D219" s="2"/>
      <c r="E219" s="2"/>
      <c r="F219" s="2"/>
      <c r="G219" s="2"/>
      <c r="H219" s="2"/>
      <c r="I219" s="2"/>
      <c r="J219" s="241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 spans="1:29" ht="13">
      <c r="A220" s="2"/>
      <c r="B220" s="2"/>
      <c r="C220" s="3"/>
      <c r="D220" s="2"/>
      <c r="E220" s="2"/>
      <c r="F220" s="2"/>
      <c r="G220" s="2"/>
      <c r="H220" s="2"/>
      <c r="I220" s="2"/>
      <c r="J220" s="241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 spans="1:29" ht="13">
      <c r="A221" s="2"/>
      <c r="B221" s="2"/>
      <c r="C221" s="3"/>
      <c r="D221" s="2"/>
      <c r="E221" s="2"/>
      <c r="F221" s="2"/>
      <c r="G221" s="2"/>
      <c r="H221" s="2"/>
      <c r="I221" s="2"/>
      <c r="J221" s="241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 spans="1:29" ht="13">
      <c r="A222" s="2"/>
      <c r="B222" s="2"/>
      <c r="C222" s="3"/>
      <c r="D222" s="2"/>
      <c r="E222" s="2"/>
      <c r="F222" s="2"/>
      <c r="G222" s="2"/>
      <c r="H222" s="2"/>
      <c r="I222" s="2"/>
      <c r="J222" s="241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 spans="1:29" ht="13">
      <c r="A223" s="2"/>
      <c r="B223" s="2"/>
      <c r="C223" s="3"/>
      <c r="D223" s="2"/>
      <c r="E223" s="2"/>
      <c r="F223" s="2"/>
      <c r="G223" s="2"/>
      <c r="H223" s="2"/>
      <c r="I223" s="2"/>
      <c r="J223" s="241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 spans="1:29" ht="13">
      <c r="A224" s="2"/>
      <c r="B224" s="2"/>
      <c r="C224" s="3"/>
      <c r="D224" s="2"/>
      <c r="E224" s="2"/>
      <c r="F224" s="2"/>
      <c r="G224" s="2"/>
      <c r="H224" s="2"/>
      <c r="I224" s="2"/>
      <c r="J224" s="241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 spans="1:29" ht="13">
      <c r="A225" s="2"/>
      <c r="B225" s="2"/>
      <c r="C225" s="3"/>
      <c r="D225" s="2"/>
      <c r="E225" s="2"/>
      <c r="F225" s="2"/>
      <c r="G225" s="2"/>
      <c r="H225" s="2"/>
      <c r="I225" s="2"/>
      <c r="J225" s="241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 spans="1:29" ht="13">
      <c r="A226" s="2"/>
      <c r="B226" s="2"/>
      <c r="C226" s="3"/>
      <c r="D226" s="2"/>
      <c r="E226" s="2"/>
      <c r="F226" s="2"/>
      <c r="G226" s="2"/>
      <c r="H226" s="2"/>
      <c r="I226" s="2"/>
      <c r="J226" s="241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 spans="1:29" ht="13">
      <c r="A227" s="2"/>
      <c r="B227" s="2"/>
      <c r="C227" s="3"/>
      <c r="D227" s="2"/>
      <c r="E227" s="2"/>
      <c r="F227" s="2"/>
      <c r="G227" s="2"/>
      <c r="H227" s="2"/>
      <c r="I227" s="2"/>
      <c r="J227" s="241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 spans="1:29" ht="13">
      <c r="A228" s="2"/>
      <c r="B228" s="2"/>
      <c r="C228" s="3"/>
      <c r="D228" s="2"/>
      <c r="E228" s="2"/>
      <c r="F228" s="2"/>
      <c r="G228" s="2"/>
      <c r="H228" s="2"/>
      <c r="I228" s="2"/>
      <c r="J228" s="241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 spans="1:29" ht="13">
      <c r="A229" s="2"/>
      <c r="B229" s="2"/>
      <c r="C229" s="3"/>
      <c r="D229" s="2"/>
      <c r="E229" s="2"/>
      <c r="F229" s="2"/>
      <c r="G229" s="2"/>
      <c r="H229" s="2"/>
      <c r="I229" s="2"/>
      <c r="J229" s="241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 spans="1:29" ht="13">
      <c r="A230" s="2"/>
      <c r="B230" s="2"/>
      <c r="C230" s="3"/>
      <c r="D230" s="2"/>
      <c r="E230" s="2"/>
      <c r="F230" s="2"/>
      <c r="G230" s="2"/>
      <c r="H230" s="2"/>
      <c r="I230" s="2"/>
      <c r="J230" s="241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 spans="1:29" ht="13">
      <c r="A231" s="2"/>
      <c r="B231" s="2"/>
      <c r="C231" s="3"/>
      <c r="D231" s="2"/>
      <c r="E231" s="2"/>
      <c r="F231" s="2"/>
      <c r="G231" s="2"/>
      <c r="H231" s="2"/>
      <c r="I231" s="2"/>
      <c r="J231" s="241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</row>
    <row r="232" spans="1:29" ht="13">
      <c r="A232" s="2"/>
      <c r="B232" s="2"/>
      <c r="C232" s="3"/>
      <c r="D232" s="2"/>
      <c r="E232" s="2"/>
      <c r="F232" s="2"/>
      <c r="G232" s="2"/>
      <c r="H232" s="2"/>
      <c r="I232" s="2"/>
      <c r="J232" s="241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</row>
    <row r="233" spans="1:29" ht="13">
      <c r="A233" s="2"/>
      <c r="B233" s="2"/>
      <c r="C233" s="3"/>
      <c r="D233" s="2"/>
      <c r="E233" s="2"/>
      <c r="F233" s="2"/>
      <c r="G233" s="2"/>
      <c r="H233" s="2"/>
      <c r="I233" s="2"/>
      <c r="J233" s="241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</row>
    <row r="234" spans="1:29" ht="13">
      <c r="A234" s="2"/>
      <c r="B234" s="2"/>
      <c r="C234" s="3"/>
      <c r="D234" s="2"/>
      <c r="E234" s="2"/>
      <c r="F234" s="2"/>
      <c r="G234" s="2"/>
      <c r="H234" s="2"/>
      <c r="I234" s="2"/>
      <c r="J234" s="241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</row>
    <row r="235" spans="1:29" ht="13">
      <c r="A235" s="2"/>
      <c r="B235" s="2"/>
      <c r="C235" s="3"/>
      <c r="D235" s="2"/>
      <c r="E235" s="2"/>
      <c r="F235" s="2"/>
      <c r="G235" s="2"/>
      <c r="H235" s="2"/>
      <c r="I235" s="2"/>
      <c r="J235" s="241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</row>
    <row r="236" spans="1:29" ht="13">
      <c r="A236" s="2"/>
      <c r="B236" s="2"/>
      <c r="C236" s="3"/>
      <c r="D236" s="2"/>
      <c r="E236" s="2"/>
      <c r="F236" s="2"/>
      <c r="G236" s="2"/>
      <c r="H236" s="2"/>
      <c r="I236" s="2"/>
      <c r="J236" s="241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</row>
    <row r="237" spans="1:29" ht="13">
      <c r="A237" s="2"/>
      <c r="B237" s="2"/>
      <c r="C237" s="3"/>
      <c r="D237" s="2"/>
      <c r="E237" s="2"/>
      <c r="F237" s="2"/>
      <c r="G237" s="2"/>
      <c r="H237" s="2"/>
      <c r="I237" s="2"/>
      <c r="J237" s="241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</row>
    <row r="238" spans="1:29" ht="13">
      <c r="A238" s="2"/>
      <c r="B238" s="2"/>
      <c r="C238" s="3"/>
      <c r="D238" s="2"/>
      <c r="E238" s="2"/>
      <c r="F238" s="2"/>
      <c r="G238" s="2"/>
      <c r="H238" s="2"/>
      <c r="I238" s="2"/>
      <c r="J238" s="241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</row>
    <row r="239" spans="1:29" ht="13">
      <c r="A239" s="2"/>
      <c r="B239" s="2"/>
      <c r="C239" s="3"/>
      <c r="D239" s="2"/>
      <c r="E239" s="2"/>
      <c r="F239" s="2"/>
      <c r="G239" s="2"/>
      <c r="H239" s="2"/>
      <c r="I239" s="2"/>
      <c r="J239" s="241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</row>
    <row r="240" spans="1:29" ht="13">
      <c r="A240" s="2"/>
      <c r="B240" s="2"/>
      <c r="C240" s="3"/>
      <c r="D240" s="2"/>
      <c r="E240" s="2"/>
      <c r="F240" s="2"/>
      <c r="G240" s="2"/>
      <c r="H240" s="2"/>
      <c r="I240" s="2"/>
      <c r="J240" s="241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</row>
    <row r="241" spans="1:29" ht="13">
      <c r="A241" s="2"/>
      <c r="B241" s="2"/>
      <c r="C241" s="3"/>
      <c r="D241" s="2"/>
      <c r="E241" s="2"/>
      <c r="F241" s="2"/>
      <c r="G241" s="2"/>
      <c r="H241" s="2"/>
      <c r="I241" s="2"/>
      <c r="J241" s="241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</row>
    <row r="242" spans="1:29" ht="13">
      <c r="A242" s="2"/>
      <c r="B242" s="2"/>
      <c r="C242" s="3"/>
      <c r="D242" s="2"/>
      <c r="E242" s="2"/>
      <c r="F242" s="2"/>
      <c r="G242" s="2"/>
      <c r="H242" s="2"/>
      <c r="I242" s="2"/>
      <c r="J242" s="241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</row>
    <row r="243" spans="1:29" ht="13">
      <c r="A243" s="2"/>
      <c r="B243" s="2"/>
      <c r="C243" s="3"/>
      <c r="D243" s="2"/>
      <c r="E243" s="2"/>
      <c r="F243" s="2"/>
      <c r="G243" s="2"/>
      <c r="H243" s="2"/>
      <c r="I243" s="2"/>
      <c r="J243" s="241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</row>
    <row r="244" spans="1:29" ht="13">
      <c r="A244" s="2"/>
      <c r="B244" s="2"/>
      <c r="C244" s="3"/>
      <c r="D244" s="2"/>
      <c r="E244" s="2"/>
      <c r="F244" s="2"/>
      <c r="G244" s="2"/>
      <c r="H244" s="2"/>
      <c r="I244" s="2"/>
      <c r="J244" s="241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</row>
    <row r="245" spans="1:29" ht="13">
      <c r="A245" s="2"/>
      <c r="B245" s="2"/>
      <c r="C245" s="3"/>
      <c r="D245" s="2"/>
      <c r="E245" s="2"/>
      <c r="F245" s="2"/>
      <c r="G245" s="2"/>
      <c r="H245" s="2"/>
      <c r="I245" s="2"/>
      <c r="J245" s="241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</row>
    <row r="246" spans="1:29" ht="13">
      <c r="A246" s="2"/>
      <c r="B246" s="2"/>
      <c r="C246" s="3"/>
      <c r="D246" s="2"/>
      <c r="E246" s="2"/>
      <c r="F246" s="2"/>
      <c r="G246" s="2"/>
      <c r="H246" s="2"/>
      <c r="I246" s="2"/>
      <c r="J246" s="241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</row>
    <row r="247" spans="1:29" ht="13">
      <c r="A247" s="2"/>
      <c r="B247" s="2"/>
      <c r="C247" s="3"/>
      <c r="D247" s="2"/>
      <c r="E247" s="2"/>
      <c r="F247" s="2"/>
      <c r="G247" s="2"/>
      <c r="H247" s="2"/>
      <c r="I247" s="2"/>
      <c r="J247" s="241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</row>
    <row r="248" spans="1:29" ht="13">
      <c r="A248" s="2"/>
      <c r="B248" s="2"/>
      <c r="C248" s="3"/>
      <c r="D248" s="2"/>
      <c r="E248" s="2"/>
      <c r="F248" s="2"/>
      <c r="G248" s="2"/>
      <c r="H248" s="2"/>
      <c r="I248" s="2"/>
      <c r="J248" s="241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</row>
    <row r="249" spans="1:29" ht="13">
      <c r="A249" s="2"/>
      <c r="B249" s="2"/>
      <c r="C249" s="3"/>
      <c r="D249" s="2"/>
      <c r="E249" s="2"/>
      <c r="F249" s="2"/>
      <c r="G249" s="2"/>
      <c r="H249" s="2"/>
      <c r="I249" s="2"/>
      <c r="J249" s="241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</row>
    <row r="250" spans="1:29" ht="13">
      <c r="A250" s="2"/>
      <c r="B250" s="2"/>
      <c r="C250" s="3"/>
      <c r="D250" s="2"/>
      <c r="E250" s="2"/>
      <c r="F250" s="2"/>
      <c r="G250" s="2"/>
      <c r="H250" s="2"/>
      <c r="I250" s="2"/>
      <c r="J250" s="241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</row>
    <row r="251" spans="1:29" ht="13">
      <c r="A251" s="2"/>
      <c r="B251" s="2"/>
      <c r="C251" s="3"/>
      <c r="D251" s="2"/>
      <c r="E251" s="2"/>
      <c r="F251" s="2"/>
      <c r="G251" s="2"/>
      <c r="H251" s="2"/>
      <c r="I251" s="2"/>
      <c r="J251" s="241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</row>
    <row r="252" spans="1:29" ht="13">
      <c r="A252" s="2"/>
      <c r="B252" s="2"/>
      <c r="C252" s="3"/>
      <c r="D252" s="2"/>
      <c r="E252" s="2"/>
      <c r="F252" s="2"/>
      <c r="G252" s="2"/>
      <c r="H252" s="2"/>
      <c r="I252" s="2"/>
      <c r="J252" s="241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</row>
    <row r="253" spans="1:29" ht="13">
      <c r="A253" s="2"/>
      <c r="B253" s="2"/>
      <c r="C253" s="3"/>
      <c r="D253" s="2"/>
      <c r="E253" s="2"/>
      <c r="F253" s="2"/>
      <c r="G253" s="2"/>
      <c r="H253" s="2"/>
      <c r="I253" s="2"/>
      <c r="J253" s="241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</row>
    <row r="254" spans="1:29" ht="13">
      <c r="A254" s="2"/>
      <c r="B254" s="2"/>
      <c r="C254" s="3"/>
      <c r="D254" s="2"/>
      <c r="E254" s="2"/>
      <c r="F254" s="2"/>
      <c r="G254" s="2"/>
      <c r="H254" s="2"/>
      <c r="I254" s="2"/>
      <c r="J254" s="241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</row>
    <row r="255" spans="1:29" ht="13">
      <c r="A255" s="2"/>
      <c r="B255" s="2"/>
      <c r="C255" s="3"/>
      <c r="D255" s="2"/>
      <c r="E255" s="2"/>
      <c r="F255" s="2"/>
      <c r="G255" s="2"/>
      <c r="H255" s="2"/>
      <c r="I255" s="2"/>
      <c r="J255" s="241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</row>
    <row r="256" spans="1:29" ht="13">
      <c r="A256" s="2"/>
      <c r="B256" s="2"/>
      <c r="C256" s="3"/>
      <c r="D256" s="2"/>
      <c r="E256" s="2"/>
      <c r="F256" s="2"/>
      <c r="G256" s="2"/>
      <c r="H256" s="2"/>
      <c r="I256" s="2"/>
      <c r="J256" s="241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</row>
    <row r="257" spans="1:29" ht="13">
      <c r="A257" s="2"/>
      <c r="B257" s="2"/>
      <c r="C257" s="3"/>
      <c r="D257" s="2"/>
      <c r="E257" s="2"/>
      <c r="F257" s="2"/>
      <c r="G257" s="2"/>
      <c r="H257" s="2"/>
      <c r="I257" s="2"/>
      <c r="J257" s="241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</row>
    <row r="258" spans="1:29" ht="13">
      <c r="A258" s="2"/>
      <c r="B258" s="2"/>
      <c r="C258" s="3"/>
      <c r="D258" s="2"/>
      <c r="E258" s="2"/>
      <c r="F258" s="2"/>
      <c r="G258" s="2"/>
      <c r="H258" s="2"/>
      <c r="I258" s="2"/>
      <c r="J258" s="241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</row>
    <row r="259" spans="1:29" ht="13">
      <c r="A259" s="2"/>
      <c r="B259" s="2"/>
      <c r="C259" s="3"/>
      <c r="D259" s="2"/>
      <c r="E259" s="2"/>
      <c r="F259" s="2"/>
      <c r="G259" s="2"/>
      <c r="H259" s="2"/>
      <c r="I259" s="2"/>
      <c r="J259" s="241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</row>
    <row r="260" spans="1:29" ht="13">
      <c r="A260" s="2"/>
      <c r="B260" s="2"/>
      <c r="C260" s="3"/>
      <c r="D260" s="2"/>
      <c r="E260" s="2"/>
      <c r="F260" s="2"/>
      <c r="G260" s="2"/>
      <c r="H260" s="2"/>
      <c r="I260" s="2"/>
      <c r="J260" s="241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</row>
    <row r="261" spans="1:29" ht="13">
      <c r="A261" s="2"/>
      <c r="B261" s="2"/>
      <c r="C261" s="3"/>
      <c r="D261" s="2"/>
      <c r="E261" s="2"/>
      <c r="F261" s="2"/>
      <c r="G261" s="2"/>
      <c r="H261" s="2"/>
      <c r="I261" s="2"/>
      <c r="J261" s="241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</row>
    <row r="262" spans="1:29" ht="13">
      <c r="A262" s="2"/>
      <c r="B262" s="2"/>
      <c r="C262" s="3"/>
      <c r="D262" s="2"/>
      <c r="E262" s="2"/>
      <c r="F262" s="2"/>
      <c r="G262" s="2"/>
      <c r="H262" s="2"/>
      <c r="I262" s="2"/>
      <c r="J262" s="241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</row>
    <row r="263" spans="1:29" ht="13">
      <c r="A263" s="2"/>
      <c r="B263" s="2"/>
      <c r="C263" s="3"/>
      <c r="D263" s="2"/>
      <c r="E263" s="2"/>
      <c r="F263" s="2"/>
      <c r="G263" s="2"/>
      <c r="H263" s="2"/>
      <c r="I263" s="2"/>
      <c r="J263" s="241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</row>
    <row r="264" spans="1:29" ht="13">
      <c r="A264" s="2"/>
      <c r="B264" s="2"/>
      <c r="C264" s="3"/>
      <c r="D264" s="2"/>
      <c r="E264" s="2"/>
      <c r="F264" s="2"/>
      <c r="G264" s="2"/>
      <c r="H264" s="2"/>
      <c r="I264" s="2"/>
      <c r="J264" s="241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</row>
    <row r="265" spans="1:29" ht="13">
      <c r="A265" s="2"/>
      <c r="B265" s="2"/>
      <c r="C265" s="3"/>
      <c r="D265" s="2"/>
      <c r="E265" s="2"/>
      <c r="F265" s="2"/>
      <c r="G265" s="2"/>
      <c r="H265" s="2"/>
      <c r="I265" s="2"/>
      <c r="J265" s="241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 spans="1:29" ht="13">
      <c r="A266" s="2"/>
      <c r="B266" s="2"/>
      <c r="C266" s="3"/>
      <c r="D266" s="2"/>
      <c r="E266" s="2"/>
      <c r="F266" s="2"/>
      <c r="G266" s="2"/>
      <c r="H266" s="2"/>
      <c r="I266" s="2"/>
      <c r="J266" s="241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 spans="1:29" ht="13">
      <c r="A267" s="2"/>
      <c r="B267" s="2"/>
      <c r="C267" s="3"/>
      <c r="D267" s="2"/>
      <c r="E267" s="2"/>
      <c r="F267" s="2"/>
      <c r="G267" s="2"/>
      <c r="H267" s="2"/>
      <c r="I267" s="2"/>
      <c r="J267" s="241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 spans="1:29" ht="13">
      <c r="A268" s="2"/>
      <c r="B268" s="2"/>
      <c r="C268" s="3"/>
      <c r="D268" s="2"/>
      <c r="E268" s="2"/>
      <c r="F268" s="2"/>
      <c r="G268" s="2"/>
      <c r="H268" s="2"/>
      <c r="I268" s="2"/>
      <c r="J268" s="241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</row>
    <row r="269" spans="1:29" ht="13">
      <c r="A269" s="2"/>
      <c r="B269" s="2"/>
      <c r="C269" s="3"/>
      <c r="D269" s="2"/>
      <c r="E269" s="2"/>
      <c r="F269" s="2"/>
      <c r="G269" s="2"/>
      <c r="H269" s="2"/>
      <c r="I269" s="2"/>
      <c r="J269" s="241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</row>
    <row r="270" spans="1:29" ht="13">
      <c r="A270" s="2"/>
      <c r="B270" s="2"/>
      <c r="C270" s="3"/>
      <c r="D270" s="2"/>
      <c r="E270" s="2"/>
      <c r="F270" s="2"/>
      <c r="G270" s="2"/>
      <c r="H270" s="2"/>
      <c r="I270" s="2"/>
      <c r="J270" s="241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</row>
    <row r="271" spans="1:29" ht="13">
      <c r="A271" s="2"/>
      <c r="B271" s="2"/>
      <c r="C271" s="3"/>
      <c r="D271" s="2"/>
      <c r="E271" s="2"/>
      <c r="F271" s="2"/>
      <c r="G271" s="2"/>
      <c r="H271" s="2"/>
      <c r="I271" s="2"/>
      <c r="J271" s="241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</row>
    <row r="272" spans="1:29" ht="13">
      <c r="A272" s="2"/>
      <c r="B272" s="2"/>
      <c r="C272" s="3"/>
      <c r="D272" s="2"/>
      <c r="E272" s="2"/>
      <c r="F272" s="2"/>
      <c r="G272" s="2"/>
      <c r="H272" s="2"/>
      <c r="I272" s="2"/>
      <c r="J272" s="241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</row>
    <row r="273" spans="1:29" ht="13">
      <c r="A273" s="2"/>
      <c r="B273" s="2"/>
      <c r="C273" s="3"/>
      <c r="D273" s="2"/>
      <c r="E273" s="2"/>
      <c r="F273" s="2"/>
      <c r="G273" s="2"/>
      <c r="H273" s="2"/>
      <c r="I273" s="2"/>
      <c r="J273" s="241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</row>
    <row r="274" spans="1:29" ht="13">
      <c r="A274" s="2"/>
      <c r="B274" s="2"/>
      <c r="C274" s="3"/>
      <c r="D274" s="2"/>
      <c r="E274" s="2"/>
      <c r="F274" s="2"/>
      <c r="G274" s="2"/>
      <c r="H274" s="2"/>
      <c r="I274" s="2"/>
      <c r="J274" s="241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</row>
    <row r="275" spans="1:29" ht="13">
      <c r="A275" s="2"/>
      <c r="B275" s="2"/>
      <c r="C275" s="3"/>
      <c r="D275" s="2"/>
      <c r="E275" s="2"/>
      <c r="F275" s="2"/>
      <c r="G275" s="2"/>
      <c r="H275" s="2"/>
      <c r="I275" s="2"/>
      <c r="J275" s="241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</row>
    <row r="276" spans="1:29" ht="13">
      <c r="A276" s="2"/>
      <c r="B276" s="2"/>
      <c r="C276" s="3"/>
      <c r="D276" s="2"/>
      <c r="E276" s="2"/>
      <c r="F276" s="2"/>
      <c r="G276" s="2"/>
      <c r="H276" s="2"/>
      <c r="I276" s="2"/>
      <c r="J276" s="241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</row>
    <row r="277" spans="1:29" ht="13">
      <c r="A277" s="2"/>
      <c r="B277" s="2"/>
      <c r="C277" s="3"/>
      <c r="D277" s="2"/>
      <c r="E277" s="2"/>
      <c r="F277" s="2"/>
      <c r="G277" s="2"/>
      <c r="H277" s="2"/>
      <c r="I277" s="2"/>
      <c r="J277" s="241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</row>
    <row r="278" spans="1:29" ht="13">
      <c r="A278" s="2"/>
      <c r="B278" s="2"/>
      <c r="C278" s="3"/>
      <c r="D278" s="2"/>
      <c r="E278" s="2"/>
      <c r="F278" s="2"/>
      <c r="G278" s="2"/>
      <c r="H278" s="2"/>
      <c r="I278" s="2"/>
      <c r="J278" s="241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</row>
    <row r="279" spans="1:29" ht="13">
      <c r="A279" s="2"/>
      <c r="B279" s="2"/>
      <c r="C279" s="3"/>
      <c r="D279" s="2"/>
      <c r="E279" s="2"/>
      <c r="F279" s="2"/>
      <c r="G279" s="2"/>
      <c r="H279" s="2"/>
      <c r="I279" s="2"/>
      <c r="J279" s="241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</row>
    <row r="280" spans="1:29" ht="13">
      <c r="A280" s="2"/>
      <c r="B280" s="2"/>
      <c r="C280" s="3"/>
      <c r="D280" s="2"/>
      <c r="E280" s="2"/>
      <c r="F280" s="2"/>
      <c r="G280" s="2"/>
      <c r="H280" s="2"/>
      <c r="I280" s="2"/>
      <c r="J280" s="241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</row>
    <row r="281" spans="1:29" ht="13">
      <c r="A281" s="2"/>
      <c r="B281" s="2"/>
      <c r="C281" s="3"/>
      <c r="D281" s="2"/>
      <c r="E281" s="2"/>
      <c r="F281" s="2"/>
      <c r="G281" s="2"/>
      <c r="H281" s="2"/>
      <c r="I281" s="2"/>
      <c r="J281" s="241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</row>
    <row r="282" spans="1:29" ht="13">
      <c r="A282" s="2"/>
      <c r="B282" s="2"/>
      <c r="C282" s="3"/>
      <c r="D282" s="2"/>
      <c r="E282" s="2"/>
      <c r="F282" s="2"/>
      <c r="G282" s="2"/>
      <c r="H282" s="2"/>
      <c r="I282" s="2"/>
      <c r="J282" s="241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</row>
    <row r="283" spans="1:29" ht="13">
      <c r="A283" s="2"/>
      <c r="B283" s="2"/>
      <c r="C283" s="3"/>
      <c r="D283" s="2"/>
      <c r="E283" s="2"/>
      <c r="F283" s="2"/>
      <c r="G283" s="2"/>
      <c r="H283" s="2"/>
      <c r="I283" s="2"/>
      <c r="J283" s="241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</row>
    <row r="284" spans="1:29" ht="13">
      <c r="A284" s="2"/>
      <c r="B284" s="2"/>
      <c r="C284" s="3"/>
      <c r="D284" s="2"/>
      <c r="E284" s="2"/>
      <c r="F284" s="2"/>
      <c r="G284" s="2"/>
      <c r="H284" s="2"/>
      <c r="I284" s="2"/>
      <c r="J284" s="241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</row>
    <row r="285" spans="1:29" ht="13">
      <c r="A285" s="2"/>
      <c r="B285" s="2"/>
      <c r="C285" s="3"/>
      <c r="D285" s="2"/>
      <c r="E285" s="2"/>
      <c r="F285" s="2"/>
      <c r="G285" s="2"/>
      <c r="H285" s="2"/>
      <c r="I285" s="2"/>
      <c r="J285" s="241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</row>
    <row r="286" spans="1:29" ht="13">
      <c r="A286" s="2"/>
      <c r="B286" s="2"/>
      <c r="C286" s="3"/>
      <c r="D286" s="2"/>
      <c r="E286" s="2"/>
      <c r="F286" s="2"/>
      <c r="G286" s="2"/>
      <c r="H286" s="2"/>
      <c r="I286" s="2"/>
      <c r="J286" s="241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</row>
    <row r="287" spans="1:29" ht="13">
      <c r="A287" s="2"/>
      <c r="B287" s="2"/>
      <c r="C287" s="3"/>
      <c r="D287" s="2"/>
      <c r="E287" s="2"/>
      <c r="F287" s="2"/>
      <c r="G287" s="2"/>
      <c r="H287" s="2"/>
      <c r="I287" s="2"/>
      <c r="J287" s="241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</row>
    <row r="288" spans="1:29" ht="13">
      <c r="A288" s="2"/>
      <c r="B288" s="2"/>
      <c r="C288" s="3"/>
      <c r="D288" s="2"/>
      <c r="E288" s="2"/>
      <c r="F288" s="2"/>
      <c r="G288" s="2"/>
      <c r="H288" s="2"/>
      <c r="I288" s="2"/>
      <c r="J288" s="241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</row>
    <row r="289" spans="1:29" ht="13">
      <c r="A289" s="2"/>
      <c r="B289" s="2"/>
      <c r="C289" s="3"/>
      <c r="D289" s="2"/>
      <c r="E289" s="2"/>
      <c r="F289" s="2"/>
      <c r="G289" s="2"/>
      <c r="H289" s="2"/>
      <c r="I289" s="2"/>
      <c r="J289" s="241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</row>
    <row r="290" spans="1:29" ht="13">
      <c r="A290" s="2"/>
      <c r="B290" s="2"/>
      <c r="C290" s="3"/>
      <c r="D290" s="2"/>
      <c r="E290" s="2"/>
      <c r="F290" s="2"/>
      <c r="G290" s="2"/>
      <c r="H290" s="2"/>
      <c r="I290" s="2"/>
      <c r="J290" s="241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</row>
    <row r="291" spans="1:29" ht="13">
      <c r="A291" s="2"/>
      <c r="B291" s="2"/>
      <c r="C291" s="3"/>
      <c r="D291" s="2"/>
      <c r="E291" s="2"/>
      <c r="F291" s="2"/>
      <c r="G291" s="2"/>
      <c r="H291" s="2"/>
      <c r="I291" s="2"/>
      <c r="J291" s="241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</row>
    <row r="292" spans="1:29" ht="13">
      <c r="A292" s="2"/>
      <c r="B292" s="2"/>
      <c r="C292" s="3"/>
      <c r="D292" s="2"/>
      <c r="E292" s="2"/>
      <c r="F292" s="2"/>
      <c r="G292" s="2"/>
      <c r="H292" s="2"/>
      <c r="I292" s="2"/>
      <c r="J292" s="241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</row>
    <row r="293" spans="1:29" ht="13">
      <c r="A293" s="2"/>
      <c r="B293" s="2"/>
      <c r="C293" s="3"/>
      <c r="D293" s="2"/>
      <c r="E293" s="2"/>
      <c r="F293" s="2"/>
      <c r="G293" s="2"/>
      <c r="H293" s="2"/>
      <c r="I293" s="2"/>
      <c r="J293" s="241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</row>
    <row r="294" spans="1:29" ht="13">
      <c r="A294" s="2"/>
      <c r="B294" s="2"/>
      <c r="C294" s="3"/>
      <c r="D294" s="2"/>
      <c r="E294" s="2"/>
      <c r="F294" s="2"/>
      <c r="G294" s="2"/>
      <c r="H294" s="2"/>
      <c r="I294" s="2"/>
      <c r="J294" s="241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</row>
    <row r="295" spans="1:29" ht="13">
      <c r="A295" s="2"/>
      <c r="B295" s="2"/>
      <c r="C295" s="3"/>
      <c r="D295" s="2"/>
      <c r="E295" s="2"/>
      <c r="F295" s="2"/>
      <c r="G295" s="2"/>
      <c r="H295" s="2"/>
      <c r="I295" s="2"/>
      <c r="J295" s="241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</row>
    <row r="296" spans="1:29" ht="13">
      <c r="A296" s="2"/>
      <c r="B296" s="2"/>
      <c r="C296" s="3"/>
      <c r="D296" s="2"/>
      <c r="E296" s="2"/>
      <c r="F296" s="2"/>
      <c r="G296" s="2"/>
      <c r="H296" s="2"/>
      <c r="I296" s="2"/>
      <c r="J296" s="241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</row>
    <row r="297" spans="1:29" ht="13">
      <c r="A297" s="2"/>
      <c r="B297" s="2"/>
      <c r="C297" s="3"/>
      <c r="D297" s="2"/>
      <c r="E297" s="2"/>
      <c r="F297" s="2"/>
      <c r="G297" s="2"/>
      <c r="H297" s="2"/>
      <c r="I297" s="2"/>
      <c r="J297" s="241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 spans="1:29" ht="13">
      <c r="A298" s="2"/>
      <c r="B298" s="2"/>
      <c r="C298" s="3"/>
      <c r="D298" s="2"/>
      <c r="E298" s="2"/>
      <c r="F298" s="2"/>
      <c r="G298" s="2"/>
      <c r="H298" s="2"/>
      <c r="I298" s="2"/>
      <c r="J298" s="241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</row>
    <row r="299" spans="1:29" ht="13">
      <c r="A299" s="2"/>
      <c r="B299" s="2"/>
      <c r="C299" s="3"/>
      <c r="D299" s="2"/>
      <c r="E299" s="2"/>
      <c r="F299" s="2"/>
      <c r="G299" s="2"/>
      <c r="H299" s="2"/>
      <c r="I299" s="2"/>
      <c r="J299" s="241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</row>
    <row r="300" spans="1:29" ht="13">
      <c r="A300" s="2"/>
      <c r="B300" s="2"/>
      <c r="C300" s="3"/>
      <c r="D300" s="2"/>
      <c r="E300" s="2"/>
      <c r="F300" s="2"/>
      <c r="G300" s="2"/>
      <c r="H300" s="2"/>
      <c r="I300" s="2"/>
      <c r="J300" s="241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</row>
    <row r="301" spans="1:29" ht="13">
      <c r="A301" s="2"/>
      <c r="B301" s="2"/>
      <c r="C301" s="3"/>
      <c r="D301" s="2"/>
      <c r="E301" s="2"/>
      <c r="F301" s="2"/>
      <c r="G301" s="2"/>
      <c r="H301" s="2"/>
      <c r="I301" s="2"/>
      <c r="J301" s="241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</row>
    <row r="302" spans="1:29" ht="13">
      <c r="A302" s="2"/>
      <c r="B302" s="2"/>
      <c r="C302" s="3"/>
      <c r="D302" s="2"/>
      <c r="E302" s="2"/>
      <c r="F302" s="2"/>
      <c r="G302" s="2"/>
      <c r="H302" s="2"/>
      <c r="I302" s="2"/>
      <c r="J302" s="241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</row>
    <row r="303" spans="1:29" ht="13">
      <c r="A303" s="2"/>
      <c r="B303" s="2"/>
      <c r="C303" s="3"/>
      <c r="D303" s="2"/>
      <c r="E303" s="2"/>
      <c r="F303" s="2"/>
      <c r="G303" s="2"/>
      <c r="H303" s="2"/>
      <c r="I303" s="2"/>
      <c r="J303" s="241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 spans="1:29" ht="13">
      <c r="A304" s="2"/>
      <c r="B304" s="2"/>
      <c r="C304" s="3"/>
      <c r="D304" s="2"/>
      <c r="E304" s="2"/>
      <c r="F304" s="2"/>
      <c r="G304" s="2"/>
      <c r="H304" s="2"/>
      <c r="I304" s="2"/>
      <c r="J304" s="241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 spans="1:29" ht="13">
      <c r="A305" s="2"/>
      <c r="B305" s="2"/>
      <c r="C305" s="3"/>
      <c r="D305" s="2"/>
      <c r="E305" s="2"/>
      <c r="F305" s="2"/>
      <c r="G305" s="2"/>
      <c r="H305" s="2"/>
      <c r="I305" s="2"/>
      <c r="J305" s="241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 spans="1:29" ht="13">
      <c r="A306" s="2"/>
      <c r="B306" s="2"/>
      <c r="C306" s="3"/>
      <c r="D306" s="2"/>
      <c r="E306" s="2"/>
      <c r="F306" s="2"/>
      <c r="G306" s="2"/>
      <c r="H306" s="2"/>
      <c r="I306" s="2"/>
      <c r="J306" s="241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</row>
    <row r="307" spans="1:29" ht="13">
      <c r="A307" s="2"/>
      <c r="B307" s="2"/>
      <c r="C307" s="3"/>
      <c r="D307" s="2"/>
      <c r="E307" s="2"/>
      <c r="F307" s="2"/>
      <c r="G307" s="2"/>
      <c r="H307" s="2"/>
      <c r="I307" s="2"/>
      <c r="J307" s="241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</row>
    <row r="308" spans="1:29" ht="13">
      <c r="A308" s="2"/>
      <c r="B308" s="2"/>
      <c r="C308" s="3"/>
      <c r="D308" s="2"/>
      <c r="E308" s="2"/>
      <c r="F308" s="2"/>
      <c r="G308" s="2"/>
      <c r="H308" s="2"/>
      <c r="I308" s="2"/>
      <c r="J308" s="241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</row>
    <row r="309" spans="1:29" ht="13">
      <c r="A309" s="2"/>
      <c r="B309" s="2"/>
      <c r="C309" s="3"/>
      <c r="D309" s="2"/>
      <c r="E309" s="2"/>
      <c r="F309" s="2"/>
      <c r="G309" s="2"/>
      <c r="H309" s="2"/>
      <c r="I309" s="2"/>
      <c r="J309" s="241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</row>
    <row r="310" spans="1:29" ht="13">
      <c r="A310" s="2"/>
      <c r="B310" s="2"/>
      <c r="C310" s="3"/>
      <c r="D310" s="2"/>
      <c r="E310" s="2"/>
      <c r="F310" s="2"/>
      <c r="G310" s="2"/>
      <c r="H310" s="2"/>
      <c r="I310" s="2"/>
      <c r="J310" s="241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</row>
    <row r="311" spans="1:29" ht="13">
      <c r="A311" s="2"/>
      <c r="B311" s="2"/>
      <c r="C311" s="3"/>
      <c r="D311" s="2"/>
      <c r="E311" s="2"/>
      <c r="F311" s="2"/>
      <c r="G311" s="2"/>
      <c r="H311" s="2"/>
      <c r="I311" s="2"/>
      <c r="J311" s="241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</row>
    <row r="312" spans="1:29" ht="13">
      <c r="A312" s="2"/>
      <c r="B312" s="2"/>
      <c r="C312" s="3"/>
      <c r="D312" s="2"/>
      <c r="E312" s="2"/>
      <c r="F312" s="2"/>
      <c r="G312" s="2"/>
      <c r="H312" s="2"/>
      <c r="I312" s="2"/>
      <c r="J312" s="241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</row>
    <row r="313" spans="1:29" ht="13">
      <c r="A313" s="2"/>
      <c r="B313" s="2"/>
      <c r="C313" s="3"/>
      <c r="D313" s="2"/>
      <c r="E313" s="2"/>
      <c r="F313" s="2"/>
      <c r="G313" s="2"/>
      <c r="H313" s="2"/>
      <c r="I313" s="2"/>
      <c r="J313" s="241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</row>
    <row r="314" spans="1:29" ht="13">
      <c r="A314" s="2"/>
      <c r="B314" s="2"/>
      <c r="C314" s="3"/>
      <c r="D314" s="2"/>
      <c r="E314" s="2"/>
      <c r="F314" s="2"/>
      <c r="G314" s="2"/>
      <c r="H314" s="2"/>
      <c r="I314" s="2"/>
      <c r="J314" s="241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</row>
    <row r="315" spans="1:29" ht="13">
      <c r="A315" s="2"/>
      <c r="B315" s="2"/>
      <c r="C315" s="3"/>
      <c r="D315" s="2"/>
      <c r="E315" s="2"/>
      <c r="F315" s="2"/>
      <c r="G315" s="2"/>
      <c r="H315" s="2"/>
      <c r="I315" s="2"/>
      <c r="J315" s="241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</row>
    <row r="316" spans="1:29" ht="13">
      <c r="A316" s="2"/>
      <c r="B316" s="2"/>
      <c r="C316" s="3"/>
      <c r="D316" s="2"/>
      <c r="E316" s="2"/>
      <c r="F316" s="2"/>
      <c r="G316" s="2"/>
      <c r="H316" s="2"/>
      <c r="I316" s="2"/>
      <c r="J316" s="241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</row>
    <row r="317" spans="1:29" ht="13">
      <c r="A317" s="2"/>
      <c r="B317" s="2"/>
      <c r="C317" s="3"/>
      <c r="D317" s="2"/>
      <c r="E317" s="2"/>
      <c r="F317" s="2"/>
      <c r="G317" s="2"/>
      <c r="H317" s="2"/>
      <c r="I317" s="2"/>
      <c r="J317" s="241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</row>
    <row r="318" spans="1:29" ht="13">
      <c r="A318" s="2"/>
      <c r="B318" s="2"/>
      <c r="C318" s="3"/>
      <c r="D318" s="2"/>
      <c r="E318" s="2"/>
      <c r="F318" s="2"/>
      <c r="G318" s="2"/>
      <c r="H318" s="2"/>
      <c r="I318" s="2"/>
      <c r="J318" s="241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</row>
    <row r="319" spans="1:29" ht="13">
      <c r="A319" s="2"/>
      <c r="B319" s="2"/>
      <c r="C319" s="3"/>
      <c r="D319" s="2"/>
      <c r="E319" s="2"/>
      <c r="F319" s="2"/>
      <c r="G319" s="2"/>
      <c r="H319" s="2"/>
      <c r="I319" s="2"/>
      <c r="J319" s="241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</row>
    <row r="320" spans="1:29" ht="13">
      <c r="A320" s="2"/>
      <c r="B320" s="2"/>
      <c r="C320" s="3"/>
      <c r="D320" s="2"/>
      <c r="E320" s="2"/>
      <c r="F320" s="2"/>
      <c r="G320" s="2"/>
      <c r="H320" s="2"/>
      <c r="I320" s="2"/>
      <c r="J320" s="241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</row>
    <row r="321" spans="1:29" ht="13">
      <c r="A321" s="2"/>
      <c r="B321" s="2"/>
      <c r="C321" s="3"/>
      <c r="D321" s="2"/>
      <c r="E321" s="2"/>
      <c r="F321" s="2"/>
      <c r="G321" s="2"/>
      <c r="H321" s="2"/>
      <c r="I321" s="2"/>
      <c r="J321" s="241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</row>
    <row r="322" spans="1:29" ht="13">
      <c r="A322" s="2"/>
      <c r="B322" s="2"/>
      <c r="C322" s="3"/>
      <c r="D322" s="2"/>
      <c r="E322" s="2"/>
      <c r="F322" s="2"/>
      <c r="G322" s="2"/>
      <c r="H322" s="2"/>
      <c r="I322" s="2"/>
      <c r="J322" s="241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</row>
    <row r="323" spans="1:29" ht="13">
      <c r="A323" s="2"/>
      <c r="B323" s="2"/>
      <c r="C323" s="3"/>
      <c r="D323" s="2"/>
      <c r="E323" s="2"/>
      <c r="F323" s="2"/>
      <c r="G323" s="2"/>
      <c r="H323" s="2"/>
      <c r="I323" s="2"/>
      <c r="J323" s="241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</row>
    <row r="324" spans="1:29" ht="13">
      <c r="A324" s="2"/>
      <c r="B324" s="2"/>
      <c r="C324" s="3"/>
      <c r="D324" s="2"/>
      <c r="E324" s="2"/>
      <c r="F324" s="2"/>
      <c r="G324" s="2"/>
      <c r="H324" s="2"/>
      <c r="I324" s="2"/>
      <c r="J324" s="241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</row>
    <row r="325" spans="1:29" ht="13">
      <c r="A325" s="2"/>
      <c r="B325" s="2"/>
      <c r="C325" s="3"/>
      <c r="D325" s="2"/>
      <c r="E325" s="2"/>
      <c r="F325" s="2"/>
      <c r="G325" s="2"/>
      <c r="H325" s="2"/>
      <c r="I325" s="2"/>
      <c r="J325" s="241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</row>
    <row r="326" spans="1:29" ht="13">
      <c r="A326" s="2"/>
      <c r="B326" s="2"/>
      <c r="C326" s="3"/>
      <c r="D326" s="2"/>
      <c r="E326" s="2"/>
      <c r="F326" s="2"/>
      <c r="G326" s="2"/>
      <c r="H326" s="2"/>
      <c r="I326" s="2"/>
      <c r="J326" s="241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</row>
    <row r="327" spans="1:29" ht="13">
      <c r="A327" s="2"/>
      <c r="B327" s="2"/>
      <c r="C327" s="3"/>
      <c r="D327" s="2"/>
      <c r="E327" s="2"/>
      <c r="F327" s="2"/>
      <c r="G327" s="2"/>
      <c r="H327" s="2"/>
      <c r="I327" s="2"/>
      <c r="J327" s="241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</row>
    <row r="328" spans="1:29" ht="13">
      <c r="A328" s="2"/>
      <c r="B328" s="2"/>
      <c r="C328" s="3"/>
      <c r="D328" s="2"/>
      <c r="E328" s="2"/>
      <c r="F328" s="2"/>
      <c r="G328" s="2"/>
      <c r="H328" s="2"/>
      <c r="I328" s="2"/>
      <c r="J328" s="241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</row>
    <row r="329" spans="1:29" ht="13">
      <c r="A329" s="2"/>
      <c r="B329" s="2"/>
      <c r="C329" s="3"/>
      <c r="D329" s="2"/>
      <c r="E329" s="2"/>
      <c r="F329" s="2"/>
      <c r="G329" s="2"/>
      <c r="H329" s="2"/>
      <c r="I329" s="2"/>
      <c r="J329" s="241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</row>
    <row r="330" spans="1:29" ht="13">
      <c r="A330" s="2"/>
      <c r="B330" s="2"/>
      <c r="C330" s="3"/>
      <c r="D330" s="2"/>
      <c r="E330" s="2"/>
      <c r="F330" s="2"/>
      <c r="G330" s="2"/>
      <c r="H330" s="2"/>
      <c r="I330" s="2"/>
      <c r="J330" s="241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</row>
    <row r="331" spans="1:29" ht="13">
      <c r="A331" s="2"/>
      <c r="B331" s="2"/>
      <c r="C331" s="3"/>
      <c r="D331" s="2"/>
      <c r="E331" s="2"/>
      <c r="F331" s="2"/>
      <c r="G331" s="2"/>
      <c r="H331" s="2"/>
      <c r="I331" s="2"/>
      <c r="J331" s="241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</row>
    <row r="332" spans="1:29" ht="13">
      <c r="A332" s="2"/>
      <c r="B332" s="2"/>
      <c r="C332" s="3"/>
      <c r="D332" s="2"/>
      <c r="E332" s="2"/>
      <c r="F332" s="2"/>
      <c r="G332" s="2"/>
      <c r="H332" s="2"/>
      <c r="I332" s="2"/>
      <c r="J332" s="241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</row>
    <row r="333" spans="1:29" ht="13">
      <c r="A333" s="2"/>
      <c r="B333" s="2"/>
      <c r="C333" s="3"/>
      <c r="D333" s="2"/>
      <c r="E333" s="2"/>
      <c r="F333" s="2"/>
      <c r="G333" s="2"/>
      <c r="H333" s="2"/>
      <c r="I333" s="2"/>
      <c r="J333" s="241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</row>
    <row r="334" spans="1:29" ht="13">
      <c r="A334" s="2"/>
      <c r="B334" s="2"/>
      <c r="C334" s="3"/>
      <c r="D334" s="2"/>
      <c r="E334" s="2"/>
      <c r="F334" s="2"/>
      <c r="G334" s="2"/>
      <c r="H334" s="2"/>
      <c r="I334" s="2"/>
      <c r="J334" s="241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</row>
    <row r="335" spans="1:29" ht="13">
      <c r="A335" s="2"/>
      <c r="B335" s="2"/>
      <c r="C335" s="3"/>
      <c r="D335" s="2"/>
      <c r="E335" s="2"/>
      <c r="F335" s="2"/>
      <c r="G335" s="2"/>
      <c r="H335" s="2"/>
      <c r="I335" s="2"/>
      <c r="J335" s="241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</row>
    <row r="336" spans="1:29" ht="13">
      <c r="A336" s="2"/>
      <c r="B336" s="2"/>
      <c r="C336" s="3"/>
      <c r="D336" s="2"/>
      <c r="E336" s="2"/>
      <c r="F336" s="2"/>
      <c r="G336" s="2"/>
      <c r="H336" s="2"/>
      <c r="I336" s="2"/>
      <c r="J336" s="241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</row>
    <row r="337" spans="1:29" ht="13">
      <c r="A337" s="2"/>
      <c r="B337" s="2"/>
      <c r="C337" s="3"/>
      <c r="D337" s="2"/>
      <c r="E337" s="2"/>
      <c r="F337" s="2"/>
      <c r="G337" s="2"/>
      <c r="H337" s="2"/>
      <c r="I337" s="2"/>
      <c r="J337" s="241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</row>
    <row r="338" spans="1:29" ht="13">
      <c r="A338" s="2"/>
      <c r="B338" s="2"/>
      <c r="C338" s="3"/>
      <c r="D338" s="2"/>
      <c r="E338" s="2"/>
      <c r="F338" s="2"/>
      <c r="G338" s="2"/>
      <c r="H338" s="2"/>
      <c r="I338" s="2"/>
      <c r="J338" s="241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</row>
    <row r="339" spans="1:29" ht="13">
      <c r="A339" s="2"/>
      <c r="B339" s="2"/>
      <c r="C339" s="3"/>
      <c r="D339" s="2"/>
      <c r="E339" s="2"/>
      <c r="F339" s="2"/>
      <c r="G339" s="2"/>
      <c r="H339" s="2"/>
      <c r="I339" s="2"/>
      <c r="J339" s="241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</row>
    <row r="340" spans="1:29" ht="13">
      <c r="A340" s="2"/>
      <c r="B340" s="2"/>
      <c r="C340" s="3"/>
      <c r="D340" s="2"/>
      <c r="E340" s="2"/>
      <c r="F340" s="2"/>
      <c r="G340" s="2"/>
      <c r="H340" s="2"/>
      <c r="I340" s="2"/>
      <c r="J340" s="241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</row>
    <row r="341" spans="1:29" ht="13">
      <c r="A341" s="2"/>
      <c r="B341" s="2"/>
      <c r="C341" s="3"/>
      <c r="D341" s="2"/>
      <c r="E341" s="2"/>
      <c r="F341" s="2"/>
      <c r="G341" s="2"/>
      <c r="H341" s="2"/>
      <c r="I341" s="2"/>
      <c r="J341" s="241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 spans="1:29" ht="13">
      <c r="A342" s="2"/>
      <c r="B342" s="2"/>
      <c r="C342" s="3"/>
      <c r="D342" s="2"/>
      <c r="E342" s="2"/>
      <c r="F342" s="2"/>
      <c r="G342" s="2"/>
      <c r="H342" s="2"/>
      <c r="I342" s="2"/>
      <c r="J342" s="241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 spans="1:29" ht="13">
      <c r="A343" s="2"/>
      <c r="B343" s="2"/>
      <c r="C343" s="3"/>
      <c r="D343" s="2"/>
      <c r="E343" s="2"/>
      <c r="F343" s="2"/>
      <c r="G343" s="2"/>
      <c r="H343" s="2"/>
      <c r="I343" s="2"/>
      <c r="J343" s="241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 spans="1:29" ht="13">
      <c r="A344" s="2"/>
      <c r="B344" s="2"/>
      <c r="C344" s="3"/>
      <c r="D344" s="2"/>
      <c r="E344" s="2"/>
      <c r="F344" s="2"/>
      <c r="G344" s="2"/>
      <c r="H344" s="2"/>
      <c r="I344" s="2"/>
      <c r="J344" s="241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</row>
    <row r="345" spans="1:29" ht="13">
      <c r="A345" s="2"/>
      <c r="B345" s="2"/>
      <c r="C345" s="3"/>
      <c r="D345" s="2"/>
      <c r="E345" s="2"/>
      <c r="F345" s="2"/>
      <c r="G345" s="2"/>
      <c r="H345" s="2"/>
      <c r="I345" s="2"/>
      <c r="J345" s="241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</row>
    <row r="346" spans="1:29" ht="13">
      <c r="A346" s="2"/>
      <c r="B346" s="2"/>
      <c r="C346" s="3"/>
      <c r="D346" s="2"/>
      <c r="E346" s="2"/>
      <c r="F346" s="2"/>
      <c r="G346" s="2"/>
      <c r="H346" s="2"/>
      <c r="I346" s="2"/>
      <c r="J346" s="241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</row>
    <row r="347" spans="1:29" ht="13">
      <c r="A347" s="2"/>
      <c r="B347" s="2"/>
      <c r="C347" s="3"/>
      <c r="D347" s="2"/>
      <c r="E347" s="2"/>
      <c r="F347" s="2"/>
      <c r="G347" s="2"/>
      <c r="H347" s="2"/>
      <c r="I347" s="2"/>
      <c r="J347" s="241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</row>
    <row r="348" spans="1:29" ht="13">
      <c r="A348" s="2"/>
      <c r="B348" s="2"/>
      <c r="C348" s="3"/>
      <c r="D348" s="2"/>
      <c r="E348" s="2"/>
      <c r="F348" s="2"/>
      <c r="G348" s="2"/>
      <c r="H348" s="2"/>
      <c r="I348" s="2"/>
      <c r="J348" s="241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</row>
    <row r="349" spans="1:29" ht="13">
      <c r="A349" s="2"/>
      <c r="B349" s="2"/>
      <c r="C349" s="3"/>
      <c r="D349" s="2"/>
      <c r="E349" s="2"/>
      <c r="F349" s="2"/>
      <c r="G349" s="2"/>
      <c r="H349" s="2"/>
      <c r="I349" s="2"/>
      <c r="J349" s="241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</row>
    <row r="350" spans="1:29" ht="13">
      <c r="A350" s="2"/>
      <c r="B350" s="2"/>
      <c r="C350" s="3"/>
      <c r="D350" s="2"/>
      <c r="E350" s="2"/>
      <c r="F350" s="2"/>
      <c r="G350" s="2"/>
      <c r="H350" s="2"/>
      <c r="I350" s="2"/>
      <c r="J350" s="241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</row>
    <row r="351" spans="1:29" ht="13">
      <c r="A351" s="2"/>
      <c r="B351" s="2"/>
      <c r="C351" s="3"/>
      <c r="D351" s="2"/>
      <c r="E351" s="2"/>
      <c r="F351" s="2"/>
      <c r="G351" s="2"/>
      <c r="H351" s="2"/>
      <c r="I351" s="2"/>
      <c r="J351" s="241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</row>
    <row r="352" spans="1:29" ht="13">
      <c r="A352" s="2"/>
      <c r="B352" s="2"/>
      <c r="C352" s="3"/>
      <c r="D352" s="2"/>
      <c r="E352" s="2"/>
      <c r="F352" s="2"/>
      <c r="G352" s="2"/>
      <c r="H352" s="2"/>
      <c r="I352" s="2"/>
      <c r="J352" s="241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</row>
    <row r="353" spans="1:29" ht="13">
      <c r="A353" s="2"/>
      <c r="B353" s="2"/>
      <c r="C353" s="3"/>
      <c r="D353" s="2"/>
      <c r="E353" s="2"/>
      <c r="F353" s="2"/>
      <c r="G353" s="2"/>
      <c r="H353" s="2"/>
      <c r="I353" s="2"/>
      <c r="J353" s="241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</row>
    <row r="354" spans="1:29" ht="13">
      <c r="A354" s="2"/>
      <c r="B354" s="2"/>
      <c r="C354" s="3"/>
      <c r="D354" s="2"/>
      <c r="E354" s="2"/>
      <c r="F354" s="2"/>
      <c r="G354" s="2"/>
      <c r="H354" s="2"/>
      <c r="I354" s="2"/>
      <c r="J354" s="241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</row>
    <row r="355" spans="1:29" ht="13">
      <c r="A355" s="2"/>
      <c r="B355" s="2"/>
      <c r="C355" s="3"/>
      <c r="D355" s="2"/>
      <c r="E355" s="2"/>
      <c r="F355" s="2"/>
      <c r="G355" s="2"/>
      <c r="H355" s="2"/>
      <c r="I355" s="2"/>
      <c r="J355" s="241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</row>
    <row r="356" spans="1:29" ht="13">
      <c r="A356" s="2"/>
      <c r="B356" s="2"/>
      <c r="C356" s="3"/>
      <c r="D356" s="2"/>
      <c r="E356" s="2"/>
      <c r="F356" s="2"/>
      <c r="G356" s="2"/>
      <c r="H356" s="2"/>
      <c r="I356" s="2"/>
      <c r="J356" s="241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</row>
    <row r="357" spans="1:29" ht="13">
      <c r="A357" s="2"/>
      <c r="B357" s="2"/>
      <c r="C357" s="3"/>
      <c r="D357" s="2"/>
      <c r="E357" s="2"/>
      <c r="F357" s="2"/>
      <c r="G357" s="2"/>
      <c r="H357" s="2"/>
      <c r="I357" s="2"/>
      <c r="J357" s="241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</row>
    <row r="358" spans="1:29" ht="13">
      <c r="A358" s="2"/>
      <c r="B358" s="2"/>
      <c r="C358" s="3"/>
      <c r="D358" s="2"/>
      <c r="E358" s="2"/>
      <c r="F358" s="2"/>
      <c r="G358" s="2"/>
      <c r="H358" s="2"/>
      <c r="I358" s="2"/>
      <c r="J358" s="241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</row>
    <row r="359" spans="1:29" ht="13">
      <c r="A359" s="2"/>
      <c r="B359" s="2"/>
      <c r="C359" s="3"/>
      <c r="D359" s="2"/>
      <c r="E359" s="2"/>
      <c r="F359" s="2"/>
      <c r="G359" s="2"/>
      <c r="H359" s="2"/>
      <c r="I359" s="2"/>
      <c r="J359" s="241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</row>
    <row r="360" spans="1:29" ht="13">
      <c r="A360" s="2"/>
      <c r="B360" s="2"/>
      <c r="C360" s="3"/>
      <c r="D360" s="2"/>
      <c r="E360" s="2"/>
      <c r="F360" s="2"/>
      <c r="G360" s="2"/>
      <c r="H360" s="2"/>
      <c r="I360" s="2"/>
      <c r="J360" s="241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</row>
    <row r="361" spans="1:29" ht="13">
      <c r="A361" s="2"/>
      <c r="B361" s="2"/>
      <c r="C361" s="3"/>
      <c r="D361" s="2"/>
      <c r="E361" s="2"/>
      <c r="F361" s="2"/>
      <c r="G361" s="2"/>
      <c r="H361" s="2"/>
      <c r="I361" s="2"/>
      <c r="J361" s="241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</row>
    <row r="362" spans="1:29" ht="13">
      <c r="A362" s="2"/>
      <c r="B362" s="2"/>
      <c r="C362" s="3"/>
      <c r="D362" s="2"/>
      <c r="E362" s="2"/>
      <c r="F362" s="2"/>
      <c r="G362" s="2"/>
      <c r="H362" s="2"/>
      <c r="I362" s="2"/>
      <c r="J362" s="241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</row>
    <row r="363" spans="1:29" ht="13">
      <c r="A363" s="2"/>
      <c r="B363" s="2"/>
      <c r="C363" s="3"/>
      <c r="D363" s="2"/>
      <c r="E363" s="2"/>
      <c r="F363" s="2"/>
      <c r="G363" s="2"/>
      <c r="H363" s="2"/>
      <c r="I363" s="2"/>
      <c r="J363" s="241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</row>
    <row r="364" spans="1:29" ht="13">
      <c r="A364" s="2"/>
      <c r="B364" s="2"/>
      <c r="C364" s="3"/>
      <c r="D364" s="2"/>
      <c r="E364" s="2"/>
      <c r="F364" s="2"/>
      <c r="G364" s="2"/>
      <c r="H364" s="2"/>
      <c r="I364" s="2"/>
      <c r="J364" s="241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</row>
    <row r="365" spans="1:29" ht="13">
      <c r="A365" s="2"/>
      <c r="B365" s="2"/>
      <c r="C365" s="3"/>
      <c r="D365" s="2"/>
      <c r="E365" s="2"/>
      <c r="F365" s="2"/>
      <c r="G365" s="2"/>
      <c r="H365" s="2"/>
      <c r="I365" s="2"/>
      <c r="J365" s="241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</row>
    <row r="366" spans="1:29" ht="13">
      <c r="A366" s="2"/>
      <c r="B366" s="2"/>
      <c r="C366" s="3"/>
      <c r="D366" s="2"/>
      <c r="E366" s="2"/>
      <c r="F366" s="2"/>
      <c r="G366" s="2"/>
      <c r="H366" s="2"/>
      <c r="I366" s="2"/>
      <c r="J366" s="241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</row>
    <row r="367" spans="1:29" ht="13">
      <c r="A367" s="2"/>
      <c r="B367" s="2"/>
      <c r="C367" s="3"/>
      <c r="D367" s="2"/>
      <c r="E367" s="2"/>
      <c r="F367" s="2"/>
      <c r="G367" s="2"/>
      <c r="H367" s="2"/>
      <c r="I367" s="2"/>
      <c r="J367" s="241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</row>
    <row r="368" spans="1:29" ht="13">
      <c r="A368" s="2"/>
      <c r="B368" s="2"/>
      <c r="C368" s="3"/>
      <c r="D368" s="2"/>
      <c r="E368" s="2"/>
      <c r="F368" s="2"/>
      <c r="G368" s="2"/>
      <c r="H368" s="2"/>
      <c r="I368" s="2"/>
      <c r="J368" s="241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</row>
    <row r="369" spans="1:29" ht="13">
      <c r="A369" s="2"/>
      <c r="B369" s="2"/>
      <c r="C369" s="3"/>
      <c r="D369" s="2"/>
      <c r="E369" s="2"/>
      <c r="F369" s="2"/>
      <c r="G369" s="2"/>
      <c r="H369" s="2"/>
      <c r="I369" s="2"/>
      <c r="J369" s="241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</row>
    <row r="370" spans="1:29" ht="13">
      <c r="A370" s="2"/>
      <c r="B370" s="2"/>
      <c r="C370" s="3"/>
      <c r="D370" s="2"/>
      <c r="E370" s="2"/>
      <c r="F370" s="2"/>
      <c r="G370" s="2"/>
      <c r="H370" s="2"/>
      <c r="I370" s="2"/>
      <c r="J370" s="241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</row>
    <row r="371" spans="1:29" ht="13">
      <c r="A371" s="2"/>
      <c r="B371" s="2"/>
      <c r="C371" s="3"/>
      <c r="D371" s="2"/>
      <c r="E371" s="2"/>
      <c r="F371" s="2"/>
      <c r="G371" s="2"/>
      <c r="H371" s="2"/>
      <c r="I371" s="2"/>
      <c r="J371" s="241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</row>
    <row r="372" spans="1:29" ht="13">
      <c r="A372" s="2"/>
      <c r="B372" s="2"/>
      <c r="C372" s="3"/>
      <c r="D372" s="2"/>
      <c r="E372" s="2"/>
      <c r="F372" s="2"/>
      <c r="G372" s="2"/>
      <c r="H372" s="2"/>
      <c r="I372" s="2"/>
      <c r="J372" s="241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</row>
    <row r="373" spans="1:29" ht="13">
      <c r="A373" s="2"/>
      <c r="B373" s="2"/>
      <c r="C373" s="3"/>
      <c r="D373" s="2"/>
      <c r="E373" s="2"/>
      <c r="F373" s="2"/>
      <c r="G373" s="2"/>
      <c r="H373" s="2"/>
      <c r="I373" s="2"/>
      <c r="J373" s="241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</row>
    <row r="374" spans="1:29" ht="13">
      <c r="A374" s="2"/>
      <c r="B374" s="2"/>
      <c r="C374" s="3"/>
      <c r="D374" s="2"/>
      <c r="E374" s="2"/>
      <c r="F374" s="2"/>
      <c r="G374" s="2"/>
      <c r="H374" s="2"/>
      <c r="I374" s="2"/>
      <c r="J374" s="241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</row>
    <row r="375" spans="1:29" ht="13">
      <c r="A375" s="2"/>
      <c r="B375" s="2"/>
      <c r="C375" s="3"/>
      <c r="D375" s="2"/>
      <c r="E375" s="2"/>
      <c r="F375" s="2"/>
      <c r="G375" s="2"/>
      <c r="H375" s="2"/>
      <c r="I375" s="2"/>
      <c r="J375" s="241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</row>
    <row r="376" spans="1:29" ht="13">
      <c r="A376" s="2"/>
      <c r="B376" s="2"/>
      <c r="C376" s="3"/>
      <c r="D376" s="2"/>
      <c r="E376" s="2"/>
      <c r="F376" s="2"/>
      <c r="G376" s="2"/>
      <c r="H376" s="2"/>
      <c r="I376" s="2"/>
      <c r="J376" s="241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</row>
    <row r="377" spans="1:29" ht="13">
      <c r="A377" s="2"/>
      <c r="B377" s="2"/>
      <c r="C377" s="3"/>
      <c r="D377" s="2"/>
      <c r="E377" s="2"/>
      <c r="F377" s="2"/>
      <c r="G377" s="2"/>
      <c r="H377" s="2"/>
      <c r="I377" s="2"/>
      <c r="J377" s="241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</row>
    <row r="378" spans="1:29" ht="13">
      <c r="A378" s="2"/>
      <c r="B378" s="2"/>
      <c r="C378" s="3"/>
      <c r="D378" s="2"/>
      <c r="E378" s="2"/>
      <c r="F378" s="2"/>
      <c r="G378" s="2"/>
      <c r="H378" s="2"/>
      <c r="I378" s="2"/>
      <c r="J378" s="241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</row>
    <row r="379" spans="1:29" ht="13">
      <c r="A379" s="2"/>
      <c r="B379" s="2"/>
      <c r="C379" s="3"/>
      <c r="D379" s="2"/>
      <c r="E379" s="2"/>
      <c r="F379" s="2"/>
      <c r="G379" s="2"/>
      <c r="H379" s="2"/>
      <c r="I379" s="2"/>
      <c r="J379" s="241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 spans="1:29" ht="13">
      <c r="A380" s="2"/>
      <c r="B380" s="2"/>
      <c r="C380" s="3"/>
      <c r="D380" s="2"/>
      <c r="E380" s="2"/>
      <c r="F380" s="2"/>
      <c r="G380" s="2"/>
      <c r="H380" s="2"/>
      <c r="I380" s="2"/>
      <c r="J380" s="241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 spans="1:29" ht="13">
      <c r="A381" s="2"/>
      <c r="B381" s="2"/>
      <c r="C381" s="3"/>
      <c r="D381" s="2"/>
      <c r="E381" s="2"/>
      <c r="F381" s="2"/>
      <c r="G381" s="2"/>
      <c r="H381" s="2"/>
      <c r="I381" s="2"/>
      <c r="J381" s="241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 spans="1:29" ht="13">
      <c r="A382" s="2"/>
      <c r="B382" s="2"/>
      <c r="C382" s="3"/>
      <c r="D382" s="2"/>
      <c r="E382" s="2"/>
      <c r="F382" s="2"/>
      <c r="G382" s="2"/>
      <c r="H382" s="2"/>
      <c r="I382" s="2"/>
      <c r="J382" s="241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</row>
    <row r="383" spans="1:29" ht="13">
      <c r="A383" s="2"/>
      <c r="B383" s="2"/>
      <c r="C383" s="3"/>
      <c r="D383" s="2"/>
      <c r="E383" s="2"/>
      <c r="F383" s="2"/>
      <c r="G383" s="2"/>
      <c r="H383" s="2"/>
      <c r="I383" s="2"/>
      <c r="J383" s="241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</row>
    <row r="384" spans="1:29" ht="13">
      <c r="A384" s="2"/>
      <c r="B384" s="2"/>
      <c r="C384" s="3"/>
      <c r="D384" s="2"/>
      <c r="E384" s="2"/>
      <c r="F384" s="2"/>
      <c r="G384" s="2"/>
      <c r="H384" s="2"/>
      <c r="I384" s="2"/>
      <c r="J384" s="241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</row>
    <row r="385" spans="1:29" ht="13">
      <c r="A385" s="2"/>
      <c r="B385" s="2"/>
      <c r="C385" s="3"/>
      <c r="D385" s="2"/>
      <c r="E385" s="2"/>
      <c r="F385" s="2"/>
      <c r="G385" s="2"/>
      <c r="H385" s="2"/>
      <c r="I385" s="2"/>
      <c r="J385" s="241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</row>
    <row r="386" spans="1:29" ht="13">
      <c r="A386" s="2"/>
      <c r="B386" s="2"/>
      <c r="C386" s="3"/>
      <c r="D386" s="2"/>
      <c r="E386" s="2"/>
      <c r="F386" s="2"/>
      <c r="G386" s="2"/>
      <c r="H386" s="2"/>
      <c r="I386" s="2"/>
      <c r="J386" s="241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</row>
    <row r="387" spans="1:29" ht="13">
      <c r="A387" s="2"/>
      <c r="B387" s="2"/>
      <c r="C387" s="3"/>
      <c r="D387" s="2"/>
      <c r="E387" s="2"/>
      <c r="F387" s="2"/>
      <c r="G387" s="2"/>
      <c r="H387" s="2"/>
      <c r="I387" s="2"/>
      <c r="J387" s="241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</row>
    <row r="388" spans="1:29" ht="13">
      <c r="A388" s="2"/>
      <c r="B388" s="2"/>
      <c r="C388" s="3"/>
      <c r="D388" s="2"/>
      <c r="E388" s="2"/>
      <c r="F388" s="2"/>
      <c r="G388" s="2"/>
      <c r="H388" s="2"/>
      <c r="I388" s="2"/>
      <c r="J388" s="241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</row>
    <row r="389" spans="1:29" ht="13">
      <c r="A389" s="2"/>
      <c r="B389" s="2"/>
      <c r="C389" s="3"/>
      <c r="D389" s="2"/>
      <c r="E389" s="2"/>
      <c r="F389" s="2"/>
      <c r="G389" s="2"/>
      <c r="H389" s="2"/>
      <c r="I389" s="2"/>
      <c r="J389" s="241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</row>
    <row r="390" spans="1:29" ht="13">
      <c r="A390" s="2"/>
      <c r="B390" s="2"/>
      <c r="C390" s="3"/>
      <c r="D390" s="2"/>
      <c r="E390" s="2"/>
      <c r="F390" s="2"/>
      <c r="G390" s="2"/>
      <c r="H390" s="2"/>
      <c r="I390" s="2"/>
      <c r="J390" s="241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</row>
    <row r="391" spans="1:29" ht="13">
      <c r="A391" s="2"/>
      <c r="B391" s="2"/>
      <c r="C391" s="3"/>
      <c r="D391" s="2"/>
      <c r="E391" s="2"/>
      <c r="F391" s="2"/>
      <c r="G391" s="2"/>
      <c r="H391" s="2"/>
      <c r="I391" s="2"/>
      <c r="J391" s="241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</row>
    <row r="392" spans="1:29" ht="13">
      <c r="A392" s="2"/>
      <c r="B392" s="2"/>
      <c r="C392" s="3"/>
      <c r="D392" s="2"/>
      <c r="E392" s="2"/>
      <c r="F392" s="2"/>
      <c r="G392" s="2"/>
      <c r="H392" s="2"/>
      <c r="I392" s="2"/>
      <c r="J392" s="241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</row>
    <row r="393" spans="1:29" ht="13">
      <c r="A393" s="2"/>
      <c r="B393" s="2"/>
      <c r="C393" s="3"/>
      <c r="D393" s="2"/>
      <c r="E393" s="2"/>
      <c r="F393" s="2"/>
      <c r="G393" s="2"/>
      <c r="H393" s="2"/>
      <c r="I393" s="2"/>
      <c r="J393" s="241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</row>
    <row r="394" spans="1:29" ht="13">
      <c r="A394" s="2"/>
      <c r="B394" s="2"/>
      <c r="C394" s="3"/>
      <c r="D394" s="2"/>
      <c r="E394" s="2"/>
      <c r="F394" s="2"/>
      <c r="G394" s="2"/>
      <c r="H394" s="2"/>
      <c r="I394" s="2"/>
      <c r="J394" s="241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</row>
    <row r="395" spans="1:29" ht="13">
      <c r="A395" s="2"/>
      <c r="B395" s="2"/>
      <c r="C395" s="3"/>
      <c r="D395" s="2"/>
      <c r="E395" s="2"/>
      <c r="F395" s="2"/>
      <c r="G395" s="2"/>
      <c r="H395" s="2"/>
      <c r="I395" s="2"/>
      <c r="J395" s="241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 spans="1:29" ht="13">
      <c r="A396" s="2"/>
      <c r="B396" s="2"/>
      <c r="C396" s="3"/>
      <c r="D396" s="2"/>
      <c r="E396" s="2"/>
      <c r="F396" s="2"/>
      <c r="G396" s="2"/>
      <c r="H396" s="2"/>
      <c r="I396" s="2"/>
      <c r="J396" s="241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 spans="1:29" ht="13">
      <c r="A397" s="2"/>
      <c r="B397" s="2"/>
      <c r="C397" s="3"/>
      <c r="D397" s="2"/>
      <c r="E397" s="2"/>
      <c r="F397" s="2"/>
      <c r="G397" s="2"/>
      <c r="H397" s="2"/>
      <c r="I397" s="2"/>
      <c r="J397" s="241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spans="1:29" ht="13">
      <c r="A398" s="2"/>
      <c r="B398" s="2"/>
      <c r="C398" s="3"/>
      <c r="D398" s="2"/>
      <c r="E398" s="2"/>
      <c r="F398" s="2"/>
      <c r="G398" s="2"/>
      <c r="H398" s="2"/>
      <c r="I398" s="2"/>
      <c r="J398" s="241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spans="1:29" ht="13">
      <c r="A399" s="2"/>
      <c r="B399" s="2"/>
      <c r="C399" s="3"/>
      <c r="D399" s="2"/>
      <c r="E399" s="2"/>
      <c r="F399" s="2"/>
      <c r="G399" s="2"/>
      <c r="H399" s="2"/>
      <c r="I399" s="2"/>
      <c r="J399" s="241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spans="1:29" ht="13">
      <c r="A400" s="2"/>
      <c r="B400" s="2"/>
      <c r="C400" s="3"/>
      <c r="D400" s="2"/>
      <c r="E400" s="2"/>
      <c r="F400" s="2"/>
      <c r="G400" s="2"/>
      <c r="H400" s="2"/>
      <c r="I400" s="2"/>
      <c r="J400" s="241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spans="1:29" ht="13">
      <c r="A401" s="2"/>
      <c r="B401" s="2"/>
      <c r="C401" s="3"/>
      <c r="D401" s="2"/>
      <c r="E401" s="2"/>
      <c r="F401" s="2"/>
      <c r="G401" s="2"/>
      <c r="H401" s="2"/>
      <c r="I401" s="2"/>
      <c r="J401" s="241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spans="1:29" ht="13">
      <c r="A402" s="2"/>
      <c r="B402" s="2"/>
      <c r="C402" s="3"/>
      <c r="D402" s="2"/>
      <c r="E402" s="2"/>
      <c r="F402" s="2"/>
      <c r="G402" s="2"/>
      <c r="H402" s="2"/>
      <c r="I402" s="2"/>
      <c r="J402" s="241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spans="1:29" ht="13">
      <c r="A403" s="2"/>
      <c r="B403" s="2"/>
      <c r="C403" s="3"/>
      <c r="D403" s="2"/>
      <c r="E403" s="2"/>
      <c r="F403" s="2"/>
      <c r="G403" s="2"/>
      <c r="H403" s="2"/>
      <c r="I403" s="2"/>
      <c r="J403" s="241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spans="1:29" ht="13">
      <c r="A404" s="2"/>
      <c r="B404" s="2"/>
      <c r="C404" s="3"/>
      <c r="D404" s="2"/>
      <c r="E404" s="2"/>
      <c r="F404" s="2"/>
      <c r="G404" s="2"/>
      <c r="H404" s="2"/>
      <c r="I404" s="2"/>
      <c r="J404" s="241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spans="1:29" ht="13">
      <c r="A405" s="2"/>
      <c r="B405" s="2"/>
      <c r="C405" s="3"/>
      <c r="D405" s="2"/>
      <c r="E405" s="2"/>
      <c r="F405" s="2"/>
      <c r="G405" s="2"/>
      <c r="H405" s="2"/>
      <c r="I405" s="2"/>
      <c r="J405" s="241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spans="1:29" ht="13">
      <c r="A406" s="2"/>
      <c r="B406" s="2"/>
      <c r="C406" s="3"/>
      <c r="D406" s="2"/>
      <c r="E406" s="2"/>
      <c r="F406" s="2"/>
      <c r="G406" s="2"/>
      <c r="H406" s="2"/>
      <c r="I406" s="2"/>
      <c r="J406" s="241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spans="1:29" ht="13">
      <c r="A407" s="2"/>
      <c r="B407" s="2"/>
      <c r="C407" s="3"/>
      <c r="D407" s="2"/>
      <c r="E407" s="2"/>
      <c r="F407" s="2"/>
      <c r="G407" s="2"/>
      <c r="H407" s="2"/>
      <c r="I407" s="2"/>
      <c r="J407" s="241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spans="1:29" ht="13">
      <c r="A408" s="2"/>
      <c r="B408" s="2"/>
      <c r="C408" s="3"/>
      <c r="D408" s="2"/>
      <c r="E408" s="2"/>
      <c r="F408" s="2"/>
      <c r="G408" s="2"/>
      <c r="H408" s="2"/>
      <c r="I408" s="2"/>
      <c r="J408" s="241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spans="1:29" ht="13">
      <c r="A409" s="2"/>
      <c r="B409" s="2"/>
      <c r="C409" s="3"/>
      <c r="D409" s="2"/>
      <c r="E409" s="2"/>
      <c r="F409" s="2"/>
      <c r="G409" s="2"/>
      <c r="H409" s="2"/>
      <c r="I409" s="2"/>
      <c r="J409" s="241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spans="1:29" ht="13">
      <c r="A410" s="2"/>
      <c r="B410" s="2"/>
      <c r="C410" s="3"/>
      <c r="D410" s="2"/>
      <c r="E410" s="2"/>
      <c r="F410" s="2"/>
      <c r="G410" s="2"/>
      <c r="H410" s="2"/>
      <c r="I410" s="2"/>
      <c r="J410" s="241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spans="1:29" ht="13">
      <c r="A411" s="2"/>
      <c r="B411" s="2"/>
      <c r="C411" s="3"/>
      <c r="D411" s="2"/>
      <c r="E411" s="2"/>
      <c r="F411" s="2"/>
      <c r="G411" s="2"/>
      <c r="H411" s="2"/>
      <c r="I411" s="2"/>
      <c r="J411" s="241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spans="1:29" ht="13">
      <c r="A412" s="2"/>
      <c r="B412" s="2"/>
      <c r="C412" s="3"/>
      <c r="D412" s="2"/>
      <c r="E412" s="2"/>
      <c r="F412" s="2"/>
      <c r="G412" s="2"/>
      <c r="H412" s="2"/>
      <c r="I412" s="2"/>
      <c r="J412" s="241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spans="1:29" ht="13">
      <c r="A413" s="2"/>
      <c r="B413" s="2"/>
      <c r="C413" s="3"/>
      <c r="D413" s="2"/>
      <c r="E413" s="2"/>
      <c r="F413" s="2"/>
      <c r="G413" s="2"/>
      <c r="H413" s="2"/>
      <c r="I413" s="2"/>
      <c r="J413" s="241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spans="1:29" ht="13">
      <c r="A414" s="2"/>
      <c r="B414" s="2"/>
      <c r="C414" s="3"/>
      <c r="D414" s="2"/>
      <c r="E414" s="2"/>
      <c r="F414" s="2"/>
      <c r="G414" s="2"/>
      <c r="H414" s="2"/>
      <c r="I414" s="2"/>
      <c r="J414" s="241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spans="1:29" ht="13">
      <c r="A415" s="2"/>
      <c r="B415" s="2"/>
      <c r="C415" s="3"/>
      <c r="D415" s="2"/>
      <c r="E415" s="2"/>
      <c r="F415" s="2"/>
      <c r="G415" s="2"/>
      <c r="H415" s="2"/>
      <c r="I415" s="2"/>
      <c r="J415" s="241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spans="1:29" ht="13">
      <c r="A416" s="2"/>
      <c r="B416" s="2"/>
      <c r="C416" s="3"/>
      <c r="D416" s="2"/>
      <c r="E416" s="2"/>
      <c r="F416" s="2"/>
      <c r="G416" s="2"/>
      <c r="H416" s="2"/>
      <c r="I416" s="2"/>
      <c r="J416" s="241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spans="1:29" ht="13">
      <c r="A417" s="2"/>
      <c r="B417" s="2"/>
      <c r="C417" s="3"/>
      <c r="D417" s="2"/>
      <c r="E417" s="2"/>
      <c r="F417" s="2"/>
      <c r="G417" s="2"/>
      <c r="H417" s="2"/>
      <c r="I417" s="2"/>
      <c r="J417" s="241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spans="1:29" ht="13">
      <c r="A418" s="2"/>
      <c r="B418" s="2"/>
      <c r="C418" s="3"/>
      <c r="D418" s="2"/>
      <c r="E418" s="2"/>
      <c r="F418" s="2"/>
      <c r="G418" s="2"/>
      <c r="H418" s="2"/>
      <c r="I418" s="2"/>
      <c r="J418" s="241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spans="1:29" ht="13">
      <c r="A419" s="2"/>
      <c r="B419" s="2"/>
      <c r="C419" s="3"/>
      <c r="D419" s="2"/>
      <c r="E419" s="2"/>
      <c r="F419" s="2"/>
      <c r="G419" s="2"/>
      <c r="H419" s="2"/>
      <c r="I419" s="2"/>
      <c r="J419" s="241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spans="1:29" ht="13">
      <c r="A420" s="2"/>
      <c r="B420" s="2"/>
      <c r="C420" s="3"/>
      <c r="D420" s="2"/>
      <c r="E420" s="2"/>
      <c r="F420" s="2"/>
      <c r="G420" s="2"/>
      <c r="H420" s="2"/>
      <c r="I420" s="2"/>
      <c r="J420" s="241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spans="1:29" ht="13">
      <c r="A421" s="2"/>
      <c r="B421" s="2"/>
      <c r="C421" s="3"/>
      <c r="D421" s="2"/>
      <c r="E421" s="2"/>
      <c r="F421" s="2"/>
      <c r="G421" s="2"/>
      <c r="H421" s="2"/>
      <c r="I421" s="2"/>
      <c r="J421" s="241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spans="1:29" ht="13">
      <c r="A422" s="2"/>
      <c r="B422" s="2"/>
      <c r="C422" s="3"/>
      <c r="D422" s="2"/>
      <c r="E422" s="2"/>
      <c r="F422" s="2"/>
      <c r="G422" s="2"/>
      <c r="H422" s="2"/>
      <c r="I422" s="2"/>
      <c r="J422" s="241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spans="1:29" ht="13">
      <c r="A423" s="2"/>
      <c r="B423" s="2"/>
      <c r="C423" s="3"/>
      <c r="D423" s="2"/>
      <c r="E423" s="2"/>
      <c r="F423" s="2"/>
      <c r="G423" s="2"/>
      <c r="H423" s="2"/>
      <c r="I423" s="2"/>
      <c r="J423" s="241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spans="1:29" ht="13">
      <c r="A424" s="2"/>
      <c r="B424" s="2"/>
      <c r="C424" s="3"/>
      <c r="D424" s="2"/>
      <c r="E424" s="2"/>
      <c r="F424" s="2"/>
      <c r="G424" s="2"/>
      <c r="H424" s="2"/>
      <c r="I424" s="2"/>
      <c r="J424" s="241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spans="1:29" ht="13">
      <c r="A425" s="2"/>
      <c r="B425" s="2"/>
      <c r="C425" s="3"/>
      <c r="D425" s="2"/>
      <c r="E425" s="2"/>
      <c r="F425" s="2"/>
      <c r="G425" s="2"/>
      <c r="H425" s="2"/>
      <c r="I425" s="2"/>
      <c r="J425" s="241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spans="1:29" ht="13">
      <c r="A426" s="2"/>
      <c r="B426" s="2"/>
      <c r="C426" s="3"/>
      <c r="D426" s="2"/>
      <c r="E426" s="2"/>
      <c r="F426" s="2"/>
      <c r="G426" s="2"/>
      <c r="H426" s="2"/>
      <c r="I426" s="2"/>
      <c r="J426" s="241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spans="1:29" ht="13">
      <c r="A427" s="2"/>
      <c r="B427" s="2"/>
      <c r="C427" s="3"/>
      <c r="D427" s="2"/>
      <c r="E427" s="2"/>
      <c r="F427" s="2"/>
      <c r="G427" s="2"/>
      <c r="H427" s="2"/>
      <c r="I427" s="2"/>
      <c r="J427" s="241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spans="1:29" ht="13">
      <c r="A428" s="2"/>
      <c r="B428" s="2"/>
      <c r="C428" s="3"/>
      <c r="D428" s="2"/>
      <c r="E428" s="2"/>
      <c r="F428" s="2"/>
      <c r="G428" s="2"/>
      <c r="H428" s="2"/>
      <c r="I428" s="2"/>
      <c r="J428" s="241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spans="1:29" ht="13">
      <c r="A429" s="2"/>
      <c r="B429" s="2"/>
      <c r="C429" s="3"/>
      <c r="D429" s="2"/>
      <c r="E429" s="2"/>
      <c r="F429" s="2"/>
      <c r="G429" s="2"/>
      <c r="H429" s="2"/>
      <c r="I429" s="2"/>
      <c r="J429" s="241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spans="1:29" ht="13">
      <c r="A430" s="2"/>
      <c r="B430" s="2"/>
      <c r="C430" s="3"/>
      <c r="D430" s="2"/>
      <c r="E430" s="2"/>
      <c r="F430" s="2"/>
      <c r="G430" s="2"/>
      <c r="H430" s="2"/>
      <c r="I430" s="2"/>
      <c r="J430" s="241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spans="1:29" ht="13">
      <c r="A431" s="2"/>
      <c r="B431" s="2"/>
      <c r="C431" s="3"/>
      <c r="D431" s="2"/>
      <c r="E431" s="2"/>
      <c r="F431" s="2"/>
      <c r="G431" s="2"/>
      <c r="H431" s="2"/>
      <c r="I431" s="2"/>
      <c r="J431" s="241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spans="1:29" ht="13">
      <c r="A432" s="2"/>
      <c r="B432" s="2"/>
      <c r="C432" s="3"/>
      <c r="D432" s="2"/>
      <c r="E432" s="2"/>
      <c r="F432" s="2"/>
      <c r="G432" s="2"/>
      <c r="H432" s="2"/>
      <c r="I432" s="2"/>
      <c r="J432" s="241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spans="1:29" ht="13">
      <c r="A433" s="2"/>
      <c r="B433" s="2"/>
      <c r="C433" s="3"/>
      <c r="D433" s="2"/>
      <c r="E433" s="2"/>
      <c r="F433" s="2"/>
      <c r="G433" s="2"/>
      <c r="H433" s="2"/>
      <c r="I433" s="2"/>
      <c r="J433" s="241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spans="1:29" ht="13">
      <c r="A434" s="2"/>
      <c r="B434" s="2"/>
      <c r="C434" s="3"/>
      <c r="D434" s="2"/>
      <c r="E434" s="2"/>
      <c r="F434" s="2"/>
      <c r="G434" s="2"/>
      <c r="H434" s="2"/>
      <c r="I434" s="2"/>
      <c r="J434" s="241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spans="1:29" ht="13">
      <c r="A435" s="2"/>
      <c r="B435" s="2"/>
      <c r="C435" s="3"/>
      <c r="D435" s="2"/>
      <c r="E435" s="2"/>
      <c r="F435" s="2"/>
      <c r="G435" s="2"/>
      <c r="H435" s="2"/>
      <c r="I435" s="2"/>
      <c r="J435" s="241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spans="1:29" ht="13">
      <c r="A436" s="2"/>
      <c r="B436" s="2"/>
      <c r="C436" s="3"/>
      <c r="D436" s="2"/>
      <c r="E436" s="2"/>
      <c r="F436" s="2"/>
      <c r="G436" s="2"/>
      <c r="H436" s="2"/>
      <c r="I436" s="2"/>
      <c r="J436" s="241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spans="1:29" ht="13">
      <c r="A437" s="2"/>
      <c r="B437" s="2"/>
      <c r="C437" s="3"/>
      <c r="D437" s="2"/>
      <c r="E437" s="2"/>
      <c r="F437" s="2"/>
      <c r="G437" s="2"/>
      <c r="H437" s="2"/>
      <c r="I437" s="2"/>
      <c r="J437" s="241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spans="1:29" ht="13">
      <c r="A438" s="2"/>
      <c r="B438" s="2"/>
      <c r="C438" s="3"/>
      <c r="D438" s="2"/>
      <c r="E438" s="2"/>
      <c r="F438" s="2"/>
      <c r="G438" s="2"/>
      <c r="H438" s="2"/>
      <c r="I438" s="2"/>
      <c r="J438" s="241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spans="1:29" ht="13">
      <c r="A439" s="2"/>
      <c r="B439" s="2"/>
      <c r="C439" s="3"/>
      <c r="D439" s="2"/>
      <c r="E439" s="2"/>
      <c r="F439" s="2"/>
      <c r="G439" s="2"/>
      <c r="H439" s="2"/>
      <c r="I439" s="2"/>
      <c r="J439" s="241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spans="1:29" ht="13">
      <c r="A440" s="2"/>
      <c r="B440" s="2"/>
      <c r="C440" s="3"/>
      <c r="D440" s="2"/>
      <c r="E440" s="2"/>
      <c r="F440" s="2"/>
      <c r="G440" s="2"/>
      <c r="H440" s="2"/>
      <c r="I440" s="2"/>
      <c r="J440" s="241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spans="1:29" ht="13">
      <c r="A441" s="2"/>
      <c r="B441" s="2"/>
      <c r="C441" s="3"/>
      <c r="D441" s="2"/>
      <c r="E441" s="2"/>
      <c r="F441" s="2"/>
      <c r="G441" s="2"/>
      <c r="H441" s="2"/>
      <c r="I441" s="2"/>
      <c r="J441" s="241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spans="1:29" ht="13">
      <c r="A442" s="2"/>
      <c r="B442" s="2"/>
      <c r="C442" s="3"/>
      <c r="D442" s="2"/>
      <c r="E442" s="2"/>
      <c r="F442" s="2"/>
      <c r="G442" s="2"/>
      <c r="H442" s="2"/>
      <c r="I442" s="2"/>
      <c r="J442" s="241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spans="1:29" ht="13">
      <c r="A443" s="2"/>
      <c r="B443" s="2"/>
      <c r="C443" s="3"/>
      <c r="D443" s="2"/>
      <c r="E443" s="2"/>
      <c r="F443" s="2"/>
      <c r="G443" s="2"/>
      <c r="H443" s="2"/>
      <c r="I443" s="2"/>
      <c r="J443" s="241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spans="1:29" ht="13">
      <c r="A444" s="2"/>
      <c r="B444" s="2"/>
      <c r="C444" s="3"/>
      <c r="D444" s="2"/>
      <c r="E444" s="2"/>
      <c r="F444" s="2"/>
      <c r="G444" s="2"/>
      <c r="H444" s="2"/>
      <c r="I444" s="2"/>
      <c r="J444" s="241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spans="1:29" ht="13">
      <c r="A445" s="2"/>
      <c r="B445" s="2"/>
      <c r="C445" s="3"/>
      <c r="D445" s="2"/>
      <c r="E445" s="2"/>
      <c r="F445" s="2"/>
      <c r="G445" s="2"/>
      <c r="H445" s="2"/>
      <c r="I445" s="2"/>
      <c r="J445" s="241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spans="1:29" ht="13">
      <c r="A446" s="2"/>
      <c r="B446" s="2"/>
      <c r="C446" s="3"/>
      <c r="D446" s="2"/>
      <c r="E446" s="2"/>
      <c r="F446" s="2"/>
      <c r="G446" s="2"/>
      <c r="H446" s="2"/>
      <c r="I446" s="2"/>
      <c r="J446" s="241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spans="1:29" ht="13">
      <c r="A447" s="2"/>
      <c r="B447" s="2"/>
      <c r="C447" s="3"/>
      <c r="D447" s="2"/>
      <c r="E447" s="2"/>
      <c r="F447" s="2"/>
      <c r="G447" s="2"/>
      <c r="H447" s="2"/>
      <c r="I447" s="2"/>
      <c r="J447" s="241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spans="1:29" ht="13">
      <c r="A448" s="2"/>
      <c r="B448" s="2"/>
      <c r="C448" s="3"/>
      <c r="D448" s="2"/>
      <c r="E448" s="2"/>
      <c r="F448" s="2"/>
      <c r="G448" s="2"/>
      <c r="H448" s="2"/>
      <c r="I448" s="2"/>
      <c r="J448" s="241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spans="1:29" ht="13">
      <c r="A449" s="2"/>
      <c r="B449" s="2"/>
      <c r="C449" s="3"/>
      <c r="D449" s="2"/>
      <c r="E449" s="2"/>
      <c r="F449" s="2"/>
      <c r="G449" s="2"/>
      <c r="H449" s="2"/>
      <c r="I449" s="2"/>
      <c r="J449" s="241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spans="1:29" ht="13">
      <c r="A450" s="2"/>
      <c r="B450" s="2"/>
      <c r="C450" s="3"/>
      <c r="D450" s="2"/>
      <c r="E450" s="2"/>
      <c r="F450" s="2"/>
      <c r="G450" s="2"/>
      <c r="H450" s="2"/>
      <c r="I450" s="2"/>
      <c r="J450" s="241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spans="1:29" ht="13">
      <c r="A451" s="2"/>
      <c r="B451" s="2"/>
      <c r="C451" s="3"/>
      <c r="D451" s="2"/>
      <c r="E451" s="2"/>
      <c r="F451" s="2"/>
      <c r="G451" s="2"/>
      <c r="H451" s="2"/>
      <c r="I451" s="2"/>
      <c r="J451" s="241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spans="1:29" ht="13">
      <c r="A452" s="2"/>
      <c r="B452" s="2"/>
      <c r="C452" s="3"/>
      <c r="D452" s="2"/>
      <c r="E452" s="2"/>
      <c r="F452" s="2"/>
      <c r="G452" s="2"/>
      <c r="H452" s="2"/>
      <c r="I452" s="2"/>
      <c r="J452" s="241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spans="1:29" ht="13">
      <c r="A453" s="2"/>
      <c r="B453" s="2"/>
      <c r="C453" s="3"/>
      <c r="D453" s="2"/>
      <c r="E453" s="2"/>
      <c r="F453" s="2"/>
      <c r="G453" s="2"/>
      <c r="H453" s="2"/>
      <c r="I453" s="2"/>
      <c r="J453" s="241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spans="1:29" ht="13">
      <c r="A454" s="2"/>
      <c r="B454" s="2"/>
      <c r="C454" s="3"/>
      <c r="D454" s="2"/>
      <c r="E454" s="2"/>
      <c r="F454" s="2"/>
      <c r="G454" s="2"/>
      <c r="H454" s="2"/>
      <c r="I454" s="2"/>
      <c r="J454" s="241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spans="1:29" ht="13">
      <c r="A455" s="2"/>
      <c r="B455" s="2"/>
      <c r="C455" s="3"/>
      <c r="D455" s="2"/>
      <c r="E455" s="2"/>
      <c r="F455" s="2"/>
      <c r="G455" s="2"/>
      <c r="H455" s="2"/>
      <c r="I455" s="2"/>
      <c r="J455" s="241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spans="1:29" ht="13">
      <c r="A456" s="2"/>
      <c r="B456" s="2"/>
      <c r="C456" s="3"/>
      <c r="D456" s="2"/>
      <c r="E456" s="2"/>
      <c r="F456" s="2"/>
      <c r="G456" s="2"/>
      <c r="H456" s="2"/>
      <c r="I456" s="2"/>
      <c r="J456" s="241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spans="1:29" ht="13">
      <c r="A457" s="2"/>
      <c r="B457" s="2"/>
      <c r="C457" s="3"/>
      <c r="D457" s="2"/>
      <c r="E457" s="2"/>
      <c r="F457" s="2"/>
      <c r="G457" s="2"/>
      <c r="H457" s="2"/>
      <c r="I457" s="2"/>
      <c r="J457" s="241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spans="1:29" ht="13">
      <c r="A458" s="2"/>
      <c r="B458" s="2"/>
      <c r="C458" s="3"/>
      <c r="D458" s="2"/>
      <c r="E458" s="2"/>
      <c r="F458" s="2"/>
      <c r="G458" s="2"/>
      <c r="H458" s="2"/>
      <c r="I458" s="2"/>
      <c r="J458" s="241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spans="1:29" ht="13">
      <c r="A459" s="2"/>
      <c r="B459" s="2"/>
      <c r="C459" s="3"/>
      <c r="D459" s="2"/>
      <c r="E459" s="2"/>
      <c r="F459" s="2"/>
      <c r="G459" s="2"/>
      <c r="H459" s="2"/>
      <c r="I459" s="2"/>
      <c r="J459" s="241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spans="1:29" ht="13">
      <c r="A460" s="2"/>
      <c r="B460" s="2"/>
      <c r="C460" s="3"/>
      <c r="D460" s="2"/>
      <c r="E460" s="2"/>
      <c r="F460" s="2"/>
      <c r="G460" s="2"/>
      <c r="H460" s="2"/>
      <c r="I460" s="2"/>
      <c r="J460" s="241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spans="1:29" ht="13">
      <c r="A461" s="2"/>
      <c r="B461" s="2"/>
      <c r="C461" s="3"/>
      <c r="D461" s="2"/>
      <c r="E461" s="2"/>
      <c r="F461" s="2"/>
      <c r="G461" s="2"/>
      <c r="H461" s="2"/>
      <c r="I461" s="2"/>
      <c r="J461" s="241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spans="1:29" ht="13">
      <c r="A462" s="2"/>
      <c r="B462" s="2"/>
      <c r="C462" s="3"/>
      <c r="D462" s="2"/>
      <c r="E462" s="2"/>
      <c r="F462" s="2"/>
      <c r="G462" s="2"/>
      <c r="H462" s="2"/>
      <c r="I462" s="2"/>
      <c r="J462" s="241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spans="1:29" ht="13">
      <c r="A463" s="2"/>
      <c r="B463" s="2"/>
      <c r="C463" s="3"/>
      <c r="D463" s="2"/>
      <c r="E463" s="2"/>
      <c r="F463" s="2"/>
      <c r="G463" s="2"/>
      <c r="H463" s="2"/>
      <c r="I463" s="2"/>
      <c r="J463" s="241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spans="1:29" ht="13">
      <c r="A464" s="2"/>
      <c r="B464" s="2"/>
      <c r="C464" s="3"/>
      <c r="D464" s="2"/>
      <c r="E464" s="2"/>
      <c r="F464" s="2"/>
      <c r="G464" s="2"/>
      <c r="H464" s="2"/>
      <c r="I464" s="2"/>
      <c r="J464" s="241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spans="1:29" ht="13">
      <c r="A465" s="2"/>
      <c r="B465" s="2"/>
      <c r="C465" s="3"/>
      <c r="D465" s="2"/>
      <c r="E465" s="2"/>
      <c r="F465" s="2"/>
      <c r="G465" s="2"/>
      <c r="H465" s="2"/>
      <c r="I465" s="2"/>
      <c r="J465" s="241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spans="1:29" ht="13">
      <c r="A466" s="2"/>
      <c r="B466" s="2"/>
      <c r="C466" s="3"/>
      <c r="D466" s="2"/>
      <c r="E466" s="2"/>
      <c r="F466" s="2"/>
      <c r="G466" s="2"/>
      <c r="H466" s="2"/>
      <c r="I466" s="2"/>
      <c r="J466" s="241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spans="1:29" ht="13">
      <c r="A467" s="2"/>
      <c r="B467" s="2"/>
      <c r="C467" s="3"/>
      <c r="D467" s="2"/>
      <c r="E467" s="2"/>
      <c r="F467" s="2"/>
      <c r="G467" s="2"/>
      <c r="H467" s="2"/>
      <c r="I467" s="2"/>
      <c r="J467" s="241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spans="1:29" ht="13">
      <c r="A468" s="2"/>
      <c r="B468" s="2"/>
      <c r="C468" s="3"/>
      <c r="D468" s="2"/>
      <c r="E468" s="2"/>
      <c r="F468" s="2"/>
      <c r="G468" s="2"/>
      <c r="H468" s="2"/>
      <c r="I468" s="2"/>
      <c r="J468" s="241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spans="1:29" ht="13">
      <c r="A469" s="2"/>
      <c r="B469" s="2"/>
      <c r="C469" s="3"/>
      <c r="D469" s="2"/>
      <c r="E469" s="2"/>
      <c r="F469" s="2"/>
      <c r="G469" s="2"/>
      <c r="H469" s="2"/>
      <c r="I469" s="2"/>
      <c r="J469" s="241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spans="1:29" ht="13">
      <c r="A470" s="2"/>
      <c r="B470" s="2"/>
      <c r="C470" s="3"/>
      <c r="D470" s="2"/>
      <c r="E470" s="2"/>
      <c r="F470" s="2"/>
      <c r="G470" s="2"/>
      <c r="H470" s="2"/>
      <c r="I470" s="2"/>
      <c r="J470" s="241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spans="1:29" ht="13">
      <c r="A471" s="2"/>
      <c r="B471" s="2"/>
      <c r="C471" s="3"/>
      <c r="D471" s="2"/>
      <c r="E471" s="2"/>
      <c r="F471" s="2"/>
      <c r="G471" s="2"/>
      <c r="H471" s="2"/>
      <c r="I471" s="2"/>
      <c r="J471" s="241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spans="1:29" ht="13">
      <c r="A472" s="2"/>
      <c r="B472" s="2"/>
      <c r="C472" s="3"/>
      <c r="D472" s="2"/>
      <c r="E472" s="2"/>
      <c r="F472" s="2"/>
      <c r="G472" s="2"/>
      <c r="H472" s="2"/>
      <c r="I472" s="2"/>
      <c r="J472" s="241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spans="1:29" ht="13">
      <c r="A473" s="2"/>
      <c r="B473" s="2"/>
      <c r="C473" s="3"/>
      <c r="D473" s="2"/>
      <c r="E473" s="2"/>
      <c r="F473" s="2"/>
      <c r="G473" s="2"/>
      <c r="H473" s="2"/>
      <c r="I473" s="2"/>
      <c r="J473" s="241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spans="1:29" ht="13">
      <c r="A474" s="2"/>
      <c r="B474" s="2"/>
      <c r="C474" s="3"/>
      <c r="D474" s="2"/>
      <c r="E474" s="2"/>
      <c r="F474" s="2"/>
      <c r="G474" s="2"/>
      <c r="H474" s="2"/>
      <c r="I474" s="2"/>
      <c r="J474" s="241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spans="1:29" ht="13">
      <c r="A475" s="2"/>
      <c r="B475" s="2"/>
      <c r="C475" s="3"/>
      <c r="D475" s="2"/>
      <c r="E475" s="2"/>
      <c r="F475" s="2"/>
      <c r="G475" s="2"/>
      <c r="H475" s="2"/>
      <c r="I475" s="2"/>
      <c r="J475" s="241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spans="1:29" ht="13">
      <c r="A476" s="2"/>
      <c r="B476" s="2"/>
      <c r="C476" s="3"/>
      <c r="D476" s="2"/>
      <c r="E476" s="2"/>
      <c r="F476" s="2"/>
      <c r="G476" s="2"/>
      <c r="H476" s="2"/>
      <c r="I476" s="2"/>
      <c r="J476" s="241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spans="1:29" ht="13">
      <c r="A477" s="2"/>
      <c r="B477" s="2"/>
      <c r="C477" s="3"/>
      <c r="D477" s="2"/>
      <c r="E477" s="2"/>
      <c r="F477" s="2"/>
      <c r="G477" s="2"/>
      <c r="H477" s="2"/>
      <c r="I477" s="2"/>
      <c r="J477" s="241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spans="1:29" ht="13">
      <c r="A478" s="2"/>
      <c r="B478" s="2"/>
      <c r="C478" s="3"/>
      <c r="D478" s="2"/>
      <c r="E478" s="2"/>
      <c r="F478" s="2"/>
      <c r="G478" s="2"/>
      <c r="H478" s="2"/>
      <c r="I478" s="2"/>
      <c r="J478" s="241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spans="1:29" ht="13">
      <c r="A479" s="2"/>
      <c r="B479" s="2"/>
      <c r="C479" s="3"/>
      <c r="D479" s="2"/>
      <c r="E479" s="2"/>
      <c r="F479" s="2"/>
      <c r="G479" s="2"/>
      <c r="H479" s="2"/>
      <c r="I479" s="2"/>
      <c r="J479" s="241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spans="1:29" ht="13">
      <c r="A480" s="2"/>
      <c r="B480" s="2"/>
      <c r="C480" s="3"/>
      <c r="D480" s="2"/>
      <c r="E480" s="2"/>
      <c r="F480" s="2"/>
      <c r="G480" s="2"/>
      <c r="H480" s="2"/>
      <c r="I480" s="2"/>
      <c r="J480" s="241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spans="1:29" ht="13">
      <c r="A481" s="2"/>
      <c r="B481" s="2"/>
      <c r="C481" s="3"/>
      <c r="D481" s="2"/>
      <c r="E481" s="2"/>
      <c r="F481" s="2"/>
      <c r="G481" s="2"/>
      <c r="H481" s="2"/>
      <c r="I481" s="2"/>
      <c r="J481" s="241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spans="1:29" ht="13">
      <c r="A482" s="2"/>
      <c r="B482" s="2"/>
      <c r="C482" s="3"/>
      <c r="D482" s="2"/>
      <c r="E482" s="2"/>
      <c r="F482" s="2"/>
      <c r="G482" s="2"/>
      <c r="H482" s="2"/>
      <c r="I482" s="2"/>
      <c r="J482" s="241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spans="1:29" ht="13">
      <c r="A483" s="2"/>
      <c r="B483" s="2"/>
      <c r="C483" s="3"/>
      <c r="D483" s="2"/>
      <c r="E483" s="2"/>
      <c r="F483" s="2"/>
      <c r="G483" s="2"/>
      <c r="H483" s="2"/>
      <c r="I483" s="2"/>
      <c r="J483" s="241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spans="1:29" ht="13">
      <c r="A484" s="2"/>
      <c r="B484" s="2"/>
      <c r="C484" s="3"/>
      <c r="D484" s="2"/>
      <c r="E484" s="2"/>
      <c r="F484" s="2"/>
      <c r="G484" s="2"/>
      <c r="H484" s="2"/>
      <c r="I484" s="2"/>
      <c r="J484" s="241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spans="1:29" ht="13">
      <c r="A485" s="2"/>
      <c r="B485" s="2"/>
      <c r="C485" s="3"/>
      <c r="D485" s="2"/>
      <c r="E485" s="2"/>
      <c r="F485" s="2"/>
      <c r="G485" s="2"/>
      <c r="H485" s="2"/>
      <c r="I485" s="2"/>
      <c r="J485" s="241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spans="1:29" ht="13">
      <c r="A486" s="2"/>
      <c r="B486" s="2"/>
      <c r="C486" s="3"/>
      <c r="D486" s="2"/>
      <c r="E486" s="2"/>
      <c r="F486" s="2"/>
      <c r="G486" s="2"/>
      <c r="H486" s="2"/>
      <c r="I486" s="2"/>
      <c r="J486" s="241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spans="1:29" ht="13">
      <c r="A487" s="2"/>
      <c r="B487" s="2"/>
      <c r="C487" s="3"/>
      <c r="D487" s="2"/>
      <c r="E487" s="2"/>
      <c r="F487" s="2"/>
      <c r="G487" s="2"/>
      <c r="H487" s="2"/>
      <c r="I487" s="2"/>
      <c r="J487" s="241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spans="1:29" ht="13">
      <c r="A488" s="2"/>
      <c r="B488" s="2"/>
      <c r="C488" s="3"/>
      <c r="D488" s="2"/>
      <c r="E488" s="2"/>
      <c r="F488" s="2"/>
      <c r="G488" s="2"/>
      <c r="H488" s="2"/>
      <c r="I488" s="2"/>
      <c r="J488" s="241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spans="1:29" ht="13">
      <c r="A489" s="2"/>
      <c r="B489" s="2"/>
      <c r="C489" s="3"/>
      <c r="D489" s="2"/>
      <c r="E489" s="2"/>
      <c r="F489" s="2"/>
      <c r="G489" s="2"/>
      <c r="H489" s="2"/>
      <c r="I489" s="2"/>
      <c r="J489" s="241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spans="1:29" ht="13">
      <c r="A490" s="2"/>
      <c r="B490" s="2"/>
      <c r="C490" s="3"/>
      <c r="D490" s="2"/>
      <c r="E490" s="2"/>
      <c r="F490" s="2"/>
      <c r="G490" s="2"/>
      <c r="H490" s="2"/>
      <c r="I490" s="2"/>
      <c r="J490" s="241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spans="1:29" ht="13">
      <c r="A491" s="2"/>
      <c r="B491" s="2"/>
      <c r="C491" s="3"/>
      <c r="D491" s="2"/>
      <c r="E491" s="2"/>
      <c r="F491" s="2"/>
      <c r="G491" s="2"/>
      <c r="H491" s="2"/>
      <c r="I491" s="2"/>
      <c r="J491" s="241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spans="1:29" ht="13">
      <c r="A492" s="2"/>
      <c r="B492" s="2"/>
      <c r="C492" s="3"/>
      <c r="D492" s="2"/>
      <c r="E492" s="2"/>
      <c r="F492" s="2"/>
      <c r="G492" s="2"/>
      <c r="H492" s="2"/>
      <c r="I492" s="2"/>
      <c r="J492" s="241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spans="1:29" ht="13">
      <c r="A493" s="2"/>
      <c r="B493" s="2"/>
      <c r="C493" s="3"/>
      <c r="D493" s="2"/>
      <c r="E493" s="2"/>
      <c r="F493" s="2"/>
      <c r="G493" s="2"/>
      <c r="H493" s="2"/>
      <c r="I493" s="2"/>
      <c r="J493" s="241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spans="1:29" ht="13">
      <c r="A494" s="2"/>
      <c r="B494" s="2"/>
      <c r="C494" s="3"/>
      <c r="D494" s="2"/>
      <c r="E494" s="2"/>
      <c r="F494" s="2"/>
      <c r="G494" s="2"/>
      <c r="H494" s="2"/>
      <c r="I494" s="2"/>
      <c r="J494" s="241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spans="1:29" ht="13">
      <c r="A495" s="2"/>
      <c r="B495" s="2"/>
      <c r="C495" s="3"/>
      <c r="D495" s="2"/>
      <c r="E495" s="2"/>
      <c r="F495" s="2"/>
      <c r="G495" s="2"/>
      <c r="H495" s="2"/>
      <c r="I495" s="2"/>
      <c r="J495" s="241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spans="1:29" ht="13">
      <c r="A496" s="2"/>
      <c r="B496" s="2"/>
      <c r="C496" s="3"/>
      <c r="D496" s="2"/>
      <c r="E496" s="2"/>
      <c r="F496" s="2"/>
      <c r="G496" s="2"/>
      <c r="H496" s="2"/>
      <c r="I496" s="2"/>
      <c r="J496" s="241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spans="1:29" ht="13">
      <c r="A497" s="2"/>
      <c r="B497" s="2"/>
      <c r="C497" s="3"/>
      <c r="D497" s="2"/>
      <c r="E497" s="2"/>
      <c r="F497" s="2"/>
      <c r="G497" s="2"/>
      <c r="H497" s="2"/>
      <c r="I497" s="2"/>
      <c r="J497" s="241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spans="1:29" ht="13">
      <c r="A498" s="2"/>
      <c r="B498" s="2"/>
      <c r="C498" s="3"/>
      <c r="D498" s="2"/>
      <c r="E498" s="2"/>
      <c r="F498" s="2"/>
      <c r="G498" s="2"/>
      <c r="H498" s="2"/>
      <c r="I498" s="2"/>
      <c r="J498" s="241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spans="1:29" ht="13">
      <c r="A499" s="2"/>
      <c r="B499" s="2"/>
      <c r="C499" s="3"/>
      <c r="D499" s="2"/>
      <c r="E499" s="2"/>
      <c r="F499" s="2"/>
      <c r="G499" s="2"/>
      <c r="H499" s="2"/>
      <c r="I499" s="2"/>
      <c r="J499" s="241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spans="1:29" ht="13">
      <c r="A500" s="2"/>
      <c r="B500" s="2"/>
      <c r="C500" s="3"/>
      <c r="D500" s="2"/>
      <c r="E500" s="2"/>
      <c r="F500" s="2"/>
      <c r="G500" s="2"/>
      <c r="H500" s="2"/>
      <c r="I500" s="2"/>
      <c r="J500" s="241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spans="1:29" ht="13">
      <c r="A501" s="2"/>
      <c r="B501" s="2"/>
      <c r="C501" s="3"/>
      <c r="D501" s="2"/>
      <c r="E501" s="2"/>
      <c r="F501" s="2"/>
      <c r="G501" s="2"/>
      <c r="H501" s="2"/>
      <c r="I501" s="2"/>
      <c r="J501" s="241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spans="1:29" ht="13">
      <c r="A502" s="2"/>
      <c r="B502" s="2"/>
      <c r="C502" s="3"/>
      <c r="D502" s="2"/>
      <c r="E502" s="2"/>
      <c r="F502" s="2"/>
      <c r="G502" s="2"/>
      <c r="H502" s="2"/>
      <c r="I502" s="2"/>
      <c r="J502" s="241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spans="1:29" ht="13">
      <c r="A503" s="2"/>
      <c r="B503" s="2"/>
      <c r="C503" s="3"/>
      <c r="D503" s="2"/>
      <c r="E503" s="2"/>
      <c r="F503" s="2"/>
      <c r="G503" s="2"/>
      <c r="H503" s="2"/>
      <c r="I503" s="2"/>
      <c r="J503" s="241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spans="1:29" ht="13">
      <c r="A504" s="2"/>
      <c r="B504" s="2"/>
      <c r="C504" s="3"/>
      <c r="D504" s="2"/>
      <c r="E504" s="2"/>
      <c r="F504" s="2"/>
      <c r="G504" s="2"/>
      <c r="H504" s="2"/>
      <c r="I504" s="2"/>
      <c r="J504" s="241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spans="1:29" ht="13">
      <c r="A505" s="2"/>
      <c r="B505" s="2"/>
      <c r="C505" s="3"/>
      <c r="D505" s="2"/>
      <c r="E505" s="2"/>
      <c r="F505" s="2"/>
      <c r="G505" s="2"/>
      <c r="H505" s="2"/>
      <c r="I505" s="2"/>
      <c r="J505" s="241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spans="1:29" ht="13">
      <c r="A506" s="2"/>
      <c r="B506" s="2"/>
      <c r="C506" s="3"/>
      <c r="D506" s="2"/>
      <c r="E506" s="2"/>
      <c r="F506" s="2"/>
      <c r="G506" s="2"/>
      <c r="H506" s="2"/>
      <c r="I506" s="2"/>
      <c r="J506" s="241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spans="1:29" ht="13">
      <c r="A507" s="2"/>
      <c r="B507" s="2"/>
      <c r="C507" s="3"/>
      <c r="D507" s="2"/>
      <c r="E507" s="2"/>
      <c r="F507" s="2"/>
      <c r="G507" s="2"/>
      <c r="H507" s="2"/>
      <c r="I507" s="2"/>
      <c r="J507" s="241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spans="1:29" ht="13">
      <c r="A508" s="2"/>
      <c r="B508" s="2"/>
      <c r="C508" s="3"/>
      <c r="D508" s="2"/>
      <c r="E508" s="2"/>
      <c r="F508" s="2"/>
      <c r="G508" s="2"/>
      <c r="H508" s="2"/>
      <c r="I508" s="2"/>
      <c r="J508" s="241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spans="1:29" ht="13">
      <c r="A509" s="2"/>
      <c r="B509" s="2"/>
      <c r="C509" s="3"/>
      <c r="D509" s="2"/>
      <c r="E509" s="2"/>
      <c r="F509" s="2"/>
      <c r="G509" s="2"/>
      <c r="H509" s="2"/>
      <c r="I509" s="2"/>
      <c r="J509" s="241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spans="1:29" ht="13">
      <c r="A510" s="2"/>
      <c r="B510" s="2"/>
      <c r="C510" s="3"/>
      <c r="D510" s="2"/>
      <c r="E510" s="2"/>
      <c r="F510" s="2"/>
      <c r="G510" s="2"/>
      <c r="H510" s="2"/>
      <c r="I510" s="2"/>
      <c r="J510" s="241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spans="1:29" ht="13">
      <c r="A511" s="2"/>
      <c r="B511" s="2"/>
      <c r="C511" s="3"/>
      <c r="D511" s="2"/>
      <c r="E511" s="2"/>
      <c r="F511" s="2"/>
      <c r="G511" s="2"/>
      <c r="H511" s="2"/>
      <c r="I511" s="2"/>
      <c r="J511" s="241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spans="1:29" ht="13">
      <c r="A512" s="2"/>
      <c r="B512" s="2"/>
      <c r="C512" s="3"/>
      <c r="D512" s="2"/>
      <c r="E512" s="2"/>
      <c r="F512" s="2"/>
      <c r="G512" s="2"/>
      <c r="H512" s="2"/>
      <c r="I512" s="2"/>
      <c r="J512" s="241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spans="1:29" ht="13">
      <c r="A513" s="2"/>
      <c r="B513" s="2"/>
      <c r="C513" s="3"/>
      <c r="D513" s="2"/>
      <c r="E513" s="2"/>
      <c r="F513" s="2"/>
      <c r="G513" s="2"/>
      <c r="H513" s="2"/>
      <c r="I513" s="2"/>
      <c r="J513" s="241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spans="1:29" ht="13">
      <c r="A514" s="2"/>
      <c r="B514" s="2"/>
      <c r="C514" s="3"/>
      <c r="D514" s="2"/>
      <c r="E514" s="2"/>
      <c r="F514" s="2"/>
      <c r="G514" s="2"/>
      <c r="H514" s="2"/>
      <c r="I514" s="2"/>
      <c r="J514" s="241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spans="1:29" ht="13">
      <c r="A515" s="2"/>
      <c r="B515" s="2"/>
      <c r="C515" s="3"/>
      <c r="D515" s="2"/>
      <c r="E515" s="2"/>
      <c r="F515" s="2"/>
      <c r="G515" s="2"/>
      <c r="H515" s="2"/>
      <c r="I515" s="2"/>
      <c r="J515" s="241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spans="1:29" ht="13">
      <c r="A516" s="2"/>
      <c r="B516" s="2"/>
      <c r="C516" s="3"/>
      <c r="D516" s="2"/>
      <c r="E516" s="2"/>
      <c r="F516" s="2"/>
      <c r="G516" s="2"/>
      <c r="H516" s="2"/>
      <c r="I516" s="2"/>
      <c r="J516" s="241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spans="1:29" ht="13">
      <c r="A517" s="2"/>
      <c r="B517" s="2"/>
      <c r="C517" s="3"/>
      <c r="D517" s="2"/>
      <c r="E517" s="2"/>
      <c r="F517" s="2"/>
      <c r="G517" s="2"/>
      <c r="H517" s="2"/>
      <c r="I517" s="2"/>
      <c r="J517" s="241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spans="1:29" ht="13">
      <c r="A518" s="2"/>
      <c r="B518" s="2"/>
      <c r="C518" s="3"/>
      <c r="D518" s="2"/>
      <c r="E518" s="2"/>
      <c r="F518" s="2"/>
      <c r="G518" s="2"/>
      <c r="H518" s="2"/>
      <c r="I518" s="2"/>
      <c r="J518" s="241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spans="1:29" ht="13">
      <c r="A519" s="2"/>
      <c r="B519" s="2"/>
      <c r="C519" s="3"/>
      <c r="D519" s="2"/>
      <c r="E519" s="2"/>
      <c r="F519" s="2"/>
      <c r="G519" s="2"/>
      <c r="H519" s="2"/>
      <c r="I519" s="2"/>
      <c r="J519" s="241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spans="1:29" ht="13">
      <c r="A520" s="2"/>
      <c r="B520" s="2"/>
      <c r="C520" s="3"/>
      <c r="D520" s="2"/>
      <c r="E520" s="2"/>
      <c r="F520" s="2"/>
      <c r="G520" s="2"/>
      <c r="H520" s="2"/>
      <c r="I520" s="2"/>
      <c r="J520" s="241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spans="1:29" ht="13">
      <c r="A521" s="2"/>
      <c r="B521" s="2"/>
      <c r="C521" s="3"/>
      <c r="D521" s="2"/>
      <c r="E521" s="2"/>
      <c r="F521" s="2"/>
      <c r="G521" s="2"/>
      <c r="H521" s="2"/>
      <c r="I521" s="2"/>
      <c r="J521" s="241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spans="1:29" ht="13">
      <c r="A522" s="2"/>
      <c r="B522" s="2"/>
      <c r="C522" s="3"/>
      <c r="D522" s="2"/>
      <c r="E522" s="2"/>
      <c r="F522" s="2"/>
      <c r="G522" s="2"/>
      <c r="H522" s="2"/>
      <c r="I522" s="2"/>
      <c r="J522" s="241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spans="1:29" ht="13">
      <c r="A523" s="2"/>
      <c r="B523" s="2"/>
      <c r="C523" s="3"/>
      <c r="D523" s="2"/>
      <c r="E523" s="2"/>
      <c r="F523" s="2"/>
      <c r="G523" s="2"/>
      <c r="H523" s="2"/>
      <c r="I523" s="2"/>
      <c r="J523" s="241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spans="1:29" ht="13">
      <c r="A524" s="2"/>
      <c r="B524" s="2"/>
      <c r="C524" s="3"/>
      <c r="D524" s="2"/>
      <c r="E524" s="2"/>
      <c r="F524" s="2"/>
      <c r="G524" s="2"/>
      <c r="H524" s="2"/>
      <c r="I524" s="2"/>
      <c r="J524" s="241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spans="1:29" ht="13">
      <c r="A525" s="2"/>
      <c r="B525" s="2"/>
      <c r="C525" s="3"/>
      <c r="D525" s="2"/>
      <c r="E525" s="2"/>
      <c r="F525" s="2"/>
      <c r="G525" s="2"/>
      <c r="H525" s="2"/>
      <c r="I525" s="2"/>
      <c r="J525" s="241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spans="1:29" ht="13">
      <c r="A526" s="2"/>
      <c r="B526" s="2"/>
      <c r="C526" s="3"/>
      <c r="D526" s="2"/>
      <c r="E526" s="2"/>
      <c r="F526" s="2"/>
      <c r="G526" s="2"/>
      <c r="H526" s="2"/>
      <c r="I526" s="2"/>
      <c r="J526" s="241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spans="1:29" ht="13">
      <c r="A527" s="2"/>
      <c r="B527" s="2"/>
      <c r="C527" s="3"/>
      <c r="D527" s="2"/>
      <c r="E527" s="2"/>
      <c r="F527" s="2"/>
      <c r="G527" s="2"/>
      <c r="H527" s="2"/>
      <c r="I527" s="2"/>
      <c r="J527" s="241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spans="1:29" ht="13">
      <c r="A528" s="2"/>
      <c r="B528" s="2"/>
      <c r="C528" s="3"/>
      <c r="D528" s="2"/>
      <c r="E528" s="2"/>
      <c r="F528" s="2"/>
      <c r="G528" s="2"/>
      <c r="H528" s="2"/>
      <c r="I528" s="2"/>
      <c r="J528" s="241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spans="1:29" ht="13">
      <c r="A529" s="2"/>
      <c r="B529" s="2"/>
      <c r="C529" s="3"/>
      <c r="D529" s="2"/>
      <c r="E529" s="2"/>
      <c r="F529" s="2"/>
      <c r="G529" s="2"/>
      <c r="H529" s="2"/>
      <c r="I529" s="2"/>
      <c r="J529" s="241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spans="1:29" ht="13">
      <c r="A530" s="2"/>
      <c r="B530" s="2"/>
      <c r="C530" s="3"/>
      <c r="D530" s="2"/>
      <c r="E530" s="2"/>
      <c r="F530" s="2"/>
      <c r="G530" s="2"/>
      <c r="H530" s="2"/>
      <c r="I530" s="2"/>
      <c r="J530" s="241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spans="1:29" ht="13">
      <c r="A531" s="2"/>
      <c r="B531" s="2"/>
      <c r="C531" s="3"/>
      <c r="D531" s="2"/>
      <c r="E531" s="2"/>
      <c r="F531" s="2"/>
      <c r="G531" s="2"/>
      <c r="H531" s="2"/>
      <c r="I531" s="2"/>
      <c r="J531" s="241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spans="1:29" ht="13">
      <c r="A532" s="2"/>
      <c r="B532" s="2"/>
      <c r="C532" s="3"/>
      <c r="D532" s="2"/>
      <c r="E532" s="2"/>
      <c r="F532" s="2"/>
      <c r="G532" s="2"/>
      <c r="H532" s="2"/>
      <c r="I532" s="2"/>
      <c r="J532" s="241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spans="1:29" ht="13">
      <c r="A533" s="2"/>
      <c r="B533" s="2"/>
      <c r="C533" s="3"/>
      <c r="D533" s="2"/>
      <c r="E533" s="2"/>
      <c r="F533" s="2"/>
      <c r="G533" s="2"/>
      <c r="H533" s="2"/>
      <c r="I533" s="2"/>
      <c r="J533" s="241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spans="1:29" ht="13">
      <c r="A534" s="2"/>
      <c r="B534" s="2"/>
      <c r="C534" s="3"/>
      <c r="D534" s="2"/>
      <c r="E534" s="2"/>
      <c r="F534" s="2"/>
      <c r="G534" s="2"/>
      <c r="H534" s="2"/>
      <c r="I534" s="2"/>
      <c r="J534" s="241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spans="1:29" ht="13">
      <c r="A535" s="2"/>
      <c r="B535" s="2"/>
      <c r="C535" s="3"/>
      <c r="D535" s="2"/>
      <c r="E535" s="2"/>
      <c r="F535" s="2"/>
      <c r="G535" s="2"/>
      <c r="H535" s="2"/>
      <c r="I535" s="2"/>
      <c r="J535" s="241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spans="1:29" ht="13">
      <c r="A536" s="2"/>
      <c r="B536" s="2"/>
      <c r="C536" s="3"/>
      <c r="D536" s="2"/>
      <c r="E536" s="2"/>
      <c r="F536" s="2"/>
      <c r="G536" s="2"/>
      <c r="H536" s="2"/>
      <c r="I536" s="2"/>
      <c r="J536" s="241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spans="1:29" ht="13">
      <c r="A537" s="2"/>
      <c r="B537" s="2"/>
      <c r="C537" s="3"/>
      <c r="D537" s="2"/>
      <c r="E537" s="2"/>
      <c r="F537" s="2"/>
      <c r="G537" s="2"/>
      <c r="H537" s="2"/>
      <c r="I537" s="2"/>
      <c r="J537" s="241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spans="1:29" ht="13">
      <c r="A538" s="2"/>
      <c r="B538" s="2"/>
      <c r="C538" s="3"/>
      <c r="D538" s="2"/>
      <c r="E538" s="2"/>
      <c r="F538" s="2"/>
      <c r="G538" s="2"/>
      <c r="H538" s="2"/>
      <c r="I538" s="2"/>
      <c r="J538" s="241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spans="1:29" ht="13">
      <c r="A539" s="2"/>
      <c r="B539" s="2"/>
      <c r="C539" s="3"/>
      <c r="D539" s="2"/>
      <c r="E539" s="2"/>
      <c r="F539" s="2"/>
      <c r="G539" s="2"/>
      <c r="H539" s="2"/>
      <c r="I539" s="2"/>
      <c r="J539" s="241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spans="1:29" ht="13">
      <c r="A540" s="2"/>
      <c r="B540" s="2"/>
      <c r="C540" s="3"/>
      <c r="D540" s="2"/>
      <c r="E540" s="2"/>
      <c r="F540" s="2"/>
      <c r="G540" s="2"/>
      <c r="H540" s="2"/>
      <c r="I540" s="2"/>
      <c r="J540" s="241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spans="1:29" ht="13">
      <c r="A541" s="2"/>
      <c r="B541" s="2"/>
      <c r="C541" s="3"/>
      <c r="D541" s="2"/>
      <c r="E541" s="2"/>
      <c r="F541" s="2"/>
      <c r="G541" s="2"/>
      <c r="H541" s="2"/>
      <c r="I541" s="2"/>
      <c r="J541" s="241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spans="1:29" ht="13">
      <c r="A542" s="2"/>
      <c r="B542" s="2"/>
      <c r="C542" s="3"/>
      <c r="D542" s="2"/>
      <c r="E542" s="2"/>
      <c r="F542" s="2"/>
      <c r="G542" s="2"/>
      <c r="H542" s="2"/>
      <c r="I542" s="2"/>
      <c r="J542" s="241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spans="1:29" ht="13">
      <c r="A543" s="2"/>
      <c r="B543" s="2"/>
      <c r="C543" s="3"/>
      <c r="D543" s="2"/>
      <c r="E543" s="2"/>
      <c r="F543" s="2"/>
      <c r="G543" s="2"/>
      <c r="H543" s="2"/>
      <c r="I543" s="2"/>
      <c r="J543" s="241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spans="1:29" ht="13">
      <c r="A544" s="2"/>
      <c r="B544" s="2"/>
      <c r="C544" s="3"/>
      <c r="D544" s="2"/>
      <c r="E544" s="2"/>
      <c r="F544" s="2"/>
      <c r="G544" s="2"/>
      <c r="H544" s="2"/>
      <c r="I544" s="2"/>
      <c r="J544" s="241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spans="1:29" ht="13">
      <c r="A545" s="2"/>
      <c r="B545" s="2"/>
      <c r="C545" s="3"/>
      <c r="D545" s="2"/>
      <c r="E545" s="2"/>
      <c r="F545" s="2"/>
      <c r="G545" s="2"/>
      <c r="H545" s="2"/>
      <c r="I545" s="2"/>
      <c r="J545" s="241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spans="1:29" ht="13">
      <c r="A546" s="2"/>
      <c r="B546" s="2"/>
      <c r="C546" s="3"/>
      <c r="D546" s="2"/>
      <c r="E546" s="2"/>
      <c r="F546" s="2"/>
      <c r="G546" s="2"/>
      <c r="H546" s="2"/>
      <c r="I546" s="2"/>
      <c r="J546" s="241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spans="1:29" ht="13">
      <c r="A547" s="2"/>
      <c r="B547" s="2"/>
      <c r="C547" s="3"/>
      <c r="D547" s="2"/>
      <c r="E547" s="2"/>
      <c r="F547" s="2"/>
      <c r="G547" s="2"/>
      <c r="H547" s="2"/>
      <c r="I547" s="2"/>
      <c r="J547" s="241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spans="1:29" ht="13">
      <c r="A548" s="2"/>
      <c r="B548" s="2"/>
      <c r="C548" s="3"/>
      <c r="D548" s="2"/>
      <c r="E548" s="2"/>
      <c r="F548" s="2"/>
      <c r="G548" s="2"/>
      <c r="H548" s="2"/>
      <c r="I548" s="2"/>
      <c r="J548" s="241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spans="1:29" ht="13">
      <c r="A549" s="2"/>
      <c r="B549" s="2"/>
      <c r="C549" s="3"/>
      <c r="D549" s="2"/>
      <c r="E549" s="2"/>
      <c r="F549" s="2"/>
      <c r="G549" s="2"/>
      <c r="H549" s="2"/>
      <c r="I549" s="2"/>
      <c r="J549" s="241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spans="1:29" ht="13">
      <c r="A550" s="2"/>
      <c r="B550" s="2"/>
      <c r="C550" s="3"/>
      <c r="D550" s="2"/>
      <c r="E550" s="2"/>
      <c r="F550" s="2"/>
      <c r="G550" s="2"/>
      <c r="H550" s="2"/>
      <c r="I550" s="2"/>
      <c r="J550" s="241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spans="1:29" ht="13">
      <c r="A551" s="2"/>
      <c r="B551" s="2"/>
      <c r="C551" s="3"/>
      <c r="D551" s="2"/>
      <c r="E551" s="2"/>
      <c r="F551" s="2"/>
      <c r="G551" s="2"/>
      <c r="H551" s="2"/>
      <c r="I551" s="2"/>
      <c r="J551" s="241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spans="1:29" ht="13">
      <c r="A552" s="2"/>
      <c r="B552" s="2"/>
      <c r="C552" s="3"/>
      <c r="D552" s="2"/>
      <c r="E552" s="2"/>
      <c r="F552" s="2"/>
      <c r="G552" s="2"/>
      <c r="H552" s="2"/>
      <c r="I552" s="2"/>
      <c r="J552" s="241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spans="1:29" ht="13">
      <c r="A553" s="2"/>
      <c r="B553" s="2"/>
      <c r="C553" s="3"/>
      <c r="D553" s="2"/>
      <c r="E553" s="2"/>
      <c r="F553" s="2"/>
      <c r="G553" s="2"/>
      <c r="H553" s="2"/>
      <c r="I553" s="2"/>
      <c r="J553" s="241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spans="1:29" ht="13">
      <c r="A554" s="2"/>
      <c r="B554" s="2"/>
      <c r="C554" s="3"/>
      <c r="D554" s="2"/>
      <c r="E554" s="2"/>
      <c r="F554" s="2"/>
      <c r="G554" s="2"/>
      <c r="H554" s="2"/>
      <c r="I554" s="2"/>
      <c r="J554" s="241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spans="1:29" ht="13">
      <c r="A555" s="2"/>
      <c r="B555" s="2"/>
      <c r="C555" s="3"/>
      <c r="D555" s="2"/>
      <c r="E555" s="2"/>
      <c r="F555" s="2"/>
      <c r="G555" s="2"/>
      <c r="H555" s="2"/>
      <c r="I555" s="2"/>
      <c r="J555" s="241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spans="1:29" ht="13">
      <c r="A556" s="2"/>
      <c r="B556" s="2"/>
      <c r="C556" s="3"/>
      <c r="D556" s="2"/>
      <c r="E556" s="2"/>
      <c r="F556" s="2"/>
      <c r="G556" s="2"/>
      <c r="H556" s="2"/>
      <c r="I556" s="2"/>
      <c r="J556" s="241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spans="1:29" ht="13">
      <c r="A557" s="2"/>
      <c r="B557" s="2"/>
      <c r="C557" s="3"/>
      <c r="D557" s="2"/>
      <c r="E557" s="2"/>
      <c r="F557" s="2"/>
      <c r="G557" s="2"/>
      <c r="H557" s="2"/>
      <c r="I557" s="2"/>
      <c r="J557" s="241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spans="1:29" ht="13">
      <c r="A558" s="2"/>
      <c r="B558" s="2"/>
      <c r="C558" s="3"/>
      <c r="D558" s="2"/>
      <c r="E558" s="2"/>
      <c r="F558" s="2"/>
      <c r="G558" s="2"/>
      <c r="H558" s="2"/>
      <c r="I558" s="2"/>
      <c r="J558" s="241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spans="1:29" ht="13">
      <c r="A559" s="2"/>
      <c r="B559" s="2"/>
      <c r="C559" s="3"/>
      <c r="D559" s="2"/>
      <c r="E559" s="2"/>
      <c r="F559" s="2"/>
      <c r="G559" s="2"/>
      <c r="H559" s="2"/>
      <c r="I559" s="2"/>
      <c r="J559" s="241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spans="1:29" ht="13">
      <c r="A560" s="2"/>
      <c r="B560" s="2"/>
      <c r="C560" s="3"/>
      <c r="D560" s="2"/>
      <c r="E560" s="2"/>
      <c r="F560" s="2"/>
      <c r="G560" s="2"/>
      <c r="H560" s="2"/>
      <c r="I560" s="2"/>
      <c r="J560" s="241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spans="1:29" ht="13">
      <c r="A561" s="2"/>
      <c r="B561" s="2"/>
      <c r="C561" s="3"/>
      <c r="D561" s="2"/>
      <c r="E561" s="2"/>
      <c r="F561" s="2"/>
      <c r="G561" s="2"/>
      <c r="H561" s="2"/>
      <c r="I561" s="2"/>
      <c r="J561" s="241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spans="1:29" ht="13">
      <c r="A562" s="2"/>
      <c r="B562" s="2"/>
      <c r="C562" s="3"/>
      <c r="D562" s="2"/>
      <c r="E562" s="2"/>
      <c r="F562" s="2"/>
      <c r="G562" s="2"/>
      <c r="H562" s="2"/>
      <c r="I562" s="2"/>
      <c r="J562" s="241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spans="1:29" ht="13">
      <c r="A563" s="2"/>
      <c r="B563" s="2"/>
      <c r="C563" s="3"/>
      <c r="D563" s="2"/>
      <c r="E563" s="2"/>
      <c r="F563" s="2"/>
      <c r="G563" s="2"/>
      <c r="H563" s="2"/>
      <c r="I563" s="2"/>
      <c r="J563" s="241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spans="1:29" ht="13">
      <c r="A564" s="2"/>
      <c r="B564" s="2"/>
      <c r="C564" s="3"/>
      <c r="D564" s="2"/>
      <c r="E564" s="2"/>
      <c r="F564" s="2"/>
      <c r="G564" s="2"/>
      <c r="H564" s="2"/>
      <c r="I564" s="2"/>
      <c r="J564" s="241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spans="1:29" ht="13">
      <c r="A565" s="2"/>
      <c r="B565" s="2"/>
      <c r="C565" s="3"/>
      <c r="D565" s="2"/>
      <c r="E565" s="2"/>
      <c r="F565" s="2"/>
      <c r="G565" s="2"/>
      <c r="H565" s="2"/>
      <c r="I565" s="2"/>
      <c r="J565" s="241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spans="1:29" ht="13">
      <c r="A566" s="2"/>
      <c r="B566" s="2"/>
      <c r="C566" s="3"/>
      <c r="D566" s="2"/>
      <c r="E566" s="2"/>
      <c r="F566" s="2"/>
      <c r="G566" s="2"/>
      <c r="H566" s="2"/>
      <c r="I566" s="2"/>
      <c r="J566" s="241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spans="1:29" ht="13">
      <c r="A567" s="2"/>
      <c r="B567" s="2"/>
      <c r="C567" s="3"/>
      <c r="D567" s="2"/>
      <c r="E567" s="2"/>
      <c r="F567" s="2"/>
      <c r="G567" s="2"/>
      <c r="H567" s="2"/>
      <c r="I567" s="2"/>
      <c r="J567" s="241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spans="1:29" ht="13">
      <c r="A568" s="2"/>
      <c r="B568" s="2"/>
      <c r="C568" s="3"/>
      <c r="D568" s="2"/>
      <c r="E568" s="2"/>
      <c r="F568" s="2"/>
      <c r="G568" s="2"/>
      <c r="H568" s="2"/>
      <c r="I568" s="2"/>
      <c r="J568" s="241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spans="1:29" ht="13">
      <c r="A569" s="2"/>
      <c r="B569" s="2"/>
      <c r="C569" s="3"/>
      <c r="D569" s="2"/>
      <c r="E569" s="2"/>
      <c r="F569" s="2"/>
      <c r="G569" s="2"/>
      <c r="H569" s="2"/>
      <c r="I569" s="2"/>
      <c r="J569" s="241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spans="1:29" ht="13">
      <c r="A570" s="2"/>
      <c r="B570" s="2"/>
      <c r="C570" s="3"/>
      <c r="D570" s="2"/>
      <c r="E570" s="2"/>
      <c r="F570" s="2"/>
      <c r="G570" s="2"/>
      <c r="H570" s="2"/>
      <c r="I570" s="2"/>
      <c r="J570" s="241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spans="1:29" ht="13">
      <c r="A571" s="2"/>
      <c r="B571" s="2"/>
      <c r="C571" s="3"/>
      <c r="D571" s="2"/>
      <c r="E571" s="2"/>
      <c r="F571" s="2"/>
      <c r="G571" s="2"/>
      <c r="H571" s="2"/>
      <c r="I571" s="2"/>
      <c r="J571" s="241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spans="1:29" ht="13">
      <c r="A572" s="2"/>
      <c r="B572" s="2"/>
      <c r="C572" s="3"/>
      <c r="D572" s="2"/>
      <c r="E572" s="2"/>
      <c r="F572" s="2"/>
      <c r="G572" s="2"/>
      <c r="H572" s="2"/>
      <c r="I572" s="2"/>
      <c r="J572" s="241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spans="1:29" ht="13">
      <c r="A573" s="2"/>
      <c r="B573" s="2"/>
      <c r="C573" s="3"/>
      <c r="D573" s="2"/>
      <c r="E573" s="2"/>
      <c r="F573" s="2"/>
      <c r="G573" s="2"/>
      <c r="H573" s="2"/>
      <c r="I573" s="2"/>
      <c r="J573" s="241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spans="1:29" ht="13">
      <c r="A574" s="2"/>
      <c r="B574" s="2"/>
      <c r="C574" s="3"/>
      <c r="D574" s="2"/>
      <c r="E574" s="2"/>
      <c r="F574" s="2"/>
      <c r="G574" s="2"/>
      <c r="H574" s="2"/>
      <c r="I574" s="2"/>
      <c r="J574" s="241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spans="1:29" ht="13">
      <c r="A575" s="2"/>
      <c r="B575" s="2"/>
      <c r="C575" s="3"/>
      <c r="D575" s="2"/>
      <c r="E575" s="2"/>
      <c r="F575" s="2"/>
      <c r="G575" s="2"/>
      <c r="H575" s="2"/>
      <c r="I575" s="2"/>
      <c r="J575" s="241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spans="1:29" ht="13">
      <c r="A576" s="2"/>
      <c r="B576" s="2"/>
      <c r="C576" s="3"/>
      <c r="D576" s="2"/>
      <c r="E576" s="2"/>
      <c r="F576" s="2"/>
      <c r="G576" s="2"/>
      <c r="H576" s="2"/>
      <c r="I576" s="2"/>
      <c r="J576" s="241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spans="1:29" ht="13">
      <c r="A577" s="2"/>
      <c r="B577" s="2"/>
      <c r="C577" s="3"/>
      <c r="D577" s="2"/>
      <c r="E577" s="2"/>
      <c r="F577" s="2"/>
      <c r="G577" s="2"/>
      <c r="H577" s="2"/>
      <c r="I577" s="2"/>
      <c r="J577" s="241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spans="1:29" ht="13">
      <c r="A578" s="2"/>
      <c r="B578" s="2"/>
      <c r="C578" s="3"/>
      <c r="D578" s="2"/>
      <c r="E578" s="2"/>
      <c r="F578" s="2"/>
      <c r="G578" s="2"/>
      <c r="H578" s="2"/>
      <c r="I578" s="2"/>
      <c r="J578" s="241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spans="1:29" ht="13">
      <c r="A579" s="2"/>
      <c r="B579" s="2"/>
      <c r="C579" s="3"/>
      <c r="D579" s="2"/>
      <c r="E579" s="2"/>
      <c r="F579" s="2"/>
      <c r="G579" s="2"/>
      <c r="H579" s="2"/>
      <c r="I579" s="2"/>
      <c r="J579" s="241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spans="1:29" ht="13">
      <c r="A580" s="2"/>
      <c r="B580" s="2"/>
      <c r="C580" s="3"/>
      <c r="D580" s="2"/>
      <c r="E580" s="2"/>
      <c r="F580" s="2"/>
      <c r="G580" s="2"/>
      <c r="H580" s="2"/>
      <c r="I580" s="2"/>
      <c r="J580" s="241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spans="1:29" ht="13">
      <c r="A581" s="2"/>
      <c r="B581" s="2"/>
      <c r="C581" s="3"/>
      <c r="D581" s="2"/>
      <c r="E581" s="2"/>
      <c r="F581" s="2"/>
      <c r="G581" s="2"/>
      <c r="H581" s="2"/>
      <c r="I581" s="2"/>
      <c r="J581" s="241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spans="1:29" ht="13">
      <c r="A582" s="2"/>
      <c r="B582" s="2"/>
      <c r="C582" s="3"/>
      <c r="D582" s="2"/>
      <c r="E582" s="2"/>
      <c r="F582" s="2"/>
      <c r="G582" s="2"/>
      <c r="H582" s="2"/>
      <c r="I582" s="2"/>
      <c r="J582" s="241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spans="1:29" ht="13">
      <c r="A583" s="2"/>
      <c r="B583" s="2"/>
      <c r="C583" s="3"/>
      <c r="D583" s="2"/>
      <c r="E583" s="2"/>
      <c r="F583" s="2"/>
      <c r="G583" s="2"/>
      <c r="H583" s="2"/>
      <c r="I583" s="2"/>
      <c r="J583" s="241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spans="1:29" ht="13">
      <c r="A584" s="2"/>
      <c r="B584" s="2"/>
      <c r="C584" s="3"/>
      <c r="D584" s="2"/>
      <c r="E584" s="2"/>
      <c r="F584" s="2"/>
      <c r="G584" s="2"/>
      <c r="H584" s="2"/>
      <c r="I584" s="2"/>
      <c r="J584" s="241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spans="1:29" ht="13">
      <c r="A585" s="2"/>
      <c r="B585" s="2"/>
      <c r="C585" s="3"/>
      <c r="D585" s="2"/>
      <c r="E585" s="2"/>
      <c r="F585" s="2"/>
      <c r="G585" s="2"/>
      <c r="H585" s="2"/>
      <c r="I585" s="2"/>
      <c r="J585" s="241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spans="1:29" ht="13">
      <c r="A586" s="2"/>
      <c r="B586" s="2"/>
      <c r="C586" s="3"/>
      <c r="D586" s="2"/>
      <c r="E586" s="2"/>
      <c r="F586" s="2"/>
      <c r="G586" s="2"/>
      <c r="H586" s="2"/>
      <c r="I586" s="2"/>
      <c r="J586" s="241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spans="1:29" ht="13">
      <c r="A587" s="2"/>
      <c r="B587" s="2"/>
      <c r="C587" s="3"/>
      <c r="D587" s="2"/>
      <c r="E587" s="2"/>
      <c r="F587" s="2"/>
      <c r="G587" s="2"/>
      <c r="H587" s="2"/>
      <c r="I587" s="2"/>
      <c r="J587" s="241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spans="1:29" ht="13">
      <c r="A588" s="2"/>
      <c r="B588" s="2"/>
      <c r="C588" s="3"/>
      <c r="D588" s="2"/>
      <c r="E588" s="2"/>
      <c r="F588" s="2"/>
      <c r="G588" s="2"/>
      <c r="H588" s="2"/>
      <c r="I588" s="2"/>
      <c r="J588" s="241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spans="1:29" ht="13">
      <c r="A589" s="2"/>
      <c r="B589" s="2"/>
      <c r="C589" s="3"/>
      <c r="D589" s="2"/>
      <c r="E589" s="2"/>
      <c r="F589" s="2"/>
      <c r="G589" s="2"/>
      <c r="H589" s="2"/>
      <c r="I589" s="2"/>
      <c r="J589" s="241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spans="1:29" ht="13">
      <c r="A590" s="2"/>
      <c r="B590" s="2"/>
      <c r="C590" s="3"/>
      <c r="D590" s="2"/>
      <c r="E590" s="2"/>
      <c r="F590" s="2"/>
      <c r="G590" s="2"/>
      <c r="H590" s="2"/>
      <c r="I590" s="2"/>
      <c r="J590" s="241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spans="1:29" ht="13">
      <c r="A591" s="2"/>
      <c r="B591" s="2"/>
      <c r="C591" s="3"/>
      <c r="D591" s="2"/>
      <c r="E591" s="2"/>
      <c r="F591" s="2"/>
      <c r="G591" s="2"/>
      <c r="H591" s="2"/>
      <c r="I591" s="2"/>
      <c r="J591" s="241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spans="1:29" ht="13">
      <c r="A592" s="2"/>
      <c r="B592" s="2"/>
      <c r="C592" s="3"/>
      <c r="D592" s="2"/>
      <c r="E592" s="2"/>
      <c r="F592" s="2"/>
      <c r="G592" s="2"/>
      <c r="H592" s="2"/>
      <c r="I592" s="2"/>
      <c r="J592" s="241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spans="1:29" ht="13">
      <c r="A593" s="2"/>
      <c r="B593" s="2"/>
      <c r="C593" s="3"/>
      <c r="D593" s="2"/>
      <c r="E593" s="2"/>
      <c r="F593" s="2"/>
      <c r="G593" s="2"/>
      <c r="H593" s="2"/>
      <c r="I593" s="2"/>
      <c r="J593" s="241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spans="1:29" ht="13">
      <c r="A594" s="2"/>
      <c r="B594" s="2"/>
      <c r="C594" s="3"/>
      <c r="D594" s="2"/>
      <c r="E594" s="2"/>
      <c r="F594" s="2"/>
      <c r="G594" s="2"/>
      <c r="H594" s="2"/>
      <c r="I594" s="2"/>
      <c r="J594" s="241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spans="1:29" ht="13">
      <c r="A595" s="2"/>
      <c r="B595" s="2"/>
      <c r="C595" s="3"/>
      <c r="D595" s="2"/>
      <c r="E595" s="2"/>
      <c r="F595" s="2"/>
      <c r="G595" s="2"/>
      <c r="H595" s="2"/>
      <c r="I595" s="2"/>
      <c r="J595" s="241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spans="1:29" ht="13">
      <c r="A596" s="2"/>
      <c r="B596" s="2"/>
      <c r="C596" s="3"/>
      <c r="D596" s="2"/>
      <c r="E596" s="2"/>
      <c r="F596" s="2"/>
      <c r="G596" s="2"/>
      <c r="H596" s="2"/>
      <c r="I596" s="2"/>
      <c r="J596" s="241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spans="1:29" ht="13">
      <c r="A597" s="2"/>
      <c r="B597" s="2"/>
      <c r="C597" s="3"/>
      <c r="D597" s="2"/>
      <c r="E597" s="2"/>
      <c r="F597" s="2"/>
      <c r="G597" s="2"/>
      <c r="H597" s="2"/>
      <c r="I597" s="2"/>
      <c r="J597" s="241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spans="1:29" ht="13">
      <c r="A598" s="2"/>
      <c r="B598" s="2"/>
      <c r="C598" s="3"/>
      <c r="D598" s="2"/>
      <c r="E598" s="2"/>
      <c r="F598" s="2"/>
      <c r="G598" s="2"/>
      <c r="H598" s="2"/>
      <c r="I598" s="2"/>
      <c r="J598" s="241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spans="1:29" ht="13">
      <c r="A599" s="2"/>
      <c r="B599" s="2"/>
      <c r="C599" s="3"/>
      <c r="D599" s="2"/>
      <c r="E599" s="2"/>
      <c r="F599" s="2"/>
      <c r="G599" s="2"/>
      <c r="H599" s="2"/>
      <c r="I599" s="2"/>
      <c r="J599" s="241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spans="1:29" ht="13">
      <c r="A600" s="2"/>
      <c r="B600" s="2"/>
      <c r="C600" s="3"/>
      <c r="D600" s="2"/>
      <c r="E600" s="2"/>
      <c r="F600" s="2"/>
      <c r="G600" s="2"/>
      <c r="H600" s="2"/>
      <c r="I600" s="2"/>
      <c r="J600" s="241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spans="1:29" ht="13">
      <c r="A601" s="2"/>
      <c r="B601" s="2"/>
      <c r="C601" s="3"/>
      <c r="D601" s="2"/>
      <c r="E601" s="2"/>
      <c r="F601" s="2"/>
      <c r="G601" s="2"/>
      <c r="H601" s="2"/>
      <c r="I601" s="2"/>
      <c r="J601" s="241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spans="1:29" ht="13">
      <c r="A602" s="2"/>
      <c r="B602" s="2"/>
      <c r="C602" s="3"/>
      <c r="D602" s="2"/>
      <c r="E602" s="2"/>
      <c r="F602" s="2"/>
      <c r="G602" s="2"/>
      <c r="H602" s="2"/>
      <c r="I602" s="2"/>
      <c r="J602" s="241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spans="1:29" ht="13">
      <c r="A603" s="2"/>
      <c r="B603" s="2"/>
      <c r="C603" s="3"/>
      <c r="D603" s="2"/>
      <c r="E603" s="2"/>
      <c r="F603" s="2"/>
      <c r="G603" s="2"/>
      <c r="H603" s="2"/>
      <c r="I603" s="2"/>
      <c r="J603" s="241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spans="1:29" ht="13">
      <c r="A604" s="2"/>
      <c r="B604" s="2"/>
      <c r="C604" s="3"/>
      <c r="D604" s="2"/>
      <c r="E604" s="2"/>
      <c r="F604" s="2"/>
      <c r="G604" s="2"/>
      <c r="H604" s="2"/>
      <c r="I604" s="2"/>
      <c r="J604" s="241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spans="1:29" ht="13">
      <c r="A605" s="2"/>
      <c r="B605" s="2"/>
      <c r="C605" s="3"/>
      <c r="D605" s="2"/>
      <c r="E605" s="2"/>
      <c r="F605" s="2"/>
      <c r="G605" s="2"/>
      <c r="H605" s="2"/>
      <c r="I605" s="2"/>
      <c r="J605" s="241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spans="1:29" ht="13">
      <c r="A606" s="2"/>
      <c r="B606" s="2"/>
      <c r="C606" s="3"/>
      <c r="D606" s="2"/>
      <c r="E606" s="2"/>
      <c r="F606" s="2"/>
      <c r="G606" s="2"/>
      <c r="H606" s="2"/>
      <c r="I606" s="2"/>
      <c r="J606" s="241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spans="1:29" ht="13">
      <c r="A607" s="2"/>
      <c r="B607" s="2"/>
      <c r="C607" s="3"/>
      <c r="D607" s="2"/>
      <c r="E607" s="2"/>
      <c r="F607" s="2"/>
      <c r="G607" s="2"/>
      <c r="H607" s="2"/>
      <c r="I607" s="2"/>
      <c r="J607" s="241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spans="1:29" ht="13">
      <c r="A608" s="2"/>
      <c r="B608" s="2"/>
      <c r="C608" s="3"/>
      <c r="D608" s="2"/>
      <c r="E608" s="2"/>
      <c r="F608" s="2"/>
      <c r="G608" s="2"/>
      <c r="H608" s="2"/>
      <c r="I608" s="2"/>
      <c r="J608" s="241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spans="1:29" ht="13">
      <c r="A609" s="2"/>
      <c r="B609" s="2"/>
      <c r="C609" s="3"/>
      <c r="D609" s="2"/>
      <c r="E609" s="2"/>
      <c r="F609" s="2"/>
      <c r="G609" s="2"/>
      <c r="H609" s="2"/>
      <c r="I609" s="2"/>
      <c r="J609" s="241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spans="1:29" ht="13">
      <c r="A610" s="2"/>
      <c r="B610" s="2"/>
      <c r="C610" s="3"/>
      <c r="D610" s="2"/>
      <c r="E610" s="2"/>
      <c r="F610" s="2"/>
      <c r="G610" s="2"/>
      <c r="H610" s="2"/>
      <c r="I610" s="2"/>
      <c r="J610" s="241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spans="1:29" ht="13">
      <c r="A611" s="2"/>
      <c r="B611" s="2"/>
      <c r="C611" s="3"/>
      <c r="D611" s="2"/>
      <c r="E611" s="2"/>
      <c r="F611" s="2"/>
      <c r="G611" s="2"/>
      <c r="H611" s="2"/>
      <c r="I611" s="2"/>
      <c r="J611" s="241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spans="1:29" ht="13">
      <c r="A612" s="2"/>
      <c r="B612" s="2"/>
      <c r="C612" s="3"/>
      <c r="D612" s="2"/>
      <c r="E612" s="2"/>
      <c r="F612" s="2"/>
      <c r="G612" s="2"/>
      <c r="H612" s="2"/>
      <c r="I612" s="2"/>
      <c r="J612" s="241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spans="1:29" ht="13">
      <c r="A613" s="2"/>
      <c r="B613" s="2"/>
      <c r="C613" s="3"/>
      <c r="D613" s="2"/>
      <c r="E613" s="2"/>
      <c r="F613" s="2"/>
      <c r="G613" s="2"/>
      <c r="H613" s="2"/>
      <c r="I613" s="2"/>
      <c r="J613" s="241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spans="1:29" ht="13">
      <c r="A614" s="2"/>
      <c r="B614" s="2"/>
      <c r="C614" s="3"/>
      <c r="D614" s="2"/>
      <c r="E614" s="2"/>
      <c r="F614" s="2"/>
      <c r="G614" s="2"/>
      <c r="H614" s="2"/>
      <c r="I614" s="2"/>
      <c r="J614" s="241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spans="1:29" ht="13">
      <c r="A615" s="2"/>
      <c r="B615" s="2"/>
      <c r="C615" s="3"/>
      <c r="D615" s="2"/>
      <c r="E615" s="2"/>
      <c r="F615" s="2"/>
      <c r="G615" s="2"/>
      <c r="H615" s="2"/>
      <c r="I615" s="2"/>
      <c r="J615" s="241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spans="1:29" ht="13">
      <c r="A616" s="2"/>
      <c r="B616" s="2"/>
      <c r="C616" s="3"/>
      <c r="D616" s="2"/>
      <c r="E616" s="2"/>
      <c r="F616" s="2"/>
      <c r="G616" s="2"/>
      <c r="H616" s="2"/>
      <c r="I616" s="2"/>
      <c r="J616" s="241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spans="1:29" ht="13">
      <c r="A617" s="2"/>
      <c r="B617" s="2"/>
      <c r="C617" s="3"/>
      <c r="D617" s="2"/>
      <c r="E617" s="2"/>
      <c r="F617" s="2"/>
      <c r="G617" s="2"/>
      <c r="H617" s="2"/>
      <c r="I617" s="2"/>
      <c r="J617" s="241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spans="1:29" ht="13">
      <c r="A618" s="2"/>
      <c r="B618" s="2"/>
      <c r="C618" s="3"/>
      <c r="D618" s="2"/>
      <c r="E618" s="2"/>
      <c r="F618" s="2"/>
      <c r="G618" s="2"/>
      <c r="H618" s="2"/>
      <c r="I618" s="2"/>
      <c r="J618" s="241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spans="1:29" ht="13">
      <c r="A619" s="2"/>
      <c r="B619" s="2"/>
      <c r="C619" s="3"/>
      <c r="D619" s="2"/>
      <c r="E619" s="2"/>
      <c r="F619" s="2"/>
      <c r="G619" s="2"/>
      <c r="H619" s="2"/>
      <c r="I619" s="2"/>
      <c r="J619" s="241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spans="1:29" ht="13">
      <c r="A620" s="2"/>
      <c r="B620" s="2"/>
      <c r="C620" s="3"/>
      <c r="D620" s="2"/>
      <c r="E620" s="2"/>
      <c r="F620" s="2"/>
      <c r="G620" s="2"/>
      <c r="H620" s="2"/>
      <c r="I620" s="2"/>
      <c r="J620" s="241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spans="1:29" ht="13">
      <c r="A621" s="2"/>
      <c r="B621" s="2"/>
      <c r="C621" s="3"/>
      <c r="D621" s="2"/>
      <c r="E621" s="2"/>
      <c r="F621" s="2"/>
      <c r="G621" s="2"/>
      <c r="H621" s="2"/>
      <c r="I621" s="2"/>
      <c r="J621" s="241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spans="1:29" ht="13">
      <c r="A622" s="2"/>
      <c r="B622" s="2"/>
      <c r="C622" s="3"/>
      <c r="D622" s="2"/>
      <c r="E622" s="2"/>
      <c r="F622" s="2"/>
      <c r="G622" s="2"/>
      <c r="H622" s="2"/>
      <c r="I622" s="2"/>
      <c r="J622" s="241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spans="1:29" ht="13">
      <c r="A623" s="2"/>
      <c r="B623" s="2"/>
      <c r="C623" s="3"/>
      <c r="D623" s="2"/>
      <c r="E623" s="2"/>
      <c r="F623" s="2"/>
      <c r="G623" s="2"/>
      <c r="H623" s="2"/>
      <c r="I623" s="2"/>
      <c r="J623" s="241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spans="1:29" ht="13">
      <c r="A624" s="2"/>
      <c r="B624" s="2"/>
      <c r="C624" s="3"/>
      <c r="D624" s="2"/>
      <c r="E624" s="2"/>
      <c r="F624" s="2"/>
      <c r="G624" s="2"/>
      <c r="H624" s="2"/>
      <c r="I624" s="2"/>
      <c r="J624" s="241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spans="1:29" ht="13">
      <c r="A625" s="2"/>
      <c r="B625" s="2"/>
      <c r="C625" s="3"/>
      <c r="D625" s="2"/>
      <c r="E625" s="2"/>
      <c r="F625" s="2"/>
      <c r="G625" s="2"/>
      <c r="H625" s="2"/>
      <c r="I625" s="2"/>
      <c r="J625" s="241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spans="1:29" ht="13">
      <c r="A626" s="2"/>
      <c r="B626" s="2"/>
      <c r="C626" s="3"/>
      <c r="D626" s="2"/>
      <c r="E626" s="2"/>
      <c r="F626" s="2"/>
      <c r="G626" s="2"/>
      <c r="H626" s="2"/>
      <c r="I626" s="2"/>
      <c r="J626" s="241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spans="1:29" ht="13">
      <c r="A627" s="2"/>
      <c r="B627" s="2"/>
      <c r="C627" s="3"/>
      <c r="D627" s="2"/>
      <c r="E627" s="2"/>
      <c r="F627" s="2"/>
      <c r="G627" s="2"/>
      <c r="H627" s="2"/>
      <c r="I627" s="2"/>
      <c r="J627" s="241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spans="1:29" ht="13">
      <c r="A628" s="2"/>
      <c r="B628" s="2"/>
      <c r="C628" s="3"/>
      <c r="D628" s="2"/>
      <c r="E628" s="2"/>
      <c r="F628" s="2"/>
      <c r="G628" s="2"/>
      <c r="H628" s="2"/>
      <c r="I628" s="2"/>
      <c r="J628" s="241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spans="1:29" ht="13">
      <c r="A629" s="2"/>
      <c r="B629" s="2"/>
      <c r="C629" s="3"/>
      <c r="D629" s="2"/>
      <c r="E629" s="2"/>
      <c r="F629" s="2"/>
      <c r="G629" s="2"/>
      <c r="H629" s="2"/>
      <c r="I629" s="2"/>
      <c r="J629" s="241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spans="1:29" ht="13">
      <c r="A630" s="2"/>
      <c r="B630" s="2"/>
      <c r="C630" s="3"/>
      <c r="D630" s="2"/>
      <c r="E630" s="2"/>
      <c r="F630" s="2"/>
      <c r="G630" s="2"/>
      <c r="H630" s="2"/>
      <c r="I630" s="2"/>
      <c r="J630" s="241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spans="1:29" ht="13">
      <c r="A631" s="2"/>
      <c r="B631" s="2"/>
      <c r="C631" s="3"/>
      <c r="D631" s="2"/>
      <c r="E631" s="2"/>
      <c r="F631" s="2"/>
      <c r="G631" s="2"/>
      <c r="H631" s="2"/>
      <c r="I631" s="2"/>
      <c r="J631" s="241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spans="1:29" ht="13">
      <c r="A632" s="2"/>
      <c r="B632" s="2"/>
      <c r="C632" s="3"/>
      <c r="D632" s="2"/>
      <c r="E632" s="2"/>
      <c r="F632" s="2"/>
      <c r="G632" s="2"/>
      <c r="H632" s="2"/>
      <c r="I632" s="2"/>
      <c r="J632" s="241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spans="1:29" ht="13">
      <c r="A633" s="2"/>
      <c r="B633" s="2"/>
      <c r="C633" s="3"/>
      <c r="D633" s="2"/>
      <c r="E633" s="2"/>
      <c r="F633" s="2"/>
      <c r="G633" s="2"/>
      <c r="H633" s="2"/>
      <c r="I633" s="2"/>
      <c r="J633" s="241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spans="1:29" ht="13">
      <c r="A634" s="2"/>
      <c r="B634" s="2"/>
      <c r="C634" s="3"/>
      <c r="D634" s="2"/>
      <c r="E634" s="2"/>
      <c r="F634" s="2"/>
      <c r="G634" s="2"/>
      <c r="H634" s="2"/>
      <c r="I634" s="2"/>
      <c r="J634" s="241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spans="1:29" ht="13">
      <c r="A635" s="2"/>
      <c r="B635" s="2"/>
      <c r="C635" s="3"/>
      <c r="D635" s="2"/>
      <c r="E635" s="2"/>
      <c r="F635" s="2"/>
      <c r="G635" s="2"/>
      <c r="H635" s="2"/>
      <c r="I635" s="2"/>
      <c r="J635" s="241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spans="1:29" ht="13">
      <c r="A636" s="2"/>
      <c r="B636" s="2"/>
      <c r="C636" s="3"/>
      <c r="D636" s="2"/>
      <c r="E636" s="2"/>
      <c r="F636" s="2"/>
      <c r="G636" s="2"/>
      <c r="H636" s="2"/>
      <c r="I636" s="2"/>
      <c r="J636" s="241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spans="1:29" ht="13">
      <c r="A637" s="2"/>
      <c r="B637" s="2"/>
      <c r="C637" s="3"/>
      <c r="D637" s="2"/>
      <c r="E637" s="2"/>
      <c r="F637" s="2"/>
      <c r="G637" s="2"/>
      <c r="H637" s="2"/>
      <c r="I637" s="2"/>
      <c r="J637" s="241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spans="1:29" ht="13">
      <c r="A638" s="2"/>
      <c r="B638" s="2"/>
      <c r="C638" s="3"/>
      <c r="D638" s="2"/>
      <c r="E638" s="2"/>
      <c r="F638" s="2"/>
      <c r="G638" s="2"/>
      <c r="H638" s="2"/>
      <c r="I638" s="2"/>
      <c r="J638" s="241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spans="1:29" ht="13">
      <c r="A639" s="2"/>
      <c r="B639" s="2"/>
      <c r="C639" s="3"/>
      <c r="D639" s="2"/>
      <c r="E639" s="2"/>
      <c r="F639" s="2"/>
      <c r="G639" s="2"/>
      <c r="H639" s="2"/>
      <c r="I639" s="2"/>
      <c r="J639" s="241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spans="1:29" ht="13">
      <c r="A640" s="2"/>
      <c r="B640" s="2"/>
      <c r="C640" s="3"/>
      <c r="D640" s="2"/>
      <c r="E640" s="2"/>
      <c r="F640" s="2"/>
      <c r="G640" s="2"/>
      <c r="H640" s="2"/>
      <c r="I640" s="2"/>
      <c r="J640" s="241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spans="1:29" ht="13">
      <c r="A641" s="2"/>
      <c r="B641" s="2"/>
      <c r="C641" s="3"/>
      <c r="D641" s="2"/>
      <c r="E641" s="2"/>
      <c r="F641" s="2"/>
      <c r="G641" s="2"/>
      <c r="H641" s="2"/>
      <c r="I641" s="2"/>
      <c r="J641" s="241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spans="1:29" ht="13">
      <c r="A642" s="2"/>
      <c r="B642" s="2"/>
      <c r="C642" s="3"/>
      <c r="D642" s="2"/>
      <c r="E642" s="2"/>
      <c r="F642" s="2"/>
      <c r="G642" s="2"/>
      <c r="H642" s="2"/>
      <c r="I642" s="2"/>
      <c r="J642" s="241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spans="1:29" ht="13">
      <c r="A643" s="2"/>
      <c r="B643" s="2"/>
      <c r="C643" s="3"/>
      <c r="D643" s="2"/>
      <c r="E643" s="2"/>
      <c r="F643" s="2"/>
      <c r="G643" s="2"/>
      <c r="H643" s="2"/>
      <c r="I643" s="2"/>
      <c r="J643" s="241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spans="1:29" ht="13">
      <c r="A644" s="2"/>
      <c r="B644" s="2"/>
      <c r="C644" s="3"/>
      <c r="D644" s="2"/>
      <c r="E644" s="2"/>
      <c r="F644" s="2"/>
      <c r="G644" s="2"/>
      <c r="H644" s="2"/>
      <c r="I644" s="2"/>
      <c r="J644" s="241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spans="1:29" ht="13">
      <c r="A645" s="2"/>
      <c r="B645" s="2"/>
      <c r="C645" s="3"/>
      <c r="D645" s="2"/>
      <c r="E645" s="2"/>
      <c r="F645" s="2"/>
      <c r="G645" s="2"/>
      <c r="H645" s="2"/>
      <c r="I645" s="2"/>
      <c r="J645" s="241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spans="1:29" ht="13">
      <c r="A646" s="2"/>
      <c r="B646" s="2"/>
      <c r="C646" s="3"/>
      <c r="D646" s="2"/>
      <c r="E646" s="2"/>
      <c r="F646" s="2"/>
      <c r="G646" s="2"/>
      <c r="H646" s="2"/>
      <c r="I646" s="2"/>
      <c r="J646" s="241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spans="1:29" ht="13">
      <c r="A647" s="2"/>
      <c r="B647" s="2"/>
      <c r="C647" s="3"/>
      <c r="D647" s="2"/>
      <c r="E647" s="2"/>
      <c r="F647" s="2"/>
      <c r="G647" s="2"/>
      <c r="H647" s="2"/>
      <c r="I647" s="2"/>
      <c r="J647" s="241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spans="1:29" ht="13">
      <c r="A648" s="2"/>
      <c r="B648" s="2"/>
      <c r="C648" s="3"/>
      <c r="D648" s="2"/>
      <c r="E648" s="2"/>
      <c r="F648" s="2"/>
      <c r="G648" s="2"/>
      <c r="H648" s="2"/>
      <c r="I648" s="2"/>
      <c r="J648" s="241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spans="1:29" ht="13">
      <c r="A649" s="2"/>
      <c r="B649" s="2"/>
      <c r="C649" s="3"/>
      <c r="D649" s="2"/>
      <c r="E649" s="2"/>
      <c r="F649" s="2"/>
      <c r="G649" s="2"/>
      <c r="H649" s="2"/>
      <c r="I649" s="2"/>
      <c r="J649" s="241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spans="1:29" ht="13">
      <c r="A650" s="2"/>
      <c r="B650" s="2"/>
      <c r="C650" s="3"/>
      <c r="D650" s="2"/>
      <c r="E650" s="2"/>
      <c r="F650" s="2"/>
      <c r="G650" s="2"/>
      <c r="H650" s="2"/>
      <c r="I650" s="2"/>
      <c r="J650" s="241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spans="1:29" ht="13">
      <c r="A651" s="2"/>
      <c r="B651" s="2"/>
      <c r="C651" s="3"/>
      <c r="D651" s="2"/>
      <c r="E651" s="2"/>
      <c r="F651" s="2"/>
      <c r="G651" s="2"/>
      <c r="H651" s="2"/>
      <c r="I651" s="2"/>
      <c r="J651" s="241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spans="1:29" ht="13">
      <c r="A652" s="2"/>
      <c r="B652" s="2"/>
      <c r="C652" s="3"/>
      <c r="D652" s="2"/>
      <c r="E652" s="2"/>
      <c r="F652" s="2"/>
      <c r="G652" s="2"/>
      <c r="H652" s="2"/>
      <c r="I652" s="2"/>
      <c r="J652" s="241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spans="1:29" ht="13">
      <c r="A653" s="2"/>
      <c r="B653" s="2"/>
      <c r="C653" s="3"/>
      <c r="D653" s="2"/>
      <c r="E653" s="2"/>
      <c r="F653" s="2"/>
      <c r="G653" s="2"/>
      <c r="H653" s="2"/>
      <c r="I653" s="2"/>
      <c r="J653" s="241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spans="1:29" ht="13">
      <c r="A654" s="2"/>
      <c r="B654" s="2"/>
      <c r="C654" s="3"/>
      <c r="D654" s="2"/>
      <c r="E654" s="2"/>
      <c r="F654" s="2"/>
      <c r="G654" s="2"/>
      <c r="H654" s="2"/>
      <c r="I654" s="2"/>
      <c r="J654" s="241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spans="1:29" ht="13">
      <c r="A655" s="2"/>
      <c r="B655" s="2"/>
      <c r="C655" s="3"/>
      <c r="D655" s="2"/>
      <c r="E655" s="2"/>
      <c r="F655" s="2"/>
      <c r="G655" s="2"/>
      <c r="H655" s="2"/>
      <c r="I655" s="2"/>
      <c r="J655" s="241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spans="1:29" ht="13">
      <c r="A656" s="2"/>
      <c r="B656" s="2"/>
      <c r="C656" s="3"/>
      <c r="D656" s="2"/>
      <c r="E656" s="2"/>
      <c r="F656" s="2"/>
      <c r="G656" s="2"/>
      <c r="H656" s="2"/>
      <c r="I656" s="2"/>
      <c r="J656" s="241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spans="1:29" ht="13">
      <c r="A657" s="2"/>
      <c r="B657" s="2"/>
      <c r="C657" s="3"/>
      <c r="D657" s="2"/>
      <c r="E657" s="2"/>
      <c r="F657" s="2"/>
      <c r="G657" s="2"/>
      <c r="H657" s="2"/>
      <c r="I657" s="2"/>
      <c r="J657" s="241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spans="1:29" ht="13">
      <c r="A658" s="2"/>
      <c r="B658" s="2"/>
      <c r="C658" s="3"/>
      <c r="D658" s="2"/>
      <c r="E658" s="2"/>
      <c r="F658" s="2"/>
      <c r="G658" s="2"/>
      <c r="H658" s="2"/>
      <c r="I658" s="2"/>
      <c r="J658" s="241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spans="1:29" ht="13">
      <c r="A659" s="2"/>
      <c r="B659" s="2"/>
      <c r="C659" s="3"/>
      <c r="D659" s="2"/>
      <c r="E659" s="2"/>
      <c r="F659" s="2"/>
      <c r="G659" s="2"/>
      <c r="H659" s="2"/>
      <c r="I659" s="2"/>
      <c r="J659" s="241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spans="1:29" ht="13">
      <c r="A660" s="2"/>
      <c r="B660" s="2"/>
      <c r="C660" s="3"/>
      <c r="D660" s="2"/>
      <c r="E660" s="2"/>
      <c r="F660" s="2"/>
      <c r="G660" s="2"/>
      <c r="H660" s="2"/>
      <c r="I660" s="2"/>
      <c r="J660" s="241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spans="1:29" ht="13">
      <c r="A661" s="2"/>
      <c r="B661" s="2"/>
      <c r="C661" s="3"/>
      <c r="D661" s="2"/>
      <c r="E661" s="2"/>
      <c r="F661" s="2"/>
      <c r="G661" s="2"/>
      <c r="H661" s="2"/>
      <c r="I661" s="2"/>
      <c r="J661" s="241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spans="1:29" ht="13">
      <c r="A662" s="2"/>
      <c r="B662" s="2"/>
      <c r="C662" s="3"/>
      <c r="D662" s="2"/>
      <c r="E662" s="2"/>
      <c r="F662" s="2"/>
      <c r="G662" s="2"/>
      <c r="H662" s="2"/>
      <c r="I662" s="2"/>
      <c r="J662" s="241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spans="1:29" ht="13">
      <c r="A663" s="2"/>
      <c r="B663" s="2"/>
      <c r="C663" s="3"/>
      <c r="D663" s="2"/>
      <c r="E663" s="2"/>
      <c r="F663" s="2"/>
      <c r="G663" s="2"/>
      <c r="H663" s="2"/>
      <c r="I663" s="2"/>
      <c r="J663" s="241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spans="1:29" ht="13">
      <c r="A664" s="2"/>
      <c r="B664" s="2"/>
      <c r="C664" s="3"/>
      <c r="D664" s="2"/>
      <c r="E664" s="2"/>
      <c r="F664" s="2"/>
      <c r="G664" s="2"/>
      <c r="H664" s="2"/>
      <c r="I664" s="2"/>
      <c r="J664" s="241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spans="1:29" ht="13">
      <c r="A665" s="2"/>
      <c r="B665" s="2"/>
      <c r="C665" s="3"/>
      <c r="D665" s="2"/>
      <c r="E665" s="2"/>
      <c r="F665" s="2"/>
      <c r="G665" s="2"/>
      <c r="H665" s="2"/>
      <c r="I665" s="2"/>
      <c r="J665" s="241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spans="1:29" ht="13">
      <c r="A666" s="2"/>
      <c r="B666" s="2"/>
      <c r="C666" s="3"/>
      <c r="D666" s="2"/>
      <c r="E666" s="2"/>
      <c r="F666" s="2"/>
      <c r="G666" s="2"/>
      <c r="H666" s="2"/>
      <c r="I666" s="2"/>
      <c r="J666" s="241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spans="1:29" ht="13">
      <c r="A667" s="2"/>
      <c r="B667" s="2"/>
      <c r="C667" s="3"/>
      <c r="D667" s="2"/>
      <c r="E667" s="2"/>
      <c r="F667" s="2"/>
      <c r="G667" s="2"/>
      <c r="H667" s="2"/>
      <c r="I667" s="2"/>
      <c r="J667" s="241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spans="1:29" ht="13">
      <c r="A668" s="2"/>
      <c r="B668" s="2"/>
      <c r="C668" s="3"/>
      <c r="D668" s="2"/>
      <c r="E668" s="2"/>
      <c r="F668" s="2"/>
      <c r="G668" s="2"/>
      <c r="H668" s="2"/>
      <c r="I668" s="2"/>
      <c r="J668" s="241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spans="1:29" ht="13">
      <c r="A669" s="2"/>
      <c r="B669" s="2"/>
      <c r="C669" s="3"/>
      <c r="D669" s="2"/>
      <c r="E669" s="2"/>
      <c r="F669" s="2"/>
      <c r="G669" s="2"/>
      <c r="H669" s="2"/>
      <c r="I669" s="2"/>
      <c r="J669" s="241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spans="1:29" ht="13">
      <c r="A670" s="2"/>
      <c r="B670" s="2"/>
      <c r="C670" s="3"/>
      <c r="D670" s="2"/>
      <c r="E670" s="2"/>
      <c r="F670" s="2"/>
      <c r="G670" s="2"/>
      <c r="H670" s="2"/>
      <c r="I670" s="2"/>
      <c r="J670" s="241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spans="1:29" ht="13">
      <c r="A671" s="2"/>
      <c r="B671" s="2"/>
      <c r="C671" s="3"/>
      <c r="D671" s="2"/>
      <c r="E671" s="2"/>
      <c r="F671" s="2"/>
      <c r="G671" s="2"/>
      <c r="H671" s="2"/>
      <c r="I671" s="2"/>
      <c r="J671" s="241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spans="1:29" ht="13">
      <c r="A672" s="2"/>
      <c r="B672" s="2"/>
      <c r="C672" s="3"/>
      <c r="D672" s="2"/>
      <c r="E672" s="2"/>
      <c r="F672" s="2"/>
      <c r="G672" s="2"/>
      <c r="H672" s="2"/>
      <c r="I672" s="2"/>
      <c r="J672" s="241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spans="1:29" ht="13">
      <c r="A673" s="2"/>
      <c r="B673" s="2"/>
      <c r="C673" s="3"/>
      <c r="D673" s="2"/>
      <c r="E673" s="2"/>
      <c r="F673" s="2"/>
      <c r="G673" s="2"/>
      <c r="H673" s="2"/>
      <c r="I673" s="2"/>
      <c r="J673" s="241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spans="1:29" ht="13">
      <c r="A674" s="2"/>
      <c r="B674" s="2"/>
      <c r="C674" s="3"/>
      <c r="D674" s="2"/>
      <c r="E674" s="2"/>
      <c r="F674" s="2"/>
      <c r="G674" s="2"/>
      <c r="H674" s="2"/>
      <c r="I674" s="2"/>
      <c r="J674" s="241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spans="1:29" ht="13">
      <c r="A675" s="2"/>
      <c r="B675" s="2"/>
      <c r="C675" s="3"/>
      <c r="D675" s="2"/>
      <c r="E675" s="2"/>
      <c r="F675" s="2"/>
      <c r="G675" s="2"/>
      <c r="H675" s="2"/>
      <c r="I675" s="2"/>
      <c r="J675" s="241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spans="1:29" ht="13">
      <c r="A676" s="2"/>
      <c r="B676" s="2"/>
      <c r="C676" s="3"/>
      <c r="D676" s="2"/>
      <c r="E676" s="2"/>
      <c r="F676" s="2"/>
      <c r="G676" s="2"/>
      <c r="H676" s="2"/>
      <c r="I676" s="2"/>
      <c r="J676" s="241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spans="1:29" ht="13">
      <c r="A677" s="2"/>
      <c r="B677" s="2"/>
      <c r="C677" s="3"/>
      <c r="D677" s="2"/>
      <c r="E677" s="2"/>
      <c r="F677" s="2"/>
      <c r="G677" s="2"/>
      <c r="H677" s="2"/>
      <c r="I677" s="2"/>
      <c r="J677" s="241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spans="1:29" ht="13">
      <c r="A678" s="2"/>
      <c r="B678" s="2"/>
      <c r="C678" s="3"/>
      <c r="D678" s="2"/>
      <c r="E678" s="2"/>
      <c r="F678" s="2"/>
      <c r="G678" s="2"/>
      <c r="H678" s="2"/>
      <c r="I678" s="2"/>
      <c r="J678" s="241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spans="1:29" ht="13">
      <c r="A679" s="2"/>
      <c r="B679" s="2"/>
      <c r="C679" s="3"/>
      <c r="D679" s="2"/>
      <c r="E679" s="2"/>
      <c r="F679" s="2"/>
      <c r="G679" s="2"/>
      <c r="H679" s="2"/>
      <c r="I679" s="2"/>
      <c r="J679" s="241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spans="1:29" ht="13">
      <c r="A680" s="2"/>
      <c r="B680" s="2"/>
      <c r="C680" s="3"/>
      <c r="D680" s="2"/>
      <c r="E680" s="2"/>
      <c r="F680" s="2"/>
      <c r="G680" s="2"/>
      <c r="H680" s="2"/>
      <c r="I680" s="2"/>
      <c r="J680" s="241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spans="1:29" ht="13">
      <c r="A681" s="2"/>
      <c r="B681" s="2"/>
      <c r="C681" s="3"/>
      <c r="D681" s="2"/>
      <c r="E681" s="2"/>
      <c r="F681" s="2"/>
      <c r="G681" s="2"/>
      <c r="H681" s="2"/>
      <c r="I681" s="2"/>
      <c r="J681" s="241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spans="1:29" ht="13">
      <c r="A682" s="2"/>
      <c r="B682" s="2"/>
      <c r="C682" s="3"/>
      <c r="D682" s="2"/>
      <c r="E682" s="2"/>
      <c r="F682" s="2"/>
      <c r="G682" s="2"/>
      <c r="H682" s="2"/>
      <c r="I682" s="2"/>
      <c r="J682" s="241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spans="1:29" ht="13">
      <c r="A683" s="2"/>
      <c r="B683" s="2"/>
      <c r="C683" s="3"/>
      <c r="D683" s="2"/>
      <c r="E683" s="2"/>
      <c r="F683" s="2"/>
      <c r="G683" s="2"/>
      <c r="H683" s="2"/>
      <c r="I683" s="2"/>
      <c r="J683" s="241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spans="1:29" ht="13">
      <c r="A684" s="2"/>
      <c r="B684" s="2"/>
      <c r="C684" s="3"/>
      <c r="D684" s="2"/>
      <c r="E684" s="2"/>
      <c r="F684" s="2"/>
      <c r="G684" s="2"/>
      <c r="H684" s="2"/>
      <c r="I684" s="2"/>
      <c r="J684" s="241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spans="1:29" ht="13">
      <c r="A685" s="2"/>
      <c r="B685" s="2"/>
      <c r="C685" s="3"/>
      <c r="D685" s="2"/>
      <c r="E685" s="2"/>
      <c r="F685" s="2"/>
      <c r="G685" s="2"/>
      <c r="H685" s="2"/>
      <c r="I685" s="2"/>
      <c r="J685" s="241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spans="1:29" ht="13">
      <c r="A686" s="2"/>
      <c r="B686" s="2"/>
      <c r="C686" s="3"/>
      <c r="D686" s="2"/>
      <c r="E686" s="2"/>
      <c r="F686" s="2"/>
      <c r="G686" s="2"/>
      <c r="H686" s="2"/>
      <c r="I686" s="2"/>
      <c r="J686" s="241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spans="1:29" ht="13">
      <c r="A687" s="2"/>
      <c r="B687" s="2"/>
      <c r="C687" s="3"/>
      <c r="D687" s="2"/>
      <c r="E687" s="2"/>
      <c r="F687" s="2"/>
      <c r="G687" s="2"/>
      <c r="H687" s="2"/>
      <c r="I687" s="2"/>
      <c r="J687" s="241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spans="1:29" ht="13">
      <c r="A688" s="2"/>
      <c r="B688" s="2"/>
      <c r="C688" s="3"/>
      <c r="D688" s="2"/>
      <c r="E688" s="2"/>
      <c r="F688" s="2"/>
      <c r="G688" s="2"/>
      <c r="H688" s="2"/>
      <c r="I688" s="2"/>
      <c r="J688" s="241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spans="1:29" ht="13">
      <c r="A689" s="2"/>
      <c r="B689" s="2"/>
      <c r="C689" s="3"/>
      <c r="D689" s="2"/>
      <c r="E689" s="2"/>
      <c r="F689" s="2"/>
      <c r="G689" s="2"/>
      <c r="H689" s="2"/>
      <c r="I689" s="2"/>
      <c r="J689" s="241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spans="1:29" ht="13">
      <c r="A690" s="2"/>
      <c r="B690" s="2"/>
      <c r="C690" s="3"/>
      <c r="D690" s="2"/>
      <c r="E690" s="2"/>
      <c r="F690" s="2"/>
      <c r="G690" s="2"/>
      <c r="H690" s="2"/>
      <c r="I690" s="2"/>
      <c r="J690" s="241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spans="1:29" ht="13">
      <c r="A691" s="2"/>
      <c r="B691" s="2"/>
      <c r="C691" s="3"/>
      <c r="D691" s="2"/>
      <c r="E691" s="2"/>
      <c r="F691" s="2"/>
      <c r="G691" s="2"/>
      <c r="H691" s="2"/>
      <c r="I691" s="2"/>
      <c r="J691" s="241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spans="1:29" ht="13">
      <c r="A692" s="2"/>
      <c r="B692" s="2"/>
      <c r="C692" s="3"/>
      <c r="D692" s="2"/>
      <c r="E692" s="2"/>
      <c r="F692" s="2"/>
      <c r="G692" s="2"/>
      <c r="H692" s="2"/>
      <c r="I692" s="2"/>
      <c r="J692" s="241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spans="1:29" ht="13">
      <c r="A693" s="2"/>
      <c r="B693" s="2"/>
      <c r="C693" s="3"/>
      <c r="D693" s="2"/>
      <c r="E693" s="2"/>
      <c r="F693" s="2"/>
      <c r="G693" s="2"/>
      <c r="H693" s="2"/>
      <c r="I693" s="2"/>
      <c r="J693" s="241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spans="1:29" ht="13">
      <c r="A694" s="2"/>
      <c r="B694" s="2"/>
      <c r="C694" s="3"/>
      <c r="D694" s="2"/>
      <c r="E694" s="2"/>
      <c r="F694" s="2"/>
      <c r="G694" s="2"/>
      <c r="H694" s="2"/>
      <c r="I694" s="2"/>
      <c r="J694" s="241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spans="1:29" ht="13">
      <c r="A695" s="2"/>
      <c r="B695" s="2"/>
      <c r="C695" s="3"/>
      <c r="D695" s="2"/>
      <c r="E695" s="2"/>
      <c r="F695" s="2"/>
      <c r="G695" s="2"/>
      <c r="H695" s="2"/>
      <c r="I695" s="2"/>
      <c r="J695" s="241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spans="1:29" ht="13">
      <c r="A696" s="2"/>
      <c r="B696" s="2"/>
      <c r="C696" s="3"/>
      <c r="D696" s="2"/>
      <c r="E696" s="2"/>
      <c r="F696" s="2"/>
      <c r="G696" s="2"/>
      <c r="H696" s="2"/>
      <c r="I696" s="2"/>
      <c r="J696" s="241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spans="1:29" ht="13">
      <c r="A697" s="2"/>
      <c r="B697" s="2"/>
      <c r="C697" s="3"/>
      <c r="D697" s="2"/>
      <c r="E697" s="2"/>
      <c r="F697" s="2"/>
      <c r="G697" s="2"/>
      <c r="H697" s="2"/>
      <c r="I697" s="2"/>
      <c r="J697" s="241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spans="1:29" ht="13">
      <c r="A698" s="2"/>
      <c r="B698" s="2"/>
      <c r="C698" s="3"/>
      <c r="D698" s="2"/>
      <c r="E698" s="2"/>
      <c r="F698" s="2"/>
      <c r="G698" s="2"/>
      <c r="H698" s="2"/>
      <c r="I698" s="2"/>
      <c r="J698" s="241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spans="1:29" ht="13">
      <c r="A699" s="2"/>
      <c r="B699" s="2"/>
      <c r="C699" s="3"/>
      <c r="D699" s="2"/>
      <c r="E699" s="2"/>
      <c r="F699" s="2"/>
      <c r="G699" s="2"/>
      <c r="H699" s="2"/>
      <c r="I699" s="2"/>
      <c r="J699" s="241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spans="1:29" ht="13">
      <c r="A700" s="2"/>
      <c r="B700" s="2"/>
      <c r="C700" s="3"/>
      <c r="D700" s="2"/>
      <c r="E700" s="2"/>
      <c r="F700" s="2"/>
      <c r="G700" s="2"/>
      <c r="H700" s="2"/>
      <c r="I700" s="2"/>
      <c r="J700" s="241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spans="1:29" ht="13">
      <c r="A701" s="2"/>
      <c r="B701" s="2"/>
      <c r="C701" s="3"/>
      <c r="D701" s="2"/>
      <c r="E701" s="2"/>
      <c r="F701" s="2"/>
      <c r="G701" s="2"/>
      <c r="H701" s="2"/>
      <c r="I701" s="2"/>
      <c r="J701" s="241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spans="1:29" ht="13">
      <c r="A702" s="2"/>
      <c r="B702" s="2"/>
      <c r="C702" s="3"/>
      <c r="D702" s="2"/>
      <c r="E702" s="2"/>
      <c r="F702" s="2"/>
      <c r="G702" s="2"/>
      <c r="H702" s="2"/>
      <c r="I702" s="2"/>
      <c r="J702" s="241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spans="1:29" ht="13">
      <c r="A703" s="2"/>
      <c r="B703" s="2"/>
      <c r="C703" s="3"/>
      <c r="D703" s="2"/>
      <c r="E703" s="2"/>
      <c r="F703" s="2"/>
      <c r="G703" s="2"/>
      <c r="H703" s="2"/>
      <c r="I703" s="2"/>
      <c r="J703" s="241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spans="1:29" ht="13">
      <c r="A704" s="2"/>
      <c r="B704" s="2"/>
      <c r="C704" s="3"/>
      <c r="D704" s="2"/>
      <c r="E704" s="2"/>
      <c r="F704" s="2"/>
      <c r="G704" s="2"/>
      <c r="H704" s="2"/>
      <c r="I704" s="2"/>
      <c r="J704" s="241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spans="1:29" ht="13">
      <c r="A705" s="2"/>
      <c r="B705" s="2"/>
      <c r="C705" s="3"/>
      <c r="D705" s="2"/>
      <c r="E705" s="2"/>
      <c r="F705" s="2"/>
      <c r="G705" s="2"/>
      <c r="H705" s="2"/>
      <c r="I705" s="2"/>
      <c r="J705" s="241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spans="1:29" ht="13">
      <c r="A706" s="2"/>
      <c r="B706" s="2"/>
      <c r="C706" s="3"/>
      <c r="D706" s="2"/>
      <c r="E706" s="2"/>
      <c r="F706" s="2"/>
      <c r="G706" s="2"/>
      <c r="H706" s="2"/>
      <c r="I706" s="2"/>
      <c r="J706" s="241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spans="1:29" ht="13">
      <c r="A707" s="2"/>
      <c r="B707" s="2"/>
      <c r="C707" s="3"/>
      <c r="D707" s="2"/>
      <c r="E707" s="2"/>
      <c r="F707" s="2"/>
      <c r="G707" s="2"/>
      <c r="H707" s="2"/>
      <c r="I707" s="2"/>
      <c r="J707" s="241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spans="1:29" ht="13">
      <c r="A708" s="2"/>
      <c r="B708" s="2"/>
      <c r="C708" s="3"/>
      <c r="D708" s="2"/>
      <c r="E708" s="2"/>
      <c r="F708" s="2"/>
      <c r="G708" s="2"/>
      <c r="H708" s="2"/>
      <c r="I708" s="2"/>
      <c r="J708" s="241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spans="1:29" ht="13">
      <c r="A709" s="2"/>
      <c r="B709" s="2"/>
      <c r="C709" s="3"/>
      <c r="D709" s="2"/>
      <c r="E709" s="2"/>
      <c r="F709" s="2"/>
      <c r="G709" s="2"/>
      <c r="H709" s="2"/>
      <c r="I709" s="2"/>
      <c r="J709" s="241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spans="1:29" ht="13">
      <c r="A710" s="2"/>
      <c r="B710" s="2"/>
      <c r="C710" s="3"/>
      <c r="D710" s="2"/>
      <c r="E710" s="2"/>
      <c r="F710" s="2"/>
      <c r="G710" s="2"/>
      <c r="H710" s="2"/>
      <c r="I710" s="2"/>
      <c r="J710" s="241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spans="1:29" ht="13">
      <c r="A711" s="2"/>
      <c r="B711" s="2"/>
      <c r="C711" s="3"/>
      <c r="D711" s="2"/>
      <c r="E711" s="2"/>
      <c r="F711" s="2"/>
      <c r="G711" s="2"/>
      <c r="H711" s="2"/>
      <c r="I711" s="2"/>
      <c r="J711" s="241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spans="1:29" ht="13">
      <c r="A712" s="2"/>
      <c r="B712" s="2"/>
      <c r="C712" s="3"/>
      <c r="D712" s="2"/>
      <c r="E712" s="2"/>
      <c r="F712" s="2"/>
      <c r="G712" s="2"/>
      <c r="H712" s="2"/>
      <c r="I712" s="2"/>
      <c r="J712" s="241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spans="1:29" ht="13">
      <c r="A713" s="2"/>
      <c r="B713" s="2"/>
      <c r="C713" s="3"/>
      <c r="D713" s="2"/>
      <c r="E713" s="2"/>
      <c r="F713" s="2"/>
      <c r="G713" s="2"/>
      <c r="H713" s="2"/>
      <c r="I713" s="2"/>
      <c r="J713" s="241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spans="1:29" ht="13">
      <c r="A714" s="2"/>
      <c r="B714" s="2"/>
      <c r="C714" s="3"/>
      <c r="D714" s="2"/>
      <c r="E714" s="2"/>
      <c r="F714" s="2"/>
      <c r="G714" s="2"/>
      <c r="H714" s="2"/>
      <c r="I714" s="2"/>
      <c r="J714" s="241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spans="1:29" ht="13">
      <c r="A715" s="2"/>
      <c r="B715" s="2"/>
      <c r="C715" s="3"/>
      <c r="D715" s="2"/>
      <c r="E715" s="2"/>
      <c r="F715" s="2"/>
      <c r="G715" s="2"/>
      <c r="H715" s="2"/>
      <c r="I715" s="2"/>
      <c r="J715" s="241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spans="1:29" ht="13">
      <c r="A716" s="2"/>
      <c r="B716" s="2"/>
      <c r="C716" s="3"/>
      <c r="D716" s="2"/>
      <c r="E716" s="2"/>
      <c r="F716" s="2"/>
      <c r="G716" s="2"/>
      <c r="H716" s="2"/>
      <c r="I716" s="2"/>
      <c r="J716" s="241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spans="1:29" ht="13">
      <c r="A717" s="2"/>
      <c r="B717" s="2"/>
      <c r="C717" s="3"/>
      <c r="D717" s="2"/>
      <c r="E717" s="2"/>
      <c r="F717" s="2"/>
      <c r="G717" s="2"/>
      <c r="H717" s="2"/>
      <c r="I717" s="2"/>
      <c r="J717" s="241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spans="1:29" ht="13">
      <c r="A718" s="2"/>
      <c r="B718" s="2"/>
      <c r="C718" s="3"/>
      <c r="D718" s="2"/>
      <c r="E718" s="2"/>
      <c r="F718" s="2"/>
      <c r="G718" s="2"/>
      <c r="H718" s="2"/>
      <c r="I718" s="2"/>
      <c r="J718" s="241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spans="1:29" ht="13">
      <c r="A719" s="2"/>
      <c r="B719" s="2"/>
      <c r="C719" s="3"/>
      <c r="D719" s="2"/>
      <c r="E719" s="2"/>
      <c r="F719" s="2"/>
      <c r="G719" s="2"/>
      <c r="H719" s="2"/>
      <c r="I719" s="2"/>
      <c r="J719" s="241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spans="1:29" ht="13">
      <c r="A720" s="2"/>
      <c r="B720" s="2"/>
      <c r="C720" s="3"/>
      <c r="D720" s="2"/>
      <c r="E720" s="2"/>
      <c r="F720" s="2"/>
      <c r="G720" s="2"/>
      <c r="H720" s="2"/>
      <c r="I720" s="2"/>
      <c r="J720" s="241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spans="1:29" ht="13">
      <c r="A721" s="2"/>
      <c r="B721" s="2"/>
      <c r="C721" s="3"/>
      <c r="D721" s="2"/>
      <c r="E721" s="2"/>
      <c r="F721" s="2"/>
      <c r="G721" s="2"/>
      <c r="H721" s="2"/>
      <c r="I721" s="2"/>
      <c r="J721" s="241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spans="1:29" ht="13">
      <c r="A722" s="2"/>
      <c r="B722" s="2"/>
      <c r="C722" s="3"/>
      <c r="D722" s="2"/>
      <c r="E722" s="2"/>
      <c r="F722" s="2"/>
      <c r="G722" s="2"/>
      <c r="H722" s="2"/>
      <c r="I722" s="2"/>
      <c r="J722" s="241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spans="1:29" ht="13">
      <c r="A723" s="2"/>
      <c r="B723" s="2"/>
      <c r="C723" s="3"/>
      <c r="D723" s="2"/>
      <c r="E723" s="2"/>
      <c r="F723" s="2"/>
      <c r="G723" s="2"/>
      <c r="H723" s="2"/>
      <c r="I723" s="2"/>
      <c r="J723" s="241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spans="1:29" ht="13">
      <c r="A724" s="2"/>
      <c r="B724" s="2"/>
      <c r="C724" s="3"/>
      <c r="D724" s="2"/>
      <c r="E724" s="2"/>
      <c r="F724" s="2"/>
      <c r="G724" s="2"/>
      <c r="H724" s="2"/>
      <c r="I724" s="2"/>
      <c r="J724" s="241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spans="1:29" ht="13">
      <c r="A725" s="2"/>
      <c r="B725" s="2"/>
      <c r="C725" s="3"/>
      <c r="D725" s="2"/>
      <c r="E725" s="2"/>
      <c r="F725" s="2"/>
      <c r="G725" s="2"/>
      <c r="H725" s="2"/>
      <c r="I725" s="2"/>
      <c r="J725" s="241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spans="1:29" ht="13">
      <c r="A726" s="2"/>
      <c r="B726" s="2"/>
      <c r="C726" s="3"/>
      <c r="D726" s="2"/>
      <c r="E726" s="2"/>
      <c r="F726" s="2"/>
      <c r="G726" s="2"/>
      <c r="H726" s="2"/>
      <c r="I726" s="2"/>
      <c r="J726" s="241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spans="1:29" ht="13">
      <c r="A727" s="2"/>
      <c r="B727" s="2"/>
      <c r="C727" s="3"/>
      <c r="D727" s="2"/>
      <c r="E727" s="2"/>
      <c r="F727" s="2"/>
      <c r="G727" s="2"/>
      <c r="H727" s="2"/>
      <c r="I727" s="2"/>
      <c r="J727" s="241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spans="1:29" ht="13">
      <c r="A728" s="2"/>
      <c r="B728" s="2"/>
      <c r="C728" s="3"/>
      <c r="D728" s="2"/>
      <c r="E728" s="2"/>
      <c r="F728" s="2"/>
      <c r="G728" s="2"/>
      <c r="H728" s="2"/>
      <c r="I728" s="2"/>
      <c r="J728" s="241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spans="1:29" ht="13">
      <c r="A729" s="2"/>
      <c r="B729" s="2"/>
      <c r="C729" s="3"/>
      <c r="D729" s="2"/>
      <c r="E729" s="2"/>
      <c r="F729" s="2"/>
      <c r="G729" s="2"/>
      <c r="H729" s="2"/>
      <c r="I729" s="2"/>
      <c r="J729" s="241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spans="1:29" ht="13">
      <c r="A730" s="2"/>
      <c r="B730" s="2"/>
      <c r="C730" s="3"/>
      <c r="D730" s="2"/>
      <c r="E730" s="2"/>
      <c r="F730" s="2"/>
      <c r="G730" s="2"/>
      <c r="H730" s="2"/>
      <c r="I730" s="2"/>
      <c r="J730" s="241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spans="1:29" ht="13">
      <c r="A731" s="2"/>
      <c r="B731" s="2"/>
      <c r="C731" s="3"/>
      <c r="D731" s="2"/>
      <c r="E731" s="2"/>
      <c r="F731" s="2"/>
      <c r="G731" s="2"/>
      <c r="H731" s="2"/>
      <c r="I731" s="2"/>
      <c r="J731" s="241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spans="1:29" ht="13">
      <c r="A732" s="2"/>
      <c r="B732" s="2"/>
      <c r="C732" s="3"/>
      <c r="D732" s="2"/>
      <c r="E732" s="2"/>
      <c r="F732" s="2"/>
      <c r="G732" s="2"/>
      <c r="H732" s="2"/>
      <c r="I732" s="2"/>
      <c r="J732" s="241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spans="1:29" ht="13">
      <c r="A733" s="2"/>
      <c r="B733" s="2"/>
      <c r="C733" s="3"/>
      <c r="D733" s="2"/>
      <c r="E733" s="2"/>
      <c r="F733" s="2"/>
      <c r="G733" s="2"/>
      <c r="H733" s="2"/>
      <c r="I733" s="2"/>
      <c r="J733" s="241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spans="1:29" ht="13">
      <c r="A734" s="2"/>
      <c r="B734" s="2"/>
      <c r="C734" s="3"/>
      <c r="D734" s="2"/>
      <c r="E734" s="2"/>
      <c r="F734" s="2"/>
      <c r="G734" s="2"/>
      <c r="H734" s="2"/>
      <c r="I734" s="2"/>
      <c r="J734" s="241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spans="1:29" ht="13">
      <c r="A735" s="2"/>
      <c r="B735" s="2"/>
      <c r="C735" s="3"/>
      <c r="D735" s="2"/>
      <c r="E735" s="2"/>
      <c r="F735" s="2"/>
      <c r="G735" s="2"/>
      <c r="H735" s="2"/>
      <c r="I735" s="2"/>
      <c r="J735" s="241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spans="1:29" ht="13">
      <c r="A736" s="2"/>
      <c r="B736" s="2"/>
      <c r="C736" s="3"/>
      <c r="D736" s="2"/>
      <c r="E736" s="2"/>
      <c r="F736" s="2"/>
      <c r="G736" s="2"/>
      <c r="H736" s="2"/>
      <c r="I736" s="2"/>
      <c r="J736" s="241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spans="1:29" ht="13">
      <c r="A737" s="2"/>
      <c r="B737" s="2"/>
      <c r="C737" s="3"/>
      <c r="D737" s="2"/>
      <c r="E737" s="2"/>
      <c r="F737" s="2"/>
      <c r="G737" s="2"/>
      <c r="H737" s="2"/>
      <c r="I737" s="2"/>
      <c r="J737" s="241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spans="1:29" ht="13">
      <c r="A738" s="2"/>
      <c r="B738" s="2"/>
      <c r="C738" s="3"/>
      <c r="D738" s="2"/>
      <c r="E738" s="2"/>
      <c r="F738" s="2"/>
      <c r="G738" s="2"/>
      <c r="H738" s="2"/>
      <c r="I738" s="2"/>
      <c r="J738" s="241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spans="1:29" ht="13">
      <c r="A739" s="2"/>
      <c r="B739" s="2"/>
      <c r="C739" s="3"/>
      <c r="D739" s="2"/>
      <c r="E739" s="2"/>
      <c r="F739" s="2"/>
      <c r="G739" s="2"/>
      <c r="H739" s="2"/>
      <c r="I739" s="2"/>
      <c r="J739" s="241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spans="1:29" ht="13">
      <c r="A740" s="2"/>
      <c r="B740" s="2"/>
      <c r="C740" s="3"/>
      <c r="D740" s="2"/>
      <c r="E740" s="2"/>
      <c r="F740" s="2"/>
      <c r="G740" s="2"/>
      <c r="H740" s="2"/>
      <c r="I740" s="2"/>
      <c r="J740" s="241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spans="1:29" ht="13">
      <c r="A741" s="2"/>
      <c r="B741" s="2"/>
      <c r="C741" s="3"/>
      <c r="D741" s="2"/>
      <c r="E741" s="2"/>
      <c r="F741" s="2"/>
      <c r="G741" s="2"/>
      <c r="H741" s="2"/>
      <c r="I741" s="2"/>
      <c r="J741" s="241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spans="1:29" ht="13">
      <c r="A742" s="2"/>
      <c r="B742" s="2"/>
      <c r="C742" s="3"/>
      <c r="D742" s="2"/>
      <c r="E742" s="2"/>
      <c r="F742" s="2"/>
      <c r="G742" s="2"/>
      <c r="H742" s="2"/>
      <c r="I742" s="2"/>
      <c r="J742" s="241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spans="1:29" ht="13">
      <c r="A743" s="2"/>
      <c r="B743" s="2"/>
      <c r="C743" s="3"/>
      <c r="D743" s="2"/>
      <c r="E743" s="2"/>
      <c r="F743" s="2"/>
      <c r="G743" s="2"/>
      <c r="H743" s="2"/>
      <c r="I743" s="2"/>
      <c r="J743" s="241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spans="1:29" ht="13">
      <c r="A744" s="2"/>
      <c r="B744" s="2"/>
      <c r="C744" s="3"/>
      <c r="D744" s="2"/>
      <c r="E744" s="2"/>
      <c r="F744" s="2"/>
      <c r="G744" s="2"/>
      <c r="H744" s="2"/>
      <c r="I744" s="2"/>
      <c r="J744" s="241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spans="1:29" ht="13">
      <c r="A745" s="2"/>
      <c r="B745" s="2"/>
      <c r="C745" s="3"/>
      <c r="D745" s="2"/>
      <c r="E745" s="2"/>
      <c r="F745" s="2"/>
      <c r="G745" s="2"/>
      <c r="H745" s="2"/>
      <c r="I745" s="2"/>
      <c r="J745" s="241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spans="1:29" ht="13">
      <c r="A746" s="2"/>
      <c r="B746" s="2"/>
      <c r="C746" s="3"/>
      <c r="D746" s="2"/>
      <c r="E746" s="2"/>
      <c r="F746" s="2"/>
      <c r="G746" s="2"/>
      <c r="H746" s="2"/>
      <c r="I746" s="2"/>
      <c r="J746" s="241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spans="1:29" ht="13">
      <c r="A747" s="2"/>
      <c r="B747" s="2"/>
      <c r="C747" s="3"/>
      <c r="D747" s="2"/>
      <c r="E747" s="2"/>
      <c r="F747" s="2"/>
      <c r="G747" s="2"/>
      <c r="H747" s="2"/>
      <c r="I747" s="2"/>
      <c r="J747" s="241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spans="1:29" ht="13">
      <c r="A748" s="2"/>
      <c r="B748" s="2"/>
      <c r="C748" s="3"/>
      <c r="D748" s="2"/>
      <c r="E748" s="2"/>
      <c r="F748" s="2"/>
      <c r="G748" s="2"/>
      <c r="H748" s="2"/>
      <c r="I748" s="2"/>
      <c r="J748" s="241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spans="1:29" ht="13">
      <c r="A749" s="2"/>
      <c r="B749" s="2"/>
      <c r="C749" s="3"/>
      <c r="D749" s="2"/>
      <c r="E749" s="2"/>
      <c r="F749" s="2"/>
      <c r="G749" s="2"/>
      <c r="H749" s="2"/>
      <c r="I749" s="2"/>
      <c r="J749" s="241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spans="1:29" ht="13">
      <c r="A750" s="2"/>
      <c r="B750" s="2"/>
      <c r="C750" s="3"/>
      <c r="D750" s="2"/>
      <c r="E750" s="2"/>
      <c r="F750" s="2"/>
      <c r="G750" s="2"/>
      <c r="H750" s="2"/>
      <c r="I750" s="2"/>
      <c r="J750" s="241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spans="1:29" ht="13">
      <c r="A751" s="2"/>
      <c r="B751" s="2"/>
      <c r="C751" s="3"/>
      <c r="D751" s="2"/>
      <c r="E751" s="2"/>
      <c r="F751" s="2"/>
      <c r="G751" s="2"/>
      <c r="H751" s="2"/>
      <c r="I751" s="2"/>
      <c r="J751" s="241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spans="1:29" ht="13">
      <c r="A752" s="2"/>
      <c r="B752" s="2"/>
      <c r="C752" s="3"/>
      <c r="D752" s="2"/>
      <c r="E752" s="2"/>
      <c r="F752" s="2"/>
      <c r="G752" s="2"/>
      <c r="H752" s="2"/>
      <c r="I752" s="2"/>
      <c r="J752" s="241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spans="1:29" ht="13">
      <c r="A753" s="2"/>
      <c r="B753" s="2"/>
      <c r="C753" s="3"/>
      <c r="D753" s="2"/>
      <c r="E753" s="2"/>
      <c r="F753" s="2"/>
      <c r="G753" s="2"/>
      <c r="H753" s="2"/>
      <c r="I753" s="2"/>
      <c r="J753" s="241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spans="1:29" ht="13">
      <c r="A754" s="2"/>
      <c r="B754" s="2"/>
      <c r="C754" s="3"/>
      <c r="D754" s="2"/>
      <c r="E754" s="2"/>
      <c r="F754" s="2"/>
      <c r="G754" s="2"/>
      <c r="H754" s="2"/>
      <c r="I754" s="2"/>
      <c r="J754" s="241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spans="1:29" ht="13">
      <c r="A755" s="2"/>
      <c r="B755" s="2"/>
      <c r="C755" s="3"/>
      <c r="D755" s="2"/>
      <c r="E755" s="2"/>
      <c r="F755" s="2"/>
      <c r="G755" s="2"/>
      <c r="H755" s="2"/>
      <c r="I755" s="2"/>
      <c r="J755" s="241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spans="1:29" ht="13">
      <c r="A756" s="2"/>
      <c r="B756" s="2"/>
      <c r="C756" s="3"/>
      <c r="D756" s="2"/>
      <c r="E756" s="2"/>
      <c r="F756" s="2"/>
      <c r="G756" s="2"/>
      <c r="H756" s="2"/>
      <c r="I756" s="2"/>
      <c r="J756" s="241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spans="1:29" ht="13">
      <c r="A757" s="2"/>
      <c r="B757" s="2"/>
      <c r="C757" s="3"/>
      <c r="D757" s="2"/>
      <c r="E757" s="2"/>
      <c r="F757" s="2"/>
      <c r="G757" s="2"/>
      <c r="H757" s="2"/>
      <c r="I757" s="2"/>
      <c r="J757" s="241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spans="1:29" ht="13">
      <c r="A758" s="2"/>
      <c r="B758" s="2"/>
      <c r="C758" s="3"/>
      <c r="D758" s="2"/>
      <c r="E758" s="2"/>
      <c r="F758" s="2"/>
      <c r="G758" s="2"/>
      <c r="H758" s="2"/>
      <c r="I758" s="2"/>
      <c r="J758" s="241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spans="1:29" ht="13">
      <c r="A759" s="2"/>
      <c r="B759" s="2"/>
      <c r="C759" s="3"/>
      <c r="D759" s="2"/>
      <c r="E759" s="2"/>
      <c r="F759" s="2"/>
      <c r="G759" s="2"/>
      <c r="H759" s="2"/>
      <c r="I759" s="2"/>
      <c r="J759" s="241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spans="1:29" ht="13">
      <c r="A760" s="2"/>
      <c r="B760" s="2"/>
      <c r="C760" s="3"/>
      <c r="D760" s="2"/>
      <c r="E760" s="2"/>
      <c r="F760" s="2"/>
      <c r="G760" s="2"/>
      <c r="H760" s="2"/>
      <c r="I760" s="2"/>
      <c r="J760" s="241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spans="1:29" ht="13">
      <c r="A761" s="2"/>
      <c r="B761" s="2"/>
      <c r="C761" s="3"/>
      <c r="D761" s="2"/>
      <c r="E761" s="2"/>
      <c r="F761" s="2"/>
      <c r="G761" s="2"/>
      <c r="H761" s="2"/>
      <c r="I761" s="2"/>
      <c r="J761" s="241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spans="1:29" ht="13">
      <c r="A762" s="2"/>
      <c r="B762" s="2"/>
      <c r="C762" s="3"/>
      <c r="D762" s="2"/>
      <c r="E762" s="2"/>
      <c r="F762" s="2"/>
      <c r="G762" s="2"/>
      <c r="H762" s="2"/>
      <c r="I762" s="2"/>
      <c r="J762" s="241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spans="1:29" ht="13">
      <c r="A763" s="2"/>
      <c r="B763" s="2"/>
      <c r="C763" s="3"/>
      <c r="D763" s="2"/>
      <c r="E763" s="2"/>
      <c r="F763" s="2"/>
      <c r="G763" s="2"/>
      <c r="H763" s="2"/>
      <c r="I763" s="2"/>
      <c r="J763" s="241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spans="1:29" ht="13">
      <c r="A764" s="2"/>
      <c r="B764" s="2"/>
      <c r="C764" s="3"/>
      <c r="D764" s="2"/>
      <c r="E764" s="2"/>
      <c r="F764" s="2"/>
      <c r="G764" s="2"/>
      <c r="H764" s="2"/>
      <c r="I764" s="2"/>
      <c r="J764" s="241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spans="1:29" ht="13">
      <c r="A765" s="2"/>
      <c r="B765" s="2"/>
      <c r="C765" s="3"/>
      <c r="D765" s="2"/>
      <c r="E765" s="2"/>
      <c r="F765" s="2"/>
      <c r="G765" s="2"/>
      <c r="H765" s="2"/>
      <c r="I765" s="2"/>
      <c r="J765" s="241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spans="1:29" ht="13">
      <c r="A766" s="2"/>
      <c r="B766" s="2"/>
      <c r="C766" s="3"/>
      <c r="D766" s="2"/>
      <c r="E766" s="2"/>
      <c r="F766" s="2"/>
      <c r="G766" s="2"/>
      <c r="H766" s="2"/>
      <c r="I766" s="2"/>
      <c r="J766" s="241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spans="1:29" ht="13">
      <c r="A767" s="2"/>
      <c r="B767" s="2"/>
      <c r="C767" s="3"/>
      <c r="D767" s="2"/>
      <c r="E767" s="2"/>
      <c r="F767" s="2"/>
      <c r="G767" s="2"/>
      <c r="H767" s="2"/>
      <c r="I767" s="2"/>
      <c r="J767" s="241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spans="1:29" ht="13">
      <c r="A768" s="2"/>
      <c r="B768" s="2"/>
      <c r="C768" s="3"/>
      <c r="D768" s="2"/>
      <c r="E768" s="2"/>
      <c r="F768" s="2"/>
      <c r="G768" s="2"/>
      <c r="H768" s="2"/>
      <c r="I768" s="2"/>
      <c r="J768" s="241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spans="1:29" ht="13">
      <c r="A769" s="2"/>
      <c r="B769" s="2"/>
      <c r="C769" s="3"/>
      <c r="D769" s="2"/>
      <c r="E769" s="2"/>
      <c r="F769" s="2"/>
      <c r="G769" s="2"/>
      <c r="H769" s="2"/>
      <c r="I769" s="2"/>
      <c r="J769" s="241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spans="1:29" ht="13">
      <c r="A770" s="2"/>
      <c r="B770" s="2"/>
      <c r="C770" s="3"/>
      <c r="D770" s="2"/>
      <c r="E770" s="2"/>
      <c r="F770" s="2"/>
      <c r="G770" s="2"/>
      <c r="H770" s="2"/>
      <c r="I770" s="2"/>
      <c r="J770" s="241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spans="1:29" ht="13">
      <c r="A771" s="2"/>
      <c r="B771" s="2"/>
      <c r="C771" s="3"/>
      <c r="D771" s="2"/>
      <c r="E771" s="2"/>
      <c r="F771" s="2"/>
      <c r="G771" s="2"/>
      <c r="H771" s="2"/>
      <c r="I771" s="2"/>
      <c r="J771" s="241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spans="1:29" ht="13">
      <c r="A772" s="2"/>
      <c r="B772" s="2"/>
      <c r="C772" s="3"/>
      <c r="D772" s="2"/>
      <c r="E772" s="2"/>
      <c r="F772" s="2"/>
      <c r="G772" s="2"/>
      <c r="H772" s="2"/>
      <c r="I772" s="2"/>
      <c r="J772" s="241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spans="1:29" ht="13">
      <c r="A773" s="2"/>
      <c r="B773" s="2"/>
      <c r="C773" s="3"/>
      <c r="D773" s="2"/>
      <c r="E773" s="2"/>
      <c r="F773" s="2"/>
      <c r="G773" s="2"/>
      <c r="H773" s="2"/>
      <c r="I773" s="2"/>
      <c r="J773" s="241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spans="1:29" ht="13">
      <c r="A774" s="2"/>
      <c r="B774" s="2"/>
      <c r="C774" s="3"/>
      <c r="D774" s="2"/>
      <c r="E774" s="2"/>
      <c r="F774" s="2"/>
      <c r="G774" s="2"/>
      <c r="H774" s="2"/>
      <c r="I774" s="2"/>
      <c r="J774" s="241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spans="1:29" ht="13">
      <c r="A775" s="2"/>
      <c r="B775" s="2"/>
      <c r="C775" s="3"/>
      <c r="D775" s="2"/>
      <c r="E775" s="2"/>
      <c r="F775" s="2"/>
      <c r="G775" s="2"/>
      <c r="H775" s="2"/>
      <c r="I775" s="2"/>
      <c r="J775" s="241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spans="1:29" ht="13">
      <c r="A776" s="2"/>
      <c r="B776" s="2"/>
      <c r="C776" s="3"/>
      <c r="D776" s="2"/>
      <c r="E776" s="2"/>
      <c r="F776" s="2"/>
      <c r="G776" s="2"/>
      <c r="H776" s="2"/>
      <c r="I776" s="2"/>
      <c r="J776" s="241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spans="1:29" ht="13">
      <c r="A777" s="2"/>
      <c r="B777" s="2"/>
      <c r="C777" s="3"/>
      <c r="D777" s="2"/>
      <c r="E777" s="2"/>
      <c r="F777" s="2"/>
      <c r="G777" s="2"/>
      <c r="H777" s="2"/>
      <c r="I777" s="2"/>
      <c r="J777" s="241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spans="1:29" ht="13">
      <c r="A778" s="2"/>
      <c r="B778" s="2"/>
      <c r="C778" s="3"/>
      <c r="D778" s="2"/>
      <c r="E778" s="2"/>
      <c r="F778" s="2"/>
      <c r="G778" s="2"/>
      <c r="H778" s="2"/>
      <c r="I778" s="2"/>
      <c r="J778" s="241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spans="1:29" ht="13">
      <c r="A779" s="2"/>
      <c r="B779" s="2"/>
      <c r="C779" s="3"/>
      <c r="D779" s="2"/>
      <c r="E779" s="2"/>
      <c r="F779" s="2"/>
      <c r="G779" s="2"/>
      <c r="H779" s="2"/>
      <c r="I779" s="2"/>
      <c r="J779" s="241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spans="1:29" ht="13">
      <c r="A780" s="2"/>
      <c r="B780" s="2"/>
      <c r="C780" s="3"/>
      <c r="D780" s="2"/>
      <c r="E780" s="2"/>
      <c r="F780" s="2"/>
      <c r="G780" s="2"/>
      <c r="H780" s="2"/>
      <c r="I780" s="2"/>
      <c r="J780" s="241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spans="1:29" ht="13">
      <c r="A781" s="2"/>
      <c r="B781" s="2"/>
      <c r="C781" s="3"/>
      <c r="D781" s="2"/>
      <c r="E781" s="2"/>
      <c r="F781" s="2"/>
      <c r="G781" s="2"/>
      <c r="H781" s="2"/>
      <c r="I781" s="2"/>
      <c r="J781" s="241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spans="1:29" ht="13">
      <c r="A782" s="2"/>
      <c r="B782" s="2"/>
      <c r="C782" s="3"/>
      <c r="D782" s="2"/>
      <c r="E782" s="2"/>
      <c r="F782" s="2"/>
      <c r="G782" s="2"/>
      <c r="H782" s="2"/>
      <c r="I782" s="2"/>
      <c r="J782" s="241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spans="1:29" ht="13">
      <c r="A783" s="2"/>
      <c r="B783" s="2"/>
      <c r="C783" s="3"/>
      <c r="D783" s="2"/>
      <c r="E783" s="2"/>
      <c r="F783" s="2"/>
      <c r="G783" s="2"/>
      <c r="H783" s="2"/>
      <c r="I783" s="2"/>
      <c r="J783" s="241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spans="1:29" ht="13">
      <c r="A784" s="2"/>
      <c r="B784" s="2"/>
      <c r="C784" s="3"/>
      <c r="D784" s="2"/>
      <c r="E784" s="2"/>
      <c r="F784" s="2"/>
      <c r="G784" s="2"/>
      <c r="H784" s="2"/>
      <c r="I784" s="2"/>
      <c r="J784" s="241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spans="1:29" ht="13">
      <c r="A785" s="2"/>
      <c r="B785" s="2"/>
      <c r="C785" s="3"/>
      <c r="D785" s="2"/>
      <c r="E785" s="2"/>
      <c r="F785" s="2"/>
      <c r="G785" s="2"/>
      <c r="H785" s="2"/>
      <c r="I785" s="2"/>
      <c r="J785" s="241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spans="1:29" ht="13">
      <c r="A786" s="2"/>
      <c r="B786" s="2"/>
      <c r="C786" s="3"/>
      <c r="D786" s="2"/>
      <c r="E786" s="2"/>
      <c r="F786" s="2"/>
      <c r="G786" s="2"/>
      <c r="H786" s="2"/>
      <c r="I786" s="2"/>
      <c r="J786" s="241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spans="1:29" ht="13">
      <c r="A787" s="2"/>
      <c r="B787" s="2"/>
      <c r="C787" s="3"/>
      <c r="D787" s="2"/>
      <c r="E787" s="2"/>
      <c r="F787" s="2"/>
      <c r="G787" s="2"/>
      <c r="H787" s="2"/>
      <c r="I787" s="2"/>
      <c r="J787" s="241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spans="1:29" ht="13">
      <c r="A788" s="2"/>
      <c r="B788" s="2"/>
      <c r="C788" s="3"/>
      <c r="D788" s="2"/>
      <c r="E788" s="2"/>
      <c r="F788" s="2"/>
      <c r="G788" s="2"/>
      <c r="H788" s="2"/>
      <c r="I788" s="2"/>
      <c r="J788" s="241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spans="1:29" ht="13">
      <c r="A789" s="2"/>
      <c r="B789" s="2"/>
      <c r="C789" s="3"/>
      <c r="D789" s="2"/>
      <c r="E789" s="2"/>
      <c r="F789" s="2"/>
      <c r="G789" s="2"/>
      <c r="H789" s="2"/>
      <c r="I789" s="2"/>
      <c r="J789" s="241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spans="1:29" ht="13">
      <c r="A790" s="2"/>
      <c r="B790" s="2"/>
      <c r="C790" s="3"/>
      <c r="D790" s="2"/>
      <c r="E790" s="2"/>
      <c r="F790" s="2"/>
      <c r="G790" s="2"/>
      <c r="H790" s="2"/>
      <c r="I790" s="2"/>
      <c r="J790" s="241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spans="1:29" ht="13">
      <c r="A791" s="2"/>
      <c r="B791" s="2"/>
      <c r="C791" s="3"/>
      <c r="D791" s="2"/>
      <c r="E791" s="2"/>
      <c r="F791" s="2"/>
      <c r="G791" s="2"/>
      <c r="H791" s="2"/>
      <c r="I791" s="2"/>
      <c r="J791" s="241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spans="1:29" ht="13">
      <c r="A792" s="2"/>
      <c r="B792" s="2"/>
      <c r="C792" s="3"/>
      <c r="D792" s="2"/>
      <c r="E792" s="2"/>
      <c r="F792" s="2"/>
      <c r="G792" s="2"/>
      <c r="H792" s="2"/>
      <c r="I792" s="2"/>
      <c r="J792" s="241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spans="1:29" ht="13">
      <c r="A793" s="2"/>
      <c r="B793" s="2"/>
      <c r="C793" s="3"/>
      <c r="D793" s="2"/>
      <c r="E793" s="2"/>
      <c r="F793" s="2"/>
      <c r="G793" s="2"/>
      <c r="H793" s="2"/>
      <c r="I793" s="2"/>
      <c r="J793" s="241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spans="1:29" ht="13">
      <c r="A794" s="2"/>
      <c r="B794" s="2"/>
      <c r="C794" s="3"/>
      <c r="D794" s="2"/>
      <c r="E794" s="2"/>
      <c r="F794" s="2"/>
      <c r="G794" s="2"/>
      <c r="H794" s="2"/>
      <c r="I794" s="2"/>
      <c r="J794" s="241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spans="1:29" ht="13">
      <c r="A795" s="2"/>
      <c r="B795" s="2"/>
      <c r="C795" s="3"/>
      <c r="D795" s="2"/>
      <c r="E795" s="2"/>
      <c r="F795" s="2"/>
      <c r="G795" s="2"/>
      <c r="H795" s="2"/>
      <c r="I795" s="2"/>
      <c r="J795" s="241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spans="1:29" ht="13">
      <c r="A796" s="2"/>
      <c r="B796" s="2"/>
      <c r="C796" s="3"/>
      <c r="D796" s="2"/>
      <c r="E796" s="2"/>
      <c r="F796" s="2"/>
      <c r="G796" s="2"/>
      <c r="H796" s="2"/>
      <c r="I796" s="2"/>
      <c r="J796" s="241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spans="1:29" ht="13">
      <c r="A797" s="2"/>
      <c r="B797" s="2"/>
      <c r="C797" s="3"/>
      <c r="D797" s="2"/>
      <c r="E797" s="2"/>
      <c r="F797" s="2"/>
      <c r="G797" s="2"/>
      <c r="H797" s="2"/>
      <c r="I797" s="2"/>
      <c r="J797" s="241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spans="1:29" ht="13">
      <c r="A798" s="2"/>
      <c r="B798" s="2"/>
      <c r="C798" s="3"/>
      <c r="D798" s="2"/>
      <c r="E798" s="2"/>
      <c r="F798" s="2"/>
      <c r="G798" s="2"/>
      <c r="H798" s="2"/>
      <c r="I798" s="2"/>
      <c r="J798" s="241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spans="1:29" ht="13">
      <c r="A799" s="2"/>
      <c r="B799" s="2"/>
      <c r="C799" s="3"/>
      <c r="D799" s="2"/>
      <c r="E799" s="2"/>
      <c r="F799" s="2"/>
      <c r="G799" s="2"/>
      <c r="H799" s="2"/>
      <c r="I799" s="2"/>
      <c r="J799" s="241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spans="1:29" ht="13">
      <c r="A800" s="2"/>
      <c r="B800" s="2"/>
      <c r="C800" s="3"/>
      <c r="D800" s="2"/>
      <c r="E800" s="2"/>
      <c r="F800" s="2"/>
      <c r="G800" s="2"/>
      <c r="H800" s="2"/>
      <c r="I800" s="2"/>
      <c r="J800" s="241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spans="1:29" ht="13">
      <c r="A801" s="2"/>
      <c r="B801" s="2"/>
      <c r="C801" s="3"/>
      <c r="D801" s="2"/>
      <c r="E801" s="2"/>
      <c r="F801" s="2"/>
      <c r="G801" s="2"/>
      <c r="H801" s="2"/>
      <c r="I801" s="2"/>
      <c r="J801" s="241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spans="1:29" ht="13">
      <c r="A802" s="2"/>
      <c r="B802" s="2"/>
      <c r="C802" s="3"/>
      <c r="D802" s="2"/>
      <c r="E802" s="2"/>
      <c r="F802" s="2"/>
      <c r="G802" s="2"/>
      <c r="H802" s="2"/>
      <c r="I802" s="2"/>
      <c r="J802" s="241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spans="1:29" ht="13">
      <c r="A803" s="2"/>
      <c r="B803" s="2"/>
      <c r="C803" s="3"/>
      <c r="D803" s="2"/>
      <c r="E803" s="2"/>
      <c r="F803" s="2"/>
      <c r="G803" s="2"/>
      <c r="H803" s="2"/>
      <c r="I803" s="2"/>
      <c r="J803" s="241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spans="1:29" ht="13">
      <c r="A804" s="2"/>
      <c r="B804" s="2"/>
      <c r="C804" s="3"/>
      <c r="D804" s="2"/>
      <c r="E804" s="2"/>
      <c r="F804" s="2"/>
      <c r="G804" s="2"/>
      <c r="H804" s="2"/>
      <c r="I804" s="2"/>
      <c r="J804" s="241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spans="1:29" ht="13">
      <c r="A805" s="2"/>
      <c r="B805" s="2"/>
      <c r="C805" s="3"/>
      <c r="D805" s="2"/>
      <c r="E805" s="2"/>
      <c r="F805" s="2"/>
      <c r="G805" s="2"/>
      <c r="H805" s="2"/>
      <c r="I805" s="2"/>
      <c r="J805" s="241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spans="1:29" ht="13">
      <c r="A806" s="2"/>
      <c r="B806" s="2"/>
      <c r="C806" s="3"/>
      <c r="D806" s="2"/>
      <c r="E806" s="2"/>
      <c r="F806" s="2"/>
      <c r="G806" s="2"/>
      <c r="H806" s="2"/>
      <c r="I806" s="2"/>
      <c r="J806" s="241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spans="1:29" ht="13">
      <c r="A807" s="2"/>
      <c r="B807" s="2"/>
      <c r="C807" s="3"/>
      <c r="D807" s="2"/>
      <c r="E807" s="2"/>
      <c r="F807" s="2"/>
      <c r="G807" s="2"/>
      <c r="H807" s="2"/>
      <c r="I807" s="2"/>
      <c r="J807" s="241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spans="1:29" ht="13">
      <c r="A808" s="2"/>
      <c r="B808" s="2"/>
      <c r="C808" s="3"/>
      <c r="D808" s="2"/>
      <c r="E808" s="2"/>
      <c r="F808" s="2"/>
      <c r="G808" s="2"/>
      <c r="H808" s="2"/>
      <c r="I808" s="2"/>
      <c r="J808" s="241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spans="1:29" ht="13">
      <c r="A809" s="2"/>
      <c r="B809" s="2"/>
      <c r="C809" s="3"/>
      <c r="D809" s="2"/>
      <c r="E809" s="2"/>
      <c r="F809" s="2"/>
      <c r="G809" s="2"/>
      <c r="H809" s="2"/>
      <c r="I809" s="2"/>
      <c r="J809" s="241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spans="1:29" ht="13">
      <c r="A810" s="2"/>
      <c r="B810" s="2"/>
      <c r="C810" s="3"/>
      <c r="D810" s="2"/>
      <c r="E810" s="2"/>
      <c r="F810" s="2"/>
      <c r="G810" s="2"/>
      <c r="H810" s="2"/>
      <c r="I810" s="2"/>
      <c r="J810" s="241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spans="1:29" ht="13">
      <c r="A811" s="2"/>
      <c r="B811" s="2"/>
      <c r="C811" s="3"/>
      <c r="D811" s="2"/>
      <c r="E811" s="2"/>
      <c r="F811" s="2"/>
      <c r="G811" s="2"/>
      <c r="H811" s="2"/>
      <c r="I811" s="2"/>
      <c r="J811" s="241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spans="1:29" ht="13">
      <c r="A812" s="2"/>
      <c r="B812" s="2"/>
      <c r="C812" s="3"/>
      <c r="D812" s="2"/>
      <c r="E812" s="2"/>
      <c r="F812" s="2"/>
      <c r="G812" s="2"/>
      <c r="H812" s="2"/>
      <c r="I812" s="2"/>
      <c r="J812" s="241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spans="1:29" ht="13">
      <c r="A813" s="2"/>
      <c r="B813" s="2"/>
      <c r="C813" s="3"/>
      <c r="D813" s="2"/>
      <c r="E813" s="2"/>
      <c r="F813" s="2"/>
      <c r="G813" s="2"/>
      <c r="H813" s="2"/>
      <c r="I813" s="2"/>
      <c r="J813" s="241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spans="1:29" ht="13">
      <c r="A814" s="2"/>
      <c r="B814" s="2"/>
      <c r="C814" s="3"/>
      <c r="D814" s="2"/>
      <c r="E814" s="2"/>
      <c r="F814" s="2"/>
      <c r="G814" s="2"/>
      <c r="H814" s="2"/>
      <c r="I814" s="2"/>
      <c r="J814" s="241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spans="1:29" ht="13">
      <c r="A815" s="2"/>
      <c r="B815" s="2"/>
      <c r="C815" s="3"/>
      <c r="D815" s="2"/>
      <c r="E815" s="2"/>
      <c r="F815" s="2"/>
      <c r="G815" s="2"/>
      <c r="H815" s="2"/>
      <c r="I815" s="2"/>
      <c r="J815" s="241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spans="1:29" ht="13">
      <c r="A816" s="2"/>
      <c r="B816" s="2"/>
      <c r="C816" s="3"/>
      <c r="D816" s="2"/>
      <c r="E816" s="2"/>
      <c r="F816" s="2"/>
      <c r="G816" s="2"/>
      <c r="H816" s="2"/>
      <c r="I816" s="2"/>
      <c r="J816" s="241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spans="1:29" ht="13">
      <c r="A817" s="2"/>
      <c r="B817" s="2"/>
      <c r="C817" s="3"/>
      <c r="D817" s="2"/>
      <c r="E817" s="2"/>
      <c r="F817" s="2"/>
      <c r="G817" s="2"/>
      <c r="H817" s="2"/>
      <c r="I817" s="2"/>
      <c r="J817" s="241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spans="1:29" ht="13">
      <c r="A818" s="2"/>
      <c r="B818" s="2"/>
      <c r="C818" s="3"/>
      <c r="D818" s="2"/>
      <c r="E818" s="2"/>
      <c r="F818" s="2"/>
      <c r="G818" s="2"/>
      <c r="H818" s="2"/>
      <c r="I818" s="2"/>
      <c r="J818" s="241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spans="1:29" ht="13">
      <c r="A819" s="2"/>
      <c r="B819" s="2"/>
      <c r="C819" s="3"/>
      <c r="D819" s="2"/>
      <c r="E819" s="2"/>
      <c r="F819" s="2"/>
      <c r="G819" s="2"/>
      <c r="H819" s="2"/>
      <c r="I819" s="2"/>
      <c r="J819" s="241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spans="1:29" ht="13">
      <c r="A820" s="2"/>
      <c r="B820" s="2"/>
      <c r="C820" s="3"/>
      <c r="D820" s="2"/>
      <c r="E820" s="2"/>
      <c r="F820" s="2"/>
      <c r="G820" s="2"/>
      <c r="H820" s="2"/>
      <c r="I820" s="2"/>
      <c r="J820" s="241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spans="1:29" ht="13">
      <c r="A821" s="2"/>
      <c r="B821" s="2"/>
      <c r="C821" s="3"/>
      <c r="D821" s="2"/>
      <c r="E821" s="2"/>
      <c r="F821" s="2"/>
      <c r="G821" s="2"/>
      <c r="H821" s="2"/>
      <c r="I821" s="2"/>
      <c r="J821" s="241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spans="1:29" ht="13">
      <c r="A822" s="2"/>
      <c r="B822" s="2"/>
      <c r="C822" s="3"/>
      <c r="D822" s="2"/>
      <c r="E822" s="2"/>
      <c r="F822" s="2"/>
      <c r="G822" s="2"/>
      <c r="H822" s="2"/>
      <c r="I822" s="2"/>
      <c r="J822" s="241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spans="1:29" ht="13">
      <c r="A823" s="2"/>
      <c r="B823" s="2"/>
      <c r="C823" s="3"/>
      <c r="D823" s="2"/>
      <c r="E823" s="2"/>
      <c r="F823" s="2"/>
      <c r="G823" s="2"/>
      <c r="H823" s="2"/>
      <c r="I823" s="2"/>
      <c r="J823" s="241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spans="1:29" ht="13">
      <c r="A824" s="2"/>
      <c r="B824" s="2"/>
      <c r="C824" s="3"/>
      <c r="D824" s="2"/>
      <c r="E824" s="2"/>
      <c r="F824" s="2"/>
      <c r="G824" s="2"/>
      <c r="H824" s="2"/>
      <c r="I824" s="2"/>
      <c r="J824" s="241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spans="1:29" ht="13">
      <c r="A825" s="2"/>
      <c r="B825" s="2"/>
      <c r="C825" s="3"/>
      <c r="D825" s="2"/>
      <c r="E825" s="2"/>
      <c r="F825" s="2"/>
      <c r="G825" s="2"/>
      <c r="H825" s="2"/>
      <c r="I825" s="2"/>
      <c r="J825" s="241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spans="1:29" ht="13">
      <c r="A826" s="2"/>
      <c r="B826" s="2"/>
      <c r="C826" s="3"/>
      <c r="D826" s="2"/>
      <c r="E826" s="2"/>
      <c r="F826" s="2"/>
      <c r="G826" s="2"/>
      <c r="H826" s="2"/>
      <c r="I826" s="2"/>
      <c r="J826" s="241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spans="1:29" ht="13">
      <c r="A827" s="2"/>
      <c r="B827" s="2"/>
      <c r="C827" s="3"/>
      <c r="D827" s="2"/>
      <c r="E827" s="2"/>
      <c r="F827" s="2"/>
      <c r="G827" s="2"/>
      <c r="H827" s="2"/>
      <c r="I827" s="2"/>
      <c r="J827" s="241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spans="1:29" ht="13">
      <c r="A828" s="2"/>
      <c r="B828" s="2"/>
      <c r="C828" s="3"/>
      <c r="D828" s="2"/>
      <c r="E828" s="2"/>
      <c r="F828" s="2"/>
      <c r="G828" s="2"/>
      <c r="H828" s="2"/>
      <c r="I828" s="2"/>
      <c r="J828" s="241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spans="1:29" ht="13">
      <c r="A829" s="2"/>
      <c r="B829" s="2"/>
      <c r="C829" s="3"/>
      <c r="D829" s="2"/>
      <c r="E829" s="2"/>
      <c r="F829" s="2"/>
      <c r="G829" s="2"/>
      <c r="H829" s="2"/>
      <c r="I829" s="2"/>
      <c r="J829" s="241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spans="1:29" ht="13">
      <c r="A830" s="2"/>
      <c r="B830" s="2"/>
      <c r="C830" s="3"/>
      <c r="D830" s="2"/>
      <c r="E830" s="2"/>
      <c r="F830" s="2"/>
      <c r="G830" s="2"/>
      <c r="H830" s="2"/>
      <c r="I830" s="2"/>
      <c r="J830" s="241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spans="1:29" ht="13">
      <c r="A831" s="2"/>
      <c r="B831" s="2"/>
      <c r="C831" s="3"/>
      <c r="D831" s="2"/>
      <c r="E831" s="2"/>
      <c r="F831" s="2"/>
      <c r="G831" s="2"/>
      <c r="H831" s="2"/>
      <c r="I831" s="2"/>
      <c r="J831" s="241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spans="1:29" ht="13">
      <c r="A832" s="2"/>
      <c r="B832" s="2"/>
      <c r="C832" s="3"/>
      <c r="D832" s="2"/>
      <c r="E832" s="2"/>
      <c r="F832" s="2"/>
      <c r="G832" s="2"/>
      <c r="H832" s="2"/>
      <c r="I832" s="2"/>
      <c r="J832" s="241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spans="1:29" ht="13">
      <c r="A833" s="2"/>
      <c r="B833" s="2"/>
      <c r="C833" s="3"/>
      <c r="D833" s="2"/>
      <c r="E833" s="2"/>
      <c r="F833" s="2"/>
      <c r="G833" s="2"/>
      <c r="H833" s="2"/>
      <c r="I833" s="2"/>
      <c r="J833" s="241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spans="1:29" ht="13">
      <c r="A834" s="2"/>
      <c r="B834" s="2"/>
      <c r="C834" s="3"/>
      <c r="D834" s="2"/>
      <c r="E834" s="2"/>
      <c r="F834" s="2"/>
      <c r="G834" s="2"/>
      <c r="H834" s="2"/>
      <c r="I834" s="2"/>
      <c r="J834" s="241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spans="1:29" ht="13">
      <c r="A835" s="2"/>
      <c r="B835" s="2"/>
      <c r="C835" s="3"/>
      <c r="D835" s="2"/>
      <c r="E835" s="2"/>
      <c r="F835" s="2"/>
      <c r="G835" s="2"/>
      <c r="H835" s="2"/>
      <c r="I835" s="2"/>
      <c r="J835" s="241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spans="1:29" ht="13">
      <c r="A836" s="2"/>
      <c r="B836" s="2"/>
      <c r="C836" s="3"/>
      <c r="D836" s="2"/>
      <c r="E836" s="2"/>
      <c r="F836" s="2"/>
      <c r="G836" s="2"/>
      <c r="H836" s="2"/>
      <c r="I836" s="2"/>
      <c r="J836" s="241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spans="1:29" ht="13">
      <c r="A837" s="2"/>
      <c r="B837" s="2"/>
      <c r="C837" s="3"/>
      <c r="D837" s="2"/>
      <c r="E837" s="2"/>
      <c r="F837" s="2"/>
      <c r="G837" s="2"/>
      <c r="H837" s="2"/>
      <c r="I837" s="2"/>
      <c r="J837" s="241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spans="1:29" ht="13">
      <c r="A838" s="2"/>
      <c r="B838" s="2"/>
      <c r="C838" s="3"/>
      <c r="D838" s="2"/>
      <c r="E838" s="2"/>
      <c r="F838" s="2"/>
      <c r="G838" s="2"/>
      <c r="H838" s="2"/>
      <c r="I838" s="2"/>
      <c r="J838" s="241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spans="1:29" ht="13">
      <c r="A839" s="2"/>
      <c r="B839" s="2"/>
      <c r="C839" s="3"/>
      <c r="D839" s="2"/>
      <c r="E839" s="2"/>
      <c r="F839" s="2"/>
      <c r="G839" s="2"/>
      <c r="H839" s="2"/>
      <c r="I839" s="2"/>
      <c r="J839" s="241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spans="1:29" ht="13">
      <c r="A840" s="2"/>
      <c r="B840" s="2"/>
      <c r="C840" s="3"/>
      <c r="D840" s="2"/>
      <c r="E840" s="2"/>
      <c r="F840" s="2"/>
      <c r="G840" s="2"/>
      <c r="H840" s="2"/>
      <c r="I840" s="2"/>
      <c r="J840" s="241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spans="1:29" ht="13">
      <c r="A841" s="2"/>
      <c r="B841" s="2"/>
      <c r="C841" s="3"/>
      <c r="D841" s="2"/>
      <c r="E841" s="2"/>
      <c r="F841" s="2"/>
      <c r="G841" s="2"/>
      <c r="H841" s="2"/>
      <c r="I841" s="2"/>
      <c r="J841" s="241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spans="1:29" ht="13">
      <c r="A842" s="2"/>
      <c r="B842" s="2"/>
      <c r="C842" s="3"/>
      <c r="D842" s="2"/>
      <c r="E842" s="2"/>
      <c r="F842" s="2"/>
      <c r="G842" s="2"/>
      <c r="H842" s="2"/>
      <c r="I842" s="2"/>
      <c r="J842" s="241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spans="1:29" ht="13">
      <c r="A843" s="2"/>
      <c r="B843" s="2"/>
      <c r="C843" s="3"/>
      <c r="D843" s="2"/>
      <c r="E843" s="2"/>
      <c r="F843" s="2"/>
      <c r="G843" s="2"/>
      <c r="H843" s="2"/>
      <c r="I843" s="2"/>
      <c r="J843" s="241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spans="1:29" ht="13">
      <c r="A844" s="2"/>
      <c r="B844" s="2"/>
      <c r="C844" s="3"/>
      <c r="D844" s="2"/>
      <c r="E844" s="2"/>
      <c r="F844" s="2"/>
      <c r="G844" s="2"/>
      <c r="H844" s="2"/>
      <c r="I844" s="2"/>
      <c r="J844" s="241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spans="1:29" ht="13">
      <c r="A845" s="2"/>
      <c r="B845" s="2"/>
      <c r="C845" s="3"/>
      <c r="D845" s="2"/>
      <c r="E845" s="2"/>
      <c r="F845" s="2"/>
      <c r="G845" s="2"/>
      <c r="H845" s="2"/>
      <c r="I845" s="2"/>
      <c r="J845" s="241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spans="1:29" ht="13">
      <c r="A846" s="2"/>
      <c r="B846" s="2"/>
      <c r="C846" s="3"/>
      <c r="D846" s="2"/>
      <c r="E846" s="2"/>
      <c r="F846" s="2"/>
      <c r="G846" s="2"/>
      <c r="H846" s="2"/>
      <c r="I846" s="2"/>
      <c r="J846" s="241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spans="1:29" ht="13">
      <c r="A847" s="2"/>
      <c r="B847" s="2"/>
      <c r="C847" s="3"/>
      <c r="D847" s="2"/>
      <c r="E847" s="2"/>
      <c r="F847" s="2"/>
      <c r="G847" s="2"/>
      <c r="H847" s="2"/>
      <c r="I847" s="2"/>
      <c r="J847" s="241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spans="1:29" ht="13">
      <c r="A848" s="2"/>
      <c r="B848" s="2"/>
      <c r="C848" s="3"/>
      <c r="D848" s="2"/>
      <c r="E848" s="2"/>
      <c r="F848" s="2"/>
      <c r="G848" s="2"/>
      <c r="H848" s="2"/>
      <c r="I848" s="2"/>
      <c r="J848" s="241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spans="1:29" ht="13">
      <c r="A849" s="2"/>
      <c r="B849" s="2"/>
      <c r="C849" s="3"/>
      <c r="D849" s="2"/>
      <c r="E849" s="2"/>
      <c r="F849" s="2"/>
      <c r="G849" s="2"/>
      <c r="H849" s="2"/>
      <c r="I849" s="2"/>
      <c r="J849" s="241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spans="1:29" ht="13">
      <c r="A850" s="2"/>
      <c r="B850" s="2"/>
      <c r="C850" s="3"/>
      <c r="D850" s="2"/>
      <c r="E850" s="2"/>
      <c r="F850" s="2"/>
      <c r="G850" s="2"/>
      <c r="H850" s="2"/>
      <c r="I850" s="2"/>
      <c r="J850" s="241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spans="1:29" ht="13">
      <c r="A851" s="2"/>
      <c r="B851" s="2"/>
      <c r="C851" s="3"/>
      <c r="D851" s="2"/>
      <c r="E851" s="2"/>
      <c r="F851" s="2"/>
      <c r="G851" s="2"/>
      <c r="H851" s="2"/>
      <c r="I851" s="2"/>
      <c r="J851" s="241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spans="1:29" ht="13">
      <c r="A852" s="2"/>
      <c r="B852" s="2"/>
      <c r="C852" s="3"/>
      <c r="D852" s="2"/>
      <c r="E852" s="2"/>
      <c r="F852" s="2"/>
      <c r="G852" s="2"/>
      <c r="H852" s="2"/>
      <c r="I852" s="2"/>
      <c r="J852" s="241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spans="1:29" ht="13">
      <c r="A853" s="2"/>
      <c r="B853" s="2"/>
      <c r="C853" s="3"/>
      <c r="D853" s="2"/>
      <c r="E853" s="2"/>
      <c r="F853" s="2"/>
      <c r="G853" s="2"/>
      <c r="H853" s="2"/>
      <c r="I853" s="2"/>
      <c r="J853" s="241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spans="1:29" ht="13">
      <c r="A854" s="2"/>
      <c r="B854" s="2"/>
      <c r="C854" s="3"/>
      <c r="D854" s="2"/>
      <c r="E854" s="2"/>
      <c r="F854" s="2"/>
      <c r="G854" s="2"/>
      <c r="H854" s="2"/>
      <c r="I854" s="2"/>
      <c r="J854" s="241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spans="1:29" ht="13">
      <c r="A855" s="2"/>
      <c r="B855" s="2"/>
      <c r="C855" s="3"/>
      <c r="D855" s="2"/>
      <c r="E855" s="2"/>
      <c r="F855" s="2"/>
      <c r="G855" s="2"/>
      <c r="H855" s="2"/>
      <c r="I855" s="2"/>
      <c r="J855" s="241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spans="1:29" ht="13">
      <c r="A856" s="2"/>
      <c r="B856" s="2"/>
      <c r="C856" s="3"/>
      <c r="D856" s="2"/>
      <c r="E856" s="2"/>
      <c r="F856" s="2"/>
      <c r="G856" s="2"/>
      <c r="H856" s="2"/>
      <c r="I856" s="2"/>
      <c r="J856" s="241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spans="1:29" ht="13">
      <c r="A857" s="2"/>
      <c r="B857" s="2"/>
      <c r="C857" s="3"/>
      <c r="D857" s="2"/>
      <c r="E857" s="2"/>
      <c r="F857" s="2"/>
      <c r="G857" s="2"/>
      <c r="H857" s="2"/>
      <c r="I857" s="2"/>
      <c r="J857" s="241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spans="1:29" ht="13">
      <c r="A858" s="2"/>
      <c r="B858" s="2"/>
      <c r="C858" s="3"/>
      <c r="D858" s="2"/>
      <c r="E858" s="2"/>
      <c r="F858" s="2"/>
      <c r="G858" s="2"/>
      <c r="H858" s="2"/>
      <c r="I858" s="2"/>
      <c r="J858" s="241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spans="1:29" ht="13">
      <c r="A859" s="2"/>
      <c r="B859" s="2"/>
      <c r="C859" s="3"/>
      <c r="D859" s="2"/>
      <c r="E859" s="2"/>
      <c r="F859" s="2"/>
      <c r="G859" s="2"/>
      <c r="H859" s="2"/>
      <c r="I859" s="2"/>
      <c r="J859" s="241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spans="1:29" ht="13">
      <c r="A860" s="2"/>
      <c r="B860" s="2"/>
      <c r="C860" s="3"/>
      <c r="D860" s="2"/>
      <c r="E860" s="2"/>
      <c r="F860" s="2"/>
      <c r="G860" s="2"/>
      <c r="H860" s="2"/>
      <c r="I860" s="2"/>
      <c r="J860" s="241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spans="1:29" ht="13">
      <c r="A861" s="2"/>
      <c r="B861" s="2"/>
      <c r="C861" s="3"/>
      <c r="D861" s="2"/>
      <c r="E861" s="2"/>
      <c r="F861" s="2"/>
      <c r="G861" s="2"/>
      <c r="H861" s="2"/>
      <c r="I861" s="2"/>
      <c r="J861" s="241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spans="1:29" ht="13">
      <c r="A862" s="2"/>
      <c r="B862" s="2"/>
      <c r="C862" s="3"/>
      <c r="D862" s="2"/>
      <c r="E862" s="2"/>
      <c r="F862" s="2"/>
      <c r="G862" s="2"/>
      <c r="H862" s="2"/>
      <c r="I862" s="2"/>
      <c r="J862" s="241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spans="1:29" ht="13">
      <c r="A863" s="2"/>
      <c r="B863" s="2"/>
      <c r="C863" s="3"/>
      <c r="D863" s="2"/>
      <c r="E863" s="2"/>
      <c r="F863" s="2"/>
      <c r="G863" s="2"/>
      <c r="H863" s="2"/>
      <c r="I863" s="2"/>
      <c r="J863" s="241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spans="1:29" ht="13">
      <c r="A864" s="2"/>
      <c r="B864" s="2"/>
      <c r="C864" s="3"/>
      <c r="D864" s="2"/>
      <c r="E864" s="2"/>
      <c r="F864" s="2"/>
      <c r="G864" s="2"/>
      <c r="H864" s="2"/>
      <c r="I864" s="2"/>
      <c r="J864" s="241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spans="1:29" ht="13">
      <c r="A865" s="2"/>
      <c r="B865" s="2"/>
      <c r="C865" s="3"/>
      <c r="D865" s="2"/>
      <c r="E865" s="2"/>
      <c r="F865" s="2"/>
      <c r="G865" s="2"/>
      <c r="H865" s="2"/>
      <c r="I865" s="2"/>
      <c r="J865" s="241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spans="1:29" ht="13">
      <c r="A866" s="2"/>
      <c r="B866" s="2"/>
      <c r="C866" s="3"/>
      <c r="D866" s="2"/>
      <c r="E866" s="2"/>
      <c r="F866" s="2"/>
      <c r="G866" s="2"/>
      <c r="H866" s="2"/>
      <c r="I866" s="2"/>
      <c r="J866" s="241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spans="1:29" ht="13">
      <c r="A867" s="2"/>
      <c r="B867" s="2"/>
      <c r="C867" s="3"/>
      <c r="D867" s="2"/>
      <c r="E867" s="2"/>
      <c r="F867" s="2"/>
      <c r="G867" s="2"/>
      <c r="H867" s="2"/>
      <c r="I867" s="2"/>
      <c r="J867" s="241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spans="1:29" ht="13">
      <c r="A868" s="2"/>
      <c r="B868" s="2"/>
      <c r="C868" s="3"/>
      <c r="D868" s="2"/>
      <c r="E868" s="2"/>
      <c r="F868" s="2"/>
      <c r="G868" s="2"/>
      <c r="H868" s="2"/>
      <c r="I868" s="2"/>
      <c r="J868" s="241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spans="1:29" ht="13">
      <c r="A869" s="2"/>
      <c r="B869" s="2"/>
      <c r="C869" s="3"/>
      <c r="D869" s="2"/>
      <c r="E869" s="2"/>
      <c r="F869" s="2"/>
      <c r="G869" s="2"/>
      <c r="H869" s="2"/>
      <c r="I869" s="2"/>
      <c r="J869" s="241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spans="1:29" ht="13">
      <c r="A870" s="2"/>
      <c r="B870" s="2"/>
      <c r="C870" s="3"/>
      <c r="D870" s="2"/>
      <c r="E870" s="2"/>
      <c r="F870" s="2"/>
      <c r="G870" s="2"/>
      <c r="H870" s="2"/>
      <c r="I870" s="2"/>
      <c r="J870" s="241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spans="1:29" ht="13">
      <c r="A871" s="2"/>
      <c r="B871" s="2"/>
      <c r="C871" s="3"/>
      <c r="D871" s="2"/>
      <c r="E871" s="2"/>
      <c r="F871" s="2"/>
      <c r="G871" s="2"/>
      <c r="H871" s="2"/>
      <c r="I871" s="2"/>
      <c r="J871" s="241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spans="1:29" ht="13">
      <c r="A872" s="2"/>
      <c r="B872" s="2"/>
      <c r="C872" s="3"/>
      <c r="D872" s="2"/>
      <c r="E872" s="2"/>
      <c r="F872" s="2"/>
      <c r="G872" s="2"/>
      <c r="H872" s="2"/>
      <c r="I872" s="2"/>
      <c r="J872" s="241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spans="1:29" ht="13">
      <c r="A873" s="2"/>
      <c r="B873" s="2"/>
      <c r="C873" s="3"/>
      <c r="D873" s="2"/>
      <c r="E873" s="2"/>
      <c r="F873" s="2"/>
      <c r="G873" s="2"/>
      <c r="H873" s="2"/>
      <c r="I873" s="2"/>
      <c r="J873" s="241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spans="1:29" ht="13">
      <c r="A874" s="2"/>
      <c r="B874" s="2"/>
      <c r="C874" s="3"/>
      <c r="D874" s="2"/>
      <c r="E874" s="2"/>
      <c r="F874" s="2"/>
      <c r="G874" s="2"/>
      <c r="H874" s="2"/>
      <c r="I874" s="2"/>
      <c r="J874" s="241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spans="1:29" ht="13">
      <c r="A875" s="2"/>
      <c r="B875" s="2"/>
      <c r="C875" s="3"/>
      <c r="D875" s="2"/>
      <c r="E875" s="2"/>
      <c r="F875" s="2"/>
      <c r="G875" s="2"/>
      <c r="H875" s="2"/>
      <c r="I875" s="2"/>
      <c r="J875" s="241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spans="1:29" ht="13">
      <c r="A876" s="2"/>
      <c r="B876" s="2"/>
      <c r="C876" s="3"/>
      <c r="D876" s="2"/>
      <c r="E876" s="2"/>
      <c r="F876" s="2"/>
      <c r="G876" s="2"/>
      <c r="H876" s="2"/>
      <c r="I876" s="2"/>
      <c r="J876" s="241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spans="1:29" ht="13">
      <c r="A877" s="2"/>
      <c r="B877" s="2"/>
      <c r="C877" s="3"/>
      <c r="D877" s="2"/>
      <c r="E877" s="2"/>
      <c r="F877" s="2"/>
      <c r="G877" s="2"/>
      <c r="H877" s="2"/>
      <c r="I877" s="2"/>
      <c r="J877" s="241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spans="1:29" ht="13">
      <c r="A878" s="2"/>
      <c r="B878" s="2"/>
      <c r="C878" s="3"/>
      <c r="D878" s="2"/>
      <c r="E878" s="2"/>
      <c r="F878" s="2"/>
      <c r="G878" s="2"/>
      <c r="H878" s="2"/>
      <c r="I878" s="2"/>
      <c r="J878" s="241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spans="1:29" ht="13">
      <c r="A879" s="2"/>
      <c r="B879" s="2"/>
      <c r="C879" s="3"/>
      <c r="D879" s="2"/>
      <c r="E879" s="2"/>
      <c r="F879" s="2"/>
      <c r="G879" s="2"/>
      <c r="H879" s="2"/>
      <c r="I879" s="2"/>
      <c r="J879" s="241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spans="1:29" ht="13">
      <c r="A880" s="2"/>
      <c r="B880" s="2"/>
      <c r="C880" s="3"/>
      <c r="D880" s="2"/>
      <c r="E880" s="2"/>
      <c r="F880" s="2"/>
      <c r="G880" s="2"/>
      <c r="H880" s="2"/>
      <c r="I880" s="2"/>
      <c r="J880" s="241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spans="1:29" ht="13">
      <c r="A881" s="2"/>
      <c r="B881" s="2"/>
      <c r="C881" s="3"/>
      <c r="D881" s="2"/>
      <c r="E881" s="2"/>
      <c r="F881" s="2"/>
      <c r="G881" s="2"/>
      <c r="H881" s="2"/>
      <c r="I881" s="2"/>
      <c r="J881" s="241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spans="1:29" ht="13">
      <c r="A882" s="2"/>
      <c r="B882" s="2"/>
      <c r="C882" s="3"/>
      <c r="D882" s="2"/>
      <c r="E882" s="2"/>
      <c r="F882" s="2"/>
      <c r="G882" s="2"/>
      <c r="H882" s="2"/>
      <c r="I882" s="2"/>
      <c r="J882" s="241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spans="1:29" ht="13">
      <c r="A883" s="2"/>
      <c r="B883" s="2"/>
      <c r="C883" s="3"/>
      <c r="D883" s="2"/>
      <c r="E883" s="2"/>
      <c r="F883" s="2"/>
      <c r="G883" s="2"/>
      <c r="H883" s="2"/>
      <c r="I883" s="2"/>
      <c r="J883" s="241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spans="1:29" ht="13">
      <c r="A884" s="2"/>
      <c r="B884" s="2"/>
      <c r="C884" s="3"/>
      <c r="D884" s="2"/>
      <c r="E884" s="2"/>
      <c r="F884" s="2"/>
      <c r="G884" s="2"/>
      <c r="H884" s="2"/>
      <c r="I884" s="2"/>
      <c r="J884" s="241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spans="1:29" ht="13">
      <c r="A885" s="2"/>
      <c r="B885" s="2"/>
      <c r="C885" s="3"/>
      <c r="D885" s="2"/>
      <c r="E885" s="2"/>
      <c r="F885" s="2"/>
      <c r="G885" s="2"/>
      <c r="H885" s="2"/>
      <c r="I885" s="2"/>
      <c r="J885" s="241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spans="1:29" ht="13">
      <c r="A886" s="2"/>
      <c r="B886" s="2"/>
      <c r="C886" s="3"/>
      <c r="D886" s="2"/>
      <c r="E886" s="2"/>
      <c r="F886" s="2"/>
      <c r="G886" s="2"/>
      <c r="H886" s="2"/>
      <c r="I886" s="2"/>
      <c r="J886" s="241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spans="1:29" ht="13">
      <c r="A887" s="2"/>
      <c r="B887" s="2"/>
      <c r="C887" s="3"/>
      <c r="D887" s="2"/>
      <c r="E887" s="2"/>
      <c r="F887" s="2"/>
      <c r="G887" s="2"/>
      <c r="H887" s="2"/>
      <c r="I887" s="2"/>
      <c r="J887" s="241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spans="1:29" ht="13">
      <c r="A888" s="2"/>
      <c r="B888" s="2"/>
      <c r="C888" s="3"/>
      <c r="D888" s="2"/>
      <c r="E888" s="2"/>
      <c r="F888" s="2"/>
      <c r="G888" s="2"/>
      <c r="H888" s="2"/>
      <c r="I888" s="2"/>
      <c r="J888" s="241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spans="1:29" ht="13">
      <c r="A889" s="2"/>
      <c r="B889" s="2"/>
      <c r="C889" s="3"/>
      <c r="D889" s="2"/>
      <c r="E889" s="2"/>
      <c r="F889" s="2"/>
      <c r="G889" s="2"/>
      <c r="H889" s="2"/>
      <c r="I889" s="2"/>
      <c r="J889" s="241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spans="1:29" ht="13">
      <c r="A890" s="2"/>
      <c r="B890" s="2"/>
      <c r="C890" s="3"/>
      <c r="D890" s="2"/>
      <c r="E890" s="2"/>
      <c r="F890" s="2"/>
      <c r="G890" s="2"/>
      <c r="H890" s="2"/>
      <c r="I890" s="2"/>
      <c r="J890" s="241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spans="1:29" ht="13">
      <c r="A891" s="2"/>
      <c r="B891" s="2"/>
      <c r="C891" s="3"/>
      <c r="D891" s="2"/>
      <c r="E891" s="2"/>
      <c r="F891" s="2"/>
      <c r="G891" s="2"/>
      <c r="H891" s="2"/>
      <c r="I891" s="2"/>
      <c r="J891" s="241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spans="1:29" ht="13">
      <c r="A892" s="2"/>
      <c r="B892" s="2"/>
      <c r="C892" s="3"/>
      <c r="D892" s="2"/>
      <c r="E892" s="2"/>
      <c r="F892" s="2"/>
      <c r="G892" s="2"/>
      <c r="H892" s="2"/>
      <c r="I892" s="2"/>
      <c r="J892" s="241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spans="1:29" ht="13">
      <c r="A893" s="2"/>
      <c r="B893" s="2"/>
      <c r="C893" s="3"/>
      <c r="D893" s="2"/>
      <c r="E893" s="2"/>
      <c r="F893" s="2"/>
      <c r="G893" s="2"/>
      <c r="H893" s="2"/>
      <c r="I893" s="2"/>
      <c r="J893" s="241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spans="1:29" ht="13">
      <c r="A894" s="2"/>
      <c r="B894" s="2"/>
      <c r="C894" s="3"/>
      <c r="D894" s="2"/>
      <c r="E894" s="2"/>
      <c r="F894" s="2"/>
      <c r="G894" s="2"/>
      <c r="H894" s="2"/>
      <c r="I894" s="2"/>
      <c r="J894" s="241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spans="1:29" ht="13">
      <c r="A895" s="2"/>
      <c r="B895" s="2"/>
      <c r="C895" s="3"/>
      <c r="D895" s="2"/>
      <c r="E895" s="2"/>
      <c r="F895" s="2"/>
      <c r="G895" s="2"/>
      <c r="H895" s="2"/>
      <c r="I895" s="2"/>
      <c r="J895" s="241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spans="1:29" ht="13">
      <c r="A896" s="2"/>
      <c r="B896" s="2"/>
      <c r="C896" s="3"/>
      <c r="D896" s="2"/>
      <c r="E896" s="2"/>
      <c r="F896" s="2"/>
      <c r="G896" s="2"/>
      <c r="H896" s="2"/>
      <c r="I896" s="2"/>
      <c r="J896" s="241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spans="1:29" ht="13">
      <c r="A897" s="2"/>
      <c r="B897" s="2"/>
      <c r="C897" s="3"/>
      <c r="D897" s="2"/>
      <c r="E897" s="2"/>
      <c r="F897" s="2"/>
      <c r="G897" s="2"/>
      <c r="H897" s="2"/>
      <c r="I897" s="2"/>
      <c r="J897" s="241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spans="1:29" ht="13">
      <c r="A898" s="2"/>
      <c r="B898" s="2"/>
      <c r="C898" s="3"/>
      <c r="D898" s="2"/>
      <c r="E898" s="2"/>
      <c r="F898" s="2"/>
      <c r="G898" s="2"/>
      <c r="H898" s="2"/>
      <c r="I898" s="2"/>
      <c r="J898" s="241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spans="1:29" ht="13">
      <c r="A899" s="2"/>
      <c r="B899" s="2"/>
      <c r="C899" s="3"/>
      <c r="D899" s="2"/>
      <c r="E899" s="2"/>
      <c r="F899" s="2"/>
      <c r="G899" s="2"/>
      <c r="H899" s="2"/>
      <c r="I899" s="2"/>
      <c r="J899" s="241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spans="1:29" ht="13">
      <c r="A900" s="2"/>
      <c r="B900" s="2"/>
      <c r="C900" s="3"/>
      <c r="D900" s="2"/>
      <c r="E900" s="2"/>
      <c r="F900" s="2"/>
      <c r="G900" s="2"/>
      <c r="H900" s="2"/>
      <c r="I900" s="2"/>
      <c r="J900" s="241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spans="1:29" ht="13">
      <c r="A901" s="2"/>
      <c r="B901" s="2"/>
      <c r="C901" s="3"/>
      <c r="D901" s="2"/>
      <c r="E901" s="2"/>
      <c r="F901" s="2"/>
      <c r="G901" s="2"/>
      <c r="H901" s="2"/>
      <c r="I901" s="2"/>
      <c r="J901" s="241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spans="1:29" ht="13">
      <c r="A902" s="2"/>
      <c r="B902" s="2"/>
      <c r="C902" s="3"/>
      <c r="D902" s="2"/>
      <c r="E902" s="2"/>
      <c r="F902" s="2"/>
      <c r="G902" s="2"/>
      <c r="H902" s="2"/>
      <c r="I902" s="2"/>
      <c r="J902" s="241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spans="1:29" ht="13">
      <c r="A903" s="2"/>
      <c r="B903" s="2"/>
      <c r="C903" s="3"/>
      <c r="D903" s="2"/>
      <c r="E903" s="2"/>
      <c r="F903" s="2"/>
      <c r="G903" s="2"/>
      <c r="H903" s="2"/>
      <c r="I903" s="2"/>
      <c r="J903" s="241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spans="1:29" ht="13">
      <c r="A904" s="2"/>
      <c r="B904" s="2"/>
      <c r="C904" s="3"/>
      <c r="D904" s="2"/>
      <c r="E904" s="2"/>
      <c r="F904" s="2"/>
      <c r="G904" s="2"/>
      <c r="H904" s="2"/>
      <c r="I904" s="2"/>
      <c r="J904" s="241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spans="1:29" ht="13">
      <c r="A905" s="2"/>
      <c r="B905" s="2"/>
      <c r="C905" s="3"/>
      <c r="D905" s="2"/>
      <c r="E905" s="2"/>
      <c r="F905" s="2"/>
      <c r="G905" s="2"/>
      <c r="H905" s="2"/>
      <c r="I905" s="2"/>
      <c r="J905" s="241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spans="1:29" ht="13">
      <c r="A906" s="2"/>
      <c r="B906" s="2"/>
      <c r="C906" s="3"/>
      <c r="D906" s="2"/>
      <c r="E906" s="2"/>
      <c r="F906" s="2"/>
      <c r="G906" s="2"/>
      <c r="H906" s="2"/>
      <c r="I906" s="2"/>
      <c r="J906" s="241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spans="1:29" ht="13">
      <c r="A907" s="2"/>
      <c r="B907" s="2"/>
      <c r="C907" s="3"/>
      <c r="D907" s="2"/>
      <c r="E907" s="2"/>
      <c r="F907" s="2"/>
      <c r="G907" s="2"/>
      <c r="H907" s="2"/>
      <c r="I907" s="2"/>
      <c r="J907" s="241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spans="1:29" ht="13">
      <c r="A908" s="2"/>
      <c r="B908" s="2"/>
      <c r="C908" s="3"/>
      <c r="D908" s="2"/>
      <c r="E908" s="2"/>
      <c r="F908" s="2"/>
      <c r="G908" s="2"/>
      <c r="H908" s="2"/>
      <c r="I908" s="2"/>
      <c r="J908" s="241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spans="1:29" ht="13">
      <c r="A909" s="2"/>
      <c r="B909" s="2"/>
      <c r="C909" s="3"/>
      <c r="D909" s="2"/>
      <c r="E909" s="2"/>
      <c r="F909" s="2"/>
      <c r="G909" s="2"/>
      <c r="H909" s="2"/>
      <c r="I909" s="2"/>
      <c r="J909" s="241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spans="1:29" ht="13">
      <c r="A910" s="2"/>
      <c r="B910" s="2"/>
      <c r="C910" s="3"/>
      <c r="D910" s="2"/>
      <c r="E910" s="2"/>
      <c r="F910" s="2"/>
      <c r="G910" s="2"/>
      <c r="H910" s="2"/>
      <c r="I910" s="2"/>
      <c r="J910" s="241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spans="1:29" ht="13">
      <c r="A911" s="2"/>
      <c r="B911" s="2"/>
      <c r="C911" s="3"/>
      <c r="D911" s="2"/>
      <c r="E911" s="2"/>
      <c r="F911" s="2"/>
      <c r="G911" s="2"/>
      <c r="H911" s="2"/>
      <c r="I911" s="2"/>
      <c r="J911" s="241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spans="1:29" ht="13">
      <c r="A912" s="2"/>
      <c r="B912" s="2"/>
      <c r="C912" s="3"/>
      <c r="D912" s="2"/>
      <c r="E912" s="2"/>
      <c r="F912" s="2"/>
      <c r="G912" s="2"/>
      <c r="H912" s="2"/>
      <c r="I912" s="2"/>
      <c r="J912" s="241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spans="1:29" ht="13">
      <c r="A913" s="2"/>
      <c r="B913" s="2"/>
      <c r="C913" s="3"/>
      <c r="D913" s="2"/>
      <c r="E913" s="2"/>
      <c r="F913" s="2"/>
      <c r="G913" s="2"/>
      <c r="H913" s="2"/>
      <c r="I913" s="2"/>
      <c r="J913" s="241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spans="1:29" ht="13">
      <c r="A914" s="2"/>
      <c r="B914" s="2"/>
      <c r="C914" s="3"/>
      <c r="D914" s="2"/>
      <c r="E914" s="2"/>
      <c r="F914" s="2"/>
      <c r="G914" s="2"/>
      <c r="H914" s="2"/>
      <c r="I914" s="2"/>
      <c r="J914" s="241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spans="1:29" ht="13">
      <c r="A915" s="2"/>
      <c r="B915" s="2"/>
      <c r="C915" s="3"/>
      <c r="D915" s="2"/>
      <c r="E915" s="2"/>
      <c r="F915" s="2"/>
      <c r="G915" s="2"/>
      <c r="H915" s="2"/>
      <c r="I915" s="2"/>
      <c r="J915" s="241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spans="1:29" ht="13">
      <c r="A916" s="2"/>
      <c r="B916" s="2"/>
      <c r="C916" s="3"/>
      <c r="D916" s="2"/>
      <c r="E916" s="2"/>
      <c r="F916" s="2"/>
      <c r="G916" s="2"/>
      <c r="H916" s="2"/>
      <c r="I916" s="2"/>
      <c r="J916" s="241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spans="1:29" ht="13">
      <c r="A917" s="2"/>
      <c r="B917" s="2"/>
      <c r="C917" s="3"/>
      <c r="D917" s="2"/>
      <c r="E917" s="2"/>
      <c r="F917" s="2"/>
      <c r="G917" s="2"/>
      <c r="H917" s="2"/>
      <c r="I917" s="2"/>
      <c r="J917" s="241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spans="1:29" ht="13">
      <c r="A918" s="2"/>
      <c r="B918" s="2"/>
      <c r="C918" s="3"/>
      <c r="D918" s="2"/>
      <c r="E918" s="2"/>
      <c r="F918" s="2"/>
      <c r="G918" s="2"/>
      <c r="H918" s="2"/>
      <c r="I918" s="2"/>
      <c r="J918" s="241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spans="1:29" ht="13">
      <c r="A919" s="2"/>
      <c r="B919" s="2"/>
      <c r="C919" s="3"/>
      <c r="D919" s="2"/>
      <c r="E919" s="2"/>
      <c r="F919" s="2"/>
      <c r="G919" s="2"/>
      <c r="H919" s="2"/>
      <c r="I919" s="2"/>
      <c r="J919" s="241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spans="1:29" ht="13">
      <c r="A920" s="2"/>
      <c r="B920" s="2"/>
      <c r="C920" s="3"/>
      <c r="D920" s="2"/>
      <c r="E920" s="2"/>
      <c r="F920" s="2"/>
      <c r="G920" s="2"/>
      <c r="H920" s="2"/>
      <c r="I920" s="2"/>
      <c r="J920" s="241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spans="1:29" ht="13">
      <c r="A921" s="2"/>
      <c r="B921" s="2"/>
      <c r="C921" s="3"/>
      <c r="D921" s="2"/>
      <c r="E921" s="2"/>
      <c r="F921" s="2"/>
      <c r="G921" s="2"/>
      <c r="H921" s="2"/>
      <c r="I921" s="2"/>
      <c r="J921" s="241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spans="1:29" ht="13">
      <c r="A922" s="2"/>
      <c r="B922" s="2"/>
      <c r="C922" s="3"/>
      <c r="D922" s="2"/>
      <c r="E922" s="2"/>
      <c r="F922" s="2"/>
      <c r="G922" s="2"/>
      <c r="H922" s="2"/>
      <c r="I922" s="2"/>
      <c r="J922" s="241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spans="1:29" ht="13">
      <c r="A923" s="2"/>
      <c r="B923" s="2"/>
      <c r="C923" s="3"/>
      <c r="D923" s="2"/>
      <c r="E923" s="2"/>
      <c r="F923" s="2"/>
      <c r="G923" s="2"/>
      <c r="H923" s="2"/>
      <c r="I923" s="2"/>
      <c r="J923" s="241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spans="1:29" ht="13">
      <c r="A924" s="2"/>
      <c r="B924" s="2"/>
      <c r="C924" s="3"/>
      <c r="D924" s="2"/>
      <c r="E924" s="2"/>
      <c r="F924" s="2"/>
      <c r="G924" s="2"/>
      <c r="H924" s="2"/>
      <c r="I924" s="2"/>
      <c r="J924" s="241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spans="1:29" ht="13">
      <c r="A925" s="2"/>
      <c r="B925" s="2"/>
      <c r="C925" s="3"/>
      <c r="D925" s="2"/>
      <c r="E925" s="2"/>
      <c r="F925" s="2"/>
      <c r="G925" s="2"/>
      <c r="H925" s="2"/>
      <c r="I925" s="2"/>
      <c r="J925" s="241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spans="1:29" ht="13">
      <c r="A926" s="2"/>
      <c r="B926" s="2"/>
      <c r="C926" s="3"/>
      <c r="D926" s="2"/>
      <c r="E926" s="2"/>
      <c r="F926" s="2"/>
      <c r="G926" s="2"/>
      <c r="H926" s="2"/>
      <c r="I926" s="2"/>
      <c r="J926" s="241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spans="1:29" ht="13">
      <c r="A927" s="2"/>
      <c r="B927" s="2"/>
      <c r="C927" s="3"/>
      <c r="D927" s="2"/>
      <c r="E927" s="2"/>
      <c r="F927" s="2"/>
      <c r="G927" s="2"/>
      <c r="H927" s="2"/>
      <c r="I927" s="2"/>
      <c r="J927" s="241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spans="1:29" ht="13">
      <c r="A928" s="2"/>
      <c r="B928" s="2"/>
      <c r="C928" s="3"/>
      <c r="D928" s="2"/>
      <c r="E928" s="2"/>
      <c r="F928" s="2"/>
      <c r="G928" s="2"/>
      <c r="H928" s="2"/>
      <c r="I928" s="2"/>
      <c r="J928" s="241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spans="1:29" ht="13">
      <c r="A929" s="2"/>
      <c r="B929" s="2"/>
      <c r="C929" s="3"/>
      <c r="D929" s="2"/>
      <c r="E929" s="2"/>
      <c r="F929" s="2"/>
      <c r="G929" s="2"/>
      <c r="H929" s="2"/>
      <c r="I929" s="2"/>
      <c r="J929" s="241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spans="1:29" ht="13">
      <c r="A930" s="2"/>
      <c r="B930" s="2"/>
      <c r="C930" s="3"/>
      <c r="D930" s="2"/>
      <c r="E930" s="2"/>
      <c r="F930" s="2"/>
      <c r="G930" s="2"/>
      <c r="H930" s="2"/>
      <c r="I930" s="2"/>
      <c r="J930" s="241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spans="1:29" ht="13">
      <c r="A931" s="2"/>
      <c r="B931" s="2"/>
      <c r="C931" s="3"/>
      <c r="D931" s="2"/>
      <c r="E931" s="2"/>
      <c r="F931" s="2"/>
      <c r="G931" s="2"/>
      <c r="H931" s="2"/>
      <c r="I931" s="2"/>
      <c r="J931" s="241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spans="1:29" ht="13">
      <c r="A932" s="2"/>
      <c r="B932" s="2"/>
      <c r="C932" s="3"/>
      <c r="D932" s="2"/>
      <c r="E932" s="2"/>
      <c r="F932" s="2"/>
      <c r="G932" s="2"/>
      <c r="H932" s="2"/>
      <c r="I932" s="2"/>
      <c r="J932" s="241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spans="1:29" ht="13">
      <c r="A933" s="2"/>
      <c r="B933" s="2"/>
      <c r="C933" s="3"/>
      <c r="D933" s="2"/>
      <c r="E933" s="2"/>
      <c r="F933" s="2"/>
      <c r="G933" s="2"/>
      <c r="H933" s="2"/>
      <c r="I933" s="2"/>
      <c r="J933" s="241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spans="1:29" ht="13">
      <c r="A934" s="2"/>
      <c r="B934" s="2"/>
      <c r="C934" s="3"/>
      <c r="D934" s="2"/>
      <c r="E934" s="2"/>
      <c r="F934" s="2"/>
      <c r="G934" s="2"/>
      <c r="H934" s="2"/>
      <c r="I934" s="2"/>
      <c r="J934" s="241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spans="1:29" ht="13">
      <c r="A935" s="2"/>
      <c r="B935" s="2"/>
      <c r="C935" s="3"/>
      <c r="D935" s="2"/>
      <c r="E935" s="2"/>
      <c r="F935" s="2"/>
      <c r="G935" s="2"/>
      <c r="H935" s="2"/>
      <c r="I935" s="2"/>
      <c r="J935" s="241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spans="1:29" ht="13">
      <c r="A936" s="2"/>
      <c r="B936" s="2"/>
      <c r="C936" s="3"/>
      <c r="D936" s="2"/>
      <c r="E936" s="2"/>
      <c r="F936" s="2"/>
      <c r="G936" s="2"/>
      <c r="H936" s="2"/>
      <c r="I936" s="2"/>
      <c r="J936" s="241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spans="1:29" ht="13">
      <c r="A937" s="2"/>
      <c r="B937" s="2"/>
      <c r="C937" s="3"/>
      <c r="D937" s="2"/>
      <c r="E937" s="2"/>
      <c r="F937" s="2"/>
      <c r="G937" s="2"/>
      <c r="H937" s="2"/>
      <c r="I937" s="2"/>
      <c r="J937" s="241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spans="1:29" ht="13">
      <c r="A938" s="2"/>
      <c r="B938" s="2"/>
      <c r="C938" s="3"/>
      <c r="D938" s="2"/>
      <c r="E938" s="2"/>
      <c r="F938" s="2"/>
      <c r="G938" s="2"/>
      <c r="H938" s="2"/>
      <c r="I938" s="2"/>
      <c r="J938" s="241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spans="1:29" ht="13">
      <c r="A939" s="2"/>
      <c r="B939" s="2"/>
      <c r="C939" s="3"/>
      <c r="D939" s="2"/>
      <c r="E939" s="2"/>
      <c r="F939" s="2"/>
      <c r="G939" s="2"/>
      <c r="H939" s="2"/>
      <c r="I939" s="2"/>
      <c r="J939" s="241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spans="1:29" ht="13">
      <c r="A940" s="2"/>
      <c r="B940" s="2"/>
      <c r="C940" s="3"/>
      <c r="D940" s="2"/>
      <c r="E940" s="2"/>
      <c r="F940" s="2"/>
      <c r="G940" s="2"/>
      <c r="H940" s="2"/>
      <c r="I940" s="2"/>
      <c r="J940" s="241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spans="1:29" ht="13">
      <c r="A941" s="2"/>
      <c r="B941" s="2"/>
      <c r="C941" s="3"/>
      <c r="D941" s="2"/>
      <c r="E941" s="2"/>
      <c r="F941" s="2"/>
      <c r="G941" s="2"/>
      <c r="H941" s="2"/>
      <c r="I941" s="2"/>
      <c r="J941" s="241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spans="1:29" ht="13">
      <c r="A942" s="2"/>
      <c r="B942" s="2"/>
      <c r="C942" s="3"/>
      <c r="D942" s="2"/>
      <c r="E942" s="2"/>
      <c r="F942" s="2"/>
      <c r="G942" s="2"/>
      <c r="H942" s="2"/>
      <c r="I942" s="2"/>
      <c r="J942" s="241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spans="1:29" ht="13">
      <c r="A943" s="2"/>
      <c r="B943" s="2"/>
      <c r="C943" s="3"/>
      <c r="D943" s="2"/>
      <c r="E943" s="2"/>
      <c r="F943" s="2"/>
      <c r="G943" s="2"/>
      <c r="H943" s="2"/>
      <c r="I943" s="2"/>
      <c r="J943" s="241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spans="1:29" ht="13">
      <c r="A944" s="2"/>
      <c r="B944" s="2"/>
      <c r="C944" s="3"/>
      <c r="D944" s="2"/>
      <c r="E944" s="2"/>
      <c r="F944" s="2"/>
      <c r="G944" s="2"/>
      <c r="H944" s="2"/>
      <c r="I944" s="2"/>
      <c r="J944" s="241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spans="1:29" ht="13">
      <c r="A945" s="2"/>
      <c r="B945" s="2"/>
      <c r="C945" s="3"/>
      <c r="D945" s="2"/>
      <c r="E945" s="2"/>
      <c r="F945" s="2"/>
      <c r="G945" s="2"/>
      <c r="H945" s="2"/>
      <c r="I945" s="2"/>
      <c r="J945" s="241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spans="1:29" ht="13">
      <c r="A946" s="2"/>
      <c r="B946" s="2"/>
      <c r="C946" s="3"/>
      <c r="D946" s="2"/>
      <c r="E946" s="2"/>
      <c r="F946" s="2"/>
      <c r="G946" s="2"/>
      <c r="H946" s="2"/>
      <c r="I946" s="2"/>
      <c r="J946" s="241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spans="1:29" ht="13">
      <c r="A947" s="2"/>
      <c r="B947" s="2"/>
      <c r="C947" s="3"/>
      <c r="D947" s="2"/>
      <c r="E947" s="2"/>
      <c r="F947" s="2"/>
      <c r="G947" s="2"/>
      <c r="H947" s="2"/>
      <c r="I947" s="2"/>
      <c r="J947" s="241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spans="1:29" ht="13">
      <c r="A948" s="2"/>
      <c r="B948" s="2"/>
      <c r="C948" s="3"/>
      <c r="D948" s="2"/>
      <c r="E948" s="2"/>
      <c r="F948" s="2"/>
      <c r="G948" s="2"/>
      <c r="H948" s="2"/>
      <c r="I948" s="2"/>
      <c r="J948" s="241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spans="1:29" ht="13">
      <c r="A949" s="2"/>
      <c r="B949" s="2"/>
      <c r="C949" s="3"/>
      <c r="D949" s="2"/>
      <c r="E949" s="2"/>
      <c r="F949" s="2"/>
      <c r="G949" s="2"/>
      <c r="H949" s="2"/>
      <c r="I949" s="2"/>
      <c r="J949" s="241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spans="1:29" ht="13">
      <c r="A950" s="2"/>
      <c r="B950" s="2"/>
      <c r="C950" s="3"/>
      <c r="D950" s="2"/>
      <c r="E950" s="2"/>
      <c r="F950" s="2"/>
      <c r="G950" s="2"/>
      <c r="H950" s="2"/>
      <c r="I950" s="2"/>
      <c r="J950" s="241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spans="1:29" ht="13">
      <c r="A951" s="2"/>
      <c r="B951" s="2"/>
      <c r="C951" s="3"/>
      <c r="D951" s="2"/>
      <c r="E951" s="2"/>
      <c r="F951" s="2"/>
      <c r="G951" s="2"/>
      <c r="H951" s="2"/>
      <c r="I951" s="2"/>
      <c r="J951" s="241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spans="1:29" ht="13">
      <c r="A952" s="2"/>
      <c r="B952" s="2"/>
      <c r="C952" s="3"/>
      <c r="D952" s="2"/>
      <c r="E952" s="2"/>
      <c r="F952" s="2"/>
      <c r="G952" s="2"/>
      <c r="H952" s="2"/>
      <c r="I952" s="2"/>
      <c r="J952" s="241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spans="1:29" ht="13">
      <c r="A953" s="2"/>
      <c r="B953" s="2"/>
      <c r="C953" s="3"/>
      <c r="D953" s="2"/>
      <c r="E953" s="2"/>
      <c r="F953" s="2"/>
      <c r="G953" s="2"/>
      <c r="H953" s="2"/>
      <c r="I953" s="2"/>
      <c r="J953" s="241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spans="1:29" ht="13">
      <c r="A954" s="2"/>
      <c r="B954" s="2"/>
      <c r="C954" s="3"/>
      <c r="D954" s="2"/>
      <c r="E954" s="2"/>
      <c r="F954" s="2"/>
      <c r="G954" s="2"/>
      <c r="H954" s="2"/>
      <c r="I954" s="2"/>
      <c r="J954" s="241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spans="1:29" ht="13">
      <c r="A955" s="2"/>
      <c r="B955" s="2"/>
      <c r="C955" s="3"/>
      <c r="D955" s="2"/>
      <c r="E955" s="2"/>
      <c r="F955" s="2"/>
      <c r="G955" s="2"/>
      <c r="H955" s="2"/>
      <c r="I955" s="2"/>
      <c r="J955" s="241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spans="1:29" ht="13">
      <c r="A956" s="2"/>
      <c r="B956" s="2"/>
      <c r="C956" s="3"/>
      <c r="D956" s="2"/>
      <c r="E956" s="2"/>
      <c r="F956" s="2"/>
      <c r="G956" s="2"/>
      <c r="H956" s="2"/>
      <c r="I956" s="2"/>
      <c r="J956" s="241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spans="1:29" ht="13">
      <c r="A957" s="2"/>
      <c r="B957" s="2"/>
      <c r="C957" s="3"/>
      <c r="D957" s="2"/>
      <c r="E957" s="2"/>
      <c r="F957" s="2"/>
      <c r="G957" s="2"/>
      <c r="H957" s="2"/>
      <c r="I957" s="2"/>
      <c r="J957" s="241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spans="1:29" ht="13">
      <c r="A958" s="2"/>
      <c r="B958" s="2"/>
      <c r="C958" s="3"/>
      <c r="D958" s="2"/>
      <c r="E958" s="2"/>
      <c r="F958" s="2"/>
      <c r="G958" s="2"/>
      <c r="H958" s="2"/>
      <c r="I958" s="2"/>
      <c r="J958" s="241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spans="1:29" ht="13">
      <c r="A959" s="2"/>
      <c r="B959" s="2"/>
      <c r="C959" s="3"/>
      <c r="D959" s="2"/>
      <c r="E959" s="2"/>
      <c r="F959" s="2"/>
      <c r="G959" s="2"/>
      <c r="H959" s="2"/>
      <c r="I959" s="2"/>
      <c r="J959" s="241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spans="1:29" ht="13">
      <c r="A960" s="2"/>
      <c r="B960" s="2"/>
      <c r="C960" s="3"/>
      <c r="D960" s="2"/>
      <c r="E960" s="2"/>
      <c r="F960" s="2"/>
      <c r="G960" s="2"/>
      <c r="H960" s="2"/>
      <c r="I960" s="2"/>
      <c r="J960" s="241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spans="1:29" ht="13">
      <c r="A961" s="2"/>
      <c r="B961" s="2"/>
      <c r="C961" s="3"/>
      <c r="D961" s="2"/>
      <c r="E961" s="2"/>
      <c r="F961" s="2"/>
      <c r="G961" s="2"/>
      <c r="H961" s="2"/>
      <c r="I961" s="2"/>
      <c r="J961" s="241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spans="1:29" ht="13">
      <c r="A962" s="2"/>
      <c r="B962" s="2"/>
      <c r="C962" s="3"/>
      <c r="D962" s="2"/>
      <c r="E962" s="2"/>
      <c r="F962" s="2"/>
      <c r="G962" s="2"/>
      <c r="H962" s="2"/>
      <c r="I962" s="2"/>
      <c r="J962" s="241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spans="1:29" ht="13">
      <c r="A963" s="2"/>
      <c r="B963" s="2"/>
      <c r="C963" s="3"/>
      <c r="D963" s="2"/>
      <c r="E963" s="2"/>
      <c r="F963" s="2"/>
      <c r="G963" s="2"/>
      <c r="H963" s="2"/>
      <c r="I963" s="2"/>
      <c r="J963" s="241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spans="1:29" ht="13">
      <c r="A964" s="2"/>
      <c r="B964" s="2"/>
      <c r="C964" s="3"/>
      <c r="D964" s="2"/>
      <c r="E964" s="2"/>
      <c r="F964" s="2"/>
      <c r="G964" s="2"/>
      <c r="H964" s="2"/>
      <c r="I964" s="2"/>
      <c r="J964" s="241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spans="1:29" ht="13">
      <c r="A965" s="2"/>
      <c r="B965" s="2"/>
      <c r="C965" s="3"/>
      <c r="D965" s="2"/>
      <c r="E965" s="2"/>
      <c r="F965" s="2"/>
      <c r="G965" s="2"/>
      <c r="H965" s="2"/>
      <c r="I965" s="2"/>
      <c r="J965" s="241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spans="1:29" ht="13">
      <c r="A966" s="2"/>
      <c r="B966" s="2"/>
      <c r="C966" s="3"/>
      <c r="D966" s="2"/>
      <c r="E966" s="2"/>
      <c r="F966" s="2"/>
      <c r="G966" s="2"/>
      <c r="H966" s="2"/>
      <c r="I966" s="2"/>
      <c r="J966" s="241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spans="1:29" ht="13">
      <c r="A967" s="2"/>
      <c r="B967" s="2"/>
      <c r="C967" s="3"/>
      <c r="D967" s="2"/>
      <c r="E967" s="2"/>
      <c r="F967" s="2"/>
      <c r="G967" s="2"/>
      <c r="H967" s="2"/>
      <c r="I967" s="2"/>
      <c r="J967" s="241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spans="1:29" ht="13">
      <c r="A968" s="2"/>
      <c r="B968" s="2"/>
      <c r="C968" s="3"/>
      <c r="D968" s="2"/>
      <c r="E968" s="2"/>
      <c r="F968" s="2"/>
      <c r="G968" s="2"/>
      <c r="H968" s="2"/>
      <c r="I968" s="2"/>
      <c r="J968" s="241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spans="1:29" ht="13">
      <c r="A969" s="2"/>
      <c r="B969" s="2"/>
      <c r="C969" s="3"/>
      <c r="D969" s="2"/>
      <c r="E969" s="2"/>
      <c r="F969" s="2"/>
      <c r="G969" s="2"/>
      <c r="H969" s="2"/>
      <c r="I969" s="2"/>
      <c r="J969" s="241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spans="1:29" ht="13">
      <c r="A970" s="2"/>
      <c r="B970" s="2"/>
      <c r="C970" s="3"/>
      <c r="D970" s="2"/>
      <c r="E970" s="2"/>
      <c r="F970" s="2"/>
      <c r="G970" s="2"/>
      <c r="H970" s="2"/>
      <c r="I970" s="2"/>
      <c r="J970" s="241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spans="1:29" ht="13">
      <c r="A971" s="2"/>
      <c r="B971" s="2"/>
      <c r="C971" s="3"/>
      <c r="D971" s="2"/>
      <c r="E971" s="2"/>
      <c r="F971" s="2"/>
      <c r="G971" s="2"/>
      <c r="H971" s="2"/>
      <c r="I971" s="2"/>
      <c r="J971" s="241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spans="1:29" ht="13">
      <c r="A972" s="2"/>
      <c r="B972" s="2"/>
      <c r="C972" s="3"/>
      <c r="D972" s="2"/>
      <c r="E972" s="2"/>
      <c r="F972" s="2"/>
      <c r="G972" s="2"/>
      <c r="H972" s="2"/>
      <c r="I972" s="2"/>
      <c r="J972" s="241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spans="1:29" ht="13">
      <c r="A973" s="2"/>
      <c r="B973" s="2"/>
      <c r="C973" s="3"/>
      <c r="D973" s="2"/>
      <c r="E973" s="2"/>
      <c r="F973" s="2"/>
      <c r="G973" s="2"/>
      <c r="H973" s="2"/>
      <c r="I973" s="2"/>
      <c r="J973" s="241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spans="1:29" ht="13">
      <c r="A974" s="2"/>
      <c r="B974" s="2"/>
      <c r="C974" s="3"/>
      <c r="D974" s="2"/>
      <c r="E974" s="2"/>
      <c r="F974" s="2"/>
      <c r="G974" s="2"/>
      <c r="H974" s="2"/>
      <c r="I974" s="2"/>
      <c r="J974" s="241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spans="1:29" ht="13">
      <c r="A975" s="2"/>
      <c r="B975" s="2"/>
      <c r="C975" s="3"/>
      <c r="D975" s="2"/>
      <c r="E975" s="2"/>
      <c r="F975" s="2"/>
      <c r="G975" s="2"/>
      <c r="H975" s="2"/>
      <c r="I975" s="2"/>
      <c r="J975" s="241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spans="1:29" ht="13">
      <c r="A976" s="2"/>
      <c r="B976" s="2"/>
      <c r="C976" s="3"/>
      <c r="D976" s="2"/>
      <c r="E976" s="2"/>
      <c r="F976" s="2"/>
      <c r="G976" s="2"/>
      <c r="H976" s="2"/>
      <c r="I976" s="2"/>
      <c r="J976" s="241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spans="1:29" ht="13">
      <c r="A977" s="2"/>
      <c r="B977" s="2"/>
      <c r="C977" s="3"/>
      <c r="D977" s="2"/>
      <c r="E977" s="2"/>
      <c r="F977" s="2"/>
      <c r="G977" s="2"/>
      <c r="H977" s="2"/>
      <c r="I977" s="2"/>
      <c r="J977" s="241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spans="1:29" ht="13">
      <c r="A978" s="2"/>
      <c r="B978" s="2"/>
      <c r="C978" s="3"/>
      <c r="D978" s="2"/>
      <c r="E978" s="2"/>
      <c r="F978" s="2"/>
      <c r="G978" s="2"/>
      <c r="H978" s="2"/>
      <c r="I978" s="2"/>
      <c r="J978" s="241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spans="1:29" ht="13">
      <c r="A979" s="2"/>
      <c r="B979" s="2"/>
      <c r="C979" s="3"/>
      <c r="D979" s="2"/>
      <c r="E979" s="2"/>
      <c r="F979" s="2"/>
      <c r="G979" s="2"/>
      <c r="H979" s="2"/>
      <c r="I979" s="2"/>
      <c r="J979" s="241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spans="1:29" ht="13">
      <c r="A980" s="2"/>
      <c r="B980" s="2"/>
      <c r="C980" s="3"/>
      <c r="D980" s="2"/>
      <c r="E980" s="2"/>
      <c r="F980" s="2"/>
      <c r="G980" s="2"/>
      <c r="H980" s="2"/>
      <c r="I980" s="2"/>
      <c r="J980" s="241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spans="1:29" ht="13">
      <c r="A981" s="2"/>
      <c r="B981" s="2"/>
      <c r="C981" s="3"/>
      <c r="D981" s="2"/>
      <c r="E981" s="2"/>
      <c r="F981" s="2"/>
      <c r="G981" s="2"/>
      <c r="H981" s="2"/>
      <c r="I981" s="2"/>
      <c r="J981" s="241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spans="1:29" ht="13">
      <c r="A982" s="2"/>
      <c r="B982" s="2"/>
      <c r="C982" s="3"/>
      <c r="D982" s="2"/>
      <c r="E982" s="2"/>
      <c r="F982" s="2"/>
      <c r="G982" s="2"/>
      <c r="H982" s="2"/>
      <c r="I982" s="2"/>
      <c r="J982" s="241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spans="1:29" ht="13">
      <c r="A983" s="2"/>
      <c r="B983" s="2"/>
      <c r="C983" s="3"/>
      <c r="D983" s="2"/>
      <c r="E983" s="2"/>
      <c r="F983" s="2"/>
      <c r="G983" s="2"/>
      <c r="H983" s="2"/>
      <c r="I983" s="2"/>
      <c r="J983" s="241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spans="1:29" ht="13">
      <c r="A984" s="2"/>
      <c r="B984" s="2"/>
      <c r="C984" s="3"/>
      <c r="D984" s="2"/>
      <c r="E984" s="2"/>
      <c r="F984" s="2"/>
      <c r="G984" s="2"/>
      <c r="H984" s="2"/>
      <c r="I984" s="2"/>
      <c r="J984" s="241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spans="1:29" ht="13">
      <c r="A985" s="2"/>
      <c r="B985" s="2"/>
      <c r="C985" s="3"/>
      <c r="D985" s="2"/>
      <c r="E985" s="2"/>
      <c r="F985" s="2"/>
      <c r="G985" s="2"/>
      <c r="H985" s="2"/>
      <c r="I985" s="2"/>
      <c r="J985" s="241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spans="1:29" ht="13">
      <c r="A986" s="2"/>
      <c r="B986" s="2"/>
      <c r="C986" s="3"/>
      <c r="D986" s="2"/>
      <c r="E986" s="2"/>
      <c r="F986" s="2"/>
      <c r="G986" s="2"/>
      <c r="H986" s="2"/>
      <c r="I986" s="2"/>
      <c r="J986" s="241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spans="1:29" ht="13">
      <c r="A987" s="2"/>
      <c r="B987" s="2"/>
      <c r="C987" s="3"/>
      <c r="D987" s="2"/>
      <c r="E987" s="2"/>
      <c r="F987" s="2"/>
      <c r="G987" s="2"/>
      <c r="H987" s="2"/>
      <c r="I987" s="2"/>
      <c r="J987" s="241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spans="1:29" ht="13">
      <c r="A988" s="2"/>
      <c r="B988" s="2"/>
      <c r="C988" s="3"/>
      <c r="D988" s="2"/>
      <c r="E988" s="2"/>
      <c r="F988" s="2"/>
      <c r="G988" s="2"/>
      <c r="H988" s="2"/>
      <c r="I988" s="2"/>
      <c r="J988" s="241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spans="1:29" ht="13">
      <c r="A989" s="2"/>
      <c r="B989" s="2"/>
      <c r="C989" s="3"/>
      <c r="D989" s="2"/>
      <c r="E989" s="2"/>
      <c r="F989" s="2"/>
      <c r="G989" s="2"/>
      <c r="H989" s="2"/>
      <c r="I989" s="2"/>
      <c r="J989" s="241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spans="1:29" ht="13">
      <c r="A990" s="2"/>
      <c r="B990" s="2"/>
      <c r="C990" s="3"/>
      <c r="D990" s="2"/>
      <c r="E990" s="2"/>
      <c r="F990" s="2"/>
      <c r="G990" s="2"/>
      <c r="H990" s="2"/>
      <c r="I990" s="2"/>
      <c r="J990" s="241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spans="1:29" ht="13">
      <c r="A991" s="2"/>
      <c r="B991" s="2"/>
      <c r="C991" s="3"/>
      <c r="D991" s="2"/>
      <c r="E991" s="2"/>
      <c r="F991" s="2"/>
      <c r="G991" s="2"/>
      <c r="H991" s="2"/>
      <c r="I991" s="2"/>
      <c r="J991" s="241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spans="1:29" ht="13">
      <c r="A992" s="2"/>
      <c r="B992" s="2"/>
      <c r="C992" s="3"/>
      <c r="D992" s="2"/>
      <c r="E992" s="2"/>
      <c r="F992" s="2"/>
      <c r="G992" s="2"/>
      <c r="H992" s="2"/>
      <c r="I992" s="2"/>
      <c r="J992" s="241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spans="1:29" ht="13">
      <c r="A993" s="2"/>
      <c r="B993" s="2"/>
      <c r="C993" s="3"/>
      <c r="D993" s="2"/>
      <c r="E993" s="2"/>
      <c r="F993" s="2"/>
      <c r="G993" s="2"/>
      <c r="H993" s="2"/>
      <c r="I993" s="2"/>
      <c r="J993" s="241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spans="1:29" ht="13">
      <c r="A994" s="2"/>
      <c r="B994" s="2"/>
      <c r="C994" s="3"/>
      <c r="D994" s="2"/>
      <c r="E994" s="2"/>
      <c r="F994" s="2"/>
      <c r="G994" s="2"/>
      <c r="H994" s="2"/>
      <c r="I994" s="2"/>
      <c r="J994" s="241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spans="1:29" ht="13">
      <c r="A995" s="2"/>
      <c r="B995" s="2"/>
      <c r="C995" s="3"/>
      <c r="D995" s="2"/>
      <c r="E995" s="2"/>
      <c r="F995" s="2"/>
      <c r="G995" s="2"/>
      <c r="H995" s="2"/>
      <c r="I995" s="2"/>
      <c r="J995" s="241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spans="1:29" ht="13">
      <c r="A996" s="2"/>
      <c r="B996" s="2"/>
      <c r="C996" s="3"/>
      <c r="D996" s="2"/>
      <c r="E996" s="2"/>
      <c r="F996" s="2"/>
      <c r="G996" s="2"/>
      <c r="H996" s="2"/>
      <c r="I996" s="2"/>
      <c r="J996" s="241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</sheetData>
  <phoneticPr fontId="179" type="noConversion"/>
  <hyperlinks>
    <hyperlink ref="B5" r:id="rId1" xr:uid="{00000000-0004-0000-0300-000000000000}"/>
    <hyperlink ref="B6" r:id="rId2" xr:uid="{00000000-0004-0000-0300-000001000000}"/>
    <hyperlink ref="B8" r:id="rId3" xr:uid="{00000000-0004-0000-0300-000002000000}"/>
    <hyperlink ref="B10" r:id="rId4" xr:uid="{00000000-0004-0000-0300-000003000000}"/>
    <hyperlink ref="B13" r:id="rId5" xr:uid="{00000000-0004-0000-0300-000004000000}"/>
    <hyperlink ref="B14" r:id="rId6" xr:uid="{00000000-0004-0000-0300-000005000000}"/>
    <hyperlink ref="B15" r:id="rId7" xr:uid="{00000000-0004-0000-0300-000006000000}"/>
    <hyperlink ref="B18" r:id="rId8" xr:uid="{00000000-0004-0000-0300-000007000000}"/>
    <hyperlink ref="B19" r:id="rId9" xr:uid="{00000000-0004-0000-0300-000008000000}"/>
    <hyperlink ref="B20" r:id="rId10" xr:uid="{00000000-0004-0000-0300-000009000000}"/>
    <hyperlink ref="B21" r:id="rId11" xr:uid="{00000000-0004-0000-0300-00000A000000}"/>
    <hyperlink ref="B22" r:id="rId12" xr:uid="{00000000-0004-0000-0300-00000B000000}"/>
    <hyperlink ref="B23" r:id="rId13" xr:uid="{00000000-0004-0000-0300-00000C000000}"/>
    <hyperlink ref="B24" r:id="rId14" xr:uid="{00000000-0004-0000-0300-00000D000000}"/>
    <hyperlink ref="B26" r:id="rId15" xr:uid="{00000000-0004-0000-0300-00000E000000}"/>
    <hyperlink ref="B28" r:id="rId16" xr:uid="{00000000-0004-0000-0300-00000F000000}"/>
    <hyperlink ref="B31" r:id="rId17" xr:uid="{00000000-0004-0000-0300-000010000000}"/>
    <hyperlink ref="B33" r:id="rId18" xr:uid="{00000000-0004-0000-0300-000011000000}"/>
    <hyperlink ref="B35" r:id="rId19" xr:uid="{00000000-0004-0000-0300-000012000000}"/>
    <hyperlink ref="B36" r:id="rId20" xr:uid="{00000000-0004-0000-0300-000013000000}"/>
    <hyperlink ref="B43" r:id="rId21" xr:uid="{00000000-0004-0000-0300-000014000000}"/>
    <hyperlink ref="B45" r:id="rId22" xr:uid="{00000000-0004-0000-0300-000015000000}"/>
    <hyperlink ref="B47" r:id="rId23" xr:uid="{00000000-0004-0000-0300-000016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  <outlinePr summaryBelow="0" summaryRight="0"/>
  </sheetPr>
  <dimension ref="A1:AQ938"/>
  <sheetViews>
    <sheetView workbookViewId="0">
      <pane ySplit="4" topLeftCell="A5" activePane="bottomLeft" state="frozen"/>
      <selection pane="bottomLeft" activeCell="B6" sqref="B6"/>
    </sheetView>
  </sheetViews>
  <sheetFormatPr baseColWidth="10" defaultColWidth="12.5" defaultRowHeight="15.75" customHeight="1"/>
  <cols>
    <col min="2" max="2" width="55.5" customWidth="1"/>
    <col min="3" max="3" width="16.83203125" customWidth="1"/>
    <col min="8" max="8" width="18" customWidth="1"/>
  </cols>
  <sheetData>
    <row r="1" spans="1:43" ht="15.75" customHeight="1">
      <c r="A1" s="324" t="s">
        <v>666</v>
      </c>
      <c r="B1" s="325"/>
      <c r="C1" s="368" t="s">
        <v>667</v>
      </c>
      <c r="D1" s="369" t="s">
        <v>668</v>
      </c>
      <c r="E1" s="2"/>
      <c r="F1" s="2"/>
      <c r="G1" s="2"/>
      <c r="H1" s="327"/>
      <c r="I1" s="328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</row>
    <row r="2" spans="1:43" ht="15.75" customHeight="1">
      <c r="A2" s="328"/>
      <c r="B2" s="325"/>
      <c r="C2" s="368" t="s">
        <v>669</v>
      </c>
      <c r="D2" s="369" t="s">
        <v>670</v>
      </c>
      <c r="E2" s="2"/>
      <c r="F2" s="2"/>
      <c r="G2" s="1111" t="s">
        <v>671</v>
      </c>
      <c r="H2" s="1106"/>
      <c r="I2" s="370" t="s">
        <v>672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</row>
    <row r="3" spans="1:43" ht="18">
      <c r="A3" s="328"/>
      <c r="B3" s="325" t="s">
        <v>673</v>
      </c>
      <c r="C3" s="328" t="s">
        <v>674</v>
      </c>
      <c r="D3" s="325" t="s">
        <v>671</v>
      </c>
      <c r="E3" s="2"/>
      <c r="F3" s="2"/>
      <c r="G3" s="371">
        <v>2.2999999999999998</v>
      </c>
      <c r="H3" s="329" t="s">
        <v>669</v>
      </c>
      <c r="I3" s="328" t="s">
        <v>675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</row>
    <row r="4" spans="1:43" ht="13">
      <c r="A4" s="330" t="s">
        <v>8</v>
      </c>
      <c r="B4" s="330" t="s">
        <v>354</v>
      </c>
      <c r="C4" s="331" t="s">
        <v>281</v>
      </c>
      <c r="D4" s="332" t="s">
        <v>355</v>
      </c>
      <c r="E4" s="330" t="s">
        <v>356</v>
      </c>
      <c r="F4" s="333" t="s">
        <v>357</v>
      </c>
      <c r="G4" s="333" t="s">
        <v>358</v>
      </c>
      <c r="H4" s="334" t="s">
        <v>359</v>
      </c>
      <c r="I4" s="333" t="s">
        <v>360</v>
      </c>
      <c r="J4" s="335" t="s">
        <v>361</v>
      </c>
      <c r="K4" s="333" t="s">
        <v>284</v>
      </c>
      <c r="L4" s="333" t="s">
        <v>280</v>
      </c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</row>
    <row r="5" spans="1:43" ht="15.75" customHeight="1">
      <c r="A5" s="372" t="s">
        <v>676</v>
      </c>
      <c r="B5" s="372" t="s">
        <v>677</v>
      </c>
      <c r="C5" s="54" t="s">
        <v>678</v>
      </c>
      <c r="D5" s="34">
        <v>2210000</v>
      </c>
      <c r="E5" s="373" t="s">
        <v>679</v>
      </c>
      <c r="F5" s="26" t="s">
        <v>392</v>
      </c>
      <c r="G5" s="373" t="s">
        <v>680</v>
      </c>
      <c r="H5" s="374" t="s">
        <v>681</v>
      </c>
      <c r="I5" s="375">
        <v>45601</v>
      </c>
      <c r="J5" s="34">
        <v>1963000</v>
      </c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</row>
    <row r="6" spans="1:43" ht="15.75" customHeight="1">
      <c r="A6" s="373" t="s">
        <v>676</v>
      </c>
      <c r="B6" s="372" t="s">
        <v>682</v>
      </c>
      <c r="C6" s="376" t="s">
        <v>683</v>
      </c>
      <c r="D6" s="377">
        <v>1300000</v>
      </c>
      <c r="E6" s="373" t="s">
        <v>684</v>
      </c>
      <c r="F6" s="26" t="s">
        <v>392</v>
      </c>
      <c r="G6" s="378" t="s">
        <v>685</v>
      </c>
      <c r="H6" s="374" t="s">
        <v>686</v>
      </c>
      <c r="I6" s="375">
        <v>45611</v>
      </c>
      <c r="J6" s="379">
        <v>1181000</v>
      </c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</row>
    <row r="7" spans="1:43" ht="15.75" customHeight="1">
      <c r="A7" s="1112" t="s">
        <v>676</v>
      </c>
      <c r="B7" s="1112" t="s">
        <v>687</v>
      </c>
      <c r="C7" s="1057" t="s">
        <v>688</v>
      </c>
      <c r="D7" s="379">
        <v>2980000</v>
      </c>
      <c r="E7" s="1114" t="s">
        <v>689</v>
      </c>
      <c r="F7" s="380" t="s">
        <v>372</v>
      </c>
      <c r="G7" s="374" t="s">
        <v>690</v>
      </c>
      <c r="H7" s="381" t="s">
        <v>691</v>
      </c>
      <c r="I7" s="375">
        <v>45609</v>
      </c>
      <c r="J7" s="379">
        <v>2760000</v>
      </c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</row>
    <row r="8" spans="1:43" ht="15.75" customHeight="1">
      <c r="A8" s="1051"/>
      <c r="B8" s="1051"/>
      <c r="C8" s="1051"/>
      <c r="D8" s="379">
        <v>340000</v>
      </c>
      <c r="E8" s="1051"/>
      <c r="F8" s="380" t="s">
        <v>392</v>
      </c>
      <c r="G8" s="374" t="s">
        <v>692</v>
      </c>
      <c r="H8" s="381" t="s">
        <v>693</v>
      </c>
      <c r="I8" s="375">
        <v>45610</v>
      </c>
      <c r="J8" s="379">
        <v>302000</v>
      </c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</row>
    <row r="9" spans="1:43" ht="15.75" customHeight="1">
      <c r="A9" s="1052"/>
      <c r="B9" s="1052"/>
      <c r="C9" s="1052"/>
      <c r="D9" s="379">
        <v>276000</v>
      </c>
      <c r="E9" s="1052"/>
      <c r="F9" s="380" t="s">
        <v>375</v>
      </c>
      <c r="G9" s="374" t="s">
        <v>694</v>
      </c>
      <c r="H9" s="381" t="s">
        <v>695</v>
      </c>
      <c r="I9" s="375">
        <v>45610</v>
      </c>
      <c r="J9" s="379">
        <v>244000</v>
      </c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</row>
    <row r="10" spans="1:43" ht="15.75" customHeight="1">
      <c r="A10" s="1113" t="s">
        <v>676</v>
      </c>
      <c r="B10" s="1113" t="s">
        <v>696</v>
      </c>
      <c r="C10" s="1053" t="s">
        <v>697</v>
      </c>
      <c r="D10" s="379">
        <v>1490000</v>
      </c>
      <c r="E10" s="1115" t="s">
        <v>698</v>
      </c>
      <c r="F10" s="380" t="s">
        <v>372</v>
      </c>
      <c r="G10" s="374" t="s">
        <v>699</v>
      </c>
      <c r="H10" s="381" t="s">
        <v>700</v>
      </c>
      <c r="I10" s="375">
        <v>45609</v>
      </c>
      <c r="J10" s="379">
        <v>1380000</v>
      </c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</row>
    <row r="11" spans="1:43" ht="15.75" customHeight="1">
      <c r="A11" s="1051"/>
      <c r="B11" s="1051"/>
      <c r="C11" s="1051"/>
      <c r="D11" s="379">
        <v>170000</v>
      </c>
      <c r="E11" s="1051"/>
      <c r="F11" s="380" t="s">
        <v>392</v>
      </c>
      <c r="G11" s="374" t="s">
        <v>701</v>
      </c>
      <c r="H11" s="381" t="s">
        <v>702</v>
      </c>
      <c r="I11" s="375">
        <v>45610</v>
      </c>
      <c r="J11" s="379">
        <v>151000</v>
      </c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</row>
    <row r="12" spans="1:43" ht="15.75" customHeight="1">
      <c r="A12" s="1052"/>
      <c r="B12" s="1052"/>
      <c r="C12" s="1052"/>
      <c r="D12" s="379">
        <v>138000</v>
      </c>
      <c r="E12" s="1052"/>
      <c r="F12" s="380" t="s">
        <v>375</v>
      </c>
      <c r="G12" s="374" t="s">
        <v>703</v>
      </c>
      <c r="H12" s="381" t="s">
        <v>704</v>
      </c>
      <c r="I12" s="375">
        <v>45610</v>
      </c>
      <c r="J12" s="379">
        <v>122000</v>
      </c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</row>
    <row r="13" spans="1:43" ht="15.75" customHeight="1">
      <c r="A13" s="382" t="s">
        <v>676</v>
      </c>
      <c r="B13" s="382" t="s">
        <v>705</v>
      </c>
      <c r="C13" s="54" t="s">
        <v>706</v>
      </c>
      <c r="D13" s="383">
        <v>1520000</v>
      </c>
      <c r="E13" s="54" t="s">
        <v>707</v>
      </c>
      <c r="F13" s="380" t="s">
        <v>372</v>
      </c>
      <c r="G13" s="384" t="s">
        <v>708</v>
      </c>
      <c r="H13" s="385" t="s">
        <v>709</v>
      </c>
      <c r="I13" s="375">
        <v>45616</v>
      </c>
      <c r="J13" s="379">
        <v>1400000</v>
      </c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</row>
    <row r="14" spans="1:43" ht="15.75" customHeight="1">
      <c r="A14" s="1112"/>
      <c r="B14" s="1112"/>
      <c r="C14" s="1053"/>
      <c r="D14" s="377"/>
      <c r="E14" s="1050"/>
      <c r="F14" s="372"/>
      <c r="G14" s="373"/>
      <c r="H14" s="374"/>
      <c r="I14" s="386"/>
      <c r="J14" s="387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</row>
    <row r="15" spans="1:43" ht="15.75" customHeight="1">
      <c r="A15" s="1051"/>
      <c r="B15" s="1051"/>
      <c r="C15" s="1051"/>
      <c r="D15" s="377"/>
      <c r="E15" s="1051"/>
      <c r="F15" s="372"/>
      <c r="G15" s="373"/>
      <c r="H15" s="374"/>
      <c r="I15" s="386"/>
      <c r="J15" s="387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</row>
    <row r="16" spans="1:43" ht="15.75" customHeight="1">
      <c r="A16" s="1052"/>
      <c r="B16" s="1052"/>
      <c r="C16" s="1052"/>
      <c r="D16" s="377"/>
      <c r="E16" s="1052"/>
      <c r="F16" s="372"/>
      <c r="G16" s="373"/>
      <c r="H16" s="374"/>
      <c r="I16" s="386"/>
      <c r="J16" s="387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</row>
    <row r="17" spans="1:43" ht="15">
      <c r="A17" s="372"/>
      <c r="B17" s="372"/>
      <c r="C17" s="388"/>
      <c r="D17" s="34"/>
      <c r="E17" s="24"/>
      <c r="F17" s="24"/>
      <c r="G17" s="24"/>
      <c r="H17" s="51"/>
      <c r="I17" s="389"/>
      <c r="J17" s="387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</row>
    <row r="18" spans="1:43" ht="15">
      <c r="A18" s="372"/>
      <c r="B18" s="372"/>
      <c r="C18" s="388"/>
      <c r="D18" s="34"/>
      <c r="E18" s="24"/>
      <c r="F18" s="24"/>
      <c r="G18" s="24"/>
      <c r="H18" s="51"/>
      <c r="I18" s="389"/>
      <c r="J18" s="387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</row>
    <row r="19" spans="1:43" ht="15">
      <c r="A19" s="372"/>
      <c r="B19" s="372"/>
      <c r="C19" s="388"/>
      <c r="D19" s="34"/>
      <c r="E19" s="24"/>
      <c r="F19" s="24"/>
      <c r="G19" s="24"/>
      <c r="H19" s="51"/>
      <c r="I19" s="389"/>
      <c r="J19" s="34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</row>
    <row r="20" spans="1:43" ht="13">
      <c r="A20" s="70"/>
      <c r="B20" s="70"/>
      <c r="C20" s="390"/>
      <c r="D20" s="348"/>
      <c r="E20" s="70"/>
      <c r="F20" s="201"/>
      <c r="G20" s="201"/>
      <c r="H20" s="358"/>
      <c r="I20" s="391"/>
      <c r="J20" s="392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</row>
    <row r="21" spans="1:43" ht="13">
      <c r="A21" s="70"/>
      <c r="B21" s="393"/>
      <c r="C21" s="394"/>
      <c r="D21" s="392"/>
      <c r="E21" s="201"/>
      <c r="F21" s="201"/>
      <c r="G21" s="201"/>
      <c r="H21" s="358"/>
      <c r="I21" s="391"/>
      <c r="J21" s="392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</row>
    <row r="22" spans="1:43" ht="13">
      <c r="A22" s="70"/>
      <c r="B22" s="70"/>
      <c r="C22" s="390"/>
      <c r="D22" s="348"/>
      <c r="E22" s="70"/>
      <c r="F22" s="201"/>
      <c r="G22" s="201"/>
      <c r="H22" s="358"/>
      <c r="I22" s="391"/>
      <c r="J22" s="392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</row>
    <row r="23" spans="1:43" ht="13">
      <c r="A23" s="70"/>
      <c r="B23" s="393"/>
      <c r="C23" s="394"/>
      <c r="D23" s="392"/>
      <c r="E23" s="201"/>
      <c r="F23" s="201"/>
      <c r="G23" s="201"/>
      <c r="H23" s="358"/>
      <c r="I23" s="391"/>
      <c r="J23" s="392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</row>
    <row r="24" spans="1:43" ht="13">
      <c r="A24" s="70"/>
      <c r="B24" s="393"/>
      <c r="C24" s="394"/>
      <c r="D24" s="392"/>
      <c r="E24" s="201"/>
      <c r="F24" s="201"/>
      <c r="G24" s="201"/>
      <c r="H24" s="358"/>
      <c r="I24" s="391"/>
      <c r="J24" s="392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</row>
    <row r="25" spans="1:43" ht="13">
      <c r="A25" s="70"/>
      <c r="B25" s="70"/>
      <c r="C25" s="390"/>
      <c r="D25" s="70"/>
      <c r="E25" s="70"/>
      <c r="F25" s="201"/>
      <c r="G25" s="201"/>
      <c r="H25" s="358"/>
      <c r="I25" s="391"/>
      <c r="J25" s="392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</row>
    <row r="26" spans="1:43" ht="13">
      <c r="A26" s="70"/>
      <c r="B26" s="201"/>
      <c r="C26" s="394"/>
      <c r="D26" s="392"/>
      <c r="E26" s="201"/>
      <c r="F26" s="201"/>
      <c r="G26" s="201"/>
      <c r="H26" s="358"/>
      <c r="I26" s="391"/>
      <c r="J26" s="392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</row>
    <row r="27" spans="1:43" ht="13">
      <c r="A27" s="70"/>
      <c r="B27" s="100"/>
      <c r="C27" s="394"/>
      <c r="D27" s="392"/>
      <c r="E27" s="201"/>
      <c r="F27" s="201"/>
      <c r="G27" s="201"/>
      <c r="H27" s="358"/>
      <c r="I27" s="391"/>
      <c r="J27" s="392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</row>
    <row r="28" spans="1:43" ht="13">
      <c r="A28" s="70"/>
      <c r="B28" s="70"/>
      <c r="C28" s="390"/>
      <c r="D28" s="348"/>
      <c r="E28" s="70"/>
      <c r="F28" s="201"/>
      <c r="G28" s="201"/>
      <c r="H28" s="358"/>
      <c r="I28" s="391"/>
      <c r="J28" s="392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</row>
    <row r="29" spans="1:43" ht="13">
      <c r="A29" s="70"/>
      <c r="B29" s="70"/>
      <c r="C29" s="390"/>
      <c r="D29" s="348"/>
      <c r="E29" s="70"/>
      <c r="F29" s="201"/>
      <c r="G29" s="201"/>
      <c r="H29" s="358"/>
      <c r="I29" s="391"/>
      <c r="J29" s="392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</row>
    <row r="30" spans="1:43" ht="13">
      <c r="A30" s="201" t="s">
        <v>2</v>
      </c>
      <c r="B30" s="346" t="s">
        <v>662</v>
      </c>
      <c r="C30" s="347" t="e">
        <f>SUM(#REF!,#REF!,#REF!,#REF!,#REF!,#REF!,#REF!)</f>
        <v>#REF!</v>
      </c>
      <c r="D30" s="70"/>
      <c r="E30" s="70"/>
      <c r="F30" s="70"/>
      <c r="G30" s="70"/>
      <c r="H30" s="349" t="e">
        <f>SUM(#REF!,#REF!,#REF!,#REF!,#REF!,#REF!,#REF!)</f>
        <v>#REF!</v>
      </c>
      <c r="I30" s="390"/>
      <c r="J30" s="348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</row>
    <row r="31" spans="1:43" ht="13">
      <c r="A31" s="70"/>
      <c r="B31" s="70"/>
      <c r="C31" s="390"/>
      <c r="D31" s="70"/>
      <c r="E31" s="70"/>
      <c r="F31" s="70"/>
      <c r="G31" s="70"/>
      <c r="H31" s="70"/>
      <c r="I31" s="390"/>
      <c r="J31" s="348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</row>
    <row r="32" spans="1:43" ht="13">
      <c r="A32" s="70"/>
      <c r="B32" s="70"/>
      <c r="C32" s="390"/>
      <c r="D32" s="70"/>
      <c r="E32" s="70"/>
      <c r="F32" s="70"/>
      <c r="G32" s="70"/>
      <c r="H32" s="70"/>
      <c r="I32" s="390"/>
      <c r="J32" s="348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</row>
    <row r="33" spans="1:43" ht="17">
      <c r="A33" s="70"/>
      <c r="B33" s="70"/>
      <c r="C33" s="70"/>
      <c r="D33" s="395" t="s">
        <v>710</v>
      </c>
      <c r="E33" s="70"/>
      <c r="F33" s="372" t="s">
        <v>711</v>
      </c>
      <c r="G33" s="70"/>
      <c r="H33" s="348"/>
      <c r="I33" s="390"/>
      <c r="J33" s="348"/>
      <c r="K33" s="70"/>
      <c r="L33" s="70"/>
      <c r="M33" s="70"/>
      <c r="N33" s="70"/>
      <c r="O33" s="70"/>
      <c r="P33" s="70"/>
      <c r="Q33" s="70"/>
      <c r="R33" s="348"/>
      <c r="S33" s="70"/>
      <c r="T33" s="70"/>
      <c r="U33" s="70"/>
      <c r="V33" s="70"/>
      <c r="W33" s="70"/>
      <c r="X33" s="70"/>
      <c r="Y33" s="348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</row>
    <row r="34" spans="1:43" ht="13">
      <c r="A34" s="70"/>
      <c r="B34" s="70"/>
      <c r="C34" s="70"/>
      <c r="D34" s="70"/>
      <c r="E34" s="70"/>
      <c r="F34" s="70"/>
      <c r="G34" s="70"/>
      <c r="H34" s="348"/>
      <c r="I34" s="390"/>
      <c r="J34" s="348"/>
      <c r="K34" s="70"/>
      <c r="L34" s="70"/>
      <c r="M34" s="70"/>
      <c r="N34" s="70"/>
      <c r="O34" s="70"/>
      <c r="P34" s="70"/>
      <c r="Q34" s="70"/>
      <c r="R34" s="348"/>
      <c r="S34" s="70"/>
      <c r="T34" s="70"/>
      <c r="U34" s="70"/>
      <c r="V34" s="70"/>
      <c r="W34" s="70"/>
      <c r="X34" s="70"/>
      <c r="Y34" s="348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</row>
    <row r="35" spans="1:43" ht="15">
      <c r="A35" s="70"/>
      <c r="B35" s="70"/>
      <c r="C35" s="70"/>
      <c r="D35" s="372" t="s">
        <v>712</v>
      </c>
      <c r="E35" s="148"/>
      <c r="F35" s="372" t="s">
        <v>713</v>
      </c>
      <c r="G35" s="148"/>
      <c r="H35" s="150"/>
      <c r="I35" s="321"/>
      <c r="J35" s="150"/>
      <c r="K35" s="148"/>
      <c r="L35" s="148"/>
      <c r="M35" s="148"/>
      <c r="N35" s="148"/>
      <c r="O35" s="148"/>
      <c r="P35" s="70"/>
      <c r="Q35" s="70"/>
      <c r="R35" s="348"/>
      <c r="S35" s="70"/>
      <c r="T35" s="70"/>
      <c r="U35" s="70"/>
      <c r="V35" s="70"/>
      <c r="W35" s="70"/>
      <c r="X35" s="70"/>
      <c r="Y35" s="348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</row>
    <row r="36" spans="1:43" ht="15">
      <c r="A36" s="70"/>
      <c r="B36" s="70"/>
      <c r="C36" s="70"/>
      <c r="D36" s="148"/>
      <c r="E36" s="148"/>
      <c r="F36" s="396" t="s">
        <v>714</v>
      </c>
      <c r="G36" s="148"/>
      <c r="H36" s="150"/>
      <c r="I36" s="321"/>
      <c r="J36" s="150"/>
      <c r="K36" s="148"/>
      <c r="L36" s="148"/>
      <c r="M36" s="148"/>
      <c r="N36" s="148"/>
      <c r="O36" s="148"/>
      <c r="P36" s="70"/>
      <c r="Q36" s="70"/>
      <c r="R36" s="348"/>
      <c r="S36" s="70"/>
      <c r="T36" s="70"/>
      <c r="U36" s="70"/>
      <c r="V36" s="70"/>
      <c r="W36" s="70"/>
      <c r="X36" s="70"/>
      <c r="Y36" s="348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</row>
    <row r="37" spans="1:43" ht="15">
      <c r="A37" s="70"/>
      <c r="B37" s="70"/>
      <c r="C37" s="70"/>
      <c r="D37" s="372" t="s">
        <v>715</v>
      </c>
      <c r="E37" s="148"/>
      <c r="F37" s="372" t="s">
        <v>716</v>
      </c>
      <c r="G37" s="148"/>
      <c r="H37" s="150"/>
      <c r="I37" s="321"/>
      <c r="J37" s="150"/>
      <c r="K37" s="148"/>
      <c r="L37" s="148"/>
      <c r="M37" s="148"/>
      <c r="N37" s="148"/>
      <c r="O37" s="148"/>
      <c r="P37" s="70"/>
      <c r="Q37" s="70"/>
      <c r="R37" s="348"/>
      <c r="S37" s="70"/>
      <c r="T37" s="70"/>
      <c r="U37" s="70"/>
      <c r="V37" s="70"/>
      <c r="W37" s="70"/>
      <c r="X37" s="70"/>
      <c r="Y37" s="348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</row>
    <row r="38" spans="1:43" ht="15">
      <c r="A38" s="70"/>
      <c r="B38" s="70"/>
      <c r="C38" s="70"/>
      <c r="D38" s="148"/>
      <c r="E38" s="148"/>
      <c r="F38" s="372" t="s">
        <v>717</v>
      </c>
      <c r="G38" s="148"/>
      <c r="H38" s="150"/>
      <c r="I38" s="321"/>
      <c r="J38" s="150"/>
      <c r="K38" s="148"/>
      <c r="L38" s="148"/>
      <c r="M38" s="148"/>
      <c r="N38" s="148"/>
      <c r="O38" s="372" t="s">
        <v>718</v>
      </c>
      <c r="P38" s="70"/>
      <c r="Q38" s="70"/>
      <c r="R38" s="348"/>
      <c r="S38" s="70"/>
      <c r="T38" s="70"/>
      <c r="U38" s="70"/>
      <c r="V38" s="70"/>
      <c r="W38" s="70"/>
      <c r="X38" s="70"/>
      <c r="Y38" s="348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</row>
    <row r="39" spans="1:43" ht="15">
      <c r="A39" s="70"/>
      <c r="B39" s="70"/>
      <c r="C39" s="70"/>
      <c r="D39" s="372" t="s">
        <v>719</v>
      </c>
      <c r="E39" s="148"/>
      <c r="F39" s="372" t="s">
        <v>720</v>
      </c>
      <c r="G39" s="148"/>
      <c r="H39" s="150"/>
      <c r="I39" s="321"/>
      <c r="J39" s="150"/>
      <c r="K39" s="148"/>
      <c r="L39" s="148"/>
      <c r="M39" s="148"/>
      <c r="N39" s="148"/>
      <c r="O39" s="148"/>
      <c r="P39" s="148"/>
      <c r="Q39" s="148"/>
      <c r="R39" s="150"/>
      <c r="S39" s="148"/>
      <c r="T39" s="148"/>
      <c r="U39" s="148"/>
      <c r="V39" s="70"/>
      <c r="W39" s="70"/>
      <c r="X39" s="70"/>
      <c r="Y39" s="348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</row>
    <row r="40" spans="1:43" ht="15">
      <c r="A40" s="70"/>
      <c r="B40" s="70"/>
      <c r="C40" s="70"/>
      <c r="D40" s="148"/>
      <c r="E40" s="148"/>
      <c r="F40" s="372" t="s">
        <v>721</v>
      </c>
      <c r="G40" s="148"/>
      <c r="H40" s="150"/>
      <c r="I40" s="321"/>
      <c r="J40" s="150"/>
      <c r="K40" s="148"/>
      <c r="L40" s="148"/>
      <c r="M40" s="148"/>
      <c r="N40" s="148"/>
      <c r="O40" s="148"/>
      <c r="P40" s="148"/>
      <c r="Q40" s="148"/>
      <c r="R40" s="150"/>
      <c r="S40" s="148"/>
      <c r="T40" s="148"/>
      <c r="U40" s="148"/>
      <c r="V40" s="70"/>
      <c r="W40" s="70"/>
      <c r="X40" s="70"/>
      <c r="Y40" s="348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</row>
    <row r="41" spans="1:43" ht="15">
      <c r="A41" s="70"/>
      <c r="B41" s="70"/>
      <c r="C41" s="70"/>
      <c r="D41" s="372" t="s">
        <v>722</v>
      </c>
      <c r="E41" s="148"/>
      <c r="F41" s="372" t="s">
        <v>723</v>
      </c>
      <c r="G41" s="148"/>
      <c r="H41" s="150"/>
      <c r="I41" s="321"/>
      <c r="J41" s="150"/>
      <c r="K41" s="148"/>
      <c r="L41" s="148"/>
      <c r="M41" s="148"/>
      <c r="N41" s="148"/>
      <c r="O41" s="148"/>
      <c r="P41" s="70"/>
      <c r="Q41" s="70"/>
      <c r="R41" s="348"/>
      <c r="S41" s="70"/>
      <c r="T41" s="70"/>
      <c r="U41" s="70"/>
      <c r="V41" s="70"/>
      <c r="W41" s="70"/>
      <c r="X41" s="70"/>
      <c r="Y41" s="348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</row>
    <row r="42" spans="1:43" ht="13">
      <c r="A42" s="70"/>
      <c r="B42" s="70"/>
      <c r="C42" s="70"/>
      <c r="D42" s="70"/>
      <c r="E42" s="70"/>
      <c r="F42" s="70"/>
      <c r="G42" s="70"/>
      <c r="H42" s="348"/>
      <c r="I42" s="390"/>
      <c r="J42" s="348"/>
      <c r="K42" s="70"/>
      <c r="L42" s="70"/>
      <c r="M42" s="70"/>
      <c r="N42" s="70"/>
      <c r="O42" s="70"/>
      <c r="P42" s="70"/>
      <c r="Q42" s="70"/>
      <c r="R42" s="348"/>
      <c r="S42" s="70"/>
      <c r="T42" s="70"/>
      <c r="U42" s="70"/>
      <c r="V42" s="70"/>
      <c r="W42" s="70"/>
      <c r="X42" s="70"/>
      <c r="Y42" s="348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</row>
    <row r="43" spans="1:43" ht="17">
      <c r="A43" s="70"/>
      <c r="B43" s="70"/>
      <c r="C43" s="70"/>
      <c r="D43" s="395" t="s">
        <v>724</v>
      </c>
      <c r="E43" s="70"/>
      <c r="F43" s="70"/>
      <c r="G43" s="70"/>
      <c r="H43" s="348"/>
      <c r="I43" s="390"/>
      <c r="J43" s="348"/>
      <c r="K43" s="70"/>
      <c r="L43" s="70"/>
      <c r="M43" s="70"/>
      <c r="N43" s="70"/>
      <c r="O43" s="70"/>
      <c r="P43" s="70"/>
      <c r="Q43" s="70"/>
      <c r="R43" s="348"/>
      <c r="S43" s="70"/>
      <c r="T43" s="70"/>
      <c r="U43" s="70"/>
      <c r="V43" s="70"/>
      <c r="W43" s="70"/>
      <c r="X43" s="70"/>
      <c r="Y43" s="348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0"/>
      <c r="AQ43" s="70"/>
    </row>
    <row r="44" spans="1:43" ht="13">
      <c r="A44" s="70"/>
      <c r="B44" s="70"/>
      <c r="C44" s="70"/>
      <c r="D44" s="70"/>
      <c r="E44" s="70"/>
      <c r="F44" s="70"/>
      <c r="G44" s="70"/>
      <c r="H44" s="348"/>
      <c r="I44" s="390"/>
      <c r="J44" s="348"/>
      <c r="K44" s="70"/>
      <c r="L44" s="70"/>
      <c r="M44" s="70"/>
      <c r="N44" s="70"/>
      <c r="O44" s="70"/>
      <c r="P44" s="70"/>
      <c r="Q44" s="70"/>
      <c r="R44" s="348"/>
      <c r="S44" s="70"/>
      <c r="T44" s="70"/>
      <c r="U44" s="70"/>
      <c r="V44" s="70"/>
      <c r="W44" s="70"/>
      <c r="X44" s="70"/>
      <c r="Y44" s="348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</row>
    <row r="45" spans="1:43" ht="15">
      <c r="A45" s="70"/>
      <c r="B45" s="70"/>
      <c r="C45" s="70"/>
      <c r="D45" s="397" t="s">
        <v>725</v>
      </c>
      <c r="E45" s="70"/>
      <c r="F45" s="70"/>
      <c r="G45" s="70"/>
      <c r="H45" s="348"/>
      <c r="I45" s="390"/>
      <c r="J45" s="348"/>
      <c r="K45" s="70"/>
      <c r="L45" s="70"/>
      <c r="M45" s="70"/>
      <c r="N45" s="70"/>
      <c r="O45" s="70"/>
      <c r="P45" s="70"/>
      <c r="Q45" s="70"/>
      <c r="R45" s="348"/>
      <c r="S45" s="70"/>
      <c r="T45" s="70"/>
      <c r="U45" s="70"/>
      <c r="V45" s="70"/>
      <c r="W45" s="70"/>
      <c r="X45" s="70"/>
      <c r="Y45" s="348"/>
      <c r="Z45" s="70"/>
      <c r="AA45" s="70"/>
      <c r="AB45" s="70"/>
      <c r="AC45" s="70"/>
      <c r="AD45" s="70"/>
      <c r="AE45" s="70"/>
      <c r="AF45" s="70"/>
      <c r="AG45" s="70"/>
      <c r="AH45" s="70"/>
      <c r="AI45" s="70"/>
      <c r="AJ45" s="70"/>
      <c r="AK45" s="70"/>
      <c r="AL45" s="70"/>
      <c r="AM45" s="70"/>
      <c r="AN45" s="70"/>
      <c r="AO45" s="70"/>
      <c r="AP45" s="70"/>
      <c r="AQ45" s="70"/>
    </row>
    <row r="46" spans="1:43" ht="15">
      <c r="A46" s="70"/>
      <c r="B46" s="70"/>
      <c r="C46" s="70"/>
      <c r="D46" s="397" t="s">
        <v>726</v>
      </c>
      <c r="E46" s="70"/>
      <c r="F46" s="70"/>
      <c r="G46" s="70"/>
      <c r="H46" s="348"/>
      <c r="I46" s="390"/>
      <c r="J46" s="348"/>
      <c r="K46" s="70"/>
      <c r="L46" s="70"/>
      <c r="M46" s="70"/>
      <c r="N46" s="70"/>
      <c r="O46" s="70"/>
      <c r="P46" s="70"/>
      <c r="Q46" s="70"/>
      <c r="R46" s="348"/>
      <c r="S46" s="70"/>
      <c r="T46" s="70"/>
      <c r="U46" s="70"/>
      <c r="V46" s="70"/>
      <c r="W46" s="70"/>
      <c r="X46" s="70"/>
      <c r="Y46" s="348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</row>
    <row r="47" spans="1:43" ht="15">
      <c r="A47" s="70"/>
      <c r="B47" s="70"/>
      <c r="C47" s="70"/>
      <c r="D47" s="397" t="s">
        <v>727</v>
      </c>
      <c r="E47" s="70"/>
      <c r="F47" s="70"/>
      <c r="G47" s="70"/>
      <c r="H47" s="348"/>
      <c r="I47" s="398"/>
      <c r="J47" s="348"/>
      <c r="K47" s="70"/>
      <c r="L47" s="70"/>
      <c r="M47" s="70"/>
      <c r="N47" s="70"/>
      <c r="O47" s="70"/>
      <c r="P47" s="70"/>
      <c r="Q47" s="70"/>
      <c r="R47" s="348"/>
      <c r="S47" s="70"/>
      <c r="T47" s="70"/>
      <c r="U47" s="70"/>
      <c r="V47" s="70"/>
      <c r="W47" s="70"/>
      <c r="X47" s="70"/>
      <c r="Y47" s="348"/>
      <c r="Z47" s="70"/>
      <c r="AA47" s="70"/>
      <c r="AB47" s="70"/>
      <c r="AC47" s="70"/>
      <c r="AD47" s="70"/>
      <c r="AE47" s="70"/>
      <c r="AF47" s="70"/>
      <c r="AG47" s="70"/>
      <c r="AH47" s="70"/>
      <c r="AI47" s="70"/>
      <c r="AJ47" s="70"/>
      <c r="AK47" s="70"/>
      <c r="AL47" s="70"/>
      <c r="AM47" s="70"/>
      <c r="AN47" s="70"/>
      <c r="AO47" s="70"/>
      <c r="AP47" s="70"/>
      <c r="AQ47" s="70"/>
    </row>
    <row r="48" spans="1:43" ht="13">
      <c r="A48" s="70"/>
      <c r="B48" s="70"/>
      <c r="C48" s="70"/>
      <c r="D48" s="70"/>
      <c r="E48" s="70"/>
      <c r="F48" s="70"/>
      <c r="G48" s="70"/>
      <c r="H48" s="348"/>
      <c r="I48" s="398"/>
      <c r="J48" s="348"/>
      <c r="K48" s="70"/>
      <c r="L48" s="70"/>
      <c r="M48" s="70"/>
      <c r="N48" s="70"/>
      <c r="O48" s="70"/>
      <c r="P48" s="70"/>
      <c r="Q48" s="70"/>
      <c r="R48" s="348"/>
      <c r="S48" s="70"/>
      <c r="T48" s="70"/>
      <c r="U48" s="70"/>
      <c r="V48" s="70"/>
      <c r="W48" s="70"/>
      <c r="X48" s="70"/>
      <c r="Y48" s="348"/>
      <c r="Z48" s="70"/>
      <c r="AA48" s="70"/>
      <c r="AB48" s="70"/>
      <c r="AC48" s="70"/>
      <c r="AD48" s="70"/>
      <c r="AE48" s="70"/>
      <c r="AF48" s="70"/>
      <c r="AG48" s="70"/>
      <c r="AH48" s="70"/>
      <c r="AI48" s="70"/>
      <c r="AJ48" s="70"/>
      <c r="AK48" s="70"/>
      <c r="AL48" s="70"/>
      <c r="AM48" s="70"/>
      <c r="AN48" s="70"/>
      <c r="AO48" s="70"/>
      <c r="AP48" s="70"/>
      <c r="AQ48" s="70"/>
    </row>
    <row r="49" spans="1:43" ht="15">
      <c r="A49" s="70"/>
      <c r="B49" s="70"/>
      <c r="C49" s="70"/>
      <c r="D49" s="399" t="s">
        <v>728</v>
      </c>
      <c r="E49" s="70"/>
      <c r="F49" s="70"/>
      <c r="G49" s="70"/>
      <c r="H49" s="348"/>
      <c r="I49" s="398"/>
      <c r="J49" s="348"/>
      <c r="K49" s="70"/>
      <c r="L49" s="70"/>
      <c r="M49" s="70"/>
      <c r="N49" s="70"/>
      <c r="O49" s="70"/>
      <c r="P49" s="70"/>
      <c r="Q49" s="70"/>
      <c r="R49" s="348"/>
      <c r="S49" s="70"/>
      <c r="T49" s="70"/>
      <c r="U49" s="70"/>
      <c r="V49" s="70"/>
      <c r="W49" s="70"/>
      <c r="X49" s="70"/>
      <c r="Y49" s="348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</row>
    <row r="50" spans="1:43" ht="15">
      <c r="A50" s="70"/>
      <c r="B50" s="70"/>
      <c r="C50" s="70"/>
      <c r="D50" s="397" t="s">
        <v>729</v>
      </c>
      <c r="E50" s="70"/>
      <c r="F50" s="70"/>
      <c r="G50" s="70"/>
      <c r="H50" s="348"/>
      <c r="I50" s="398"/>
      <c r="J50" s="348"/>
      <c r="K50" s="70"/>
      <c r="L50" s="70"/>
      <c r="M50" s="70"/>
      <c r="N50" s="70"/>
      <c r="O50" s="70"/>
      <c r="P50" s="70"/>
      <c r="Q50" s="70"/>
      <c r="R50" s="348"/>
      <c r="S50" s="70"/>
      <c r="T50" s="70"/>
      <c r="U50" s="70"/>
      <c r="V50" s="70"/>
      <c r="W50" s="70"/>
      <c r="X50" s="70"/>
      <c r="Y50" s="348"/>
      <c r="Z50" s="70"/>
      <c r="AA50" s="70"/>
      <c r="AB50" s="70"/>
      <c r="AC50" s="70"/>
      <c r="AD50" s="70"/>
      <c r="AE50" s="70"/>
      <c r="AF50" s="70"/>
      <c r="AG50" s="70"/>
      <c r="AH50" s="70"/>
      <c r="AI50" s="70"/>
      <c r="AJ50" s="70"/>
      <c r="AK50" s="70"/>
      <c r="AL50" s="70"/>
      <c r="AM50" s="70"/>
      <c r="AN50" s="70"/>
      <c r="AO50" s="70"/>
      <c r="AP50" s="70"/>
      <c r="AQ50" s="70"/>
    </row>
    <row r="51" spans="1:43" ht="13">
      <c r="A51" s="70"/>
      <c r="B51" s="70"/>
      <c r="C51" s="70"/>
      <c r="D51" s="70"/>
      <c r="E51" s="70"/>
      <c r="F51" s="70"/>
      <c r="G51" s="70"/>
      <c r="H51" s="348"/>
      <c r="I51" s="390"/>
      <c r="J51" s="348"/>
      <c r="K51" s="70"/>
      <c r="L51" s="70"/>
      <c r="M51" s="70"/>
      <c r="N51" s="70"/>
      <c r="O51" s="70"/>
      <c r="P51" s="70"/>
      <c r="Q51" s="70"/>
      <c r="R51" s="348"/>
      <c r="S51" s="70"/>
      <c r="T51" s="70"/>
      <c r="U51" s="70"/>
      <c r="V51" s="70"/>
      <c r="W51" s="70"/>
      <c r="X51" s="70"/>
      <c r="Y51" s="348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</row>
    <row r="52" spans="1:43" ht="15">
      <c r="A52" s="70"/>
      <c r="B52" s="70"/>
      <c r="C52" s="70"/>
      <c r="D52" s="397" t="s">
        <v>730</v>
      </c>
      <c r="E52" s="70"/>
      <c r="F52" s="70"/>
      <c r="G52" s="70"/>
      <c r="H52" s="348"/>
      <c r="I52" s="390"/>
      <c r="J52" s="348"/>
      <c r="K52" s="70"/>
      <c r="L52" s="70"/>
      <c r="M52" s="70"/>
      <c r="N52" s="70"/>
      <c r="O52" s="70"/>
      <c r="P52" s="70"/>
      <c r="Q52" s="70"/>
      <c r="R52" s="348"/>
      <c r="S52" s="70"/>
      <c r="T52" s="70"/>
      <c r="U52" s="70"/>
      <c r="V52" s="70"/>
      <c r="W52" s="70"/>
      <c r="X52" s="70"/>
      <c r="Y52" s="348"/>
      <c r="Z52" s="70"/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</row>
    <row r="53" spans="1:43" ht="15">
      <c r="A53" s="70"/>
      <c r="B53" s="70"/>
      <c r="C53" s="70"/>
      <c r="D53" s="397" t="s">
        <v>731</v>
      </c>
      <c r="E53" s="70"/>
      <c r="F53" s="70"/>
      <c r="G53" s="70"/>
      <c r="H53" s="348"/>
      <c r="I53" s="390"/>
      <c r="J53" s="348"/>
      <c r="K53" s="70"/>
      <c r="L53" s="70"/>
      <c r="M53" s="70"/>
      <c r="N53" s="70"/>
      <c r="O53" s="70"/>
      <c r="P53" s="70"/>
      <c r="Q53" s="70"/>
      <c r="R53" s="348"/>
      <c r="S53" s="70"/>
      <c r="T53" s="70"/>
      <c r="U53" s="70"/>
      <c r="V53" s="70"/>
      <c r="W53" s="70"/>
      <c r="X53" s="70"/>
      <c r="Y53" s="348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</row>
    <row r="54" spans="1:43" ht="15">
      <c r="A54" s="70"/>
      <c r="B54" s="70"/>
      <c r="C54" s="70"/>
      <c r="D54" s="397" t="s">
        <v>732</v>
      </c>
      <c r="E54" s="70"/>
      <c r="F54" s="70"/>
      <c r="G54" s="70"/>
      <c r="H54" s="348"/>
      <c r="I54" s="390"/>
      <c r="J54" s="348"/>
      <c r="K54" s="70"/>
      <c r="L54" s="70"/>
      <c r="M54" s="70"/>
      <c r="N54" s="70"/>
      <c r="O54" s="70"/>
      <c r="P54" s="70"/>
      <c r="Q54" s="70"/>
      <c r="R54" s="348"/>
      <c r="S54" s="70"/>
      <c r="T54" s="70"/>
      <c r="U54" s="70"/>
      <c r="V54" s="70"/>
      <c r="W54" s="70"/>
      <c r="X54" s="70"/>
      <c r="Y54" s="348"/>
      <c r="Z54" s="70"/>
      <c r="AA54" s="70"/>
      <c r="AB54" s="70"/>
      <c r="AC54" s="70"/>
      <c r="AD54" s="70"/>
      <c r="AE54" s="70"/>
      <c r="AF54" s="70"/>
      <c r="AG54" s="70"/>
      <c r="AH54" s="70"/>
      <c r="AI54" s="70"/>
      <c r="AJ54" s="70"/>
      <c r="AK54" s="70"/>
      <c r="AL54" s="70"/>
      <c r="AM54" s="70"/>
      <c r="AN54" s="70"/>
      <c r="AO54" s="70"/>
      <c r="AP54" s="70"/>
      <c r="AQ54" s="70"/>
    </row>
    <row r="55" spans="1:43" ht="15">
      <c r="A55" s="70"/>
      <c r="B55" s="70"/>
      <c r="C55" s="70"/>
      <c r="D55" s="397" t="s">
        <v>733</v>
      </c>
      <c r="E55" s="70"/>
      <c r="F55" s="70"/>
      <c r="G55" s="70"/>
      <c r="H55" s="348"/>
      <c r="I55" s="390"/>
      <c r="J55" s="348"/>
      <c r="K55" s="70"/>
      <c r="L55" s="70"/>
      <c r="M55" s="70"/>
      <c r="N55" s="70"/>
      <c r="O55" s="70"/>
      <c r="P55" s="70"/>
      <c r="Q55" s="70"/>
      <c r="R55" s="348"/>
      <c r="S55" s="70"/>
      <c r="T55" s="70"/>
      <c r="U55" s="70"/>
      <c r="V55" s="70"/>
      <c r="W55" s="70"/>
      <c r="X55" s="70"/>
      <c r="Y55" s="348"/>
      <c r="Z55" s="70"/>
      <c r="AA55" s="70"/>
      <c r="AB55" s="70"/>
      <c r="AC55" s="70"/>
      <c r="AD55" s="70"/>
      <c r="AE55" s="70"/>
      <c r="AF55" s="70"/>
      <c r="AG55" s="70"/>
      <c r="AH55" s="70"/>
      <c r="AI55" s="70"/>
      <c r="AJ55" s="70"/>
      <c r="AK55" s="70"/>
      <c r="AL55" s="70"/>
      <c r="AM55" s="70"/>
      <c r="AN55" s="70"/>
      <c r="AO55" s="70"/>
      <c r="AP55" s="70"/>
      <c r="AQ55" s="70"/>
    </row>
    <row r="56" spans="1:43" ht="15">
      <c r="A56" s="70"/>
      <c r="B56" s="70"/>
      <c r="C56" s="70"/>
      <c r="D56" s="397" t="s">
        <v>734</v>
      </c>
      <c r="E56" s="70"/>
      <c r="F56" s="70"/>
      <c r="G56" s="70"/>
      <c r="H56" s="348"/>
      <c r="I56" s="390"/>
      <c r="J56" s="348"/>
      <c r="K56" s="70"/>
      <c r="L56" s="70"/>
      <c r="M56" s="70"/>
      <c r="N56" s="70"/>
      <c r="O56" s="70"/>
      <c r="P56" s="70"/>
      <c r="Q56" s="70"/>
      <c r="R56" s="348"/>
      <c r="S56" s="70"/>
      <c r="T56" s="70"/>
      <c r="U56" s="70"/>
      <c r="V56" s="70"/>
      <c r="W56" s="70"/>
      <c r="X56" s="70"/>
      <c r="Y56" s="348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</row>
    <row r="57" spans="1:43" ht="13">
      <c r="A57" s="70"/>
      <c r="B57" s="70"/>
      <c r="C57" s="70"/>
      <c r="D57" s="70"/>
      <c r="E57" s="70"/>
      <c r="F57" s="70"/>
      <c r="G57" s="70"/>
      <c r="H57" s="348"/>
      <c r="I57" s="390"/>
      <c r="J57" s="348"/>
      <c r="K57" s="70"/>
      <c r="L57" s="70"/>
      <c r="M57" s="70"/>
      <c r="N57" s="70"/>
      <c r="O57" s="70"/>
      <c r="P57" s="70"/>
      <c r="Q57" s="70"/>
      <c r="R57" s="348"/>
      <c r="S57" s="70"/>
      <c r="T57" s="70"/>
      <c r="U57" s="70"/>
      <c r="V57" s="70"/>
      <c r="W57" s="70"/>
      <c r="X57" s="70"/>
      <c r="Y57" s="348"/>
      <c r="Z57" s="70"/>
      <c r="AA57" s="70"/>
      <c r="AB57" s="70"/>
      <c r="AC57" s="70"/>
      <c r="AD57" s="70"/>
      <c r="AE57" s="70"/>
      <c r="AF57" s="70"/>
      <c r="AG57" s="70"/>
      <c r="AH57" s="70"/>
      <c r="AI57" s="70"/>
      <c r="AJ57" s="70"/>
      <c r="AK57" s="70"/>
      <c r="AL57" s="70"/>
      <c r="AM57" s="70"/>
      <c r="AN57" s="70"/>
      <c r="AO57" s="70"/>
      <c r="AP57" s="70"/>
      <c r="AQ57" s="70"/>
    </row>
    <row r="58" spans="1:43" ht="15">
      <c r="A58" s="70"/>
      <c r="B58" s="70"/>
      <c r="C58" s="70"/>
      <c r="D58" s="397" t="s">
        <v>735</v>
      </c>
      <c r="E58" s="70"/>
      <c r="F58" s="70"/>
      <c r="G58" s="70"/>
      <c r="H58" s="348"/>
      <c r="I58" s="390"/>
      <c r="J58" s="348"/>
      <c r="K58" s="70"/>
      <c r="L58" s="70"/>
      <c r="M58" s="70"/>
      <c r="N58" s="70"/>
      <c r="O58" s="70"/>
      <c r="P58" s="70"/>
      <c r="Q58" s="70"/>
      <c r="R58" s="348"/>
      <c r="S58" s="70"/>
      <c r="T58" s="70"/>
      <c r="U58" s="70"/>
      <c r="V58" s="70"/>
      <c r="W58" s="70"/>
      <c r="X58" s="70"/>
      <c r="Y58" s="348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0"/>
      <c r="AK58" s="70"/>
      <c r="AL58" s="70"/>
      <c r="AM58" s="70"/>
      <c r="AN58" s="70"/>
      <c r="AO58" s="70"/>
      <c r="AP58" s="70"/>
      <c r="AQ58" s="70"/>
    </row>
    <row r="59" spans="1:43" ht="15">
      <c r="A59" s="70"/>
      <c r="B59" s="70"/>
      <c r="C59" s="70"/>
      <c r="D59" s="397" t="s">
        <v>736</v>
      </c>
      <c r="E59" s="70"/>
      <c r="F59" s="70"/>
      <c r="G59" s="70"/>
      <c r="H59" s="348"/>
      <c r="I59" s="390"/>
      <c r="J59" s="348"/>
      <c r="K59" s="70"/>
      <c r="L59" s="70"/>
      <c r="M59" s="70"/>
      <c r="N59" s="70"/>
      <c r="O59" s="70"/>
      <c r="P59" s="70"/>
      <c r="Q59" s="70"/>
      <c r="R59" s="348"/>
      <c r="S59" s="70"/>
      <c r="T59" s="70"/>
      <c r="U59" s="70"/>
      <c r="V59" s="70"/>
      <c r="W59" s="70"/>
      <c r="X59" s="70"/>
      <c r="Y59" s="348"/>
      <c r="Z59" s="70"/>
      <c r="AA59" s="70"/>
      <c r="AB59" s="70"/>
      <c r="AC59" s="70"/>
      <c r="AD59" s="70"/>
      <c r="AE59" s="70"/>
      <c r="AF59" s="70"/>
      <c r="AG59" s="70"/>
      <c r="AH59" s="70"/>
      <c r="AI59" s="70"/>
      <c r="AJ59" s="70"/>
      <c r="AK59" s="70"/>
      <c r="AL59" s="70"/>
      <c r="AM59" s="70"/>
      <c r="AN59" s="70"/>
      <c r="AO59" s="70"/>
      <c r="AP59" s="70"/>
      <c r="AQ59" s="70"/>
    </row>
    <row r="60" spans="1:43" ht="15">
      <c r="A60" s="70"/>
      <c r="B60" s="70"/>
      <c r="C60" s="70"/>
      <c r="D60" s="397" t="s">
        <v>737</v>
      </c>
      <c r="E60" s="70"/>
      <c r="F60" s="70"/>
      <c r="G60" s="70"/>
      <c r="H60" s="348"/>
      <c r="I60" s="390"/>
      <c r="J60" s="348"/>
      <c r="K60" s="70"/>
      <c r="L60" s="70"/>
      <c r="M60" s="70"/>
      <c r="N60" s="70"/>
      <c r="O60" s="70"/>
      <c r="P60" s="70"/>
      <c r="Q60" s="70"/>
      <c r="R60" s="348"/>
      <c r="S60" s="70"/>
      <c r="T60" s="70"/>
      <c r="U60" s="70"/>
      <c r="V60" s="70"/>
      <c r="W60" s="70"/>
      <c r="X60" s="70"/>
      <c r="Y60" s="348"/>
      <c r="Z60" s="70"/>
      <c r="AA60" s="70"/>
      <c r="AB60" s="70"/>
      <c r="AC60" s="70"/>
      <c r="AD60" s="70"/>
      <c r="AE60" s="70"/>
      <c r="AF60" s="70"/>
      <c r="AG60" s="70"/>
      <c r="AH60" s="70"/>
      <c r="AI60" s="70"/>
      <c r="AJ60" s="70"/>
      <c r="AK60" s="70"/>
      <c r="AL60" s="70"/>
      <c r="AM60" s="70"/>
      <c r="AN60" s="70"/>
      <c r="AO60" s="70"/>
      <c r="AP60" s="70"/>
      <c r="AQ60" s="70"/>
    </row>
    <row r="61" spans="1:43" ht="15">
      <c r="A61" s="70"/>
      <c r="B61" s="70"/>
      <c r="C61" s="70"/>
      <c r="D61" s="397" t="s">
        <v>738</v>
      </c>
      <c r="E61" s="70"/>
      <c r="F61" s="70"/>
      <c r="G61" s="70"/>
      <c r="H61" s="348"/>
      <c r="I61" s="390"/>
      <c r="J61" s="348"/>
      <c r="K61" s="70"/>
      <c r="L61" s="70"/>
      <c r="M61" s="70"/>
      <c r="N61" s="70"/>
      <c r="O61" s="70"/>
      <c r="P61" s="70"/>
      <c r="Q61" s="70"/>
      <c r="R61" s="348"/>
      <c r="S61" s="70"/>
      <c r="T61" s="70"/>
      <c r="U61" s="70"/>
      <c r="V61" s="70"/>
      <c r="W61" s="70"/>
      <c r="X61" s="70"/>
      <c r="Y61" s="348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</row>
    <row r="62" spans="1:43" ht="15">
      <c r="A62" s="70"/>
      <c r="B62" s="70"/>
      <c r="C62" s="70"/>
      <c r="D62" s="397" t="s">
        <v>739</v>
      </c>
      <c r="E62" s="70"/>
      <c r="F62" s="70"/>
      <c r="G62" s="70"/>
      <c r="H62" s="348"/>
      <c r="I62" s="390"/>
      <c r="J62" s="348"/>
      <c r="K62" s="70"/>
      <c r="L62" s="70"/>
      <c r="M62" s="70"/>
      <c r="N62" s="70"/>
      <c r="O62" s="70"/>
      <c r="P62" s="70"/>
      <c r="Q62" s="70"/>
      <c r="R62" s="348"/>
      <c r="S62" s="70"/>
      <c r="T62" s="70"/>
      <c r="U62" s="70"/>
      <c r="V62" s="70"/>
      <c r="W62" s="70"/>
      <c r="X62" s="70"/>
      <c r="Y62" s="348"/>
      <c r="Z62" s="70"/>
      <c r="AA62" s="70"/>
      <c r="AB62" s="70"/>
      <c r="AC62" s="70"/>
      <c r="AD62" s="70"/>
      <c r="AE62" s="70"/>
      <c r="AF62" s="70"/>
      <c r="AG62" s="70"/>
      <c r="AH62" s="70"/>
      <c r="AI62" s="70"/>
      <c r="AJ62" s="70"/>
      <c r="AK62" s="70"/>
      <c r="AL62" s="70"/>
      <c r="AM62" s="70"/>
      <c r="AN62" s="70"/>
      <c r="AO62" s="70"/>
      <c r="AP62" s="70"/>
      <c r="AQ62" s="70"/>
    </row>
    <row r="63" spans="1:43" ht="13">
      <c r="A63" s="70"/>
      <c r="B63" s="70"/>
      <c r="C63" s="390"/>
      <c r="D63" s="70"/>
      <c r="E63" s="70"/>
      <c r="F63" s="70"/>
      <c r="G63" s="70"/>
      <c r="H63" s="70"/>
      <c r="I63" s="390"/>
      <c r="J63" s="348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  <c r="AJ63" s="70"/>
      <c r="AK63" s="70"/>
      <c r="AL63" s="70"/>
      <c r="AM63" s="70"/>
      <c r="AN63" s="70"/>
      <c r="AO63" s="70"/>
      <c r="AP63" s="70"/>
      <c r="AQ63" s="70"/>
    </row>
    <row r="64" spans="1:43" ht="13">
      <c r="A64" s="70"/>
      <c r="B64" s="70"/>
      <c r="C64" s="390"/>
      <c r="D64" s="70"/>
      <c r="E64" s="70"/>
      <c r="F64" s="70"/>
      <c r="G64" s="70"/>
      <c r="H64" s="70"/>
      <c r="I64" s="390"/>
      <c r="J64" s="348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  <c r="AJ64" s="70"/>
      <c r="AK64" s="70"/>
      <c r="AL64" s="70"/>
      <c r="AM64" s="70"/>
      <c r="AN64" s="70"/>
      <c r="AO64" s="70"/>
      <c r="AP64" s="70"/>
      <c r="AQ64" s="70"/>
    </row>
    <row r="65" spans="1:43" ht="13">
      <c r="A65" s="70"/>
      <c r="B65" s="70"/>
      <c r="C65" s="390"/>
      <c r="D65" s="70"/>
      <c r="E65" s="70"/>
      <c r="F65" s="70"/>
      <c r="G65" s="70"/>
      <c r="H65" s="70"/>
      <c r="I65" s="390"/>
      <c r="J65" s="348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70"/>
      <c r="AK65" s="70"/>
      <c r="AL65" s="70"/>
      <c r="AM65" s="70"/>
      <c r="AN65" s="70"/>
      <c r="AO65" s="70"/>
      <c r="AP65" s="70"/>
      <c r="AQ65" s="70"/>
    </row>
    <row r="66" spans="1:43" ht="13">
      <c r="A66" s="70"/>
      <c r="B66" s="70"/>
      <c r="C66" s="390"/>
      <c r="D66" s="70"/>
      <c r="E66" s="70"/>
      <c r="F66" s="70"/>
      <c r="G66" s="70"/>
      <c r="H66" s="70"/>
      <c r="I66" s="390"/>
      <c r="J66" s="348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</row>
    <row r="67" spans="1:43" ht="13">
      <c r="A67" s="70"/>
      <c r="B67" s="70"/>
      <c r="C67" s="390"/>
      <c r="D67" s="70"/>
      <c r="E67" s="70"/>
      <c r="F67" s="70"/>
      <c r="G67" s="70"/>
      <c r="H67" s="70"/>
      <c r="I67" s="390"/>
      <c r="J67" s="348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</row>
    <row r="68" spans="1:43" ht="13">
      <c r="A68" s="70"/>
      <c r="B68" s="70"/>
      <c r="C68" s="390"/>
      <c r="D68" s="70"/>
      <c r="E68" s="70"/>
      <c r="F68" s="70"/>
      <c r="G68" s="70"/>
      <c r="H68" s="70"/>
      <c r="I68" s="390"/>
      <c r="J68" s="348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</row>
    <row r="69" spans="1:43" ht="13">
      <c r="A69" s="70"/>
      <c r="B69" s="70"/>
      <c r="C69" s="390"/>
      <c r="D69" s="70"/>
      <c r="E69" s="70"/>
      <c r="F69" s="70"/>
      <c r="G69" s="70"/>
      <c r="H69" s="70"/>
      <c r="I69" s="390"/>
      <c r="J69" s="348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</row>
    <row r="70" spans="1:43" ht="13">
      <c r="A70" s="70"/>
      <c r="B70" s="70"/>
      <c r="C70" s="390"/>
      <c r="D70" s="70"/>
      <c r="E70" s="70"/>
      <c r="F70" s="70"/>
      <c r="G70" s="70"/>
      <c r="H70" s="70"/>
      <c r="I70" s="390"/>
      <c r="J70" s="348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</row>
    <row r="71" spans="1:43" ht="13">
      <c r="A71" s="70"/>
      <c r="B71" s="70"/>
      <c r="C71" s="390"/>
      <c r="D71" s="70"/>
      <c r="E71" s="70"/>
      <c r="F71" s="70"/>
      <c r="G71" s="70"/>
      <c r="H71" s="70"/>
      <c r="I71" s="390"/>
      <c r="J71" s="348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</row>
    <row r="72" spans="1:43" ht="13">
      <c r="A72" s="70"/>
      <c r="B72" s="70"/>
      <c r="C72" s="390"/>
      <c r="D72" s="70"/>
      <c r="E72" s="70"/>
      <c r="F72" s="70"/>
      <c r="G72" s="70"/>
      <c r="H72" s="70"/>
      <c r="I72" s="390"/>
      <c r="J72" s="348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</row>
    <row r="73" spans="1:43" ht="13">
      <c r="A73" s="70"/>
      <c r="B73" s="70"/>
      <c r="C73" s="390"/>
      <c r="D73" s="70"/>
      <c r="E73" s="70"/>
      <c r="F73" s="70"/>
      <c r="G73" s="70"/>
      <c r="H73" s="70"/>
      <c r="I73" s="390"/>
      <c r="J73" s="348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</row>
    <row r="74" spans="1:43" ht="13">
      <c r="A74" s="70"/>
      <c r="B74" s="70"/>
      <c r="C74" s="390"/>
      <c r="D74" s="70"/>
      <c r="E74" s="70"/>
      <c r="F74" s="70"/>
      <c r="G74" s="70"/>
      <c r="H74" s="70"/>
      <c r="I74" s="390"/>
      <c r="J74" s="348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</row>
    <row r="75" spans="1:43" ht="13">
      <c r="A75" s="70"/>
      <c r="B75" s="70"/>
      <c r="C75" s="390"/>
      <c r="D75" s="70"/>
      <c r="E75" s="70"/>
      <c r="F75" s="70"/>
      <c r="G75" s="70"/>
      <c r="H75" s="70"/>
      <c r="I75" s="390"/>
      <c r="J75" s="348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</row>
    <row r="76" spans="1:43" ht="13">
      <c r="A76" s="70"/>
      <c r="B76" s="70"/>
      <c r="C76" s="390"/>
      <c r="D76" s="70"/>
      <c r="E76" s="70"/>
      <c r="F76" s="70"/>
      <c r="G76" s="70"/>
      <c r="H76" s="70"/>
      <c r="I76" s="390"/>
      <c r="J76" s="348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</row>
    <row r="77" spans="1:43" ht="13">
      <c r="A77" s="70"/>
      <c r="B77" s="70"/>
      <c r="C77" s="390"/>
      <c r="D77" s="70"/>
      <c r="E77" s="70"/>
      <c r="F77" s="70"/>
      <c r="G77" s="70"/>
      <c r="H77" s="70"/>
      <c r="I77" s="390"/>
      <c r="J77" s="348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</row>
    <row r="78" spans="1:43" ht="13">
      <c r="A78" s="70"/>
      <c r="B78" s="70"/>
      <c r="C78" s="390"/>
      <c r="D78" s="70"/>
      <c r="E78" s="70"/>
      <c r="F78" s="70"/>
      <c r="G78" s="70"/>
      <c r="H78" s="70"/>
      <c r="I78" s="390"/>
      <c r="J78" s="348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</row>
    <row r="79" spans="1:43" ht="13">
      <c r="A79" s="70"/>
      <c r="B79" s="70"/>
      <c r="C79" s="390"/>
      <c r="D79" s="70"/>
      <c r="E79" s="70"/>
      <c r="F79" s="70"/>
      <c r="G79" s="70"/>
      <c r="H79" s="70"/>
      <c r="I79" s="390"/>
      <c r="J79" s="348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</row>
    <row r="80" spans="1:43" ht="13">
      <c r="A80" s="70"/>
      <c r="B80" s="70"/>
      <c r="C80" s="390"/>
      <c r="D80" s="70"/>
      <c r="E80" s="70"/>
      <c r="F80" s="70"/>
      <c r="G80" s="70"/>
      <c r="H80" s="70"/>
      <c r="I80" s="390"/>
      <c r="J80" s="348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</row>
    <row r="81" spans="1:43" ht="13">
      <c r="A81" s="70"/>
      <c r="B81" s="70"/>
      <c r="C81" s="390"/>
      <c r="D81" s="70"/>
      <c r="E81" s="70"/>
      <c r="F81" s="70"/>
      <c r="G81" s="70"/>
      <c r="H81" s="70"/>
      <c r="I81" s="390"/>
      <c r="J81" s="348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</row>
    <row r="82" spans="1:43" ht="13">
      <c r="A82" s="70"/>
      <c r="B82" s="70"/>
      <c r="C82" s="390"/>
      <c r="D82" s="70"/>
      <c r="E82" s="70"/>
      <c r="F82" s="70"/>
      <c r="G82" s="70"/>
      <c r="H82" s="70"/>
      <c r="I82" s="390"/>
      <c r="J82" s="348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</row>
    <row r="83" spans="1:43" ht="13">
      <c r="A83" s="70"/>
      <c r="B83" s="70"/>
      <c r="C83" s="390"/>
      <c r="D83" s="70"/>
      <c r="E83" s="70"/>
      <c r="F83" s="70"/>
      <c r="G83" s="70"/>
      <c r="H83" s="70"/>
      <c r="I83" s="390"/>
      <c r="J83" s="348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</row>
    <row r="84" spans="1:43" ht="13">
      <c r="A84" s="70"/>
      <c r="B84" s="70"/>
      <c r="C84" s="390"/>
      <c r="D84" s="70"/>
      <c r="E84" s="70"/>
      <c r="F84" s="70"/>
      <c r="G84" s="70"/>
      <c r="H84" s="70"/>
      <c r="I84" s="390"/>
      <c r="J84" s="348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</row>
    <row r="85" spans="1:43" ht="13">
      <c r="A85" s="70"/>
      <c r="B85" s="70"/>
      <c r="C85" s="390"/>
      <c r="D85" s="70"/>
      <c r="E85" s="70"/>
      <c r="F85" s="70"/>
      <c r="G85" s="70"/>
      <c r="H85" s="70"/>
      <c r="I85" s="390"/>
      <c r="J85" s="348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</row>
    <row r="86" spans="1:43" ht="13">
      <c r="A86" s="70"/>
      <c r="B86" s="70"/>
      <c r="C86" s="390"/>
      <c r="D86" s="70"/>
      <c r="E86" s="70"/>
      <c r="F86" s="70"/>
      <c r="G86" s="70"/>
      <c r="H86" s="70"/>
      <c r="I86" s="390"/>
      <c r="J86" s="348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</row>
    <row r="87" spans="1:43" ht="13">
      <c r="A87" s="2"/>
      <c r="B87" s="2"/>
      <c r="C87" s="3"/>
      <c r="D87" s="2"/>
      <c r="E87" s="2"/>
      <c r="F87" s="2"/>
      <c r="G87" s="2"/>
      <c r="H87" s="2"/>
      <c r="I87" s="3"/>
      <c r="J87" s="241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</row>
    <row r="88" spans="1:43" ht="13">
      <c r="A88" s="2"/>
      <c r="B88" s="2"/>
      <c r="C88" s="3"/>
      <c r="D88" s="2"/>
      <c r="E88" s="2"/>
      <c r="F88" s="2"/>
      <c r="G88" s="2"/>
      <c r="H88" s="2"/>
      <c r="I88" s="3"/>
      <c r="J88" s="241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</row>
    <row r="89" spans="1:43" ht="13">
      <c r="A89" s="2"/>
      <c r="B89" s="2"/>
      <c r="C89" s="3"/>
      <c r="D89" s="2"/>
      <c r="E89" s="2"/>
      <c r="F89" s="2"/>
      <c r="G89" s="2"/>
      <c r="H89" s="2"/>
      <c r="I89" s="3"/>
      <c r="J89" s="241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</row>
    <row r="90" spans="1:43" ht="13">
      <c r="A90" s="2"/>
      <c r="B90" s="2"/>
      <c r="C90" s="3"/>
      <c r="D90" s="2"/>
      <c r="E90" s="2"/>
      <c r="F90" s="2"/>
      <c r="G90" s="2"/>
      <c r="H90" s="2"/>
      <c r="I90" s="3"/>
      <c r="J90" s="241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</row>
    <row r="91" spans="1:43" ht="13">
      <c r="A91" s="2"/>
      <c r="B91" s="2"/>
      <c r="C91" s="3"/>
      <c r="D91" s="2"/>
      <c r="E91" s="2"/>
      <c r="F91" s="2"/>
      <c r="G91" s="2"/>
      <c r="H91" s="2"/>
      <c r="I91" s="3"/>
      <c r="J91" s="241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</row>
    <row r="92" spans="1:43" ht="13">
      <c r="A92" s="2"/>
      <c r="B92" s="2"/>
      <c r="C92" s="3"/>
      <c r="D92" s="2"/>
      <c r="E92" s="2"/>
      <c r="F92" s="2"/>
      <c r="G92" s="2"/>
      <c r="H92" s="2"/>
      <c r="I92" s="3"/>
      <c r="J92" s="241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</row>
    <row r="93" spans="1:43" ht="13">
      <c r="A93" s="2"/>
      <c r="B93" s="2"/>
      <c r="C93" s="3"/>
      <c r="D93" s="2"/>
      <c r="E93" s="2"/>
      <c r="F93" s="2"/>
      <c r="G93" s="2"/>
      <c r="H93" s="2"/>
      <c r="I93" s="3"/>
      <c r="J93" s="241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</row>
    <row r="94" spans="1:43" ht="13">
      <c r="A94" s="2"/>
      <c r="B94" s="2"/>
      <c r="C94" s="3"/>
      <c r="D94" s="2"/>
      <c r="E94" s="2"/>
      <c r="F94" s="2"/>
      <c r="G94" s="2"/>
      <c r="H94" s="2"/>
      <c r="I94" s="3"/>
      <c r="J94" s="241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</row>
    <row r="95" spans="1:43" ht="13">
      <c r="A95" s="2"/>
      <c r="B95" s="2"/>
      <c r="C95" s="3"/>
      <c r="D95" s="2"/>
      <c r="E95" s="2"/>
      <c r="F95" s="2"/>
      <c r="G95" s="2"/>
      <c r="H95" s="2"/>
      <c r="I95" s="3"/>
      <c r="J95" s="241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</row>
    <row r="96" spans="1:43" ht="13">
      <c r="A96" s="2"/>
      <c r="B96" s="2"/>
      <c r="C96" s="3"/>
      <c r="D96" s="2"/>
      <c r="E96" s="2"/>
      <c r="F96" s="2"/>
      <c r="G96" s="2"/>
      <c r="H96" s="2"/>
      <c r="I96" s="3"/>
      <c r="J96" s="241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</row>
    <row r="97" spans="1:43" ht="13">
      <c r="A97" s="2"/>
      <c r="B97" s="2"/>
      <c r="C97" s="3"/>
      <c r="D97" s="2"/>
      <c r="E97" s="2"/>
      <c r="F97" s="2"/>
      <c r="G97" s="2"/>
      <c r="H97" s="2"/>
      <c r="I97" s="3"/>
      <c r="J97" s="241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</row>
    <row r="98" spans="1:43" ht="13">
      <c r="A98" s="2"/>
      <c r="B98" s="2"/>
      <c r="C98" s="3"/>
      <c r="D98" s="2"/>
      <c r="E98" s="2"/>
      <c r="F98" s="2"/>
      <c r="G98" s="2"/>
      <c r="H98" s="2"/>
      <c r="I98" s="3"/>
      <c r="J98" s="241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</row>
    <row r="99" spans="1:43" ht="13">
      <c r="A99" s="2"/>
      <c r="B99" s="2"/>
      <c r="C99" s="3"/>
      <c r="D99" s="2"/>
      <c r="E99" s="2"/>
      <c r="F99" s="2"/>
      <c r="G99" s="2"/>
      <c r="H99" s="2"/>
      <c r="I99" s="3"/>
      <c r="J99" s="241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</row>
    <row r="100" spans="1:43" ht="13">
      <c r="A100" s="2"/>
      <c r="B100" s="2"/>
      <c r="C100" s="3"/>
      <c r="D100" s="2"/>
      <c r="E100" s="2"/>
      <c r="F100" s="2"/>
      <c r="G100" s="2"/>
      <c r="H100" s="2"/>
      <c r="I100" s="3"/>
      <c r="J100" s="241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</row>
    <row r="101" spans="1:43" ht="13">
      <c r="A101" s="2"/>
      <c r="B101" s="2"/>
      <c r="C101" s="3"/>
      <c r="D101" s="2"/>
      <c r="E101" s="2"/>
      <c r="F101" s="2"/>
      <c r="G101" s="2"/>
      <c r="H101" s="2"/>
      <c r="I101" s="3"/>
      <c r="J101" s="241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</row>
    <row r="102" spans="1:43" ht="13">
      <c r="A102" s="2"/>
      <c r="B102" s="2"/>
      <c r="C102" s="3"/>
      <c r="D102" s="2"/>
      <c r="E102" s="2"/>
      <c r="F102" s="2"/>
      <c r="G102" s="2"/>
      <c r="H102" s="2"/>
      <c r="I102" s="3"/>
      <c r="J102" s="241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</row>
    <row r="103" spans="1:43" ht="13">
      <c r="A103" s="2"/>
      <c r="B103" s="2"/>
      <c r="C103" s="3"/>
      <c r="D103" s="2"/>
      <c r="E103" s="2"/>
      <c r="F103" s="2"/>
      <c r="G103" s="2"/>
      <c r="H103" s="2"/>
      <c r="I103" s="3"/>
      <c r="J103" s="241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</row>
    <row r="104" spans="1:43" ht="13">
      <c r="A104" s="2"/>
      <c r="B104" s="2"/>
      <c r="C104" s="3"/>
      <c r="D104" s="2"/>
      <c r="E104" s="2"/>
      <c r="F104" s="2"/>
      <c r="G104" s="2"/>
      <c r="H104" s="2"/>
      <c r="I104" s="3"/>
      <c r="J104" s="241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</row>
    <row r="105" spans="1:43" ht="13">
      <c r="A105" s="2"/>
      <c r="B105" s="2"/>
      <c r="C105" s="3"/>
      <c r="D105" s="2"/>
      <c r="E105" s="2"/>
      <c r="F105" s="2"/>
      <c r="G105" s="2"/>
      <c r="H105" s="2"/>
      <c r="I105" s="3"/>
      <c r="J105" s="241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</row>
    <row r="106" spans="1:43" ht="13">
      <c r="A106" s="2"/>
      <c r="B106" s="2"/>
      <c r="C106" s="3"/>
      <c r="D106" s="2"/>
      <c r="E106" s="2"/>
      <c r="F106" s="2"/>
      <c r="G106" s="2"/>
      <c r="H106" s="2"/>
      <c r="I106" s="3"/>
      <c r="J106" s="241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</row>
    <row r="107" spans="1:43" ht="13">
      <c r="A107" s="2"/>
      <c r="B107" s="2"/>
      <c r="C107" s="3"/>
      <c r="D107" s="2"/>
      <c r="E107" s="2"/>
      <c r="F107" s="2"/>
      <c r="G107" s="2"/>
      <c r="H107" s="2"/>
      <c r="I107" s="3"/>
      <c r="J107" s="241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</row>
    <row r="108" spans="1:43" ht="13">
      <c r="A108" s="2"/>
      <c r="B108" s="2"/>
      <c r="C108" s="3"/>
      <c r="D108" s="2"/>
      <c r="E108" s="2"/>
      <c r="F108" s="2"/>
      <c r="G108" s="2"/>
      <c r="H108" s="2"/>
      <c r="I108" s="3"/>
      <c r="J108" s="241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</row>
    <row r="109" spans="1:43" ht="13">
      <c r="A109" s="2"/>
      <c r="B109" s="2"/>
      <c r="C109" s="3"/>
      <c r="D109" s="2"/>
      <c r="E109" s="2"/>
      <c r="F109" s="2"/>
      <c r="G109" s="2"/>
      <c r="H109" s="2"/>
      <c r="I109" s="3"/>
      <c r="J109" s="241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</row>
    <row r="110" spans="1:43" ht="13">
      <c r="A110" s="2"/>
      <c r="B110" s="2"/>
      <c r="C110" s="3"/>
      <c r="D110" s="2"/>
      <c r="E110" s="2"/>
      <c r="F110" s="2"/>
      <c r="G110" s="2"/>
      <c r="H110" s="2"/>
      <c r="I110" s="3"/>
      <c r="J110" s="241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</row>
    <row r="111" spans="1:43" ht="13">
      <c r="A111" s="2"/>
      <c r="B111" s="2"/>
      <c r="C111" s="3"/>
      <c r="D111" s="2"/>
      <c r="E111" s="2"/>
      <c r="F111" s="2"/>
      <c r="G111" s="2"/>
      <c r="H111" s="2"/>
      <c r="I111" s="3"/>
      <c r="J111" s="241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</row>
    <row r="112" spans="1:43" ht="13">
      <c r="A112" s="2"/>
      <c r="B112" s="2"/>
      <c r="C112" s="3"/>
      <c r="D112" s="2"/>
      <c r="E112" s="2"/>
      <c r="F112" s="2"/>
      <c r="G112" s="2"/>
      <c r="H112" s="2"/>
      <c r="I112" s="3"/>
      <c r="J112" s="241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</row>
    <row r="113" spans="1:43" ht="13">
      <c r="A113" s="2"/>
      <c r="B113" s="2"/>
      <c r="C113" s="3"/>
      <c r="D113" s="2"/>
      <c r="E113" s="2"/>
      <c r="F113" s="2"/>
      <c r="G113" s="2"/>
      <c r="H113" s="2"/>
      <c r="I113" s="3"/>
      <c r="J113" s="241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</row>
    <row r="114" spans="1:43" ht="13">
      <c r="A114" s="2"/>
      <c r="B114" s="2"/>
      <c r="C114" s="3"/>
      <c r="D114" s="2"/>
      <c r="E114" s="2"/>
      <c r="F114" s="2"/>
      <c r="G114" s="2"/>
      <c r="H114" s="2"/>
      <c r="I114" s="3"/>
      <c r="J114" s="241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</row>
    <row r="115" spans="1:43" ht="13">
      <c r="A115" s="2"/>
      <c r="B115" s="2"/>
      <c r="C115" s="3"/>
      <c r="D115" s="2"/>
      <c r="E115" s="2"/>
      <c r="F115" s="2"/>
      <c r="G115" s="2"/>
      <c r="H115" s="2"/>
      <c r="I115" s="3"/>
      <c r="J115" s="241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</row>
    <row r="116" spans="1:43" ht="13">
      <c r="A116" s="2"/>
      <c r="B116" s="2"/>
      <c r="C116" s="3"/>
      <c r="D116" s="2"/>
      <c r="E116" s="2"/>
      <c r="F116" s="2"/>
      <c r="G116" s="2"/>
      <c r="H116" s="2"/>
      <c r="I116" s="3"/>
      <c r="J116" s="241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</row>
    <row r="117" spans="1:43" ht="13">
      <c r="A117" s="2"/>
      <c r="B117" s="2"/>
      <c r="C117" s="3"/>
      <c r="D117" s="2"/>
      <c r="E117" s="2"/>
      <c r="F117" s="2"/>
      <c r="G117" s="2"/>
      <c r="H117" s="2"/>
      <c r="I117" s="3"/>
      <c r="J117" s="241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</row>
    <row r="118" spans="1:43" ht="13">
      <c r="A118" s="2"/>
      <c r="B118" s="2"/>
      <c r="C118" s="3"/>
      <c r="D118" s="2"/>
      <c r="E118" s="2"/>
      <c r="F118" s="2"/>
      <c r="G118" s="2"/>
      <c r="H118" s="2"/>
      <c r="I118" s="3"/>
      <c r="J118" s="241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</row>
    <row r="119" spans="1:43" ht="13">
      <c r="A119" s="2"/>
      <c r="B119" s="2"/>
      <c r="C119" s="3"/>
      <c r="D119" s="2"/>
      <c r="E119" s="2"/>
      <c r="F119" s="2"/>
      <c r="G119" s="2"/>
      <c r="H119" s="2"/>
      <c r="I119" s="3"/>
      <c r="J119" s="241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</row>
    <row r="120" spans="1:43" ht="13">
      <c r="A120" s="2"/>
      <c r="B120" s="2"/>
      <c r="C120" s="3"/>
      <c r="D120" s="2"/>
      <c r="E120" s="2"/>
      <c r="F120" s="2"/>
      <c r="G120" s="2"/>
      <c r="H120" s="2"/>
      <c r="I120" s="3"/>
      <c r="J120" s="241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</row>
    <row r="121" spans="1:43" ht="13">
      <c r="A121" s="2"/>
      <c r="B121" s="2"/>
      <c r="C121" s="3"/>
      <c r="D121" s="2"/>
      <c r="E121" s="2"/>
      <c r="F121" s="2"/>
      <c r="G121" s="2"/>
      <c r="H121" s="2"/>
      <c r="I121" s="3"/>
      <c r="J121" s="241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</row>
    <row r="122" spans="1:43" ht="13">
      <c r="A122" s="2"/>
      <c r="B122" s="2"/>
      <c r="C122" s="3"/>
      <c r="D122" s="2"/>
      <c r="E122" s="2"/>
      <c r="F122" s="2"/>
      <c r="G122" s="2"/>
      <c r="H122" s="2"/>
      <c r="I122" s="3"/>
      <c r="J122" s="241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</row>
    <row r="123" spans="1:43" ht="13">
      <c r="A123" s="2"/>
      <c r="B123" s="2"/>
      <c r="C123" s="3"/>
      <c r="D123" s="2"/>
      <c r="E123" s="2"/>
      <c r="F123" s="2"/>
      <c r="G123" s="2"/>
      <c r="H123" s="2"/>
      <c r="I123" s="3"/>
      <c r="J123" s="241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</row>
    <row r="124" spans="1:43" ht="13">
      <c r="A124" s="2"/>
      <c r="B124" s="2"/>
      <c r="C124" s="3"/>
      <c r="D124" s="2"/>
      <c r="E124" s="2"/>
      <c r="F124" s="2"/>
      <c r="G124" s="2"/>
      <c r="H124" s="2"/>
      <c r="I124" s="3"/>
      <c r="J124" s="241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</row>
    <row r="125" spans="1:43" ht="13">
      <c r="A125" s="2"/>
      <c r="B125" s="2"/>
      <c r="C125" s="3"/>
      <c r="D125" s="2"/>
      <c r="E125" s="2"/>
      <c r="F125" s="2"/>
      <c r="G125" s="2"/>
      <c r="H125" s="2"/>
      <c r="I125" s="3"/>
      <c r="J125" s="241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</row>
    <row r="126" spans="1:43" ht="13">
      <c r="A126" s="2"/>
      <c r="B126" s="2"/>
      <c r="C126" s="3"/>
      <c r="D126" s="2"/>
      <c r="E126" s="2"/>
      <c r="F126" s="2"/>
      <c r="G126" s="2"/>
      <c r="H126" s="2"/>
      <c r="I126" s="3"/>
      <c r="J126" s="241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</row>
    <row r="127" spans="1:43" ht="13">
      <c r="A127" s="2"/>
      <c r="B127" s="2"/>
      <c r="C127" s="3"/>
      <c r="D127" s="2"/>
      <c r="E127" s="2"/>
      <c r="F127" s="2"/>
      <c r="G127" s="2"/>
      <c r="H127" s="2"/>
      <c r="I127" s="3"/>
      <c r="J127" s="241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</row>
    <row r="128" spans="1:43" ht="13">
      <c r="A128" s="2"/>
      <c r="B128" s="2"/>
      <c r="C128" s="3"/>
      <c r="D128" s="2"/>
      <c r="E128" s="2"/>
      <c r="F128" s="2"/>
      <c r="G128" s="2"/>
      <c r="H128" s="2"/>
      <c r="I128" s="3"/>
      <c r="J128" s="241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</row>
    <row r="129" spans="1:43" ht="13">
      <c r="A129" s="2"/>
      <c r="B129" s="2"/>
      <c r="C129" s="3"/>
      <c r="D129" s="2"/>
      <c r="E129" s="2"/>
      <c r="F129" s="2"/>
      <c r="G129" s="2"/>
      <c r="H129" s="2"/>
      <c r="I129" s="3"/>
      <c r="J129" s="241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</row>
    <row r="130" spans="1:43" ht="13">
      <c r="A130" s="2"/>
      <c r="B130" s="2"/>
      <c r="C130" s="3"/>
      <c r="D130" s="2"/>
      <c r="E130" s="2"/>
      <c r="F130" s="2"/>
      <c r="G130" s="2"/>
      <c r="H130" s="2"/>
      <c r="I130" s="3"/>
      <c r="J130" s="241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</row>
    <row r="131" spans="1:43" ht="13">
      <c r="A131" s="2"/>
      <c r="B131" s="2"/>
      <c r="C131" s="3"/>
      <c r="D131" s="2"/>
      <c r="E131" s="2"/>
      <c r="F131" s="2"/>
      <c r="G131" s="2"/>
      <c r="H131" s="2"/>
      <c r="I131" s="3"/>
      <c r="J131" s="241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</row>
    <row r="132" spans="1:43" ht="13">
      <c r="A132" s="2"/>
      <c r="B132" s="2"/>
      <c r="C132" s="3"/>
      <c r="D132" s="2"/>
      <c r="E132" s="2"/>
      <c r="F132" s="2"/>
      <c r="G132" s="2"/>
      <c r="H132" s="2"/>
      <c r="I132" s="3"/>
      <c r="J132" s="241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</row>
    <row r="133" spans="1:43" ht="13">
      <c r="A133" s="2"/>
      <c r="B133" s="2"/>
      <c r="C133" s="3"/>
      <c r="D133" s="2"/>
      <c r="E133" s="2"/>
      <c r="F133" s="2"/>
      <c r="G133" s="2"/>
      <c r="H133" s="2"/>
      <c r="I133" s="3"/>
      <c r="J133" s="241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</row>
    <row r="134" spans="1:43" ht="13">
      <c r="A134" s="2"/>
      <c r="B134" s="2"/>
      <c r="C134" s="3"/>
      <c r="D134" s="2"/>
      <c r="E134" s="2"/>
      <c r="F134" s="2"/>
      <c r="G134" s="2"/>
      <c r="H134" s="2"/>
      <c r="I134" s="3"/>
      <c r="J134" s="241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</row>
    <row r="135" spans="1:43" ht="13">
      <c r="A135" s="2"/>
      <c r="B135" s="2"/>
      <c r="C135" s="3"/>
      <c r="D135" s="2"/>
      <c r="E135" s="2"/>
      <c r="F135" s="2"/>
      <c r="G135" s="2"/>
      <c r="H135" s="2"/>
      <c r="I135" s="3"/>
      <c r="J135" s="241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</row>
    <row r="136" spans="1:43" ht="13">
      <c r="A136" s="2"/>
      <c r="B136" s="2"/>
      <c r="C136" s="3"/>
      <c r="D136" s="2"/>
      <c r="E136" s="2"/>
      <c r="F136" s="2"/>
      <c r="G136" s="2"/>
      <c r="H136" s="2"/>
      <c r="I136" s="3"/>
      <c r="J136" s="241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</row>
    <row r="137" spans="1:43" ht="13">
      <c r="A137" s="2"/>
      <c r="B137" s="2"/>
      <c r="C137" s="3"/>
      <c r="D137" s="2"/>
      <c r="E137" s="2"/>
      <c r="F137" s="2"/>
      <c r="G137" s="2"/>
      <c r="H137" s="2"/>
      <c r="I137" s="3"/>
      <c r="J137" s="241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</row>
    <row r="138" spans="1:43" ht="13">
      <c r="A138" s="2"/>
      <c r="B138" s="2"/>
      <c r="C138" s="3"/>
      <c r="D138" s="2"/>
      <c r="E138" s="2"/>
      <c r="F138" s="2"/>
      <c r="G138" s="2"/>
      <c r="H138" s="2"/>
      <c r="I138" s="3"/>
      <c r="J138" s="241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</row>
    <row r="139" spans="1:43" ht="13">
      <c r="A139" s="2"/>
      <c r="B139" s="2"/>
      <c r="C139" s="3"/>
      <c r="D139" s="2"/>
      <c r="E139" s="2"/>
      <c r="F139" s="2"/>
      <c r="G139" s="2"/>
      <c r="H139" s="2"/>
      <c r="I139" s="3"/>
      <c r="J139" s="241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</row>
    <row r="140" spans="1:43" ht="13">
      <c r="A140" s="2"/>
      <c r="B140" s="2"/>
      <c r="C140" s="3"/>
      <c r="D140" s="2"/>
      <c r="E140" s="2"/>
      <c r="F140" s="2"/>
      <c r="G140" s="2"/>
      <c r="H140" s="2"/>
      <c r="I140" s="3"/>
      <c r="J140" s="241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</row>
    <row r="141" spans="1:43" ht="13">
      <c r="A141" s="2"/>
      <c r="B141" s="2"/>
      <c r="C141" s="3"/>
      <c r="D141" s="2"/>
      <c r="E141" s="2"/>
      <c r="F141" s="2"/>
      <c r="G141" s="2"/>
      <c r="H141" s="2"/>
      <c r="I141" s="3"/>
      <c r="J141" s="241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</row>
    <row r="142" spans="1:43" ht="13">
      <c r="A142" s="2"/>
      <c r="B142" s="2"/>
      <c r="C142" s="3"/>
      <c r="D142" s="2"/>
      <c r="E142" s="2"/>
      <c r="F142" s="2"/>
      <c r="G142" s="2"/>
      <c r="H142" s="2"/>
      <c r="I142" s="3"/>
      <c r="J142" s="241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</row>
    <row r="143" spans="1:43" ht="13">
      <c r="A143" s="2"/>
      <c r="B143" s="2"/>
      <c r="C143" s="3"/>
      <c r="D143" s="2"/>
      <c r="E143" s="2"/>
      <c r="F143" s="2"/>
      <c r="G143" s="2"/>
      <c r="H143" s="2"/>
      <c r="I143" s="3"/>
      <c r="J143" s="241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</row>
    <row r="144" spans="1:43" ht="13">
      <c r="A144" s="2"/>
      <c r="B144" s="2"/>
      <c r="C144" s="3"/>
      <c r="D144" s="2"/>
      <c r="E144" s="2"/>
      <c r="F144" s="2"/>
      <c r="G144" s="2"/>
      <c r="H144" s="2"/>
      <c r="I144" s="3"/>
      <c r="J144" s="241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</row>
    <row r="145" spans="1:43" ht="13">
      <c r="A145" s="2"/>
      <c r="B145" s="2"/>
      <c r="C145" s="3"/>
      <c r="D145" s="2"/>
      <c r="E145" s="2"/>
      <c r="F145" s="2"/>
      <c r="G145" s="2"/>
      <c r="H145" s="2"/>
      <c r="I145" s="3"/>
      <c r="J145" s="241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</row>
    <row r="146" spans="1:43" ht="13">
      <c r="A146" s="2"/>
      <c r="B146" s="2"/>
      <c r="C146" s="3"/>
      <c r="D146" s="2"/>
      <c r="E146" s="2"/>
      <c r="F146" s="2"/>
      <c r="G146" s="2"/>
      <c r="H146" s="2"/>
      <c r="I146" s="3"/>
      <c r="J146" s="241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</row>
    <row r="147" spans="1:43" ht="13">
      <c r="A147" s="2"/>
      <c r="B147" s="2"/>
      <c r="C147" s="3"/>
      <c r="D147" s="2"/>
      <c r="E147" s="2"/>
      <c r="F147" s="2"/>
      <c r="G147" s="2"/>
      <c r="H147" s="2"/>
      <c r="I147" s="3"/>
      <c r="J147" s="241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</row>
    <row r="148" spans="1:43" ht="13">
      <c r="A148" s="2"/>
      <c r="B148" s="2"/>
      <c r="C148" s="3"/>
      <c r="D148" s="2"/>
      <c r="E148" s="2"/>
      <c r="F148" s="2"/>
      <c r="G148" s="2"/>
      <c r="H148" s="2"/>
      <c r="I148" s="3"/>
      <c r="J148" s="241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</row>
    <row r="149" spans="1:43" ht="13">
      <c r="A149" s="2"/>
      <c r="B149" s="2"/>
      <c r="C149" s="3"/>
      <c r="D149" s="2"/>
      <c r="E149" s="2"/>
      <c r="F149" s="2"/>
      <c r="G149" s="2"/>
      <c r="H149" s="2"/>
      <c r="I149" s="3"/>
      <c r="J149" s="241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</row>
    <row r="150" spans="1:43" ht="13">
      <c r="A150" s="2"/>
      <c r="B150" s="2"/>
      <c r="C150" s="3"/>
      <c r="D150" s="2"/>
      <c r="E150" s="2"/>
      <c r="F150" s="2"/>
      <c r="G150" s="2"/>
      <c r="H150" s="2"/>
      <c r="I150" s="3"/>
      <c r="J150" s="241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</row>
    <row r="151" spans="1:43" ht="13">
      <c r="A151" s="2"/>
      <c r="B151" s="2"/>
      <c r="C151" s="3"/>
      <c r="D151" s="2"/>
      <c r="E151" s="2"/>
      <c r="F151" s="2"/>
      <c r="G151" s="2"/>
      <c r="H151" s="2"/>
      <c r="I151" s="3"/>
      <c r="J151" s="241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</row>
    <row r="152" spans="1:43" ht="13">
      <c r="A152" s="2"/>
      <c r="B152" s="2"/>
      <c r="C152" s="3"/>
      <c r="D152" s="2"/>
      <c r="E152" s="2"/>
      <c r="F152" s="2"/>
      <c r="G152" s="2"/>
      <c r="H152" s="2"/>
      <c r="I152" s="3"/>
      <c r="J152" s="241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</row>
    <row r="153" spans="1:43" ht="13">
      <c r="A153" s="2"/>
      <c r="B153" s="2"/>
      <c r="C153" s="3"/>
      <c r="D153" s="2"/>
      <c r="E153" s="2"/>
      <c r="F153" s="2"/>
      <c r="G153" s="2"/>
      <c r="H153" s="2"/>
      <c r="I153" s="3"/>
      <c r="J153" s="241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</row>
    <row r="154" spans="1:43" ht="13">
      <c r="A154" s="2"/>
      <c r="B154" s="2"/>
      <c r="C154" s="3"/>
      <c r="D154" s="2"/>
      <c r="E154" s="2"/>
      <c r="F154" s="2"/>
      <c r="G154" s="2"/>
      <c r="H154" s="2"/>
      <c r="I154" s="3"/>
      <c r="J154" s="241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</row>
    <row r="155" spans="1:43" ht="13">
      <c r="A155" s="2"/>
      <c r="B155" s="2"/>
      <c r="C155" s="3"/>
      <c r="D155" s="2"/>
      <c r="E155" s="2"/>
      <c r="F155" s="2"/>
      <c r="G155" s="2"/>
      <c r="H155" s="2"/>
      <c r="I155" s="3"/>
      <c r="J155" s="241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</row>
    <row r="156" spans="1:43" ht="13">
      <c r="A156" s="2"/>
      <c r="B156" s="2"/>
      <c r="C156" s="3"/>
      <c r="D156" s="2"/>
      <c r="E156" s="2"/>
      <c r="F156" s="2"/>
      <c r="G156" s="2"/>
      <c r="H156" s="2"/>
      <c r="I156" s="3"/>
      <c r="J156" s="241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</row>
    <row r="157" spans="1:43" ht="13">
      <c r="A157" s="2"/>
      <c r="B157" s="2"/>
      <c r="C157" s="3"/>
      <c r="D157" s="2"/>
      <c r="E157" s="2"/>
      <c r="F157" s="2"/>
      <c r="G157" s="2"/>
      <c r="H157" s="2"/>
      <c r="I157" s="3"/>
      <c r="J157" s="241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</row>
    <row r="158" spans="1:43" ht="13">
      <c r="A158" s="2"/>
      <c r="B158" s="2"/>
      <c r="C158" s="3"/>
      <c r="D158" s="2"/>
      <c r="E158" s="2"/>
      <c r="F158" s="2"/>
      <c r="G158" s="2"/>
      <c r="H158" s="2"/>
      <c r="I158" s="3"/>
      <c r="J158" s="241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</row>
    <row r="159" spans="1:43" ht="13">
      <c r="A159" s="2"/>
      <c r="B159" s="2"/>
      <c r="C159" s="3"/>
      <c r="D159" s="2"/>
      <c r="E159" s="2"/>
      <c r="F159" s="2"/>
      <c r="G159" s="2"/>
      <c r="H159" s="2"/>
      <c r="I159" s="3"/>
      <c r="J159" s="241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</row>
    <row r="160" spans="1:43" ht="13">
      <c r="A160" s="2"/>
      <c r="B160" s="2"/>
      <c r="C160" s="3"/>
      <c r="D160" s="2"/>
      <c r="E160" s="2"/>
      <c r="F160" s="2"/>
      <c r="G160" s="2"/>
      <c r="H160" s="2"/>
      <c r="I160" s="3"/>
      <c r="J160" s="241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</row>
    <row r="161" spans="1:43" ht="13">
      <c r="A161" s="2"/>
      <c r="B161" s="2"/>
      <c r="C161" s="3"/>
      <c r="D161" s="2"/>
      <c r="E161" s="2"/>
      <c r="F161" s="2"/>
      <c r="G161" s="2"/>
      <c r="H161" s="2"/>
      <c r="I161" s="3"/>
      <c r="J161" s="241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</row>
    <row r="162" spans="1:43" ht="13">
      <c r="A162" s="2"/>
      <c r="B162" s="2"/>
      <c r="C162" s="3"/>
      <c r="D162" s="2"/>
      <c r="E162" s="2"/>
      <c r="F162" s="2"/>
      <c r="G162" s="2"/>
      <c r="H162" s="2"/>
      <c r="I162" s="3"/>
      <c r="J162" s="241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</row>
    <row r="163" spans="1:43" ht="13">
      <c r="A163" s="2"/>
      <c r="B163" s="2"/>
      <c r="C163" s="3"/>
      <c r="D163" s="2"/>
      <c r="E163" s="2"/>
      <c r="F163" s="2"/>
      <c r="G163" s="2"/>
      <c r="H163" s="2"/>
      <c r="I163" s="3"/>
      <c r="J163" s="241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</row>
    <row r="164" spans="1:43" ht="13">
      <c r="A164" s="2"/>
      <c r="B164" s="2"/>
      <c r="C164" s="3"/>
      <c r="D164" s="2"/>
      <c r="E164" s="2"/>
      <c r="F164" s="2"/>
      <c r="G164" s="2"/>
      <c r="H164" s="2"/>
      <c r="I164" s="3"/>
      <c r="J164" s="241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</row>
    <row r="165" spans="1:43" ht="13">
      <c r="A165" s="2"/>
      <c r="B165" s="2"/>
      <c r="C165" s="3"/>
      <c r="D165" s="2"/>
      <c r="E165" s="2"/>
      <c r="F165" s="2"/>
      <c r="G165" s="2"/>
      <c r="H165" s="2"/>
      <c r="I165" s="3"/>
      <c r="J165" s="241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</row>
    <row r="166" spans="1:43" ht="13">
      <c r="A166" s="2"/>
      <c r="B166" s="2"/>
      <c r="C166" s="3"/>
      <c r="D166" s="2"/>
      <c r="E166" s="2"/>
      <c r="F166" s="2"/>
      <c r="G166" s="2"/>
      <c r="H166" s="2"/>
      <c r="I166" s="3"/>
      <c r="J166" s="241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</row>
    <row r="167" spans="1:43" ht="13">
      <c r="A167" s="2"/>
      <c r="B167" s="2"/>
      <c r="C167" s="3"/>
      <c r="D167" s="2"/>
      <c r="E167" s="2"/>
      <c r="F167" s="2"/>
      <c r="G167" s="2"/>
      <c r="H167" s="2"/>
      <c r="I167" s="3"/>
      <c r="J167" s="241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</row>
    <row r="168" spans="1:43" ht="13">
      <c r="A168" s="2"/>
      <c r="B168" s="2"/>
      <c r="C168" s="3"/>
      <c r="D168" s="2"/>
      <c r="E168" s="2"/>
      <c r="F168" s="2"/>
      <c r="G168" s="2"/>
      <c r="H168" s="2"/>
      <c r="I168" s="3"/>
      <c r="J168" s="241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</row>
    <row r="169" spans="1:43" ht="13">
      <c r="A169" s="2"/>
      <c r="B169" s="2"/>
      <c r="C169" s="3"/>
      <c r="D169" s="2"/>
      <c r="E169" s="2"/>
      <c r="F169" s="2"/>
      <c r="G169" s="2"/>
      <c r="H169" s="2"/>
      <c r="I169" s="3"/>
      <c r="J169" s="241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</row>
    <row r="170" spans="1:43" ht="13">
      <c r="A170" s="2"/>
      <c r="B170" s="2"/>
      <c r="C170" s="3"/>
      <c r="D170" s="2"/>
      <c r="E170" s="2"/>
      <c r="F170" s="2"/>
      <c r="G170" s="2"/>
      <c r="H170" s="2"/>
      <c r="I170" s="3"/>
      <c r="J170" s="241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</row>
    <row r="171" spans="1:43" ht="13">
      <c r="A171" s="2"/>
      <c r="B171" s="2"/>
      <c r="C171" s="3"/>
      <c r="D171" s="2"/>
      <c r="E171" s="2"/>
      <c r="F171" s="2"/>
      <c r="G171" s="2"/>
      <c r="H171" s="2"/>
      <c r="I171" s="3"/>
      <c r="J171" s="241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</row>
    <row r="172" spans="1:43" ht="13">
      <c r="A172" s="2"/>
      <c r="B172" s="2"/>
      <c r="C172" s="3"/>
      <c r="D172" s="2"/>
      <c r="E172" s="2"/>
      <c r="F172" s="2"/>
      <c r="G172" s="2"/>
      <c r="H172" s="2"/>
      <c r="I172" s="3"/>
      <c r="J172" s="241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</row>
    <row r="173" spans="1:43" ht="13">
      <c r="A173" s="2"/>
      <c r="B173" s="2"/>
      <c r="C173" s="3"/>
      <c r="D173" s="2"/>
      <c r="E173" s="2"/>
      <c r="F173" s="2"/>
      <c r="G173" s="2"/>
      <c r="H173" s="2"/>
      <c r="I173" s="3"/>
      <c r="J173" s="241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</row>
    <row r="174" spans="1:43" ht="13">
      <c r="A174" s="2"/>
      <c r="B174" s="2"/>
      <c r="C174" s="3"/>
      <c r="D174" s="2"/>
      <c r="E174" s="2"/>
      <c r="F174" s="2"/>
      <c r="G174" s="2"/>
      <c r="H174" s="2"/>
      <c r="I174" s="3"/>
      <c r="J174" s="241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</row>
    <row r="175" spans="1:43" ht="13">
      <c r="A175" s="2"/>
      <c r="B175" s="2"/>
      <c r="C175" s="3"/>
      <c r="D175" s="2"/>
      <c r="E175" s="2"/>
      <c r="F175" s="2"/>
      <c r="G175" s="2"/>
      <c r="H175" s="2"/>
      <c r="I175" s="3"/>
      <c r="J175" s="241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</row>
    <row r="176" spans="1:43" ht="13">
      <c r="A176" s="2"/>
      <c r="B176" s="2"/>
      <c r="C176" s="3"/>
      <c r="D176" s="2"/>
      <c r="E176" s="2"/>
      <c r="F176" s="2"/>
      <c r="G176" s="2"/>
      <c r="H176" s="2"/>
      <c r="I176" s="3"/>
      <c r="J176" s="241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</row>
    <row r="177" spans="1:43" ht="13">
      <c r="A177" s="2"/>
      <c r="B177" s="2"/>
      <c r="C177" s="3"/>
      <c r="D177" s="2"/>
      <c r="E177" s="2"/>
      <c r="F177" s="2"/>
      <c r="G177" s="2"/>
      <c r="H177" s="2"/>
      <c r="I177" s="3"/>
      <c r="J177" s="241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</row>
    <row r="178" spans="1:43" ht="13">
      <c r="A178" s="2"/>
      <c r="B178" s="2"/>
      <c r="C178" s="3"/>
      <c r="D178" s="2"/>
      <c r="E178" s="2"/>
      <c r="F178" s="2"/>
      <c r="G178" s="2"/>
      <c r="H178" s="2"/>
      <c r="I178" s="3"/>
      <c r="J178" s="241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</row>
    <row r="179" spans="1:43" ht="13">
      <c r="A179" s="2"/>
      <c r="B179" s="2"/>
      <c r="C179" s="3"/>
      <c r="D179" s="2"/>
      <c r="E179" s="2"/>
      <c r="F179" s="2"/>
      <c r="G179" s="2"/>
      <c r="H179" s="2"/>
      <c r="I179" s="3"/>
      <c r="J179" s="241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</row>
    <row r="180" spans="1:43" ht="13">
      <c r="A180" s="2"/>
      <c r="B180" s="2"/>
      <c r="C180" s="3"/>
      <c r="D180" s="2"/>
      <c r="E180" s="2"/>
      <c r="F180" s="2"/>
      <c r="G180" s="2"/>
      <c r="H180" s="2"/>
      <c r="I180" s="3"/>
      <c r="J180" s="241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</row>
    <row r="181" spans="1:43" ht="13">
      <c r="A181" s="2"/>
      <c r="B181" s="2"/>
      <c r="C181" s="3"/>
      <c r="D181" s="2"/>
      <c r="E181" s="2"/>
      <c r="F181" s="2"/>
      <c r="G181" s="2"/>
      <c r="H181" s="2"/>
      <c r="I181" s="3"/>
      <c r="J181" s="241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</row>
    <row r="182" spans="1:43" ht="13">
      <c r="A182" s="2"/>
      <c r="B182" s="2"/>
      <c r="C182" s="3"/>
      <c r="D182" s="2"/>
      <c r="E182" s="2"/>
      <c r="F182" s="2"/>
      <c r="G182" s="2"/>
      <c r="H182" s="2"/>
      <c r="I182" s="3"/>
      <c r="J182" s="241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</row>
    <row r="183" spans="1:43" ht="13">
      <c r="A183" s="2"/>
      <c r="B183" s="2"/>
      <c r="C183" s="3"/>
      <c r="D183" s="2"/>
      <c r="E183" s="2"/>
      <c r="F183" s="2"/>
      <c r="G183" s="2"/>
      <c r="H183" s="2"/>
      <c r="I183" s="3"/>
      <c r="J183" s="241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</row>
    <row r="184" spans="1:43" ht="13">
      <c r="A184" s="2"/>
      <c r="B184" s="2"/>
      <c r="C184" s="3"/>
      <c r="D184" s="2"/>
      <c r="E184" s="2"/>
      <c r="F184" s="2"/>
      <c r="G184" s="2"/>
      <c r="H184" s="2"/>
      <c r="I184" s="3"/>
      <c r="J184" s="241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</row>
    <row r="185" spans="1:43" ht="13">
      <c r="A185" s="2"/>
      <c r="B185" s="2"/>
      <c r="C185" s="3"/>
      <c r="D185" s="2"/>
      <c r="E185" s="2"/>
      <c r="F185" s="2"/>
      <c r="G185" s="2"/>
      <c r="H185" s="2"/>
      <c r="I185" s="3"/>
      <c r="J185" s="241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</row>
    <row r="186" spans="1:43" ht="13">
      <c r="A186" s="2"/>
      <c r="B186" s="2"/>
      <c r="C186" s="3"/>
      <c r="D186" s="2"/>
      <c r="E186" s="2"/>
      <c r="F186" s="2"/>
      <c r="G186" s="2"/>
      <c r="H186" s="2"/>
      <c r="I186" s="3"/>
      <c r="J186" s="241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</row>
    <row r="187" spans="1:43" ht="13">
      <c r="A187" s="2"/>
      <c r="B187" s="2"/>
      <c r="C187" s="3"/>
      <c r="D187" s="2"/>
      <c r="E187" s="2"/>
      <c r="F187" s="2"/>
      <c r="G187" s="2"/>
      <c r="H187" s="2"/>
      <c r="I187" s="3"/>
      <c r="J187" s="241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</row>
    <row r="188" spans="1:43" ht="13">
      <c r="A188" s="2"/>
      <c r="B188" s="2"/>
      <c r="C188" s="3"/>
      <c r="D188" s="2"/>
      <c r="E188" s="2"/>
      <c r="F188" s="2"/>
      <c r="G188" s="2"/>
      <c r="H188" s="2"/>
      <c r="I188" s="3"/>
      <c r="J188" s="241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</row>
    <row r="189" spans="1:43" ht="13">
      <c r="A189" s="2"/>
      <c r="B189" s="2"/>
      <c r="C189" s="3"/>
      <c r="D189" s="2"/>
      <c r="E189" s="2"/>
      <c r="F189" s="2"/>
      <c r="G189" s="2"/>
      <c r="H189" s="2"/>
      <c r="I189" s="3"/>
      <c r="J189" s="241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</row>
    <row r="190" spans="1:43" ht="13">
      <c r="A190" s="2"/>
      <c r="B190" s="2"/>
      <c r="C190" s="3"/>
      <c r="D190" s="2"/>
      <c r="E190" s="2"/>
      <c r="F190" s="2"/>
      <c r="G190" s="2"/>
      <c r="H190" s="2"/>
      <c r="I190" s="3"/>
      <c r="J190" s="241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</row>
    <row r="191" spans="1:43" ht="13">
      <c r="A191" s="2"/>
      <c r="B191" s="2"/>
      <c r="C191" s="3"/>
      <c r="D191" s="2"/>
      <c r="E191" s="2"/>
      <c r="F191" s="2"/>
      <c r="G191" s="2"/>
      <c r="H191" s="2"/>
      <c r="I191" s="3"/>
      <c r="J191" s="241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</row>
    <row r="192" spans="1:43" ht="13">
      <c r="A192" s="2"/>
      <c r="B192" s="2"/>
      <c r="C192" s="3"/>
      <c r="D192" s="2"/>
      <c r="E192" s="2"/>
      <c r="F192" s="2"/>
      <c r="G192" s="2"/>
      <c r="H192" s="2"/>
      <c r="I192" s="3"/>
      <c r="J192" s="241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</row>
    <row r="193" spans="1:43" ht="13">
      <c r="A193" s="2"/>
      <c r="B193" s="2"/>
      <c r="C193" s="3"/>
      <c r="D193" s="2"/>
      <c r="E193" s="2"/>
      <c r="F193" s="2"/>
      <c r="G193" s="2"/>
      <c r="H193" s="2"/>
      <c r="I193" s="3"/>
      <c r="J193" s="241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</row>
    <row r="194" spans="1:43" ht="13">
      <c r="A194" s="2"/>
      <c r="B194" s="2"/>
      <c r="C194" s="3"/>
      <c r="D194" s="2"/>
      <c r="E194" s="2"/>
      <c r="F194" s="2"/>
      <c r="G194" s="2"/>
      <c r="H194" s="2"/>
      <c r="I194" s="3"/>
      <c r="J194" s="241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</row>
    <row r="195" spans="1:43" ht="13">
      <c r="A195" s="2"/>
      <c r="B195" s="2"/>
      <c r="C195" s="3"/>
      <c r="D195" s="2"/>
      <c r="E195" s="2"/>
      <c r="F195" s="2"/>
      <c r="G195" s="2"/>
      <c r="H195" s="2"/>
      <c r="I195" s="3"/>
      <c r="J195" s="241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</row>
    <row r="196" spans="1:43" ht="13">
      <c r="A196" s="2"/>
      <c r="B196" s="2"/>
      <c r="C196" s="3"/>
      <c r="D196" s="2"/>
      <c r="E196" s="2"/>
      <c r="F196" s="2"/>
      <c r="G196" s="2"/>
      <c r="H196" s="2"/>
      <c r="I196" s="3"/>
      <c r="J196" s="241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</row>
    <row r="197" spans="1:43" ht="13">
      <c r="A197" s="2"/>
      <c r="B197" s="2"/>
      <c r="C197" s="3"/>
      <c r="D197" s="2"/>
      <c r="E197" s="2"/>
      <c r="F197" s="2"/>
      <c r="G197" s="2"/>
      <c r="H197" s="2"/>
      <c r="I197" s="3"/>
      <c r="J197" s="241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</row>
    <row r="198" spans="1:43" ht="13">
      <c r="A198" s="2"/>
      <c r="B198" s="2"/>
      <c r="C198" s="3"/>
      <c r="D198" s="2"/>
      <c r="E198" s="2"/>
      <c r="F198" s="2"/>
      <c r="G198" s="2"/>
      <c r="H198" s="2"/>
      <c r="I198" s="3"/>
      <c r="J198" s="241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</row>
    <row r="199" spans="1:43" ht="13">
      <c r="A199" s="2"/>
      <c r="B199" s="2"/>
      <c r="C199" s="3"/>
      <c r="D199" s="2"/>
      <c r="E199" s="2"/>
      <c r="F199" s="2"/>
      <c r="G199" s="2"/>
      <c r="H199" s="2"/>
      <c r="I199" s="3"/>
      <c r="J199" s="241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</row>
    <row r="200" spans="1:43" ht="13">
      <c r="A200" s="2"/>
      <c r="B200" s="2"/>
      <c r="C200" s="3"/>
      <c r="D200" s="2"/>
      <c r="E200" s="2"/>
      <c r="F200" s="2"/>
      <c r="G200" s="2"/>
      <c r="H200" s="2"/>
      <c r="I200" s="3"/>
      <c r="J200" s="241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</row>
    <row r="201" spans="1:43" ht="13">
      <c r="A201" s="2"/>
      <c r="B201" s="2"/>
      <c r="C201" s="3"/>
      <c r="D201" s="2"/>
      <c r="E201" s="2"/>
      <c r="F201" s="2"/>
      <c r="G201" s="2"/>
      <c r="H201" s="2"/>
      <c r="I201" s="3"/>
      <c r="J201" s="241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</row>
    <row r="202" spans="1:43" ht="13">
      <c r="A202" s="2"/>
      <c r="B202" s="2"/>
      <c r="C202" s="3"/>
      <c r="D202" s="2"/>
      <c r="E202" s="2"/>
      <c r="F202" s="2"/>
      <c r="G202" s="2"/>
      <c r="H202" s="2"/>
      <c r="I202" s="3"/>
      <c r="J202" s="241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</row>
    <row r="203" spans="1:43" ht="13">
      <c r="A203" s="2"/>
      <c r="B203" s="2"/>
      <c r="C203" s="3"/>
      <c r="D203" s="2"/>
      <c r="E203" s="2"/>
      <c r="F203" s="2"/>
      <c r="G203" s="2"/>
      <c r="H203" s="2"/>
      <c r="I203" s="3"/>
      <c r="J203" s="241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</row>
    <row r="204" spans="1:43" ht="13">
      <c r="A204" s="2"/>
      <c r="B204" s="2"/>
      <c r="C204" s="3"/>
      <c r="D204" s="2"/>
      <c r="E204" s="2"/>
      <c r="F204" s="2"/>
      <c r="G204" s="2"/>
      <c r="H204" s="2"/>
      <c r="I204" s="3"/>
      <c r="J204" s="241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</row>
    <row r="205" spans="1:43" ht="13">
      <c r="A205" s="2"/>
      <c r="B205" s="2"/>
      <c r="C205" s="3"/>
      <c r="D205" s="2"/>
      <c r="E205" s="2"/>
      <c r="F205" s="2"/>
      <c r="G205" s="2"/>
      <c r="H205" s="2"/>
      <c r="I205" s="3"/>
      <c r="J205" s="241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</row>
    <row r="206" spans="1:43" ht="13">
      <c r="A206" s="2"/>
      <c r="B206" s="2"/>
      <c r="C206" s="3"/>
      <c r="D206" s="2"/>
      <c r="E206" s="2"/>
      <c r="F206" s="2"/>
      <c r="G206" s="2"/>
      <c r="H206" s="2"/>
      <c r="I206" s="3"/>
      <c r="J206" s="241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</row>
    <row r="207" spans="1:43" ht="13">
      <c r="A207" s="2"/>
      <c r="B207" s="2"/>
      <c r="C207" s="3"/>
      <c r="D207" s="2"/>
      <c r="E207" s="2"/>
      <c r="F207" s="2"/>
      <c r="G207" s="2"/>
      <c r="H207" s="2"/>
      <c r="I207" s="3"/>
      <c r="J207" s="241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</row>
    <row r="208" spans="1:43" ht="13">
      <c r="A208" s="2"/>
      <c r="B208" s="2"/>
      <c r="C208" s="3"/>
      <c r="D208" s="2"/>
      <c r="E208" s="2"/>
      <c r="F208" s="2"/>
      <c r="G208" s="2"/>
      <c r="H208" s="2"/>
      <c r="I208" s="3"/>
      <c r="J208" s="241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</row>
    <row r="209" spans="1:43" ht="13">
      <c r="A209" s="2"/>
      <c r="B209" s="2"/>
      <c r="C209" s="3"/>
      <c r="D209" s="2"/>
      <c r="E209" s="2"/>
      <c r="F209" s="2"/>
      <c r="G209" s="2"/>
      <c r="H209" s="2"/>
      <c r="I209" s="3"/>
      <c r="J209" s="241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</row>
    <row r="210" spans="1:43" ht="13">
      <c r="A210" s="2"/>
      <c r="B210" s="2"/>
      <c r="C210" s="3"/>
      <c r="D210" s="2"/>
      <c r="E210" s="2"/>
      <c r="F210" s="2"/>
      <c r="G210" s="2"/>
      <c r="H210" s="2"/>
      <c r="I210" s="3"/>
      <c r="J210" s="241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</row>
    <row r="211" spans="1:43" ht="13">
      <c r="A211" s="2"/>
      <c r="B211" s="2"/>
      <c r="C211" s="3"/>
      <c r="D211" s="2"/>
      <c r="E211" s="2"/>
      <c r="F211" s="2"/>
      <c r="G211" s="2"/>
      <c r="H211" s="2"/>
      <c r="I211" s="3"/>
      <c r="J211" s="241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</row>
    <row r="212" spans="1:43" ht="13">
      <c r="A212" s="2"/>
      <c r="B212" s="2"/>
      <c r="C212" s="3"/>
      <c r="D212" s="2"/>
      <c r="E212" s="2"/>
      <c r="F212" s="2"/>
      <c r="G212" s="2"/>
      <c r="H212" s="2"/>
      <c r="I212" s="3"/>
      <c r="J212" s="241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</row>
    <row r="213" spans="1:43" ht="13">
      <c r="A213" s="2"/>
      <c r="B213" s="2"/>
      <c r="C213" s="3"/>
      <c r="D213" s="2"/>
      <c r="E213" s="2"/>
      <c r="F213" s="2"/>
      <c r="G213" s="2"/>
      <c r="H213" s="2"/>
      <c r="I213" s="3"/>
      <c r="J213" s="241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</row>
    <row r="214" spans="1:43" ht="13">
      <c r="A214" s="2"/>
      <c r="B214" s="2"/>
      <c r="C214" s="3"/>
      <c r="D214" s="2"/>
      <c r="E214" s="2"/>
      <c r="F214" s="2"/>
      <c r="G214" s="2"/>
      <c r="H214" s="2"/>
      <c r="I214" s="3"/>
      <c r="J214" s="241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</row>
    <row r="215" spans="1:43" ht="13">
      <c r="A215" s="2"/>
      <c r="B215" s="2"/>
      <c r="C215" s="3"/>
      <c r="D215" s="2"/>
      <c r="E215" s="2"/>
      <c r="F215" s="2"/>
      <c r="G215" s="2"/>
      <c r="H215" s="2"/>
      <c r="I215" s="3"/>
      <c r="J215" s="241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</row>
    <row r="216" spans="1:43" ht="13">
      <c r="A216" s="2"/>
      <c r="B216" s="2"/>
      <c r="C216" s="3"/>
      <c r="D216" s="2"/>
      <c r="E216" s="2"/>
      <c r="F216" s="2"/>
      <c r="G216" s="2"/>
      <c r="H216" s="2"/>
      <c r="I216" s="3"/>
      <c r="J216" s="241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</row>
    <row r="217" spans="1:43" ht="13">
      <c r="A217" s="2"/>
      <c r="B217" s="2"/>
      <c r="C217" s="3"/>
      <c r="D217" s="2"/>
      <c r="E217" s="2"/>
      <c r="F217" s="2"/>
      <c r="G217" s="2"/>
      <c r="H217" s="2"/>
      <c r="I217" s="3"/>
      <c r="J217" s="241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</row>
    <row r="218" spans="1:43" ht="13">
      <c r="A218" s="2"/>
      <c r="B218" s="2"/>
      <c r="C218" s="3"/>
      <c r="D218" s="2"/>
      <c r="E218" s="2"/>
      <c r="F218" s="2"/>
      <c r="G218" s="2"/>
      <c r="H218" s="2"/>
      <c r="I218" s="3"/>
      <c r="J218" s="241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</row>
    <row r="219" spans="1:43" ht="13">
      <c r="A219" s="2"/>
      <c r="B219" s="2"/>
      <c r="C219" s="3"/>
      <c r="D219" s="2"/>
      <c r="E219" s="2"/>
      <c r="F219" s="2"/>
      <c r="G219" s="2"/>
      <c r="H219" s="2"/>
      <c r="I219" s="3"/>
      <c r="J219" s="241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</row>
    <row r="220" spans="1:43" ht="13">
      <c r="A220" s="2"/>
      <c r="B220" s="2"/>
      <c r="C220" s="3"/>
      <c r="D220" s="2"/>
      <c r="E220" s="2"/>
      <c r="F220" s="2"/>
      <c r="G220" s="2"/>
      <c r="H220" s="2"/>
      <c r="I220" s="3"/>
      <c r="J220" s="241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</row>
    <row r="221" spans="1:43" ht="13">
      <c r="A221" s="2"/>
      <c r="B221" s="2"/>
      <c r="C221" s="3"/>
      <c r="D221" s="2"/>
      <c r="E221" s="2"/>
      <c r="F221" s="2"/>
      <c r="G221" s="2"/>
      <c r="H221" s="2"/>
      <c r="I221" s="3"/>
      <c r="J221" s="241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</row>
    <row r="222" spans="1:43" ht="13">
      <c r="A222" s="2"/>
      <c r="B222" s="2"/>
      <c r="C222" s="3"/>
      <c r="D222" s="2"/>
      <c r="E222" s="2"/>
      <c r="F222" s="2"/>
      <c r="G222" s="2"/>
      <c r="H222" s="2"/>
      <c r="I222" s="3"/>
      <c r="J222" s="241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</row>
    <row r="223" spans="1:43" ht="13">
      <c r="A223" s="2"/>
      <c r="B223" s="2"/>
      <c r="C223" s="3"/>
      <c r="D223" s="2"/>
      <c r="E223" s="2"/>
      <c r="F223" s="2"/>
      <c r="G223" s="2"/>
      <c r="H223" s="2"/>
      <c r="I223" s="3"/>
      <c r="J223" s="241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</row>
    <row r="224" spans="1:43" ht="13">
      <c r="A224" s="2"/>
      <c r="B224" s="2"/>
      <c r="C224" s="3"/>
      <c r="D224" s="2"/>
      <c r="E224" s="2"/>
      <c r="F224" s="2"/>
      <c r="G224" s="2"/>
      <c r="H224" s="2"/>
      <c r="I224" s="3"/>
      <c r="J224" s="241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</row>
    <row r="225" spans="1:43" ht="13">
      <c r="A225" s="2"/>
      <c r="B225" s="2"/>
      <c r="C225" s="3"/>
      <c r="D225" s="2"/>
      <c r="E225" s="2"/>
      <c r="F225" s="2"/>
      <c r="G225" s="2"/>
      <c r="H225" s="2"/>
      <c r="I225" s="3"/>
      <c r="J225" s="241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</row>
    <row r="226" spans="1:43" ht="13">
      <c r="A226" s="2"/>
      <c r="B226" s="2"/>
      <c r="C226" s="3"/>
      <c r="D226" s="2"/>
      <c r="E226" s="2"/>
      <c r="F226" s="2"/>
      <c r="G226" s="2"/>
      <c r="H226" s="2"/>
      <c r="I226" s="3"/>
      <c r="J226" s="241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</row>
    <row r="227" spans="1:43" ht="13">
      <c r="A227" s="2"/>
      <c r="B227" s="2"/>
      <c r="C227" s="3"/>
      <c r="D227" s="2"/>
      <c r="E227" s="2"/>
      <c r="F227" s="2"/>
      <c r="G227" s="2"/>
      <c r="H227" s="2"/>
      <c r="I227" s="3"/>
      <c r="J227" s="241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</row>
    <row r="228" spans="1:43" ht="13">
      <c r="A228" s="2"/>
      <c r="B228" s="2"/>
      <c r="C228" s="3"/>
      <c r="D228" s="2"/>
      <c r="E228" s="2"/>
      <c r="F228" s="2"/>
      <c r="G228" s="2"/>
      <c r="H228" s="2"/>
      <c r="I228" s="3"/>
      <c r="J228" s="241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</row>
    <row r="229" spans="1:43" ht="13">
      <c r="A229" s="2"/>
      <c r="B229" s="2"/>
      <c r="C229" s="3"/>
      <c r="D229" s="2"/>
      <c r="E229" s="2"/>
      <c r="F229" s="2"/>
      <c r="G229" s="2"/>
      <c r="H229" s="2"/>
      <c r="I229" s="3"/>
      <c r="J229" s="241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</row>
    <row r="230" spans="1:43" ht="13">
      <c r="A230" s="2"/>
      <c r="B230" s="2"/>
      <c r="C230" s="3"/>
      <c r="D230" s="2"/>
      <c r="E230" s="2"/>
      <c r="F230" s="2"/>
      <c r="G230" s="2"/>
      <c r="H230" s="2"/>
      <c r="I230" s="3"/>
      <c r="J230" s="241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</row>
    <row r="231" spans="1:43" ht="13">
      <c r="A231" s="2"/>
      <c r="B231" s="2"/>
      <c r="C231" s="3"/>
      <c r="D231" s="2"/>
      <c r="E231" s="2"/>
      <c r="F231" s="2"/>
      <c r="G231" s="2"/>
      <c r="H231" s="2"/>
      <c r="I231" s="3"/>
      <c r="J231" s="241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</row>
    <row r="232" spans="1:43" ht="13">
      <c r="A232" s="2"/>
      <c r="B232" s="2"/>
      <c r="C232" s="3"/>
      <c r="D232" s="2"/>
      <c r="E232" s="2"/>
      <c r="F232" s="2"/>
      <c r="G232" s="2"/>
      <c r="H232" s="2"/>
      <c r="I232" s="3"/>
      <c r="J232" s="241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</row>
    <row r="233" spans="1:43" ht="13">
      <c r="A233" s="2"/>
      <c r="B233" s="2"/>
      <c r="C233" s="3"/>
      <c r="D233" s="2"/>
      <c r="E233" s="2"/>
      <c r="F233" s="2"/>
      <c r="G233" s="2"/>
      <c r="H233" s="2"/>
      <c r="I233" s="3"/>
      <c r="J233" s="241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</row>
    <row r="234" spans="1:43" ht="13">
      <c r="A234" s="2"/>
      <c r="B234" s="2"/>
      <c r="C234" s="3"/>
      <c r="D234" s="2"/>
      <c r="E234" s="2"/>
      <c r="F234" s="2"/>
      <c r="G234" s="2"/>
      <c r="H234" s="2"/>
      <c r="I234" s="3"/>
      <c r="J234" s="241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</row>
    <row r="235" spans="1:43" ht="13">
      <c r="A235" s="2"/>
      <c r="B235" s="2"/>
      <c r="C235" s="3"/>
      <c r="D235" s="2"/>
      <c r="E235" s="2"/>
      <c r="F235" s="2"/>
      <c r="G235" s="2"/>
      <c r="H235" s="2"/>
      <c r="I235" s="3"/>
      <c r="J235" s="241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</row>
    <row r="236" spans="1:43" ht="13">
      <c r="A236" s="2"/>
      <c r="B236" s="2"/>
      <c r="C236" s="3"/>
      <c r="D236" s="2"/>
      <c r="E236" s="2"/>
      <c r="F236" s="2"/>
      <c r="G236" s="2"/>
      <c r="H236" s="2"/>
      <c r="I236" s="3"/>
      <c r="J236" s="241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</row>
    <row r="237" spans="1:43" ht="13">
      <c r="A237" s="2"/>
      <c r="B237" s="2"/>
      <c r="C237" s="3"/>
      <c r="D237" s="2"/>
      <c r="E237" s="2"/>
      <c r="F237" s="2"/>
      <c r="G237" s="2"/>
      <c r="H237" s="2"/>
      <c r="I237" s="3"/>
      <c r="J237" s="241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</row>
    <row r="238" spans="1:43" ht="13">
      <c r="A238" s="2"/>
      <c r="B238" s="2"/>
      <c r="C238" s="3"/>
      <c r="D238" s="2"/>
      <c r="E238" s="2"/>
      <c r="F238" s="2"/>
      <c r="G238" s="2"/>
      <c r="H238" s="2"/>
      <c r="I238" s="3"/>
      <c r="J238" s="241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</row>
    <row r="239" spans="1:43" ht="13">
      <c r="A239" s="2"/>
      <c r="B239" s="2"/>
      <c r="C239" s="3"/>
      <c r="D239" s="2"/>
      <c r="E239" s="2"/>
      <c r="F239" s="2"/>
      <c r="G239" s="2"/>
      <c r="H239" s="2"/>
      <c r="I239" s="3"/>
      <c r="J239" s="241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</row>
    <row r="240" spans="1:43" ht="13">
      <c r="A240" s="2"/>
      <c r="B240" s="2"/>
      <c r="C240" s="3"/>
      <c r="D240" s="2"/>
      <c r="E240" s="2"/>
      <c r="F240" s="2"/>
      <c r="G240" s="2"/>
      <c r="H240" s="2"/>
      <c r="I240" s="3"/>
      <c r="J240" s="241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</row>
    <row r="241" spans="1:43" ht="13">
      <c r="A241" s="2"/>
      <c r="B241" s="2"/>
      <c r="C241" s="3"/>
      <c r="D241" s="2"/>
      <c r="E241" s="2"/>
      <c r="F241" s="2"/>
      <c r="G241" s="2"/>
      <c r="H241" s="2"/>
      <c r="I241" s="3"/>
      <c r="J241" s="241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</row>
    <row r="242" spans="1:43" ht="13">
      <c r="A242" s="2"/>
      <c r="B242" s="2"/>
      <c r="C242" s="3"/>
      <c r="D242" s="2"/>
      <c r="E242" s="2"/>
      <c r="F242" s="2"/>
      <c r="G242" s="2"/>
      <c r="H242" s="2"/>
      <c r="I242" s="3"/>
      <c r="J242" s="241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</row>
    <row r="243" spans="1:43" ht="13">
      <c r="A243" s="2"/>
      <c r="B243" s="2"/>
      <c r="C243" s="3"/>
      <c r="D243" s="2"/>
      <c r="E243" s="2"/>
      <c r="F243" s="2"/>
      <c r="G243" s="2"/>
      <c r="H243" s="2"/>
      <c r="I243" s="3"/>
      <c r="J243" s="241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</row>
    <row r="244" spans="1:43" ht="13">
      <c r="A244" s="2"/>
      <c r="B244" s="2"/>
      <c r="C244" s="3"/>
      <c r="D244" s="2"/>
      <c r="E244" s="2"/>
      <c r="F244" s="2"/>
      <c r="G244" s="2"/>
      <c r="H244" s="2"/>
      <c r="I244" s="3"/>
      <c r="J244" s="241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</row>
    <row r="245" spans="1:43" ht="13">
      <c r="A245" s="2"/>
      <c r="B245" s="2"/>
      <c r="C245" s="3"/>
      <c r="D245" s="2"/>
      <c r="E245" s="2"/>
      <c r="F245" s="2"/>
      <c r="G245" s="2"/>
      <c r="H245" s="2"/>
      <c r="I245" s="3"/>
      <c r="J245" s="241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</row>
    <row r="246" spans="1:43" ht="13">
      <c r="A246" s="2"/>
      <c r="B246" s="2"/>
      <c r="C246" s="3"/>
      <c r="D246" s="2"/>
      <c r="E246" s="2"/>
      <c r="F246" s="2"/>
      <c r="G246" s="2"/>
      <c r="H246" s="2"/>
      <c r="I246" s="3"/>
      <c r="J246" s="241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</row>
    <row r="247" spans="1:43" ht="13">
      <c r="A247" s="2"/>
      <c r="B247" s="2"/>
      <c r="C247" s="3"/>
      <c r="D247" s="2"/>
      <c r="E247" s="2"/>
      <c r="F247" s="2"/>
      <c r="G247" s="2"/>
      <c r="H247" s="2"/>
      <c r="I247" s="3"/>
      <c r="J247" s="241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</row>
    <row r="248" spans="1:43" ht="13">
      <c r="A248" s="2"/>
      <c r="B248" s="2"/>
      <c r="C248" s="3"/>
      <c r="D248" s="2"/>
      <c r="E248" s="2"/>
      <c r="F248" s="2"/>
      <c r="G248" s="2"/>
      <c r="H248" s="2"/>
      <c r="I248" s="3"/>
      <c r="J248" s="241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</row>
    <row r="249" spans="1:43" ht="13">
      <c r="A249" s="2"/>
      <c r="B249" s="2"/>
      <c r="C249" s="3"/>
      <c r="D249" s="2"/>
      <c r="E249" s="2"/>
      <c r="F249" s="2"/>
      <c r="G249" s="2"/>
      <c r="H249" s="2"/>
      <c r="I249" s="3"/>
      <c r="J249" s="241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</row>
    <row r="250" spans="1:43" ht="13">
      <c r="A250" s="2"/>
      <c r="B250" s="2"/>
      <c r="C250" s="3"/>
      <c r="D250" s="2"/>
      <c r="E250" s="2"/>
      <c r="F250" s="2"/>
      <c r="G250" s="2"/>
      <c r="H250" s="2"/>
      <c r="I250" s="3"/>
      <c r="J250" s="241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</row>
    <row r="251" spans="1:43" ht="13">
      <c r="A251" s="2"/>
      <c r="B251" s="2"/>
      <c r="C251" s="3"/>
      <c r="D251" s="2"/>
      <c r="E251" s="2"/>
      <c r="F251" s="2"/>
      <c r="G251" s="2"/>
      <c r="H251" s="2"/>
      <c r="I251" s="3"/>
      <c r="J251" s="241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</row>
    <row r="252" spans="1:43" ht="13">
      <c r="A252" s="2"/>
      <c r="B252" s="2"/>
      <c r="C252" s="3"/>
      <c r="D252" s="2"/>
      <c r="E252" s="2"/>
      <c r="F252" s="2"/>
      <c r="G252" s="2"/>
      <c r="H252" s="2"/>
      <c r="I252" s="3"/>
      <c r="J252" s="241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</row>
    <row r="253" spans="1:43" ht="13">
      <c r="A253" s="2"/>
      <c r="B253" s="2"/>
      <c r="C253" s="3"/>
      <c r="D253" s="2"/>
      <c r="E253" s="2"/>
      <c r="F253" s="2"/>
      <c r="G253" s="2"/>
      <c r="H253" s="2"/>
      <c r="I253" s="3"/>
      <c r="J253" s="241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</row>
    <row r="254" spans="1:43" ht="13">
      <c r="A254" s="2"/>
      <c r="B254" s="2"/>
      <c r="C254" s="3"/>
      <c r="D254" s="2"/>
      <c r="E254" s="2"/>
      <c r="F254" s="2"/>
      <c r="G254" s="2"/>
      <c r="H254" s="2"/>
      <c r="I254" s="3"/>
      <c r="J254" s="241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</row>
    <row r="255" spans="1:43" ht="13">
      <c r="A255" s="2"/>
      <c r="B255" s="2"/>
      <c r="C255" s="3"/>
      <c r="D255" s="2"/>
      <c r="E255" s="2"/>
      <c r="F255" s="2"/>
      <c r="G255" s="2"/>
      <c r="H255" s="2"/>
      <c r="I255" s="3"/>
      <c r="J255" s="241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</row>
    <row r="256" spans="1:43" ht="13">
      <c r="A256" s="2"/>
      <c r="B256" s="2"/>
      <c r="C256" s="3"/>
      <c r="D256" s="2"/>
      <c r="E256" s="2"/>
      <c r="F256" s="2"/>
      <c r="G256" s="2"/>
      <c r="H256" s="2"/>
      <c r="I256" s="3"/>
      <c r="J256" s="241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</row>
    <row r="257" spans="1:43" ht="13">
      <c r="A257" s="2"/>
      <c r="B257" s="2"/>
      <c r="C257" s="3"/>
      <c r="D257" s="2"/>
      <c r="E257" s="2"/>
      <c r="F257" s="2"/>
      <c r="G257" s="2"/>
      <c r="H257" s="2"/>
      <c r="I257" s="3"/>
      <c r="J257" s="241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</row>
    <row r="258" spans="1:43" ht="13">
      <c r="A258" s="2"/>
      <c r="B258" s="2"/>
      <c r="C258" s="3"/>
      <c r="D258" s="2"/>
      <c r="E258" s="2"/>
      <c r="F258" s="2"/>
      <c r="G258" s="2"/>
      <c r="H258" s="2"/>
      <c r="I258" s="3"/>
      <c r="J258" s="241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</row>
    <row r="259" spans="1:43" ht="13">
      <c r="A259" s="2"/>
      <c r="B259" s="2"/>
      <c r="C259" s="3"/>
      <c r="D259" s="2"/>
      <c r="E259" s="2"/>
      <c r="F259" s="2"/>
      <c r="G259" s="2"/>
      <c r="H259" s="2"/>
      <c r="I259" s="3"/>
      <c r="J259" s="241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</row>
    <row r="260" spans="1:43" ht="13">
      <c r="A260" s="2"/>
      <c r="B260" s="2"/>
      <c r="C260" s="3"/>
      <c r="D260" s="2"/>
      <c r="E260" s="2"/>
      <c r="F260" s="2"/>
      <c r="G260" s="2"/>
      <c r="H260" s="2"/>
      <c r="I260" s="3"/>
      <c r="J260" s="241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</row>
    <row r="261" spans="1:43" ht="13">
      <c r="A261" s="2"/>
      <c r="B261" s="2"/>
      <c r="C261" s="3"/>
      <c r="D261" s="2"/>
      <c r="E261" s="2"/>
      <c r="F261" s="2"/>
      <c r="G261" s="2"/>
      <c r="H261" s="2"/>
      <c r="I261" s="3"/>
      <c r="J261" s="241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</row>
    <row r="262" spans="1:43" ht="13">
      <c r="A262" s="2"/>
      <c r="B262" s="2"/>
      <c r="C262" s="3"/>
      <c r="D262" s="2"/>
      <c r="E262" s="2"/>
      <c r="F262" s="2"/>
      <c r="G262" s="2"/>
      <c r="H262" s="2"/>
      <c r="I262" s="3"/>
      <c r="J262" s="241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</row>
    <row r="263" spans="1:43" ht="13">
      <c r="A263" s="2"/>
      <c r="B263" s="2"/>
      <c r="C263" s="3"/>
      <c r="D263" s="2"/>
      <c r="E263" s="2"/>
      <c r="F263" s="2"/>
      <c r="G263" s="2"/>
      <c r="H263" s="2"/>
      <c r="I263" s="3"/>
      <c r="J263" s="241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</row>
    <row r="264" spans="1:43" ht="13">
      <c r="A264" s="2"/>
      <c r="B264" s="2"/>
      <c r="C264" s="3"/>
      <c r="D264" s="2"/>
      <c r="E264" s="2"/>
      <c r="F264" s="2"/>
      <c r="G264" s="2"/>
      <c r="H264" s="2"/>
      <c r="I264" s="3"/>
      <c r="J264" s="241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</row>
    <row r="265" spans="1:43" ht="13">
      <c r="A265" s="2"/>
      <c r="B265" s="2"/>
      <c r="C265" s="3"/>
      <c r="D265" s="2"/>
      <c r="E265" s="2"/>
      <c r="F265" s="2"/>
      <c r="G265" s="2"/>
      <c r="H265" s="2"/>
      <c r="I265" s="3"/>
      <c r="J265" s="241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</row>
    <row r="266" spans="1:43" ht="13">
      <c r="A266" s="2"/>
      <c r="B266" s="2"/>
      <c r="C266" s="3"/>
      <c r="D266" s="2"/>
      <c r="E266" s="2"/>
      <c r="F266" s="2"/>
      <c r="G266" s="2"/>
      <c r="H266" s="2"/>
      <c r="I266" s="3"/>
      <c r="J266" s="241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</row>
    <row r="267" spans="1:43" ht="13">
      <c r="A267" s="2"/>
      <c r="B267" s="2"/>
      <c r="C267" s="3"/>
      <c r="D267" s="2"/>
      <c r="E267" s="2"/>
      <c r="F267" s="2"/>
      <c r="G267" s="2"/>
      <c r="H267" s="2"/>
      <c r="I267" s="3"/>
      <c r="J267" s="241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</row>
    <row r="268" spans="1:43" ht="13">
      <c r="A268" s="2"/>
      <c r="B268" s="2"/>
      <c r="C268" s="3"/>
      <c r="D268" s="2"/>
      <c r="E268" s="2"/>
      <c r="F268" s="2"/>
      <c r="G268" s="2"/>
      <c r="H268" s="2"/>
      <c r="I268" s="3"/>
      <c r="J268" s="241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</row>
    <row r="269" spans="1:43" ht="13">
      <c r="A269" s="2"/>
      <c r="B269" s="2"/>
      <c r="C269" s="3"/>
      <c r="D269" s="2"/>
      <c r="E269" s="2"/>
      <c r="F269" s="2"/>
      <c r="G269" s="2"/>
      <c r="H269" s="2"/>
      <c r="I269" s="3"/>
      <c r="J269" s="241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</row>
    <row r="270" spans="1:43" ht="13">
      <c r="A270" s="2"/>
      <c r="B270" s="2"/>
      <c r="C270" s="3"/>
      <c r="D270" s="2"/>
      <c r="E270" s="2"/>
      <c r="F270" s="2"/>
      <c r="G270" s="2"/>
      <c r="H270" s="2"/>
      <c r="I270" s="3"/>
      <c r="J270" s="241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</row>
    <row r="271" spans="1:43" ht="13">
      <c r="A271" s="2"/>
      <c r="B271" s="2"/>
      <c r="C271" s="3"/>
      <c r="D271" s="2"/>
      <c r="E271" s="2"/>
      <c r="F271" s="2"/>
      <c r="G271" s="2"/>
      <c r="H271" s="2"/>
      <c r="I271" s="3"/>
      <c r="J271" s="241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</row>
    <row r="272" spans="1:43" ht="13">
      <c r="A272" s="2"/>
      <c r="B272" s="2"/>
      <c r="C272" s="3"/>
      <c r="D272" s="2"/>
      <c r="E272" s="2"/>
      <c r="F272" s="2"/>
      <c r="G272" s="2"/>
      <c r="H272" s="2"/>
      <c r="I272" s="3"/>
      <c r="J272" s="241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</row>
    <row r="273" spans="1:43" ht="13">
      <c r="A273" s="2"/>
      <c r="B273" s="2"/>
      <c r="C273" s="3"/>
      <c r="D273" s="2"/>
      <c r="E273" s="2"/>
      <c r="F273" s="2"/>
      <c r="G273" s="2"/>
      <c r="H273" s="2"/>
      <c r="I273" s="3"/>
      <c r="J273" s="241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</row>
    <row r="274" spans="1:43" ht="13">
      <c r="A274" s="2"/>
      <c r="B274" s="2"/>
      <c r="C274" s="3"/>
      <c r="D274" s="2"/>
      <c r="E274" s="2"/>
      <c r="F274" s="2"/>
      <c r="G274" s="2"/>
      <c r="H274" s="2"/>
      <c r="I274" s="3"/>
      <c r="J274" s="241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</row>
    <row r="275" spans="1:43" ht="13">
      <c r="A275" s="2"/>
      <c r="B275" s="2"/>
      <c r="C275" s="3"/>
      <c r="D275" s="2"/>
      <c r="E275" s="2"/>
      <c r="F275" s="2"/>
      <c r="G275" s="2"/>
      <c r="H275" s="2"/>
      <c r="I275" s="3"/>
      <c r="J275" s="241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</row>
    <row r="276" spans="1:43" ht="13">
      <c r="A276" s="2"/>
      <c r="B276" s="2"/>
      <c r="C276" s="3"/>
      <c r="D276" s="2"/>
      <c r="E276" s="2"/>
      <c r="F276" s="2"/>
      <c r="G276" s="2"/>
      <c r="H276" s="2"/>
      <c r="I276" s="3"/>
      <c r="J276" s="241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</row>
    <row r="277" spans="1:43" ht="13">
      <c r="A277" s="2"/>
      <c r="B277" s="2"/>
      <c r="C277" s="3"/>
      <c r="D277" s="2"/>
      <c r="E277" s="2"/>
      <c r="F277" s="2"/>
      <c r="G277" s="2"/>
      <c r="H277" s="2"/>
      <c r="I277" s="3"/>
      <c r="J277" s="241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</row>
    <row r="278" spans="1:43" ht="13">
      <c r="A278" s="2"/>
      <c r="B278" s="2"/>
      <c r="C278" s="3"/>
      <c r="D278" s="2"/>
      <c r="E278" s="2"/>
      <c r="F278" s="2"/>
      <c r="G278" s="2"/>
      <c r="H278" s="2"/>
      <c r="I278" s="3"/>
      <c r="J278" s="241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</row>
    <row r="279" spans="1:43" ht="13">
      <c r="A279" s="2"/>
      <c r="B279" s="2"/>
      <c r="C279" s="3"/>
      <c r="D279" s="2"/>
      <c r="E279" s="2"/>
      <c r="F279" s="2"/>
      <c r="G279" s="2"/>
      <c r="H279" s="2"/>
      <c r="I279" s="3"/>
      <c r="J279" s="241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</row>
    <row r="280" spans="1:43" ht="13">
      <c r="A280" s="2"/>
      <c r="B280" s="2"/>
      <c r="C280" s="3"/>
      <c r="D280" s="2"/>
      <c r="E280" s="2"/>
      <c r="F280" s="2"/>
      <c r="G280" s="2"/>
      <c r="H280" s="2"/>
      <c r="I280" s="3"/>
      <c r="J280" s="241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</row>
    <row r="281" spans="1:43" ht="13">
      <c r="A281" s="2"/>
      <c r="B281" s="2"/>
      <c r="C281" s="3"/>
      <c r="D281" s="2"/>
      <c r="E281" s="2"/>
      <c r="F281" s="2"/>
      <c r="G281" s="2"/>
      <c r="H281" s="2"/>
      <c r="I281" s="3"/>
      <c r="J281" s="241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</row>
    <row r="282" spans="1:43" ht="13">
      <c r="A282" s="2"/>
      <c r="B282" s="2"/>
      <c r="C282" s="3"/>
      <c r="D282" s="2"/>
      <c r="E282" s="2"/>
      <c r="F282" s="2"/>
      <c r="G282" s="2"/>
      <c r="H282" s="2"/>
      <c r="I282" s="3"/>
      <c r="J282" s="241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</row>
    <row r="283" spans="1:43" ht="13">
      <c r="A283" s="2"/>
      <c r="B283" s="2"/>
      <c r="C283" s="3"/>
      <c r="D283" s="2"/>
      <c r="E283" s="2"/>
      <c r="F283" s="2"/>
      <c r="G283" s="2"/>
      <c r="H283" s="2"/>
      <c r="I283" s="3"/>
      <c r="J283" s="241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</row>
    <row r="284" spans="1:43" ht="13">
      <c r="A284" s="2"/>
      <c r="B284" s="2"/>
      <c r="C284" s="3"/>
      <c r="D284" s="2"/>
      <c r="E284" s="2"/>
      <c r="F284" s="2"/>
      <c r="G284" s="2"/>
      <c r="H284" s="2"/>
      <c r="I284" s="3"/>
      <c r="J284" s="241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</row>
    <row r="285" spans="1:43" ht="13">
      <c r="A285" s="2"/>
      <c r="B285" s="2"/>
      <c r="C285" s="3"/>
      <c r="D285" s="2"/>
      <c r="E285" s="2"/>
      <c r="F285" s="2"/>
      <c r="G285" s="2"/>
      <c r="H285" s="2"/>
      <c r="I285" s="3"/>
      <c r="J285" s="241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</row>
    <row r="286" spans="1:43" ht="13">
      <c r="A286" s="2"/>
      <c r="B286" s="2"/>
      <c r="C286" s="3"/>
      <c r="D286" s="2"/>
      <c r="E286" s="2"/>
      <c r="F286" s="2"/>
      <c r="G286" s="2"/>
      <c r="H286" s="2"/>
      <c r="I286" s="3"/>
      <c r="J286" s="241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</row>
    <row r="287" spans="1:43" ht="13">
      <c r="A287" s="2"/>
      <c r="B287" s="2"/>
      <c r="C287" s="3"/>
      <c r="D287" s="2"/>
      <c r="E287" s="2"/>
      <c r="F287" s="2"/>
      <c r="G287" s="2"/>
      <c r="H287" s="2"/>
      <c r="I287" s="3"/>
      <c r="J287" s="241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</row>
    <row r="288" spans="1:43" ht="13">
      <c r="A288" s="2"/>
      <c r="B288" s="2"/>
      <c r="C288" s="3"/>
      <c r="D288" s="2"/>
      <c r="E288" s="2"/>
      <c r="F288" s="2"/>
      <c r="G288" s="2"/>
      <c r="H288" s="2"/>
      <c r="I288" s="3"/>
      <c r="J288" s="241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</row>
    <row r="289" spans="1:43" ht="13">
      <c r="A289" s="2"/>
      <c r="B289" s="2"/>
      <c r="C289" s="3"/>
      <c r="D289" s="2"/>
      <c r="E289" s="2"/>
      <c r="F289" s="2"/>
      <c r="G289" s="2"/>
      <c r="H289" s="2"/>
      <c r="I289" s="3"/>
      <c r="J289" s="241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</row>
    <row r="290" spans="1:43" ht="13">
      <c r="A290" s="2"/>
      <c r="B290" s="2"/>
      <c r="C290" s="3"/>
      <c r="D290" s="2"/>
      <c r="E290" s="2"/>
      <c r="F290" s="2"/>
      <c r="G290" s="2"/>
      <c r="H290" s="2"/>
      <c r="I290" s="3"/>
      <c r="J290" s="241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</row>
    <row r="291" spans="1:43" ht="13">
      <c r="A291" s="2"/>
      <c r="B291" s="2"/>
      <c r="C291" s="3"/>
      <c r="D291" s="2"/>
      <c r="E291" s="2"/>
      <c r="F291" s="2"/>
      <c r="G291" s="2"/>
      <c r="H291" s="2"/>
      <c r="I291" s="3"/>
      <c r="J291" s="241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</row>
    <row r="292" spans="1:43" ht="13">
      <c r="A292" s="2"/>
      <c r="B292" s="2"/>
      <c r="C292" s="3"/>
      <c r="D292" s="2"/>
      <c r="E292" s="2"/>
      <c r="F292" s="2"/>
      <c r="G292" s="2"/>
      <c r="H292" s="2"/>
      <c r="I292" s="3"/>
      <c r="J292" s="241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</row>
    <row r="293" spans="1:43" ht="13">
      <c r="A293" s="2"/>
      <c r="B293" s="2"/>
      <c r="C293" s="3"/>
      <c r="D293" s="2"/>
      <c r="E293" s="2"/>
      <c r="F293" s="2"/>
      <c r="G293" s="2"/>
      <c r="H293" s="2"/>
      <c r="I293" s="3"/>
      <c r="J293" s="241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</row>
    <row r="294" spans="1:43" ht="13">
      <c r="A294" s="2"/>
      <c r="B294" s="2"/>
      <c r="C294" s="3"/>
      <c r="D294" s="2"/>
      <c r="E294" s="2"/>
      <c r="F294" s="2"/>
      <c r="G294" s="2"/>
      <c r="H294" s="2"/>
      <c r="I294" s="3"/>
      <c r="J294" s="241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</row>
    <row r="295" spans="1:43" ht="13">
      <c r="A295" s="2"/>
      <c r="B295" s="2"/>
      <c r="C295" s="3"/>
      <c r="D295" s="2"/>
      <c r="E295" s="2"/>
      <c r="F295" s="2"/>
      <c r="G295" s="2"/>
      <c r="H295" s="2"/>
      <c r="I295" s="3"/>
      <c r="J295" s="241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</row>
    <row r="296" spans="1:43" ht="13">
      <c r="A296" s="2"/>
      <c r="B296" s="2"/>
      <c r="C296" s="3"/>
      <c r="D296" s="2"/>
      <c r="E296" s="2"/>
      <c r="F296" s="2"/>
      <c r="G296" s="2"/>
      <c r="H296" s="2"/>
      <c r="I296" s="3"/>
      <c r="J296" s="241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</row>
    <row r="297" spans="1:43" ht="13">
      <c r="A297" s="2"/>
      <c r="B297" s="2"/>
      <c r="C297" s="3"/>
      <c r="D297" s="2"/>
      <c r="E297" s="2"/>
      <c r="F297" s="2"/>
      <c r="G297" s="2"/>
      <c r="H297" s="2"/>
      <c r="I297" s="3"/>
      <c r="J297" s="241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</row>
    <row r="298" spans="1:43" ht="13">
      <c r="A298" s="2"/>
      <c r="B298" s="2"/>
      <c r="C298" s="3"/>
      <c r="D298" s="2"/>
      <c r="E298" s="2"/>
      <c r="F298" s="2"/>
      <c r="G298" s="2"/>
      <c r="H298" s="2"/>
      <c r="I298" s="3"/>
      <c r="J298" s="241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</row>
    <row r="299" spans="1:43" ht="13">
      <c r="A299" s="2"/>
      <c r="B299" s="2"/>
      <c r="C299" s="3"/>
      <c r="D299" s="2"/>
      <c r="E299" s="2"/>
      <c r="F299" s="2"/>
      <c r="G299" s="2"/>
      <c r="H299" s="2"/>
      <c r="I299" s="3"/>
      <c r="J299" s="241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</row>
    <row r="300" spans="1:43" ht="13">
      <c r="A300" s="2"/>
      <c r="B300" s="2"/>
      <c r="C300" s="3"/>
      <c r="D300" s="2"/>
      <c r="E300" s="2"/>
      <c r="F300" s="2"/>
      <c r="G300" s="2"/>
      <c r="H300" s="2"/>
      <c r="I300" s="3"/>
      <c r="J300" s="241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</row>
    <row r="301" spans="1:43" ht="13">
      <c r="A301" s="2"/>
      <c r="B301" s="2"/>
      <c r="C301" s="3"/>
      <c r="D301" s="2"/>
      <c r="E301" s="2"/>
      <c r="F301" s="2"/>
      <c r="G301" s="2"/>
      <c r="H301" s="2"/>
      <c r="I301" s="3"/>
      <c r="J301" s="241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</row>
    <row r="302" spans="1:43" ht="13">
      <c r="A302" s="2"/>
      <c r="B302" s="2"/>
      <c r="C302" s="3"/>
      <c r="D302" s="2"/>
      <c r="E302" s="2"/>
      <c r="F302" s="2"/>
      <c r="G302" s="2"/>
      <c r="H302" s="2"/>
      <c r="I302" s="3"/>
      <c r="J302" s="241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</row>
    <row r="303" spans="1:43" ht="13">
      <c r="A303" s="2"/>
      <c r="B303" s="2"/>
      <c r="C303" s="3"/>
      <c r="D303" s="2"/>
      <c r="E303" s="2"/>
      <c r="F303" s="2"/>
      <c r="G303" s="2"/>
      <c r="H303" s="2"/>
      <c r="I303" s="3"/>
      <c r="J303" s="241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</row>
    <row r="304" spans="1:43" ht="13">
      <c r="A304" s="2"/>
      <c r="B304" s="2"/>
      <c r="C304" s="3"/>
      <c r="D304" s="2"/>
      <c r="E304" s="2"/>
      <c r="F304" s="2"/>
      <c r="G304" s="2"/>
      <c r="H304" s="2"/>
      <c r="I304" s="3"/>
      <c r="J304" s="241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</row>
    <row r="305" spans="1:43" ht="13">
      <c r="A305" s="2"/>
      <c r="B305" s="2"/>
      <c r="C305" s="3"/>
      <c r="D305" s="2"/>
      <c r="E305" s="2"/>
      <c r="F305" s="2"/>
      <c r="G305" s="2"/>
      <c r="H305" s="2"/>
      <c r="I305" s="3"/>
      <c r="J305" s="241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</row>
    <row r="306" spans="1:43" ht="13">
      <c r="A306" s="2"/>
      <c r="B306" s="2"/>
      <c r="C306" s="3"/>
      <c r="D306" s="2"/>
      <c r="E306" s="2"/>
      <c r="F306" s="2"/>
      <c r="G306" s="2"/>
      <c r="H306" s="2"/>
      <c r="I306" s="3"/>
      <c r="J306" s="241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</row>
    <row r="307" spans="1:43" ht="13">
      <c r="A307" s="2"/>
      <c r="B307" s="2"/>
      <c r="C307" s="3"/>
      <c r="D307" s="2"/>
      <c r="E307" s="2"/>
      <c r="F307" s="2"/>
      <c r="G307" s="2"/>
      <c r="H307" s="2"/>
      <c r="I307" s="3"/>
      <c r="J307" s="241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</row>
    <row r="308" spans="1:43" ht="13">
      <c r="A308" s="2"/>
      <c r="B308" s="2"/>
      <c r="C308" s="3"/>
      <c r="D308" s="2"/>
      <c r="E308" s="2"/>
      <c r="F308" s="2"/>
      <c r="G308" s="2"/>
      <c r="H308" s="2"/>
      <c r="I308" s="3"/>
      <c r="J308" s="241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</row>
    <row r="309" spans="1:43" ht="13">
      <c r="A309" s="2"/>
      <c r="B309" s="2"/>
      <c r="C309" s="3"/>
      <c r="D309" s="2"/>
      <c r="E309" s="2"/>
      <c r="F309" s="2"/>
      <c r="G309" s="2"/>
      <c r="H309" s="2"/>
      <c r="I309" s="3"/>
      <c r="J309" s="241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</row>
    <row r="310" spans="1:43" ht="13">
      <c r="A310" s="2"/>
      <c r="B310" s="2"/>
      <c r="C310" s="3"/>
      <c r="D310" s="2"/>
      <c r="E310" s="2"/>
      <c r="F310" s="2"/>
      <c r="G310" s="2"/>
      <c r="H310" s="2"/>
      <c r="I310" s="3"/>
      <c r="J310" s="241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</row>
    <row r="311" spans="1:43" ht="13">
      <c r="A311" s="2"/>
      <c r="B311" s="2"/>
      <c r="C311" s="3"/>
      <c r="D311" s="2"/>
      <c r="E311" s="2"/>
      <c r="F311" s="2"/>
      <c r="G311" s="2"/>
      <c r="H311" s="2"/>
      <c r="I311" s="3"/>
      <c r="J311" s="241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</row>
    <row r="312" spans="1:43" ht="13">
      <c r="A312" s="2"/>
      <c r="B312" s="2"/>
      <c r="C312" s="3"/>
      <c r="D312" s="2"/>
      <c r="E312" s="2"/>
      <c r="F312" s="2"/>
      <c r="G312" s="2"/>
      <c r="H312" s="2"/>
      <c r="I312" s="3"/>
      <c r="J312" s="241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</row>
    <row r="313" spans="1:43" ht="13">
      <c r="A313" s="2"/>
      <c r="B313" s="2"/>
      <c r="C313" s="3"/>
      <c r="D313" s="2"/>
      <c r="E313" s="2"/>
      <c r="F313" s="2"/>
      <c r="G313" s="2"/>
      <c r="H313" s="2"/>
      <c r="I313" s="3"/>
      <c r="J313" s="241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</row>
    <row r="314" spans="1:43" ht="13">
      <c r="A314" s="2"/>
      <c r="B314" s="2"/>
      <c r="C314" s="3"/>
      <c r="D314" s="2"/>
      <c r="E314" s="2"/>
      <c r="F314" s="2"/>
      <c r="G314" s="2"/>
      <c r="H314" s="2"/>
      <c r="I314" s="3"/>
      <c r="J314" s="241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</row>
    <row r="315" spans="1:43" ht="13">
      <c r="A315" s="2"/>
      <c r="B315" s="2"/>
      <c r="C315" s="3"/>
      <c r="D315" s="2"/>
      <c r="E315" s="2"/>
      <c r="F315" s="2"/>
      <c r="G315" s="2"/>
      <c r="H315" s="2"/>
      <c r="I315" s="3"/>
      <c r="J315" s="241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</row>
    <row r="316" spans="1:43" ht="13">
      <c r="A316" s="2"/>
      <c r="B316" s="2"/>
      <c r="C316" s="3"/>
      <c r="D316" s="2"/>
      <c r="E316" s="2"/>
      <c r="F316" s="2"/>
      <c r="G316" s="2"/>
      <c r="H316" s="2"/>
      <c r="I316" s="3"/>
      <c r="J316" s="241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</row>
    <row r="317" spans="1:43" ht="13">
      <c r="A317" s="2"/>
      <c r="B317" s="2"/>
      <c r="C317" s="3"/>
      <c r="D317" s="2"/>
      <c r="E317" s="2"/>
      <c r="F317" s="2"/>
      <c r="G317" s="2"/>
      <c r="H317" s="2"/>
      <c r="I317" s="3"/>
      <c r="J317" s="241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</row>
    <row r="318" spans="1:43" ht="13">
      <c r="A318" s="2"/>
      <c r="B318" s="2"/>
      <c r="C318" s="3"/>
      <c r="D318" s="2"/>
      <c r="E318" s="2"/>
      <c r="F318" s="2"/>
      <c r="G318" s="2"/>
      <c r="H318" s="2"/>
      <c r="I318" s="3"/>
      <c r="J318" s="241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</row>
    <row r="319" spans="1:43" ht="13">
      <c r="A319" s="2"/>
      <c r="B319" s="2"/>
      <c r="C319" s="3"/>
      <c r="D319" s="2"/>
      <c r="E319" s="2"/>
      <c r="F319" s="2"/>
      <c r="G319" s="2"/>
      <c r="H319" s="2"/>
      <c r="I319" s="3"/>
      <c r="J319" s="241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</row>
    <row r="320" spans="1:43" ht="13">
      <c r="A320" s="2"/>
      <c r="B320" s="2"/>
      <c r="C320" s="3"/>
      <c r="D320" s="2"/>
      <c r="E320" s="2"/>
      <c r="F320" s="2"/>
      <c r="G320" s="2"/>
      <c r="H320" s="2"/>
      <c r="I320" s="3"/>
      <c r="J320" s="241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</row>
    <row r="321" spans="1:43" ht="13">
      <c r="A321" s="2"/>
      <c r="B321" s="2"/>
      <c r="C321" s="3"/>
      <c r="D321" s="2"/>
      <c r="E321" s="2"/>
      <c r="F321" s="2"/>
      <c r="G321" s="2"/>
      <c r="H321" s="2"/>
      <c r="I321" s="3"/>
      <c r="J321" s="241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</row>
    <row r="322" spans="1:43" ht="13">
      <c r="A322" s="2"/>
      <c r="B322" s="2"/>
      <c r="C322" s="3"/>
      <c r="D322" s="2"/>
      <c r="E322" s="2"/>
      <c r="F322" s="2"/>
      <c r="G322" s="2"/>
      <c r="H322" s="2"/>
      <c r="I322" s="3"/>
      <c r="J322" s="241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</row>
    <row r="323" spans="1:43" ht="13">
      <c r="A323" s="2"/>
      <c r="B323" s="2"/>
      <c r="C323" s="3"/>
      <c r="D323" s="2"/>
      <c r="E323" s="2"/>
      <c r="F323" s="2"/>
      <c r="G323" s="2"/>
      <c r="H323" s="2"/>
      <c r="I323" s="3"/>
      <c r="J323" s="241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</row>
    <row r="324" spans="1:43" ht="13">
      <c r="A324" s="2"/>
      <c r="B324" s="2"/>
      <c r="C324" s="3"/>
      <c r="D324" s="2"/>
      <c r="E324" s="2"/>
      <c r="F324" s="2"/>
      <c r="G324" s="2"/>
      <c r="H324" s="2"/>
      <c r="I324" s="3"/>
      <c r="J324" s="241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</row>
    <row r="325" spans="1:43" ht="13">
      <c r="A325" s="2"/>
      <c r="B325" s="2"/>
      <c r="C325" s="3"/>
      <c r="D325" s="2"/>
      <c r="E325" s="2"/>
      <c r="F325" s="2"/>
      <c r="G325" s="2"/>
      <c r="H325" s="2"/>
      <c r="I325" s="3"/>
      <c r="J325" s="241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</row>
    <row r="326" spans="1:43" ht="13">
      <c r="A326" s="2"/>
      <c r="B326" s="2"/>
      <c r="C326" s="3"/>
      <c r="D326" s="2"/>
      <c r="E326" s="2"/>
      <c r="F326" s="2"/>
      <c r="G326" s="2"/>
      <c r="H326" s="2"/>
      <c r="I326" s="3"/>
      <c r="J326" s="241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</row>
    <row r="327" spans="1:43" ht="13">
      <c r="A327" s="2"/>
      <c r="B327" s="2"/>
      <c r="C327" s="3"/>
      <c r="D327" s="2"/>
      <c r="E327" s="2"/>
      <c r="F327" s="2"/>
      <c r="G327" s="2"/>
      <c r="H327" s="2"/>
      <c r="I327" s="3"/>
      <c r="J327" s="241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</row>
    <row r="328" spans="1:43" ht="13">
      <c r="A328" s="2"/>
      <c r="B328" s="2"/>
      <c r="C328" s="3"/>
      <c r="D328" s="2"/>
      <c r="E328" s="2"/>
      <c r="F328" s="2"/>
      <c r="G328" s="2"/>
      <c r="H328" s="2"/>
      <c r="I328" s="3"/>
      <c r="J328" s="241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</row>
    <row r="329" spans="1:43" ht="13">
      <c r="A329" s="2"/>
      <c r="B329" s="2"/>
      <c r="C329" s="3"/>
      <c r="D329" s="2"/>
      <c r="E329" s="2"/>
      <c r="F329" s="2"/>
      <c r="G329" s="2"/>
      <c r="H329" s="2"/>
      <c r="I329" s="3"/>
      <c r="J329" s="241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</row>
    <row r="330" spans="1:43" ht="13">
      <c r="A330" s="2"/>
      <c r="B330" s="2"/>
      <c r="C330" s="3"/>
      <c r="D330" s="2"/>
      <c r="E330" s="2"/>
      <c r="F330" s="2"/>
      <c r="G330" s="2"/>
      <c r="H330" s="2"/>
      <c r="I330" s="3"/>
      <c r="J330" s="241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</row>
    <row r="331" spans="1:43" ht="13">
      <c r="A331" s="2"/>
      <c r="B331" s="2"/>
      <c r="C331" s="3"/>
      <c r="D331" s="2"/>
      <c r="E331" s="2"/>
      <c r="F331" s="2"/>
      <c r="G331" s="2"/>
      <c r="H331" s="2"/>
      <c r="I331" s="3"/>
      <c r="J331" s="241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</row>
    <row r="332" spans="1:43" ht="13">
      <c r="A332" s="2"/>
      <c r="B332" s="2"/>
      <c r="C332" s="3"/>
      <c r="D332" s="2"/>
      <c r="E332" s="2"/>
      <c r="F332" s="2"/>
      <c r="G332" s="2"/>
      <c r="H332" s="2"/>
      <c r="I332" s="3"/>
      <c r="J332" s="241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</row>
    <row r="333" spans="1:43" ht="13">
      <c r="A333" s="2"/>
      <c r="B333" s="2"/>
      <c r="C333" s="3"/>
      <c r="D333" s="2"/>
      <c r="E333" s="2"/>
      <c r="F333" s="2"/>
      <c r="G333" s="2"/>
      <c r="H333" s="2"/>
      <c r="I333" s="3"/>
      <c r="J333" s="241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</row>
    <row r="334" spans="1:43" ht="13">
      <c r="A334" s="2"/>
      <c r="B334" s="2"/>
      <c r="C334" s="3"/>
      <c r="D334" s="2"/>
      <c r="E334" s="2"/>
      <c r="F334" s="2"/>
      <c r="G334" s="2"/>
      <c r="H334" s="2"/>
      <c r="I334" s="3"/>
      <c r="J334" s="241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</row>
    <row r="335" spans="1:43" ht="13">
      <c r="A335" s="2"/>
      <c r="B335" s="2"/>
      <c r="C335" s="3"/>
      <c r="D335" s="2"/>
      <c r="E335" s="2"/>
      <c r="F335" s="2"/>
      <c r="G335" s="2"/>
      <c r="H335" s="2"/>
      <c r="I335" s="3"/>
      <c r="J335" s="241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</row>
    <row r="336" spans="1:43" ht="13">
      <c r="A336" s="2"/>
      <c r="B336" s="2"/>
      <c r="C336" s="3"/>
      <c r="D336" s="2"/>
      <c r="E336" s="2"/>
      <c r="F336" s="2"/>
      <c r="G336" s="2"/>
      <c r="H336" s="2"/>
      <c r="I336" s="3"/>
      <c r="J336" s="241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</row>
    <row r="337" spans="1:43" ht="13">
      <c r="A337" s="2"/>
      <c r="B337" s="2"/>
      <c r="C337" s="3"/>
      <c r="D337" s="2"/>
      <c r="E337" s="2"/>
      <c r="F337" s="2"/>
      <c r="G337" s="2"/>
      <c r="H337" s="2"/>
      <c r="I337" s="3"/>
      <c r="J337" s="241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</row>
    <row r="338" spans="1:43" ht="13">
      <c r="A338" s="2"/>
      <c r="B338" s="2"/>
      <c r="C338" s="3"/>
      <c r="D338" s="2"/>
      <c r="E338" s="2"/>
      <c r="F338" s="2"/>
      <c r="G338" s="2"/>
      <c r="H338" s="2"/>
      <c r="I338" s="3"/>
      <c r="J338" s="241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</row>
    <row r="339" spans="1:43" ht="13">
      <c r="A339" s="2"/>
      <c r="B339" s="2"/>
      <c r="C339" s="3"/>
      <c r="D339" s="2"/>
      <c r="E339" s="2"/>
      <c r="F339" s="2"/>
      <c r="G339" s="2"/>
      <c r="H339" s="2"/>
      <c r="I339" s="3"/>
      <c r="J339" s="241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</row>
    <row r="340" spans="1:43" ht="13">
      <c r="A340" s="2"/>
      <c r="B340" s="2"/>
      <c r="C340" s="3"/>
      <c r="D340" s="2"/>
      <c r="E340" s="2"/>
      <c r="F340" s="2"/>
      <c r="G340" s="2"/>
      <c r="H340" s="2"/>
      <c r="I340" s="3"/>
      <c r="J340" s="241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</row>
    <row r="341" spans="1:43" ht="13">
      <c r="A341" s="2"/>
      <c r="B341" s="2"/>
      <c r="C341" s="3"/>
      <c r="D341" s="2"/>
      <c r="E341" s="2"/>
      <c r="F341" s="2"/>
      <c r="G341" s="2"/>
      <c r="H341" s="2"/>
      <c r="I341" s="3"/>
      <c r="J341" s="241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</row>
    <row r="342" spans="1:43" ht="13">
      <c r="A342" s="2"/>
      <c r="B342" s="2"/>
      <c r="C342" s="3"/>
      <c r="D342" s="2"/>
      <c r="E342" s="2"/>
      <c r="F342" s="2"/>
      <c r="G342" s="2"/>
      <c r="H342" s="2"/>
      <c r="I342" s="3"/>
      <c r="J342" s="241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</row>
    <row r="343" spans="1:43" ht="13">
      <c r="A343" s="2"/>
      <c r="B343" s="2"/>
      <c r="C343" s="3"/>
      <c r="D343" s="2"/>
      <c r="E343" s="2"/>
      <c r="F343" s="2"/>
      <c r="G343" s="2"/>
      <c r="H343" s="2"/>
      <c r="I343" s="3"/>
      <c r="J343" s="241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</row>
    <row r="344" spans="1:43" ht="13">
      <c r="A344" s="2"/>
      <c r="B344" s="2"/>
      <c r="C344" s="3"/>
      <c r="D344" s="2"/>
      <c r="E344" s="2"/>
      <c r="F344" s="2"/>
      <c r="G344" s="2"/>
      <c r="H344" s="2"/>
      <c r="I344" s="3"/>
      <c r="J344" s="241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</row>
    <row r="345" spans="1:43" ht="13">
      <c r="A345" s="2"/>
      <c r="B345" s="2"/>
      <c r="C345" s="3"/>
      <c r="D345" s="2"/>
      <c r="E345" s="2"/>
      <c r="F345" s="2"/>
      <c r="G345" s="2"/>
      <c r="H345" s="2"/>
      <c r="I345" s="3"/>
      <c r="J345" s="241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</row>
    <row r="346" spans="1:43" ht="13">
      <c r="A346" s="2"/>
      <c r="B346" s="2"/>
      <c r="C346" s="3"/>
      <c r="D346" s="2"/>
      <c r="E346" s="2"/>
      <c r="F346" s="2"/>
      <c r="G346" s="2"/>
      <c r="H346" s="2"/>
      <c r="I346" s="3"/>
      <c r="J346" s="241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</row>
    <row r="347" spans="1:43" ht="13">
      <c r="A347" s="2"/>
      <c r="B347" s="2"/>
      <c r="C347" s="3"/>
      <c r="D347" s="2"/>
      <c r="E347" s="2"/>
      <c r="F347" s="2"/>
      <c r="G347" s="2"/>
      <c r="H347" s="2"/>
      <c r="I347" s="3"/>
      <c r="J347" s="241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</row>
    <row r="348" spans="1:43" ht="13">
      <c r="A348" s="2"/>
      <c r="B348" s="2"/>
      <c r="C348" s="3"/>
      <c r="D348" s="2"/>
      <c r="E348" s="2"/>
      <c r="F348" s="2"/>
      <c r="G348" s="2"/>
      <c r="H348" s="2"/>
      <c r="I348" s="3"/>
      <c r="J348" s="241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</row>
    <row r="349" spans="1:43" ht="13">
      <c r="A349" s="2"/>
      <c r="B349" s="2"/>
      <c r="C349" s="3"/>
      <c r="D349" s="2"/>
      <c r="E349" s="2"/>
      <c r="F349" s="2"/>
      <c r="G349" s="2"/>
      <c r="H349" s="2"/>
      <c r="I349" s="3"/>
      <c r="J349" s="241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</row>
    <row r="350" spans="1:43" ht="13">
      <c r="A350" s="2"/>
      <c r="B350" s="2"/>
      <c r="C350" s="3"/>
      <c r="D350" s="2"/>
      <c r="E350" s="2"/>
      <c r="F350" s="2"/>
      <c r="G350" s="2"/>
      <c r="H350" s="2"/>
      <c r="I350" s="3"/>
      <c r="J350" s="241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</row>
    <row r="351" spans="1:43" ht="13">
      <c r="A351" s="2"/>
      <c r="B351" s="2"/>
      <c r="C351" s="3"/>
      <c r="D351" s="2"/>
      <c r="E351" s="2"/>
      <c r="F351" s="2"/>
      <c r="G351" s="2"/>
      <c r="H351" s="2"/>
      <c r="I351" s="3"/>
      <c r="J351" s="241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</row>
    <row r="352" spans="1:43" ht="13">
      <c r="A352" s="2"/>
      <c r="B352" s="2"/>
      <c r="C352" s="3"/>
      <c r="D352" s="2"/>
      <c r="E352" s="2"/>
      <c r="F352" s="2"/>
      <c r="G352" s="2"/>
      <c r="H352" s="2"/>
      <c r="I352" s="3"/>
      <c r="J352" s="241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</row>
    <row r="353" spans="1:43" ht="13">
      <c r="A353" s="2"/>
      <c r="B353" s="2"/>
      <c r="C353" s="3"/>
      <c r="D353" s="2"/>
      <c r="E353" s="2"/>
      <c r="F353" s="2"/>
      <c r="G353" s="2"/>
      <c r="H353" s="2"/>
      <c r="I353" s="3"/>
      <c r="J353" s="241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</row>
    <row r="354" spans="1:43" ht="13">
      <c r="A354" s="2"/>
      <c r="B354" s="2"/>
      <c r="C354" s="3"/>
      <c r="D354" s="2"/>
      <c r="E354" s="2"/>
      <c r="F354" s="2"/>
      <c r="G354" s="2"/>
      <c r="H354" s="2"/>
      <c r="I354" s="3"/>
      <c r="J354" s="241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</row>
    <row r="355" spans="1:43" ht="13">
      <c r="A355" s="2"/>
      <c r="B355" s="2"/>
      <c r="C355" s="3"/>
      <c r="D355" s="2"/>
      <c r="E355" s="2"/>
      <c r="F355" s="2"/>
      <c r="G355" s="2"/>
      <c r="H355" s="2"/>
      <c r="I355" s="3"/>
      <c r="J355" s="241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</row>
    <row r="356" spans="1:43" ht="13">
      <c r="A356" s="2"/>
      <c r="B356" s="2"/>
      <c r="C356" s="3"/>
      <c r="D356" s="2"/>
      <c r="E356" s="2"/>
      <c r="F356" s="2"/>
      <c r="G356" s="2"/>
      <c r="H356" s="2"/>
      <c r="I356" s="3"/>
      <c r="J356" s="241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</row>
    <row r="357" spans="1:43" ht="13">
      <c r="A357" s="2"/>
      <c r="B357" s="2"/>
      <c r="C357" s="3"/>
      <c r="D357" s="2"/>
      <c r="E357" s="2"/>
      <c r="F357" s="2"/>
      <c r="G357" s="2"/>
      <c r="H357" s="2"/>
      <c r="I357" s="3"/>
      <c r="J357" s="241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</row>
    <row r="358" spans="1:43" ht="13">
      <c r="A358" s="2"/>
      <c r="B358" s="2"/>
      <c r="C358" s="3"/>
      <c r="D358" s="2"/>
      <c r="E358" s="2"/>
      <c r="F358" s="2"/>
      <c r="G358" s="2"/>
      <c r="H358" s="2"/>
      <c r="I358" s="3"/>
      <c r="J358" s="241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</row>
    <row r="359" spans="1:43" ht="13">
      <c r="A359" s="2"/>
      <c r="B359" s="2"/>
      <c r="C359" s="3"/>
      <c r="D359" s="2"/>
      <c r="E359" s="2"/>
      <c r="F359" s="2"/>
      <c r="G359" s="2"/>
      <c r="H359" s="2"/>
      <c r="I359" s="3"/>
      <c r="J359" s="241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</row>
    <row r="360" spans="1:43" ht="13">
      <c r="A360" s="2"/>
      <c r="B360" s="2"/>
      <c r="C360" s="3"/>
      <c r="D360" s="2"/>
      <c r="E360" s="2"/>
      <c r="F360" s="2"/>
      <c r="G360" s="2"/>
      <c r="H360" s="2"/>
      <c r="I360" s="3"/>
      <c r="J360" s="241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</row>
    <row r="361" spans="1:43" ht="13">
      <c r="A361" s="2"/>
      <c r="B361" s="2"/>
      <c r="C361" s="3"/>
      <c r="D361" s="2"/>
      <c r="E361" s="2"/>
      <c r="F361" s="2"/>
      <c r="G361" s="2"/>
      <c r="H361" s="2"/>
      <c r="I361" s="3"/>
      <c r="J361" s="241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</row>
    <row r="362" spans="1:43" ht="13">
      <c r="A362" s="2"/>
      <c r="B362" s="2"/>
      <c r="C362" s="3"/>
      <c r="D362" s="2"/>
      <c r="E362" s="2"/>
      <c r="F362" s="2"/>
      <c r="G362" s="2"/>
      <c r="H362" s="2"/>
      <c r="I362" s="3"/>
      <c r="J362" s="241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</row>
    <row r="363" spans="1:43" ht="13">
      <c r="A363" s="2"/>
      <c r="B363" s="2"/>
      <c r="C363" s="3"/>
      <c r="D363" s="2"/>
      <c r="E363" s="2"/>
      <c r="F363" s="2"/>
      <c r="G363" s="2"/>
      <c r="H363" s="2"/>
      <c r="I363" s="3"/>
      <c r="J363" s="241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</row>
    <row r="364" spans="1:43" ht="13">
      <c r="A364" s="2"/>
      <c r="B364" s="2"/>
      <c r="C364" s="3"/>
      <c r="D364" s="2"/>
      <c r="E364" s="2"/>
      <c r="F364" s="2"/>
      <c r="G364" s="2"/>
      <c r="H364" s="2"/>
      <c r="I364" s="3"/>
      <c r="J364" s="241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</row>
    <row r="365" spans="1:43" ht="13">
      <c r="A365" s="2"/>
      <c r="B365" s="2"/>
      <c r="C365" s="3"/>
      <c r="D365" s="2"/>
      <c r="E365" s="2"/>
      <c r="F365" s="2"/>
      <c r="G365" s="2"/>
      <c r="H365" s="2"/>
      <c r="I365" s="3"/>
      <c r="J365" s="241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</row>
    <row r="366" spans="1:43" ht="13">
      <c r="A366" s="2"/>
      <c r="B366" s="2"/>
      <c r="C366" s="3"/>
      <c r="D366" s="2"/>
      <c r="E366" s="2"/>
      <c r="F366" s="2"/>
      <c r="G366" s="2"/>
      <c r="H366" s="2"/>
      <c r="I366" s="3"/>
      <c r="J366" s="241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</row>
    <row r="367" spans="1:43" ht="13">
      <c r="A367" s="2"/>
      <c r="B367" s="2"/>
      <c r="C367" s="3"/>
      <c r="D367" s="2"/>
      <c r="E367" s="2"/>
      <c r="F367" s="2"/>
      <c r="G367" s="2"/>
      <c r="H367" s="2"/>
      <c r="I367" s="3"/>
      <c r="J367" s="241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</row>
    <row r="368" spans="1:43" ht="13">
      <c r="A368" s="2"/>
      <c r="B368" s="2"/>
      <c r="C368" s="3"/>
      <c r="D368" s="2"/>
      <c r="E368" s="2"/>
      <c r="F368" s="2"/>
      <c r="G368" s="2"/>
      <c r="H368" s="2"/>
      <c r="I368" s="3"/>
      <c r="J368" s="241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</row>
    <row r="369" spans="1:43" ht="13">
      <c r="A369" s="2"/>
      <c r="B369" s="2"/>
      <c r="C369" s="3"/>
      <c r="D369" s="2"/>
      <c r="E369" s="2"/>
      <c r="F369" s="2"/>
      <c r="G369" s="2"/>
      <c r="H369" s="2"/>
      <c r="I369" s="3"/>
      <c r="J369" s="241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</row>
    <row r="370" spans="1:43" ht="13">
      <c r="A370" s="2"/>
      <c r="B370" s="2"/>
      <c r="C370" s="3"/>
      <c r="D370" s="2"/>
      <c r="E370" s="2"/>
      <c r="F370" s="2"/>
      <c r="G370" s="2"/>
      <c r="H370" s="2"/>
      <c r="I370" s="3"/>
      <c r="J370" s="241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</row>
    <row r="371" spans="1:43" ht="13">
      <c r="A371" s="2"/>
      <c r="B371" s="2"/>
      <c r="C371" s="3"/>
      <c r="D371" s="2"/>
      <c r="E371" s="2"/>
      <c r="F371" s="2"/>
      <c r="G371" s="2"/>
      <c r="H371" s="2"/>
      <c r="I371" s="3"/>
      <c r="J371" s="241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</row>
    <row r="372" spans="1:43" ht="13">
      <c r="A372" s="2"/>
      <c r="B372" s="2"/>
      <c r="C372" s="3"/>
      <c r="D372" s="2"/>
      <c r="E372" s="2"/>
      <c r="F372" s="2"/>
      <c r="G372" s="2"/>
      <c r="H372" s="2"/>
      <c r="I372" s="3"/>
      <c r="J372" s="241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</row>
    <row r="373" spans="1:43" ht="13">
      <c r="A373" s="2"/>
      <c r="B373" s="2"/>
      <c r="C373" s="3"/>
      <c r="D373" s="2"/>
      <c r="E373" s="2"/>
      <c r="F373" s="2"/>
      <c r="G373" s="2"/>
      <c r="H373" s="2"/>
      <c r="I373" s="3"/>
      <c r="J373" s="241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</row>
    <row r="374" spans="1:43" ht="13">
      <c r="A374" s="2"/>
      <c r="B374" s="2"/>
      <c r="C374" s="3"/>
      <c r="D374" s="2"/>
      <c r="E374" s="2"/>
      <c r="F374" s="2"/>
      <c r="G374" s="2"/>
      <c r="H374" s="2"/>
      <c r="I374" s="3"/>
      <c r="J374" s="241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</row>
    <row r="375" spans="1:43" ht="13">
      <c r="A375" s="2"/>
      <c r="B375" s="2"/>
      <c r="C375" s="3"/>
      <c r="D375" s="2"/>
      <c r="E375" s="2"/>
      <c r="F375" s="2"/>
      <c r="G375" s="2"/>
      <c r="H375" s="2"/>
      <c r="I375" s="3"/>
      <c r="J375" s="241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</row>
    <row r="376" spans="1:43" ht="13">
      <c r="A376" s="2"/>
      <c r="B376" s="2"/>
      <c r="C376" s="3"/>
      <c r="D376" s="2"/>
      <c r="E376" s="2"/>
      <c r="F376" s="2"/>
      <c r="G376" s="2"/>
      <c r="H376" s="2"/>
      <c r="I376" s="3"/>
      <c r="J376" s="241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</row>
    <row r="377" spans="1:43" ht="13">
      <c r="A377" s="2"/>
      <c r="B377" s="2"/>
      <c r="C377" s="3"/>
      <c r="D377" s="2"/>
      <c r="E377" s="2"/>
      <c r="F377" s="2"/>
      <c r="G377" s="2"/>
      <c r="H377" s="2"/>
      <c r="I377" s="3"/>
      <c r="J377" s="241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</row>
    <row r="378" spans="1:43" ht="13">
      <c r="A378" s="2"/>
      <c r="B378" s="2"/>
      <c r="C378" s="3"/>
      <c r="D378" s="2"/>
      <c r="E378" s="2"/>
      <c r="F378" s="2"/>
      <c r="G378" s="2"/>
      <c r="H378" s="2"/>
      <c r="I378" s="3"/>
      <c r="J378" s="241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</row>
    <row r="379" spans="1:43" ht="13">
      <c r="A379" s="2"/>
      <c r="B379" s="2"/>
      <c r="C379" s="3"/>
      <c r="D379" s="2"/>
      <c r="E379" s="2"/>
      <c r="F379" s="2"/>
      <c r="G379" s="2"/>
      <c r="H379" s="2"/>
      <c r="I379" s="3"/>
      <c r="J379" s="241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</row>
    <row r="380" spans="1:43" ht="13">
      <c r="A380" s="2"/>
      <c r="B380" s="2"/>
      <c r="C380" s="3"/>
      <c r="D380" s="2"/>
      <c r="E380" s="2"/>
      <c r="F380" s="2"/>
      <c r="G380" s="2"/>
      <c r="H380" s="2"/>
      <c r="I380" s="3"/>
      <c r="J380" s="241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</row>
    <row r="381" spans="1:43" ht="13">
      <c r="A381" s="2"/>
      <c r="B381" s="2"/>
      <c r="C381" s="3"/>
      <c r="D381" s="2"/>
      <c r="E381" s="2"/>
      <c r="F381" s="2"/>
      <c r="G381" s="2"/>
      <c r="H381" s="2"/>
      <c r="I381" s="3"/>
      <c r="J381" s="241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</row>
    <row r="382" spans="1:43" ht="13">
      <c r="A382" s="2"/>
      <c r="B382" s="2"/>
      <c r="C382" s="3"/>
      <c r="D382" s="2"/>
      <c r="E382" s="2"/>
      <c r="F382" s="2"/>
      <c r="G382" s="2"/>
      <c r="H382" s="2"/>
      <c r="I382" s="3"/>
      <c r="J382" s="241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</row>
    <row r="383" spans="1:43" ht="13">
      <c r="A383" s="2"/>
      <c r="B383" s="2"/>
      <c r="C383" s="3"/>
      <c r="D383" s="2"/>
      <c r="E383" s="2"/>
      <c r="F383" s="2"/>
      <c r="G383" s="2"/>
      <c r="H383" s="2"/>
      <c r="I383" s="3"/>
      <c r="J383" s="241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</row>
    <row r="384" spans="1:43" ht="13">
      <c r="A384" s="2"/>
      <c r="B384" s="2"/>
      <c r="C384" s="3"/>
      <c r="D384" s="2"/>
      <c r="E384" s="2"/>
      <c r="F384" s="2"/>
      <c r="G384" s="2"/>
      <c r="H384" s="2"/>
      <c r="I384" s="3"/>
      <c r="J384" s="241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</row>
    <row r="385" spans="1:43" ht="13">
      <c r="A385" s="2"/>
      <c r="B385" s="2"/>
      <c r="C385" s="3"/>
      <c r="D385" s="2"/>
      <c r="E385" s="2"/>
      <c r="F385" s="2"/>
      <c r="G385" s="2"/>
      <c r="H385" s="2"/>
      <c r="I385" s="3"/>
      <c r="J385" s="241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</row>
    <row r="386" spans="1:43" ht="13">
      <c r="A386" s="2"/>
      <c r="B386" s="2"/>
      <c r="C386" s="3"/>
      <c r="D386" s="2"/>
      <c r="E386" s="2"/>
      <c r="F386" s="2"/>
      <c r="G386" s="2"/>
      <c r="H386" s="2"/>
      <c r="I386" s="3"/>
      <c r="J386" s="241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</row>
    <row r="387" spans="1:43" ht="13">
      <c r="A387" s="2"/>
      <c r="B387" s="2"/>
      <c r="C387" s="3"/>
      <c r="D387" s="2"/>
      <c r="E387" s="2"/>
      <c r="F387" s="2"/>
      <c r="G387" s="2"/>
      <c r="H387" s="2"/>
      <c r="I387" s="3"/>
      <c r="J387" s="241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</row>
    <row r="388" spans="1:43" ht="13">
      <c r="A388" s="2"/>
      <c r="B388" s="2"/>
      <c r="C388" s="3"/>
      <c r="D388" s="2"/>
      <c r="E388" s="2"/>
      <c r="F388" s="2"/>
      <c r="G388" s="2"/>
      <c r="H388" s="2"/>
      <c r="I388" s="3"/>
      <c r="J388" s="241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</row>
    <row r="389" spans="1:43" ht="13">
      <c r="A389" s="2"/>
      <c r="B389" s="2"/>
      <c r="C389" s="3"/>
      <c r="D389" s="2"/>
      <c r="E389" s="2"/>
      <c r="F389" s="2"/>
      <c r="G389" s="2"/>
      <c r="H389" s="2"/>
      <c r="I389" s="3"/>
      <c r="J389" s="241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</row>
    <row r="390" spans="1:43" ht="13">
      <c r="A390" s="2"/>
      <c r="B390" s="2"/>
      <c r="C390" s="3"/>
      <c r="D390" s="2"/>
      <c r="E390" s="2"/>
      <c r="F390" s="2"/>
      <c r="G390" s="2"/>
      <c r="H390" s="2"/>
      <c r="I390" s="3"/>
      <c r="J390" s="241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</row>
    <row r="391" spans="1:43" ht="13">
      <c r="A391" s="2"/>
      <c r="B391" s="2"/>
      <c r="C391" s="3"/>
      <c r="D391" s="2"/>
      <c r="E391" s="2"/>
      <c r="F391" s="2"/>
      <c r="G391" s="2"/>
      <c r="H391" s="2"/>
      <c r="I391" s="3"/>
      <c r="J391" s="241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</row>
    <row r="392" spans="1:43" ht="13">
      <c r="A392" s="2"/>
      <c r="B392" s="2"/>
      <c r="C392" s="3"/>
      <c r="D392" s="2"/>
      <c r="E392" s="2"/>
      <c r="F392" s="2"/>
      <c r="G392" s="2"/>
      <c r="H392" s="2"/>
      <c r="I392" s="3"/>
      <c r="J392" s="241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</row>
    <row r="393" spans="1:43" ht="13">
      <c r="A393" s="2"/>
      <c r="B393" s="2"/>
      <c r="C393" s="3"/>
      <c r="D393" s="2"/>
      <c r="E393" s="2"/>
      <c r="F393" s="2"/>
      <c r="G393" s="2"/>
      <c r="H393" s="2"/>
      <c r="I393" s="3"/>
      <c r="J393" s="241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</row>
    <row r="394" spans="1:43" ht="13">
      <c r="A394" s="2"/>
      <c r="B394" s="2"/>
      <c r="C394" s="3"/>
      <c r="D394" s="2"/>
      <c r="E394" s="2"/>
      <c r="F394" s="2"/>
      <c r="G394" s="2"/>
      <c r="H394" s="2"/>
      <c r="I394" s="3"/>
      <c r="J394" s="241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</row>
    <row r="395" spans="1:43" ht="13">
      <c r="A395" s="2"/>
      <c r="B395" s="2"/>
      <c r="C395" s="3"/>
      <c r="D395" s="2"/>
      <c r="E395" s="2"/>
      <c r="F395" s="2"/>
      <c r="G395" s="2"/>
      <c r="H395" s="2"/>
      <c r="I395" s="3"/>
      <c r="J395" s="241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</row>
    <row r="396" spans="1:43" ht="13">
      <c r="A396" s="2"/>
      <c r="B396" s="2"/>
      <c r="C396" s="3"/>
      <c r="D396" s="2"/>
      <c r="E396" s="2"/>
      <c r="F396" s="2"/>
      <c r="G396" s="2"/>
      <c r="H396" s="2"/>
      <c r="I396" s="3"/>
      <c r="J396" s="241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</row>
    <row r="397" spans="1:43" ht="13">
      <c r="A397" s="2"/>
      <c r="B397" s="2"/>
      <c r="C397" s="3"/>
      <c r="D397" s="2"/>
      <c r="E397" s="2"/>
      <c r="F397" s="2"/>
      <c r="G397" s="2"/>
      <c r="H397" s="2"/>
      <c r="I397" s="3"/>
      <c r="J397" s="241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</row>
    <row r="398" spans="1:43" ht="13">
      <c r="A398" s="2"/>
      <c r="B398" s="2"/>
      <c r="C398" s="3"/>
      <c r="D398" s="2"/>
      <c r="E398" s="2"/>
      <c r="F398" s="2"/>
      <c r="G398" s="2"/>
      <c r="H398" s="2"/>
      <c r="I398" s="3"/>
      <c r="J398" s="241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</row>
    <row r="399" spans="1:43" ht="13">
      <c r="A399" s="2"/>
      <c r="B399" s="2"/>
      <c r="C399" s="3"/>
      <c r="D399" s="2"/>
      <c r="E399" s="2"/>
      <c r="F399" s="2"/>
      <c r="G399" s="2"/>
      <c r="H399" s="2"/>
      <c r="I399" s="3"/>
      <c r="J399" s="241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</row>
    <row r="400" spans="1:43" ht="13">
      <c r="A400" s="2"/>
      <c r="B400" s="2"/>
      <c r="C400" s="3"/>
      <c r="D400" s="2"/>
      <c r="E400" s="2"/>
      <c r="F400" s="2"/>
      <c r="G400" s="2"/>
      <c r="H400" s="2"/>
      <c r="I400" s="3"/>
      <c r="J400" s="241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</row>
    <row r="401" spans="1:43" ht="13">
      <c r="A401" s="2"/>
      <c r="B401" s="2"/>
      <c r="C401" s="3"/>
      <c r="D401" s="2"/>
      <c r="E401" s="2"/>
      <c r="F401" s="2"/>
      <c r="G401" s="2"/>
      <c r="H401" s="2"/>
      <c r="I401" s="3"/>
      <c r="J401" s="241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</row>
    <row r="402" spans="1:43" ht="13">
      <c r="A402" s="2"/>
      <c r="B402" s="2"/>
      <c r="C402" s="3"/>
      <c r="D402" s="2"/>
      <c r="E402" s="2"/>
      <c r="F402" s="2"/>
      <c r="G402" s="2"/>
      <c r="H402" s="2"/>
      <c r="I402" s="3"/>
      <c r="J402" s="241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</row>
    <row r="403" spans="1:43" ht="13">
      <c r="A403" s="2"/>
      <c r="B403" s="2"/>
      <c r="C403" s="3"/>
      <c r="D403" s="2"/>
      <c r="E403" s="2"/>
      <c r="F403" s="2"/>
      <c r="G403" s="2"/>
      <c r="H403" s="2"/>
      <c r="I403" s="3"/>
      <c r="J403" s="241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</row>
    <row r="404" spans="1:43" ht="13">
      <c r="A404" s="2"/>
      <c r="B404" s="2"/>
      <c r="C404" s="3"/>
      <c r="D404" s="2"/>
      <c r="E404" s="2"/>
      <c r="F404" s="2"/>
      <c r="G404" s="2"/>
      <c r="H404" s="2"/>
      <c r="I404" s="3"/>
      <c r="J404" s="241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</row>
    <row r="405" spans="1:43" ht="13">
      <c r="A405" s="2"/>
      <c r="B405" s="2"/>
      <c r="C405" s="3"/>
      <c r="D405" s="2"/>
      <c r="E405" s="2"/>
      <c r="F405" s="2"/>
      <c r="G405" s="2"/>
      <c r="H405" s="2"/>
      <c r="I405" s="3"/>
      <c r="J405" s="241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</row>
    <row r="406" spans="1:43" ht="13">
      <c r="A406" s="2"/>
      <c r="B406" s="2"/>
      <c r="C406" s="3"/>
      <c r="D406" s="2"/>
      <c r="E406" s="2"/>
      <c r="F406" s="2"/>
      <c r="G406" s="2"/>
      <c r="H406" s="2"/>
      <c r="I406" s="3"/>
      <c r="J406" s="241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</row>
    <row r="407" spans="1:43" ht="13">
      <c r="A407" s="2"/>
      <c r="B407" s="2"/>
      <c r="C407" s="3"/>
      <c r="D407" s="2"/>
      <c r="E407" s="2"/>
      <c r="F407" s="2"/>
      <c r="G407" s="2"/>
      <c r="H407" s="2"/>
      <c r="I407" s="3"/>
      <c r="J407" s="241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</row>
    <row r="408" spans="1:43" ht="13">
      <c r="A408" s="2"/>
      <c r="B408" s="2"/>
      <c r="C408" s="3"/>
      <c r="D408" s="2"/>
      <c r="E408" s="2"/>
      <c r="F408" s="2"/>
      <c r="G408" s="2"/>
      <c r="H408" s="2"/>
      <c r="I408" s="3"/>
      <c r="J408" s="241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</row>
    <row r="409" spans="1:43" ht="13">
      <c r="A409" s="2"/>
      <c r="B409" s="2"/>
      <c r="C409" s="3"/>
      <c r="D409" s="2"/>
      <c r="E409" s="2"/>
      <c r="F409" s="2"/>
      <c r="G409" s="2"/>
      <c r="H409" s="2"/>
      <c r="I409" s="3"/>
      <c r="J409" s="241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</row>
    <row r="410" spans="1:43" ht="13">
      <c r="A410" s="2"/>
      <c r="B410" s="2"/>
      <c r="C410" s="3"/>
      <c r="D410" s="2"/>
      <c r="E410" s="2"/>
      <c r="F410" s="2"/>
      <c r="G410" s="2"/>
      <c r="H410" s="2"/>
      <c r="I410" s="3"/>
      <c r="J410" s="241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</row>
    <row r="411" spans="1:43" ht="13">
      <c r="A411" s="2"/>
      <c r="B411" s="2"/>
      <c r="C411" s="3"/>
      <c r="D411" s="2"/>
      <c r="E411" s="2"/>
      <c r="F411" s="2"/>
      <c r="G411" s="2"/>
      <c r="H411" s="2"/>
      <c r="I411" s="3"/>
      <c r="J411" s="241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</row>
    <row r="412" spans="1:43" ht="13">
      <c r="A412" s="2"/>
      <c r="B412" s="2"/>
      <c r="C412" s="3"/>
      <c r="D412" s="2"/>
      <c r="E412" s="2"/>
      <c r="F412" s="2"/>
      <c r="G412" s="2"/>
      <c r="H412" s="2"/>
      <c r="I412" s="3"/>
      <c r="J412" s="241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</row>
    <row r="413" spans="1:43" ht="13">
      <c r="A413" s="2"/>
      <c r="B413" s="2"/>
      <c r="C413" s="3"/>
      <c r="D413" s="2"/>
      <c r="E413" s="2"/>
      <c r="F413" s="2"/>
      <c r="G413" s="2"/>
      <c r="H413" s="2"/>
      <c r="I413" s="3"/>
      <c r="J413" s="241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</row>
    <row r="414" spans="1:43" ht="13">
      <c r="A414" s="2"/>
      <c r="B414" s="2"/>
      <c r="C414" s="3"/>
      <c r="D414" s="2"/>
      <c r="E414" s="2"/>
      <c r="F414" s="2"/>
      <c r="G414" s="2"/>
      <c r="H414" s="2"/>
      <c r="I414" s="3"/>
      <c r="J414" s="241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</row>
    <row r="415" spans="1:43" ht="13">
      <c r="A415" s="2"/>
      <c r="B415" s="2"/>
      <c r="C415" s="3"/>
      <c r="D415" s="2"/>
      <c r="E415" s="2"/>
      <c r="F415" s="2"/>
      <c r="G415" s="2"/>
      <c r="H415" s="2"/>
      <c r="I415" s="3"/>
      <c r="J415" s="241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</row>
    <row r="416" spans="1:43" ht="13">
      <c r="A416" s="2"/>
      <c r="B416" s="2"/>
      <c r="C416" s="3"/>
      <c r="D416" s="2"/>
      <c r="E416" s="2"/>
      <c r="F416" s="2"/>
      <c r="G416" s="2"/>
      <c r="H416" s="2"/>
      <c r="I416" s="3"/>
      <c r="J416" s="241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</row>
    <row r="417" spans="1:43" ht="13">
      <c r="A417" s="2"/>
      <c r="B417" s="2"/>
      <c r="C417" s="3"/>
      <c r="D417" s="2"/>
      <c r="E417" s="2"/>
      <c r="F417" s="2"/>
      <c r="G417" s="2"/>
      <c r="H417" s="2"/>
      <c r="I417" s="3"/>
      <c r="J417" s="241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</row>
    <row r="418" spans="1:43" ht="13">
      <c r="A418" s="2"/>
      <c r="B418" s="2"/>
      <c r="C418" s="3"/>
      <c r="D418" s="2"/>
      <c r="E418" s="2"/>
      <c r="F418" s="2"/>
      <c r="G418" s="2"/>
      <c r="H418" s="2"/>
      <c r="I418" s="3"/>
      <c r="J418" s="241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</row>
    <row r="419" spans="1:43" ht="13">
      <c r="A419" s="2"/>
      <c r="B419" s="2"/>
      <c r="C419" s="3"/>
      <c r="D419" s="2"/>
      <c r="E419" s="2"/>
      <c r="F419" s="2"/>
      <c r="G419" s="2"/>
      <c r="H419" s="2"/>
      <c r="I419" s="3"/>
      <c r="J419" s="241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</row>
    <row r="420" spans="1:43" ht="13">
      <c r="A420" s="2"/>
      <c r="B420" s="2"/>
      <c r="C420" s="3"/>
      <c r="D420" s="2"/>
      <c r="E420" s="2"/>
      <c r="F420" s="2"/>
      <c r="G420" s="2"/>
      <c r="H420" s="2"/>
      <c r="I420" s="3"/>
      <c r="J420" s="241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</row>
    <row r="421" spans="1:43" ht="13">
      <c r="A421" s="2"/>
      <c r="B421" s="2"/>
      <c r="C421" s="3"/>
      <c r="D421" s="2"/>
      <c r="E421" s="2"/>
      <c r="F421" s="2"/>
      <c r="G421" s="2"/>
      <c r="H421" s="2"/>
      <c r="I421" s="3"/>
      <c r="J421" s="241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</row>
    <row r="422" spans="1:43" ht="13">
      <c r="A422" s="2"/>
      <c r="B422" s="2"/>
      <c r="C422" s="3"/>
      <c r="D422" s="2"/>
      <c r="E422" s="2"/>
      <c r="F422" s="2"/>
      <c r="G422" s="2"/>
      <c r="H422" s="2"/>
      <c r="I422" s="3"/>
      <c r="J422" s="241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</row>
    <row r="423" spans="1:43" ht="13">
      <c r="A423" s="2"/>
      <c r="B423" s="2"/>
      <c r="C423" s="3"/>
      <c r="D423" s="2"/>
      <c r="E423" s="2"/>
      <c r="F423" s="2"/>
      <c r="G423" s="2"/>
      <c r="H423" s="2"/>
      <c r="I423" s="3"/>
      <c r="J423" s="241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</row>
    <row r="424" spans="1:43" ht="13">
      <c r="A424" s="2"/>
      <c r="B424" s="2"/>
      <c r="C424" s="3"/>
      <c r="D424" s="2"/>
      <c r="E424" s="2"/>
      <c r="F424" s="2"/>
      <c r="G424" s="2"/>
      <c r="H424" s="2"/>
      <c r="I424" s="3"/>
      <c r="J424" s="241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</row>
    <row r="425" spans="1:43" ht="13">
      <c r="A425" s="2"/>
      <c r="B425" s="2"/>
      <c r="C425" s="3"/>
      <c r="D425" s="2"/>
      <c r="E425" s="2"/>
      <c r="F425" s="2"/>
      <c r="G425" s="2"/>
      <c r="H425" s="2"/>
      <c r="I425" s="3"/>
      <c r="J425" s="241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</row>
    <row r="426" spans="1:43" ht="13">
      <c r="A426" s="2"/>
      <c r="B426" s="2"/>
      <c r="C426" s="3"/>
      <c r="D426" s="2"/>
      <c r="E426" s="2"/>
      <c r="F426" s="2"/>
      <c r="G426" s="2"/>
      <c r="H426" s="2"/>
      <c r="I426" s="3"/>
      <c r="J426" s="241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</row>
    <row r="427" spans="1:43" ht="13">
      <c r="A427" s="2"/>
      <c r="B427" s="2"/>
      <c r="C427" s="3"/>
      <c r="D427" s="2"/>
      <c r="E427" s="2"/>
      <c r="F427" s="2"/>
      <c r="G427" s="2"/>
      <c r="H427" s="2"/>
      <c r="I427" s="3"/>
      <c r="J427" s="241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</row>
    <row r="428" spans="1:43" ht="13">
      <c r="A428" s="2"/>
      <c r="B428" s="2"/>
      <c r="C428" s="3"/>
      <c r="D428" s="2"/>
      <c r="E428" s="2"/>
      <c r="F428" s="2"/>
      <c r="G428" s="2"/>
      <c r="H428" s="2"/>
      <c r="I428" s="3"/>
      <c r="J428" s="241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</row>
    <row r="429" spans="1:43" ht="13">
      <c r="A429" s="2"/>
      <c r="B429" s="2"/>
      <c r="C429" s="3"/>
      <c r="D429" s="2"/>
      <c r="E429" s="2"/>
      <c r="F429" s="2"/>
      <c r="G429" s="2"/>
      <c r="H429" s="2"/>
      <c r="I429" s="3"/>
      <c r="J429" s="241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</row>
    <row r="430" spans="1:43" ht="13">
      <c r="A430" s="2"/>
      <c r="B430" s="2"/>
      <c r="C430" s="3"/>
      <c r="D430" s="2"/>
      <c r="E430" s="2"/>
      <c r="F430" s="2"/>
      <c r="G430" s="2"/>
      <c r="H430" s="2"/>
      <c r="I430" s="3"/>
      <c r="J430" s="241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</row>
    <row r="431" spans="1:43" ht="13">
      <c r="A431" s="2"/>
      <c r="B431" s="2"/>
      <c r="C431" s="3"/>
      <c r="D431" s="2"/>
      <c r="E431" s="2"/>
      <c r="F431" s="2"/>
      <c r="G431" s="2"/>
      <c r="H431" s="2"/>
      <c r="I431" s="3"/>
      <c r="J431" s="241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</row>
    <row r="432" spans="1:43" ht="13">
      <c r="A432" s="2"/>
      <c r="B432" s="2"/>
      <c r="C432" s="3"/>
      <c r="D432" s="2"/>
      <c r="E432" s="2"/>
      <c r="F432" s="2"/>
      <c r="G432" s="2"/>
      <c r="H432" s="2"/>
      <c r="I432" s="3"/>
      <c r="J432" s="241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</row>
    <row r="433" spans="1:43" ht="13">
      <c r="A433" s="2"/>
      <c r="B433" s="2"/>
      <c r="C433" s="3"/>
      <c r="D433" s="2"/>
      <c r="E433" s="2"/>
      <c r="F433" s="2"/>
      <c r="G433" s="2"/>
      <c r="H433" s="2"/>
      <c r="I433" s="3"/>
      <c r="J433" s="241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</row>
    <row r="434" spans="1:43" ht="13">
      <c r="A434" s="2"/>
      <c r="B434" s="2"/>
      <c r="C434" s="3"/>
      <c r="D434" s="2"/>
      <c r="E434" s="2"/>
      <c r="F434" s="2"/>
      <c r="G434" s="2"/>
      <c r="H434" s="2"/>
      <c r="I434" s="3"/>
      <c r="J434" s="241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</row>
    <row r="435" spans="1:43" ht="13">
      <c r="A435" s="2"/>
      <c r="B435" s="2"/>
      <c r="C435" s="3"/>
      <c r="D435" s="2"/>
      <c r="E435" s="2"/>
      <c r="F435" s="2"/>
      <c r="G435" s="2"/>
      <c r="H435" s="2"/>
      <c r="I435" s="3"/>
      <c r="J435" s="241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</row>
    <row r="436" spans="1:43" ht="13">
      <c r="A436" s="2"/>
      <c r="B436" s="2"/>
      <c r="C436" s="3"/>
      <c r="D436" s="2"/>
      <c r="E436" s="2"/>
      <c r="F436" s="2"/>
      <c r="G436" s="2"/>
      <c r="H436" s="2"/>
      <c r="I436" s="3"/>
      <c r="J436" s="241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</row>
    <row r="437" spans="1:43" ht="13">
      <c r="A437" s="2"/>
      <c r="B437" s="2"/>
      <c r="C437" s="3"/>
      <c r="D437" s="2"/>
      <c r="E437" s="2"/>
      <c r="F437" s="2"/>
      <c r="G437" s="2"/>
      <c r="H437" s="2"/>
      <c r="I437" s="3"/>
      <c r="J437" s="241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</row>
    <row r="438" spans="1:43" ht="13">
      <c r="A438" s="2"/>
      <c r="B438" s="2"/>
      <c r="C438" s="3"/>
      <c r="D438" s="2"/>
      <c r="E438" s="2"/>
      <c r="F438" s="2"/>
      <c r="G438" s="2"/>
      <c r="H438" s="2"/>
      <c r="I438" s="3"/>
      <c r="J438" s="241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</row>
    <row r="439" spans="1:43" ht="13">
      <c r="A439" s="2"/>
      <c r="B439" s="2"/>
      <c r="C439" s="3"/>
      <c r="D439" s="2"/>
      <c r="E439" s="2"/>
      <c r="F439" s="2"/>
      <c r="G439" s="2"/>
      <c r="H439" s="2"/>
      <c r="I439" s="3"/>
      <c r="J439" s="241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</row>
    <row r="440" spans="1:43" ht="13">
      <c r="A440" s="2"/>
      <c r="B440" s="2"/>
      <c r="C440" s="3"/>
      <c r="D440" s="2"/>
      <c r="E440" s="2"/>
      <c r="F440" s="2"/>
      <c r="G440" s="2"/>
      <c r="H440" s="2"/>
      <c r="I440" s="3"/>
      <c r="J440" s="241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</row>
    <row r="441" spans="1:43" ht="13">
      <c r="A441" s="2"/>
      <c r="B441" s="2"/>
      <c r="C441" s="3"/>
      <c r="D441" s="2"/>
      <c r="E441" s="2"/>
      <c r="F441" s="2"/>
      <c r="G441" s="2"/>
      <c r="H441" s="2"/>
      <c r="I441" s="3"/>
      <c r="J441" s="241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</row>
    <row r="442" spans="1:43" ht="13">
      <c r="A442" s="2"/>
      <c r="B442" s="2"/>
      <c r="C442" s="3"/>
      <c r="D442" s="2"/>
      <c r="E442" s="2"/>
      <c r="F442" s="2"/>
      <c r="G442" s="2"/>
      <c r="H442" s="2"/>
      <c r="I442" s="3"/>
      <c r="J442" s="241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</row>
    <row r="443" spans="1:43" ht="13">
      <c r="A443" s="2"/>
      <c r="B443" s="2"/>
      <c r="C443" s="3"/>
      <c r="D443" s="2"/>
      <c r="E443" s="2"/>
      <c r="F443" s="2"/>
      <c r="G443" s="2"/>
      <c r="H443" s="2"/>
      <c r="I443" s="3"/>
      <c r="J443" s="241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</row>
    <row r="444" spans="1:43" ht="13">
      <c r="A444" s="2"/>
      <c r="B444" s="2"/>
      <c r="C444" s="3"/>
      <c r="D444" s="2"/>
      <c r="E444" s="2"/>
      <c r="F444" s="2"/>
      <c r="G444" s="2"/>
      <c r="H444" s="2"/>
      <c r="I444" s="3"/>
      <c r="J444" s="241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</row>
    <row r="445" spans="1:43" ht="13">
      <c r="A445" s="2"/>
      <c r="B445" s="2"/>
      <c r="C445" s="3"/>
      <c r="D445" s="2"/>
      <c r="E445" s="2"/>
      <c r="F445" s="2"/>
      <c r="G445" s="2"/>
      <c r="H445" s="2"/>
      <c r="I445" s="3"/>
      <c r="J445" s="241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</row>
    <row r="446" spans="1:43" ht="13">
      <c r="A446" s="2"/>
      <c r="B446" s="2"/>
      <c r="C446" s="3"/>
      <c r="D446" s="2"/>
      <c r="E446" s="2"/>
      <c r="F446" s="2"/>
      <c r="G446" s="2"/>
      <c r="H446" s="2"/>
      <c r="I446" s="3"/>
      <c r="J446" s="241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</row>
    <row r="447" spans="1:43" ht="13">
      <c r="A447" s="2"/>
      <c r="B447" s="2"/>
      <c r="C447" s="3"/>
      <c r="D447" s="2"/>
      <c r="E447" s="2"/>
      <c r="F447" s="2"/>
      <c r="G447" s="2"/>
      <c r="H447" s="2"/>
      <c r="I447" s="3"/>
      <c r="J447" s="241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</row>
    <row r="448" spans="1:43" ht="13">
      <c r="A448" s="2"/>
      <c r="B448" s="2"/>
      <c r="C448" s="3"/>
      <c r="D448" s="2"/>
      <c r="E448" s="2"/>
      <c r="F448" s="2"/>
      <c r="G448" s="2"/>
      <c r="H448" s="2"/>
      <c r="I448" s="3"/>
      <c r="J448" s="241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</row>
    <row r="449" spans="1:43" ht="13">
      <c r="A449" s="2"/>
      <c r="B449" s="2"/>
      <c r="C449" s="3"/>
      <c r="D449" s="2"/>
      <c r="E449" s="2"/>
      <c r="F449" s="2"/>
      <c r="G449" s="2"/>
      <c r="H449" s="2"/>
      <c r="I449" s="3"/>
      <c r="J449" s="241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</row>
    <row r="450" spans="1:43" ht="13">
      <c r="A450" s="2"/>
      <c r="B450" s="2"/>
      <c r="C450" s="3"/>
      <c r="D450" s="2"/>
      <c r="E450" s="2"/>
      <c r="F450" s="2"/>
      <c r="G450" s="2"/>
      <c r="H450" s="2"/>
      <c r="I450" s="3"/>
      <c r="J450" s="241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</row>
    <row r="451" spans="1:43" ht="13">
      <c r="A451" s="2"/>
      <c r="B451" s="2"/>
      <c r="C451" s="3"/>
      <c r="D451" s="2"/>
      <c r="E451" s="2"/>
      <c r="F451" s="2"/>
      <c r="G451" s="2"/>
      <c r="H451" s="2"/>
      <c r="I451" s="3"/>
      <c r="J451" s="241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</row>
    <row r="452" spans="1:43" ht="13">
      <c r="A452" s="2"/>
      <c r="B452" s="2"/>
      <c r="C452" s="3"/>
      <c r="D452" s="2"/>
      <c r="E452" s="2"/>
      <c r="F452" s="2"/>
      <c r="G452" s="2"/>
      <c r="H452" s="2"/>
      <c r="I452" s="3"/>
      <c r="J452" s="241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</row>
    <row r="453" spans="1:43" ht="13">
      <c r="A453" s="2"/>
      <c r="B453" s="2"/>
      <c r="C453" s="3"/>
      <c r="D453" s="2"/>
      <c r="E453" s="2"/>
      <c r="F453" s="2"/>
      <c r="G453" s="2"/>
      <c r="H453" s="2"/>
      <c r="I453" s="3"/>
      <c r="J453" s="241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</row>
    <row r="454" spans="1:43" ht="13">
      <c r="A454" s="2"/>
      <c r="B454" s="2"/>
      <c r="C454" s="3"/>
      <c r="D454" s="2"/>
      <c r="E454" s="2"/>
      <c r="F454" s="2"/>
      <c r="G454" s="2"/>
      <c r="H454" s="2"/>
      <c r="I454" s="3"/>
      <c r="J454" s="241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</row>
    <row r="455" spans="1:43" ht="13">
      <c r="A455" s="2"/>
      <c r="B455" s="2"/>
      <c r="C455" s="3"/>
      <c r="D455" s="2"/>
      <c r="E455" s="2"/>
      <c r="F455" s="2"/>
      <c r="G455" s="2"/>
      <c r="H455" s="2"/>
      <c r="I455" s="3"/>
      <c r="J455" s="241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</row>
    <row r="456" spans="1:43" ht="13">
      <c r="A456" s="2"/>
      <c r="B456" s="2"/>
      <c r="C456" s="3"/>
      <c r="D456" s="2"/>
      <c r="E456" s="2"/>
      <c r="F456" s="2"/>
      <c r="G456" s="2"/>
      <c r="H456" s="2"/>
      <c r="I456" s="3"/>
      <c r="J456" s="241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</row>
    <row r="457" spans="1:43" ht="13">
      <c r="A457" s="2"/>
      <c r="B457" s="2"/>
      <c r="C457" s="3"/>
      <c r="D457" s="2"/>
      <c r="E457" s="2"/>
      <c r="F457" s="2"/>
      <c r="G457" s="2"/>
      <c r="H457" s="2"/>
      <c r="I457" s="3"/>
      <c r="J457" s="241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</row>
    <row r="458" spans="1:43" ht="13">
      <c r="A458" s="2"/>
      <c r="B458" s="2"/>
      <c r="C458" s="3"/>
      <c r="D458" s="2"/>
      <c r="E458" s="2"/>
      <c r="F458" s="2"/>
      <c r="G458" s="2"/>
      <c r="H458" s="2"/>
      <c r="I458" s="3"/>
      <c r="J458" s="241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</row>
    <row r="459" spans="1:43" ht="13">
      <c r="A459" s="2"/>
      <c r="B459" s="2"/>
      <c r="C459" s="3"/>
      <c r="D459" s="2"/>
      <c r="E459" s="2"/>
      <c r="F459" s="2"/>
      <c r="G459" s="2"/>
      <c r="H459" s="2"/>
      <c r="I459" s="3"/>
      <c r="J459" s="241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</row>
    <row r="460" spans="1:43" ht="13">
      <c r="A460" s="2"/>
      <c r="B460" s="2"/>
      <c r="C460" s="3"/>
      <c r="D460" s="2"/>
      <c r="E460" s="2"/>
      <c r="F460" s="2"/>
      <c r="G460" s="2"/>
      <c r="H460" s="2"/>
      <c r="I460" s="3"/>
      <c r="J460" s="241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</row>
    <row r="461" spans="1:43" ht="13">
      <c r="A461" s="2"/>
      <c r="B461" s="2"/>
      <c r="C461" s="3"/>
      <c r="D461" s="2"/>
      <c r="E461" s="2"/>
      <c r="F461" s="2"/>
      <c r="G461" s="2"/>
      <c r="H461" s="2"/>
      <c r="I461" s="3"/>
      <c r="J461" s="241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</row>
    <row r="462" spans="1:43" ht="13">
      <c r="A462" s="2"/>
      <c r="B462" s="2"/>
      <c r="C462" s="3"/>
      <c r="D462" s="2"/>
      <c r="E462" s="2"/>
      <c r="F462" s="2"/>
      <c r="G462" s="2"/>
      <c r="H462" s="2"/>
      <c r="I462" s="3"/>
      <c r="J462" s="241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</row>
    <row r="463" spans="1:43" ht="13">
      <c r="A463" s="2"/>
      <c r="B463" s="2"/>
      <c r="C463" s="3"/>
      <c r="D463" s="2"/>
      <c r="E463" s="2"/>
      <c r="F463" s="2"/>
      <c r="G463" s="2"/>
      <c r="H463" s="2"/>
      <c r="I463" s="3"/>
      <c r="J463" s="241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</row>
    <row r="464" spans="1:43" ht="13">
      <c r="A464" s="2"/>
      <c r="B464" s="2"/>
      <c r="C464" s="3"/>
      <c r="D464" s="2"/>
      <c r="E464" s="2"/>
      <c r="F464" s="2"/>
      <c r="G464" s="2"/>
      <c r="H464" s="2"/>
      <c r="I464" s="3"/>
      <c r="J464" s="241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</row>
    <row r="465" spans="1:43" ht="13">
      <c r="A465" s="2"/>
      <c r="B465" s="2"/>
      <c r="C465" s="3"/>
      <c r="D465" s="2"/>
      <c r="E465" s="2"/>
      <c r="F465" s="2"/>
      <c r="G465" s="2"/>
      <c r="H465" s="2"/>
      <c r="I465" s="3"/>
      <c r="J465" s="241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</row>
    <row r="466" spans="1:43" ht="13">
      <c r="A466" s="2"/>
      <c r="B466" s="2"/>
      <c r="C466" s="3"/>
      <c r="D466" s="2"/>
      <c r="E466" s="2"/>
      <c r="F466" s="2"/>
      <c r="G466" s="2"/>
      <c r="H466" s="2"/>
      <c r="I466" s="3"/>
      <c r="J466" s="241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</row>
    <row r="467" spans="1:43" ht="13">
      <c r="A467" s="2"/>
      <c r="B467" s="2"/>
      <c r="C467" s="3"/>
      <c r="D467" s="2"/>
      <c r="E467" s="2"/>
      <c r="F467" s="2"/>
      <c r="G467" s="2"/>
      <c r="H467" s="2"/>
      <c r="I467" s="3"/>
      <c r="J467" s="241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</row>
    <row r="468" spans="1:43" ht="13">
      <c r="A468" s="2"/>
      <c r="B468" s="2"/>
      <c r="C468" s="3"/>
      <c r="D468" s="2"/>
      <c r="E468" s="2"/>
      <c r="F468" s="2"/>
      <c r="G468" s="2"/>
      <c r="H468" s="2"/>
      <c r="I468" s="3"/>
      <c r="J468" s="241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</row>
    <row r="469" spans="1:43" ht="13">
      <c r="A469" s="2"/>
      <c r="B469" s="2"/>
      <c r="C469" s="3"/>
      <c r="D469" s="2"/>
      <c r="E469" s="2"/>
      <c r="F469" s="2"/>
      <c r="G469" s="2"/>
      <c r="H469" s="2"/>
      <c r="I469" s="3"/>
      <c r="J469" s="241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</row>
    <row r="470" spans="1:43" ht="13">
      <c r="A470" s="2"/>
      <c r="B470" s="2"/>
      <c r="C470" s="3"/>
      <c r="D470" s="2"/>
      <c r="E470" s="2"/>
      <c r="F470" s="2"/>
      <c r="G470" s="2"/>
      <c r="H470" s="2"/>
      <c r="I470" s="3"/>
      <c r="J470" s="241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</row>
    <row r="471" spans="1:43" ht="13">
      <c r="A471" s="2"/>
      <c r="B471" s="2"/>
      <c r="C471" s="3"/>
      <c r="D471" s="2"/>
      <c r="E471" s="2"/>
      <c r="F471" s="2"/>
      <c r="G471" s="2"/>
      <c r="H471" s="2"/>
      <c r="I471" s="3"/>
      <c r="J471" s="241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</row>
    <row r="472" spans="1:43" ht="13">
      <c r="A472" s="2"/>
      <c r="B472" s="2"/>
      <c r="C472" s="3"/>
      <c r="D472" s="2"/>
      <c r="E472" s="2"/>
      <c r="F472" s="2"/>
      <c r="G472" s="2"/>
      <c r="H472" s="2"/>
      <c r="I472" s="3"/>
      <c r="J472" s="241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</row>
    <row r="473" spans="1:43" ht="13">
      <c r="A473" s="2"/>
      <c r="B473" s="2"/>
      <c r="C473" s="3"/>
      <c r="D473" s="2"/>
      <c r="E473" s="2"/>
      <c r="F473" s="2"/>
      <c r="G473" s="2"/>
      <c r="H473" s="2"/>
      <c r="I473" s="3"/>
      <c r="J473" s="241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</row>
    <row r="474" spans="1:43" ht="13">
      <c r="A474" s="2"/>
      <c r="B474" s="2"/>
      <c r="C474" s="3"/>
      <c r="D474" s="2"/>
      <c r="E474" s="2"/>
      <c r="F474" s="2"/>
      <c r="G474" s="2"/>
      <c r="H474" s="2"/>
      <c r="I474" s="3"/>
      <c r="J474" s="241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</row>
    <row r="475" spans="1:43" ht="13">
      <c r="A475" s="2"/>
      <c r="B475" s="2"/>
      <c r="C475" s="3"/>
      <c r="D475" s="2"/>
      <c r="E475" s="2"/>
      <c r="F475" s="2"/>
      <c r="G475" s="2"/>
      <c r="H475" s="2"/>
      <c r="I475" s="3"/>
      <c r="J475" s="241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</row>
    <row r="476" spans="1:43" ht="13">
      <c r="A476" s="2"/>
      <c r="B476" s="2"/>
      <c r="C476" s="3"/>
      <c r="D476" s="2"/>
      <c r="E476" s="2"/>
      <c r="F476" s="2"/>
      <c r="G476" s="2"/>
      <c r="H476" s="2"/>
      <c r="I476" s="3"/>
      <c r="J476" s="241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</row>
    <row r="477" spans="1:43" ht="13">
      <c r="A477" s="2"/>
      <c r="B477" s="2"/>
      <c r="C477" s="3"/>
      <c r="D477" s="2"/>
      <c r="E477" s="2"/>
      <c r="F477" s="2"/>
      <c r="G477" s="2"/>
      <c r="H477" s="2"/>
      <c r="I477" s="3"/>
      <c r="J477" s="241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</row>
    <row r="478" spans="1:43" ht="13">
      <c r="A478" s="2"/>
      <c r="B478" s="2"/>
      <c r="C478" s="3"/>
      <c r="D478" s="2"/>
      <c r="E478" s="2"/>
      <c r="F478" s="2"/>
      <c r="G478" s="2"/>
      <c r="H478" s="2"/>
      <c r="I478" s="3"/>
      <c r="J478" s="241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</row>
    <row r="479" spans="1:43" ht="13">
      <c r="A479" s="2"/>
      <c r="B479" s="2"/>
      <c r="C479" s="3"/>
      <c r="D479" s="2"/>
      <c r="E479" s="2"/>
      <c r="F479" s="2"/>
      <c r="G479" s="2"/>
      <c r="H479" s="2"/>
      <c r="I479" s="3"/>
      <c r="J479" s="241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</row>
    <row r="480" spans="1:43" ht="13">
      <c r="A480" s="2"/>
      <c r="B480" s="2"/>
      <c r="C480" s="3"/>
      <c r="D480" s="2"/>
      <c r="E480" s="2"/>
      <c r="F480" s="2"/>
      <c r="G480" s="2"/>
      <c r="H480" s="2"/>
      <c r="I480" s="3"/>
      <c r="J480" s="241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</row>
    <row r="481" spans="1:43" ht="13">
      <c r="A481" s="2"/>
      <c r="B481" s="2"/>
      <c r="C481" s="3"/>
      <c r="D481" s="2"/>
      <c r="E481" s="2"/>
      <c r="F481" s="2"/>
      <c r="G481" s="2"/>
      <c r="H481" s="2"/>
      <c r="I481" s="3"/>
      <c r="J481" s="241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</row>
    <row r="482" spans="1:43" ht="13">
      <c r="A482" s="2"/>
      <c r="B482" s="2"/>
      <c r="C482" s="3"/>
      <c r="D482" s="2"/>
      <c r="E482" s="2"/>
      <c r="F482" s="2"/>
      <c r="G482" s="2"/>
      <c r="H482" s="2"/>
      <c r="I482" s="3"/>
      <c r="J482" s="241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</row>
    <row r="483" spans="1:43" ht="13">
      <c r="A483" s="2"/>
      <c r="B483" s="2"/>
      <c r="C483" s="3"/>
      <c r="D483" s="2"/>
      <c r="E483" s="2"/>
      <c r="F483" s="2"/>
      <c r="G483" s="2"/>
      <c r="H483" s="2"/>
      <c r="I483" s="3"/>
      <c r="J483" s="241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</row>
    <row r="484" spans="1:43" ht="13">
      <c r="A484" s="2"/>
      <c r="B484" s="2"/>
      <c r="C484" s="3"/>
      <c r="D484" s="2"/>
      <c r="E484" s="2"/>
      <c r="F484" s="2"/>
      <c r="G484" s="2"/>
      <c r="H484" s="2"/>
      <c r="I484" s="3"/>
      <c r="J484" s="241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</row>
    <row r="485" spans="1:43" ht="13">
      <c r="A485" s="2"/>
      <c r="B485" s="2"/>
      <c r="C485" s="3"/>
      <c r="D485" s="2"/>
      <c r="E485" s="2"/>
      <c r="F485" s="2"/>
      <c r="G485" s="2"/>
      <c r="H485" s="2"/>
      <c r="I485" s="3"/>
      <c r="J485" s="241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</row>
    <row r="486" spans="1:43" ht="13">
      <c r="A486" s="2"/>
      <c r="B486" s="2"/>
      <c r="C486" s="3"/>
      <c r="D486" s="2"/>
      <c r="E486" s="2"/>
      <c r="F486" s="2"/>
      <c r="G486" s="2"/>
      <c r="H486" s="2"/>
      <c r="I486" s="3"/>
      <c r="J486" s="241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</row>
    <row r="487" spans="1:43" ht="13">
      <c r="A487" s="2"/>
      <c r="B487" s="2"/>
      <c r="C487" s="3"/>
      <c r="D487" s="2"/>
      <c r="E487" s="2"/>
      <c r="F487" s="2"/>
      <c r="G487" s="2"/>
      <c r="H487" s="2"/>
      <c r="I487" s="3"/>
      <c r="J487" s="241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</row>
    <row r="488" spans="1:43" ht="13">
      <c r="A488" s="2"/>
      <c r="B488" s="2"/>
      <c r="C488" s="3"/>
      <c r="D488" s="2"/>
      <c r="E488" s="2"/>
      <c r="F488" s="2"/>
      <c r="G488" s="2"/>
      <c r="H488" s="2"/>
      <c r="I488" s="3"/>
      <c r="J488" s="241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</row>
    <row r="489" spans="1:43" ht="13">
      <c r="A489" s="2"/>
      <c r="B489" s="2"/>
      <c r="C489" s="3"/>
      <c r="D489" s="2"/>
      <c r="E489" s="2"/>
      <c r="F489" s="2"/>
      <c r="G489" s="2"/>
      <c r="H489" s="2"/>
      <c r="I489" s="3"/>
      <c r="J489" s="241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</row>
    <row r="490" spans="1:43" ht="13">
      <c r="A490" s="2"/>
      <c r="B490" s="2"/>
      <c r="C490" s="3"/>
      <c r="D490" s="2"/>
      <c r="E490" s="2"/>
      <c r="F490" s="2"/>
      <c r="G490" s="2"/>
      <c r="H490" s="2"/>
      <c r="I490" s="3"/>
      <c r="J490" s="241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</row>
    <row r="491" spans="1:43" ht="13">
      <c r="A491" s="2"/>
      <c r="B491" s="2"/>
      <c r="C491" s="3"/>
      <c r="D491" s="2"/>
      <c r="E491" s="2"/>
      <c r="F491" s="2"/>
      <c r="G491" s="2"/>
      <c r="H491" s="2"/>
      <c r="I491" s="3"/>
      <c r="J491" s="241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</row>
    <row r="492" spans="1:43" ht="13">
      <c r="A492" s="2"/>
      <c r="B492" s="2"/>
      <c r="C492" s="3"/>
      <c r="D492" s="2"/>
      <c r="E492" s="2"/>
      <c r="F492" s="2"/>
      <c r="G492" s="2"/>
      <c r="H492" s="2"/>
      <c r="I492" s="3"/>
      <c r="J492" s="241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</row>
    <row r="493" spans="1:43" ht="13">
      <c r="A493" s="2"/>
      <c r="B493" s="2"/>
      <c r="C493" s="3"/>
      <c r="D493" s="2"/>
      <c r="E493" s="2"/>
      <c r="F493" s="2"/>
      <c r="G493" s="2"/>
      <c r="H493" s="2"/>
      <c r="I493" s="3"/>
      <c r="J493" s="241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</row>
    <row r="494" spans="1:43" ht="13">
      <c r="A494" s="2"/>
      <c r="B494" s="2"/>
      <c r="C494" s="3"/>
      <c r="D494" s="2"/>
      <c r="E494" s="2"/>
      <c r="F494" s="2"/>
      <c r="G494" s="2"/>
      <c r="H494" s="2"/>
      <c r="I494" s="3"/>
      <c r="J494" s="241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</row>
    <row r="495" spans="1:43" ht="13">
      <c r="A495" s="2"/>
      <c r="B495" s="2"/>
      <c r="C495" s="3"/>
      <c r="D495" s="2"/>
      <c r="E495" s="2"/>
      <c r="F495" s="2"/>
      <c r="G495" s="2"/>
      <c r="H495" s="2"/>
      <c r="I495" s="3"/>
      <c r="J495" s="241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</row>
    <row r="496" spans="1:43" ht="13">
      <c r="A496" s="2"/>
      <c r="B496" s="2"/>
      <c r="C496" s="3"/>
      <c r="D496" s="2"/>
      <c r="E496" s="2"/>
      <c r="F496" s="2"/>
      <c r="G496" s="2"/>
      <c r="H496" s="2"/>
      <c r="I496" s="3"/>
      <c r="J496" s="241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</row>
    <row r="497" spans="1:43" ht="13">
      <c r="A497" s="2"/>
      <c r="B497" s="2"/>
      <c r="C497" s="3"/>
      <c r="D497" s="2"/>
      <c r="E497" s="2"/>
      <c r="F497" s="2"/>
      <c r="G497" s="2"/>
      <c r="H497" s="2"/>
      <c r="I497" s="3"/>
      <c r="J497" s="241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</row>
    <row r="498" spans="1:43" ht="13">
      <c r="A498" s="2"/>
      <c r="B498" s="2"/>
      <c r="C498" s="3"/>
      <c r="D498" s="2"/>
      <c r="E498" s="2"/>
      <c r="F498" s="2"/>
      <c r="G498" s="2"/>
      <c r="H498" s="2"/>
      <c r="I498" s="3"/>
      <c r="J498" s="241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</row>
    <row r="499" spans="1:43" ht="13">
      <c r="A499" s="2"/>
      <c r="B499" s="2"/>
      <c r="C499" s="3"/>
      <c r="D499" s="2"/>
      <c r="E499" s="2"/>
      <c r="F499" s="2"/>
      <c r="G499" s="2"/>
      <c r="H499" s="2"/>
      <c r="I499" s="3"/>
      <c r="J499" s="241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</row>
    <row r="500" spans="1:43" ht="13">
      <c r="A500" s="2"/>
      <c r="B500" s="2"/>
      <c r="C500" s="3"/>
      <c r="D500" s="2"/>
      <c r="E500" s="2"/>
      <c r="F500" s="2"/>
      <c r="G500" s="2"/>
      <c r="H500" s="2"/>
      <c r="I500" s="3"/>
      <c r="J500" s="241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</row>
    <row r="501" spans="1:43" ht="13">
      <c r="A501" s="2"/>
      <c r="B501" s="2"/>
      <c r="C501" s="3"/>
      <c r="D501" s="2"/>
      <c r="E501" s="2"/>
      <c r="F501" s="2"/>
      <c r="G501" s="2"/>
      <c r="H501" s="2"/>
      <c r="I501" s="3"/>
      <c r="J501" s="241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</row>
    <row r="502" spans="1:43" ht="13">
      <c r="A502" s="2"/>
      <c r="B502" s="2"/>
      <c r="C502" s="3"/>
      <c r="D502" s="2"/>
      <c r="E502" s="2"/>
      <c r="F502" s="2"/>
      <c r="G502" s="2"/>
      <c r="H502" s="2"/>
      <c r="I502" s="3"/>
      <c r="J502" s="241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</row>
    <row r="503" spans="1:43" ht="13">
      <c r="A503" s="2"/>
      <c r="B503" s="2"/>
      <c r="C503" s="3"/>
      <c r="D503" s="2"/>
      <c r="E503" s="2"/>
      <c r="F503" s="2"/>
      <c r="G503" s="2"/>
      <c r="H503" s="2"/>
      <c r="I503" s="3"/>
      <c r="J503" s="241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</row>
    <row r="504" spans="1:43" ht="13">
      <c r="A504" s="2"/>
      <c r="B504" s="2"/>
      <c r="C504" s="3"/>
      <c r="D504" s="2"/>
      <c r="E504" s="2"/>
      <c r="F504" s="2"/>
      <c r="G504" s="2"/>
      <c r="H504" s="2"/>
      <c r="I504" s="3"/>
      <c r="J504" s="241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</row>
    <row r="505" spans="1:43" ht="13">
      <c r="A505" s="2"/>
      <c r="B505" s="2"/>
      <c r="C505" s="3"/>
      <c r="D505" s="2"/>
      <c r="E505" s="2"/>
      <c r="F505" s="2"/>
      <c r="G505" s="2"/>
      <c r="H505" s="2"/>
      <c r="I505" s="3"/>
      <c r="J505" s="241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</row>
    <row r="506" spans="1:43" ht="13">
      <c r="A506" s="2"/>
      <c r="B506" s="2"/>
      <c r="C506" s="3"/>
      <c r="D506" s="2"/>
      <c r="E506" s="2"/>
      <c r="F506" s="2"/>
      <c r="G506" s="2"/>
      <c r="H506" s="2"/>
      <c r="I506" s="3"/>
      <c r="J506" s="241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</row>
    <row r="507" spans="1:43" ht="13">
      <c r="A507" s="2"/>
      <c r="B507" s="2"/>
      <c r="C507" s="3"/>
      <c r="D507" s="2"/>
      <c r="E507" s="2"/>
      <c r="F507" s="2"/>
      <c r="G507" s="2"/>
      <c r="H507" s="2"/>
      <c r="I507" s="3"/>
      <c r="J507" s="241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</row>
    <row r="508" spans="1:43" ht="13">
      <c r="A508" s="2"/>
      <c r="B508" s="2"/>
      <c r="C508" s="3"/>
      <c r="D508" s="2"/>
      <c r="E508" s="2"/>
      <c r="F508" s="2"/>
      <c r="G508" s="2"/>
      <c r="H508" s="2"/>
      <c r="I508" s="3"/>
      <c r="J508" s="241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</row>
    <row r="509" spans="1:43" ht="13">
      <c r="A509" s="2"/>
      <c r="B509" s="2"/>
      <c r="C509" s="3"/>
      <c r="D509" s="2"/>
      <c r="E509" s="2"/>
      <c r="F509" s="2"/>
      <c r="G509" s="2"/>
      <c r="H509" s="2"/>
      <c r="I509" s="3"/>
      <c r="J509" s="241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</row>
    <row r="510" spans="1:43" ht="13">
      <c r="A510" s="2"/>
      <c r="B510" s="2"/>
      <c r="C510" s="3"/>
      <c r="D510" s="2"/>
      <c r="E510" s="2"/>
      <c r="F510" s="2"/>
      <c r="G510" s="2"/>
      <c r="H510" s="2"/>
      <c r="I510" s="3"/>
      <c r="J510" s="241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</row>
    <row r="511" spans="1:43" ht="13">
      <c r="A511" s="2"/>
      <c r="B511" s="2"/>
      <c r="C511" s="3"/>
      <c r="D511" s="2"/>
      <c r="E511" s="2"/>
      <c r="F511" s="2"/>
      <c r="G511" s="2"/>
      <c r="H511" s="2"/>
      <c r="I511" s="3"/>
      <c r="J511" s="241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</row>
    <row r="512" spans="1:43" ht="13">
      <c r="A512" s="2"/>
      <c r="B512" s="2"/>
      <c r="C512" s="3"/>
      <c r="D512" s="2"/>
      <c r="E512" s="2"/>
      <c r="F512" s="2"/>
      <c r="G512" s="2"/>
      <c r="H512" s="2"/>
      <c r="I512" s="3"/>
      <c r="J512" s="241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</row>
    <row r="513" spans="1:43" ht="13">
      <c r="A513" s="2"/>
      <c r="B513" s="2"/>
      <c r="C513" s="3"/>
      <c r="D513" s="2"/>
      <c r="E513" s="2"/>
      <c r="F513" s="2"/>
      <c r="G513" s="2"/>
      <c r="H513" s="2"/>
      <c r="I513" s="3"/>
      <c r="J513" s="241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</row>
    <row r="514" spans="1:43" ht="13">
      <c r="A514" s="2"/>
      <c r="B514" s="2"/>
      <c r="C514" s="3"/>
      <c r="D514" s="2"/>
      <c r="E514" s="2"/>
      <c r="F514" s="2"/>
      <c r="G514" s="2"/>
      <c r="H514" s="2"/>
      <c r="I514" s="3"/>
      <c r="J514" s="241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</row>
    <row r="515" spans="1:43" ht="13">
      <c r="A515" s="2"/>
      <c r="B515" s="2"/>
      <c r="C515" s="3"/>
      <c r="D515" s="2"/>
      <c r="E515" s="2"/>
      <c r="F515" s="2"/>
      <c r="G515" s="2"/>
      <c r="H515" s="2"/>
      <c r="I515" s="3"/>
      <c r="J515" s="241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</row>
    <row r="516" spans="1:43" ht="13">
      <c r="A516" s="2"/>
      <c r="B516" s="2"/>
      <c r="C516" s="3"/>
      <c r="D516" s="2"/>
      <c r="E516" s="2"/>
      <c r="F516" s="2"/>
      <c r="G516" s="2"/>
      <c r="H516" s="2"/>
      <c r="I516" s="3"/>
      <c r="J516" s="241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</row>
    <row r="517" spans="1:43" ht="13">
      <c r="A517" s="2"/>
      <c r="B517" s="2"/>
      <c r="C517" s="3"/>
      <c r="D517" s="2"/>
      <c r="E517" s="2"/>
      <c r="F517" s="2"/>
      <c r="G517" s="2"/>
      <c r="H517" s="2"/>
      <c r="I517" s="3"/>
      <c r="J517" s="241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</row>
    <row r="518" spans="1:43" ht="13">
      <c r="A518" s="2"/>
      <c r="B518" s="2"/>
      <c r="C518" s="3"/>
      <c r="D518" s="2"/>
      <c r="E518" s="2"/>
      <c r="F518" s="2"/>
      <c r="G518" s="2"/>
      <c r="H518" s="2"/>
      <c r="I518" s="3"/>
      <c r="J518" s="241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</row>
    <row r="519" spans="1:43" ht="13">
      <c r="A519" s="2"/>
      <c r="B519" s="2"/>
      <c r="C519" s="3"/>
      <c r="D519" s="2"/>
      <c r="E519" s="2"/>
      <c r="F519" s="2"/>
      <c r="G519" s="2"/>
      <c r="H519" s="2"/>
      <c r="I519" s="3"/>
      <c r="J519" s="241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</row>
    <row r="520" spans="1:43" ht="13">
      <c r="A520" s="2"/>
      <c r="B520" s="2"/>
      <c r="C520" s="3"/>
      <c r="D520" s="2"/>
      <c r="E520" s="2"/>
      <c r="F520" s="2"/>
      <c r="G520" s="2"/>
      <c r="H520" s="2"/>
      <c r="I520" s="3"/>
      <c r="J520" s="241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</row>
    <row r="521" spans="1:43" ht="13">
      <c r="A521" s="2"/>
      <c r="B521" s="2"/>
      <c r="C521" s="3"/>
      <c r="D521" s="2"/>
      <c r="E521" s="2"/>
      <c r="F521" s="2"/>
      <c r="G521" s="2"/>
      <c r="H521" s="2"/>
      <c r="I521" s="3"/>
      <c r="J521" s="241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</row>
    <row r="522" spans="1:43" ht="13">
      <c r="A522" s="2"/>
      <c r="B522" s="2"/>
      <c r="C522" s="3"/>
      <c r="D522" s="2"/>
      <c r="E522" s="2"/>
      <c r="F522" s="2"/>
      <c r="G522" s="2"/>
      <c r="H522" s="2"/>
      <c r="I522" s="3"/>
      <c r="J522" s="241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</row>
    <row r="523" spans="1:43" ht="13">
      <c r="A523" s="2"/>
      <c r="B523" s="2"/>
      <c r="C523" s="3"/>
      <c r="D523" s="2"/>
      <c r="E523" s="2"/>
      <c r="F523" s="2"/>
      <c r="G523" s="2"/>
      <c r="H523" s="2"/>
      <c r="I523" s="3"/>
      <c r="J523" s="241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</row>
    <row r="524" spans="1:43" ht="13">
      <c r="A524" s="2"/>
      <c r="B524" s="2"/>
      <c r="C524" s="3"/>
      <c r="D524" s="2"/>
      <c r="E524" s="2"/>
      <c r="F524" s="2"/>
      <c r="G524" s="2"/>
      <c r="H524" s="2"/>
      <c r="I524" s="3"/>
      <c r="J524" s="241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</row>
    <row r="525" spans="1:43" ht="13">
      <c r="A525" s="2"/>
      <c r="B525" s="2"/>
      <c r="C525" s="3"/>
      <c r="D525" s="2"/>
      <c r="E525" s="2"/>
      <c r="F525" s="2"/>
      <c r="G525" s="2"/>
      <c r="H525" s="2"/>
      <c r="I525" s="3"/>
      <c r="J525" s="241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</row>
    <row r="526" spans="1:43" ht="13">
      <c r="A526" s="2"/>
      <c r="B526" s="2"/>
      <c r="C526" s="3"/>
      <c r="D526" s="2"/>
      <c r="E526" s="2"/>
      <c r="F526" s="2"/>
      <c r="G526" s="2"/>
      <c r="H526" s="2"/>
      <c r="I526" s="3"/>
      <c r="J526" s="241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</row>
    <row r="527" spans="1:43" ht="13">
      <c r="A527" s="2"/>
      <c r="B527" s="2"/>
      <c r="C527" s="3"/>
      <c r="D527" s="2"/>
      <c r="E527" s="2"/>
      <c r="F527" s="2"/>
      <c r="G527" s="2"/>
      <c r="H527" s="2"/>
      <c r="I527" s="3"/>
      <c r="J527" s="241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</row>
    <row r="528" spans="1:43" ht="13">
      <c r="A528" s="2"/>
      <c r="B528" s="2"/>
      <c r="C528" s="3"/>
      <c r="D528" s="2"/>
      <c r="E528" s="2"/>
      <c r="F528" s="2"/>
      <c r="G528" s="2"/>
      <c r="H528" s="2"/>
      <c r="I528" s="3"/>
      <c r="J528" s="241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</row>
    <row r="529" spans="1:43" ht="13">
      <c r="A529" s="2"/>
      <c r="B529" s="2"/>
      <c r="C529" s="3"/>
      <c r="D529" s="2"/>
      <c r="E529" s="2"/>
      <c r="F529" s="2"/>
      <c r="G529" s="2"/>
      <c r="H529" s="2"/>
      <c r="I529" s="3"/>
      <c r="J529" s="241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</row>
    <row r="530" spans="1:43" ht="13">
      <c r="A530" s="2"/>
      <c r="B530" s="2"/>
      <c r="C530" s="3"/>
      <c r="D530" s="2"/>
      <c r="E530" s="2"/>
      <c r="F530" s="2"/>
      <c r="G530" s="2"/>
      <c r="H530" s="2"/>
      <c r="I530" s="3"/>
      <c r="J530" s="241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</row>
    <row r="531" spans="1:43" ht="13">
      <c r="A531" s="2"/>
      <c r="B531" s="2"/>
      <c r="C531" s="3"/>
      <c r="D531" s="2"/>
      <c r="E531" s="2"/>
      <c r="F531" s="2"/>
      <c r="G531" s="2"/>
      <c r="H531" s="2"/>
      <c r="I531" s="3"/>
      <c r="J531" s="241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</row>
    <row r="532" spans="1:43" ht="13">
      <c r="A532" s="2"/>
      <c r="B532" s="2"/>
      <c r="C532" s="3"/>
      <c r="D532" s="2"/>
      <c r="E532" s="2"/>
      <c r="F532" s="2"/>
      <c r="G532" s="2"/>
      <c r="H532" s="2"/>
      <c r="I532" s="3"/>
      <c r="J532" s="241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</row>
    <row r="533" spans="1:43" ht="13">
      <c r="A533" s="2"/>
      <c r="B533" s="2"/>
      <c r="C533" s="3"/>
      <c r="D533" s="2"/>
      <c r="E533" s="2"/>
      <c r="F533" s="2"/>
      <c r="G533" s="2"/>
      <c r="H533" s="2"/>
      <c r="I533" s="3"/>
      <c r="J533" s="241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</row>
    <row r="534" spans="1:43" ht="13">
      <c r="A534" s="2"/>
      <c r="B534" s="2"/>
      <c r="C534" s="3"/>
      <c r="D534" s="2"/>
      <c r="E534" s="2"/>
      <c r="F534" s="2"/>
      <c r="G534" s="2"/>
      <c r="H534" s="2"/>
      <c r="I534" s="3"/>
      <c r="J534" s="241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</row>
    <row r="535" spans="1:43" ht="13">
      <c r="A535" s="2"/>
      <c r="B535" s="2"/>
      <c r="C535" s="3"/>
      <c r="D535" s="2"/>
      <c r="E535" s="2"/>
      <c r="F535" s="2"/>
      <c r="G535" s="2"/>
      <c r="H535" s="2"/>
      <c r="I535" s="3"/>
      <c r="J535" s="241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</row>
    <row r="536" spans="1:43" ht="13">
      <c r="A536" s="2"/>
      <c r="B536" s="2"/>
      <c r="C536" s="3"/>
      <c r="D536" s="2"/>
      <c r="E536" s="2"/>
      <c r="F536" s="2"/>
      <c r="G536" s="2"/>
      <c r="H536" s="2"/>
      <c r="I536" s="3"/>
      <c r="J536" s="241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</row>
    <row r="537" spans="1:43" ht="13">
      <c r="A537" s="2"/>
      <c r="B537" s="2"/>
      <c r="C537" s="3"/>
      <c r="D537" s="2"/>
      <c r="E537" s="2"/>
      <c r="F537" s="2"/>
      <c r="G537" s="2"/>
      <c r="H537" s="2"/>
      <c r="I537" s="3"/>
      <c r="J537" s="241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</row>
    <row r="538" spans="1:43" ht="13">
      <c r="A538" s="2"/>
      <c r="B538" s="2"/>
      <c r="C538" s="3"/>
      <c r="D538" s="2"/>
      <c r="E538" s="2"/>
      <c r="F538" s="2"/>
      <c r="G538" s="2"/>
      <c r="H538" s="2"/>
      <c r="I538" s="3"/>
      <c r="J538" s="241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</row>
    <row r="539" spans="1:43" ht="13">
      <c r="A539" s="2"/>
      <c r="B539" s="2"/>
      <c r="C539" s="3"/>
      <c r="D539" s="2"/>
      <c r="E539" s="2"/>
      <c r="F539" s="2"/>
      <c r="G539" s="2"/>
      <c r="H539" s="2"/>
      <c r="I539" s="3"/>
      <c r="J539" s="241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</row>
    <row r="540" spans="1:43" ht="13">
      <c r="A540" s="2"/>
      <c r="B540" s="2"/>
      <c r="C540" s="3"/>
      <c r="D540" s="2"/>
      <c r="E540" s="2"/>
      <c r="F540" s="2"/>
      <c r="G540" s="2"/>
      <c r="H540" s="2"/>
      <c r="I540" s="3"/>
      <c r="J540" s="241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</row>
    <row r="541" spans="1:43" ht="13">
      <c r="A541" s="2"/>
      <c r="B541" s="2"/>
      <c r="C541" s="3"/>
      <c r="D541" s="2"/>
      <c r="E541" s="2"/>
      <c r="F541" s="2"/>
      <c r="G541" s="2"/>
      <c r="H541" s="2"/>
      <c r="I541" s="3"/>
      <c r="J541" s="241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</row>
    <row r="542" spans="1:43" ht="13">
      <c r="A542" s="2"/>
      <c r="B542" s="2"/>
      <c r="C542" s="3"/>
      <c r="D542" s="2"/>
      <c r="E542" s="2"/>
      <c r="F542" s="2"/>
      <c r="G542" s="2"/>
      <c r="H542" s="2"/>
      <c r="I542" s="3"/>
      <c r="J542" s="241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</row>
    <row r="543" spans="1:43" ht="13">
      <c r="A543" s="2"/>
      <c r="B543" s="2"/>
      <c r="C543" s="3"/>
      <c r="D543" s="2"/>
      <c r="E543" s="2"/>
      <c r="F543" s="2"/>
      <c r="G543" s="2"/>
      <c r="H543" s="2"/>
      <c r="I543" s="3"/>
      <c r="J543" s="241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</row>
    <row r="544" spans="1:43" ht="13">
      <c r="A544" s="2"/>
      <c r="B544" s="2"/>
      <c r="C544" s="3"/>
      <c r="D544" s="2"/>
      <c r="E544" s="2"/>
      <c r="F544" s="2"/>
      <c r="G544" s="2"/>
      <c r="H544" s="2"/>
      <c r="I544" s="3"/>
      <c r="J544" s="241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</row>
    <row r="545" spans="1:43" ht="13">
      <c r="A545" s="2"/>
      <c r="B545" s="2"/>
      <c r="C545" s="3"/>
      <c r="D545" s="2"/>
      <c r="E545" s="2"/>
      <c r="F545" s="2"/>
      <c r="G545" s="2"/>
      <c r="H545" s="2"/>
      <c r="I545" s="3"/>
      <c r="J545" s="241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</row>
    <row r="546" spans="1:43" ht="13">
      <c r="A546" s="2"/>
      <c r="B546" s="2"/>
      <c r="C546" s="3"/>
      <c r="D546" s="2"/>
      <c r="E546" s="2"/>
      <c r="F546" s="2"/>
      <c r="G546" s="2"/>
      <c r="H546" s="2"/>
      <c r="I546" s="3"/>
      <c r="J546" s="241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</row>
    <row r="547" spans="1:43" ht="13">
      <c r="A547" s="2"/>
      <c r="B547" s="2"/>
      <c r="C547" s="3"/>
      <c r="D547" s="2"/>
      <c r="E547" s="2"/>
      <c r="F547" s="2"/>
      <c r="G547" s="2"/>
      <c r="H547" s="2"/>
      <c r="I547" s="3"/>
      <c r="J547" s="241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</row>
    <row r="548" spans="1:43" ht="13">
      <c r="A548" s="2"/>
      <c r="B548" s="2"/>
      <c r="C548" s="3"/>
      <c r="D548" s="2"/>
      <c r="E548" s="2"/>
      <c r="F548" s="2"/>
      <c r="G548" s="2"/>
      <c r="H548" s="2"/>
      <c r="I548" s="3"/>
      <c r="J548" s="241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</row>
    <row r="549" spans="1:43" ht="13">
      <c r="A549" s="2"/>
      <c r="B549" s="2"/>
      <c r="C549" s="3"/>
      <c r="D549" s="2"/>
      <c r="E549" s="2"/>
      <c r="F549" s="2"/>
      <c r="G549" s="2"/>
      <c r="H549" s="2"/>
      <c r="I549" s="3"/>
      <c r="J549" s="241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</row>
    <row r="550" spans="1:43" ht="13">
      <c r="A550" s="2"/>
      <c r="B550" s="2"/>
      <c r="C550" s="3"/>
      <c r="D550" s="2"/>
      <c r="E550" s="2"/>
      <c r="F550" s="2"/>
      <c r="G550" s="2"/>
      <c r="H550" s="2"/>
      <c r="I550" s="3"/>
      <c r="J550" s="241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</row>
    <row r="551" spans="1:43" ht="13">
      <c r="A551" s="2"/>
      <c r="B551" s="2"/>
      <c r="C551" s="3"/>
      <c r="D551" s="2"/>
      <c r="E551" s="2"/>
      <c r="F551" s="2"/>
      <c r="G551" s="2"/>
      <c r="H551" s="2"/>
      <c r="I551" s="3"/>
      <c r="J551" s="241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</row>
    <row r="552" spans="1:43" ht="13">
      <c r="A552" s="2"/>
      <c r="B552" s="2"/>
      <c r="C552" s="3"/>
      <c r="D552" s="2"/>
      <c r="E552" s="2"/>
      <c r="F552" s="2"/>
      <c r="G552" s="2"/>
      <c r="H552" s="2"/>
      <c r="I552" s="3"/>
      <c r="J552" s="241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</row>
    <row r="553" spans="1:43" ht="13">
      <c r="A553" s="2"/>
      <c r="B553" s="2"/>
      <c r="C553" s="3"/>
      <c r="D553" s="2"/>
      <c r="E553" s="2"/>
      <c r="F553" s="2"/>
      <c r="G553" s="2"/>
      <c r="H553" s="2"/>
      <c r="I553" s="3"/>
      <c r="J553" s="241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</row>
    <row r="554" spans="1:43" ht="13">
      <c r="A554" s="2"/>
      <c r="B554" s="2"/>
      <c r="C554" s="3"/>
      <c r="D554" s="2"/>
      <c r="E554" s="2"/>
      <c r="F554" s="2"/>
      <c r="G554" s="2"/>
      <c r="H554" s="2"/>
      <c r="I554" s="3"/>
      <c r="J554" s="241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</row>
    <row r="555" spans="1:43" ht="13">
      <c r="A555" s="2"/>
      <c r="B555" s="2"/>
      <c r="C555" s="3"/>
      <c r="D555" s="2"/>
      <c r="E555" s="2"/>
      <c r="F555" s="2"/>
      <c r="G555" s="2"/>
      <c r="H555" s="2"/>
      <c r="I555" s="3"/>
      <c r="J555" s="241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</row>
    <row r="556" spans="1:43" ht="13">
      <c r="A556" s="2"/>
      <c r="B556" s="2"/>
      <c r="C556" s="3"/>
      <c r="D556" s="2"/>
      <c r="E556" s="2"/>
      <c r="F556" s="2"/>
      <c r="G556" s="2"/>
      <c r="H556" s="2"/>
      <c r="I556" s="3"/>
      <c r="J556" s="241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</row>
    <row r="557" spans="1:43" ht="13">
      <c r="A557" s="2"/>
      <c r="B557" s="2"/>
      <c r="C557" s="3"/>
      <c r="D557" s="2"/>
      <c r="E557" s="2"/>
      <c r="F557" s="2"/>
      <c r="G557" s="2"/>
      <c r="H557" s="2"/>
      <c r="I557" s="3"/>
      <c r="J557" s="241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</row>
    <row r="558" spans="1:43" ht="13">
      <c r="A558" s="2"/>
      <c r="B558" s="2"/>
      <c r="C558" s="3"/>
      <c r="D558" s="2"/>
      <c r="E558" s="2"/>
      <c r="F558" s="2"/>
      <c r="G558" s="2"/>
      <c r="H558" s="2"/>
      <c r="I558" s="3"/>
      <c r="J558" s="241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</row>
    <row r="559" spans="1:43" ht="13">
      <c r="A559" s="2"/>
      <c r="B559" s="2"/>
      <c r="C559" s="3"/>
      <c r="D559" s="2"/>
      <c r="E559" s="2"/>
      <c r="F559" s="2"/>
      <c r="G559" s="2"/>
      <c r="H559" s="2"/>
      <c r="I559" s="3"/>
      <c r="J559" s="241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</row>
    <row r="560" spans="1:43" ht="13">
      <c r="A560" s="2"/>
      <c r="B560" s="2"/>
      <c r="C560" s="3"/>
      <c r="D560" s="2"/>
      <c r="E560" s="2"/>
      <c r="F560" s="2"/>
      <c r="G560" s="2"/>
      <c r="H560" s="2"/>
      <c r="I560" s="3"/>
      <c r="J560" s="241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</row>
    <row r="561" spans="1:43" ht="13">
      <c r="A561" s="2"/>
      <c r="B561" s="2"/>
      <c r="C561" s="3"/>
      <c r="D561" s="2"/>
      <c r="E561" s="2"/>
      <c r="F561" s="2"/>
      <c r="G561" s="2"/>
      <c r="H561" s="2"/>
      <c r="I561" s="3"/>
      <c r="J561" s="241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</row>
    <row r="562" spans="1:43" ht="13">
      <c r="A562" s="2"/>
      <c r="B562" s="2"/>
      <c r="C562" s="3"/>
      <c r="D562" s="2"/>
      <c r="E562" s="2"/>
      <c r="F562" s="2"/>
      <c r="G562" s="2"/>
      <c r="H562" s="2"/>
      <c r="I562" s="3"/>
      <c r="J562" s="241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</row>
    <row r="563" spans="1:43" ht="13">
      <c r="A563" s="2"/>
      <c r="B563" s="2"/>
      <c r="C563" s="3"/>
      <c r="D563" s="2"/>
      <c r="E563" s="2"/>
      <c r="F563" s="2"/>
      <c r="G563" s="2"/>
      <c r="H563" s="2"/>
      <c r="I563" s="3"/>
      <c r="J563" s="241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</row>
    <row r="564" spans="1:43" ht="13">
      <c r="A564" s="2"/>
      <c r="B564" s="2"/>
      <c r="C564" s="3"/>
      <c r="D564" s="2"/>
      <c r="E564" s="2"/>
      <c r="F564" s="2"/>
      <c r="G564" s="2"/>
      <c r="H564" s="2"/>
      <c r="I564" s="3"/>
      <c r="J564" s="241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</row>
    <row r="565" spans="1:43" ht="13">
      <c r="A565" s="2"/>
      <c r="B565" s="2"/>
      <c r="C565" s="3"/>
      <c r="D565" s="2"/>
      <c r="E565" s="2"/>
      <c r="F565" s="2"/>
      <c r="G565" s="2"/>
      <c r="H565" s="2"/>
      <c r="I565" s="3"/>
      <c r="J565" s="241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</row>
    <row r="566" spans="1:43" ht="13">
      <c r="A566" s="2"/>
      <c r="B566" s="2"/>
      <c r="C566" s="3"/>
      <c r="D566" s="2"/>
      <c r="E566" s="2"/>
      <c r="F566" s="2"/>
      <c r="G566" s="2"/>
      <c r="H566" s="2"/>
      <c r="I566" s="3"/>
      <c r="J566" s="241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</row>
    <row r="567" spans="1:43" ht="13">
      <c r="A567" s="2"/>
      <c r="B567" s="2"/>
      <c r="C567" s="3"/>
      <c r="D567" s="2"/>
      <c r="E567" s="2"/>
      <c r="F567" s="2"/>
      <c r="G567" s="2"/>
      <c r="H567" s="2"/>
      <c r="I567" s="3"/>
      <c r="J567" s="241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</row>
    <row r="568" spans="1:43" ht="13">
      <c r="A568" s="2"/>
      <c r="B568" s="2"/>
      <c r="C568" s="3"/>
      <c r="D568" s="2"/>
      <c r="E568" s="2"/>
      <c r="F568" s="2"/>
      <c r="G568" s="2"/>
      <c r="H568" s="2"/>
      <c r="I568" s="3"/>
      <c r="J568" s="241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</row>
    <row r="569" spans="1:43" ht="13">
      <c r="A569" s="2"/>
      <c r="B569" s="2"/>
      <c r="C569" s="3"/>
      <c r="D569" s="2"/>
      <c r="E569" s="2"/>
      <c r="F569" s="2"/>
      <c r="G569" s="2"/>
      <c r="H569" s="2"/>
      <c r="I569" s="3"/>
      <c r="J569" s="241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</row>
    <row r="570" spans="1:43" ht="13">
      <c r="A570" s="2"/>
      <c r="B570" s="2"/>
      <c r="C570" s="3"/>
      <c r="D570" s="2"/>
      <c r="E570" s="2"/>
      <c r="F570" s="2"/>
      <c r="G570" s="2"/>
      <c r="H570" s="2"/>
      <c r="I570" s="3"/>
      <c r="J570" s="241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</row>
    <row r="571" spans="1:43" ht="13">
      <c r="A571" s="2"/>
      <c r="B571" s="2"/>
      <c r="C571" s="3"/>
      <c r="D571" s="2"/>
      <c r="E571" s="2"/>
      <c r="F571" s="2"/>
      <c r="G571" s="2"/>
      <c r="H571" s="2"/>
      <c r="I571" s="3"/>
      <c r="J571" s="241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</row>
    <row r="572" spans="1:43" ht="13">
      <c r="A572" s="2"/>
      <c r="B572" s="2"/>
      <c r="C572" s="3"/>
      <c r="D572" s="2"/>
      <c r="E572" s="2"/>
      <c r="F572" s="2"/>
      <c r="G572" s="2"/>
      <c r="H572" s="2"/>
      <c r="I572" s="3"/>
      <c r="J572" s="241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</row>
    <row r="573" spans="1:43" ht="13">
      <c r="A573" s="2"/>
      <c r="B573" s="2"/>
      <c r="C573" s="3"/>
      <c r="D573" s="2"/>
      <c r="E573" s="2"/>
      <c r="F573" s="2"/>
      <c r="G573" s="2"/>
      <c r="H573" s="2"/>
      <c r="I573" s="3"/>
      <c r="J573" s="241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</row>
    <row r="574" spans="1:43" ht="13">
      <c r="A574" s="2"/>
      <c r="B574" s="2"/>
      <c r="C574" s="3"/>
      <c r="D574" s="2"/>
      <c r="E574" s="2"/>
      <c r="F574" s="2"/>
      <c r="G574" s="2"/>
      <c r="H574" s="2"/>
      <c r="I574" s="3"/>
      <c r="J574" s="241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</row>
    <row r="575" spans="1:43" ht="13">
      <c r="A575" s="2"/>
      <c r="B575" s="2"/>
      <c r="C575" s="3"/>
      <c r="D575" s="2"/>
      <c r="E575" s="2"/>
      <c r="F575" s="2"/>
      <c r="G575" s="2"/>
      <c r="H575" s="2"/>
      <c r="I575" s="3"/>
      <c r="J575" s="241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</row>
    <row r="576" spans="1:43" ht="13">
      <c r="A576" s="2"/>
      <c r="B576" s="2"/>
      <c r="C576" s="3"/>
      <c r="D576" s="2"/>
      <c r="E576" s="2"/>
      <c r="F576" s="2"/>
      <c r="G576" s="2"/>
      <c r="H576" s="2"/>
      <c r="I576" s="3"/>
      <c r="J576" s="241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</row>
    <row r="577" spans="1:43" ht="13">
      <c r="A577" s="2"/>
      <c r="B577" s="2"/>
      <c r="C577" s="3"/>
      <c r="D577" s="2"/>
      <c r="E577" s="2"/>
      <c r="F577" s="2"/>
      <c r="G577" s="2"/>
      <c r="H577" s="2"/>
      <c r="I577" s="3"/>
      <c r="J577" s="241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</row>
    <row r="578" spans="1:43" ht="13">
      <c r="A578" s="2"/>
      <c r="B578" s="2"/>
      <c r="C578" s="3"/>
      <c r="D578" s="2"/>
      <c r="E578" s="2"/>
      <c r="F578" s="2"/>
      <c r="G578" s="2"/>
      <c r="H578" s="2"/>
      <c r="I578" s="3"/>
      <c r="J578" s="241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</row>
    <row r="579" spans="1:43" ht="13">
      <c r="A579" s="2"/>
      <c r="B579" s="2"/>
      <c r="C579" s="3"/>
      <c r="D579" s="2"/>
      <c r="E579" s="2"/>
      <c r="F579" s="2"/>
      <c r="G579" s="2"/>
      <c r="H579" s="2"/>
      <c r="I579" s="3"/>
      <c r="J579" s="241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</row>
    <row r="580" spans="1:43" ht="13">
      <c r="A580" s="2"/>
      <c r="B580" s="2"/>
      <c r="C580" s="3"/>
      <c r="D580" s="2"/>
      <c r="E580" s="2"/>
      <c r="F580" s="2"/>
      <c r="G580" s="2"/>
      <c r="H580" s="2"/>
      <c r="I580" s="3"/>
      <c r="J580" s="241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</row>
    <row r="581" spans="1:43" ht="13">
      <c r="A581" s="2"/>
      <c r="B581" s="2"/>
      <c r="C581" s="3"/>
      <c r="D581" s="2"/>
      <c r="E581" s="2"/>
      <c r="F581" s="2"/>
      <c r="G581" s="2"/>
      <c r="H581" s="2"/>
      <c r="I581" s="3"/>
      <c r="J581" s="241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</row>
    <row r="582" spans="1:43" ht="13">
      <c r="A582" s="2"/>
      <c r="B582" s="2"/>
      <c r="C582" s="3"/>
      <c r="D582" s="2"/>
      <c r="E582" s="2"/>
      <c r="F582" s="2"/>
      <c r="G582" s="2"/>
      <c r="H582" s="2"/>
      <c r="I582" s="3"/>
      <c r="J582" s="241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</row>
    <row r="583" spans="1:43" ht="13">
      <c r="A583" s="2"/>
      <c r="B583" s="2"/>
      <c r="C583" s="3"/>
      <c r="D583" s="2"/>
      <c r="E583" s="2"/>
      <c r="F583" s="2"/>
      <c r="G583" s="2"/>
      <c r="H583" s="2"/>
      <c r="I583" s="3"/>
      <c r="J583" s="241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</row>
    <row r="584" spans="1:43" ht="13">
      <c r="A584" s="2"/>
      <c r="B584" s="2"/>
      <c r="C584" s="3"/>
      <c r="D584" s="2"/>
      <c r="E584" s="2"/>
      <c r="F584" s="2"/>
      <c r="G584" s="2"/>
      <c r="H584" s="2"/>
      <c r="I584" s="3"/>
      <c r="J584" s="241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</row>
    <row r="585" spans="1:43" ht="13">
      <c r="A585" s="2"/>
      <c r="B585" s="2"/>
      <c r="C585" s="3"/>
      <c r="D585" s="2"/>
      <c r="E585" s="2"/>
      <c r="F585" s="2"/>
      <c r="G585" s="2"/>
      <c r="H585" s="2"/>
      <c r="I585" s="3"/>
      <c r="J585" s="241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</row>
    <row r="586" spans="1:43" ht="13">
      <c r="A586" s="2"/>
      <c r="B586" s="2"/>
      <c r="C586" s="3"/>
      <c r="D586" s="2"/>
      <c r="E586" s="2"/>
      <c r="F586" s="2"/>
      <c r="G586" s="2"/>
      <c r="H586" s="2"/>
      <c r="I586" s="3"/>
      <c r="J586" s="241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</row>
    <row r="587" spans="1:43" ht="13">
      <c r="A587" s="2"/>
      <c r="B587" s="2"/>
      <c r="C587" s="3"/>
      <c r="D587" s="2"/>
      <c r="E587" s="2"/>
      <c r="F587" s="2"/>
      <c r="G587" s="2"/>
      <c r="H587" s="2"/>
      <c r="I587" s="3"/>
      <c r="J587" s="241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</row>
    <row r="588" spans="1:43" ht="13">
      <c r="A588" s="2"/>
      <c r="B588" s="2"/>
      <c r="C588" s="3"/>
      <c r="D588" s="2"/>
      <c r="E588" s="2"/>
      <c r="F588" s="2"/>
      <c r="G588" s="2"/>
      <c r="H588" s="2"/>
      <c r="I588" s="3"/>
      <c r="J588" s="241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</row>
    <row r="589" spans="1:43" ht="13">
      <c r="A589" s="2"/>
      <c r="B589" s="2"/>
      <c r="C589" s="3"/>
      <c r="D589" s="2"/>
      <c r="E589" s="2"/>
      <c r="F589" s="2"/>
      <c r="G589" s="2"/>
      <c r="H589" s="2"/>
      <c r="I589" s="3"/>
      <c r="J589" s="241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</row>
    <row r="590" spans="1:43" ht="13">
      <c r="A590" s="2"/>
      <c r="B590" s="2"/>
      <c r="C590" s="3"/>
      <c r="D590" s="2"/>
      <c r="E590" s="2"/>
      <c r="F590" s="2"/>
      <c r="G590" s="2"/>
      <c r="H590" s="2"/>
      <c r="I590" s="3"/>
      <c r="J590" s="241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</row>
    <row r="591" spans="1:43" ht="13">
      <c r="A591" s="2"/>
      <c r="B591" s="2"/>
      <c r="C591" s="3"/>
      <c r="D591" s="2"/>
      <c r="E591" s="2"/>
      <c r="F591" s="2"/>
      <c r="G591" s="2"/>
      <c r="H591" s="2"/>
      <c r="I591" s="3"/>
      <c r="J591" s="241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</row>
    <row r="592" spans="1:43" ht="13">
      <c r="A592" s="2"/>
      <c r="B592" s="2"/>
      <c r="C592" s="3"/>
      <c r="D592" s="2"/>
      <c r="E592" s="2"/>
      <c r="F592" s="2"/>
      <c r="G592" s="2"/>
      <c r="H592" s="2"/>
      <c r="I592" s="3"/>
      <c r="J592" s="241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</row>
    <row r="593" spans="1:43" ht="13">
      <c r="A593" s="2"/>
      <c r="B593" s="2"/>
      <c r="C593" s="3"/>
      <c r="D593" s="2"/>
      <c r="E593" s="2"/>
      <c r="F593" s="2"/>
      <c r="G593" s="2"/>
      <c r="H593" s="2"/>
      <c r="I593" s="3"/>
      <c r="J593" s="241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</row>
    <row r="594" spans="1:43" ht="13">
      <c r="A594" s="2"/>
      <c r="B594" s="2"/>
      <c r="C594" s="3"/>
      <c r="D594" s="2"/>
      <c r="E594" s="2"/>
      <c r="F594" s="2"/>
      <c r="G594" s="2"/>
      <c r="H594" s="2"/>
      <c r="I594" s="3"/>
      <c r="J594" s="241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</row>
    <row r="595" spans="1:43" ht="13">
      <c r="A595" s="2"/>
      <c r="B595" s="2"/>
      <c r="C595" s="3"/>
      <c r="D595" s="2"/>
      <c r="E595" s="2"/>
      <c r="F595" s="2"/>
      <c r="G595" s="2"/>
      <c r="H595" s="2"/>
      <c r="I595" s="3"/>
      <c r="J595" s="241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</row>
    <row r="596" spans="1:43" ht="13">
      <c r="A596" s="2"/>
      <c r="B596" s="2"/>
      <c r="C596" s="3"/>
      <c r="D596" s="2"/>
      <c r="E596" s="2"/>
      <c r="F596" s="2"/>
      <c r="G596" s="2"/>
      <c r="H596" s="2"/>
      <c r="I596" s="3"/>
      <c r="J596" s="241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</row>
    <row r="597" spans="1:43" ht="13">
      <c r="A597" s="2"/>
      <c r="B597" s="2"/>
      <c r="C597" s="3"/>
      <c r="D597" s="2"/>
      <c r="E597" s="2"/>
      <c r="F597" s="2"/>
      <c r="G597" s="2"/>
      <c r="H597" s="2"/>
      <c r="I597" s="3"/>
      <c r="J597" s="241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</row>
    <row r="598" spans="1:43" ht="13">
      <c r="A598" s="2"/>
      <c r="B598" s="2"/>
      <c r="C598" s="3"/>
      <c r="D598" s="2"/>
      <c r="E598" s="2"/>
      <c r="F598" s="2"/>
      <c r="G598" s="2"/>
      <c r="H598" s="2"/>
      <c r="I598" s="3"/>
      <c r="J598" s="241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</row>
    <row r="599" spans="1:43" ht="13">
      <c r="A599" s="2"/>
      <c r="B599" s="2"/>
      <c r="C599" s="3"/>
      <c r="D599" s="2"/>
      <c r="E599" s="2"/>
      <c r="F599" s="2"/>
      <c r="G599" s="2"/>
      <c r="H599" s="2"/>
      <c r="I599" s="3"/>
      <c r="J599" s="241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</row>
    <row r="600" spans="1:43" ht="13">
      <c r="A600" s="2"/>
      <c r="B600" s="2"/>
      <c r="C600" s="3"/>
      <c r="D600" s="2"/>
      <c r="E600" s="2"/>
      <c r="F600" s="2"/>
      <c r="G600" s="2"/>
      <c r="H600" s="2"/>
      <c r="I600" s="3"/>
      <c r="J600" s="241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</row>
    <row r="601" spans="1:43" ht="13">
      <c r="A601" s="2"/>
      <c r="B601" s="2"/>
      <c r="C601" s="3"/>
      <c r="D601" s="2"/>
      <c r="E601" s="2"/>
      <c r="F601" s="2"/>
      <c r="G601" s="2"/>
      <c r="H601" s="2"/>
      <c r="I601" s="3"/>
      <c r="J601" s="241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</row>
    <row r="602" spans="1:43" ht="13">
      <c r="A602" s="2"/>
      <c r="B602" s="2"/>
      <c r="C602" s="3"/>
      <c r="D602" s="2"/>
      <c r="E602" s="2"/>
      <c r="F602" s="2"/>
      <c r="G602" s="2"/>
      <c r="H602" s="2"/>
      <c r="I602" s="3"/>
      <c r="J602" s="241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</row>
    <row r="603" spans="1:43" ht="13">
      <c r="A603" s="2"/>
      <c r="B603" s="2"/>
      <c r="C603" s="3"/>
      <c r="D603" s="2"/>
      <c r="E603" s="2"/>
      <c r="F603" s="2"/>
      <c r="G603" s="2"/>
      <c r="H603" s="2"/>
      <c r="I603" s="3"/>
      <c r="J603" s="241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</row>
    <row r="604" spans="1:43" ht="13">
      <c r="A604" s="2"/>
      <c r="B604" s="2"/>
      <c r="C604" s="3"/>
      <c r="D604" s="2"/>
      <c r="E604" s="2"/>
      <c r="F604" s="2"/>
      <c r="G604" s="2"/>
      <c r="H604" s="2"/>
      <c r="I604" s="3"/>
      <c r="J604" s="241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</row>
    <row r="605" spans="1:43" ht="13">
      <c r="A605" s="2"/>
      <c r="B605" s="2"/>
      <c r="C605" s="3"/>
      <c r="D605" s="2"/>
      <c r="E605" s="2"/>
      <c r="F605" s="2"/>
      <c r="G605" s="2"/>
      <c r="H605" s="2"/>
      <c r="I605" s="3"/>
      <c r="J605" s="241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</row>
    <row r="606" spans="1:43" ht="13">
      <c r="A606" s="2"/>
      <c r="B606" s="2"/>
      <c r="C606" s="3"/>
      <c r="D606" s="2"/>
      <c r="E606" s="2"/>
      <c r="F606" s="2"/>
      <c r="G606" s="2"/>
      <c r="H606" s="2"/>
      <c r="I606" s="3"/>
      <c r="J606" s="241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</row>
    <row r="607" spans="1:43" ht="13">
      <c r="A607" s="2"/>
      <c r="B607" s="2"/>
      <c r="C607" s="3"/>
      <c r="D607" s="2"/>
      <c r="E607" s="2"/>
      <c r="F607" s="2"/>
      <c r="G607" s="2"/>
      <c r="H607" s="2"/>
      <c r="I607" s="3"/>
      <c r="J607" s="241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</row>
    <row r="608" spans="1:43" ht="13">
      <c r="A608" s="2"/>
      <c r="B608" s="2"/>
      <c r="C608" s="3"/>
      <c r="D608" s="2"/>
      <c r="E608" s="2"/>
      <c r="F608" s="2"/>
      <c r="G608" s="2"/>
      <c r="H608" s="2"/>
      <c r="I608" s="3"/>
      <c r="J608" s="241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</row>
    <row r="609" spans="1:43" ht="13">
      <c r="A609" s="2"/>
      <c r="B609" s="2"/>
      <c r="C609" s="3"/>
      <c r="D609" s="2"/>
      <c r="E609" s="2"/>
      <c r="F609" s="2"/>
      <c r="G609" s="2"/>
      <c r="H609" s="2"/>
      <c r="I609" s="3"/>
      <c r="J609" s="241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</row>
    <row r="610" spans="1:43" ht="13">
      <c r="A610" s="2"/>
      <c r="B610" s="2"/>
      <c r="C610" s="3"/>
      <c r="D610" s="2"/>
      <c r="E610" s="2"/>
      <c r="F610" s="2"/>
      <c r="G610" s="2"/>
      <c r="H610" s="2"/>
      <c r="I610" s="3"/>
      <c r="J610" s="241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</row>
    <row r="611" spans="1:43" ht="13">
      <c r="A611" s="2"/>
      <c r="B611" s="2"/>
      <c r="C611" s="3"/>
      <c r="D611" s="2"/>
      <c r="E611" s="2"/>
      <c r="F611" s="2"/>
      <c r="G611" s="2"/>
      <c r="H611" s="2"/>
      <c r="I611" s="3"/>
      <c r="J611" s="241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</row>
    <row r="612" spans="1:43" ht="13">
      <c r="A612" s="2"/>
      <c r="B612" s="2"/>
      <c r="C612" s="3"/>
      <c r="D612" s="2"/>
      <c r="E612" s="2"/>
      <c r="F612" s="2"/>
      <c r="G612" s="2"/>
      <c r="H612" s="2"/>
      <c r="I612" s="3"/>
      <c r="J612" s="241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</row>
    <row r="613" spans="1:43" ht="13">
      <c r="A613" s="2"/>
      <c r="B613" s="2"/>
      <c r="C613" s="3"/>
      <c r="D613" s="2"/>
      <c r="E613" s="2"/>
      <c r="F613" s="2"/>
      <c r="G613" s="2"/>
      <c r="H613" s="2"/>
      <c r="I613" s="3"/>
      <c r="J613" s="241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</row>
    <row r="614" spans="1:43" ht="13">
      <c r="A614" s="2"/>
      <c r="B614" s="2"/>
      <c r="C614" s="3"/>
      <c r="D614" s="2"/>
      <c r="E614" s="2"/>
      <c r="F614" s="2"/>
      <c r="G614" s="2"/>
      <c r="H614" s="2"/>
      <c r="I614" s="3"/>
      <c r="J614" s="241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</row>
    <row r="615" spans="1:43" ht="13">
      <c r="A615" s="2"/>
      <c r="B615" s="2"/>
      <c r="C615" s="3"/>
      <c r="D615" s="2"/>
      <c r="E615" s="2"/>
      <c r="F615" s="2"/>
      <c r="G615" s="2"/>
      <c r="H615" s="2"/>
      <c r="I615" s="3"/>
      <c r="J615" s="241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</row>
    <row r="616" spans="1:43" ht="13">
      <c r="A616" s="2"/>
      <c r="B616" s="2"/>
      <c r="C616" s="3"/>
      <c r="D616" s="2"/>
      <c r="E616" s="2"/>
      <c r="F616" s="2"/>
      <c r="G616" s="2"/>
      <c r="H616" s="2"/>
      <c r="I616" s="3"/>
      <c r="J616" s="241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</row>
    <row r="617" spans="1:43" ht="13">
      <c r="A617" s="2"/>
      <c r="B617" s="2"/>
      <c r="C617" s="3"/>
      <c r="D617" s="2"/>
      <c r="E617" s="2"/>
      <c r="F617" s="2"/>
      <c r="G617" s="2"/>
      <c r="H617" s="2"/>
      <c r="I617" s="3"/>
      <c r="J617" s="241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</row>
    <row r="618" spans="1:43" ht="13">
      <c r="A618" s="2"/>
      <c r="B618" s="2"/>
      <c r="C618" s="3"/>
      <c r="D618" s="2"/>
      <c r="E618" s="2"/>
      <c r="F618" s="2"/>
      <c r="G618" s="2"/>
      <c r="H618" s="2"/>
      <c r="I618" s="3"/>
      <c r="J618" s="241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</row>
    <row r="619" spans="1:43" ht="13">
      <c r="A619" s="2"/>
      <c r="B619" s="2"/>
      <c r="C619" s="3"/>
      <c r="D619" s="2"/>
      <c r="E619" s="2"/>
      <c r="F619" s="2"/>
      <c r="G619" s="2"/>
      <c r="H619" s="2"/>
      <c r="I619" s="3"/>
      <c r="J619" s="241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</row>
    <row r="620" spans="1:43" ht="13">
      <c r="A620" s="2"/>
      <c r="B620" s="2"/>
      <c r="C620" s="3"/>
      <c r="D620" s="2"/>
      <c r="E620" s="2"/>
      <c r="F620" s="2"/>
      <c r="G620" s="2"/>
      <c r="H620" s="2"/>
      <c r="I620" s="3"/>
      <c r="J620" s="241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</row>
    <row r="621" spans="1:43" ht="13">
      <c r="A621" s="2"/>
      <c r="B621" s="2"/>
      <c r="C621" s="3"/>
      <c r="D621" s="2"/>
      <c r="E621" s="2"/>
      <c r="F621" s="2"/>
      <c r="G621" s="2"/>
      <c r="H621" s="2"/>
      <c r="I621" s="3"/>
      <c r="J621" s="241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</row>
    <row r="622" spans="1:43" ht="13">
      <c r="A622" s="2"/>
      <c r="B622" s="2"/>
      <c r="C622" s="3"/>
      <c r="D622" s="2"/>
      <c r="E622" s="2"/>
      <c r="F622" s="2"/>
      <c r="G622" s="2"/>
      <c r="H622" s="2"/>
      <c r="I622" s="3"/>
      <c r="J622" s="241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</row>
    <row r="623" spans="1:43" ht="13">
      <c r="A623" s="2"/>
      <c r="B623" s="2"/>
      <c r="C623" s="3"/>
      <c r="D623" s="2"/>
      <c r="E623" s="2"/>
      <c r="F623" s="2"/>
      <c r="G623" s="2"/>
      <c r="H623" s="2"/>
      <c r="I623" s="3"/>
      <c r="J623" s="241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</row>
    <row r="624" spans="1:43" ht="13">
      <c r="A624" s="2"/>
      <c r="B624" s="2"/>
      <c r="C624" s="3"/>
      <c r="D624" s="2"/>
      <c r="E624" s="2"/>
      <c r="F624" s="2"/>
      <c r="G624" s="2"/>
      <c r="H624" s="2"/>
      <c r="I624" s="3"/>
      <c r="J624" s="241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</row>
    <row r="625" spans="1:43" ht="13">
      <c r="A625" s="2"/>
      <c r="B625" s="2"/>
      <c r="C625" s="3"/>
      <c r="D625" s="2"/>
      <c r="E625" s="2"/>
      <c r="F625" s="2"/>
      <c r="G625" s="2"/>
      <c r="H625" s="2"/>
      <c r="I625" s="3"/>
      <c r="J625" s="241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</row>
    <row r="626" spans="1:43" ht="13">
      <c r="A626" s="2"/>
      <c r="B626" s="2"/>
      <c r="C626" s="3"/>
      <c r="D626" s="2"/>
      <c r="E626" s="2"/>
      <c r="F626" s="2"/>
      <c r="G626" s="2"/>
      <c r="H626" s="2"/>
      <c r="I626" s="3"/>
      <c r="J626" s="241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</row>
    <row r="627" spans="1:43" ht="13">
      <c r="A627" s="2"/>
      <c r="B627" s="2"/>
      <c r="C627" s="3"/>
      <c r="D627" s="2"/>
      <c r="E627" s="2"/>
      <c r="F627" s="2"/>
      <c r="G627" s="2"/>
      <c r="H627" s="2"/>
      <c r="I627" s="3"/>
      <c r="J627" s="241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</row>
    <row r="628" spans="1:43" ht="13">
      <c r="A628" s="2"/>
      <c r="B628" s="2"/>
      <c r="C628" s="3"/>
      <c r="D628" s="2"/>
      <c r="E628" s="2"/>
      <c r="F628" s="2"/>
      <c r="G628" s="2"/>
      <c r="H628" s="2"/>
      <c r="I628" s="3"/>
      <c r="J628" s="241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</row>
    <row r="629" spans="1:43" ht="13">
      <c r="A629" s="2"/>
      <c r="B629" s="2"/>
      <c r="C629" s="3"/>
      <c r="D629" s="2"/>
      <c r="E629" s="2"/>
      <c r="F629" s="2"/>
      <c r="G629" s="2"/>
      <c r="H629" s="2"/>
      <c r="I629" s="3"/>
      <c r="J629" s="241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</row>
    <row r="630" spans="1:43" ht="13">
      <c r="A630" s="2"/>
      <c r="B630" s="2"/>
      <c r="C630" s="3"/>
      <c r="D630" s="2"/>
      <c r="E630" s="2"/>
      <c r="F630" s="2"/>
      <c r="G630" s="2"/>
      <c r="H630" s="2"/>
      <c r="I630" s="3"/>
      <c r="J630" s="241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</row>
    <row r="631" spans="1:43" ht="13">
      <c r="A631" s="2"/>
      <c r="B631" s="2"/>
      <c r="C631" s="3"/>
      <c r="D631" s="2"/>
      <c r="E631" s="2"/>
      <c r="F631" s="2"/>
      <c r="G631" s="2"/>
      <c r="H631" s="2"/>
      <c r="I631" s="3"/>
      <c r="J631" s="241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</row>
    <row r="632" spans="1:43" ht="13">
      <c r="A632" s="2"/>
      <c r="B632" s="2"/>
      <c r="C632" s="3"/>
      <c r="D632" s="2"/>
      <c r="E632" s="2"/>
      <c r="F632" s="2"/>
      <c r="G632" s="2"/>
      <c r="H632" s="2"/>
      <c r="I632" s="3"/>
      <c r="J632" s="241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</row>
    <row r="633" spans="1:43" ht="13">
      <c r="A633" s="2"/>
      <c r="B633" s="2"/>
      <c r="C633" s="3"/>
      <c r="D633" s="2"/>
      <c r="E633" s="2"/>
      <c r="F633" s="2"/>
      <c r="G633" s="2"/>
      <c r="H633" s="2"/>
      <c r="I633" s="3"/>
      <c r="J633" s="241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</row>
    <row r="634" spans="1:43" ht="13">
      <c r="A634" s="2"/>
      <c r="B634" s="2"/>
      <c r="C634" s="3"/>
      <c r="D634" s="2"/>
      <c r="E634" s="2"/>
      <c r="F634" s="2"/>
      <c r="G634" s="2"/>
      <c r="H634" s="2"/>
      <c r="I634" s="3"/>
      <c r="J634" s="241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</row>
    <row r="635" spans="1:43" ht="13">
      <c r="A635" s="2"/>
      <c r="B635" s="2"/>
      <c r="C635" s="3"/>
      <c r="D635" s="2"/>
      <c r="E635" s="2"/>
      <c r="F635" s="2"/>
      <c r="G635" s="2"/>
      <c r="H635" s="2"/>
      <c r="I635" s="3"/>
      <c r="J635" s="241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</row>
    <row r="636" spans="1:43" ht="13">
      <c r="A636" s="2"/>
      <c r="B636" s="2"/>
      <c r="C636" s="3"/>
      <c r="D636" s="2"/>
      <c r="E636" s="2"/>
      <c r="F636" s="2"/>
      <c r="G636" s="2"/>
      <c r="H636" s="2"/>
      <c r="I636" s="3"/>
      <c r="J636" s="241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</row>
    <row r="637" spans="1:43" ht="13">
      <c r="A637" s="2"/>
      <c r="B637" s="2"/>
      <c r="C637" s="3"/>
      <c r="D637" s="2"/>
      <c r="E637" s="2"/>
      <c r="F637" s="2"/>
      <c r="G637" s="2"/>
      <c r="H637" s="2"/>
      <c r="I637" s="3"/>
      <c r="J637" s="241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</row>
    <row r="638" spans="1:43" ht="13">
      <c r="A638" s="2"/>
      <c r="B638" s="2"/>
      <c r="C638" s="3"/>
      <c r="D638" s="2"/>
      <c r="E638" s="2"/>
      <c r="F638" s="2"/>
      <c r="G638" s="2"/>
      <c r="H638" s="2"/>
      <c r="I638" s="3"/>
      <c r="J638" s="241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</row>
    <row r="639" spans="1:43" ht="13">
      <c r="A639" s="2"/>
      <c r="B639" s="2"/>
      <c r="C639" s="3"/>
      <c r="D639" s="2"/>
      <c r="E639" s="2"/>
      <c r="F639" s="2"/>
      <c r="G639" s="2"/>
      <c r="H639" s="2"/>
      <c r="I639" s="3"/>
      <c r="J639" s="241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</row>
    <row r="640" spans="1:43" ht="13">
      <c r="A640" s="2"/>
      <c r="B640" s="2"/>
      <c r="C640" s="3"/>
      <c r="D640" s="2"/>
      <c r="E640" s="2"/>
      <c r="F640" s="2"/>
      <c r="G640" s="2"/>
      <c r="H640" s="2"/>
      <c r="I640" s="3"/>
      <c r="J640" s="241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</row>
    <row r="641" spans="1:43" ht="13">
      <c r="A641" s="2"/>
      <c r="B641" s="2"/>
      <c r="C641" s="3"/>
      <c r="D641" s="2"/>
      <c r="E641" s="2"/>
      <c r="F641" s="2"/>
      <c r="G641" s="2"/>
      <c r="H641" s="2"/>
      <c r="I641" s="3"/>
      <c r="J641" s="241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</row>
    <row r="642" spans="1:43" ht="13">
      <c r="A642" s="2"/>
      <c r="B642" s="2"/>
      <c r="C642" s="3"/>
      <c r="D642" s="2"/>
      <c r="E642" s="2"/>
      <c r="F642" s="2"/>
      <c r="G642" s="2"/>
      <c r="H642" s="2"/>
      <c r="I642" s="3"/>
      <c r="J642" s="241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</row>
    <row r="643" spans="1:43" ht="13">
      <c r="A643" s="2"/>
      <c r="B643" s="2"/>
      <c r="C643" s="3"/>
      <c r="D643" s="2"/>
      <c r="E643" s="2"/>
      <c r="F643" s="2"/>
      <c r="G643" s="2"/>
      <c r="H643" s="2"/>
      <c r="I643" s="3"/>
      <c r="J643" s="241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</row>
    <row r="644" spans="1:43" ht="13">
      <c r="A644" s="2"/>
      <c r="B644" s="2"/>
      <c r="C644" s="3"/>
      <c r="D644" s="2"/>
      <c r="E644" s="2"/>
      <c r="F644" s="2"/>
      <c r="G644" s="2"/>
      <c r="H644" s="2"/>
      <c r="I644" s="3"/>
      <c r="J644" s="241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</row>
    <row r="645" spans="1:43" ht="13">
      <c r="A645" s="2"/>
      <c r="B645" s="2"/>
      <c r="C645" s="3"/>
      <c r="D645" s="2"/>
      <c r="E645" s="2"/>
      <c r="F645" s="2"/>
      <c r="G645" s="2"/>
      <c r="H645" s="2"/>
      <c r="I645" s="3"/>
      <c r="J645" s="241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</row>
    <row r="646" spans="1:43" ht="13">
      <c r="A646" s="2"/>
      <c r="B646" s="2"/>
      <c r="C646" s="3"/>
      <c r="D646" s="2"/>
      <c r="E646" s="2"/>
      <c r="F646" s="2"/>
      <c r="G646" s="2"/>
      <c r="H646" s="2"/>
      <c r="I646" s="3"/>
      <c r="J646" s="241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</row>
    <row r="647" spans="1:43" ht="13">
      <c r="A647" s="2"/>
      <c r="B647" s="2"/>
      <c r="C647" s="3"/>
      <c r="D647" s="2"/>
      <c r="E647" s="2"/>
      <c r="F647" s="2"/>
      <c r="G647" s="2"/>
      <c r="H647" s="2"/>
      <c r="I647" s="3"/>
      <c r="J647" s="241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</row>
    <row r="648" spans="1:43" ht="13">
      <c r="A648" s="2"/>
      <c r="B648" s="2"/>
      <c r="C648" s="3"/>
      <c r="D648" s="2"/>
      <c r="E648" s="2"/>
      <c r="F648" s="2"/>
      <c r="G648" s="2"/>
      <c r="H648" s="2"/>
      <c r="I648" s="3"/>
      <c r="J648" s="241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</row>
    <row r="649" spans="1:43" ht="13">
      <c r="A649" s="2"/>
      <c r="B649" s="2"/>
      <c r="C649" s="3"/>
      <c r="D649" s="2"/>
      <c r="E649" s="2"/>
      <c r="F649" s="2"/>
      <c r="G649" s="2"/>
      <c r="H649" s="2"/>
      <c r="I649" s="3"/>
      <c r="J649" s="241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</row>
    <row r="650" spans="1:43" ht="13">
      <c r="A650" s="2"/>
      <c r="B650" s="2"/>
      <c r="C650" s="3"/>
      <c r="D650" s="2"/>
      <c r="E650" s="2"/>
      <c r="F650" s="2"/>
      <c r="G650" s="2"/>
      <c r="H650" s="2"/>
      <c r="I650" s="3"/>
      <c r="J650" s="241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</row>
    <row r="651" spans="1:43" ht="13">
      <c r="A651" s="2"/>
      <c r="B651" s="2"/>
      <c r="C651" s="3"/>
      <c r="D651" s="2"/>
      <c r="E651" s="2"/>
      <c r="F651" s="2"/>
      <c r="G651" s="2"/>
      <c r="H651" s="2"/>
      <c r="I651" s="3"/>
      <c r="J651" s="241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</row>
    <row r="652" spans="1:43" ht="13">
      <c r="A652" s="2"/>
      <c r="B652" s="2"/>
      <c r="C652" s="3"/>
      <c r="D652" s="2"/>
      <c r="E652" s="2"/>
      <c r="F652" s="2"/>
      <c r="G652" s="2"/>
      <c r="H652" s="2"/>
      <c r="I652" s="3"/>
      <c r="J652" s="241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</row>
    <row r="653" spans="1:43" ht="13">
      <c r="A653" s="2"/>
      <c r="B653" s="2"/>
      <c r="C653" s="3"/>
      <c r="D653" s="2"/>
      <c r="E653" s="2"/>
      <c r="F653" s="2"/>
      <c r="G653" s="2"/>
      <c r="H653" s="2"/>
      <c r="I653" s="3"/>
      <c r="J653" s="241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</row>
    <row r="654" spans="1:43" ht="13">
      <c r="A654" s="2"/>
      <c r="B654" s="2"/>
      <c r="C654" s="3"/>
      <c r="D654" s="2"/>
      <c r="E654" s="2"/>
      <c r="F654" s="2"/>
      <c r="G654" s="2"/>
      <c r="H654" s="2"/>
      <c r="I654" s="3"/>
      <c r="J654" s="241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</row>
    <row r="655" spans="1:43" ht="13">
      <c r="A655" s="2"/>
      <c r="B655" s="2"/>
      <c r="C655" s="3"/>
      <c r="D655" s="2"/>
      <c r="E655" s="2"/>
      <c r="F655" s="2"/>
      <c r="G655" s="2"/>
      <c r="H655" s="2"/>
      <c r="I655" s="3"/>
      <c r="J655" s="241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</row>
    <row r="656" spans="1:43" ht="13">
      <c r="A656" s="2"/>
      <c r="B656" s="2"/>
      <c r="C656" s="3"/>
      <c r="D656" s="2"/>
      <c r="E656" s="2"/>
      <c r="F656" s="2"/>
      <c r="G656" s="2"/>
      <c r="H656" s="2"/>
      <c r="I656" s="3"/>
      <c r="J656" s="241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</row>
    <row r="657" spans="1:43" ht="13">
      <c r="A657" s="2"/>
      <c r="B657" s="2"/>
      <c r="C657" s="3"/>
      <c r="D657" s="2"/>
      <c r="E657" s="2"/>
      <c r="F657" s="2"/>
      <c r="G657" s="2"/>
      <c r="H657" s="2"/>
      <c r="I657" s="3"/>
      <c r="J657" s="241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</row>
    <row r="658" spans="1:43" ht="13">
      <c r="A658" s="2"/>
      <c r="B658" s="2"/>
      <c r="C658" s="3"/>
      <c r="D658" s="2"/>
      <c r="E658" s="2"/>
      <c r="F658" s="2"/>
      <c r="G658" s="2"/>
      <c r="H658" s="2"/>
      <c r="I658" s="3"/>
      <c r="J658" s="241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</row>
    <row r="659" spans="1:43" ht="13">
      <c r="A659" s="2"/>
      <c r="B659" s="2"/>
      <c r="C659" s="3"/>
      <c r="D659" s="2"/>
      <c r="E659" s="2"/>
      <c r="F659" s="2"/>
      <c r="G659" s="2"/>
      <c r="H659" s="2"/>
      <c r="I659" s="3"/>
      <c r="J659" s="241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</row>
    <row r="660" spans="1:43" ht="13">
      <c r="A660" s="2"/>
      <c r="B660" s="2"/>
      <c r="C660" s="3"/>
      <c r="D660" s="2"/>
      <c r="E660" s="2"/>
      <c r="F660" s="2"/>
      <c r="G660" s="2"/>
      <c r="H660" s="2"/>
      <c r="I660" s="3"/>
      <c r="J660" s="241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</row>
    <row r="661" spans="1:43" ht="13">
      <c r="A661" s="2"/>
      <c r="B661" s="2"/>
      <c r="C661" s="3"/>
      <c r="D661" s="2"/>
      <c r="E661" s="2"/>
      <c r="F661" s="2"/>
      <c r="G661" s="2"/>
      <c r="H661" s="2"/>
      <c r="I661" s="3"/>
      <c r="J661" s="241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</row>
    <row r="662" spans="1:43" ht="13">
      <c r="A662" s="2"/>
      <c r="B662" s="2"/>
      <c r="C662" s="3"/>
      <c r="D662" s="2"/>
      <c r="E662" s="2"/>
      <c r="F662" s="2"/>
      <c r="G662" s="2"/>
      <c r="H662" s="2"/>
      <c r="I662" s="3"/>
      <c r="J662" s="241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</row>
    <row r="663" spans="1:43" ht="13">
      <c r="A663" s="2"/>
      <c r="B663" s="2"/>
      <c r="C663" s="3"/>
      <c r="D663" s="2"/>
      <c r="E663" s="2"/>
      <c r="F663" s="2"/>
      <c r="G663" s="2"/>
      <c r="H663" s="2"/>
      <c r="I663" s="3"/>
      <c r="J663" s="241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</row>
    <row r="664" spans="1:43" ht="13">
      <c r="A664" s="2"/>
      <c r="B664" s="2"/>
      <c r="C664" s="3"/>
      <c r="D664" s="2"/>
      <c r="E664" s="2"/>
      <c r="F664" s="2"/>
      <c r="G664" s="2"/>
      <c r="H664" s="2"/>
      <c r="I664" s="3"/>
      <c r="J664" s="241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</row>
    <row r="665" spans="1:43" ht="13">
      <c r="A665" s="2"/>
      <c r="B665" s="2"/>
      <c r="C665" s="3"/>
      <c r="D665" s="2"/>
      <c r="E665" s="2"/>
      <c r="F665" s="2"/>
      <c r="G665" s="2"/>
      <c r="H665" s="2"/>
      <c r="I665" s="3"/>
      <c r="J665" s="241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</row>
    <row r="666" spans="1:43" ht="13">
      <c r="A666" s="2"/>
      <c r="B666" s="2"/>
      <c r="C666" s="3"/>
      <c r="D666" s="2"/>
      <c r="E666" s="2"/>
      <c r="F666" s="2"/>
      <c r="G666" s="2"/>
      <c r="H666" s="2"/>
      <c r="I666" s="3"/>
      <c r="J666" s="241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</row>
    <row r="667" spans="1:43" ht="13">
      <c r="A667" s="2"/>
      <c r="B667" s="2"/>
      <c r="C667" s="3"/>
      <c r="D667" s="2"/>
      <c r="E667" s="2"/>
      <c r="F667" s="2"/>
      <c r="G667" s="2"/>
      <c r="H667" s="2"/>
      <c r="I667" s="3"/>
      <c r="J667" s="241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</row>
    <row r="668" spans="1:43" ht="13">
      <c r="A668" s="2"/>
      <c r="B668" s="2"/>
      <c r="C668" s="3"/>
      <c r="D668" s="2"/>
      <c r="E668" s="2"/>
      <c r="F668" s="2"/>
      <c r="G668" s="2"/>
      <c r="H668" s="2"/>
      <c r="I668" s="3"/>
      <c r="J668" s="241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</row>
    <row r="669" spans="1:43" ht="13">
      <c r="A669" s="2"/>
      <c r="B669" s="2"/>
      <c r="C669" s="3"/>
      <c r="D669" s="2"/>
      <c r="E669" s="2"/>
      <c r="F669" s="2"/>
      <c r="G669" s="2"/>
      <c r="H669" s="2"/>
      <c r="I669" s="3"/>
      <c r="J669" s="241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</row>
    <row r="670" spans="1:43" ht="13">
      <c r="A670" s="2"/>
      <c r="B670" s="2"/>
      <c r="C670" s="3"/>
      <c r="D670" s="2"/>
      <c r="E670" s="2"/>
      <c r="F670" s="2"/>
      <c r="G670" s="2"/>
      <c r="H670" s="2"/>
      <c r="I670" s="3"/>
      <c r="J670" s="241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</row>
    <row r="671" spans="1:43" ht="13">
      <c r="A671" s="2"/>
      <c r="B671" s="2"/>
      <c r="C671" s="3"/>
      <c r="D671" s="2"/>
      <c r="E671" s="2"/>
      <c r="F671" s="2"/>
      <c r="G671" s="2"/>
      <c r="H671" s="2"/>
      <c r="I671" s="3"/>
      <c r="J671" s="241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</row>
    <row r="672" spans="1:43" ht="13">
      <c r="A672" s="2"/>
      <c r="B672" s="2"/>
      <c r="C672" s="3"/>
      <c r="D672" s="2"/>
      <c r="E672" s="2"/>
      <c r="F672" s="2"/>
      <c r="G672" s="2"/>
      <c r="H672" s="2"/>
      <c r="I672" s="3"/>
      <c r="J672" s="241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</row>
    <row r="673" spans="1:43" ht="13">
      <c r="A673" s="2"/>
      <c r="B673" s="2"/>
      <c r="C673" s="3"/>
      <c r="D673" s="2"/>
      <c r="E673" s="2"/>
      <c r="F673" s="2"/>
      <c r="G673" s="2"/>
      <c r="H673" s="2"/>
      <c r="I673" s="3"/>
      <c r="J673" s="241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</row>
    <row r="674" spans="1:43" ht="13">
      <c r="A674" s="2"/>
      <c r="B674" s="2"/>
      <c r="C674" s="3"/>
      <c r="D674" s="2"/>
      <c r="E674" s="2"/>
      <c r="F674" s="2"/>
      <c r="G674" s="2"/>
      <c r="H674" s="2"/>
      <c r="I674" s="3"/>
      <c r="J674" s="241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</row>
    <row r="675" spans="1:43" ht="13">
      <c r="A675" s="2"/>
      <c r="B675" s="2"/>
      <c r="C675" s="3"/>
      <c r="D675" s="2"/>
      <c r="E675" s="2"/>
      <c r="F675" s="2"/>
      <c r="G675" s="2"/>
      <c r="H675" s="2"/>
      <c r="I675" s="3"/>
      <c r="J675" s="241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</row>
    <row r="676" spans="1:43" ht="13">
      <c r="A676" s="2"/>
      <c r="B676" s="2"/>
      <c r="C676" s="3"/>
      <c r="D676" s="2"/>
      <c r="E676" s="2"/>
      <c r="F676" s="2"/>
      <c r="G676" s="2"/>
      <c r="H676" s="2"/>
      <c r="I676" s="3"/>
      <c r="J676" s="241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</row>
    <row r="677" spans="1:43" ht="13">
      <c r="A677" s="2"/>
      <c r="B677" s="2"/>
      <c r="C677" s="3"/>
      <c r="D677" s="2"/>
      <c r="E677" s="2"/>
      <c r="F677" s="2"/>
      <c r="G677" s="2"/>
      <c r="H677" s="2"/>
      <c r="I677" s="3"/>
      <c r="J677" s="241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</row>
    <row r="678" spans="1:43" ht="13">
      <c r="A678" s="2"/>
      <c r="B678" s="2"/>
      <c r="C678" s="3"/>
      <c r="D678" s="2"/>
      <c r="E678" s="2"/>
      <c r="F678" s="2"/>
      <c r="G678" s="2"/>
      <c r="H678" s="2"/>
      <c r="I678" s="3"/>
      <c r="J678" s="241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</row>
    <row r="679" spans="1:43" ht="13">
      <c r="A679" s="2"/>
      <c r="B679" s="2"/>
      <c r="C679" s="3"/>
      <c r="D679" s="2"/>
      <c r="E679" s="2"/>
      <c r="F679" s="2"/>
      <c r="G679" s="2"/>
      <c r="H679" s="2"/>
      <c r="I679" s="3"/>
      <c r="J679" s="241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</row>
    <row r="680" spans="1:43" ht="13">
      <c r="A680" s="2"/>
      <c r="B680" s="2"/>
      <c r="C680" s="3"/>
      <c r="D680" s="2"/>
      <c r="E680" s="2"/>
      <c r="F680" s="2"/>
      <c r="G680" s="2"/>
      <c r="H680" s="2"/>
      <c r="I680" s="3"/>
      <c r="J680" s="241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</row>
    <row r="681" spans="1:43" ht="13">
      <c r="A681" s="2"/>
      <c r="B681" s="2"/>
      <c r="C681" s="3"/>
      <c r="D681" s="2"/>
      <c r="E681" s="2"/>
      <c r="F681" s="2"/>
      <c r="G681" s="2"/>
      <c r="H681" s="2"/>
      <c r="I681" s="3"/>
      <c r="J681" s="241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</row>
    <row r="682" spans="1:43" ht="13">
      <c r="A682" s="2"/>
      <c r="B682" s="2"/>
      <c r="C682" s="3"/>
      <c r="D682" s="2"/>
      <c r="E682" s="2"/>
      <c r="F682" s="2"/>
      <c r="G682" s="2"/>
      <c r="H682" s="2"/>
      <c r="I682" s="3"/>
      <c r="J682" s="241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</row>
    <row r="683" spans="1:43" ht="13">
      <c r="A683" s="2"/>
      <c r="B683" s="2"/>
      <c r="C683" s="3"/>
      <c r="D683" s="2"/>
      <c r="E683" s="2"/>
      <c r="F683" s="2"/>
      <c r="G683" s="2"/>
      <c r="H683" s="2"/>
      <c r="I683" s="3"/>
      <c r="J683" s="241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</row>
    <row r="684" spans="1:43" ht="13">
      <c r="A684" s="2"/>
      <c r="B684" s="2"/>
      <c r="C684" s="3"/>
      <c r="D684" s="2"/>
      <c r="E684" s="2"/>
      <c r="F684" s="2"/>
      <c r="G684" s="2"/>
      <c r="H684" s="2"/>
      <c r="I684" s="3"/>
      <c r="J684" s="241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</row>
    <row r="685" spans="1:43" ht="13">
      <c r="A685" s="2"/>
      <c r="B685" s="2"/>
      <c r="C685" s="3"/>
      <c r="D685" s="2"/>
      <c r="E685" s="2"/>
      <c r="F685" s="2"/>
      <c r="G685" s="2"/>
      <c r="H685" s="2"/>
      <c r="I685" s="3"/>
      <c r="J685" s="241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</row>
    <row r="686" spans="1:43" ht="13">
      <c r="A686" s="2"/>
      <c r="B686" s="2"/>
      <c r="C686" s="3"/>
      <c r="D686" s="2"/>
      <c r="E686" s="2"/>
      <c r="F686" s="2"/>
      <c r="G686" s="2"/>
      <c r="H686" s="2"/>
      <c r="I686" s="3"/>
      <c r="J686" s="241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</row>
    <row r="687" spans="1:43" ht="13">
      <c r="A687" s="2"/>
      <c r="B687" s="2"/>
      <c r="C687" s="3"/>
      <c r="D687" s="2"/>
      <c r="E687" s="2"/>
      <c r="F687" s="2"/>
      <c r="G687" s="2"/>
      <c r="H687" s="2"/>
      <c r="I687" s="3"/>
      <c r="J687" s="241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</row>
    <row r="688" spans="1:43" ht="13">
      <c r="A688" s="2"/>
      <c r="B688" s="2"/>
      <c r="C688" s="3"/>
      <c r="D688" s="2"/>
      <c r="E688" s="2"/>
      <c r="F688" s="2"/>
      <c r="G688" s="2"/>
      <c r="H688" s="2"/>
      <c r="I688" s="3"/>
      <c r="J688" s="241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</row>
    <row r="689" spans="1:43" ht="13">
      <c r="A689" s="2"/>
      <c r="B689" s="2"/>
      <c r="C689" s="3"/>
      <c r="D689" s="2"/>
      <c r="E689" s="2"/>
      <c r="F689" s="2"/>
      <c r="G689" s="2"/>
      <c r="H689" s="2"/>
      <c r="I689" s="3"/>
      <c r="J689" s="241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</row>
    <row r="690" spans="1:43" ht="13">
      <c r="A690" s="2"/>
      <c r="B690" s="2"/>
      <c r="C690" s="3"/>
      <c r="D690" s="2"/>
      <c r="E690" s="2"/>
      <c r="F690" s="2"/>
      <c r="G690" s="2"/>
      <c r="H690" s="2"/>
      <c r="I690" s="3"/>
      <c r="J690" s="241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</row>
    <row r="691" spans="1:43" ht="13">
      <c r="A691" s="2"/>
      <c r="B691" s="2"/>
      <c r="C691" s="3"/>
      <c r="D691" s="2"/>
      <c r="E691" s="2"/>
      <c r="F691" s="2"/>
      <c r="G691" s="2"/>
      <c r="H691" s="2"/>
      <c r="I691" s="3"/>
      <c r="J691" s="241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</row>
    <row r="692" spans="1:43" ht="13">
      <c r="A692" s="2"/>
      <c r="B692" s="2"/>
      <c r="C692" s="3"/>
      <c r="D692" s="2"/>
      <c r="E692" s="2"/>
      <c r="F692" s="2"/>
      <c r="G692" s="2"/>
      <c r="H692" s="2"/>
      <c r="I692" s="3"/>
      <c r="J692" s="241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</row>
    <row r="693" spans="1:43" ht="13">
      <c r="A693" s="2"/>
      <c r="B693" s="2"/>
      <c r="C693" s="3"/>
      <c r="D693" s="2"/>
      <c r="E693" s="2"/>
      <c r="F693" s="2"/>
      <c r="G693" s="2"/>
      <c r="H693" s="2"/>
      <c r="I693" s="3"/>
      <c r="J693" s="241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</row>
    <row r="694" spans="1:43" ht="13">
      <c r="A694" s="2"/>
      <c r="B694" s="2"/>
      <c r="C694" s="3"/>
      <c r="D694" s="2"/>
      <c r="E694" s="2"/>
      <c r="F694" s="2"/>
      <c r="G694" s="2"/>
      <c r="H694" s="2"/>
      <c r="I694" s="3"/>
      <c r="J694" s="241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</row>
    <row r="695" spans="1:43" ht="13">
      <c r="A695" s="2"/>
      <c r="B695" s="2"/>
      <c r="C695" s="3"/>
      <c r="D695" s="2"/>
      <c r="E695" s="2"/>
      <c r="F695" s="2"/>
      <c r="G695" s="2"/>
      <c r="H695" s="2"/>
      <c r="I695" s="3"/>
      <c r="J695" s="241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</row>
    <row r="696" spans="1:43" ht="13">
      <c r="A696" s="2"/>
      <c r="B696" s="2"/>
      <c r="C696" s="3"/>
      <c r="D696" s="2"/>
      <c r="E696" s="2"/>
      <c r="F696" s="2"/>
      <c r="G696" s="2"/>
      <c r="H696" s="2"/>
      <c r="I696" s="3"/>
      <c r="J696" s="241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</row>
    <row r="697" spans="1:43" ht="13">
      <c r="A697" s="2"/>
      <c r="B697" s="2"/>
      <c r="C697" s="3"/>
      <c r="D697" s="2"/>
      <c r="E697" s="2"/>
      <c r="F697" s="2"/>
      <c r="G697" s="2"/>
      <c r="H697" s="2"/>
      <c r="I697" s="3"/>
      <c r="J697" s="241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</row>
    <row r="698" spans="1:43" ht="13">
      <c r="A698" s="2"/>
      <c r="B698" s="2"/>
      <c r="C698" s="3"/>
      <c r="D698" s="2"/>
      <c r="E698" s="2"/>
      <c r="F698" s="2"/>
      <c r="G698" s="2"/>
      <c r="H698" s="2"/>
      <c r="I698" s="3"/>
      <c r="J698" s="241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</row>
    <row r="699" spans="1:43" ht="13">
      <c r="A699" s="2"/>
      <c r="B699" s="2"/>
      <c r="C699" s="3"/>
      <c r="D699" s="2"/>
      <c r="E699" s="2"/>
      <c r="F699" s="2"/>
      <c r="G699" s="2"/>
      <c r="H699" s="2"/>
      <c r="I699" s="3"/>
      <c r="J699" s="241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</row>
    <row r="700" spans="1:43" ht="13">
      <c r="A700" s="2"/>
      <c r="B700" s="2"/>
      <c r="C700" s="3"/>
      <c r="D700" s="2"/>
      <c r="E700" s="2"/>
      <c r="F700" s="2"/>
      <c r="G700" s="2"/>
      <c r="H700" s="2"/>
      <c r="I700" s="3"/>
      <c r="J700" s="241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</row>
    <row r="701" spans="1:43" ht="13">
      <c r="A701" s="2"/>
      <c r="B701" s="2"/>
      <c r="C701" s="3"/>
      <c r="D701" s="2"/>
      <c r="E701" s="2"/>
      <c r="F701" s="2"/>
      <c r="G701" s="2"/>
      <c r="H701" s="2"/>
      <c r="I701" s="3"/>
      <c r="J701" s="241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</row>
    <row r="702" spans="1:43" ht="13">
      <c r="A702" s="2"/>
      <c r="B702" s="2"/>
      <c r="C702" s="3"/>
      <c r="D702" s="2"/>
      <c r="E702" s="2"/>
      <c r="F702" s="2"/>
      <c r="G702" s="2"/>
      <c r="H702" s="2"/>
      <c r="I702" s="3"/>
      <c r="J702" s="241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</row>
    <row r="703" spans="1:43" ht="13">
      <c r="A703" s="2"/>
      <c r="B703" s="2"/>
      <c r="C703" s="3"/>
      <c r="D703" s="2"/>
      <c r="E703" s="2"/>
      <c r="F703" s="2"/>
      <c r="G703" s="2"/>
      <c r="H703" s="2"/>
      <c r="I703" s="3"/>
      <c r="J703" s="241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</row>
    <row r="704" spans="1:43" ht="13">
      <c r="A704" s="2"/>
      <c r="B704" s="2"/>
      <c r="C704" s="3"/>
      <c r="D704" s="2"/>
      <c r="E704" s="2"/>
      <c r="F704" s="2"/>
      <c r="G704" s="2"/>
      <c r="H704" s="2"/>
      <c r="I704" s="3"/>
      <c r="J704" s="241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</row>
    <row r="705" spans="1:43" ht="13">
      <c r="A705" s="2"/>
      <c r="B705" s="2"/>
      <c r="C705" s="3"/>
      <c r="D705" s="2"/>
      <c r="E705" s="2"/>
      <c r="F705" s="2"/>
      <c r="G705" s="2"/>
      <c r="H705" s="2"/>
      <c r="I705" s="3"/>
      <c r="J705" s="241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</row>
    <row r="706" spans="1:43" ht="13">
      <c r="A706" s="2"/>
      <c r="B706" s="2"/>
      <c r="C706" s="3"/>
      <c r="D706" s="2"/>
      <c r="E706" s="2"/>
      <c r="F706" s="2"/>
      <c r="G706" s="2"/>
      <c r="H706" s="2"/>
      <c r="I706" s="3"/>
      <c r="J706" s="241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</row>
    <row r="707" spans="1:43" ht="13">
      <c r="A707" s="2"/>
      <c r="B707" s="2"/>
      <c r="C707" s="3"/>
      <c r="D707" s="2"/>
      <c r="E707" s="2"/>
      <c r="F707" s="2"/>
      <c r="G707" s="2"/>
      <c r="H707" s="2"/>
      <c r="I707" s="3"/>
      <c r="J707" s="241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</row>
    <row r="708" spans="1:43" ht="13">
      <c r="A708" s="2"/>
      <c r="B708" s="2"/>
      <c r="C708" s="3"/>
      <c r="D708" s="2"/>
      <c r="E708" s="2"/>
      <c r="F708" s="2"/>
      <c r="G708" s="2"/>
      <c r="H708" s="2"/>
      <c r="I708" s="3"/>
      <c r="J708" s="241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</row>
    <row r="709" spans="1:43" ht="13">
      <c r="A709" s="2"/>
      <c r="B709" s="2"/>
      <c r="C709" s="3"/>
      <c r="D709" s="2"/>
      <c r="E709" s="2"/>
      <c r="F709" s="2"/>
      <c r="G709" s="2"/>
      <c r="H709" s="2"/>
      <c r="I709" s="3"/>
      <c r="J709" s="241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</row>
    <row r="710" spans="1:43" ht="13">
      <c r="A710" s="2"/>
      <c r="B710" s="2"/>
      <c r="C710" s="3"/>
      <c r="D710" s="2"/>
      <c r="E710" s="2"/>
      <c r="F710" s="2"/>
      <c r="G710" s="2"/>
      <c r="H710" s="2"/>
      <c r="I710" s="3"/>
      <c r="J710" s="241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</row>
    <row r="711" spans="1:43" ht="13">
      <c r="A711" s="2"/>
      <c r="B711" s="2"/>
      <c r="C711" s="3"/>
      <c r="D711" s="2"/>
      <c r="E711" s="2"/>
      <c r="F711" s="2"/>
      <c r="G711" s="2"/>
      <c r="H711" s="2"/>
      <c r="I711" s="3"/>
      <c r="J711" s="241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</row>
    <row r="712" spans="1:43" ht="13">
      <c r="A712" s="2"/>
      <c r="B712" s="2"/>
      <c r="C712" s="3"/>
      <c r="D712" s="2"/>
      <c r="E712" s="2"/>
      <c r="F712" s="2"/>
      <c r="G712" s="2"/>
      <c r="H712" s="2"/>
      <c r="I712" s="3"/>
      <c r="J712" s="241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</row>
    <row r="713" spans="1:43" ht="13">
      <c r="A713" s="2"/>
      <c r="B713" s="2"/>
      <c r="C713" s="3"/>
      <c r="D713" s="2"/>
      <c r="E713" s="2"/>
      <c r="F713" s="2"/>
      <c r="G713" s="2"/>
      <c r="H713" s="2"/>
      <c r="I713" s="3"/>
      <c r="J713" s="241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</row>
    <row r="714" spans="1:43" ht="13">
      <c r="A714" s="2"/>
      <c r="B714" s="2"/>
      <c r="C714" s="3"/>
      <c r="D714" s="2"/>
      <c r="E714" s="2"/>
      <c r="F714" s="2"/>
      <c r="G714" s="2"/>
      <c r="H714" s="2"/>
      <c r="I714" s="3"/>
      <c r="J714" s="241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</row>
    <row r="715" spans="1:43" ht="13">
      <c r="A715" s="2"/>
      <c r="B715" s="2"/>
      <c r="C715" s="3"/>
      <c r="D715" s="2"/>
      <c r="E715" s="2"/>
      <c r="F715" s="2"/>
      <c r="G715" s="2"/>
      <c r="H715" s="2"/>
      <c r="I715" s="3"/>
      <c r="J715" s="241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</row>
    <row r="716" spans="1:43" ht="13">
      <c r="A716" s="2"/>
      <c r="B716" s="2"/>
      <c r="C716" s="3"/>
      <c r="D716" s="2"/>
      <c r="E716" s="2"/>
      <c r="F716" s="2"/>
      <c r="G716" s="2"/>
      <c r="H716" s="2"/>
      <c r="I716" s="3"/>
      <c r="J716" s="241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</row>
    <row r="717" spans="1:43" ht="13">
      <c r="A717" s="2"/>
      <c r="B717" s="2"/>
      <c r="C717" s="3"/>
      <c r="D717" s="2"/>
      <c r="E717" s="2"/>
      <c r="F717" s="2"/>
      <c r="G717" s="2"/>
      <c r="H717" s="2"/>
      <c r="I717" s="3"/>
      <c r="J717" s="241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</row>
    <row r="718" spans="1:43" ht="13">
      <c r="A718" s="2"/>
      <c r="B718" s="2"/>
      <c r="C718" s="3"/>
      <c r="D718" s="2"/>
      <c r="E718" s="2"/>
      <c r="F718" s="2"/>
      <c r="G718" s="2"/>
      <c r="H718" s="2"/>
      <c r="I718" s="3"/>
      <c r="J718" s="241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</row>
    <row r="719" spans="1:43" ht="13">
      <c r="A719" s="2"/>
      <c r="B719" s="2"/>
      <c r="C719" s="3"/>
      <c r="D719" s="2"/>
      <c r="E719" s="2"/>
      <c r="F719" s="2"/>
      <c r="G719" s="2"/>
      <c r="H719" s="2"/>
      <c r="I719" s="3"/>
      <c r="J719" s="241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</row>
    <row r="720" spans="1:43" ht="13">
      <c r="A720" s="2"/>
      <c r="B720" s="2"/>
      <c r="C720" s="3"/>
      <c r="D720" s="2"/>
      <c r="E720" s="2"/>
      <c r="F720" s="2"/>
      <c r="G720" s="2"/>
      <c r="H720" s="2"/>
      <c r="I720" s="3"/>
      <c r="J720" s="241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</row>
    <row r="721" spans="1:43" ht="13">
      <c r="A721" s="2"/>
      <c r="B721" s="2"/>
      <c r="C721" s="3"/>
      <c r="D721" s="2"/>
      <c r="E721" s="2"/>
      <c r="F721" s="2"/>
      <c r="G721" s="2"/>
      <c r="H721" s="2"/>
      <c r="I721" s="3"/>
      <c r="J721" s="241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</row>
    <row r="722" spans="1:43" ht="13">
      <c r="A722" s="2"/>
      <c r="B722" s="2"/>
      <c r="C722" s="3"/>
      <c r="D722" s="2"/>
      <c r="E722" s="2"/>
      <c r="F722" s="2"/>
      <c r="G722" s="2"/>
      <c r="H722" s="2"/>
      <c r="I722" s="3"/>
      <c r="J722" s="241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</row>
    <row r="723" spans="1:43" ht="13">
      <c r="A723" s="2"/>
      <c r="B723" s="2"/>
      <c r="C723" s="3"/>
      <c r="D723" s="2"/>
      <c r="E723" s="2"/>
      <c r="F723" s="2"/>
      <c r="G723" s="2"/>
      <c r="H723" s="2"/>
      <c r="I723" s="3"/>
      <c r="J723" s="241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</row>
    <row r="724" spans="1:43" ht="13">
      <c r="A724" s="2"/>
      <c r="B724" s="2"/>
      <c r="C724" s="3"/>
      <c r="D724" s="2"/>
      <c r="E724" s="2"/>
      <c r="F724" s="2"/>
      <c r="G724" s="2"/>
      <c r="H724" s="2"/>
      <c r="I724" s="3"/>
      <c r="J724" s="241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</row>
    <row r="725" spans="1:43" ht="13">
      <c r="A725" s="2"/>
      <c r="B725" s="2"/>
      <c r="C725" s="3"/>
      <c r="D725" s="2"/>
      <c r="E725" s="2"/>
      <c r="F725" s="2"/>
      <c r="G725" s="2"/>
      <c r="H725" s="2"/>
      <c r="I725" s="3"/>
      <c r="J725" s="241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</row>
    <row r="726" spans="1:43" ht="13">
      <c r="A726" s="2"/>
      <c r="B726" s="2"/>
      <c r="C726" s="3"/>
      <c r="D726" s="2"/>
      <c r="E726" s="2"/>
      <c r="F726" s="2"/>
      <c r="G726" s="2"/>
      <c r="H726" s="2"/>
      <c r="I726" s="3"/>
      <c r="J726" s="241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</row>
    <row r="727" spans="1:43" ht="13">
      <c r="A727" s="2"/>
      <c r="B727" s="2"/>
      <c r="C727" s="3"/>
      <c r="D727" s="2"/>
      <c r="E727" s="2"/>
      <c r="F727" s="2"/>
      <c r="G727" s="2"/>
      <c r="H727" s="2"/>
      <c r="I727" s="3"/>
      <c r="J727" s="241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</row>
    <row r="728" spans="1:43" ht="13">
      <c r="A728" s="2"/>
      <c r="B728" s="2"/>
      <c r="C728" s="3"/>
      <c r="D728" s="2"/>
      <c r="E728" s="2"/>
      <c r="F728" s="2"/>
      <c r="G728" s="2"/>
      <c r="H728" s="2"/>
      <c r="I728" s="3"/>
      <c r="J728" s="241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</row>
    <row r="729" spans="1:43" ht="13">
      <c r="A729" s="2"/>
      <c r="B729" s="2"/>
      <c r="C729" s="3"/>
      <c r="D729" s="2"/>
      <c r="E729" s="2"/>
      <c r="F729" s="2"/>
      <c r="G729" s="2"/>
      <c r="H729" s="2"/>
      <c r="I729" s="3"/>
      <c r="J729" s="241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</row>
    <row r="730" spans="1:43" ht="13">
      <c r="A730" s="2"/>
      <c r="B730" s="2"/>
      <c r="C730" s="3"/>
      <c r="D730" s="2"/>
      <c r="E730" s="2"/>
      <c r="F730" s="2"/>
      <c r="G730" s="2"/>
      <c r="H730" s="2"/>
      <c r="I730" s="3"/>
      <c r="J730" s="241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</row>
    <row r="731" spans="1:43" ht="13">
      <c r="A731" s="2"/>
      <c r="B731" s="2"/>
      <c r="C731" s="3"/>
      <c r="D731" s="2"/>
      <c r="E731" s="2"/>
      <c r="F731" s="2"/>
      <c r="G731" s="2"/>
      <c r="H731" s="2"/>
      <c r="I731" s="3"/>
      <c r="J731" s="241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</row>
    <row r="732" spans="1:43" ht="13">
      <c r="A732" s="2"/>
      <c r="B732" s="2"/>
      <c r="C732" s="3"/>
      <c r="D732" s="2"/>
      <c r="E732" s="2"/>
      <c r="F732" s="2"/>
      <c r="G732" s="2"/>
      <c r="H732" s="2"/>
      <c r="I732" s="3"/>
      <c r="J732" s="241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</row>
    <row r="733" spans="1:43" ht="13">
      <c r="A733" s="2"/>
      <c r="B733" s="2"/>
      <c r="C733" s="3"/>
      <c r="D733" s="2"/>
      <c r="E733" s="2"/>
      <c r="F733" s="2"/>
      <c r="G733" s="2"/>
      <c r="H733" s="2"/>
      <c r="I733" s="3"/>
      <c r="J733" s="241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</row>
    <row r="734" spans="1:43" ht="13">
      <c r="A734" s="2"/>
      <c r="B734" s="2"/>
      <c r="C734" s="3"/>
      <c r="D734" s="2"/>
      <c r="E734" s="2"/>
      <c r="F734" s="2"/>
      <c r="G734" s="2"/>
      <c r="H734" s="2"/>
      <c r="I734" s="3"/>
      <c r="J734" s="241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</row>
    <row r="735" spans="1:43" ht="13">
      <c r="A735" s="2"/>
      <c r="B735" s="2"/>
      <c r="C735" s="3"/>
      <c r="D735" s="2"/>
      <c r="E735" s="2"/>
      <c r="F735" s="2"/>
      <c r="G735" s="2"/>
      <c r="H735" s="2"/>
      <c r="I735" s="3"/>
      <c r="J735" s="241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</row>
    <row r="736" spans="1:43" ht="13">
      <c r="A736" s="2"/>
      <c r="B736" s="2"/>
      <c r="C736" s="3"/>
      <c r="D736" s="2"/>
      <c r="E736" s="2"/>
      <c r="F736" s="2"/>
      <c r="G736" s="2"/>
      <c r="H736" s="2"/>
      <c r="I736" s="3"/>
      <c r="J736" s="241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</row>
    <row r="737" spans="1:43" ht="13">
      <c r="A737" s="2"/>
      <c r="B737" s="2"/>
      <c r="C737" s="3"/>
      <c r="D737" s="2"/>
      <c r="E737" s="2"/>
      <c r="F737" s="2"/>
      <c r="G737" s="2"/>
      <c r="H737" s="2"/>
      <c r="I737" s="3"/>
      <c r="J737" s="241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</row>
    <row r="738" spans="1:43" ht="13">
      <c r="A738" s="2"/>
      <c r="B738" s="2"/>
      <c r="C738" s="3"/>
      <c r="D738" s="2"/>
      <c r="E738" s="2"/>
      <c r="F738" s="2"/>
      <c r="G738" s="2"/>
      <c r="H738" s="2"/>
      <c r="I738" s="3"/>
      <c r="J738" s="241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</row>
    <row r="739" spans="1:43" ht="13">
      <c r="A739" s="2"/>
      <c r="B739" s="2"/>
      <c r="C739" s="3"/>
      <c r="D739" s="2"/>
      <c r="E739" s="2"/>
      <c r="F739" s="2"/>
      <c r="G739" s="2"/>
      <c r="H739" s="2"/>
      <c r="I739" s="3"/>
      <c r="J739" s="241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</row>
    <row r="740" spans="1:43" ht="13">
      <c r="A740" s="2"/>
      <c r="B740" s="2"/>
      <c r="C740" s="3"/>
      <c r="D740" s="2"/>
      <c r="E740" s="2"/>
      <c r="F740" s="2"/>
      <c r="G740" s="2"/>
      <c r="H740" s="2"/>
      <c r="I740" s="3"/>
      <c r="J740" s="241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</row>
    <row r="741" spans="1:43" ht="13">
      <c r="A741" s="2"/>
      <c r="B741" s="2"/>
      <c r="C741" s="3"/>
      <c r="D741" s="2"/>
      <c r="E741" s="2"/>
      <c r="F741" s="2"/>
      <c r="G741" s="2"/>
      <c r="H741" s="2"/>
      <c r="I741" s="3"/>
      <c r="J741" s="241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</row>
    <row r="742" spans="1:43" ht="13">
      <c r="A742" s="2"/>
      <c r="B742" s="2"/>
      <c r="C742" s="3"/>
      <c r="D742" s="2"/>
      <c r="E742" s="2"/>
      <c r="F742" s="2"/>
      <c r="G742" s="2"/>
      <c r="H742" s="2"/>
      <c r="I742" s="3"/>
      <c r="J742" s="241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</row>
    <row r="743" spans="1:43" ht="13">
      <c r="A743" s="2"/>
      <c r="B743" s="2"/>
      <c r="C743" s="3"/>
      <c r="D743" s="2"/>
      <c r="E743" s="2"/>
      <c r="F743" s="2"/>
      <c r="G743" s="2"/>
      <c r="H743" s="2"/>
      <c r="I743" s="3"/>
      <c r="J743" s="241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</row>
    <row r="744" spans="1:43" ht="13">
      <c r="A744" s="2"/>
      <c r="B744" s="2"/>
      <c r="C744" s="3"/>
      <c r="D744" s="2"/>
      <c r="E744" s="2"/>
      <c r="F744" s="2"/>
      <c r="G744" s="2"/>
      <c r="H744" s="2"/>
      <c r="I744" s="3"/>
      <c r="J744" s="241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</row>
    <row r="745" spans="1:43" ht="13">
      <c r="A745" s="2"/>
      <c r="B745" s="2"/>
      <c r="C745" s="3"/>
      <c r="D745" s="2"/>
      <c r="E745" s="2"/>
      <c r="F745" s="2"/>
      <c r="G745" s="2"/>
      <c r="H745" s="2"/>
      <c r="I745" s="3"/>
      <c r="J745" s="241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</row>
    <row r="746" spans="1:43" ht="13">
      <c r="A746" s="2"/>
      <c r="B746" s="2"/>
      <c r="C746" s="3"/>
      <c r="D746" s="2"/>
      <c r="E746" s="2"/>
      <c r="F746" s="2"/>
      <c r="G746" s="2"/>
      <c r="H746" s="2"/>
      <c r="I746" s="3"/>
      <c r="J746" s="241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</row>
    <row r="747" spans="1:43" ht="13">
      <c r="A747" s="2"/>
      <c r="B747" s="2"/>
      <c r="C747" s="3"/>
      <c r="D747" s="2"/>
      <c r="E747" s="2"/>
      <c r="F747" s="2"/>
      <c r="G747" s="2"/>
      <c r="H747" s="2"/>
      <c r="I747" s="3"/>
      <c r="J747" s="241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</row>
    <row r="748" spans="1:43" ht="13">
      <c r="A748" s="2"/>
      <c r="B748" s="2"/>
      <c r="C748" s="3"/>
      <c r="D748" s="2"/>
      <c r="E748" s="2"/>
      <c r="F748" s="2"/>
      <c r="G748" s="2"/>
      <c r="H748" s="2"/>
      <c r="I748" s="3"/>
      <c r="J748" s="241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</row>
    <row r="749" spans="1:43" ht="13">
      <c r="A749" s="2"/>
      <c r="B749" s="2"/>
      <c r="C749" s="3"/>
      <c r="D749" s="2"/>
      <c r="E749" s="2"/>
      <c r="F749" s="2"/>
      <c r="G749" s="2"/>
      <c r="H749" s="2"/>
      <c r="I749" s="3"/>
      <c r="J749" s="241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</row>
    <row r="750" spans="1:43" ht="13">
      <c r="A750" s="2"/>
      <c r="B750" s="2"/>
      <c r="C750" s="3"/>
      <c r="D750" s="2"/>
      <c r="E750" s="2"/>
      <c r="F750" s="2"/>
      <c r="G750" s="2"/>
      <c r="H750" s="2"/>
      <c r="I750" s="3"/>
      <c r="J750" s="241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</row>
    <row r="751" spans="1:43" ht="13">
      <c r="A751" s="2"/>
      <c r="B751" s="2"/>
      <c r="C751" s="3"/>
      <c r="D751" s="2"/>
      <c r="E751" s="2"/>
      <c r="F751" s="2"/>
      <c r="G751" s="2"/>
      <c r="H751" s="2"/>
      <c r="I751" s="3"/>
      <c r="J751" s="241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</row>
    <row r="752" spans="1:43" ht="13">
      <c r="A752" s="2"/>
      <c r="B752" s="2"/>
      <c r="C752" s="3"/>
      <c r="D752" s="2"/>
      <c r="E752" s="2"/>
      <c r="F752" s="2"/>
      <c r="G752" s="2"/>
      <c r="H752" s="2"/>
      <c r="I752" s="3"/>
      <c r="J752" s="241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</row>
    <row r="753" spans="1:43" ht="13">
      <c r="A753" s="2"/>
      <c r="B753" s="2"/>
      <c r="C753" s="3"/>
      <c r="D753" s="2"/>
      <c r="E753" s="2"/>
      <c r="F753" s="2"/>
      <c r="G753" s="2"/>
      <c r="H753" s="2"/>
      <c r="I753" s="3"/>
      <c r="J753" s="241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</row>
    <row r="754" spans="1:43" ht="13">
      <c r="A754" s="2"/>
      <c r="B754" s="2"/>
      <c r="C754" s="3"/>
      <c r="D754" s="2"/>
      <c r="E754" s="2"/>
      <c r="F754" s="2"/>
      <c r="G754" s="2"/>
      <c r="H754" s="2"/>
      <c r="I754" s="3"/>
      <c r="J754" s="241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</row>
    <row r="755" spans="1:43" ht="13">
      <c r="A755" s="2"/>
      <c r="B755" s="2"/>
      <c r="C755" s="3"/>
      <c r="D755" s="2"/>
      <c r="E755" s="2"/>
      <c r="F755" s="2"/>
      <c r="G755" s="2"/>
      <c r="H755" s="2"/>
      <c r="I755" s="3"/>
      <c r="J755" s="241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</row>
    <row r="756" spans="1:43" ht="13">
      <c r="A756" s="2"/>
      <c r="B756" s="2"/>
      <c r="C756" s="3"/>
      <c r="D756" s="2"/>
      <c r="E756" s="2"/>
      <c r="F756" s="2"/>
      <c r="G756" s="2"/>
      <c r="H756" s="2"/>
      <c r="I756" s="3"/>
      <c r="J756" s="241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</row>
    <row r="757" spans="1:43" ht="13">
      <c r="A757" s="2"/>
      <c r="B757" s="2"/>
      <c r="C757" s="3"/>
      <c r="D757" s="2"/>
      <c r="E757" s="2"/>
      <c r="F757" s="2"/>
      <c r="G757" s="2"/>
      <c r="H757" s="2"/>
      <c r="I757" s="3"/>
      <c r="J757" s="241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</row>
    <row r="758" spans="1:43" ht="13">
      <c r="A758" s="2"/>
      <c r="B758" s="2"/>
      <c r="C758" s="3"/>
      <c r="D758" s="2"/>
      <c r="E758" s="2"/>
      <c r="F758" s="2"/>
      <c r="G758" s="2"/>
      <c r="H758" s="2"/>
      <c r="I758" s="3"/>
      <c r="J758" s="241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</row>
    <row r="759" spans="1:43" ht="13">
      <c r="A759" s="2"/>
      <c r="B759" s="2"/>
      <c r="C759" s="3"/>
      <c r="D759" s="2"/>
      <c r="E759" s="2"/>
      <c r="F759" s="2"/>
      <c r="G759" s="2"/>
      <c r="H759" s="2"/>
      <c r="I759" s="3"/>
      <c r="J759" s="241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</row>
    <row r="760" spans="1:43" ht="13">
      <c r="A760" s="2"/>
      <c r="B760" s="2"/>
      <c r="C760" s="3"/>
      <c r="D760" s="2"/>
      <c r="E760" s="2"/>
      <c r="F760" s="2"/>
      <c r="G760" s="2"/>
      <c r="H760" s="2"/>
      <c r="I760" s="3"/>
      <c r="J760" s="241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</row>
    <row r="761" spans="1:43" ht="13">
      <c r="A761" s="2"/>
      <c r="B761" s="2"/>
      <c r="C761" s="3"/>
      <c r="D761" s="2"/>
      <c r="E761" s="2"/>
      <c r="F761" s="2"/>
      <c r="G761" s="2"/>
      <c r="H761" s="2"/>
      <c r="I761" s="3"/>
      <c r="J761" s="241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</row>
    <row r="762" spans="1:43" ht="13">
      <c r="A762" s="2"/>
      <c r="B762" s="2"/>
      <c r="C762" s="3"/>
      <c r="D762" s="2"/>
      <c r="E762" s="2"/>
      <c r="F762" s="2"/>
      <c r="G762" s="2"/>
      <c r="H762" s="2"/>
      <c r="I762" s="3"/>
      <c r="J762" s="241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</row>
    <row r="763" spans="1:43" ht="13">
      <c r="A763" s="2"/>
      <c r="B763" s="2"/>
      <c r="C763" s="3"/>
      <c r="D763" s="2"/>
      <c r="E763" s="2"/>
      <c r="F763" s="2"/>
      <c r="G763" s="2"/>
      <c r="H763" s="2"/>
      <c r="I763" s="3"/>
      <c r="J763" s="241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</row>
    <row r="764" spans="1:43" ht="13">
      <c r="A764" s="2"/>
      <c r="B764" s="2"/>
      <c r="C764" s="3"/>
      <c r="D764" s="2"/>
      <c r="E764" s="2"/>
      <c r="F764" s="2"/>
      <c r="G764" s="2"/>
      <c r="H764" s="2"/>
      <c r="I764" s="3"/>
      <c r="J764" s="241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</row>
    <row r="765" spans="1:43" ht="13">
      <c r="A765" s="2"/>
      <c r="B765" s="2"/>
      <c r="C765" s="3"/>
      <c r="D765" s="2"/>
      <c r="E765" s="2"/>
      <c r="F765" s="2"/>
      <c r="G765" s="2"/>
      <c r="H765" s="2"/>
      <c r="I765" s="3"/>
      <c r="J765" s="241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</row>
    <row r="766" spans="1:43" ht="13">
      <c r="A766" s="2"/>
      <c r="B766" s="2"/>
      <c r="C766" s="3"/>
      <c r="D766" s="2"/>
      <c r="E766" s="2"/>
      <c r="F766" s="2"/>
      <c r="G766" s="2"/>
      <c r="H766" s="2"/>
      <c r="I766" s="3"/>
      <c r="J766" s="241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</row>
    <row r="767" spans="1:43" ht="13">
      <c r="A767" s="2"/>
      <c r="B767" s="2"/>
      <c r="C767" s="3"/>
      <c r="D767" s="2"/>
      <c r="E767" s="2"/>
      <c r="F767" s="2"/>
      <c r="G767" s="2"/>
      <c r="H767" s="2"/>
      <c r="I767" s="3"/>
      <c r="J767" s="241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</row>
    <row r="768" spans="1:43" ht="13">
      <c r="A768" s="2"/>
      <c r="B768" s="2"/>
      <c r="C768" s="3"/>
      <c r="D768" s="2"/>
      <c r="E768" s="2"/>
      <c r="F768" s="2"/>
      <c r="G768" s="2"/>
      <c r="H768" s="2"/>
      <c r="I768" s="3"/>
      <c r="J768" s="241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</row>
    <row r="769" spans="1:43" ht="13">
      <c r="A769" s="2"/>
      <c r="B769" s="2"/>
      <c r="C769" s="3"/>
      <c r="D769" s="2"/>
      <c r="E769" s="2"/>
      <c r="F769" s="2"/>
      <c r="G769" s="2"/>
      <c r="H769" s="2"/>
      <c r="I769" s="3"/>
      <c r="J769" s="241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</row>
    <row r="770" spans="1:43" ht="13">
      <c r="A770" s="2"/>
      <c r="B770" s="2"/>
      <c r="C770" s="3"/>
      <c r="D770" s="2"/>
      <c r="E770" s="2"/>
      <c r="F770" s="2"/>
      <c r="G770" s="2"/>
      <c r="H770" s="2"/>
      <c r="I770" s="3"/>
      <c r="J770" s="241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</row>
    <row r="771" spans="1:43" ht="13">
      <c r="A771" s="2"/>
      <c r="B771" s="2"/>
      <c r="C771" s="3"/>
      <c r="D771" s="2"/>
      <c r="E771" s="2"/>
      <c r="F771" s="2"/>
      <c r="G771" s="2"/>
      <c r="H771" s="2"/>
      <c r="I771" s="3"/>
      <c r="J771" s="241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</row>
    <row r="772" spans="1:43" ht="13">
      <c r="A772" s="2"/>
      <c r="B772" s="2"/>
      <c r="C772" s="3"/>
      <c r="D772" s="2"/>
      <c r="E772" s="2"/>
      <c r="F772" s="2"/>
      <c r="G772" s="2"/>
      <c r="H772" s="2"/>
      <c r="I772" s="3"/>
      <c r="J772" s="241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</row>
    <row r="773" spans="1:43" ht="13">
      <c r="A773" s="2"/>
      <c r="B773" s="2"/>
      <c r="C773" s="3"/>
      <c r="D773" s="2"/>
      <c r="E773" s="2"/>
      <c r="F773" s="2"/>
      <c r="G773" s="2"/>
      <c r="H773" s="2"/>
      <c r="I773" s="3"/>
      <c r="J773" s="241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</row>
    <row r="774" spans="1:43" ht="13">
      <c r="A774" s="2"/>
      <c r="B774" s="2"/>
      <c r="C774" s="3"/>
      <c r="D774" s="2"/>
      <c r="E774" s="2"/>
      <c r="F774" s="2"/>
      <c r="G774" s="2"/>
      <c r="H774" s="2"/>
      <c r="I774" s="3"/>
      <c r="J774" s="241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</row>
    <row r="775" spans="1:43" ht="13">
      <c r="A775" s="2"/>
      <c r="B775" s="2"/>
      <c r="C775" s="3"/>
      <c r="D775" s="2"/>
      <c r="E775" s="2"/>
      <c r="F775" s="2"/>
      <c r="G775" s="2"/>
      <c r="H775" s="2"/>
      <c r="I775" s="3"/>
      <c r="J775" s="241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</row>
    <row r="776" spans="1:43" ht="13">
      <c r="A776" s="2"/>
      <c r="B776" s="2"/>
      <c r="C776" s="3"/>
      <c r="D776" s="2"/>
      <c r="E776" s="2"/>
      <c r="F776" s="2"/>
      <c r="G776" s="2"/>
      <c r="H776" s="2"/>
      <c r="I776" s="3"/>
      <c r="J776" s="241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</row>
    <row r="777" spans="1:43" ht="13">
      <c r="A777" s="2"/>
      <c r="B777" s="2"/>
      <c r="C777" s="3"/>
      <c r="D777" s="2"/>
      <c r="E777" s="2"/>
      <c r="F777" s="2"/>
      <c r="G777" s="2"/>
      <c r="H777" s="2"/>
      <c r="I777" s="3"/>
      <c r="J777" s="241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</row>
    <row r="778" spans="1:43" ht="13">
      <c r="A778" s="2"/>
      <c r="B778" s="2"/>
      <c r="C778" s="3"/>
      <c r="D778" s="2"/>
      <c r="E778" s="2"/>
      <c r="F778" s="2"/>
      <c r="G778" s="2"/>
      <c r="H778" s="2"/>
      <c r="I778" s="3"/>
      <c r="J778" s="241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</row>
    <row r="779" spans="1:43" ht="13">
      <c r="A779" s="2"/>
      <c r="B779" s="2"/>
      <c r="C779" s="3"/>
      <c r="D779" s="2"/>
      <c r="E779" s="2"/>
      <c r="F779" s="2"/>
      <c r="G779" s="2"/>
      <c r="H779" s="2"/>
      <c r="I779" s="3"/>
      <c r="J779" s="241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</row>
    <row r="780" spans="1:43" ht="13">
      <c r="A780" s="2"/>
      <c r="B780" s="2"/>
      <c r="C780" s="3"/>
      <c r="D780" s="2"/>
      <c r="E780" s="2"/>
      <c r="F780" s="2"/>
      <c r="G780" s="2"/>
      <c r="H780" s="2"/>
      <c r="I780" s="3"/>
      <c r="J780" s="241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</row>
    <row r="781" spans="1:43" ht="13">
      <c r="A781" s="2"/>
      <c r="B781" s="2"/>
      <c r="C781" s="3"/>
      <c r="D781" s="2"/>
      <c r="E781" s="2"/>
      <c r="F781" s="2"/>
      <c r="G781" s="2"/>
      <c r="H781" s="2"/>
      <c r="I781" s="3"/>
      <c r="J781" s="241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</row>
    <row r="782" spans="1:43" ht="13">
      <c r="A782" s="2"/>
      <c r="B782" s="2"/>
      <c r="C782" s="3"/>
      <c r="D782" s="2"/>
      <c r="E782" s="2"/>
      <c r="F782" s="2"/>
      <c r="G782" s="2"/>
      <c r="H782" s="2"/>
      <c r="I782" s="3"/>
      <c r="J782" s="241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</row>
    <row r="783" spans="1:43" ht="13">
      <c r="A783" s="2"/>
      <c r="B783" s="2"/>
      <c r="C783" s="3"/>
      <c r="D783" s="2"/>
      <c r="E783" s="2"/>
      <c r="F783" s="2"/>
      <c r="G783" s="2"/>
      <c r="H783" s="2"/>
      <c r="I783" s="3"/>
      <c r="J783" s="241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</row>
    <row r="784" spans="1:43" ht="13">
      <c r="A784" s="2"/>
      <c r="B784" s="2"/>
      <c r="C784" s="3"/>
      <c r="D784" s="2"/>
      <c r="E784" s="2"/>
      <c r="F784" s="2"/>
      <c r="G784" s="2"/>
      <c r="H784" s="2"/>
      <c r="I784" s="3"/>
      <c r="J784" s="241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</row>
    <row r="785" spans="1:43" ht="13">
      <c r="A785" s="2"/>
      <c r="B785" s="2"/>
      <c r="C785" s="3"/>
      <c r="D785" s="2"/>
      <c r="E785" s="2"/>
      <c r="F785" s="2"/>
      <c r="G785" s="2"/>
      <c r="H785" s="2"/>
      <c r="I785" s="3"/>
      <c r="J785" s="241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</row>
    <row r="786" spans="1:43" ht="13">
      <c r="A786" s="2"/>
      <c r="B786" s="2"/>
      <c r="C786" s="3"/>
      <c r="D786" s="2"/>
      <c r="E786" s="2"/>
      <c r="F786" s="2"/>
      <c r="G786" s="2"/>
      <c r="H786" s="2"/>
      <c r="I786" s="3"/>
      <c r="J786" s="241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</row>
    <row r="787" spans="1:43" ht="13">
      <c r="A787" s="2"/>
      <c r="B787" s="2"/>
      <c r="C787" s="3"/>
      <c r="D787" s="2"/>
      <c r="E787" s="2"/>
      <c r="F787" s="2"/>
      <c r="G787" s="2"/>
      <c r="H787" s="2"/>
      <c r="I787" s="3"/>
      <c r="J787" s="241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</row>
    <row r="788" spans="1:43" ht="13">
      <c r="A788" s="2"/>
      <c r="B788" s="2"/>
      <c r="C788" s="3"/>
      <c r="D788" s="2"/>
      <c r="E788" s="2"/>
      <c r="F788" s="2"/>
      <c r="G788" s="2"/>
      <c r="H788" s="2"/>
      <c r="I788" s="3"/>
      <c r="J788" s="241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</row>
    <row r="789" spans="1:43" ht="13">
      <c r="A789" s="2"/>
      <c r="B789" s="2"/>
      <c r="C789" s="3"/>
      <c r="D789" s="2"/>
      <c r="E789" s="2"/>
      <c r="F789" s="2"/>
      <c r="G789" s="2"/>
      <c r="H789" s="2"/>
      <c r="I789" s="3"/>
      <c r="J789" s="241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</row>
    <row r="790" spans="1:43" ht="13">
      <c r="A790" s="2"/>
      <c r="B790" s="2"/>
      <c r="C790" s="3"/>
      <c r="D790" s="2"/>
      <c r="E790" s="2"/>
      <c r="F790" s="2"/>
      <c r="G790" s="2"/>
      <c r="H790" s="2"/>
      <c r="I790" s="3"/>
      <c r="J790" s="241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</row>
    <row r="791" spans="1:43" ht="13">
      <c r="A791" s="2"/>
      <c r="B791" s="2"/>
      <c r="C791" s="3"/>
      <c r="D791" s="2"/>
      <c r="E791" s="2"/>
      <c r="F791" s="2"/>
      <c r="G791" s="2"/>
      <c r="H791" s="2"/>
      <c r="I791" s="3"/>
      <c r="J791" s="241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</row>
    <row r="792" spans="1:43" ht="13">
      <c r="A792" s="2"/>
      <c r="B792" s="2"/>
      <c r="C792" s="3"/>
      <c r="D792" s="2"/>
      <c r="E792" s="2"/>
      <c r="F792" s="2"/>
      <c r="G792" s="2"/>
      <c r="H792" s="2"/>
      <c r="I792" s="3"/>
      <c r="J792" s="241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</row>
    <row r="793" spans="1:43" ht="13">
      <c r="A793" s="2"/>
      <c r="B793" s="2"/>
      <c r="C793" s="3"/>
      <c r="D793" s="2"/>
      <c r="E793" s="2"/>
      <c r="F793" s="2"/>
      <c r="G793" s="2"/>
      <c r="H793" s="2"/>
      <c r="I793" s="3"/>
      <c r="J793" s="241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</row>
    <row r="794" spans="1:43" ht="13">
      <c r="A794" s="2"/>
      <c r="B794" s="2"/>
      <c r="C794" s="3"/>
      <c r="D794" s="2"/>
      <c r="E794" s="2"/>
      <c r="F794" s="2"/>
      <c r="G794" s="2"/>
      <c r="H794" s="2"/>
      <c r="I794" s="3"/>
      <c r="J794" s="241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</row>
    <row r="795" spans="1:43" ht="13">
      <c r="A795" s="2"/>
      <c r="B795" s="2"/>
      <c r="C795" s="3"/>
      <c r="D795" s="2"/>
      <c r="E795" s="2"/>
      <c r="F795" s="2"/>
      <c r="G795" s="2"/>
      <c r="H795" s="2"/>
      <c r="I795" s="3"/>
      <c r="J795" s="241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</row>
    <row r="796" spans="1:43" ht="13">
      <c r="A796" s="2"/>
      <c r="B796" s="2"/>
      <c r="C796" s="3"/>
      <c r="D796" s="2"/>
      <c r="E796" s="2"/>
      <c r="F796" s="2"/>
      <c r="G796" s="2"/>
      <c r="H796" s="2"/>
      <c r="I796" s="3"/>
      <c r="J796" s="241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</row>
    <row r="797" spans="1:43" ht="13">
      <c r="A797" s="2"/>
      <c r="B797" s="2"/>
      <c r="C797" s="3"/>
      <c r="D797" s="2"/>
      <c r="E797" s="2"/>
      <c r="F797" s="2"/>
      <c r="G797" s="2"/>
      <c r="H797" s="2"/>
      <c r="I797" s="3"/>
      <c r="J797" s="241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</row>
    <row r="798" spans="1:43" ht="13">
      <c r="A798" s="2"/>
      <c r="B798" s="2"/>
      <c r="C798" s="3"/>
      <c r="D798" s="2"/>
      <c r="E798" s="2"/>
      <c r="F798" s="2"/>
      <c r="G798" s="2"/>
      <c r="H798" s="2"/>
      <c r="I798" s="3"/>
      <c r="J798" s="241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</row>
    <row r="799" spans="1:43" ht="13">
      <c r="A799" s="2"/>
      <c r="B799" s="2"/>
      <c r="C799" s="3"/>
      <c r="D799" s="2"/>
      <c r="E799" s="2"/>
      <c r="F799" s="2"/>
      <c r="G799" s="2"/>
      <c r="H799" s="2"/>
      <c r="I799" s="3"/>
      <c r="J799" s="241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</row>
    <row r="800" spans="1:43" ht="13">
      <c r="A800" s="2"/>
      <c r="B800" s="2"/>
      <c r="C800" s="3"/>
      <c r="D800" s="2"/>
      <c r="E800" s="2"/>
      <c r="F800" s="2"/>
      <c r="G800" s="2"/>
      <c r="H800" s="2"/>
      <c r="I800" s="3"/>
      <c r="J800" s="241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</row>
    <row r="801" spans="1:43" ht="13">
      <c r="A801" s="2"/>
      <c r="B801" s="2"/>
      <c r="C801" s="3"/>
      <c r="D801" s="2"/>
      <c r="E801" s="2"/>
      <c r="F801" s="2"/>
      <c r="G801" s="2"/>
      <c r="H801" s="2"/>
      <c r="I801" s="3"/>
      <c r="J801" s="241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</row>
    <row r="802" spans="1:43" ht="13">
      <c r="A802" s="2"/>
      <c r="B802" s="2"/>
      <c r="C802" s="3"/>
      <c r="D802" s="2"/>
      <c r="E802" s="2"/>
      <c r="F802" s="2"/>
      <c r="G802" s="2"/>
      <c r="H802" s="2"/>
      <c r="I802" s="3"/>
      <c r="J802" s="241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</row>
    <row r="803" spans="1:43" ht="13">
      <c r="A803" s="2"/>
      <c r="B803" s="2"/>
      <c r="C803" s="3"/>
      <c r="D803" s="2"/>
      <c r="E803" s="2"/>
      <c r="F803" s="2"/>
      <c r="G803" s="2"/>
      <c r="H803" s="2"/>
      <c r="I803" s="3"/>
      <c r="J803" s="241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</row>
    <row r="804" spans="1:43" ht="13">
      <c r="A804" s="2"/>
      <c r="B804" s="2"/>
      <c r="C804" s="3"/>
      <c r="D804" s="2"/>
      <c r="E804" s="2"/>
      <c r="F804" s="2"/>
      <c r="G804" s="2"/>
      <c r="H804" s="2"/>
      <c r="I804" s="3"/>
      <c r="J804" s="241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</row>
    <row r="805" spans="1:43" ht="13">
      <c r="A805" s="2"/>
      <c r="B805" s="2"/>
      <c r="C805" s="3"/>
      <c r="D805" s="2"/>
      <c r="E805" s="2"/>
      <c r="F805" s="2"/>
      <c r="G805" s="2"/>
      <c r="H805" s="2"/>
      <c r="I805" s="3"/>
      <c r="J805" s="241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</row>
    <row r="806" spans="1:43" ht="13">
      <c r="A806" s="2"/>
      <c r="B806" s="2"/>
      <c r="C806" s="3"/>
      <c r="D806" s="2"/>
      <c r="E806" s="2"/>
      <c r="F806" s="2"/>
      <c r="G806" s="2"/>
      <c r="H806" s="2"/>
      <c r="I806" s="3"/>
      <c r="J806" s="241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</row>
    <row r="807" spans="1:43" ht="13">
      <c r="A807" s="2"/>
      <c r="B807" s="2"/>
      <c r="C807" s="3"/>
      <c r="D807" s="2"/>
      <c r="E807" s="2"/>
      <c r="F807" s="2"/>
      <c r="G807" s="2"/>
      <c r="H807" s="2"/>
      <c r="I807" s="3"/>
      <c r="J807" s="241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</row>
    <row r="808" spans="1:43" ht="13">
      <c r="A808" s="2"/>
      <c r="B808" s="2"/>
      <c r="C808" s="3"/>
      <c r="D808" s="2"/>
      <c r="E808" s="2"/>
      <c r="F808" s="2"/>
      <c r="G808" s="2"/>
      <c r="H808" s="2"/>
      <c r="I808" s="3"/>
      <c r="J808" s="241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</row>
    <row r="809" spans="1:43" ht="13">
      <c r="A809" s="2"/>
      <c r="B809" s="2"/>
      <c r="C809" s="3"/>
      <c r="D809" s="2"/>
      <c r="E809" s="2"/>
      <c r="F809" s="2"/>
      <c r="G809" s="2"/>
      <c r="H809" s="2"/>
      <c r="I809" s="3"/>
      <c r="J809" s="241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</row>
    <row r="810" spans="1:43" ht="13">
      <c r="A810" s="2"/>
      <c r="B810" s="2"/>
      <c r="C810" s="3"/>
      <c r="D810" s="2"/>
      <c r="E810" s="2"/>
      <c r="F810" s="2"/>
      <c r="G810" s="2"/>
      <c r="H810" s="2"/>
      <c r="I810" s="3"/>
      <c r="J810" s="241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</row>
    <row r="811" spans="1:43" ht="13">
      <c r="A811" s="2"/>
      <c r="B811" s="2"/>
      <c r="C811" s="3"/>
      <c r="D811" s="2"/>
      <c r="E811" s="2"/>
      <c r="F811" s="2"/>
      <c r="G811" s="2"/>
      <c r="H811" s="2"/>
      <c r="I811" s="3"/>
      <c r="J811" s="241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</row>
    <row r="812" spans="1:43" ht="13">
      <c r="A812" s="2"/>
      <c r="B812" s="2"/>
      <c r="C812" s="3"/>
      <c r="D812" s="2"/>
      <c r="E812" s="2"/>
      <c r="F812" s="2"/>
      <c r="G812" s="2"/>
      <c r="H812" s="2"/>
      <c r="I812" s="3"/>
      <c r="J812" s="241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</row>
    <row r="813" spans="1:43" ht="13">
      <c r="A813" s="2"/>
      <c r="B813" s="2"/>
      <c r="C813" s="3"/>
      <c r="D813" s="2"/>
      <c r="E813" s="2"/>
      <c r="F813" s="2"/>
      <c r="G813" s="2"/>
      <c r="H813" s="2"/>
      <c r="I813" s="3"/>
      <c r="J813" s="241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</row>
    <row r="814" spans="1:43" ht="13">
      <c r="A814" s="2"/>
      <c r="B814" s="2"/>
      <c r="C814" s="3"/>
      <c r="D814" s="2"/>
      <c r="E814" s="2"/>
      <c r="F814" s="2"/>
      <c r="G814" s="2"/>
      <c r="H814" s="2"/>
      <c r="I814" s="3"/>
      <c r="J814" s="241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</row>
    <row r="815" spans="1:43" ht="13">
      <c r="A815" s="2"/>
      <c r="B815" s="2"/>
      <c r="C815" s="3"/>
      <c r="D815" s="2"/>
      <c r="E815" s="2"/>
      <c r="F815" s="2"/>
      <c r="G815" s="2"/>
      <c r="H815" s="2"/>
      <c r="I815" s="3"/>
      <c r="J815" s="241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</row>
    <row r="816" spans="1:43" ht="13">
      <c r="A816" s="2"/>
      <c r="B816" s="2"/>
      <c r="C816" s="3"/>
      <c r="D816" s="2"/>
      <c r="E816" s="2"/>
      <c r="F816" s="2"/>
      <c r="G816" s="2"/>
      <c r="H816" s="2"/>
      <c r="I816" s="3"/>
      <c r="J816" s="241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</row>
    <row r="817" spans="1:43" ht="13">
      <c r="A817" s="2"/>
      <c r="B817" s="2"/>
      <c r="C817" s="3"/>
      <c r="D817" s="2"/>
      <c r="E817" s="2"/>
      <c r="F817" s="2"/>
      <c r="G817" s="2"/>
      <c r="H817" s="2"/>
      <c r="I817" s="3"/>
      <c r="J817" s="241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</row>
    <row r="818" spans="1:43" ht="13">
      <c r="A818" s="2"/>
      <c r="B818" s="2"/>
      <c r="C818" s="3"/>
      <c r="D818" s="2"/>
      <c r="E818" s="2"/>
      <c r="F818" s="2"/>
      <c r="G818" s="2"/>
      <c r="H818" s="2"/>
      <c r="I818" s="3"/>
      <c r="J818" s="241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</row>
    <row r="819" spans="1:43" ht="13">
      <c r="A819" s="2"/>
      <c r="B819" s="2"/>
      <c r="C819" s="3"/>
      <c r="D819" s="2"/>
      <c r="E819" s="2"/>
      <c r="F819" s="2"/>
      <c r="G819" s="2"/>
      <c r="H819" s="2"/>
      <c r="I819" s="3"/>
      <c r="J819" s="241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</row>
    <row r="820" spans="1:43" ht="13">
      <c r="A820" s="2"/>
      <c r="B820" s="2"/>
      <c r="C820" s="3"/>
      <c r="D820" s="2"/>
      <c r="E820" s="2"/>
      <c r="F820" s="2"/>
      <c r="G820" s="2"/>
      <c r="H820" s="2"/>
      <c r="I820" s="3"/>
      <c r="J820" s="241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</row>
    <row r="821" spans="1:43" ht="13">
      <c r="A821" s="2"/>
      <c r="B821" s="2"/>
      <c r="C821" s="3"/>
      <c r="D821" s="2"/>
      <c r="E821" s="2"/>
      <c r="F821" s="2"/>
      <c r="G821" s="2"/>
      <c r="H821" s="2"/>
      <c r="I821" s="3"/>
      <c r="J821" s="241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</row>
    <row r="822" spans="1:43" ht="13">
      <c r="A822" s="2"/>
      <c r="B822" s="2"/>
      <c r="C822" s="3"/>
      <c r="D822" s="2"/>
      <c r="E822" s="2"/>
      <c r="F822" s="2"/>
      <c r="G822" s="2"/>
      <c r="H822" s="2"/>
      <c r="I822" s="3"/>
      <c r="J822" s="241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</row>
    <row r="823" spans="1:43" ht="13">
      <c r="A823" s="2"/>
      <c r="B823" s="2"/>
      <c r="C823" s="3"/>
      <c r="D823" s="2"/>
      <c r="E823" s="2"/>
      <c r="F823" s="2"/>
      <c r="G823" s="2"/>
      <c r="H823" s="2"/>
      <c r="I823" s="3"/>
      <c r="J823" s="241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</row>
    <row r="824" spans="1:43" ht="13">
      <c r="A824" s="2"/>
      <c r="B824" s="2"/>
      <c r="C824" s="3"/>
      <c r="D824" s="2"/>
      <c r="E824" s="2"/>
      <c r="F824" s="2"/>
      <c r="G824" s="2"/>
      <c r="H824" s="2"/>
      <c r="I824" s="3"/>
      <c r="J824" s="241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</row>
    <row r="825" spans="1:43" ht="13">
      <c r="A825" s="2"/>
      <c r="B825" s="2"/>
      <c r="C825" s="3"/>
      <c r="D825" s="2"/>
      <c r="E825" s="2"/>
      <c r="F825" s="2"/>
      <c r="G825" s="2"/>
      <c r="H825" s="2"/>
      <c r="I825" s="3"/>
      <c r="J825" s="241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</row>
    <row r="826" spans="1:43" ht="13">
      <c r="A826" s="2"/>
      <c r="B826" s="2"/>
      <c r="C826" s="3"/>
      <c r="D826" s="2"/>
      <c r="E826" s="2"/>
      <c r="F826" s="2"/>
      <c r="G826" s="2"/>
      <c r="H826" s="2"/>
      <c r="I826" s="3"/>
      <c r="J826" s="241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</row>
    <row r="827" spans="1:43" ht="13">
      <c r="A827" s="2"/>
      <c r="B827" s="2"/>
      <c r="C827" s="3"/>
      <c r="D827" s="2"/>
      <c r="E827" s="2"/>
      <c r="F827" s="2"/>
      <c r="G827" s="2"/>
      <c r="H827" s="2"/>
      <c r="I827" s="3"/>
      <c r="J827" s="241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</row>
    <row r="828" spans="1:43" ht="13">
      <c r="A828" s="2"/>
      <c r="B828" s="2"/>
      <c r="C828" s="3"/>
      <c r="D828" s="2"/>
      <c r="E828" s="2"/>
      <c r="F828" s="2"/>
      <c r="G828" s="2"/>
      <c r="H828" s="2"/>
      <c r="I828" s="3"/>
      <c r="J828" s="241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</row>
    <row r="829" spans="1:43" ht="13">
      <c r="A829" s="2"/>
      <c r="B829" s="2"/>
      <c r="C829" s="3"/>
      <c r="D829" s="2"/>
      <c r="E829" s="2"/>
      <c r="F829" s="2"/>
      <c r="G829" s="2"/>
      <c r="H829" s="2"/>
      <c r="I829" s="3"/>
      <c r="J829" s="241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</row>
    <row r="830" spans="1:43" ht="13">
      <c r="A830" s="2"/>
      <c r="B830" s="2"/>
      <c r="C830" s="3"/>
      <c r="D830" s="2"/>
      <c r="E830" s="2"/>
      <c r="F830" s="2"/>
      <c r="G830" s="2"/>
      <c r="H830" s="2"/>
      <c r="I830" s="3"/>
      <c r="J830" s="241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</row>
    <row r="831" spans="1:43" ht="13">
      <c r="A831" s="2"/>
      <c r="B831" s="2"/>
      <c r="C831" s="3"/>
      <c r="D831" s="2"/>
      <c r="E831" s="2"/>
      <c r="F831" s="2"/>
      <c r="G831" s="2"/>
      <c r="H831" s="2"/>
      <c r="I831" s="3"/>
      <c r="J831" s="241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</row>
    <row r="832" spans="1:43" ht="13">
      <c r="A832" s="2"/>
      <c r="B832" s="2"/>
      <c r="C832" s="3"/>
      <c r="D832" s="2"/>
      <c r="E832" s="2"/>
      <c r="F832" s="2"/>
      <c r="G832" s="2"/>
      <c r="H832" s="2"/>
      <c r="I832" s="3"/>
      <c r="J832" s="241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</row>
    <row r="833" spans="1:43" ht="13">
      <c r="A833" s="2"/>
      <c r="B833" s="2"/>
      <c r="C833" s="3"/>
      <c r="D833" s="2"/>
      <c r="E833" s="2"/>
      <c r="F833" s="2"/>
      <c r="G833" s="2"/>
      <c r="H833" s="2"/>
      <c r="I833" s="3"/>
      <c r="J833" s="241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</row>
    <row r="834" spans="1:43" ht="13">
      <c r="A834" s="2"/>
      <c r="B834" s="2"/>
      <c r="C834" s="3"/>
      <c r="D834" s="2"/>
      <c r="E834" s="2"/>
      <c r="F834" s="2"/>
      <c r="G834" s="2"/>
      <c r="H834" s="2"/>
      <c r="I834" s="3"/>
      <c r="J834" s="241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</row>
    <row r="835" spans="1:43" ht="13">
      <c r="A835" s="2"/>
      <c r="B835" s="2"/>
      <c r="C835" s="3"/>
      <c r="D835" s="2"/>
      <c r="E835" s="2"/>
      <c r="F835" s="2"/>
      <c r="G835" s="2"/>
      <c r="H835" s="2"/>
      <c r="I835" s="3"/>
      <c r="J835" s="241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</row>
    <row r="836" spans="1:43" ht="13">
      <c r="A836" s="2"/>
      <c r="B836" s="2"/>
      <c r="C836" s="3"/>
      <c r="D836" s="2"/>
      <c r="E836" s="2"/>
      <c r="F836" s="2"/>
      <c r="G836" s="2"/>
      <c r="H836" s="2"/>
      <c r="I836" s="3"/>
      <c r="J836" s="241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</row>
    <row r="837" spans="1:43" ht="13">
      <c r="A837" s="2"/>
      <c r="B837" s="2"/>
      <c r="C837" s="3"/>
      <c r="D837" s="2"/>
      <c r="E837" s="2"/>
      <c r="F837" s="2"/>
      <c r="G837" s="2"/>
      <c r="H837" s="2"/>
      <c r="I837" s="3"/>
      <c r="J837" s="241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</row>
    <row r="838" spans="1:43" ht="13">
      <c r="A838" s="2"/>
      <c r="B838" s="2"/>
      <c r="C838" s="3"/>
      <c r="D838" s="2"/>
      <c r="E838" s="2"/>
      <c r="F838" s="2"/>
      <c r="G838" s="2"/>
      <c r="H838" s="2"/>
      <c r="I838" s="3"/>
      <c r="J838" s="241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</row>
    <row r="839" spans="1:43" ht="13">
      <c r="A839" s="2"/>
      <c r="B839" s="2"/>
      <c r="C839" s="3"/>
      <c r="D839" s="2"/>
      <c r="E839" s="2"/>
      <c r="F839" s="2"/>
      <c r="G839" s="2"/>
      <c r="H839" s="2"/>
      <c r="I839" s="3"/>
      <c r="J839" s="241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</row>
    <row r="840" spans="1:43" ht="13">
      <c r="A840" s="2"/>
      <c r="B840" s="2"/>
      <c r="C840" s="3"/>
      <c r="D840" s="2"/>
      <c r="E840" s="2"/>
      <c r="F840" s="2"/>
      <c r="G840" s="2"/>
      <c r="H840" s="2"/>
      <c r="I840" s="3"/>
      <c r="J840" s="241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</row>
    <row r="841" spans="1:43" ht="13">
      <c r="A841" s="2"/>
      <c r="B841" s="2"/>
      <c r="C841" s="3"/>
      <c r="D841" s="2"/>
      <c r="E841" s="2"/>
      <c r="F841" s="2"/>
      <c r="G841" s="2"/>
      <c r="H841" s="2"/>
      <c r="I841" s="3"/>
      <c r="J841" s="241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</row>
    <row r="842" spans="1:43" ht="13">
      <c r="A842" s="2"/>
      <c r="B842" s="2"/>
      <c r="C842" s="3"/>
      <c r="D842" s="2"/>
      <c r="E842" s="2"/>
      <c r="F842" s="2"/>
      <c r="G842" s="2"/>
      <c r="H842" s="2"/>
      <c r="I842" s="3"/>
      <c r="J842" s="241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</row>
    <row r="843" spans="1:43" ht="13">
      <c r="A843" s="2"/>
      <c r="B843" s="2"/>
      <c r="C843" s="3"/>
      <c r="D843" s="2"/>
      <c r="E843" s="2"/>
      <c r="F843" s="2"/>
      <c r="G843" s="2"/>
      <c r="H843" s="2"/>
      <c r="I843" s="3"/>
      <c r="J843" s="241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</row>
    <row r="844" spans="1:43" ht="13">
      <c r="A844" s="2"/>
      <c r="B844" s="2"/>
      <c r="C844" s="3"/>
      <c r="D844" s="2"/>
      <c r="E844" s="2"/>
      <c r="F844" s="2"/>
      <c r="G844" s="2"/>
      <c r="H844" s="2"/>
      <c r="I844" s="3"/>
      <c r="J844" s="241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</row>
    <row r="845" spans="1:43" ht="13">
      <c r="A845" s="2"/>
      <c r="B845" s="2"/>
      <c r="C845" s="3"/>
      <c r="D845" s="2"/>
      <c r="E845" s="2"/>
      <c r="F845" s="2"/>
      <c r="G845" s="2"/>
      <c r="H845" s="2"/>
      <c r="I845" s="3"/>
      <c r="J845" s="241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</row>
    <row r="846" spans="1:43" ht="13">
      <c r="A846" s="2"/>
      <c r="B846" s="2"/>
      <c r="C846" s="3"/>
      <c r="D846" s="2"/>
      <c r="E846" s="2"/>
      <c r="F846" s="2"/>
      <c r="G846" s="2"/>
      <c r="H846" s="2"/>
      <c r="I846" s="3"/>
      <c r="J846" s="241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</row>
    <row r="847" spans="1:43" ht="13">
      <c r="A847" s="2"/>
      <c r="B847" s="2"/>
      <c r="C847" s="3"/>
      <c r="D847" s="2"/>
      <c r="E847" s="2"/>
      <c r="F847" s="2"/>
      <c r="G847" s="2"/>
      <c r="H847" s="2"/>
      <c r="I847" s="3"/>
      <c r="J847" s="241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</row>
    <row r="848" spans="1:43" ht="13">
      <c r="A848" s="2"/>
      <c r="B848" s="2"/>
      <c r="C848" s="3"/>
      <c r="D848" s="2"/>
      <c r="E848" s="2"/>
      <c r="F848" s="2"/>
      <c r="G848" s="2"/>
      <c r="H848" s="2"/>
      <c r="I848" s="3"/>
      <c r="J848" s="241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</row>
    <row r="849" spans="1:43" ht="13">
      <c r="A849" s="2"/>
      <c r="B849" s="2"/>
      <c r="C849" s="3"/>
      <c r="D849" s="2"/>
      <c r="E849" s="2"/>
      <c r="F849" s="2"/>
      <c r="G849" s="2"/>
      <c r="H849" s="2"/>
      <c r="I849" s="3"/>
      <c r="J849" s="241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</row>
    <row r="850" spans="1:43" ht="13">
      <c r="A850" s="2"/>
      <c r="B850" s="2"/>
      <c r="C850" s="3"/>
      <c r="D850" s="2"/>
      <c r="E850" s="2"/>
      <c r="F850" s="2"/>
      <c r="G850" s="2"/>
      <c r="H850" s="2"/>
      <c r="I850" s="3"/>
      <c r="J850" s="241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</row>
    <row r="851" spans="1:43" ht="13">
      <c r="A851" s="2"/>
      <c r="B851" s="2"/>
      <c r="C851" s="3"/>
      <c r="D851" s="2"/>
      <c r="E851" s="2"/>
      <c r="F851" s="2"/>
      <c r="G851" s="2"/>
      <c r="H851" s="2"/>
      <c r="I851" s="3"/>
      <c r="J851" s="241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</row>
    <row r="852" spans="1:43" ht="13">
      <c r="A852" s="2"/>
      <c r="B852" s="2"/>
      <c r="C852" s="3"/>
      <c r="D852" s="2"/>
      <c r="E852" s="2"/>
      <c r="F852" s="2"/>
      <c r="G852" s="2"/>
      <c r="H852" s="2"/>
      <c r="I852" s="3"/>
      <c r="J852" s="241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</row>
    <row r="853" spans="1:43" ht="13">
      <c r="A853" s="2"/>
      <c r="B853" s="2"/>
      <c r="C853" s="3"/>
      <c r="D853" s="2"/>
      <c r="E853" s="2"/>
      <c r="F853" s="2"/>
      <c r="G853" s="2"/>
      <c r="H853" s="2"/>
      <c r="I853" s="3"/>
      <c r="J853" s="241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</row>
    <row r="854" spans="1:43" ht="13">
      <c r="A854" s="2"/>
      <c r="B854" s="2"/>
      <c r="C854" s="3"/>
      <c r="D854" s="2"/>
      <c r="E854" s="2"/>
      <c r="F854" s="2"/>
      <c r="G854" s="2"/>
      <c r="H854" s="2"/>
      <c r="I854" s="3"/>
      <c r="J854" s="241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</row>
    <row r="855" spans="1:43" ht="13">
      <c r="A855" s="2"/>
      <c r="B855" s="2"/>
      <c r="C855" s="3"/>
      <c r="D855" s="2"/>
      <c r="E855" s="2"/>
      <c r="F855" s="2"/>
      <c r="G855" s="2"/>
      <c r="H855" s="2"/>
      <c r="I855" s="3"/>
      <c r="J855" s="241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</row>
    <row r="856" spans="1:43" ht="13">
      <c r="A856" s="2"/>
      <c r="B856" s="2"/>
      <c r="C856" s="3"/>
      <c r="D856" s="2"/>
      <c r="E856" s="2"/>
      <c r="F856" s="2"/>
      <c r="G856" s="2"/>
      <c r="H856" s="2"/>
      <c r="I856" s="3"/>
      <c r="J856" s="241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</row>
    <row r="857" spans="1:43" ht="13">
      <c r="A857" s="2"/>
      <c r="B857" s="2"/>
      <c r="C857" s="3"/>
      <c r="D857" s="2"/>
      <c r="E857" s="2"/>
      <c r="F857" s="2"/>
      <c r="G857" s="2"/>
      <c r="H857" s="2"/>
      <c r="I857" s="3"/>
      <c r="J857" s="241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</row>
    <row r="858" spans="1:43" ht="13">
      <c r="A858" s="2"/>
      <c r="B858" s="2"/>
      <c r="C858" s="3"/>
      <c r="D858" s="2"/>
      <c r="E858" s="2"/>
      <c r="F858" s="2"/>
      <c r="G858" s="2"/>
      <c r="H858" s="2"/>
      <c r="I858" s="3"/>
      <c r="J858" s="241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</row>
    <row r="859" spans="1:43" ht="13">
      <c r="A859" s="2"/>
      <c r="B859" s="2"/>
      <c r="C859" s="3"/>
      <c r="D859" s="2"/>
      <c r="E859" s="2"/>
      <c r="F859" s="2"/>
      <c r="G859" s="2"/>
      <c r="H859" s="2"/>
      <c r="I859" s="3"/>
      <c r="J859" s="241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</row>
    <row r="860" spans="1:43" ht="13">
      <c r="A860" s="2"/>
      <c r="B860" s="2"/>
      <c r="C860" s="3"/>
      <c r="D860" s="2"/>
      <c r="E860" s="2"/>
      <c r="F860" s="2"/>
      <c r="G860" s="2"/>
      <c r="H860" s="2"/>
      <c r="I860" s="3"/>
      <c r="J860" s="241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</row>
    <row r="861" spans="1:43" ht="13">
      <c r="A861" s="2"/>
      <c r="B861" s="2"/>
      <c r="C861" s="3"/>
      <c r="D861" s="2"/>
      <c r="E861" s="2"/>
      <c r="F861" s="2"/>
      <c r="G861" s="2"/>
      <c r="H861" s="2"/>
      <c r="I861" s="3"/>
      <c r="J861" s="241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</row>
    <row r="862" spans="1:43" ht="13">
      <c r="A862" s="2"/>
      <c r="B862" s="2"/>
      <c r="C862" s="3"/>
      <c r="D862" s="2"/>
      <c r="E862" s="2"/>
      <c r="F862" s="2"/>
      <c r="G862" s="2"/>
      <c r="H862" s="2"/>
      <c r="I862" s="3"/>
      <c r="J862" s="241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</row>
    <row r="863" spans="1:43" ht="13">
      <c r="A863" s="2"/>
      <c r="B863" s="2"/>
      <c r="C863" s="3"/>
      <c r="D863" s="2"/>
      <c r="E863" s="2"/>
      <c r="F863" s="2"/>
      <c r="G863" s="2"/>
      <c r="H863" s="2"/>
      <c r="I863" s="3"/>
      <c r="J863" s="241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</row>
    <row r="864" spans="1:43" ht="13">
      <c r="A864" s="2"/>
      <c r="B864" s="2"/>
      <c r="C864" s="3"/>
      <c r="D864" s="2"/>
      <c r="E864" s="2"/>
      <c r="F864" s="2"/>
      <c r="G864" s="2"/>
      <c r="H864" s="2"/>
      <c r="I864" s="3"/>
      <c r="J864" s="241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</row>
    <row r="865" spans="1:43" ht="13">
      <c r="A865" s="2"/>
      <c r="B865" s="2"/>
      <c r="C865" s="3"/>
      <c r="D865" s="2"/>
      <c r="E865" s="2"/>
      <c r="F865" s="2"/>
      <c r="G865" s="2"/>
      <c r="H865" s="2"/>
      <c r="I865" s="3"/>
      <c r="J865" s="241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</row>
    <row r="866" spans="1:43" ht="13">
      <c r="A866" s="2"/>
      <c r="B866" s="2"/>
      <c r="C866" s="3"/>
      <c r="D866" s="2"/>
      <c r="E866" s="2"/>
      <c r="F866" s="2"/>
      <c r="G866" s="2"/>
      <c r="H866" s="2"/>
      <c r="I866" s="3"/>
      <c r="J866" s="241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</row>
    <row r="867" spans="1:43" ht="13">
      <c r="A867" s="2"/>
      <c r="B867" s="2"/>
      <c r="C867" s="3"/>
      <c r="D867" s="2"/>
      <c r="E867" s="2"/>
      <c r="F867" s="2"/>
      <c r="G867" s="2"/>
      <c r="H867" s="2"/>
      <c r="I867" s="3"/>
      <c r="J867" s="241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</row>
    <row r="868" spans="1:43" ht="13">
      <c r="A868" s="2"/>
      <c r="B868" s="2"/>
      <c r="C868" s="3"/>
      <c r="D868" s="2"/>
      <c r="E868" s="2"/>
      <c r="F868" s="2"/>
      <c r="G868" s="2"/>
      <c r="H868" s="2"/>
      <c r="I868" s="3"/>
      <c r="J868" s="241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</row>
    <row r="869" spans="1:43" ht="13">
      <c r="A869" s="2"/>
      <c r="B869" s="2"/>
      <c r="C869" s="3"/>
      <c r="D869" s="2"/>
      <c r="E869" s="2"/>
      <c r="F869" s="2"/>
      <c r="G869" s="2"/>
      <c r="H869" s="2"/>
      <c r="I869" s="3"/>
      <c r="J869" s="241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</row>
    <row r="870" spans="1:43" ht="13">
      <c r="A870" s="2"/>
      <c r="B870" s="2"/>
      <c r="C870" s="3"/>
      <c r="D870" s="2"/>
      <c r="E870" s="2"/>
      <c r="F870" s="2"/>
      <c r="G870" s="2"/>
      <c r="H870" s="2"/>
      <c r="I870" s="3"/>
      <c r="J870" s="241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</row>
    <row r="871" spans="1:43" ht="13">
      <c r="A871" s="2"/>
      <c r="B871" s="2"/>
      <c r="C871" s="3"/>
      <c r="D871" s="2"/>
      <c r="E871" s="2"/>
      <c r="F871" s="2"/>
      <c r="G871" s="2"/>
      <c r="H871" s="2"/>
      <c r="I871" s="3"/>
      <c r="J871" s="241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</row>
    <row r="872" spans="1:43" ht="13">
      <c r="A872" s="2"/>
      <c r="B872" s="2"/>
      <c r="C872" s="3"/>
      <c r="D872" s="2"/>
      <c r="E872" s="2"/>
      <c r="F872" s="2"/>
      <c r="G872" s="2"/>
      <c r="H872" s="2"/>
      <c r="I872" s="3"/>
      <c r="J872" s="241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</row>
    <row r="873" spans="1:43" ht="13">
      <c r="A873" s="2"/>
      <c r="B873" s="2"/>
      <c r="C873" s="3"/>
      <c r="D873" s="2"/>
      <c r="E873" s="2"/>
      <c r="F873" s="2"/>
      <c r="G873" s="2"/>
      <c r="H873" s="2"/>
      <c r="I873" s="3"/>
      <c r="J873" s="241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</row>
    <row r="874" spans="1:43" ht="13">
      <c r="A874" s="2"/>
      <c r="B874" s="2"/>
      <c r="C874" s="3"/>
      <c r="D874" s="2"/>
      <c r="E874" s="2"/>
      <c r="F874" s="2"/>
      <c r="G874" s="2"/>
      <c r="H874" s="2"/>
      <c r="I874" s="3"/>
      <c r="J874" s="241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</row>
    <row r="875" spans="1:43" ht="13">
      <c r="A875" s="2"/>
      <c r="B875" s="2"/>
      <c r="C875" s="3"/>
      <c r="D875" s="2"/>
      <c r="E875" s="2"/>
      <c r="F875" s="2"/>
      <c r="G875" s="2"/>
      <c r="H875" s="2"/>
      <c r="I875" s="3"/>
      <c r="J875" s="241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</row>
    <row r="876" spans="1:43" ht="13">
      <c r="A876" s="2"/>
      <c r="B876" s="2"/>
      <c r="C876" s="3"/>
      <c r="D876" s="2"/>
      <c r="E876" s="2"/>
      <c r="F876" s="2"/>
      <c r="G876" s="2"/>
      <c r="H876" s="2"/>
      <c r="I876" s="3"/>
      <c r="J876" s="241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</row>
    <row r="877" spans="1:43" ht="13">
      <c r="A877" s="2"/>
      <c r="B877" s="2"/>
      <c r="C877" s="3"/>
      <c r="D877" s="2"/>
      <c r="E877" s="2"/>
      <c r="F877" s="2"/>
      <c r="G877" s="2"/>
      <c r="H877" s="2"/>
      <c r="I877" s="3"/>
      <c r="J877" s="241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</row>
    <row r="878" spans="1:43" ht="13">
      <c r="A878" s="2"/>
      <c r="B878" s="2"/>
      <c r="C878" s="3"/>
      <c r="D878" s="2"/>
      <c r="E878" s="2"/>
      <c r="F878" s="2"/>
      <c r="G878" s="2"/>
      <c r="H878" s="2"/>
      <c r="I878" s="3"/>
      <c r="J878" s="241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</row>
    <row r="879" spans="1:43" ht="13">
      <c r="A879" s="2"/>
      <c r="B879" s="2"/>
      <c r="C879" s="3"/>
      <c r="D879" s="2"/>
      <c r="E879" s="2"/>
      <c r="F879" s="2"/>
      <c r="G879" s="2"/>
      <c r="H879" s="2"/>
      <c r="I879" s="3"/>
      <c r="J879" s="241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</row>
    <row r="880" spans="1:43" ht="13">
      <c r="A880" s="2"/>
      <c r="B880" s="2"/>
      <c r="C880" s="3"/>
      <c r="D880" s="2"/>
      <c r="E880" s="2"/>
      <c r="F880" s="2"/>
      <c r="G880" s="2"/>
      <c r="H880" s="2"/>
      <c r="I880" s="3"/>
      <c r="J880" s="241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</row>
    <row r="881" spans="1:43" ht="13">
      <c r="A881" s="2"/>
      <c r="B881" s="2"/>
      <c r="C881" s="3"/>
      <c r="D881" s="2"/>
      <c r="E881" s="2"/>
      <c r="F881" s="2"/>
      <c r="G881" s="2"/>
      <c r="H881" s="2"/>
      <c r="I881" s="3"/>
      <c r="J881" s="241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</row>
    <row r="882" spans="1:43" ht="13">
      <c r="A882" s="2"/>
      <c r="B882" s="2"/>
      <c r="C882" s="3"/>
      <c r="D882" s="2"/>
      <c r="E882" s="2"/>
      <c r="F882" s="2"/>
      <c r="G882" s="2"/>
      <c r="H882" s="2"/>
      <c r="I882" s="3"/>
      <c r="J882" s="241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</row>
    <row r="883" spans="1:43" ht="13">
      <c r="A883" s="2"/>
      <c r="B883" s="2"/>
      <c r="C883" s="3"/>
      <c r="D883" s="2"/>
      <c r="E883" s="2"/>
      <c r="F883" s="2"/>
      <c r="G883" s="2"/>
      <c r="H883" s="2"/>
      <c r="I883" s="3"/>
      <c r="J883" s="241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</row>
    <row r="884" spans="1:43" ht="13">
      <c r="A884" s="2"/>
      <c r="B884" s="2"/>
      <c r="C884" s="3"/>
      <c r="D884" s="2"/>
      <c r="E884" s="2"/>
      <c r="F884" s="2"/>
      <c r="G884" s="2"/>
      <c r="H884" s="2"/>
      <c r="I884" s="3"/>
      <c r="J884" s="241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</row>
    <row r="885" spans="1:43" ht="13">
      <c r="A885" s="2"/>
      <c r="B885" s="2"/>
      <c r="C885" s="3"/>
      <c r="D885" s="2"/>
      <c r="E885" s="2"/>
      <c r="F885" s="2"/>
      <c r="G885" s="2"/>
      <c r="H885" s="2"/>
      <c r="I885" s="3"/>
      <c r="J885" s="241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</row>
    <row r="886" spans="1:43" ht="13">
      <c r="A886" s="2"/>
      <c r="B886" s="2"/>
      <c r="C886" s="3"/>
      <c r="D886" s="2"/>
      <c r="E886" s="2"/>
      <c r="F886" s="2"/>
      <c r="G886" s="2"/>
      <c r="H886" s="2"/>
      <c r="I886" s="3"/>
      <c r="J886" s="241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</row>
    <row r="887" spans="1:43" ht="13">
      <c r="A887" s="2"/>
      <c r="B887" s="2"/>
      <c r="C887" s="3"/>
      <c r="D887" s="2"/>
      <c r="E887" s="2"/>
      <c r="F887" s="2"/>
      <c r="G887" s="2"/>
      <c r="H887" s="2"/>
      <c r="I887" s="3"/>
      <c r="J887" s="241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</row>
    <row r="888" spans="1:43" ht="13">
      <c r="A888" s="2"/>
      <c r="B888" s="2"/>
      <c r="C888" s="3"/>
      <c r="D888" s="2"/>
      <c r="E888" s="2"/>
      <c r="F888" s="2"/>
      <c r="G888" s="2"/>
      <c r="H888" s="2"/>
      <c r="I888" s="3"/>
      <c r="J888" s="241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</row>
    <row r="889" spans="1:43" ht="13">
      <c r="A889" s="2"/>
      <c r="B889" s="2"/>
      <c r="C889" s="3"/>
      <c r="D889" s="2"/>
      <c r="E889" s="2"/>
      <c r="F889" s="2"/>
      <c r="G889" s="2"/>
      <c r="H889" s="2"/>
      <c r="I889" s="3"/>
      <c r="J889" s="241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</row>
    <row r="890" spans="1:43" ht="13">
      <c r="A890" s="2"/>
      <c r="B890" s="2"/>
      <c r="C890" s="3"/>
      <c r="D890" s="2"/>
      <c r="E890" s="2"/>
      <c r="F890" s="2"/>
      <c r="G890" s="2"/>
      <c r="H890" s="2"/>
      <c r="I890" s="3"/>
      <c r="J890" s="241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</row>
    <row r="891" spans="1:43" ht="13">
      <c r="A891" s="2"/>
      <c r="B891" s="2"/>
      <c r="C891" s="3"/>
      <c r="D891" s="2"/>
      <c r="E891" s="2"/>
      <c r="F891" s="2"/>
      <c r="G891" s="2"/>
      <c r="H891" s="2"/>
      <c r="I891" s="3"/>
      <c r="J891" s="241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</row>
    <row r="892" spans="1:43" ht="13">
      <c r="A892" s="2"/>
      <c r="B892" s="2"/>
      <c r="C892" s="3"/>
      <c r="D892" s="2"/>
      <c r="E892" s="2"/>
      <c r="F892" s="2"/>
      <c r="G892" s="2"/>
      <c r="H892" s="2"/>
      <c r="I892" s="3"/>
      <c r="J892" s="241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</row>
    <row r="893" spans="1:43" ht="13">
      <c r="A893" s="2"/>
      <c r="B893" s="2"/>
      <c r="C893" s="3"/>
      <c r="D893" s="2"/>
      <c r="E893" s="2"/>
      <c r="F893" s="2"/>
      <c r="G893" s="2"/>
      <c r="H893" s="2"/>
      <c r="I893" s="3"/>
      <c r="J893" s="241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</row>
    <row r="894" spans="1:43" ht="13">
      <c r="A894" s="2"/>
      <c r="B894" s="2"/>
      <c r="C894" s="3"/>
      <c r="D894" s="2"/>
      <c r="E894" s="2"/>
      <c r="F894" s="2"/>
      <c r="G894" s="2"/>
      <c r="H894" s="2"/>
      <c r="I894" s="3"/>
      <c r="J894" s="241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</row>
    <row r="895" spans="1:43" ht="13">
      <c r="A895" s="2"/>
      <c r="B895" s="2"/>
      <c r="C895" s="3"/>
      <c r="D895" s="2"/>
      <c r="E895" s="2"/>
      <c r="F895" s="2"/>
      <c r="G895" s="2"/>
      <c r="H895" s="2"/>
      <c r="I895" s="3"/>
      <c r="J895" s="241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</row>
    <row r="896" spans="1:43" ht="13">
      <c r="A896" s="2"/>
      <c r="B896" s="2"/>
      <c r="C896" s="3"/>
      <c r="D896" s="2"/>
      <c r="E896" s="2"/>
      <c r="F896" s="2"/>
      <c r="G896" s="2"/>
      <c r="H896" s="2"/>
      <c r="I896" s="3"/>
      <c r="J896" s="241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</row>
    <row r="897" spans="1:43" ht="13">
      <c r="A897" s="2"/>
      <c r="B897" s="2"/>
      <c r="C897" s="3"/>
      <c r="D897" s="2"/>
      <c r="E897" s="2"/>
      <c r="F897" s="2"/>
      <c r="G897" s="2"/>
      <c r="H897" s="2"/>
      <c r="I897" s="3"/>
      <c r="J897" s="241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</row>
    <row r="898" spans="1:43" ht="13">
      <c r="A898" s="2"/>
      <c r="B898" s="2"/>
      <c r="C898" s="3"/>
      <c r="D898" s="2"/>
      <c r="E898" s="2"/>
      <c r="F898" s="2"/>
      <c r="G898" s="2"/>
      <c r="H898" s="2"/>
      <c r="I898" s="3"/>
      <c r="J898" s="241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</row>
    <row r="899" spans="1:43" ht="13">
      <c r="A899" s="2"/>
      <c r="B899" s="2"/>
      <c r="C899" s="3"/>
      <c r="D899" s="2"/>
      <c r="E899" s="2"/>
      <c r="F899" s="2"/>
      <c r="G899" s="2"/>
      <c r="H899" s="2"/>
      <c r="I899" s="3"/>
      <c r="J899" s="241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</row>
    <row r="900" spans="1:43" ht="13">
      <c r="A900" s="2"/>
      <c r="B900" s="2"/>
      <c r="C900" s="3"/>
      <c r="D900" s="2"/>
      <c r="E900" s="2"/>
      <c r="F900" s="2"/>
      <c r="G900" s="2"/>
      <c r="H900" s="2"/>
      <c r="I900" s="3"/>
      <c r="J900" s="241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</row>
    <row r="901" spans="1:43" ht="13">
      <c r="A901" s="2"/>
      <c r="B901" s="2"/>
      <c r="C901" s="3"/>
      <c r="D901" s="2"/>
      <c r="E901" s="2"/>
      <c r="F901" s="2"/>
      <c r="G901" s="2"/>
      <c r="H901" s="2"/>
      <c r="I901" s="3"/>
      <c r="J901" s="241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</row>
    <row r="902" spans="1:43" ht="13">
      <c r="A902" s="2"/>
      <c r="B902" s="2"/>
      <c r="C902" s="3"/>
      <c r="D902" s="2"/>
      <c r="E902" s="2"/>
      <c r="F902" s="2"/>
      <c r="G902" s="2"/>
      <c r="H902" s="2"/>
      <c r="I902" s="3"/>
      <c r="J902" s="241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</row>
    <row r="903" spans="1:43" ht="13">
      <c r="A903" s="2"/>
      <c r="B903" s="2"/>
      <c r="C903" s="3"/>
      <c r="D903" s="2"/>
      <c r="E903" s="2"/>
      <c r="F903" s="2"/>
      <c r="G903" s="2"/>
      <c r="H903" s="2"/>
      <c r="I903" s="3"/>
      <c r="J903" s="241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</row>
    <row r="904" spans="1:43" ht="13">
      <c r="A904" s="2"/>
      <c r="B904" s="2"/>
      <c r="C904" s="3"/>
      <c r="D904" s="2"/>
      <c r="E904" s="2"/>
      <c r="F904" s="2"/>
      <c r="G904" s="2"/>
      <c r="H904" s="2"/>
      <c r="I904" s="3"/>
      <c r="J904" s="241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</row>
    <row r="905" spans="1:43" ht="13">
      <c r="A905" s="2"/>
      <c r="B905" s="2"/>
      <c r="C905" s="3"/>
      <c r="D905" s="2"/>
      <c r="E905" s="2"/>
      <c r="F905" s="2"/>
      <c r="G905" s="2"/>
      <c r="H905" s="2"/>
      <c r="I905" s="3"/>
      <c r="J905" s="241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</row>
    <row r="906" spans="1:43" ht="13">
      <c r="A906" s="2"/>
      <c r="B906" s="2"/>
      <c r="C906" s="3"/>
      <c r="D906" s="2"/>
      <c r="E906" s="2"/>
      <c r="F906" s="2"/>
      <c r="G906" s="2"/>
      <c r="H906" s="2"/>
      <c r="I906" s="3"/>
      <c r="J906" s="241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</row>
    <row r="907" spans="1:43" ht="13">
      <c r="A907" s="2"/>
      <c r="B907" s="2"/>
      <c r="C907" s="3"/>
      <c r="D907" s="2"/>
      <c r="E907" s="2"/>
      <c r="F907" s="2"/>
      <c r="G907" s="2"/>
      <c r="H907" s="2"/>
      <c r="I907" s="3"/>
      <c r="J907" s="241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</row>
    <row r="908" spans="1:43" ht="13">
      <c r="A908" s="2"/>
      <c r="B908" s="2"/>
      <c r="C908" s="3"/>
      <c r="D908" s="2"/>
      <c r="E908" s="2"/>
      <c r="F908" s="2"/>
      <c r="G908" s="2"/>
      <c r="H908" s="2"/>
      <c r="I908" s="3"/>
      <c r="J908" s="241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</row>
    <row r="909" spans="1:43" ht="13">
      <c r="A909" s="2"/>
      <c r="B909" s="2"/>
      <c r="C909" s="3"/>
      <c r="D909" s="2"/>
      <c r="E909" s="2"/>
      <c r="F909" s="2"/>
      <c r="G909" s="2"/>
      <c r="H909" s="2"/>
      <c r="I909" s="3"/>
      <c r="J909" s="241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</row>
    <row r="910" spans="1:43" ht="13">
      <c r="A910" s="2"/>
      <c r="B910" s="2"/>
      <c r="C910" s="3"/>
      <c r="D910" s="2"/>
      <c r="E910" s="2"/>
      <c r="F910" s="2"/>
      <c r="G910" s="2"/>
      <c r="H910" s="2"/>
      <c r="I910" s="3"/>
      <c r="J910" s="241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</row>
    <row r="911" spans="1:43" ht="13">
      <c r="A911" s="2"/>
      <c r="B911" s="2"/>
      <c r="C911" s="3"/>
      <c r="D911" s="2"/>
      <c r="E911" s="2"/>
      <c r="F911" s="2"/>
      <c r="G911" s="2"/>
      <c r="H911" s="2"/>
      <c r="I911" s="3"/>
      <c r="J911" s="241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</row>
    <row r="912" spans="1:43" ht="13">
      <c r="A912" s="2"/>
      <c r="B912" s="2"/>
      <c r="C912" s="3"/>
      <c r="D912" s="2"/>
      <c r="E912" s="2"/>
      <c r="F912" s="2"/>
      <c r="G912" s="2"/>
      <c r="H912" s="2"/>
      <c r="I912" s="3"/>
      <c r="J912" s="241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</row>
    <row r="913" spans="1:43" ht="13">
      <c r="A913" s="2"/>
      <c r="B913" s="2"/>
      <c r="C913" s="3"/>
      <c r="D913" s="2"/>
      <c r="E913" s="2"/>
      <c r="F913" s="2"/>
      <c r="G913" s="2"/>
      <c r="H913" s="2"/>
      <c r="I913" s="3"/>
      <c r="J913" s="241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</row>
    <row r="914" spans="1:43" ht="13">
      <c r="A914" s="2"/>
      <c r="B914" s="2"/>
      <c r="C914" s="3"/>
      <c r="D914" s="2"/>
      <c r="E914" s="2"/>
      <c r="F914" s="2"/>
      <c r="G914" s="2"/>
      <c r="H914" s="2"/>
      <c r="I914" s="3"/>
      <c r="J914" s="241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</row>
    <row r="915" spans="1:43" ht="13">
      <c r="A915" s="2"/>
      <c r="B915" s="2"/>
      <c r="C915" s="3"/>
      <c r="D915" s="2"/>
      <c r="E915" s="2"/>
      <c r="F915" s="2"/>
      <c r="G915" s="2"/>
      <c r="H915" s="2"/>
      <c r="I915" s="3"/>
      <c r="J915" s="241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</row>
    <row r="916" spans="1:43" ht="13">
      <c r="A916" s="2"/>
      <c r="B916" s="2"/>
      <c r="C916" s="3"/>
      <c r="D916" s="2"/>
      <c r="E916" s="2"/>
      <c r="F916" s="2"/>
      <c r="G916" s="2"/>
      <c r="H916" s="2"/>
      <c r="I916" s="3"/>
      <c r="J916" s="241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</row>
    <row r="917" spans="1:43" ht="13">
      <c r="A917" s="2"/>
      <c r="B917" s="2"/>
      <c r="C917" s="3"/>
      <c r="D917" s="2"/>
      <c r="E917" s="2"/>
      <c r="F917" s="2"/>
      <c r="G917" s="2"/>
      <c r="H917" s="2"/>
      <c r="I917" s="3"/>
      <c r="J917" s="241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</row>
    <row r="918" spans="1:43" ht="13">
      <c r="A918" s="2"/>
      <c r="B918" s="2"/>
      <c r="C918" s="3"/>
      <c r="D918" s="2"/>
      <c r="E918" s="2"/>
      <c r="F918" s="2"/>
      <c r="G918" s="2"/>
      <c r="H918" s="2"/>
      <c r="I918" s="3"/>
      <c r="J918" s="241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</row>
    <row r="919" spans="1:43" ht="13">
      <c r="A919" s="2"/>
      <c r="B919" s="2"/>
      <c r="C919" s="3"/>
      <c r="D919" s="2"/>
      <c r="E919" s="2"/>
      <c r="F919" s="2"/>
      <c r="G919" s="2"/>
      <c r="H919" s="2"/>
      <c r="I919" s="3"/>
      <c r="J919" s="241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</row>
    <row r="920" spans="1:43" ht="13">
      <c r="A920" s="2"/>
      <c r="B920" s="2"/>
      <c r="C920" s="3"/>
      <c r="D920" s="2"/>
      <c r="E920" s="2"/>
      <c r="F920" s="2"/>
      <c r="G920" s="2"/>
      <c r="H920" s="2"/>
      <c r="I920" s="3"/>
      <c r="J920" s="241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</row>
    <row r="921" spans="1:43" ht="13">
      <c r="A921" s="2"/>
      <c r="B921" s="2"/>
      <c r="C921" s="3"/>
      <c r="D921" s="2"/>
      <c r="E921" s="2"/>
      <c r="F921" s="2"/>
      <c r="G921" s="2"/>
      <c r="H921" s="2"/>
      <c r="I921" s="3"/>
      <c r="J921" s="241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</row>
    <row r="922" spans="1:43" ht="13">
      <c r="A922" s="2"/>
      <c r="B922" s="2"/>
      <c r="C922" s="3"/>
      <c r="D922" s="2"/>
      <c r="E922" s="2"/>
      <c r="F922" s="2"/>
      <c r="G922" s="2"/>
      <c r="H922" s="2"/>
      <c r="I922" s="3"/>
      <c r="J922" s="241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</row>
    <row r="923" spans="1:43" ht="13">
      <c r="A923" s="2"/>
      <c r="B923" s="2"/>
      <c r="C923" s="3"/>
      <c r="D923" s="2"/>
      <c r="E923" s="2"/>
      <c r="F923" s="2"/>
      <c r="G923" s="2"/>
      <c r="H923" s="2"/>
      <c r="I923" s="3"/>
      <c r="J923" s="241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</row>
    <row r="924" spans="1:43" ht="13">
      <c r="A924" s="2"/>
      <c r="B924" s="2"/>
      <c r="C924" s="3"/>
      <c r="D924" s="2"/>
      <c r="E924" s="2"/>
      <c r="F924" s="2"/>
      <c r="G924" s="2"/>
      <c r="H924" s="2"/>
      <c r="I924" s="3"/>
      <c r="J924" s="241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</row>
    <row r="925" spans="1:43" ht="13">
      <c r="A925" s="2"/>
      <c r="B925" s="2"/>
      <c r="C925" s="3"/>
      <c r="D925" s="2"/>
      <c r="E925" s="2"/>
      <c r="F925" s="2"/>
      <c r="G925" s="2"/>
      <c r="H925" s="2"/>
      <c r="I925" s="3"/>
      <c r="J925" s="241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</row>
    <row r="926" spans="1:43" ht="13">
      <c r="A926" s="2"/>
      <c r="B926" s="2"/>
      <c r="C926" s="3"/>
      <c r="D926" s="2"/>
      <c r="E926" s="2"/>
      <c r="F926" s="2"/>
      <c r="G926" s="2"/>
      <c r="H926" s="2"/>
      <c r="I926" s="3"/>
      <c r="J926" s="241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</row>
    <row r="927" spans="1:43" ht="13">
      <c r="A927" s="2"/>
      <c r="B927" s="2"/>
      <c r="C927" s="3"/>
      <c r="D927" s="2"/>
      <c r="E927" s="2"/>
      <c r="F927" s="2"/>
      <c r="G927" s="2"/>
      <c r="H927" s="2"/>
      <c r="I927" s="3"/>
      <c r="J927" s="241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</row>
    <row r="928" spans="1:43" ht="13">
      <c r="A928" s="2"/>
      <c r="B928" s="2"/>
      <c r="C928" s="3"/>
      <c r="D928" s="2"/>
      <c r="E928" s="2"/>
      <c r="F928" s="2"/>
      <c r="G928" s="2"/>
      <c r="H928" s="2"/>
      <c r="I928" s="3"/>
      <c r="J928" s="241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</row>
    <row r="929" spans="1:43" ht="13">
      <c r="A929" s="2"/>
      <c r="B929" s="2"/>
      <c r="C929" s="3"/>
      <c r="D929" s="2"/>
      <c r="E929" s="2"/>
      <c r="F929" s="2"/>
      <c r="G929" s="2"/>
      <c r="H929" s="2"/>
      <c r="I929" s="3"/>
      <c r="J929" s="241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</row>
    <row r="930" spans="1:43" ht="13">
      <c r="A930" s="2"/>
      <c r="B930" s="2"/>
      <c r="C930" s="3"/>
      <c r="D930" s="2"/>
      <c r="E930" s="2"/>
      <c r="F930" s="2"/>
      <c r="G930" s="2"/>
      <c r="H930" s="2"/>
      <c r="I930" s="3"/>
      <c r="J930" s="241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</row>
    <row r="931" spans="1:43" ht="13">
      <c r="A931" s="2"/>
      <c r="B931" s="2"/>
      <c r="C931" s="3"/>
      <c r="D931" s="2"/>
      <c r="E931" s="2"/>
      <c r="F931" s="2"/>
      <c r="G931" s="2"/>
      <c r="H931" s="2"/>
      <c r="I931" s="3"/>
      <c r="J931" s="241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</row>
    <row r="932" spans="1:43" ht="13">
      <c r="A932" s="2"/>
      <c r="B932" s="2"/>
      <c r="C932" s="3"/>
      <c r="D932" s="2"/>
      <c r="E932" s="2"/>
      <c r="F932" s="2"/>
      <c r="G932" s="2"/>
      <c r="H932" s="2"/>
      <c r="I932" s="3"/>
      <c r="J932" s="241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</row>
    <row r="933" spans="1:43" ht="13">
      <c r="A933" s="2"/>
      <c r="B933" s="2"/>
      <c r="C933" s="3"/>
      <c r="D933" s="2"/>
      <c r="E933" s="2"/>
      <c r="F933" s="2"/>
      <c r="G933" s="2"/>
      <c r="H933" s="2"/>
      <c r="I933" s="3"/>
      <c r="J933" s="241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</row>
    <row r="934" spans="1:43" ht="13">
      <c r="A934" s="2"/>
      <c r="B934" s="2"/>
      <c r="C934" s="3"/>
      <c r="D934" s="2"/>
      <c r="E934" s="2"/>
      <c r="F934" s="2"/>
      <c r="G934" s="2"/>
      <c r="H934" s="2"/>
      <c r="I934" s="3"/>
      <c r="J934" s="241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</row>
    <row r="935" spans="1:43" ht="13">
      <c r="A935" s="2"/>
      <c r="B935" s="2"/>
      <c r="C935" s="3"/>
      <c r="D935" s="2"/>
      <c r="E935" s="2"/>
      <c r="F935" s="2"/>
      <c r="G935" s="2"/>
      <c r="H935" s="2"/>
      <c r="I935" s="3"/>
      <c r="J935" s="241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</row>
    <row r="936" spans="1:43" ht="13">
      <c r="A936" s="2"/>
      <c r="B936" s="2"/>
      <c r="C936" s="3"/>
      <c r="D936" s="2"/>
      <c r="E936" s="2"/>
      <c r="F936" s="2"/>
      <c r="G936" s="2"/>
      <c r="H936" s="2"/>
      <c r="I936" s="3"/>
      <c r="J936" s="241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</row>
    <row r="937" spans="1:43" ht="13">
      <c r="A937" s="2"/>
      <c r="B937" s="2"/>
      <c r="C937" s="3"/>
      <c r="D937" s="2"/>
      <c r="E937" s="2"/>
      <c r="F937" s="2"/>
      <c r="G937" s="2"/>
      <c r="H937" s="2"/>
      <c r="I937" s="3"/>
      <c r="J937" s="241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</row>
    <row r="938" spans="1:43" ht="13">
      <c r="A938" s="2"/>
      <c r="B938" s="2"/>
      <c r="C938" s="3"/>
      <c r="D938" s="2"/>
      <c r="E938" s="2"/>
      <c r="F938" s="2"/>
      <c r="G938" s="2"/>
      <c r="H938" s="2"/>
      <c r="I938" s="3"/>
      <c r="J938" s="241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</row>
  </sheetData>
  <mergeCells count="13">
    <mergeCell ref="E14:E16"/>
    <mergeCell ref="A14:A16"/>
    <mergeCell ref="B14:B16"/>
    <mergeCell ref="C14:C16"/>
    <mergeCell ref="G2:H2"/>
    <mergeCell ref="A7:A9"/>
    <mergeCell ref="B7:B9"/>
    <mergeCell ref="C7:C9"/>
    <mergeCell ref="A10:A12"/>
    <mergeCell ref="B10:B12"/>
    <mergeCell ref="C10:C12"/>
    <mergeCell ref="E7:E9"/>
    <mergeCell ref="E10:E12"/>
  </mergeCells>
  <phoneticPr fontId="179" type="noConversion"/>
  <hyperlinks>
    <hyperlink ref="D49" r:id="rId1" xr:uid="{00000000-0004-0000-04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  <outlinePr summaryBelow="0" summaryRight="0"/>
  </sheetPr>
  <dimension ref="A1:AE969"/>
  <sheetViews>
    <sheetView workbookViewId="0">
      <pane ySplit="3" topLeftCell="A4" activePane="bottomLeft" state="frozen"/>
      <selection pane="bottomLeft" activeCell="B5" sqref="B5"/>
    </sheetView>
  </sheetViews>
  <sheetFormatPr baseColWidth="10" defaultColWidth="12.5" defaultRowHeight="15.75" customHeight="1"/>
  <cols>
    <col min="1" max="1" width="4" customWidth="1"/>
    <col min="2" max="2" width="20.5" customWidth="1"/>
    <col min="3" max="3" width="4.5" customWidth="1"/>
    <col min="4" max="4" width="5.5" customWidth="1"/>
    <col min="5" max="5" width="43.5" customWidth="1"/>
    <col min="6" max="6" width="10.6640625" customWidth="1"/>
    <col min="7" max="7" width="11.6640625" customWidth="1"/>
    <col min="8" max="8" width="10.6640625" customWidth="1"/>
    <col min="9" max="10" width="9.5" customWidth="1"/>
    <col min="11" max="11" width="18.5" customWidth="1"/>
    <col min="12" max="12" width="4.5" customWidth="1"/>
    <col min="14" max="14" width="49.5" customWidth="1"/>
    <col min="15" max="15" width="19.5" customWidth="1"/>
    <col min="16" max="16" width="21.5" customWidth="1"/>
  </cols>
  <sheetData>
    <row r="1" spans="1:31" ht="26">
      <c r="A1" s="400" t="s">
        <v>740</v>
      </c>
      <c r="B1" s="401"/>
      <c r="C1" s="23"/>
      <c r="D1" s="401"/>
      <c r="E1" s="23"/>
      <c r="F1" s="23"/>
      <c r="G1" s="23"/>
      <c r="H1" s="401"/>
      <c r="I1" s="23"/>
      <c r="J1" s="23"/>
      <c r="K1" s="402"/>
      <c r="L1" s="23"/>
      <c r="M1" s="40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</row>
    <row r="2" spans="1:31" ht="13">
      <c r="A2" s="23"/>
      <c r="B2" s="401"/>
      <c r="C2" s="23"/>
      <c r="D2" s="401"/>
      <c r="E2" s="23"/>
      <c r="F2" s="23"/>
      <c r="G2" s="23" t="s">
        <v>741</v>
      </c>
      <c r="H2" s="401"/>
      <c r="I2" s="23" t="s">
        <v>742</v>
      </c>
      <c r="J2" s="23"/>
      <c r="K2" s="404"/>
      <c r="L2" s="23"/>
      <c r="M2" s="40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</row>
    <row r="3" spans="1:31" ht="14">
      <c r="A3" s="76" t="s">
        <v>7</v>
      </c>
      <c r="B3" s="76" t="s">
        <v>8</v>
      </c>
      <c r="C3" s="76" t="s">
        <v>9</v>
      </c>
      <c r="D3" s="76" t="s">
        <v>280</v>
      </c>
      <c r="E3" s="76" t="s">
        <v>10</v>
      </c>
      <c r="F3" s="76" t="s">
        <v>11</v>
      </c>
      <c r="G3" s="76" t="s">
        <v>12</v>
      </c>
      <c r="H3" s="76" t="s">
        <v>13</v>
      </c>
      <c r="I3" s="76" t="s">
        <v>14</v>
      </c>
      <c r="J3" s="76" t="s">
        <v>15</v>
      </c>
      <c r="K3" s="77" t="s">
        <v>281</v>
      </c>
      <c r="L3" s="78" t="s">
        <v>282</v>
      </c>
      <c r="M3" s="8" t="s">
        <v>283</v>
      </c>
      <c r="N3" s="78" t="s">
        <v>284</v>
      </c>
      <c r="O3" s="78" t="s">
        <v>743</v>
      </c>
      <c r="P3" s="83"/>
      <c r="Q3" s="83"/>
      <c r="R3" s="83"/>
      <c r="S3" s="83"/>
      <c r="T3" s="83"/>
      <c r="U3" s="83"/>
      <c r="V3" s="83"/>
      <c r="W3" s="83"/>
      <c r="X3" s="83"/>
      <c r="Y3" s="83"/>
      <c r="Z3" s="83"/>
      <c r="AA3" s="83"/>
      <c r="AB3" s="83"/>
      <c r="AC3" s="83"/>
      <c r="AD3" s="83"/>
      <c r="AE3" s="83"/>
    </row>
    <row r="4" spans="1:31" ht="13">
      <c r="A4" s="25"/>
      <c r="B4" s="405" t="s">
        <v>70</v>
      </c>
      <c r="C4" s="406"/>
      <c r="D4" s="405" t="s">
        <v>674</v>
      </c>
      <c r="E4" s="407" t="s">
        <v>744</v>
      </c>
      <c r="F4" s="405" t="s">
        <v>72</v>
      </c>
      <c r="G4" s="405" t="s">
        <v>73</v>
      </c>
      <c r="H4" s="405" t="s">
        <v>74</v>
      </c>
      <c r="I4" s="408">
        <f>VLOOKUP(H4,'(참고)PJT목록'!A:E,4,0)</f>
        <v>45320</v>
      </c>
      <c r="J4" s="408">
        <f>VLOOKUP(H4,'(참고)PJT목록'!A:E,5,0)</f>
        <v>45471</v>
      </c>
      <c r="K4" s="90"/>
      <c r="L4" s="409"/>
      <c r="M4" s="410"/>
      <c r="N4" s="26"/>
      <c r="O4" s="25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</row>
    <row r="5" spans="1:31" ht="13">
      <c r="A5" s="25"/>
      <c r="B5" s="106" t="s">
        <v>70</v>
      </c>
      <c r="C5" s="411" t="s">
        <v>75</v>
      </c>
      <c r="D5" s="106" t="s">
        <v>674</v>
      </c>
      <c r="E5" s="412" t="s">
        <v>745</v>
      </c>
      <c r="F5" s="106" t="s">
        <v>72</v>
      </c>
      <c r="G5" s="106" t="s">
        <v>73</v>
      </c>
      <c r="H5" s="106" t="s">
        <v>77</v>
      </c>
      <c r="I5" s="413">
        <f>VLOOKUP(H5,'(참고)PJT목록'!A:E,4,0)</f>
        <v>45362</v>
      </c>
      <c r="J5" s="413">
        <f>VLOOKUP(H5,'(참고)PJT목록'!A:E,5,0)</f>
        <v>45746</v>
      </c>
      <c r="K5" s="154" t="s">
        <v>746</v>
      </c>
      <c r="L5" s="411"/>
      <c r="M5" s="414">
        <v>18000000</v>
      </c>
      <c r="N5" s="26" t="s">
        <v>747</v>
      </c>
      <c r="O5" s="25" t="s">
        <v>748</v>
      </c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</row>
    <row r="6" spans="1:31" ht="13">
      <c r="A6" s="25"/>
      <c r="B6" s="106" t="s">
        <v>70</v>
      </c>
      <c r="C6" s="411" t="s">
        <v>75</v>
      </c>
      <c r="D6" s="106" t="s">
        <v>674</v>
      </c>
      <c r="E6" s="412" t="s">
        <v>749</v>
      </c>
      <c r="F6" s="106" t="s">
        <v>79</v>
      </c>
      <c r="G6" s="106" t="s">
        <v>80</v>
      </c>
      <c r="H6" s="106" t="s">
        <v>81</v>
      </c>
      <c r="I6" s="413">
        <f>VLOOKUP(H6,'(참고)PJT목록'!A:E,4,0)</f>
        <v>45385</v>
      </c>
      <c r="J6" s="413">
        <f>VLOOKUP(H6,'(참고)PJT목록'!A:E,5,0)</f>
        <v>47575</v>
      </c>
      <c r="K6" s="154" t="s">
        <v>750</v>
      </c>
      <c r="L6" s="411"/>
      <c r="M6" s="415">
        <v>1590000</v>
      </c>
      <c r="N6" s="26" t="s">
        <v>747</v>
      </c>
      <c r="O6" s="25" t="s">
        <v>751</v>
      </c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</row>
    <row r="7" spans="1:31" ht="13">
      <c r="A7" s="25"/>
      <c r="B7" s="24" t="s">
        <v>70</v>
      </c>
      <c r="C7" s="10" t="s">
        <v>82</v>
      </c>
      <c r="D7" s="24" t="s">
        <v>674</v>
      </c>
      <c r="E7" s="26" t="s">
        <v>752</v>
      </c>
      <c r="F7" s="24" t="s">
        <v>72</v>
      </c>
      <c r="G7" s="24" t="s">
        <v>80</v>
      </c>
      <c r="H7" s="24" t="s">
        <v>84</v>
      </c>
      <c r="I7" s="27">
        <f>VLOOKUP(H7,'(참고)PJT목록'!A:E,4,0)</f>
        <v>45397</v>
      </c>
      <c r="J7" s="27">
        <f>VLOOKUP(H7,'(참고)PJT목록'!A:E,5,0)</f>
        <v>46126</v>
      </c>
      <c r="K7" s="51" t="s">
        <v>753</v>
      </c>
      <c r="L7" s="10"/>
      <c r="M7" s="33">
        <v>9000000</v>
      </c>
      <c r="N7" s="26"/>
      <c r="O7" s="10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</row>
    <row r="8" spans="1:31" ht="14">
      <c r="A8" s="1058"/>
      <c r="B8" s="1058" t="s">
        <v>45</v>
      </c>
      <c r="C8" s="1058" t="s">
        <v>142</v>
      </c>
      <c r="D8" s="1058" t="s">
        <v>754</v>
      </c>
      <c r="E8" s="35" t="s">
        <v>755</v>
      </c>
      <c r="F8" s="36" t="s">
        <v>86</v>
      </c>
      <c r="G8" s="10">
        <v>414113</v>
      </c>
      <c r="H8" s="36" t="s">
        <v>87</v>
      </c>
      <c r="I8" s="27">
        <f>VLOOKUP(H8,'(참고)PJT목록'!A:E,4,0)</f>
        <v>44263</v>
      </c>
      <c r="J8" s="27">
        <f>VLOOKUP(H8,'(참고)PJT목록'!A:E,5,0)</f>
        <v>46088</v>
      </c>
      <c r="K8" s="1125" t="s">
        <v>756</v>
      </c>
      <c r="L8" s="1133" t="s">
        <v>303</v>
      </c>
      <c r="M8" s="416">
        <v>43469004</v>
      </c>
      <c r="N8" s="1134" t="s">
        <v>757</v>
      </c>
      <c r="O8" s="1057" t="s">
        <v>758</v>
      </c>
      <c r="P8" s="1131" t="s">
        <v>759</v>
      </c>
      <c r="Q8" s="418" t="s">
        <v>760</v>
      </c>
      <c r="R8" s="417"/>
      <c r="S8" s="417"/>
      <c r="T8" s="417"/>
      <c r="U8" s="417"/>
      <c r="V8" s="417"/>
      <c r="W8" s="417"/>
      <c r="X8" s="417"/>
      <c r="Y8" s="417"/>
      <c r="Z8" s="417"/>
      <c r="AA8" s="417"/>
      <c r="AB8" s="417"/>
      <c r="AC8" s="417"/>
      <c r="AD8" s="417"/>
      <c r="AE8" s="417"/>
    </row>
    <row r="9" spans="1:31" ht="14">
      <c r="A9" s="1051"/>
      <c r="B9" s="1051"/>
      <c r="C9" s="1051"/>
      <c r="D9" s="1051"/>
      <c r="E9" s="35" t="s">
        <v>761</v>
      </c>
      <c r="F9" s="36" t="s">
        <v>86</v>
      </c>
      <c r="G9" s="39">
        <v>414113</v>
      </c>
      <c r="H9" s="36" t="s">
        <v>89</v>
      </c>
      <c r="I9" s="27">
        <f>VLOOKUP(H9,'(참고)PJT목록'!A:E,4,0)</f>
        <v>43374</v>
      </c>
      <c r="J9" s="40">
        <f>VLOOKUP(H9,'(참고)PJT목록'!A:E,5,0)</f>
        <v>45565</v>
      </c>
      <c r="K9" s="1051"/>
      <c r="L9" s="1051"/>
      <c r="M9" s="416">
        <v>828010</v>
      </c>
      <c r="N9" s="1051"/>
      <c r="O9" s="1051"/>
      <c r="P9" s="1106"/>
      <c r="Q9" s="417" t="s">
        <v>762</v>
      </c>
      <c r="R9" s="417"/>
      <c r="S9" s="417"/>
      <c r="T9" s="417"/>
      <c r="U9" s="417"/>
      <c r="V9" s="417"/>
      <c r="W9" s="417"/>
      <c r="X9" s="417"/>
      <c r="Y9" s="417"/>
      <c r="Z9" s="417"/>
      <c r="AA9" s="417"/>
      <c r="AB9" s="417"/>
      <c r="AC9" s="417"/>
      <c r="AD9" s="417"/>
      <c r="AE9" s="417"/>
    </row>
    <row r="10" spans="1:31" ht="14">
      <c r="A10" s="1051"/>
      <c r="B10" s="1051"/>
      <c r="C10" s="1051"/>
      <c r="D10" s="1051"/>
      <c r="E10" s="35" t="s">
        <v>763</v>
      </c>
      <c r="F10" s="36" t="s">
        <v>91</v>
      </c>
      <c r="G10" s="39" t="s">
        <v>92</v>
      </c>
      <c r="H10" s="36" t="s">
        <v>93</v>
      </c>
      <c r="I10" s="27">
        <f>VLOOKUP(H10,'(참고)PJT목록'!A:E,4,0)</f>
        <v>43374</v>
      </c>
      <c r="J10" s="40">
        <f>VLOOKUP(H10,'(참고)PJT목록'!A:E,5,0)</f>
        <v>45565</v>
      </c>
      <c r="K10" s="1051"/>
      <c r="L10" s="1051"/>
      <c r="M10" s="416">
        <v>51037851</v>
      </c>
      <c r="N10" s="1051"/>
      <c r="O10" s="1051"/>
      <c r="P10" s="1106"/>
      <c r="Q10" s="417"/>
      <c r="R10" s="417"/>
      <c r="S10" s="417"/>
      <c r="T10" s="417"/>
      <c r="U10" s="417"/>
      <c r="V10" s="417"/>
      <c r="W10" s="417"/>
      <c r="X10" s="417"/>
      <c r="Y10" s="417"/>
      <c r="Z10" s="417"/>
      <c r="AA10" s="417"/>
      <c r="AB10" s="417"/>
      <c r="AC10" s="417"/>
      <c r="AD10" s="417"/>
      <c r="AE10" s="417"/>
    </row>
    <row r="11" spans="1:31" ht="14">
      <c r="A11" s="1051"/>
      <c r="B11" s="1051"/>
      <c r="C11" s="1051"/>
      <c r="D11" s="1051"/>
      <c r="E11" s="35" t="s">
        <v>94</v>
      </c>
      <c r="F11" s="36" t="s">
        <v>95</v>
      </c>
      <c r="G11" s="10" t="s">
        <v>96</v>
      </c>
      <c r="H11" s="36" t="s">
        <v>97</v>
      </c>
      <c r="I11" s="27">
        <f>VLOOKUP(H11,'(참고)PJT목록'!A:E,4,0)</f>
        <v>45536</v>
      </c>
      <c r="J11" s="40">
        <f>VLOOKUP(H11,'(참고)PJT목록'!A:E,5,0)</f>
        <v>45900</v>
      </c>
      <c r="K11" s="1051"/>
      <c r="L11" s="1051"/>
      <c r="M11" s="416">
        <v>5600000</v>
      </c>
      <c r="N11" s="1051"/>
      <c r="O11" s="1051"/>
      <c r="P11" s="1106"/>
      <c r="Q11" s="417"/>
      <c r="R11" s="417"/>
      <c r="S11" s="417"/>
      <c r="T11" s="417"/>
      <c r="U11" s="417"/>
      <c r="V11" s="417"/>
      <c r="W11" s="417"/>
      <c r="X11" s="417"/>
      <c r="Y11" s="417"/>
      <c r="Z11" s="417"/>
      <c r="AA11" s="417"/>
      <c r="AB11" s="417"/>
      <c r="AC11" s="417"/>
      <c r="AD11" s="417"/>
      <c r="AE11" s="417"/>
    </row>
    <row r="12" spans="1:31" ht="14">
      <c r="A12" s="1052"/>
      <c r="B12" s="1052"/>
      <c r="C12" s="1052"/>
      <c r="D12" s="1052"/>
      <c r="E12" s="35" t="s">
        <v>98</v>
      </c>
      <c r="F12" s="36" t="s">
        <v>91</v>
      </c>
      <c r="G12" s="10">
        <v>414113</v>
      </c>
      <c r="H12" s="36" t="s">
        <v>99</v>
      </c>
      <c r="I12" s="27">
        <f>VLOOKUP(H12,'(참고)PJT목록'!A:E,4,0)</f>
        <v>45292</v>
      </c>
      <c r="J12" s="27">
        <f>VLOOKUP(H12,'(참고)PJT목록'!A:E,5,0)</f>
        <v>45657</v>
      </c>
      <c r="K12" s="1052"/>
      <c r="L12" s="1052"/>
      <c r="M12" s="419">
        <v>26514500</v>
      </c>
      <c r="N12" s="1052"/>
      <c r="O12" s="1052"/>
      <c r="P12" s="1106"/>
      <c r="Q12" s="417"/>
      <c r="R12" s="417"/>
      <c r="S12" s="417"/>
      <c r="T12" s="417"/>
      <c r="U12" s="417"/>
      <c r="V12" s="417"/>
      <c r="W12" s="417"/>
      <c r="X12" s="417"/>
      <c r="Y12" s="417"/>
      <c r="Z12" s="417"/>
      <c r="AA12" s="417"/>
      <c r="AB12" s="417"/>
      <c r="AC12" s="417"/>
      <c r="AD12" s="417"/>
      <c r="AE12" s="417"/>
    </row>
    <row r="13" spans="1:31" ht="15.75" customHeight="1">
      <c r="A13" s="1130" t="s">
        <v>764</v>
      </c>
      <c r="B13" s="1057" t="s">
        <v>100</v>
      </c>
      <c r="C13" s="1058" t="s">
        <v>142</v>
      </c>
      <c r="D13" s="1058" t="s">
        <v>754</v>
      </c>
      <c r="E13" s="35" t="s">
        <v>101</v>
      </c>
      <c r="F13" s="36" t="s">
        <v>86</v>
      </c>
      <c r="G13" s="10">
        <v>414113</v>
      </c>
      <c r="H13" s="418" t="s">
        <v>102</v>
      </c>
      <c r="I13" s="27">
        <f>VLOOKUP(H13,'(참고)PJT목록'!A:E,4,0)</f>
        <v>45292</v>
      </c>
      <c r="J13" s="27">
        <f>VLOOKUP(H13,'(참고)PJT목록'!A:E,5,0)</f>
        <v>45657</v>
      </c>
      <c r="K13" s="1125" t="s">
        <v>765</v>
      </c>
      <c r="L13" s="1058"/>
      <c r="M13" s="33">
        <v>14034000</v>
      </c>
      <c r="N13" s="420"/>
      <c r="O13" s="1058" t="s">
        <v>766</v>
      </c>
      <c r="P13" s="417"/>
      <c r="Q13" s="417"/>
      <c r="R13" s="417"/>
      <c r="S13" s="417"/>
      <c r="T13" s="417"/>
      <c r="U13" s="417"/>
      <c r="V13" s="417"/>
      <c r="W13" s="417"/>
      <c r="X13" s="417"/>
      <c r="Y13" s="417"/>
      <c r="Z13" s="417"/>
      <c r="AA13" s="417"/>
      <c r="AB13" s="417"/>
      <c r="AC13" s="417"/>
      <c r="AD13" s="417"/>
      <c r="AE13" s="417"/>
    </row>
    <row r="14" spans="1:31" ht="15.75" customHeight="1">
      <c r="A14" s="1051"/>
      <c r="B14" s="1051"/>
      <c r="C14" s="1051"/>
      <c r="D14" s="1051"/>
      <c r="E14" s="43" t="s">
        <v>103</v>
      </c>
      <c r="F14" s="36" t="s">
        <v>91</v>
      </c>
      <c r="G14" s="10">
        <v>413141</v>
      </c>
      <c r="H14" s="36" t="s">
        <v>104</v>
      </c>
      <c r="I14" s="27">
        <f>VLOOKUP(H14,'(참고)PJT목록'!A:E,4,0)</f>
        <v>44621</v>
      </c>
      <c r="J14" s="27">
        <f>VLOOKUP(H14,'(참고)PJT목록'!A:E,5,0)</f>
        <v>46446</v>
      </c>
      <c r="K14" s="1051"/>
      <c r="L14" s="1051"/>
      <c r="M14" s="421">
        <v>2638382</v>
      </c>
      <c r="N14" s="420"/>
      <c r="O14" s="1051"/>
      <c r="P14" s="417"/>
      <c r="Q14" s="417"/>
      <c r="R14" s="417"/>
      <c r="S14" s="417"/>
      <c r="T14" s="417"/>
      <c r="U14" s="417"/>
      <c r="V14" s="417"/>
      <c r="W14" s="417"/>
      <c r="X14" s="417"/>
      <c r="Y14" s="417"/>
      <c r="Z14" s="417"/>
      <c r="AA14" s="417"/>
      <c r="AB14" s="417"/>
      <c r="AC14" s="417"/>
      <c r="AD14" s="417"/>
      <c r="AE14" s="417"/>
    </row>
    <row r="15" spans="1:31" ht="15.75" customHeight="1">
      <c r="A15" s="1052"/>
      <c r="B15" s="1052"/>
      <c r="C15" s="1052"/>
      <c r="D15" s="1052"/>
      <c r="E15" s="35" t="s">
        <v>105</v>
      </c>
      <c r="F15" s="36" t="s">
        <v>86</v>
      </c>
      <c r="G15" s="10">
        <v>414113</v>
      </c>
      <c r="H15" s="36" t="s">
        <v>106</v>
      </c>
      <c r="I15" s="27">
        <f>VLOOKUP(H15,'(참고)PJT목록'!A:E,4,0)</f>
        <v>44621</v>
      </c>
      <c r="J15" s="27">
        <f>VLOOKUP(H15,'(참고)PJT목록'!A:E,5,0)</f>
        <v>46446</v>
      </c>
      <c r="K15" s="1052"/>
      <c r="L15" s="1052"/>
      <c r="M15" s="33">
        <v>1260000</v>
      </c>
      <c r="N15" s="420"/>
      <c r="O15" s="1052"/>
      <c r="P15" s="417"/>
      <c r="Q15" s="417"/>
      <c r="R15" s="417"/>
      <c r="S15" s="417"/>
      <c r="T15" s="417"/>
      <c r="U15" s="417"/>
      <c r="V15" s="417"/>
      <c r="W15" s="417"/>
      <c r="X15" s="417"/>
      <c r="Y15" s="417"/>
      <c r="Z15" s="417"/>
      <c r="AA15" s="417"/>
      <c r="AB15" s="417"/>
      <c r="AC15" s="417"/>
      <c r="AD15" s="417"/>
      <c r="AE15" s="417"/>
    </row>
    <row r="16" spans="1:31" ht="15.75" customHeight="1">
      <c r="A16" s="1130" t="s">
        <v>764</v>
      </c>
      <c r="B16" s="1057" t="s">
        <v>107</v>
      </c>
      <c r="C16" s="1058" t="s">
        <v>142</v>
      </c>
      <c r="D16" s="1058" t="s">
        <v>754</v>
      </c>
      <c r="E16" s="35" t="s">
        <v>767</v>
      </c>
      <c r="F16" s="36" t="s">
        <v>86</v>
      </c>
      <c r="G16" s="10">
        <v>414113</v>
      </c>
      <c r="H16" s="36" t="s">
        <v>109</v>
      </c>
      <c r="I16" s="27">
        <f>VLOOKUP(H16,'(참고)PJT목록'!A:E,4,0)</f>
        <v>44621</v>
      </c>
      <c r="J16" s="27">
        <f>VLOOKUP(H16,'(참고)PJT목록'!A:E,5,0)</f>
        <v>46446</v>
      </c>
      <c r="K16" s="1125" t="s">
        <v>768</v>
      </c>
      <c r="L16" s="1058"/>
      <c r="M16" s="33">
        <v>335000</v>
      </c>
      <c r="N16" s="420"/>
      <c r="O16" s="1058" t="s">
        <v>769</v>
      </c>
      <c r="P16" s="417"/>
      <c r="Q16" s="417"/>
      <c r="R16" s="417"/>
      <c r="S16" s="417"/>
      <c r="T16" s="417"/>
      <c r="U16" s="417"/>
      <c r="V16" s="417"/>
      <c r="W16" s="417"/>
      <c r="X16" s="417"/>
      <c r="Y16" s="417"/>
      <c r="Z16" s="417"/>
      <c r="AA16" s="417"/>
      <c r="AB16" s="417"/>
      <c r="AC16" s="417"/>
      <c r="AD16" s="417"/>
      <c r="AE16" s="417"/>
    </row>
    <row r="17" spans="1:31" ht="15.75" customHeight="1">
      <c r="A17" s="1051"/>
      <c r="B17" s="1051"/>
      <c r="C17" s="1051"/>
      <c r="D17" s="1051"/>
      <c r="E17" s="43" t="s">
        <v>110</v>
      </c>
      <c r="F17" s="36" t="s">
        <v>91</v>
      </c>
      <c r="G17" s="422">
        <v>413141</v>
      </c>
      <c r="H17" s="36" t="s">
        <v>111</v>
      </c>
      <c r="I17" s="27">
        <f>VLOOKUP(H17,'(참고)PJT목록'!A:E,4,0)</f>
        <v>44621</v>
      </c>
      <c r="J17" s="27">
        <f>VLOOKUP(H17,'(참고)PJT목록'!A:E,5,0)</f>
        <v>46446</v>
      </c>
      <c r="K17" s="1051"/>
      <c r="L17" s="1051"/>
      <c r="M17" s="423">
        <v>44009</v>
      </c>
      <c r="N17" s="420"/>
      <c r="O17" s="1051"/>
      <c r="P17" s="417"/>
      <c r="Q17" s="417"/>
      <c r="R17" s="417"/>
      <c r="S17" s="417"/>
      <c r="T17" s="417"/>
      <c r="U17" s="417"/>
      <c r="V17" s="417"/>
      <c r="W17" s="417"/>
      <c r="X17" s="417"/>
      <c r="Y17" s="417"/>
      <c r="Z17" s="417"/>
      <c r="AA17" s="417"/>
      <c r="AB17" s="417"/>
      <c r="AC17" s="417"/>
      <c r="AD17" s="417"/>
      <c r="AE17" s="417"/>
    </row>
    <row r="18" spans="1:31" ht="15.75" customHeight="1">
      <c r="A18" s="1052"/>
      <c r="B18" s="1052"/>
      <c r="C18" s="1052"/>
      <c r="D18" s="1052"/>
      <c r="E18" s="35" t="s">
        <v>770</v>
      </c>
      <c r="F18" s="36" t="s">
        <v>86</v>
      </c>
      <c r="G18" s="10">
        <v>414113</v>
      </c>
      <c r="H18" s="36" t="s">
        <v>106</v>
      </c>
      <c r="I18" s="27">
        <f>VLOOKUP(H18,'(참고)PJT목록'!A:E,4,0)</f>
        <v>44621</v>
      </c>
      <c r="J18" s="27">
        <f>VLOOKUP(H18,'(참고)PJT목록'!A:E,5,0)</f>
        <v>46446</v>
      </c>
      <c r="K18" s="1052"/>
      <c r="L18" s="1052"/>
      <c r="M18" s="33">
        <v>123000</v>
      </c>
      <c r="N18" s="420"/>
      <c r="O18" s="1052"/>
      <c r="P18" s="417"/>
      <c r="Q18" s="417"/>
      <c r="R18" s="417"/>
      <c r="S18" s="417"/>
      <c r="T18" s="417"/>
      <c r="U18" s="417"/>
      <c r="V18" s="417"/>
      <c r="W18" s="417"/>
      <c r="X18" s="417"/>
      <c r="Y18" s="417"/>
      <c r="Z18" s="417"/>
      <c r="AA18" s="417"/>
      <c r="AB18" s="417"/>
      <c r="AC18" s="417"/>
      <c r="AD18" s="417"/>
      <c r="AE18" s="417"/>
    </row>
    <row r="19" spans="1:31" ht="15.75" customHeight="1">
      <c r="A19" s="1130" t="s">
        <v>764</v>
      </c>
      <c r="B19" s="1057" t="s">
        <v>113</v>
      </c>
      <c r="C19" s="1058" t="s">
        <v>142</v>
      </c>
      <c r="D19" s="1058" t="s">
        <v>754</v>
      </c>
      <c r="E19" s="35" t="s">
        <v>114</v>
      </c>
      <c r="F19" s="36" t="s">
        <v>86</v>
      </c>
      <c r="G19" s="10">
        <v>414113</v>
      </c>
      <c r="H19" s="36" t="s">
        <v>115</v>
      </c>
      <c r="I19" s="27">
        <f>VLOOKUP(H19,'(참고)PJT목록'!A:E,4,0)</f>
        <v>44621</v>
      </c>
      <c r="J19" s="27">
        <f>VLOOKUP(H19,'(참고)PJT목록'!A:E,5,0)</f>
        <v>46446</v>
      </c>
      <c r="K19" s="1125" t="s">
        <v>771</v>
      </c>
      <c r="L19" s="1058"/>
      <c r="M19" s="33">
        <v>1175000</v>
      </c>
      <c r="N19" s="420"/>
      <c r="O19" s="1058" t="s">
        <v>772</v>
      </c>
      <c r="P19" s="417"/>
      <c r="Q19" s="417"/>
      <c r="R19" s="417"/>
      <c r="S19" s="417"/>
      <c r="T19" s="417"/>
      <c r="U19" s="417"/>
      <c r="V19" s="417"/>
      <c r="W19" s="417"/>
      <c r="X19" s="417"/>
      <c r="Y19" s="417"/>
      <c r="Z19" s="417"/>
      <c r="AA19" s="417"/>
      <c r="AB19" s="417"/>
      <c r="AC19" s="417"/>
      <c r="AD19" s="417"/>
      <c r="AE19" s="417"/>
    </row>
    <row r="20" spans="1:31" ht="15.75" customHeight="1">
      <c r="A20" s="1051"/>
      <c r="B20" s="1051"/>
      <c r="C20" s="1051"/>
      <c r="D20" s="1051"/>
      <c r="E20" s="43" t="s">
        <v>110</v>
      </c>
      <c r="F20" s="36" t="s">
        <v>91</v>
      </c>
      <c r="G20" s="10">
        <v>413141</v>
      </c>
      <c r="H20" s="36" t="s">
        <v>116</v>
      </c>
      <c r="I20" s="27">
        <f>VLOOKUP(H20,'(참고)PJT목록'!A:E,4,0)</f>
        <v>44621</v>
      </c>
      <c r="J20" s="27">
        <f>VLOOKUP(H20,'(참고)PJT목록'!A:E,5,0)</f>
        <v>46446</v>
      </c>
      <c r="K20" s="1051"/>
      <c r="L20" s="1051"/>
      <c r="M20" s="423">
        <v>153941</v>
      </c>
      <c r="N20" s="420"/>
      <c r="O20" s="1051"/>
      <c r="P20" s="417"/>
      <c r="Q20" s="417"/>
      <c r="R20" s="417"/>
      <c r="S20" s="417"/>
      <c r="T20" s="417"/>
      <c r="U20" s="417"/>
      <c r="V20" s="417"/>
      <c r="W20" s="417"/>
      <c r="X20" s="417"/>
      <c r="Y20" s="417"/>
      <c r="Z20" s="417"/>
      <c r="AA20" s="417"/>
      <c r="AB20" s="417"/>
      <c r="AC20" s="417"/>
      <c r="AD20" s="417"/>
      <c r="AE20" s="417"/>
    </row>
    <row r="21" spans="1:31" ht="15.75" customHeight="1">
      <c r="A21" s="1052"/>
      <c r="B21" s="1052"/>
      <c r="C21" s="1052"/>
      <c r="D21" s="1052"/>
      <c r="E21" s="35" t="s">
        <v>773</v>
      </c>
      <c r="F21" s="36" t="s">
        <v>86</v>
      </c>
      <c r="G21" s="10">
        <v>414113</v>
      </c>
      <c r="H21" s="36" t="s">
        <v>106</v>
      </c>
      <c r="I21" s="27">
        <f>VLOOKUP(H21,'(참고)PJT목록'!A:E,4,0)</f>
        <v>44621</v>
      </c>
      <c r="J21" s="27">
        <f>VLOOKUP(H21,'(참고)PJT목록'!A:E,5,0)</f>
        <v>46446</v>
      </c>
      <c r="K21" s="1052"/>
      <c r="L21" s="1052"/>
      <c r="M21" s="33">
        <v>60000</v>
      </c>
      <c r="N21" s="420"/>
      <c r="O21" s="1052"/>
      <c r="P21" s="417"/>
      <c r="Q21" s="417"/>
      <c r="R21" s="417"/>
      <c r="S21" s="417"/>
      <c r="T21" s="417"/>
      <c r="U21" s="417"/>
      <c r="V21" s="417"/>
      <c r="W21" s="417"/>
      <c r="X21" s="417"/>
      <c r="Y21" s="417"/>
      <c r="Z21" s="417"/>
      <c r="AA21" s="417"/>
      <c r="AB21" s="417"/>
      <c r="AC21" s="417"/>
      <c r="AD21" s="417"/>
      <c r="AE21" s="417"/>
    </row>
    <row r="22" spans="1:31" ht="15.75" customHeight="1">
      <c r="A22" s="1130" t="s">
        <v>764</v>
      </c>
      <c r="B22" s="1057" t="s">
        <v>64</v>
      </c>
      <c r="C22" s="1058" t="s">
        <v>142</v>
      </c>
      <c r="D22" s="1058" t="s">
        <v>754</v>
      </c>
      <c r="E22" s="35" t="s">
        <v>118</v>
      </c>
      <c r="F22" s="36" t="s">
        <v>86</v>
      </c>
      <c r="G22" s="10">
        <v>414113</v>
      </c>
      <c r="H22" s="36" t="s">
        <v>119</v>
      </c>
      <c r="I22" s="27">
        <f>VLOOKUP(H22,'(참고)PJT목록'!A:E,4,0)</f>
        <v>44621</v>
      </c>
      <c r="J22" s="27">
        <f>VLOOKUP(H22,'(참고)PJT목록'!A:E,5,0)</f>
        <v>46446</v>
      </c>
      <c r="K22" s="1125" t="s">
        <v>774</v>
      </c>
      <c r="L22" s="1058"/>
      <c r="M22" s="33">
        <v>1175000</v>
      </c>
      <c r="N22" s="420"/>
      <c r="O22" s="1058" t="s">
        <v>775</v>
      </c>
      <c r="P22" s="417"/>
      <c r="Q22" s="417"/>
      <c r="R22" s="417"/>
      <c r="S22" s="417"/>
      <c r="T22" s="417"/>
      <c r="U22" s="417"/>
      <c r="V22" s="417"/>
      <c r="W22" s="417"/>
      <c r="X22" s="417"/>
      <c r="Y22" s="417"/>
      <c r="Z22" s="417"/>
      <c r="AA22" s="417"/>
      <c r="AB22" s="417"/>
      <c r="AC22" s="417"/>
      <c r="AD22" s="417"/>
      <c r="AE22" s="417"/>
    </row>
    <row r="23" spans="1:31" ht="15.75" customHeight="1">
      <c r="A23" s="1052"/>
      <c r="B23" s="1052"/>
      <c r="C23" s="1052"/>
      <c r="D23" s="1052"/>
      <c r="E23" s="43" t="s">
        <v>110</v>
      </c>
      <c r="F23" s="36" t="s">
        <v>91</v>
      </c>
      <c r="G23" s="10">
        <v>413141</v>
      </c>
      <c r="H23" s="36" t="s">
        <v>120</v>
      </c>
      <c r="I23" s="27">
        <f>VLOOKUP(H23,'(참고)PJT목록'!A:E,4,0)</f>
        <v>44621</v>
      </c>
      <c r="J23" s="27">
        <f>VLOOKUP(H23,'(참고)PJT목록'!A:E,5,0)</f>
        <v>46446</v>
      </c>
      <c r="K23" s="1052"/>
      <c r="L23" s="1052"/>
      <c r="M23" s="423">
        <v>153941</v>
      </c>
      <c r="N23" s="420"/>
      <c r="O23" s="1051"/>
      <c r="P23" s="417"/>
      <c r="Q23" s="417"/>
      <c r="R23" s="417"/>
      <c r="S23" s="417"/>
      <c r="T23" s="417"/>
      <c r="U23" s="417"/>
      <c r="V23" s="417"/>
      <c r="W23" s="417"/>
      <c r="X23" s="417"/>
      <c r="Y23" s="417"/>
      <c r="Z23" s="417"/>
      <c r="AA23" s="417"/>
      <c r="AB23" s="417"/>
      <c r="AC23" s="417"/>
      <c r="AD23" s="417"/>
      <c r="AE23" s="417"/>
    </row>
    <row r="24" spans="1:31" ht="15.75" customHeight="1">
      <c r="A24" s="1130" t="s">
        <v>764</v>
      </c>
      <c r="B24" s="1057" t="s">
        <v>121</v>
      </c>
      <c r="C24" s="1058" t="s">
        <v>142</v>
      </c>
      <c r="D24" s="1058" t="s">
        <v>754</v>
      </c>
      <c r="E24" s="35" t="s">
        <v>776</v>
      </c>
      <c r="F24" s="36" t="s">
        <v>86</v>
      </c>
      <c r="G24" s="10">
        <v>414113</v>
      </c>
      <c r="H24" s="36" t="s">
        <v>123</v>
      </c>
      <c r="I24" s="27">
        <f>VLOOKUP(H24,'(참고)PJT목록'!A:E,4,0)</f>
        <v>44621</v>
      </c>
      <c r="J24" s="27">
        <f>VLOOKUP(H24,'(참고)PJT목록'!A:E,5,0)</f>
        <v>46446</v>
      </c>
      <c r="K24" s="1125" t="s">
        <v>777</v>
      </c>
      <c r="L24" s="1058"/>
      <c r="M24" s="33">
        <v>335000</v>
      </c>
      <c r="N24" s="420"/>
      <c r="O24" s="1058" t="s">
        <v>778</v>
      </c>
      <c r="P24" s="417"/>
      <c r="Q24" s="417"/>
      <c r="R24" s="417"/>
      <c r="S24" s="417"/>
      <c r="T24" s="417"/>
      <c r="U24" s="417"/>
      <c r="V24" s="417"/>
      <c r="W24" s="417"/>
      <c r="X24" s="417"/>
      <c r="Y24" s="417"/>
      <c r="Z24" s="417"/>
      <c r="AA24" s="417"/>
      <c r="AB24" s="417"/>
      <c r="AC24" s="417"/>
      <c r="AD24" s="417"/>
      <c r="AE24" s="417"/>
    </row>
    <row r="25" spans="1:31" ht="15.75" customHeight="1">
      <c r="A25" s="1052"/>
      <c r="B25" s="1052"/>
      <c r="C25" s="1052"/>
      <c r="D25" s="1052"/>
      <c r="E25" s="43" t="s">
        <v>110</v>
      </c>
      <c r="F25" s="36" t="s">
        <v>91</v>
      </c>
      <c r="G25" s="10">
        <v>413141</v>
      </c>
      <c r="H25" s="36" t="s">
        <v>124</v>
      </c>
      <c r="I25" s="27">
        <f>VLOOKUP(H25,'(참고)PJT목록'!A:E,4,0)</f>
        <v>44621</v>
      </c>
      <c r="J25" s="27">
        <f>VLOOKUP(H25,'(참고)PJT목록'!A:E,5,0)</f>
        <v>46446</v>
      </c>
      <c r="K25" s="1052"/>
      <c r="L25" s="1052"/>
      <c r="M25" s="423">
        <v>44009</v>
      </c>
      <c r="N25" s="420"/>
      <c r="O25" s="1052"/>
      <c r="P25" s="417"/>
      <c r="Q25" s="417"/>
      <c r="R25" s="417"/>
      <c r="S25" s="417"/>
      <c r="T25" s="417"/>
      <c r="U25" s="417"/>
      <c r="V25" s="417"/>
      <c r="W25" s="417"/>
      <c r="X25" s="417"/>
      <c r="Y25" s="417"/>
      <c r="Z25" s="417"/>
      <c r="AA25" s="417"/>
      <c r="AB25" s="417"/>
      <c r="AC25" s="417"/>
      <c r="AD25" s="417"/>
      <c r="AE25" s="417"/>
    </row>
    <row r="26" spans="1:31" ht="14">
      <c r="A26" s="10"/>
      <c r="B26" s="36" t="s">
        <v>125</v>
      </c>
      <c r="C26" s="10" t="s">
        <v>142</v>
      </c>
      <c r="D26" s="10" t="s">
        <v>754</v>
      </c>
      <c r="E26" s="35" t="s">
        <v>779</v>
      </c>
      <c r="F26" s="36" t="s">
        <v>86</v>
      </c>
      <c r="G26" s="10">
        <v>414113</v>
      </c>
      <c r="H26" s="36" t="s">
        <v>127</v>
      </c>
      <c r="I26" s="27">
        <f>VLOOKUP(H26,'(참고)PJT목록'!A:E,4,0)</f>
        <v>44621</v>
      </c>
      <c r="J26" s="27">
        <f>VLOOKUP(H26,'(참고)PJT목록'!A:E,5,0)</f>
        <v>46387</v>
      </c>
      <c r="K26" s="424" t="s">
        <v>780</v>
      </c>
      <c r="L26" s="10"/>
      <c r="M26" s="33">
        <v>20000000</v>
      </c>
      <c r="N26" s="420"/>
      <c r="O26" s="425" t="s">
        <v>781</v>
      </c>
      <c r="P26" s="417"/>
      <c r="Q26" s="417"/>
      <c r="R26" s="417"/>
      <c r="S26" s="417"/>
      <c r="T26" s="417"/>
      <c r="U26" s="417"/>
      <c r="V26" s="417"/>
      <c r="W26" s="417"/>
      <c r="X26" s="417"/>
      <c r="Y26" s="417"/>
      <c r="Z26" s="417"/>
      <c r="AA26" s="417"/>
      <c r="AB26" s="417"/>
      <c r="AC26" s="417"/>
      <c r="AD26" s="417"/>
      <c r="AE26" s="417"/>
    </row>
    <row r="27" spans="1:31" ht="15.75" customHeight="1">
      <c r="A27" s="1130" t="s">
        <v>764</v>
      </c>
      <c r="B27" s="1057" t="s">
        <v>170</v>
      </c>
      <c r="C27" s="1058" t="s">
        <v>142</v>
      </c>
      <c r="D27" s="1058" t="s">
        <v>754</v>
      </c>
      <c r="E27" s="35" t="s">
        <v>782</v>
      </c>
      <c r="F27" s="36" t="s">
        <v>86</v>
      </c>
      <c r="G27" s="10">
        <v>414113</v>
      </c>
      <c r="H27" s="36" t="s">
        <v>130</v>
      </c>
      <c r="I27" s="27">
        <f>VLOOKUP(H27,'(참고)PJT목록'!A:E,4,0)</f>
        <v>44621</v>
      </c>
      <c r="J27" s="27">
        <f>VLOOKUP(H27,'(참고)PJT목록'!A:E,5,0)</f>
        <v>46446</v>
      </c>
      <c r="K27" s="1125" t="s">
        <v>783</v>
      </c>
      <c r="L27" s="1058"/>
      <c r="M27" s="33">
        <v>335000</v>
      </c>
      <c r="N27" s="420"/>
      <c r="O27" s="1132" t="s">
        <v>784</v>
      </c>
      <c r="P27" s="417"/>
      <c r="Q27" s="417"/>
      <c r="R27" s="417"/>
      <c r="S27" s="417"/>
      <c r="T27" s="417"/>
      <c r="U27" s="417"/>
      <c r="V27" s="417"/>
      <c r="W27" s="417"/>
      <c r="X27" s="417"/>
      <c r="Y27" s="417"/>
      <c r="Z27" s="417"/>
      <c r="AA27" s="417"/>
      <c r="AB27" s="417"/>
      <c r="AC27" s="417"/>
      <c r="AD27" s="417"/>
      <c r="AE27" s="417"/>
    </row>
    <row r="28" spans="1:31" ht="15.75" customHeight="1">
      <c r="A28" s="1051"/>
      <c r="B28" s="1051"/>
      <c r="C28" s="1051"/>
      <c r="D28" s="1051"/>
      <c r="E28" s="43" t="s">
        <v>110</v>
      </c>
      <c r="F28" s="36" t="s">
        <v>91</v>
      </c>
      <c r="G28" s="10">
        <v>413141</v>
      </c>
      <c r="H28" s="36" t="s">
        <v>131</v>
      </c>
      <c r="I28" s="27">
        <f>VLOOKUP(H28,'(참고)PJT목록'!A:E,4,0)</f>
        <v>44621</v>
      </c>
      <c r="J28" s="27">
        <f>VLOOKUP(H28,'(참고)PJT목록'!A:E,5,0)</f>
        <v>46446</v>
      </c>
      <c r="K28" s="1051"/>
      <c r="L28" s="1051"/>
      <c r="M28" s="423">
        <v>44009</v>
      </c>
      <c r="N28" s="420"/>
      <c r="O28" s="1095"/>
      <c r="P28" s="417"/>
      <c r="Q28" s="417"/>
      <c r="R28" s="417"/>
      <c r="S28" s="417"/>
      <c r="T28" s="417"/>
      <c r="U28" s="417"/>
      <c r="V28" s="417"/>
      <c r="W28" s="417"/>
      <c r="X28" s="417"/>
      <c r="Y28" s="417"/>
      <c r="Z28" s="417"/>
      <c r="AA28" s="417"/>
      <c r="AB28" s="417"/>
      <c r="AC28" s="417"/>
      <c r="AD28" s="417"/>
      <c r="AE28" s="417"/>
    </row>
    <row r="29" spans="1:31" ht="15.75" customHeight="1">
      <c r="A29" s="1052"/>
      <c r="B29" s="1052"/>
      <c r="C29" s="1052"/>
      <c r="D29" s="1052"/>
      <c r="E29" s="35" t="s">
        <v>773</v>
      </c>
      <c r="F29" s="36" t="s">
        <v>86</v>
      </c>
      <c r="G29" s="10">
        <v>414113</v>
      </c>
      <c r="H29" s="36" t="s">
        <v>106</v>
      </c>
      <c r="I29" s="27">
        <f>VLOOKUP(H29,'(참고)PJT목록'!A:E,4,0)</f>
        <v>44621</v>
      </c>
      <c r="J29" s="27">
        <f>VLOOKUP(H29,'(참고)PJT목록'!A:E,5,0)</f>
        <v>46446</v>
      </c>
      <c r="K29" s="1052"/>
      <c r="L29" s="1052"/>
      <c r="M29" s="33">
        <v>80000</v>
      </c>
      <c r="N29" s="420"/>
      <c r="O29" s="1096"/>
      <c r="P29" s="417"/>
      <c r="Q29" s="417"/>
      <c r="R29" s="417"/>
      <c r="S29" s="417"/>
      <c r="T29" s="417"/>
      <c r="U29" s="417"/>
      <c r="V29" s="417"/>
      <c r="W29" s="417"/>
      <c r="X29" s="417"/>
      <c r="Y29" s="417"/>
      <c r="Z29" s="417"/>
      <c r="AA29" s="417"/>
      <c r="AB29" s="417"/>
      <c r="AC29" s="417"/>
      <c r="AD29" s="417"/>
      <c r="AE29" s="417"/>
    </row>
    <row r="30" spans="1:31" ht="15.75" customHeight="1">
      <c r="A30" s="1058"/>
      <c r="B30" s="1057" t="s">
        <v>132</v>
      </c>
      <c r="C30" s="1058" t="s">
        <v>142</v>
      </c>
      <c r="D30" s="1058" t="s">
        <v>754</v>
      </c>
      <c r="E30" s="1070" t="s">
        <v>785</v>
      </c>
      <c r="F30" s="10" t="s">
        <v>86</v>
      </c>
      <c r="G30" s="426">
        <v>414113</v>
      </c>
      <c r="H30" s="10" t="s">
        <v>135</v>
      </c>
      <c r="I30" s="27">
        <f>VLOOKUP(H30,'(참고)PJT목록'!A:D,4,0)</f>
        <v>45045</v>
      </c>
      <c r="J30" s="27">
        <f>VLOOKUP(H30,'(참고)PJT목록'!A:E,5,0)</f>
        <v>46871</v>
      </c>
      <c r="K30" s="1125" t="s">
        <v>786</v>
      </c>
      <c r="L30" s="1058"/>
      <c r="M30" s="33">
        <v>10335000</v>
      </c>
      <c r="N30" s="1070" t="s">
        <v>787</v>
      </c>
      <c r="O30" s="1058" t="s">
        <v>788</v>
      </c>
      <c r="P30" s="417"/>
      <c r="Q30" s="417"/>
      <c r="R30" s="417"/>
      <c r="S30" s="417"/>
      <c r="T30" s="417"/>
      <c r="U30" s="417"/>
      <c r="V30" s="417"/>
      <c r="W30" s="417"/>
      <c r="X30" s="417"/>
      <c r="Y30" s="417"/>
      <c r="Z30" s="417"/>
      <c r="AA30" s="417"/>
      <c r="AB30" s="417"/>
      <c r="AC30" s="417"/>
      <c r="AD30" s="417"/>
      <c r="AE30" s="417"/>
    </row>
    <row r="31" spans="1:31" ht="15.75" customHeight="1">
      <c r="A31" s="1051"/>
      <c r="B31" s="1051"/>
      <c r="C31" s="1051"/>
      <c r="D31" s="1051"/>
      <c r="E31" s="1051"/>
      <c r="F31" s="10" t="s">
        <v>91</v>
      </c>
      <c r="G31" s="426">
        <v>413141</v>
      </c>
      <c r="H31" s="10" t="s">
        <v>136</v>
      </c>
      <c r="I31" s="27">
        <f>VLOOKUP(H31,'(참고)PJT목록'!A:D,4,0)</f>
        <v>45010</v>
      </c>
      <c r="J31" s="27">
        <f>VLOOKUP(H31,'(참고)PJT목록'!A:E,5,0)</f>
        <v>46836</v>
      </c>
      <c r="K31" s="1051"/>
      <c r="L31" s="1051"/>
      <c r="M31" s="33">
        <v>4405176</v>
      </c>
      <c r="N31" s="1051"/>
      <c r="O31" s="1051"/>
      <c r="P31" s="417"/>
      <c r="Q31" s="417"/>
      <c r="R31" s="417"/>
      <c r="S31" s="417"/>
      <c r="T31" s="417"/>
      <c r="U31" s="417"/>
      <c r="V31" s="417"/>
      <c r="W31" s="417"/>
      <c r="X31" s="417"/>
      <c r="Y31" s="417"/>
      <c r="Z31" s="417"/>
      <c r="AA31" s="417"/>
      <c r="AB31" s="417"/>
      <c r="AC31" s="417"/>
      <c r="AD31" s="417"/>
      <c r="AE31" s="417"/>
    </row>
    <row r="32" spans="1:31" ht="15.75" customHeight="1">
      <c r="A32" s="1051"/>
      <c r="B32" s="1051"/>
      <c r="C32" s="1051"/>
      <c r="D32" s="1051"/>
      <c r="E32" s="1051"/>
      <c r="F32" s="10" t="s">
        <v>79</v>
      </c>
      <c r="G32" s="426">
        <v>413141</v>
      </c>
      <c r="H32" s="10" t="s">
        <v>137</v>
      </c>
      <c r="I32" s="27">
        <f>VLOOKUP(H32,'(참고)PJT목록'!A:D,4,0)</f>
        <v>45010</v>
      </c>
      <c r="J32" s="27">
        <f>VLOOKUP(H32,'(참고)PJT목록'!A:E,5,0)</f>
        <v>46836</v>
      </c>
      <c r="K32" s="1051"/>
      <c r="L32" s="1051"/>
      <c r="M32" s="33">
        <v>2129168</v>
      </c>
      <c r="N32" s="1051"/>
      <c r="O32" s="1051"/>
      <c r="P32" s="417"/>
      <c r="Q32" s="417"/>
      <c r="R32" s="417"/>
      <c r="S32" s="417"/>
      <c r="T32" s="417"/>
      <c r="U32" s="417"/>
      <c r="V32" s="417"/>
      <c r="W32" s="417"/>
      <c r="X32" s="417"/>
      <c r="Y32" s="417"/>
      <c r="Z32" s="417"/>
      <c r="AA32" s="417"/>
      <c r="AB32" s="417"/>
      <c r="AC32" s="417"/>
      <c r="AD32" s="417"/>
      <c r="AE32" s="417"/>
    </row>
    <row r="33" spans="1:31" ht="15.75" customHeight="1">
      <c r="A33" s="1052"/>
      <c r="B33" s="1052"/>
      <c r="C33" s="1052"/>
      <c r="D33" s="1052"/>
      <c r="E33" s="1052"/>
      <c r="F33" s="10" t="s">
        <v>138</v>
      </c>
      <c r="G33" s="426">
        <v>413141</v>
      </c>
      <c r="H33" s="10" t="s">
        <v>139</v>
      </c>
      <c r="I33" s="27">
        <f>VLOOKUP(H33,'(참고)PJT목록'!A:D,4,0)</f>
        <v>45010</v>
      </c>
      <c r="J33" s="27">
        <f>VLOOKUP(H33,'(참고)PJT목록'!A:E,5,0)</f>
        <v>46836</v>
      </c>
      <c r="K33" s="1052"/>
      <c r="L33" s="1052"/>
      <c r="M33" s="33">
        <v>807616</v>
      </c>
      <c r="N33" s="1051"/>
      <c r="O33" s="1052"/>
      <c r="P33" s="417"/>
      <c r="Q33" s="417"/>
      <c r="R33" s="417"/>
      <c r="S33" s="417"/>
      <c r="T33" s="417"/>
      <c r="U33" s="417"/>
      <c r="V33" s="417"/>
      <c r="W33" s="417"/>
      <c r="X33" s="417"/>
      <c r="Y33" s="417"/>
      <c r="Z33" s="417"/>
      <c r="AA33" s="417"/>
      <c r="AB33" s="417"/>
      <c r="AC33" s="417"/>
      <c r="AD33" s="417"/>
      <c r="AE33" s="417"/>
    </row>
    <row r="34" spans="1:31" ht="15.75" customHeight="1">
      <c r="A34" s="1124"/>
      <c r="B34" s="1057" t="s">
        <v>140</v>
      </c>
      <c r="C34" s="1059" t="s">
        <v>30</v>
      </c>
      <c r="D34" s="1058" t="s">
        <v>754</v>
      </c>
      <c r="E34" s="1070" t="s">
        <v>789</v>
      </c>
      <c r="F34" s="10" t="s">
        <v>86</v>
      </c>
      <c r="G34" s="426">
        <v>414113</v>
      </c>
      <c r="H34" s="10" t="s">
        <v>135</v>
      </c>
      <c r="I34" s="27">
        <f>VLOOKUP(H34,'(참고)PJT목록'!A:D,4,0)</f>
        <v>45045</v>
      </c>
      <c r="J34" s="27">
        <f>VLOOKUP(H34,'(참고)PJT목록'!A:E,5,0)</f>
        <v>46871</v>
      </c>
      <c r="K34" s="1125" t="s">
        <v>790</v>
      </c>
      <c r="L34" s="1058"/>
      <c r="M34" s="33">
        <v>1542000</v>
      </c>
      <c r="N34" s="1070" t="s">
        <v>787</v>
      </c>
      <c r="O34" s="1059" t="s">
        <v>791</v>
      </c>
      <c r="P34" s="417"/>
      <c r="Q34" s="417"/>
      <c r="R34" s="417"/>
      <c r="S34" s="417"/>
      <c r="T34" s="417"/>
      <c r="U34" s="417"/>
      <c r="V34" s="417"/>
      <c r="W34" s="417"/>
      <c r="X34" s="417"/>
      <c r="Y34" s="417"/>
      <c r="Z34" s="417"/>
      <c r="AA34" s="417"/>
      <c r="AB34" s="417"/>
      <c r="AC34" s="417"/>
      <c r="AD34" s="417"/>
      <c r="AE34" s="417"/>
    </row>
    <row r="35" spans="1:31" ht="15.75" customHeight="1">
      <c r="A35" s="1095"/>
      <c r="B35" s="1051"/>
      <c r="C35" s="1051"/>
      <c r="D35" s="1051"/>
      <c r="E35" s="1051"/>
      <c r="F35" s="10" t="s">
        <v>91</v>
      </c>
      <c r="G35" s="426">
        <v>413141</v>
      </c>
      <c r="H35" s="10" t="s">
        <v>136</v>
      </c>
      <c r="I35" s="27">
        <f>VLOOKUP(H35,'(참고)PJT목록'!A:D,4,0)</f>
        <v>45010</v>
      </c>
      <c r="J35" s="27">
        <f>VLOOKUP(H35,'(참고)PJT목록'!A:E,5,0)</f>
        <v>46836</v>
      </c>
      <c r="K35" s="1051"/>
      <c r="L35" s="1051"/>
      <c r="M35" s="33">
        <v>601800</v>
      </c>
      <c r="N35" s="1051"/>
      <c r="O35" s="1051"/>
      <c r="P35" s="417"/>
      <c r="Q35" s="417"/>
      <c r="R35" s="417"/>
      <c r="S35" s="417"/>
      <c r="T35" s="417"/>
      <c r="U35" s="417"/>
      <c r="V35" s="417"/>
      <c r="W35" s="417"/>
      <c r="X35" s="417"/>
      <c r="Y35" s="417"/>
      <c r="Z35" s="417"/>
      <c r="AA35" s="417"/>
      <c r="AB35" s="417"/>
      <c r="AC35" s="417"/>
      <c r="AD35" s="417"/>
      <c r="AE35" s="417"/>
    </row>
    <row r="36" spans="1:31" ht="15.75" customHeight="1">
      <c r="A36" s="1095"/>
      <c r="B36" s="1051"/>
      <c r="C36" s="1051"/>
      <c r="D36" s="1051"/>
      <c r="E36" s="1051"/>
      <c r="F36" s="10" t="s">
        <v>79</v>
      </c>
      <c r="G36" s="426">
        <v>413141</v>
      </c>
      <c r="H36" s="10" t="s">
        <v>137</v>
      </c>
      <c r="I36" s="27">
        <f>VLOOKUP(H36,'(참고)PJT목록'!A:D,4,0)</f>
        <v>45010</v>
      </c>
      <c r="J36" s="27">
        <f>VLOOKUP(H36,'(참고)PJT목록'!A:E,5,0)</f>
        <v>46836</v>
      </c>
      <c r="K36" s="1051"/>
      <c r="L36" s="1051"/>
      <c r="M36" s="33">
        <v>290870</v>
      </c>
      <c r="N36" s="1051"/>
      <c r="O36" s="1051"/>
      <c r="P36" s="417"/>
      <c r="Q36" s="417"/>
      <c r="R36" s="417"/>
      <c r="S36" s="417"/>
      <c r="T36" s="417"/>
      <c r="U36" s="417"/>
      <c r="V36" s="417"/>
      <c r="W36" s="417"/>
      <c r="X36" s="417"/>
      <c r="Y36" s="417"/>
      <c r="Z36" s="417"/>
      <c r="AA36" s="417"/>
      <c r="AB36" s="417"/>
      <c r="AC36" s="417"/>
      <c r="AD36" s="417"/>
      <c r="AE36" s="417"/>
    </row>
    <row r="37" spans="1:31" ht="15.75" customHeight="1">
      <c r="A37" s="1096"/>
      <c r="B37" s="1052"/>
      <c r="C37" s="1052"/>
      <c r="D37" s="1052"/>
      <c r="E37" s="1052"/>
      <c r="F37" s="10" t="s">
        <v>138</v>
      </c>
      <c r="G37" s="426">
        <v>413141</v>
      </c>
      <c r="H37" s="10" t="s">
        <v>139</v>
      </c>
      <c r="I37" s="27">
        <f>VLOOKUP(H37,'(참고)PJT목록'!A:D,4,0)</f>
        <v>45010</v>
      </c>
      <c r="J37" s="27">
        <f>VLOOKUP(H37,'(참고)PJT목록'!A:E,5,0)</f>
        <v>46836</v>
      </c>
      <c r="K37" s="1052"/>
      <c r="L37" s="1052"/>
      <c r="M37" s="33">
        <v>110330</v>
      </c>
      <c r="N37" s="1051"/>
      <c r="O37" s="1052"/>
      <c r="P37" s="417"/>
      <c r="Q37" s="417"/>
      <c r="R37" s="417"/>
      <c r="S37" s="417"/>
      <c r="T37" s="417"/>
      <c r="U37" s="417"/>
      <c r="V37" s="417"/>
      <c r="W37" s="417"/>
      <c r="X37" s="417"/>
      <c r="Y37" s="417"/>
      <c r="Z37" s="417"/>
      <c r="AA37" s="417"/>
      <c r="AB37" s="417"/>
      <c r="AC37" s="417"/>
      <c r="AD37" s="417"/>
      <c r="AE37" s="417"/>
    </row>
    <row r="38" spans="1:31" ht="15.75" customHeight="1">
      <c r="A38" s="1124"/>
      <c r="B38" s="1057" t="s">
        <v>141</v>
      </c>
      <c r="C38" s="1059" t="s">
        <v>142</v>
      </c>
      <c r="D38" s="1058" t="s">
        <v>754</v>
      </c>
      <c r="E38" s="1070" t="s">
        <v>792</v>
      </c>
      <c r="F38" s="10" t="s">
        <v>86</v>
      </c>
      <c r="G38" s="426">
        <v>414113</v>
      </c>
      <c r="H38" s="10" t="s">
        <v>135</v>
      </c>
      <c r="I38" s="27">
        <f>VLOOKUP(H38,'(참고)PJT목록'!A:D,4,0)</f>
        <v>45045</v>
      </c>
      <c r="J38" s="27">
        <f>VLOOKUP(H38,'(참고)PJT목록'!A:E,5,0)</f>
        <v>46871</v>
      </c>
      <c r="K38" s="1125" t="s">
        <v>793</v>
      </c>
      <c r="L38" s="1058"/>
      <c r="M38" s="33">
        <v>1542000</v>
      </c>
      <c r="N38" s="1070" t="s">
        <v>787</v>
      </c>
      <c r="O38" s="1120" t="s">
        <v>794</v>
      </c>
      <c r="P38" s="1121" t="s">
        <v>795</v>
      </c>
      <c r="Q38" s="417"/>
      <c r="R38" s="417"/>
      <c r="S38" s="417"/>
      <c r="T38" s="417"/>
      <c r="U38" s="417"/>
      <c r="V38" s="417"/>
      <c r="W38" s="417"/>
      <c r="X38" s="417"/>
      <c r="Y38" s="417"/>
      <c r="Z38" s="417"/>
      <c r="AA38" s="417"/>
      <c r="AB38" s="417"/>
      <c r="AC38" s="417"/>
      <c r="AD38" s="417"/>
      <c r="AE38" s="417"/>
    </row>
    <row r="39" spans="1:31" ht="15.75" customHeight="1">
      <c r="A39" s="1095"/>
      <c r="B39" s="1051"/>
      <c r="C39" s="1051"/>
      <c r="D39" s="1051"/>
      <c r="E39" s="1051"/>
      <c r="F39" s="10" t="s">
        <v>91</v>
      </c>
      <c r="G39" s="426">
        <v>413141</v>
      </c>
      <c r="H39" s="10" t="s">
        <v>136</v>
      </c>
      <c r="I39" s="27">
        <f>VLOOKUP(H39,'(참고)PJT목록'!A:D,4,0)</f>
        <v>45010</v>
      </c>
      <c r="J39" s="27">
        <f>VLOOKUP(H39,'(참고)PJT목록'!A:E,5,0)</f>
        <v>46836</v>
      </c>
      <c r="K39" s="1051"/>
      <c r="L39" s="1051"/>
      <c r="M39" s="33">
        <v>777384</v>
      </c>
      <c r="N39" s="1051"/>
      <c r="O39" s="1051"/>
      <c r="P39" s="1106"/>
      <c r="Q39" s="417"/>
      <c r="R39" s="417"/>
      <c r="S39" s="417"/>
      <c r="T39" s="417"/>
      <c r="U39" s="417"/>
      <c r="V39" s="417"/>
      <c r="W39" s="417"/>
      <c r="X39" s="417"/>
      <c r="Y39" s="417"/>
      <c r="Z39" s="417"/>
      <c r="AA39" s="417"/>
      <c r="AB39" s="417"/>
      <c r="AC39" s="417"/>
      <c r="AD39" s="417"/>
      <c r="AE39" s="417"/>
    </row>
    <row r="40" spans="1:31" ht="15.75" customHeight="1">
      <c r="A40" s="1095"/>
      <c r="B40" s="1051"/>
      <c r="C40" s="1051"/>
      <c r="D40" s="1051"/>
      <c r="E40" s="1051"/>
      <c r="F40" s="10" t="s">
        <v>79</v>
      </c>
      <c r="G40" s="426">
        <v>413141</v>
      </c>
      <c r="H40" s="10" t="s">
        <v>137</v>
      </c>
      <c r="I40" s="27">
        <f>VLOOKUP(H40,'(참고)PJT목록'!A:D,4,0)</f>
        <v>45010</v>
      </c>
      <c r="J40" s="27">
        <f>VLOOKUP(H40,'(참고)PJT목록'!A:E,5,0)</f>
        <v>46836</v>
      </c>
      <c r="K40" s="1051"/>
      <c r="L40" s="1051"/>
      <c r="M40" s="33">
        <v>375736</v>
      </c>
      <c r="N40" s="1051"/>
      <c r="O40" s="1051"/>
      <c r="P40" s="1106"/>
      <c r="Q40" s="417"/>
      <c r="R40" s="417"/>
      <c r="S40" s="417"/>
      <c r="T40" s="417"/>
      <c r="U40" s="417"/>
      <c r="V40" s="417"/>
      <c r="W40" s="417"/>
      <c r="X40" s="417"/>
      <c r="Y40" s="417"/>
      <c r="Z40" s="417"/>
      <c r="AA40" s="417"/>
      <c r="AB40" s="417"/>
      <c r="AC40" s="417"/>
      <c r="AD40" s="417"/>
      <c r="AE40" s="417"/>
    </row>
    <row r="41" spans="1:31" ht="15.75" customHeight="1">
      <c r="A41" s="1096"/>
      <c r="B41" s="1052"/>
      <c r="C41" s="1052"/>
      <c r="D41" s="1052"/>
      <c r="E41" s="1052"/>
      <c r="F41" s="10" t="s">
        <v>138</v>
      </c>
      <c r="G41" s="426">
        <v>413141</v>
      </c>
      <c r="H41" s="10" t="s">
        <v>139</v>
      </c>
      <c r="I41" s="27">
        <f>VLOOKUP(H41,'(참고)PJT목록'!A:D,4,0)</f>
        <v>45010</v>
      </c>
      <c r="J41" s="27">
        <f>VLOOKUP(H41,'(참고)PJT목록'!A:E,5,0)</f>
        <v>46836</v>
      </c>
      <c r="K41" s="1052"/>
      <c r="L41" s="1052"/>
      <c r="M41" s="33">
        <v>142520</v>
      </c>
      <c r="N41" s="1051"/>
      <c r="O41" s="1052"/>
      <c r="P41" s="1106"/>
      <c r="Q41" s="417"/>
      <c r="R41" s="417"/>
      <c r="S41" s="417"/>
      <c r="T41" s="417"/>
      <c r="U41" s="417"/>
      <c r="V41" s="417"/>
      <c r="W41" s="417"/>
      <c r="X41" s="417"/>
      <c r="Y41" s="417"/>
      <c r="Z41" s="417"/>
      <c r="AA41" s="417"/>
      <c r="AB41" s="417"/>
      <c r="AC41" s="417"/>
      <c r="AD41" s="417"/>
      <c r="AE41" s="417"/>
    </row>
    <row r="42" spans="1:31" ht="15.75" customHeight="1">
      <c r="A42" s="1124"/>
      <c r="B42" s="1057" t="s">
        <v>143</v>
      </c>
      <c r="C42" s="1059" t="s">
        <v>142</v>
      </c>
      <c r="D42" s="1058" t="s">
        <v>754</v>
      </c>
      <c r="E42" s="1070" t="s">
        <v>796</v>
      </c>
      <c r="F42" s="10" t="s">
        <v>86</v>
      </c>
      <c r="G42" s="426">
        <v>414113</v>
      </c>
      <c r="H42" s="10" t="s">
        <v>135</v>
      </c>
      <c r="I42" s="27">
        <f>VLOOKUP(H42,'(참고)PJT목록'!A:D,4,0)</f>
        <v>45045</v>
      </c>
      <c r="J42" s="27">
        <f>VLOOKUP(H42,'(참고)PJT목록'!A:E,5,0)</f>
        <v>46871</v>
      </c>
      <c r="K42" s="1125" t="s">
        <v>797</v>
      </c>
      <c r="L42" s="1058"/>
      <c r="M42" s="33">
        <v>6682500</v>
      </c>
      <c r="N42" s="1070" t="s">
        <v>787</v>
      </c>
      <c r="O42" s="1120" t="s">
        <v>798</v>
      </c>
      <c r="P42" s="427"/>
      <c r="Q42" s="417"/>
      <c r="R42" s="417"/>
      <c r="S42" s="417"/>
      <c r="T42" s="417"/>
      <c r="U42" s="417"/>
      <c r="V42" s="417"/>
      <c r="W42" s="417"/>
      <c r="X42" s="417"/>
      <c r="Y42" s="417"/>
      <c r="Z42" s="417"/>
      <c r="AA42" s="417"/>
      <c r="AB42" s="417"/>
      <c r="AC42" s="417"/>
      <c r="AD42" s="417"/>
      <c r="AE42" s="417"/>
    </row>
    <row r="43" spans="1:31" ht="15.75" customHeight="1">
      <c r="A43" s="1095"/>
      <c r="B43" s="1051"/>
      <c r="C43" s="1051"/>
      <c r="D43" s="1051"/>
      <c r="E43" s="1051"/>
      <c r="F43" s="10" t="s">
        <v>91</v>
      </c>
      <c r="G43" s="426">
        <v>413141</v>
      </c>
      <c r="H43" s="10" t="s">
        <v>136</v>
      </c>
      <c r="I43" s="27">
        <f>VLOOKUP(H43,'(참고)PJT목록'!A:D,4,0)</f>
        <v>45010</v>
      </c>
      <c r="J43" s="27">
        <f>VLOOKUP(H43,'(참고)PJT목록'!A:E,5,0)</f>
        <v>46836</v>
      </c>
      <c r="K43" s="1051"/>
      <c r="L43" s="1051"/>
      <c r="M43" s="33">
        <v>1690200</v>
      </c>
      <c r="N43" s="1051"/>
      <c r="O43" s="1051"/>
      <c r="P43" s="427"/>
      <c r="Q43" s="417"/>
      <c r="R43" s="417"/>
      <c r="S43" s="417"/>
      <c r="T43" s="417"/>
      <c r="U43" s="417"/>
      <c r="V43" s="417"/>
      <c r="W43" s="417"/>
      <c r="X43" s="417"/>
      <c r="Y43" s="417"/>
      <c r="Z43" s="417"/>
      <c r="AA43" s="417"/>
      <c r="AB43" s="417"/>
      <c r="AC43" s="417"/>
      <c r="AD43" s="417"/>
      <c r="AE43" s="417"/>
    </row>
    <row r="44" spans="1:31" ht="15.75" customHeight="1">
      <c r="A44" s="1095"/>
      <c r="B44" s="1051"/>
      <c r="C44" s="1051"/>
      <c r="D44" s="1051"/>
      <c r="E44" s="1051"/>
      <c r="F44" s="10" t="s">
        <v>79</v>
      </c>
      <c r="G44" s="426">
        <v>413141</v>
      </c>
      <c r="H44" s="10" t="s">
        <v>137</v>
      </c>
      <c r="I44" s="27">
        <f>VLOOKUP(H44,'(참고)PJT목록'!A:D,4,0)</f>
        <v>45010</v>
      </c>
      <c r="J44" s="27">
        <f>VLOOKUP(H44,'(참고)PJT목록'!A:E,5,0)</f>
        <v>46836</v>
      </c>
      <c r="K44" s="1051"/>
      <c r="L44" s="1051"/>
      <c r="M44" s="33">
        <v>816930</v>
      </c>
      <c r="N44" s="1051"/>
      <c r="O44" s="1051"/>
      <c r="P44" s="427"/>
      <c r="Q44" s="417"/>
      <c r="R44" s="417"/>
      <c r="S44" s="417"/>
      <c r="T44" s="417"/>
      <c r="U44" s="417"/>
      <c r="V44" s="417"/>
      <c r="W44" s="417"/>
      <c r="X44" s="417"/>
      <c r="Y44" s="417"/>
      <c r="Z44" s="417"/>
      <c r="AA44" s="417"/>
      <c r="AB44" s="417"/>
      <c r="AC44" s="417"/>
      <c r="AD44" s="417"/>
      <c r="AE44" s="417"/>
    </row>
    <row r="45" spans="1:31" ht="15.75" customHeight="1">
      <c r="A45" s="1096"/>
      <c r="B45" s="1052"/>
      <c r="C45" s="1052"/>
      <c r="D45" s="1052"/>
      <c r="E45" s="1052"/>
      <c r="F45" s="10" t="s">
        <v>138</v>
      </c>
      <c r="G45" s="426">
        <v>413141</v>
      </c>
      <c r="H45" s="10" t="s">
        <v>139</v>
      </c>
      <c r="I45" s="27">
        <f>VLOOKUP(H45,'(참고)PJT목록'!A:D,4,0)</f>
        <v>45010</v>
      </c>
      <c r="J45" s="27">
        <f>VLOOKUP(H45,'(참고)PJT목록'!A:E,5,0)</f>
        <v>46836</v>
      </c>
      <c r="K45" s="1052"/>
      <c r="L45" s="1052"/>
      <c r="M45" s="33">
        <v>309870</v>
      </c>
      <c r="N45" s="1051"/>
      <c r="O45" s="1052"/>
      <c r="P45" s="427"/>
      <c r="Q45" s="417"/>
      <c r="R45" s="417"/>
      <c r="S45" s="417"/>
      <c r="T45" s="417"/>
      <c r="U45" s="417"/>
      <c r="V45" s="417"/>
      <c r="W45" s="417"/>
      <c r="X45" s="417"/>
      <c r="Y45" s="417"/>
      <c r="Z45" s="417"/>
      <c r="AA45" s="417"/>
      <c r="AB45" s="417"/>
      <c r="AC45" s="417"/>
      <c r="AD45" s="417"/>
      <c r="AE45" s="417"/>
    </row>
    <row r="46" spans="1:31" ht="15.75" customHeight="1">
      <c r="A46" s="1124"/>
      <c r="B46" s="1057" t="s">
        <v>144</v>
      </c>
      <c r="C46" s="1059" t="s">
        <v>142</v>
      </c>
      <c r="D46" s="1058" t="s">
        <v>754</v>
      </c>
      <c r="E46" s="1070" t="s">
        <v>799</v>
      </c>
      <c r="F46" s="10" t="s">
        <v>86</v>
      </c>
      <c r="G46" s="426">
        <v>414113</v>
      </c>
      <c r="H46" s="10" t="s">
        <v>135</v>
      </c>
      <c r="I46" s="27">
        <f>VLOOKUP(H46,'(참고)PJT목록'!A:D,4,0)</f>
        <v>45045</v>
      </c>
      <c r="J46" s="27">
        <f>VLOOKUP(H46,'(참고)PJT목록'!A:E,5,0)</f>
        <v>46871</v>
      </c>
      <c r="K46" s="1125" t="s">
        <v>800</v>
      </c>
      <c r="L46" s="1058"/>
      <c r="M46" s="33">
        <v>97660</v>
      </c>
      <c r="N46" s="1070" t="s">
        <v>787</v>
      </c>
      <c r="O46" s="1120" t="s">
        <v>801</v>
      </c>
      <c r="P46" s="427"/>
      <c r="Q46" s="417"/>
      <c r="R46" s="417"/>
      <c r="S46" s="417"/>
      <c r="T46" s="417"/>
      <c r="U46" s="417"/>
      <c r="V46" s="417"/>
      <c r="W46" s="417"/>
      <c r="X46" s="417"/>
      <c r="Y46" s="417"/>
      <c r="Z46" s="417"/>
      <c r="AA46" s="417"/>
      <c r="AB46" s="417"/>
      <c r="AC46" s="417"/>
      <c r="AD46" s="417"/>
      <c r="AE46" s="417"/>
    </row>
    <row r="47" spans="1:31" ht="15.75" customHeight="1">
      <c r="A47" s="1095"/>
      <c r="B47" s="1051"/>
      <c r="C47" s="1051"/>
      <c r="D47" s="1051"/>
      <c r="E47" s="1051"/>
      <c r="F47" s="10" t="s">
        <v>91</v>
      </c>
      <c r="G47" s="426">
        <v>413141</v>
      </c>
      <c r="H47" s="10" t="s">
        <v>136</v>
      </c>
      <c r="I47" s="27">
        <f>VLOOKUP(H47,'(참고)PJT목록'!A:D,4,0)</f>
        <v>45010</v>
      </c>
      <c r="J47" s="27">
        <f>VLOOKUP(H47,'(참고)PJT목록'!A:E,5,0)</f>
        <v>46836</v>
      </c>
      <c r="K47" s="1051"/>
      <c r="L47" s="1051"/>
      <c r="M47" s="33">
        <v>284205</v>
      </c>
      <c r="N47" s="1051"/>
      <c r="O47" s="1051"/>
      <c r="P47" s="427"/>
      <c r="Q47" s="417"/>
      <c r="R47" s="417"/>
      <c r="S47" s="417"/>
      <c r="T47" s="417"/>
      <c r="U47" s="417"/>
      <c r="V47" s="417"/>
      <c r="W47" s="417"/>
      <c r="X47" s="417"/>
      <c r="Y47" s="417"/>
      <c r="Z47" s="417"/>
      <c r="AA47" s="417"/>
      <c r="AB47" s="417"/>
      <c r="AC47" s="417"/>
      <c r="AD47" s="417"/>
      <c r="AE47" s="417"/>
    </row>
    <row r="48" spans="1:31" ht="15.75" customHeight="1">
      <c r="A48" s="1095"/>
      <c r="B48" s="1051"/>
      <c r="C48" s="1051"/>
      <c r="D48" s="1051"/>
      <c r="E48" s="1051"/>
      <c r="F48" s="10" t="s">
        <v>79</v>
      </c>
      <c r="G48" s="426">
        <v>413141</v>
      </c>
      <c r="H48" s="10" t="s">
        <v>137</v>
      </c>
      <c r="I48" s="27">
        <f>VLOOKUP(H48,'(참고)PJT목록'!A:D,4,0)</f>
        <v>45010</v>
      </c>
      <c r="J48" s="27">
        <f>VLOOKUP(H48,'(참고)PJT목록'!A:E,5,0)</f>
        <v>46836</v>
      </c>
      <c r="K48" s="1051"/>
      <c r="L48" s="1051"/>
      <c r="M48" s="33">
        <v>137366</v>
      </c>
      <c r="N48" s="1051"/>
      <c r="O48" s="1051"/>
      <c r="P48" s="427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ht="15.75" customHeight="1">
      <c r="A49" s="1095"/>
      <c r="B49" s="1052"/>
      <c r="C49" s="1052"/>
      <c r="D49" s="1052"/>
      <c r="E49" s="1052"/>
      <c r="F49" s="10" t="s">
        <v>138</v>
      </c>
      <c r="G49" s="426">
        <v>413141</v>
      </c>
      <c r="H49" s="10" t="s">
        <v>139</v>
      </c>
      <c r="I49" s="27">
        <f>VLOOKUP(H49,'(참고)PJT목록'!A:D,4,0)</f>
        <v>45010</v>
      </c>
      <c r="J49" s="27">
        <f>VLOOKUP(H49,'(참고)PJT목록'!A:E,5,0)</f>
        <v>46836</v>
      </c>
      <c r="K49" s="1052"/>
      <c r="L49" s="1052"/>
      <c r="M49" s="33">
        <v>52104</v>
      </c>
      <c r="N49" s="1051"/>
      <c r="O49" s="1052"/>
      <c r="P49" s="427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</row>
    <row r="50" spans="1:31" ht="16.5" customHeight="1">
      <c r="A50" s="17"/>
      <c r="B50" s="10" t="s">
        <v>802</v>
      </c>
      <c r="C50" s="10" t="s">
        <v>133</v>
      </c>
      <c r="D50" s="10" t="s">
        <v>803</v>
      </c>
      <c r="E50" s="420" t="s">
        <v>804</v>
      </c>
      <c r="F50" s="10" t="s">
        <v>805</v>
      </c>
      <c r="G50" s="10">
        <v>413111</v>
      </c>
      <c r="H50" s="10" t="s">
        <v>806</v>
      </c>
      <c r="I50" s="27">
        <v>45474</v>
      </c>
      <c r="J50" s="27">
        <v>45838</v>
      </c>
      <c r="K50" s="424" t="s">
        <v>807</v>
      </c>
      <c r="L50" s="11"/>
      <c r="M50" s="33">
        <v>36375000</v>
      </c>
      <c r="N50" s="428"/>
      <c r="O50" s="1059" t="s">
        <v>808</v>
      </c>
      <c r="P50" s="427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</row>
    <row r="51" spans="1:31" ht="16.5" customHeight="1">
      <c r="A51" s="17"/>
      <c r="B51" s="10" t="s">
        <v>802</v>
      </c>
      <c r="C51" s="10" t="s">
        <v>133</v>
      </c>
      <c r="D51" s="10" t="s">
        <v>803</v>
      </c>
      <c r="E51" s="420" t="s">
        <v>809</v>
      </c>
      <c r="F51" s="10" t="s">
        <v>805</v>
      </c>
      <c r="G51" s="10">
        <v>413111</v>
      </c>
      <c r="H51" s="10" t="s">
        <v>810</v>
      </c>
      <c r="I51" s="27">
        <v>45474</v>
      </c>
      <c r="J51" s="27">
        <v>45838</v>
      </c>
      <c r="K51" s="424" t="s">
        <v>811</v>
      </c>
      <c r="L51" s="11"/>
      <c r="M51" s="33">
        <v>16931818</v>
      </c>
      <c r="N51" s="429"/>
      <c r="O51" s="1051"/>
      <c r="P51" s="427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</row>
    <row r="52" spans="1:31" ht="16.5" customHeight="1">
      <c r="A52" s="17"/>
      <c r="B52" s="10" t="s">
        <v>802</v>
      </c>
      <c r="C52" s="10" t="s">
        <v>133</v>
      </c>
      <c r="D52" s="10" t="s">
        <v>803</v>
      </c>
      <c r="E52" s="420" t="s">
        <v>812</v>
      </c>
      <c r="F52" s="10" t="s">
        <v>805</v>
      </c>
      <c r="G52" s="10">
        <v>413111</v>
      </c>
      <c r="H52" s="10" t="s">
        <v>813</v>
      </c>
      <c r="I52" s="27">
        <v>45474</v>
      </c>
      <c r="J52" s="27">
        <v>45838</v>
      </c>
      <c r="K52" s="424" t="s">
        <v>814</v>
      </c>
      <c r="L52" s="11"/>
      <c r="M52" s="33">
        <v>4954545</v>
      </c>
      <c r="N52" s="429"/>
      <c r="O52" s="1052"/>
      <c r="P52" s="427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</row>
    <row r="53" spans="1:31" ht="14">
      <c r="A53" s="430"/>
      <c r="B53" s="36" t="s">
        <v>815</v>
      </c>
      <c r="C53" s="10" t="s">
        <v>133</v>
      </c>
      <c r="D53" s="10" t="s">
        <v>803</v>
      </c>
      <c r="E53" s="420" t="s">
        <v>816</v>
      </c>
      <c r="F53" s="10" t="s">
        <v>805</v>
      </c>
      <c r="G53" s="10">
        <v>413111</v>
      </c>
      <c r="H53" s="10" t="s">
        <v>817</v>
      </c>
      <c r="I53" s="27">
        <f>VLOOKUP(H53,'(참고)PJT목록'!A:D,4,0)</f>
        <v>44197</v>
      </c>
      <c r="J53" s="27">
        <f>VLOOKUP(H53,'(참고)PJT목록'!A:E,5,0)</f>
        <v>46387</v>
      </c>
      <c r="K53" s="424" t="s">
        <v>818</v>
      </c>
      <c r="L53" s="10"/>
      <c r="M53" s="33">
        <v>1751591</v>
      </c>
      <c r="N53" s="1059"/>
      <c r="O53" s="1059" t="s">
        <v>819</v>
      </c>
      <c r="P53" s="427"/>
      <c r="Q53" s="417"/>
      <c r="R53" s="417"/>
      <c r="S53" s="417"/>
      <c r="T53" s="417"/>
      <c r="U53" s="417"/>
      <c r="V53" s="417"/>
      <c r="W53" s="417"/>
      <c r="X53" s="417"/>
      <c r="Y53" s="417"/>
      <c r="Z53" s="417"/>
      <c r="AA53" s="417"/>
      <c r="AB53" s="417"/>
      <c r="AC53" s="417"/>
      <c r="AD53" s="417"/>
      <c r="AE53" s="417"/>
    </row>
    <row r="54" spans="1:31" ht="14">
      <c r="A54" s="11"/>
      <c r="B54" s="36" t="s">
        <v>820</v>
      </c>
      <c r="C54" s="10" t="s">
        <v>133</v>
      </c>
      <c r="D54" s="10" t="s">
        <v>803</v>
      </c>
      <c r="E54" s="420" t="s">
        <v>821</v>
      </c>
      <c r="F54" s="10" t="s">
        <v>805</v>
      </c>
      <c r="G54" s="10">
        <v>413111</v>
      </c>
      <c r="H54" s="10" t="s">
        <v>817</v>
      </c>
      <c r="I54" s="27">
        <f>VLOOKUP(H54,'(참고)PJT목록'!A:D,4,0)</f>
        <v>44197</v>
      </c>
      <c r="J54" s="27">
        <f>VLOOKUP(H54,'(참고)PJT목록'!A:E,5,0)</f>
        <v>46387</v>
      </c>
      <c r="K54" s="424" t="s">
        <v>822</v>
      </c>
      <c r="L54" s="10"/>
      <c r="M54" s="33">
        <v>399000</v>
      </c>
      <c r="N54" s="1052"/>
      <c r="O54" s="1052"/>
      <c r="P54" s="427"/>
      <c r="Q54" s="417"/>
      <c r="R54" s="417"/>
      <c r="S54" s="417"/>
      <c r="T54" s="417"/>
      <c r="U54" s="417"/>
      <c r="V54" s="417"/>
      <c r="W54" s="417"/>
      <c r="X54" s="417"/>
      <c r="Y54" s="417"/>
      <c r="Z54" s="417"/>
      <c r="AA54" s="417"/>
      <c r="AB54" s="417"/>
      <c r="AC54" s="417"/>
      <c r="AD54" s="417"/>
      <c r="AE54" s="417"/>
    </row>
    <row r="55" spans="1:31" ht="16.5" customHeight="1">
      <c r="A55" s="1059"/>
      <c r="B55" s="1128" t="s">
        <v>107</v>
      </c>
      <c r="C55" s="1126" t="s">
        <v>142</v>
      </c>
      <c r="D55" s="1126" t="s">
        <v>674</v>
      </c>
      <c r="E55" s="1129" t="s">
        <v>823</v>
      </c>
      <c r="F55" s="68" t="s">
        <v>72</v>
      </c>
      <c r="G55" s="68">
        <v>413111</v>
      </c>
      <c r="H55" s="68" t="s">
        <v>824</v>
      </c>
      <c r="I55" s="1068">
        <f>VLOOKUP(H55,'(참고)PJT목록'!A:D,4,0)</f>
        <v>45505</v>
      </c>
      <c r="J55" s="1068">
        <f>VLOOKUP(H55,'(참고)PJT목록'!A:E,5,0)</f>
        <v>45869</v>
      </c>
      <c r="K55" s="1125" t="s">
        <v>825</v>
      </c>
      <c r="L55" s="1126"/>
      <c r="M55" s="416">
        <v>23033407</v>
      </c>
      <c r="N55" s="1127" t="s">
        <v>826</v>
      </c>
      <c r="O55" s="11" t="s">
        <v>827</v>
      </c>
      <c r="P55" s="427" t="s">
        <v>418</v>
      </c>
      <c r="Q55" s="417"/>
      <c r="R55" s="417"/>
      <c r="S55" s="417"/>
      <c r="T55" s="417"/>
      <c r="U55" s="417"/>
      <c r="V55" s="417"/>
      <c r="W55" s="417"/>
      <c r="X55" s="417"/>
      <c r="Y55" s="417"/>
      <c r="Z55" s="417"/>
      <c r="AA55" s="417"/>
      <c r="AB55" s="417"/>
      <c r="AC55" s="417"/>
      <c r="AD55" s="417"/>
      <c r="AE55" s="417"/>
    </row>
    <row r="56" spans="1:31" ht="16.5" customHeight="1">
      <c r="A56" s="1051"/>
      <c r="B56" s="1051"/>
      <c r="C56" s="1051"/>
      <c r="D56" s="1051"/>
      <c r="E56" s="1051"/>
      <c r="F56" s="68" t="s">
        <v>253</v>
      </c>
      <c r="G56" s="68">
        <v>413111</v>
      </c>
      <c r="H56" s="68" t="s">
        <v>828</v>
      </c>
      <c r="I56" s="1051"/>
      <c r="J56" s="1051"/>
      <c r="K56" s="1051"/>
      <c r="L56" s="1051"/>
      <c r="M56" s="416">
        <v>10052247</v>
      </c>
      <c r="N56" s="1051"/>
      <c r="O56" s="11" t="s">
        <v>829</v>
      </c>
      <c r="P56" s="427" t="s">
        <v>830</v>
      </c>
      <c r="Q56" s="417"/>
      <c r="R56" s="417"/>
      <c r="S56" s="417"/>
      <c r="T56" s="417"/>
      <c r="U56" s="417"/>
      <c r="V56" s="417"/>
      <c r="W56" s="417"/>
      <c r="X56" s="417"/>
      <c r="Y56" s="417"/>
      <c r="Z56" s="417"/>
      <c r="AA56" s="417"/>
      <c r="AB56" s="417"/>
      <c r="AC56" s="417"/>
      <c r="AD56" s="417"/>
      <c r="AE56" s="417"/>
    </row>
    <row r="57" spans="1:31" ht="16.5" customHeight="1">
      <c r="A57" s="1052"/>
      <c r="B57" s="1052"/>
      <c r="C57" s="1052"/>
      <c r="D57" s="1052"/>
      <c r="E57" s="1052"/>
      <c r="F57" s="68" t="s">
        <v>79</v>
      </c>
      <c r="G57" s="68">
        <v>413111</v>
      </c>
      <c r="H57" s="68" t="s">
        <v>831</v>
      </c>
      <c r="I57" s="1052"/>
      <c r="J57" s="1052"/>
      <c r="K57" s="1052"/>
      <c r="L57" s="1052"/>
      <c r="M57" s="416">
        <v>8181013</v>
      </c>
      <c r="N57" s="1052"/>
      <c r="O57" s="11"/>
      <c r="P57" s="427" t="s">
        <v>832</v>
      </c>
      <c r="Q57" s="417"/>
      <c r="R57" s="417"/>
      <c r="S57" s="417"/>
      <c r="T57" s="417"/>
      <c r="U57" s="417"/>
      <c r="V57" s="417"/>
      <c r="W57" s="417"/>
      <c r="X57" s="417"/>
      <c r="Y57" s="417"/>
      <c r="Z57" s="417"/>
      <c r="AA57" s="417"/>
      <c r="AB57" s="417"/>
      <c r="AC57" s="417"/>
      <c r="AD57" s="417"/>
      <c r="AE57" s="417"/>
    </row>
    <row r="58" spans="1:31" ht="16.5" customHeight="1">
      <c r="A58" s="1059"/>
      <c r="B58" s="1116" t="s">
        <v>125</v>
      </c>
      <c r="C58" s="1117" t="s">
        <v>142</v>
      </c>
      <c r="D58" s="1117" t="s">
        <v>674</v>
      </c>
      <c r="E58" s="1118" t="s">
        <v>833</v>
      </c>
      <c r="F58" s="431" t="s">
        <v>86</v>
      </c>
      <c r="G58" s="431">
        <v>411111</v>
      </c>
      <c r="H58" s="431" t="s">
        <v>834</v>
      </c>
      <c r="I58" s="1119">
        <f>VLOOKUP(H58,'(참고)PJT목록'!A:D,4,0)</f>
        <v>45474</v>
      </c>
      <c r="J58" s="1119">
        <f>VLOOKUP(H58,'(참고)PJT목록'!A:E,5,0)</f>
        <v>45657</v>
      </c>
      <c r="K58" s="1122" t="s">
        <v>835</v>
      </c>
      <c r="L58" s="1117"/>
      <c r="M58" s="432">
        <v>21000000</v>
      </c>
      <c r="N58" s="1123" t="s">
        <v>836</v>
      </c>
      <c r="O58" s="1059" t="s">
        <v>837</v>
      </c>
      <c r="P58" s="427" t="s">
        <v>418</v>
      </c>
      <c r="Q58" s="417"/>
      <c r="R58" s="417"/>
      <c r="S58" s="417"/>
      <c r="T58" s="417"/>
      <c r="U58" s="417"/>
      <c r="V58" s="417"/>
      <c r="W58" s="417"/>
      <c r="X58" s="417"/>
      <c r="Y58" s="417"/>
      <c r="Z58" s="417"/>
      <c r="AA58" s="417"/>
      <c r="AB58" s="417"/>
      <c r="AC58" s="417"/>
      <c r="AD58" s="417"/>
      <c r="AE58" s="417"/>
    </row>
    <row r="59" spans="1:31" ht="16.5" customHeight="1">
      <c r="A59" s="1052"/>
      <c r="B59" s="1052"/>
      <c r="C59" s="1052"/>
      <c r="D59" s="1052"/>
      <c r="E59" s="1052"/>
      <c r="F59" s="431" t="s">
        <v>248</v>
      </c>
      <c r="G59" s="431">
        <v>411111</v>
      </c>
      <c r="H59" s="431" t="s">
        <v>838</v>
      </c>
      <c r="I59" s="1052"/>
      <c r="J59" s="1052"/>
      <c r="K59" s="1052"/>
      <c r="L59" s="1052"/>
      <c r="M59" s="432">
        <v>21000000</v>
      </c>
      <c r="N59" s="1052"/>
      <c r="O59" s="1052"/>
      <c r="P59" s="427" t="s">
        <v>830</v>
      </c>
      <c r="Q59" s="417"/>
      <c r="R59" s="417"/>
      <c r="S59" s="417"/>
      <c r="T59" s="417"/>
      <c r="U59" s="417"/>
      <c r="V59" s="417"/>
      <c r="W59" s="417"/>
      <c r="X59" s="417"/>
      <c r="Y59" s="417"/>
      <c r="Z59" s="417"/>
      <c r="AA59" s="417"/>
      <c r="AB59" s="417"/>
      <c r="AC59" s="417"/>
      <c r="AD59" s="417"/>
      <c r="AE59" s="417"/>
    </row>
    <row r="60" spans="1:31" ht="14">
      <c r="A60" s="11"/>
      <c r="B60" s="61" t="s">
        <v>70</v>
      </c>
      <c r="C60" s="68"/>
      <c r="D60" s="68" t="s">
        <v>674</v>
      </c>
      <c r="E60" s="433" t="s">
        <v>839</v>
      </c>
      <c r="F60" s="68" t="s">
        <v>840</v>
      </c>
      <c r="G60" s="68"/>
      <c r="H60" s="68" t="s">
        <v>841</v>
      </c>
      <c r="I60" s="56">
        <v>45609</v>
      </c>
      <c r="J60" s="56">
        <v>44754</v>
      </c>
      <c r="K60" s="424" t="s">
        <v>842</v>
      </c>
      <c r="L60" s="68"/>
      <c r="M60" s="416">
        <v>282200000</v>
      </c>
      <c r="N60" s="58" t="s">
        <v>843</v>
      </c>
      <c r="O60" s="11" t="s">
        <v>844</v>
      </c>
      <c r="P60" s="427"/>
      <c r="Q60" s="417"/>
      <c r="R60" s="417"/>
      <c r="S60" s="417"/>
      <c r="T60" s="417"/>
      <c r="U60" s="417"/>
      <c r="V60" s="417"/>
      <c r="W60" s="417"/>
      <c r="X60" s="417"/>
      <c r="Y60" s="417"/>
      <c r="Z60" s="417"/>
      <c r="AA60" s="417"/>
      <c r="AB60" s="417"/>
      <c r="AC60" s="417"/>
      <c r="AD60" s="417"/>
      <c r="AE60" s="417"/>
    </row>
    <row r="61" spans="1:31" ht="14">
      <c r="A61" s="11"/>
      <c r="B61" s="61" t="s">
        <v>70</v>
      </c>
      <c r="C61" s="68"/>
      <c r="D61" s="68" t="s">
        <v>674</v>
      </c>
      <c r="E61" s="433" t="s">
        <v>845</v>
      </c>
      <c r="F61" s="68" t="s">
        <v>840</v>
      </c>
      <c r="G61" s="68"/>
      <c r="H61" s="68" t="s">
        <v>846</v>
      </c>
      <c r="I61" s="56">
        <v>45600</v>
      </c>
      <c r="J61" s="56">
        <v>45750</v>
      </c>
      <c r="K61" s="424" t="s">
        <v>847</v>
      </c>
      <c r="L61" s="68"/>
      <c r="M61" s="416">
        <v>160000000</v>
      </c>
      <c r="N61" s="58" t="s">
        <v>848</v>
      </c>
      <c r="O61" s="434" t="s">
        <v>849</v>
      </c>
      <c r="P61" s="427"/>
      <c r="Q61" s="417"/>
      <c r="R61" s="417"/>
      <c r="S61" s="417"/>
      <c r="T61" s="417"/>
      <c r="U61" s="417"/>
      <c r="V61" s="417"/>
      <c r="W61" s="417"/>
      <c r="X61" s="417"/>
      <c r="Y61" s="417"/>
      <c r="Z61" s="417"/>
      <c r="AA61" s="417"/>
      <c r="AB61" s="417"/>
      <c r="AC61" s="417"/>
      <c r="AD61" s="417"/>
      <c r="AE61" s="417"/>
    </row>
    <row r="62" spans="1:31" ht="14">
      <c r="A62" s="11"/>
      <c r="B62" s="61" t="s">
        <v>850</v>
      </c>
      <c r="C62" s="435" t="s">
        <v>851</v>
      </c>
      <c r="D62" s="68" t="s">
        <v>674</v>
      </c>
      <c r="E62" s="433" t="s">
        <v>852</v>
      </c>
      <c r="F62" s="68" t="s">
        <v>79</v>
      </c>
      <c r="G62" s="68">
        <v>411111</v>
      </c>
      <c r="H62" s="68" t="s">
        <v>853</v>
      </c>
      <c r="I62" s="56">
        <v>45622</v>
      </c>
      <c r="J62" s="56">
        <v>46387</v>
      </c>
      <c r="K62" s="424" t="s">
        <v>854</v>
      </c>
      <c r="L62" s="68"/>
      <c r="M62" s="436">
        <v>745016700</v>
      </c>
      <c r="N62" s="58" t="s">
        <v>855</v>
      </c>
      <c r="O62" s="434" t="s">
        <v>856</v>
      </c>
      <c r="P62" s="427"/>
      <c r="Q62" s="417"/>
      <c r="R62" s="417"/>
      <c r="S62" s="417"/>
      <c r="T62" s="417"/>
      <c r="U62" s="417"/>
      <c r="V62" s="417"/>
      <c r="W62" s="417"/>
      <c r="X62" s="417"/>
      <c r="Y62" s="417"/>
      <c r="Z62" s="417"/>
      <c r="AA62" s="417"/>
      <c r="AB62" s="417"/>
      <c r="AC62" s="417"/>
      <c r="AD62" s="417"/>
      <c r="AE62" s="417"/>
    </row>
    <row r="63" spans="1:31" ht="13">
      <c r="A63" s="23"/>
      <c r="B63" s="401"/>
      <c r="C63" s="23"/>
      <c r="D63" s="401"/>
      <c r="E63" s="23"/>
      <c r="F63" s="23"/>
      <c r="G63" s="23"/>
      <c r="H63" s="401"/>
      <c r="I63" s="23"/>
      <c r="J63" s="23"/>
      <c r="K63" s="402"/>
      <c r="L63" s="23"/>
      <c r="M63" s="40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</row>
    <row r="64" spans="1:31" ht="13">
      <c r="A64" s="23"/>
      <c r="B64" s="401"/>
      <c r="C64" s="23"/>
      <c r="D64" s="401"/>
      <c r="E64" s="23"/>
      <c r="F64" s="23"/>
      <c r="G64" s="23"/>
      <c r="H64" s="401"/>
      <c r="I64" s="23"/>
      <c r="J64" s="23"/>
      <c r="K64" s="402"/>
      <c r="L64" s="23"/>
      <c r="M64" s="40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</row>
    <row r="65" spans="1:31" ht="13">
      <c r="A65" s="23"/>
      <c r="B65" s="401"/>
      <c r="C65" s="23"/>
      <c r="D65" s="401"/>
      <c r="E65" s="23"/>
      <c r="F65" s="23"/>
      <c r="G65" s="23"/>
      <c r="H65" s="401"/>
      <c r="I65" s="23"/>
      <c r="J65" s="23"/>
      <c r="K65" s="402"/>
      <c r="L65" s="23"/>
      <c r="M65" s="40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</row>
    <row r="66" spans="1:31" ht="13">
      <c r="A66" s="23"/>
      <c r="B66" s="401"/>
      <c r="C66" s="23"/>
      <c r="D66" s="401"/>
      <c r="E66" s="23"/>
      <c r="F66" s="23"/>
      <c r="G66" s="23"/>
      <c r="H66" s="401"/>
      <c r="I66" s="23"/>
      <c r="J66" s="23"/>
      <c r="K66" s="402"/>
      <c r="L66" s="23"/>
      <c r="M66" s="40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ht="13">
      <c r="A67" s="23"/>
      <c r="B67" s="401"/>
      <c r="C67" s="23"/>
      <c r="D67" s="401"/>
      <c r="E67" s="23"/>
      <c r="F67" s="23"/>
      <c r="G67" s="23"/>
      <c r="H67" s="401"/>
      <c r="I67" s="23"/>
      <c r="J67" s="23"/>
      <c r="K67" s="402"/>
      <c r="L67" s="23"/>
      <c r="M67" s="40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</row>
    <row r="68" spans="1:31" ht="13">
      <c r="A68" s="23"/>
      <c r="B68" s="401"/>
      <c r="C68" s="23"/>
      <c r="D68" s="401"/>
      <c r="E68" s="23"/>
      <c r="F68" s="23"/>
      <c r="G68" s="23"/>
      <c r="H68" s="401"/>
      <c r="I68" s="23"/>
      <c r="J68" s="23"/>
      <c r="K68" s="402"/>
      <c r="L68" s="23"/>
      <c r="M68" s="40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</row>
    <row r="69" spans="1:31" ht="13">
      <c r="A69" s="23"/>
      <c r="B69" s="401"/>
      <c r="C69" s="23"/>
      <c r="D69" s="401"/>
      <c r="E69" s="23"/>
      <c r="F69" s="23"/>
      <c r="G69" s="23"/>
      <c r="H69" s="401"/>
      <c r="I69" s="23"/>
      <c r="J69" s="23"/>
      <c r="K69" s="402"/>
      <c r="L69" s="23"/>
      <c r="M69" s="40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</row>
    <row r="70" spans="1:31" ht="13">
      <c r="A70" s="23"/>
      <c r="B70" s="401"/>
      <c r="C70" s="23"/>
      <c r="D70" s="401"/>
      <c r="E70" s="23"/>
      <c r="F70" s="23"/>
      <c r="G70" s="23"/>
      <c r="H70" s="401"/>
      <c r="I70" s="23"/>
      <c r="J70" s="23"/>
      <c r="K70" s="402"/>
      <c r="L70" s="23"/>
      <c r="M70" s="40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</row>
    <row r="71" spans="1:31" ht="13">
      <c r="A71" s="23"/>
      <c r="B71" s="401"/>
      <c r="C71" s="23"/>
      <c r="D71" s="401"/>
      <c r="E71" s="23"/>
      <c r="F71" s="23"/>
      <c r="G71" s="23"/>
      <c r="H71" s="401"/>
      <c r="I71" s="23"/>
      <c r="J71" s="23"/>
      <c r="K71" s="402"/>
      <c r="L71" s="23"/>
      <c r="M71" s="40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</row>
    <row r="72" spans="1:31" ht="13">
      <c r="A72" s="23"/>
      <c r="B72" s="401"/>
      <c r="C72" s="23"/>
      <c r="D72" s="401"/>
      <c r="E72" s="23"/>
      <c r="F72" s="23"/>
      <c r="G72" s="23"/>
      <c r="H72" s="401"/>
      <c r="I72" s="23"/>
      <c r="J72" s="23"/>
      <c r="K72" s="402"/>
      <c r="L72" s="23"/>
      <c r="M72" s="40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</row>
    <row r="73" spans="1:31" ht="13">
      <c r="A73" s="23"/>
      <c r="B73" s="401"/>
      <c r="C73" s="23"/>
      <c r="D73" s="401"/>
      <c r="E73" s="23"/>
      <c r="F73" s="23"/>
      <c r="G73" s="23"/>
      <c r="H73" s="401"/>
      <c r="I73" s="23"/>
      <c r="J73" s="23"/>
      <c r="K73" s="402"/>
      <c r="L73" s="23"/>
      <c r="M73" s="40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</row>
    <row r="74" spans="1:31" ht="13">
      <c r="A74" s="23"/>
      <c r="B74" s="401"/>
      <c r="C74" s="23"/>
      <c r="D74" s="401"/>
      <c r="E74" s="23"/>
      <c r="F74" s="23"/>
      <c r="G74" s="23"/>
      <c r="H74" s="401"/>
      <c r="I74" s="23"/>
      <c r="J74" s="23"/>
      <c r="K74" s="402"/>
      <c r="L74" s="23"/>
      <c r="M74" s="40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</row>
    <row r="75" spans="1:31" ht="13">
      <c r="A75" s="23"/>
      <c r="B75" s="401"/>
      <c r="C75" s="23"/>
      <c r="D75" s="401"/>
      <c r="E75" s="23"/>
      <c r="F75" s="23"/>
      <c r="G75" s="23"/>
      <c r="H75" s="401"/>
      <c r="I75" s="23"/>
      <c r="J75" s="23"/>
      <c r="K75" s="402"/>
      <c r="L75" s="23"/>
      <c r="M75" s="40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</row>
    <row r="76" spans="1:31" ht="13">
      <c r="A76" s="23"/>
      <c r="B76" s="401"/>
      <c r="C76" s="23"/>
      <c r="D76" s="401"/>
      <c r="E76" s="23"/>
      <c r="F76" s="23"/>
      <c r="G76" s="23"/>
      <c r="H76" s="401"/>
      <c r="I76" s="23"/>
      <c r="J76" s="23"/>
      <c r="K76" s="402"/>
      <c r="L76" s="23"/>
      <c r="M76" s="40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</row>
    <row r="77" spans="1:31" ht="13">
      <c r="A77" s="23"/>
      <c r="B77" s="401"/>
      <c r="C77" s="23"/>
      <c r="D77" s="401"/>
      <c r="E77" s="23"/>
      <c r="F77" s="23"/>
      <c r="G77" s="23"/>
      <c r="H77" s="401"/>
      <c r="I77" s="23"/>
      <c r="J77" s="23"/>
      <c r="K77" s="402"/>
      <c r="L77" s="23"/>
      <c r="M77" s="40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</row>
    <row r="78" spans="1:31" ht="13">
      <c r="A78" s="23"/>
      <c r="B78" s="401"/>
      <c r="C78" s="23"/>
      <c r="D78" s="401"/>
      <c r="E78" s="23"/>
      <c r="F78" s="23"/>
      <c r="G78" s="23"/>
      <c r="H78" s="401"/>
      <c r="I78" s="23"/>
      <c r="J78" s="23"/>
      <c r="K78" s="402"/>
      <c r="L78" s="23"/>
      <c r="M78" s="40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</row>
    <row r="79" spans="1:31" ht="13">
      <c r="A79" s="23"/>
      <c r="B79" s="401"/>
      <c r="C79" s="23"/>
      <c r="D79" s="401"/>
      <c r="E79" s="23"/>
      <c r="F79" s="23"/>
      <c r="G79" s="23"/>
      <c r="H79" s="401"/>
      <c r="I79" s="23"/>
      <c r="J79" s="23"/>
      <c r="K79" s="402"/>
      <c r="L79" s="23"/>
      <c r="M79" s="40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</row>
    <row r="80" spans="1:31" ht="13">
      <c r="A80" s="23"/>
      <c r="B80" s="401"/>
      <c r="C80" s="23"/>
      <c r="D80" s="401"/>
      <c r="E80" s="23"/>
      <c r="F80" s="23"/>
      <c r="G80" s="23"/>
      <c r="H80" s="401"/>
      <c r="I80" s="23"/>
      <c r="J80" s="23"/>
      <c r="K80" s="402"/>
      <c r="L80" s="23"/>
      <c r="M80" s="40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</row>
    <row r="81" spans="1:31" ht="13">
      <c r="A81" s="23"/>
      <c r="B81" s="401"/>
      <c r="C81" s="23"/>
      <c r="D81" s="401"/>
      <c r="E81" s="23"/>
      <c r="F81" s="23"/>
      <c r="G81" s="23"/>
      <c r="H81" s="401"/>
      <c r="I81" s="23"/>
      <c r="J81" s="23"/>
      <c r="K81" s="402"/>
      <c r="L81" s="23"/>
      <c r="M81" s="40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</row>
    <row r="82" spans="1:31" ht="13">
      <c r="A82" s="23"/>
      <c r="B82" s="401"/>
      <c r="C82" s="23"/>
      <c r="D82" s="401"/>
      <c r="E82" s="23"/>
      <c r="F82" s="23"/>
      <c r="G82" s="23"/>
      <c r="H82" s="401"/>
      <c r="I82" s="23"/>
      <c r="J82" s="23"/>
      <c r="K82" s="402"/>
      <c r="L82" s="23"/>
      <c r="M82" s="40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</row>
    <row r="83" spans="1:31" ht="13">
      <c r="A83" s="23"/>
      <c r="B83" s="401"/>
      <c r="C83" s="23"/>
      <c r="D83" s="401"/>
      <c r="E83" s="23"/>
      <c r="F83" s="23"/>
      <c r="G83" s="23"/>
      <c r="H83" s="401"/>
      <c r="I83" s="23"/>
      <c r="J83" s="23"/>
      <c r="K83" s="402"/>
      <c r="L83" s="23"/>
      <c r="M83" s="40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</row>
    <row r="84" spans="1:31" ht="13">
      <c r="A84" s="23"/>
      <c r="B84" s="401"/>
      <c r="C84" s="23"/>
      <c r="D84" s="401"/>
      <c r="E84" s="23"/>
      <c r="F84" s="23"/>
      <c r="G84" s="23"/>
      <c r="H84" s="401"/>
      <c r="I84" s="23"/>
      <c r="J84" s="23"/>
      <c r="K84" s="402"/>
      <c r="L84" s="23"/>
      <c r="M84" s="40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</row>
    <row r="85" spans="1:31" ht="13">
      <c r="A85" s="23"/>
      <c r="B85" s="401"/>
      <c r="C85" s="23"/>
      <c r="D85" s="401"/>
      <c r="E85" s="23"/>
      <c r="F85" s="23"/>
      <c r="G85" s="23"/>
      <c r="H85" s="401"/>
      <c r="I85" s="23"/>
      <c r="J85" s="23"/>
      <c r="K85" s="402"/>
      <c r="L85" s="23"/>
      <c r="M85" s="40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</row>
    <row r="86" spans="1:31" ht="13">
      <c r="A86" s="23"/>
      <c r="B86" s="401"/>
      <c r="C86" s="23"/>
      <c r="D86" s="401"/>
      <c r="E86" s="23"/>
      <c r="F86" s="23"/>
      <c r="G86" s="23"/>
      <c r="H86" s="401"/>
      <c r="I86" s="23"/>
      <c r="J86" s="23"/>
      <c r="K86" s="402"/>
      <c r="L86" s="23"/>
      <c r="M86" s="40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</row>
    <row r="87" spans="1:31" ht="13">
      <c r="A87" s="23"/>
      <c r="B87" s="401"/>
      <c r="C87" s="23"/>
      <c r="D87" s="401"/>
      <c r="E87" s="23"/>
      <c r="F87" s="23"/>
      <c r="G87" s="23"/>
      <c r="H87" s="401"/>
      <c r="I87" s="23"/>
      <c r="J87" s="23"/>
      <c r="K87" s="402"/>
      <c r="L87" s="23"/>
      <c r="M87" s="40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</row>
    <row r="88" spans="1:31" ht="13">
      <c r="A88" s="23"/>
      <c r="B88" s="401"/>
      <c r="C88" s="23"/>
      <c r="D88" s="401"/>
      <c r="E88" s="23"/>
      <c r="F88" s="23"/>
      <c r="G88" s="23"/>
      <c r="H88" s="401"/>
      <c r="I88" s="23"/>
      <c r="J88" s="23"/>
      <c r="K88" s="402"/>
      <c r="L88" s="23"/>
      <c r="M88" s="40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</row>
    <row r="89" spans="1:31" ht="13">
      <c r="A89" s="23"/>
      <c r="B89" s="401"/>
      <c r="C89" s="23"/>
      <c r="D89" s="401"/>
      <c r="E89" s="23"/>
      <c r="F89" s="23"/>
      <c r="G89" s="23"/>
      <c r="H89" s="401"/>
      <c r="I89" s="23"/>
      <c r="J89" s="23"/>
      <c r="K89" s="402"/>
      <c r="L89" s="23"/>
      <c r="M89" s="40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</row>
    <row r="90" spans="1:31" ht="13">
      <c r="A90" s="23"/>
      <c r="B90" s="401"/>
      <c r="C90" s="23"/>
      <c r="D90" s="401"/>
      <c r="E90" s="23"/>
      <c r="F90" s="23"/>
      <c r="G90" s="23"/>
      <c r="H90" s="401"/>
      <c r="I90" s="23"/>
      <c r="J90" s="23"/>
      <c r="K90" s="402"/>
      <c r="L90" s="23"/>
      <c r="M90" s="40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</row>
    <row r="91" spans="1:31" ht="13">
      <c r="A91" s="23"/>
      <c r="B91" s="401"/>
      <c r="C91" s="23"/>
      <c r="D91" s="401"/>
      <c r="E91" s="23"/>
      <c r="F91" s="23"/>
      <c r="G91" s="23"/>
      <c r="H91" s="401"/>
      <c r="I91" s="23"/>
      <c r="J91" s="23"/>
      <c r="K91" s="402"/>
      <c r="L91" s="23"/>
      <c r="M91" s="40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</row>
    <row r="92" spans="1:31" ht="13">
      <c r="A92" s="23"/>
      <c r="B92" s="401"/>
      <c r="C92" s="23"/>
      <c r="D92" s="401"/>
      <c r="E92" s="23"/>
      <c r="F92" s="23"/>
      <c r="G92" s="23"/>
      <c r="H92" s="401"/>
      <c r="I92" s="23"/>
      <c r="J92" s="23"/>
      <c r="K92" s="402"/>
      <c r="L92" s="23"/>
      <c r="M92" s="40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</row>
    <row r="93" spans="1:31" ht="13">
      <c r="A93" s="23"/>
      <c r="B93" s="401"/>
      <c r="C93" s="23"/>
      <c r="D93" s="401"/>
      <c r="E93" s="23"/>
      <c r="F93" s="23"/>
      <c r="G93" s="23"/>
      <c r="H93" s="401"/>
      <c r="I93" s="23"/>
      <c r="J93" s="23"/>
      <c r="K93" s="402"/>
      <c r="L93" s="23"/>
      <c r="M93" s="40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</row>
    <row r="94" spans="1:31" ht="13">
      <c r="A94" s="23"/>
      <c r="B94" s="401"/>
      <c r="C94" s="23"/>
      <c r="D94" s="401"/>
      <c r="E94" s="23"/>
      <c r="F94" s="23"/>
      <c r="G94" s="23"/>
      <c r="H94" s="401"/>
      <c r="I94" s="23"/>
      <c r="J94" s="23"/>
      <c r="K94" s="402"/>
      <c r="L94" s="23"/>
      <c r="M94" s="40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</row>
    <row r="95" spans="1:31" ht="13">
      <c r="A95" s="23"/>
      <c r="B95" s="401"/>
      <c r="C95" s="23"/>
      <c r="D95" s="401"/>
      <c r="E95" s="23"/>
      <c r="F95" s="23"/>
      <c r="G95" s="23"/>
      <c r="H95" s="401"/>
      <c r="I95" s="23"/>
      <c r="J95" s="23"/>
      <c r="K95" s="402"/>
      <c r="L95" s="23"/>
      <c r="M95" s="40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</row>
    <row r="96" spans="1:31" ht="13">
      <c r="A96" s="23"/>
      <c r="B96" s="401"/>
      <c r="C96" s="23"/>
      <c r="D96" s="401"/>
      <c r="E96" s="23"/>
      <c r="F96" s="23"/>
      <c r="G96" s="23"/>
      <c r="H96" s="401"/>
      <c r="I96" s="23"/>
      <c r="J96" s="23"/>
      <c r="K96" s="402"/>
      <c r="L96" s="23"/>
      <c r="M96" s="40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</row>
    <row r="97" spans="1:31" ht="13">
      <c r="A97" s="23"/>
      <c r="B97" s="401"/>
      <c r="C97" s="23"/>
      <c r="D97" s="401"/>
      <c r="E97" s="23"/>
      <c r="F97" s="23"/>
      <c r="G97" s="23"/>
      <c r="H97" s="401"/>
      <c r="I97" s="23"/>
      <c r="J97" s="23"/>
      <c r="K97" s="402"/>
      <c r="L97" s="23"/>
      <c r="M97" s="40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</row>
    <row r="98" spans="1:31" ht="13">
      <c r="A98" s="23"/>
      <c r="B98" s="401"/>
      <c r="C98" s="23"/>
      <c r="D98" s="401"/>
      <c r="E98" s="23"/>
      <c r="F98" s="23"/>
      <c r="G98" s="23"/>
      <c r="H98" s="401"/>
      <c r="I98" s="23"/>
      <c r="J98" s="23"/>
      <c r="K98" s="402"/>
      <c r="L98" s="23"/>
      <c r="M98" s="40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</row>
    <row r="99" spans="1:31" ht="13">
      <c r="A99" s="23"/>
      <c r="B99" s="401"/>
      <c r="C99" s="23"/>
      <c r="D99" s="401"/>
      <c r="E99" s="23"/>
      <c r="F99" s="23"/>
      <c r="G99" s="23"/>
      <c r="H99" s="401"/>
      <c r="I99" s="23"/>
      <c r="J99" s="23"/>
      <c r="K99" s="402"/>
      <c r="L99" s="23"/>
      <c r="M99" s="40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</row>
    <row r="100" spans="1:31" ht="13">
      <c r="A100" s="23"/>
      <c r="B100" s="401"/>
      <c r="C100" s="23"/>
      <c r="D100" s="401"/>
      <c r="E100" s="23"/>
      <c r="F100" s="23"/>
      <c r="G100" s="23"/>
      <c r="H100" s="401"/>
      <c r="I100" s="23"/>
      <c r="J100" s="23"/>
      <c r="K100" s="402"/>
      <c r="L100" s="23"/>
      <c r="M100" s="40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</row>
    <row r="101" spans="1:31" ht="13">
      <c r="A101" s="23"/>
      <c r="B101" s="401"/>
      <c r="C101" s="23"/>
      <c r="D101" s="401"/>
      <c r="E101" s="23"/>
      <c r="F101" s="23"/>
      <c r="G101" s="23"/>
      <c r="H101" s="401"/>
      <c r="I101" s="23"/>
      <c r="J101" s="23"/>
      <c r="K101" s="402"/>
      <c r="L101" s="23"/>
      <c r="M101" s="40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</row>
    <row r="102" spans="1:31" ht="13">
      <c r="A102" s="23"/>
      <c r="B102" s="401"/>
      <c r="C102" s="23"/>
      <c r="D102" s="401"/>
      <c r="E102" s="23"/>
      <c r="F102" s="23"/>
      <c r="G102" s="23"/>
      <c r="H102" s="401"/>
      <c r="I102" s="23"/>
      <c r="J102" s="23"/>
      <c r="K102" s="402"/>
      <c r="L102" s="23"/>
      <c r="M102" s="40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</row>
    <row r="103" spans="1:31" ht="13">
      <c r="A103" s="23"/>
      <c r="B103" s="401"/>
      <c r="C103" s="23"/>
      <c r="D103" s="401"/>
      <c r="E103" s="23"/>
      <c r="F103" s="23"/>
      <c r="G103" s="23"/>
      <c r="H103" s="401"/>
      <c r="I103" s="23"/>
      <c r="J103" s="23"/>
      <c r="K103" s="402"/>
      <c r="L103" s="23"/>
      <c r="M103" s="40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</row>
    <row r="104" spans="1:31" ht="13">
      <c r="A104" s="23"/>
      <c r="B104" s="401"/>
      <c r="C104" s="23"/>
      <c r="D104" s="401"/>
      <c r="E104" s="23"/>
      <c r="F104" s="23"/>
      <c r="G104" s="23"/>
      <c r="H104" s="401"/>
      <c r="I104" s="23"/>
      <c r="J104" s="23"/>
      <c r="K104" s="402"/>
      <c r="L104" s="23"/>
      <c r="M104" s="40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</row>
    <row r="105" spans="1:31" ht="13">
      <c r="A105" s="23"/>
      <c r="B105" s="401"/>
      <c r="C105" s="23"/>
      <c r="D105" s="401"/>
      <c r="E105" s="23"/>
      <c r="F105" s="23"/>
      <c r="G105" s="23"/>
      <c r="H105" s="401"/>
      <c r="I105" s="23"/>
      <c r="J105" s="23"/>
      <c r="K105" s="402"/>
      <c r="L105" s="23"/>
      <c r="M105" s="40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</row>
    <row r="106" spans="1:31" ht="13">
      <c r="A106" s="23"/>
      <c r="B106" s="401"/>
      <c r="C106" s="23"/>
      <c r="D106" s="401"/>
      <c r="E106" s="23"/>
      <c r="F106" s="23"/>
      <c r="G106" s="23"/>
      <c r="H106" s="401"/>
      <c r="I106" s="23"/>
      <c r="J106" s="23"/>
      <c r="K106" s="402"/>
      <c r="L106" s="23"/>
      <c r="M106" s="40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</row>
    <row r="107" spans="1:31" ht="13">
      <c r="A107" s="23"/>
      <c r="B107" s="401"/>
      <c r="C107" s="23"/>
      <c r="D107" s="401"/>
      <c r="E107" s="23"/>
      <c r="F107" s="23"/>
      <c r="G107" s="23"/>
      <c r="H107" s="401"/>
      <c r="I107" s="23"/>
      <c r="J107" s="23"/>
      <c r="K107" s="402"/>
      <c r="L107" s="23"/>
      <c r="M107" s="40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</row>
    <row r="108" spans="1:31" ht="13">
      <c r="A108" s="23"/>
      <c r="B108" s="401"/>
      <c r="C108" s="23"/>
      <c r="D108" s="401"/>
      <c r="E108" s="23"/>
      <c r="F108" s="23"/>
      <c r="G108" s="23"/>
      <c r="H108" s="401"/>
      <c r="I108" s="23"/>
      <c r="J108" s="23"/>
      <c r="K108" s="402"/>
      <c r="L108" s="23"/>
      <c r="M108" s="40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</row>
    <row r="109" spans="1:31" ht="13">
      <c r="A109" s="23"/>
      <c r="B109" s="401"/>
      <c r="C109" s="23"/>
      <c r="D109" s="401"/>
      <c r="E109" s="23"/>
      <c r="F109" s="23"/>
      <c r="G109" s="23"/>
      <c r="H109" s="401"/>
      <c r="I109" s="23"/>
      <c r="J109" s="23"/>
      <c r="K109" s="402"/>
      <c r="L109" s="23"/>
      <c r="M109" s="40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</row>
    <row r="110" spans="1:31" ht="13">
      <c r="A110" s="23"/>
      <c r="B110" s="401"/>
      <c r="C110" s="23"/>
      <c r="D110" s="401"/>
      <c r="E110" s="23"/>
      <c r="F110" s="23"/>
      <c r="G110" s="23"/>
      <c r="H110" s="401"/>
      <c r="I110" s="23"/>
      <c r="J110" s="23"/>
      <c r="K110" s="402"/>
      <c r="L110" s="23"/>
      <c r="M110" s="40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</row>
    <row r="111" spans="1:31" ht="13">
      <c r="A111" s="23"/>
      <c r="B111" s="401"/>
      <c r="C111" s="23"/>
      <c r="D111" s="401"/>
      <c r="E111" s="23"/>
      <c r="F111" s="23"/>
      <c r="G111" s="23"/>
      <c r="H111" s="401"/>
      <c r="I111" s="23"/>
      <c r="J111" s="23"/>
      <c r="K111" s="402"/>
      <c r="L111" s="23"/>
      <c r="M111" s="40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</row>
    <row r="112" spans="1:31" ht="13">
      <c r="A112" s="23"/>
      <c r="B112" s="401"/>
      <c r="C112" s="23"/>
      <c r="D112" s="401"/>
      <c r="E112" s="23"/>
      <c r="F112" s="23"/>
      <c r="G112" s="23"/>
      <c r="H112" s="401"/>
      <c r="I112" s="23"/>
      <c r="J112" s="23"/>
      <c r="K112" s="402"/>
      <c r="L112" s="23"/>
      <c r="M112" s="40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</row>
    <row r="113" spans="1:31" ht="13">
      <c r="A113" s="23"/>
      <c r="B113" s="401"/>
      <c r="C113" s="23"/>
      <c r="D113" s="401"/>
      <c r="E113" s="23"/>
      <c r="F113" s="23"/>
      <c r="G113" s="23"/>
      <c r="H113" s="401"/>
      <c r="I113" s="23"/>
      <c r="J113" s="23"/>
      <c r="K113" s="402"/>
      <c r="L113" s="23"/>
      <c r="M113" s="40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</row>
    <row r="114" spans="1:31" ht="13">
      <c r="A114" s="23"/>
      <c r="B114" s="401"/>
      <c r="C114" s="23"/>
      <c r="D114" s="401"/>
      <c r="E114" s="23"/>
      <c r="F114" s="23"/>
      <c r="G114" s="23"/>
      <c r="H114" s="401"/>
      <c r="I114" s="23"/>
      <c r="J114" s="23"/>
      <c r="K114" s="402"/>
      <c r="L114" s="23"/>
      <c r="M114" s="40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</row>
    <row r="115" spans="1:31" ht="13">
      <c r="A115" s="23"/>
      <c r="B115" s="401"/>
      <c r="C115" s="23"/>
      <c r="D115" s="401"/>
      <c r="E115" s="23"/>
      <c r="F115" s="23"/>
      <c r="G115" s="23"/>
      <c r="H115" s="401"/>
      <c r="I115" s="23"/>
      <c r="J115" s="23"/>
      <c r="K115" s="402"/>
      <c r="L115" s="23"/>
      <c r="M115" s="40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</row>
    <row r="116" spans="1:31" ht="13">
      <c r="A116" s="23"/>
      <c r="B116" s="401"/>
      <c r="C116" s="23"/>
      <c r="D116" s="401"/>
      <c r="E116" s="23"/>
      <c r="F116" s="23"/>
      <c r="G116" s="23"/>
      <c r="H116" s="401"/>
      <c r="I116" s="23"/>
      <c r="J116" s="23"/>
      <c r="K116" s="402"/>
      <c r="L116" s="23"/>
      <c r="M116" s="40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</row>
    <row r="117" spans="1:31" ht="13">
      <c r="A117" s="23"/>
      <c r="B117" s="401"/>
      <c r="C117" s="23"/>
      <c r="D117" s="401"/>
      <c r="E117" s="23"/>
      <c r="F117" s="23"/>
      <c r="G117" s="23"/>
      <c r="H117" s="401"/>
      <c r="I117" s="23"/>
      <c r="J117" s="23"/>
      <c r="K117" s="402"/>
      <c r="L117" s="23"/>
      <c r="M117" s="40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</row>
    <row r="118" spans="1:31" ht="13">
      <c r="A118" s="23"/>
      <c r="B118" s="401"/>
      <c r="C118" s="23"/>
      <c r="D118" s="401"/>
      <c r="E118" s="23"/>
      <c r="F118" s="23"/>
      <c r="G118" s="23"/>
      <c r="H118" s="401"/>
      <c r="I118" s="23"/>
      <c r="J118" s="23"/>
      <c r="K118" s="402"/>
      <c r="L118" s="23"/>
      <c r="M118" s="40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</row>
    <row r="119" spans="1:31" ht="13">
      <c r="A119" s="23"/>
      <c r="B119" s="401"/>
      <c r="C119" s="23"/>
      <c r="D119" s="401"/>
      <c r="E119" s="23"/>
      <c r="F119" s="23"/>
      <c r="G119" s="23"/>
      <c r="H119" s="401"/>
      <c r="I119" s="23"/>
      <c r="J119" s="23"/>
      <c r="K119" s="402"/>
      <c r="L119" s="23"/>
      <c r="M119" s="40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</row>
    <row r="120" spans="1:31" ht="13">
      <c r="A120" s="23"/>
      <c r="B120" s="401"/>
      <c r="C120" s="23"/>
      <c r="D120" s="401"/>
      <c r="E120" s="23"/>
      <c r="F120" s="23"/>
      <c r="G120" s="23"/>
      <c r="H120" s="401"/>
      <c r="I120" s="23"/>
      <c r="J120" s="23"/>
      <c r="K120" s="402"/>
      <c r="L120" s="23"/>
      <c r="M120" s="40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</row>
    <row r="121" spans="1:31" ht="13">
      <c r="A121" s="23"/>
      <c r="B121" s="401"/>
      <c r="C121" s="23"/>
      <c r="D121" s="401"/>
      <c r="E121" s="23"/>
      <c r="F121" s="23"/>
      <c r="G121" s="23"/>
      <c r="H121" s="401"/>
      <c r="I121" s="23"/>
      <c r="J121" s="23"/>
      <c r="K121" s="402"/>
      <c r="L121" s="23"/>
      <c r="M121" s="40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</row>
    <row r="122" spans="1:31" ht="13">
      <c r="A122" s="23"/>
      <c r="B122" s="401"/>
      <c r="C122" s="23"/>
      <c r="D122" s="401"/>
      <c r="E122" s="23"/>
      <c r="F122" s="23"/>
      <c r="G122" s="23"/>
      <c r="H122" s="401"/>
      <c r="I122" s="23"/>
      <c r="J122" s="23"/>
      <c r="K122" s="402"/>
      <c r="L122" s="23"/>
      <c r="M122" s="40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</row>
    <row r="123" spans="1:31" ht="13">
      <c r="A123" s="23"/>
      <c r="B123" s="401"/>
      <c r="C123" s="23"/>
      <c r="D123" s="401"/>
      <c r="E123" s="23"/>
      <c r="F123" s="23"/>
      <c r="G123" s="23"/>
      <c r="H123" s="401"/>
      <c r="I123" s="23"/>
      <c r="J123" s="23"/>
      <c r="K123" s="402"/>
      <c r="L123" s="23"/>
      <c r="M123" s="40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</row>
    <row r="124" spans="1:31" ht="13">
      <c r="A124" s="23"/>
      <c r="B124" s="401"/>
      <c r="C124" s="23"/>
      <c r="D124" s="401"/>
      <c r="E124" s="23"/>
      <c r="F124" s="23"/>
      <c r="G124" s="23"/>
      <c r="H124" s="401"/>
      <c r="I124" s="23"/>
      <c r="J124" s="23"/>
      <c r="K124" s="402"/>
      <c r="L124" s="23"/>
      <c r="M124" s="40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</row>
    <row r="125" spans="1:31" ht="13">
      <c r="A125" s="23"/>
      <c r="B125" s="401"/>
      <c r="C125" s="23"/>
      <c r="D125" s="401"/>
      <c r="E125" s="23"/>
      <c r="F125" s="23"/>
      <c r="G125" s="23"/>
      <c r="H125" s="401"/>
      <c r="I125" s="23"/>
      <c r="J125" s="23"/>
      <c r="K125" s="402"/>
      <c r="L125" s="23"/>
      <c r="M125" s="40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</row>
    <row r="126" spans="1:31" ht="13">
      <c r="A126" s="23"/>
      <c r="B126" s="401"/>
      <c r="C126" s="23"/>
      <c r="D126" s="401"/>
      <c r="E126" s="23"/>
      <c r="F126" s="23"/>
      <c r="G126" s="23"/>
      <c r="H126" s="401"/>
      <c r="I126" s="23"/>
      <c r="J126" s="23"/>
      <c r="K126" s="402"/>
      <c r="L126" s="23"/>
      <c r="M126" s="40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</row>
    <row r="127" spans="1:31" ht="13">
      <c r="A127" s="23"/>
      <c r="B127" s="401"/>
      <c r="C127" s="23"/>
      <c r="D127" s="401"/>
      <c r="E127" s="23"/>
      <c r="F127" s="23"/>
      <c r="G127" s="23"/>
      <c r="H127" s="401"/>
      <c r="I127" s="23"/>
      <c r="J127" s="23"/>
      <c r="K127" s="402"/>
      <c r="L127" s="23"/>
      <c r="M127" s="40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</row>
    <row r="128" spans="1:31" ht="13">
      <c r="A128" s="23"/>
      <c r="B128" s="401"/>
      <c r="C128" s="23"/>
      <c r="D128" s="401"/>
      <c r="E128" s="23"/>
      <c r="F128" s="23"/>
      <c r="G128" s="23"/>
      <c r="H128" s="401"/>
      <c r="I128" s="23"/>
      <c r="J128" s="23"/>
      <c r="K128" s="402"/>
      <c r="L128" s="23"/>
      <c r="M128" s="40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</row>
    <row r="129" spans="1:31" ht="13">
      <c r="A129" s="23"/>
      <c r="B129" s="401"/>
      <c r="C129" s="23"/>
      <c r="D129" s="401"/>
      <c r="E129" s="23"/>
      <c r="F129" s="23"/>
      <c r="G129" s="23"/>
      <c r="H129" s="401"/>
      <c r="I129" s="23"/>
      <c r="J129" s="23"/>
      <c r="K129" s="402"/>
      <c r="L129" s="23"/>
      <c r="M129" s="40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</row>
    <row r="130" spans="1:31" ht="13">
      <c r="A130" s="23"/>
      <c r="B130" s="401"/>
      <c r="C130" s="23"/>
      <c r="D130" s="401"/>
      <c r="E130" s="23"/>
      <c r="F130" s="23"/>
      <c r="G130" s="23"/>
      <c r="H130" s="401"/>
      <c r="I130" s="23"/>
      <c r="J130" s="23"/>
      <c r="K130" s="402"/>
      <c r="L130" s="23"/>
      <c r="M130" s="40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</row>
    <row r="131" spans="1:31" ht="13">
      <c r="A131" s="23"/>
      <c r="B131" s="401"/>
      <c r="C131" s="23"/>
      <c r="D131" s="401"/>
      <c r="E131" s="23"/>
      <c r="F131" s="23"/>
      <c r="G131" s="23"/>
      <c r="H131" s="401"/>
      <c r="I131" s="23"/>
      <c r="J131" s="23"/>
      <c r="K131" s="402"/>
      <c r="L131" s="23"/>
      <c r="M131" s="40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</row>
    <row r="132" spans="1:31" ht="13">
      <c r="A132" s="23"/>
      <c r="B132" s="401"/>
      <c r="C132" s="23"/>
      <c r="D132" s="401"/>
      <c r="E132" s="23"/>
      <c r="F132" s="23"/>
      <c r="G132" s="23"/>
      <c r="H132" s="401"/>
      <c r="I132" s="23"/>
      <c r="J132" s="23"/>
      <c r="K132" s="402"/>
      <c r="L132" s="23"/>
      <c r="M132" s="40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</row>
    <row r="133" spans="1:31" ht="13">
      <c r="A133" s="23"/>
      <c r="B133" s="401"/>
      <c r="C133" s="23"/>
      <c r="D133" s="401"/>
      <c r="E133" s="23"/>
      <c r="F133" s="23"/>
      <c r="G133" s="23"/>
      <c r="H133" s="401"/>
      <c r="I133" s="23"/>
      <c r="J133" s="23"/>
      <c r="K133" s="402"/>
      <c r="L133" s="23"/>
      <c r="M133" s="40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</row>
    <row r="134" spans="1:31" ht="13">
      <c r="A134" s="23"/>
      <c r="B134" s="401"/>
      <c r="C134" s="23"/>
      <c r="D134" s="401"/>
      <c r="E134" s="23"/>
      <c r="F134" s="23"/>
      <c r="G134" s="23"/>
      <c r="H134" s="401"/>
      <c r="I134" s="23"/>
      <c r="J134" s="23"/>
      <c r="K134" s="402"/>
      <c r="L134" s="23"/>
      <c r="M134" s="40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</row>
    <row r="135" spans="1:31" ht="13">
      <c r="A135" s="23"/>
      <c r="B135" s="401"/>
      <c r="C135" s="23"/>
      <c r="D135" s="401"/>
      <c r="E135" s="23"/>
      <c r="F135" s="23"/>
      <c r="G135" s="23"/>
      <c r="H135" s="401"/>
      <c r="I135" s="23"/>
      <c r="J135" s="23"/>
      <c r="K135" s="402"/>
      <c r="L135" s="23"/>
      <c r="M135" s="40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</row>
    <row r="136" spans="1:31" ht="13">
      <c r="A136" s="23"/>
      <c r="B136" s="401"/>
      <c r="C136" s="23"/>
      <c r="D136" s="401"/>
      <c r="E136" s="23"/>
      <c r="F136" s="23"/>
      <c r="G136" s="23"/>
      <c r="H136" s="401"/>
      <c r="I136" s="23"/>
      <c r="J136" s="23"/>
      <c r="K136" s="402"/>
      <c r="L136" s="23"/>
      <c r="M136" s="40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</row>
    <row r="137" spans="1:31" ht="13">
      <c r="A137" s="23"/>
      <c r="B137" s="401"/>
      <c r="C137" s="23"/>
      <c r="D137" s="401"/>
      <c r="E137" s="23"/>
      <c r="F137" s="23"/>
      <c r="G137" s="23"/>
      <c r="H137" s="401"/>
      <c r="I137" s="23"/>
      <c r="J137" s="23"/>
      <c r="K137" s="402"/>
      <c r="L137" s="23"/>
      <c r="M137" s="40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</row>
    <row r="138" spans="1:31" ht="13">
      <c r="A138" s="23"/>
      <c r="B138" s="401"/>
      <c r="C138" s="23"/>
      <c r="D138" s="401"/>
      <c r="E138" s="23"/>
      <c r="F138" s="23"/>
      <c r="G138" s="23"/>
      <c r="H138" s="401"/>
      <c r="I138" s="23"/>
      <c r="J138" s="23"/>
      <c r="K138" s="402"/>
      <c r="L138" s="23"/>
      <c r="M138" s="40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</row>
    <row r="139" spans="1:31" ht="13">
      <c r="A139" s="23"/>
      <c r="B139" s="401"/>
      <c r="C139" s="23"/>
      <c r="D139" s="401"/>
      <c r="E139" s="23"/>
      <c r="F139" s="23"/>
      <c r="G139" s="23"/>
      <c r="H139" s="401"/>
      <c r="I139" s="23"/>
      <c r="J139" s="23"/>
      <c r="K139" s="402"/>
      <c r="L139" s="23"/>
      <c r="M139" s="40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</row>
    <row r="140" spans="1:31" ht="13">
      <c r="A140" s="23"/>
      <c r="B140" s="401"/>
      <c r="C140" s="23"/>
      <c r="D140" s="401"/>
      <c r="E140" s="23"/>
      <c r="F140" s="23"/>
      <c r="G140" s="23"/>
      <c r="H140" s="401"/>
      <c r="I140" s="23"/>
      <c r="J140" s="23"/>
      <c r="K140" s="402"/>
      <c r="L140" s="23"/>
      <c r="M140" s="40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</row>
    <row r="141" spans="1:31" ht="13">
      <c r="A141" s="23"/>
      <c r="B141" s="401"/>
      <c r="C141" s="23"/>
      <c r="D141" s="401"/>
      <c r="E141" s="23"/>
      <c r="F141" s="23"/>
      <c r="G141" s="23"/>
      <c r="H141" s="401"/>
      <c r="I141" s="23"/>
      <c r="J141" s="23"/>
      <c r="K141" s="402"/>
      <c r="L141" s="23"/>
      <c r="M141" s="40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</row>
    <row r="142" spans="1:31" ht="13">
      <c r="A142" s="23"/>
      <c r="B142" s="401"/>
      <c r="C142" s="23"/>
      <c r="D142" s="401"/>
      <c r="E142" s="23"/>
      <c r="F142" s="23"/>
      <c r="G142" s="23"/>
      <c r="H142" s="401"/>
      <c r="I142" s="23"/>
      <c r="J142" s="23"/>
      <c r="K142" s="402"/>
      <c r="L142" s="23"/>
      <c r="M142" s="40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</row>
    <row r="143" spans="1:31" ht="13">
      <c r="A143" s="23"/>
      <c r="B143" s="401"/>
      <c r="C143" s="23"/>
      <c r="D143" s="401"/>
      <c r="E143" s="23"/>
      <c r="F143" s="23"/>
      <c r="G143" s="23"/>
      <c r="H143" s="401"/>
      <c r="I143" s="23"/>
      <c r="J143" s="23"/>
      <c r="K143" s="402"/>
      <c r="L143" s="23"/>
      <c r="M143" s="40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</row>
    <row r="144" spans="1:31" ht="13">
      <c r="A144" s="23"/>
      <c r="B144" s="401"/>
      <c r="C144" s="23"/>
      <c r="D144" s="401"/>
      <c r="E144" s="23"/>
      <c r="F144" s="23"/>
      <c r="G144" s="23"/>
      <c r="H144" s="401"/>
      <c r="I144" s="23"/>
      <c r="J144" s="23"/>
      <c r="K144" s="402"/>
      <c r="L144" s="23"/>
      <c r="M144" s="40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</row>
    <row r="145" spans="1:31" ht="13">
      <c r="A145" s="23"/>
      <c r="B145" s="401"/>
      <c r="C145" s="23"/>
      <c r="D145" s="401"/>
      <c r="E145" s="23"/>
      <c r="F145" s="23"/>
      <c r="G145" s="23"/>
      <c r="H145" s="401"/>
      <c r="I145" s="23"/>
      <c r="J145" s="23"/>
      <c r="K145" s="402"/>
      <c r="L145" s="23"/>
      <c r="M145" s="40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</row>
    <row r="146" spans="1:31" ht="13">
      <c r="A146" s="23"/>
      <c r="B146" s="401"/>
      <c r="C146" s="23"/>
      <c r="D146" s="401"/>
      <c r="E146" s="23"/>
      <c r="F146" s="23"/>
      <c r="G146" s="23"/>
      <c r="H146" s="401"/>
      <c r="I146" s="23"/>
      <c r="J146" s="23"/>
      <c r="K146" s="402"/>
      <c r="L146" s="23"/>
      <c r="M146" s="40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</row>
    <row r="147" spans="1:31" ht="13">
      <c r="A147" s="23"/>
      <c r="B147" s="401"/>
      <c r="C147" s="23"/>
      <c r="D147" s="401"/>
      <c r="E147" s="23"/>
      <c r="F147" s="23"/>
      <c r="G147" s="23"/>
      <c r="H147" s="401"/>
      <c r="I147" s="23"/>
      <c r="J147" s="23"/>
      <c r="K147" s="402"/>
      <c r="L147" s="23"/>
      <c r="M147" s="40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</row>
    <row r="148" spans="1:31" ht="13">
      <c r="A148" s="23"/>
      <c r="B148" s="401"/>
      <c r="C148" s="23"/>
      <c r="D148" s="401"/>
      <c r="E148" s="23"/>
      <c r="F148" s="23"/>
      <c r="G148" s="23"/>
      <c r="H148" s="401"/>
      <c r="I148" s="23"/>
      <c r="J148" s="23"/>
      <c r="K148" s="402"/>
      <c r="L148" s="23"/>
      <c r="M148" s="40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</row>
    <row r="149" spans="1:31" ht="13">
      <c r="A149" s="23"/>
      <c r="B149" s="401"/>
      <c r="C149" s="23"/>
      <c r="D149" s="401"/>
      <c r="E149" s="23"/>
      <c r="F149" s="23"/>
      <c r="G149" s="23"/>
      <c r="H149" s="401"/>
      <c r="I149" s="23"/>
      <c r="J149" s="23"/>
      <c r="K149" s="402"/>
      <c r="L149" s="23"/>
      <c r="M149" s="40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</row>
    <row r="150" spans="1:31" ht="13">
      <c r="A150" s="23"/>
      <c r="B150" s="401"/>
      <c r="C150" s="23"/>
      <c r="D150" s="401"/>
      <c r="E150" s="23"/>
      <c r="F150" s="23"/>
      <c r="G150" s="23"/>
      <c r="H150" s="401"/>
      <c r="I150" s="23"/>
      <c r="J150" s="23"/>
      <c r="K150" s="402"/>
      <c r="L150" s="23"/>
      <c r="M150" s="40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</row>
    <row r="151" spans="1:31" ht="13">
      <c r="A151" s="23"/>
      <c r="B151" s="401"/>
      <c r="C151" s="23"/>
      <c r="D151" s="401"/>
      <c r="E151" s="23"/>
      <c r="F151" s="23"/>
      <c r="G151" s="23"/>
      <c r="H151" s="401"/>
      <c r="I151" s="23"/>
      <c r="J151" s="23"/>
      <c r="K151" s="402"/>
      <c r="L151" s="23"/>
      <c r="M151" s="40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</row>
    <row r="152" spans="1:31" ht="13">
      <c r="A152" s="23"/>
      <c r="B152" s="401"/>
      <c r="C152" s="23"/>
      <c r="D152" s="401"/>
      <c r="E152" s="23"/>
      <c r="F152" s="23"/>
      <c r="G152" s="23"/>
      <c r="H152" s="401"/>
      <c r="I152" s="23"/>
      <c r="J152" s="23"/>
      <c r="K152" s="402"/>
      <c r="L152" s="23"/>
      <c r="M152" s="40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</row>
    <row r="153" spans="1:31" ht="13">
      <c r="A153" s="23"/>
      <c r="B153" s="401"/>
      <c r="C153" s="23"/>
      <c r="D153" s="401"/>
      <c r="E153" s="23"/>
      <c r="F153" s="23"/>
      <c r="G153" s="23"/>
      <c r="H153" s="401"/>
      <c r="I153" s="23"/>
      <c r="J153" s="23"/>
      <c r="K153" s="402"/>
      <c r="L153" s="23"/>
      <c r="M153" s="40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</row>
    <row r="154" spans="1:31" ht="13">
      <c r="A154" s="23"/>
      <c r="B154" s="401"/>
      <c r="C154" s="23"/>
      <c r="D154" s="401"/>
      <c r="E154" s="23"/>
      <c r="F154" s="23"/>
      <c r="G154" s="23"/>
      <c r="H154" s="401"/>
      <c r="I154" s="23"/>
      <c r="J154" s="23"/>
      <c r="K154" s="402"/>
      <c r="L154" s="23"/>
      <c r="M154" s="40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</row>
    <row r="155" spans="1:31" ht="13">
      <c r="A155" s="23"/>
      <c r="B155" s="401"/>
      <c r="C155" s="23"/>
      <c r="D155" s="401"/>
      <c r="E155" s="23"/>
      <c r="F155" s="23"/>
      <c r="G155" s="23"/>
      <c r="H155" s="401"/>
      <c r="I155" s="23"/>
      <c r="J155" s="23"/>
      <c r="K155" s="402"/>
      <c r="L155" s="23"/>
      <c r="M155" s="40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</row>
    <row r="156" spans="1:31" ht="13">
      <c r="A156" s="23"/>
      <c r="B156" s="401"/>
      <c r="C156" s="23"/>
      <c r="D156" s="401"/>
      <c r="E156" s="23"/>
      <c r="F156" s="23"/>
      <c r="G156" s="23"/>
      <c r="H156" s="401"/>
      <c r="I156" s="23"/>
      <c r="J156" s="23"/>
      <c r="K156" s="402"/>
      <c r="L156" s="23"/>
      <c r="M156" s="40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</row>
    <row r="157" spans="1:31" ht="13">
      <c r="A157" s="23"/>
      <c r="B157" s="401"/>
      <c r="C157" s="23"/>
      <c r="D157" s="401"/>
      <c r="E157" s="23"/>
      <c r="F157" s="23"/>
      <c r="G157" s="23"/>
      <c r="H157" s="401"/>
      <c r="I157" s="23"/>
      <c r="J157" s="23"/>
      <c r="K157" s="402"/>
      <c r="L157" s="23"/>
      <c r="M157" s="40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</row>
    <row r="158" spans="1:31" ht="13">
      <c r="A158" s="23"/>
      <c r="B158" s="401"/>
      <c r="C158" s="23"/>
      <c r="D158" s="401"/>
      <c r="E158" s="23"/>
      <c r="F158" s="23"/>
      <c r="G158" s="23"/>
      <c r="H158" s="401"/>
      <c r="I158" s="23"/>
      <c r="J158" s="23"/>
      <c r="K158" s="402"/>
      <c r="L158" s="23"/>
      <c r="M158" s="40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</row>
    <row r="159" spans="1:31" ht="13">
      <c r="A159" s="23"/>
      <c r="B159" s="401"/>
      <c r="C159" s="23"/>
      <c r="D159" s="401"/>
      <c r="E159" s="23"/>
      <c r="F159" s="23"/>
      <c r="G159" s="23"/>
      <c r="H159" s="401"/>
      <c r="I159" s="23"/>
      <c r="J159" s="23"/>
      <c r="K159" s="402"/>
      <c r="L159" s="23"/>
      <c r="M159" s="40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</row>
    <row r="160" spans="1:31" ht="13">
      <c r="A160" s="23"/>
      <c r="B160" s="401"/>
      <c r="C160" s="23"/>
      <c r="D160" s="401"/>
      <c r="E160" s="23"/>
      <c r="F160" s="23"/>
      <c r="G160" s="23"/>
      <c r="H160" s="401"/>
      <c r="I160" s="23"/>
      <c r="J160" s="23"/>
      <c r="K160" s="402"/>
      <c r="L160" s="23"/>
      <c r="M160" s="40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</row>
    <row r="161" spans="1:31" ht="13">
      <c r="A161" s="23"/>
      <c r="B161" s="401"/>
      <c r="C161" s="23"/>
      <c r="D161" s="401"/>
      <c r="E161" s="23"/>
      <c r="F161" s="23"/>
      <c r="G161" s="23"/>
      <c r="H161" s="401"/>
      <c r="I161" s="23"/>
      <c r="J161" s="23"/>
      <c r="K161" s="402"/>
      <c r="L161" s="23"/>
      <c r="M161" s="40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</row>
    <row r="162" spans="1:31" ht="13">
      <c r="A162" s="23"/>
      <c r="B162" s="401"/>
      <c r="C162" s="23"/>
      <c r="D162" s="401"/>
      <c r="E162" s="23"/>
      <c r="F162" s="23"/>
      <c r="G162" s="23"/>
      <c r="H162" s="401"/>
      <c r="I162" s="23"/>
      <c r="J162" s="23"/>
      <c r="K162" s="402"/>
      <c r="L162" s="23"/>
      <c r="M162" s="40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</row>
    <row r="163" spans="1:31" ht="13">
      <c r="A163" s="23"/>
      <c r="B163" s="401"/>
      <c r="C163" s="23"/>
      <c r="D163" s="401"/>
      <c r="E163" s="23"/>
      <c r="F163" s="23"/>
      <c r="G163" s="23"/>
      <c r="H163" s="401"/>
      <c r="I163" s="23"/>
      <c r="J163" s="23"/>
      <c r="K163" s="402"/>
      <c r="L163" s="23"/>
      <c r="M163" s="40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</row>
    <row r="164" spans="1:31" ht="13">
      <c r="A164" s="23"/>
      <c r="B164" s="401"/>
      <c r="C164" s="23"/>
      <c r="D164" s="401"/>
      <c r="E164" s="23"/>
      <c r="F164" s="23"/>
      <c r="G164" s="23"/>
      <c r="H164" s="401"/>
      <c r="I164" s="23"/>
      <c r="J164" s="23"/>
      <c r="K164" s="402"/>
      <c r="L164" s="23"/>
      <c r="M164" s="40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</row>
    <row r="165" spans="1:31" ht="13">
      <c r="A165" s="23"/>
      <c r="B165" s="401"/>
      <c r="C165" s="23"/>
      <c r="D165" s="401"/>
      <c r="E165" s="23"/>
      <c r="F165" s="23"/>
      <c r="G165" s="23"/>
      <c r="H165" s="401"/>
      <c r="I165" s="23"/>
      <c r="J165" s="23"/>
      <c r="K165" s="402"/>
      <c r="L165" s="23"/>
      <c r="M165" s="40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</row>
    <row r="166" spans="1:31" ht="13">
      <c r="A166" s="23"/>
      <c r="B166" s="401"/>
      <c r="C166" s="23"/>
      <c r="D166" s="401"/>
      <c r="E166" s="23"/>
      <c r="F166" s="23"/>
      <c r="G166" s="23"/>
      <c r="H166" s="401"/>
      <c r="I166" s="23"/>
      <c r="J166" s="23"/>
      <c r="K166" s="402"/>
      <c r="L166" s="23"/>
      <c r="M166" s="40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</row>
    <row r="167" spans="1:31" ht="13">
      <c r="A167" s="23"/>
      <c r="B167" s="401"/>
      <c r="C167" s="23"/>
      <c r="D167" s="401"/>
      <c r="E167" s="23"/>
      <c r="F167" s="23"/>
      <c r="G167" s="23"/>
      <c r="H167" s="401"/>
      <c r="I167" s="23"/>
      <c r="J167" s="23"/>
      <c r="K167" s="402"/>
      <c r="L167" s="23"/>
      <c r="M167" s="40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</row>
    <row r="168" spans="1:31" ht="13">
      <c r="A168" s="23"/>
      <c r="B168" s="401"/>
      <c r="C168" s="23"/>
      <c r="D168" s="401"/>
      <c r="E168" s="23"/>
      <c r="F168" s="23"/>
      <c r="G168" s="23"/>
      <c r="H168" s="401"/>
      <c r="I168" s="23"/>
      <c r="J168" s="23"/>
      <c r="K168" s="402"/>
      <c r="L168" s="23"/>
      <c r="M168" s="40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</row>
    <row r="169" spans="1:31" ht="13">
      <c r="A169" s="23"/>
      <c r="B169" s="401"/>
      <c r="C169" s="23"/>
      <c r="D169" s="401"/>
      <c r="E169" s="23"/>
      <c r="F169" s="23"/>
      <c r="G169" s="23"/>
      <c r="H169" s="401"/>
      <c r="I169" s="23"/>
      <c r="J169" s="23"/>
      <c r="K169" s="402"/>
      <c r="L169" s="23"/>
      <c r="M169" s="40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</row>
    <row r="170" spans="1:31" ht="13">
      <c r="A170" s="23"/>
      <c r="B170" s="401"/>
      <c r="C170" s="23"/>
      <c r="D170" s="401"/>
      <c r="E170" s="23"/>
      <c r="F170" s="23"/>
      <c r="G170" s="23"/>
      <c r="H170" s="401"/>
      <c r="I170" s="23"/>
      <c r="J170" s="23"/>
      <c r="K170" s="402"/>
      <c r="L170" s="23"/>
      <c r="M170" s="40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</row>
    <row r="171" spans="1:31" ht="13">
      <c r="A171" s="23"/>
      <c r="B171" s="401"/>
      <c r="C171" s="23"/>
      <c r="D171" s="401"/>
      <c r="E171" s="23"/>
      <c r="F171" s="23"/>
      <c r="G171" s="23"/>
      <c r="H171" s="401"/>
      <c r="I171" s="23"/>
      <c r="J171" s="23"/>
      <c r="K171" s="402"/>
      <c r="L171" s="23"/>
      <c r="M171" s="40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</row>
    <row r="172" spans="1:31" ht="13">
      <c r="A172" s="23"/>
      <c r="B172" s="401"/>
      <c r="C172" s="23"/>
      <c r="D172" s="401"/>
      <c r="E172" s="23"/>
      <c r="F172" s="23"/>
      <c r="G172" s="23"/>
      <c r="H172" s="401"/>
      <c r="I172" s="23"/>
      <c r="J172" s="23"/>
      <c r="K172" s="402"/>
      <c r="L172" s="23"/>
      <c r="M172" s="40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</row>
    <row r="173" spans="1:31" ht="13">
      <c r="A173" s="23"/>
      <c r="B173" s="401"/>
      <c r="C173" s="23"/>
      <c r="D173" s="401"/>
      <c r="E173" s="23"/>
      <c r="F173" s="23"/>
      <c r="G173" s="23"/>
      <c r="H173" s="401"/>
      <c r="I173" s="23"/>
      <c r="J173" s="23"/>
      <c r="K173" s="402"/>
      <c r="L173" s="23"/>
      <c r="M173" s="40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</row>
    <row r="174" spans="1:31" ht="13">
      <c r="A174" s="23"/>
      <c r="B174" s="401"/>
      <c r="C174" s="23"/>
      <c r="D174" s="401"/>
      <c r="E174" s="23"/>
      <c r="F174" s="23"/>
      <c r="G174" s="23"/>
      <c r="H174" s="401"/>
      <c r="I174" s="23"/>
      <c r="J174" s="23"/>
      <c r="K174" s="402"/>
      <c r="L174" s="23"/>
      <c r="M174" s="40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</row>
    <row r="175" spans="1:31" ht="13">
      <c r="A175" s="23"/>
      <c r="B175" s="401"/>
      <c r="C175" s="23"/>
      <c r="D175" s="401"/>
      <c r="E175" s="23"/>
      <c r="F175" s="23"/>
      <c r="G175" s="23"/>
      <c r="H175" s="401"/>
      <c r="I175" s="23"/>
      <c r="J175" s="23"/>
      <c r="K175" s="402"/>
      <c r="L175" s="23"/>
      <c r="M175" s="40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</row>
    <row r="176" spans="1:31" ht="13">
      <c r="A176" s="23"/>
      <c r="B176" s="401"/>
      <c r="C176" s="23"/>
      <c r="D176" s="401"/>
      <c r="E176" s="23"/>
      <c r="F176" s="23"/>
      <c r="G176" s="23"/>
      <c r="H176" s="401"/>
      <c r="I176" s="23"/>
      <c r="J176" s="23"/>
      <c r="K176" s="402"/>
      <c r="L176" s="23"/>
      <c r="M176" s="40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</row>
    <row r="177" spans="1:31" ht="13">
      <c r="A177" s="23"/>
      <c r="B177" s="401"/>
      <c r="C177" s="23"/>
      <c r="D177" s="401"/>
      <c r="E177" s="23"/>
      <c r="F177" s="23"/>
      <c r="G177" s="23"/>
      <c r="H177" s="401"/>
      <c r="I177" s="23"/>
      <c r="J177" s="23"/>
      <c r="K177" s="402"/>
      <c r="L177" s="23"/>
      <c r="M177" s="40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</row>
    <row r="178" spans="1:31" ht="13">
      <c r="A178" s="23"/>
      <c r="B178" s="401"/>
      <c r="C178" s="23"/>
      <c r="D178" s="401"/>
      <c r="E178" s="23"/>
      <c r="F178" s="23"/>
      <c r="G178" s="23"/>
      <c r="H178" s="401"/>
      <c r="I178" s="23"/>
      <c r="J178" s="23"/>
      <c r="K178" s="402"/>
      <c r="L178" s="23"/>
      <c r="M178" s="40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</row>
    <row r="179" spans="1:31" ht="13">
      <c r="A179" s="23"/>
      <c r="B179" s="401"/>
      <c r="C179" s="23"/>
      <c r="D179" s="401"/>
      <c r="E179" s="23"/>
      <c r="F179" s="23"/>
      <c r="G179" s="23"/>
      <c r="H179" s="401"/>
      <c r="I179" s="23"/>
      <c r="J179" s="23"/>
      <c r="K179" s="402"/>
      <c r="L179" s="23"/>
      <c r="M179" s="40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</row>
    <row r="180" spans="1:31" ht="13">
      <c r="A180" s="23"/>
      <c r="B180" s="401"/>
      <c r="C180" s="23"/>
      <c r="D180" s="401"/>
      <c r="E180" s="23"/>
      <c r="F180" s="23"/>
      <c r="G180" s="23"/>
      <c r="H180" s="401"/>
      <c r="I180" s="23"/>
      <c r="J180" s="23"/>
      <c r="K180" s="402"/>
      <c r="L180" s="23"/>
      <c r="M180" s="40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</row>
    <row r="181" spans="1:31" ht="13">
      <c r="A181" s="23"/>
      <c r="B181" s="401"/>
      <c r="C181" s="23"/>
      <c r="D181" s="401"/>
      <c r="E181" s="23"/>
      <c r="F181" s="23"/>
      <c r="G181" s="23"/>
      <c r="H181" s="401"/>
      <c r="I181" s="23"/>
      <c r="J181" s="23"/>
      <c r="K181" s="402"/>
      <c r="L181" s="23"/>
      <c r="M181" s="40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</row>
    <row r="182" spans="1:31" ht="13">
      <c r="A182" s="23"/>
      <c r="B182" s="401"/>
      <c r="C182" s="23"/>
      <c r="D182" s="401"/>
      <c r="E182" s="23"/>
      <c r="F182" s="23"/>
      <c r="G182" s="23"/>
      <c r="H182" s="401"/>
      <c r="I182" s="23"/>
      <c r="J182" s="23"/>
      <c r="K182" s="402"/>
      <c r="L182" s="23"/>
      <c r="M182" s="40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</row>
    <row r="183" spans="1:31" ht="13">
      <c r="A183" s="23"/>
      <c r="B183" s="401"/>
      <c r="C183" s="23"/>
      <c r="D183" s="401"/>
      <c r="E183" s="23"/>
      <c r="F183" s="23"/>
      <c r="G183" s="23"/>
      <c r="H183" s="401"/>
      <c r="I183" s="23"/>
      <c r="J183" s="23"/>
      <c r="K183" s="402"/>
      <c r="L183" s="23"/>
      <c r="M183" s="40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</row>
    <row r="184" spans="1:31" ht="13">
      <c r="A184" s="23"/>
      <c r="B184" s="401"/>
      <c r="C184" s="23"/>
      <c r="D184" s="401"/>
      <c r="E184" s="23"/>
      <c r="F184" s="23"/>
      <c r="G184" s="23"/>
      <c r="H184" s="401"/>
      <c r="I184" s="23"/>
      <c r="J184" s="23"/>
      <c r="K184" s="402"/>
      <c r="L184" s="23"/>
      <c r="M184" s="40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</row>
    <row r="185" spans="1:31" ht="13">
      <c r="A185" s="23"/>
      <c r="B185" s="401"/>
      <c r="C185" s="23"/>
      <c r="D185" s="401"/>
      <c r="E185" s="23"/>
      <c r="F185" s="23"/>
      <c r="G185" s="23"/>
      <c r="H185" s="401"/>
      <c r="I185" s="23"/>
      <c r="J185" s="23"/>
      <c r="K185" s="402"/>
      <c r="L185" s="23"/>
      <c r="M185" s="40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</row>
    <row r="186" spans="1:31" ht="13">
      <c r="A186" s="23"/>
      <c r="B186" s="401"/>
      <c r="C186" s="23"/>
      <c r="D186" s="401"/>
      <c r="E186" s="23"/>
      <c r="F186" s="23"/>
      <c r="G186" s="23"/>
      <c r="H186" s="401"/>
      <c r="I186" s="23"/>
      <c r="J186" s="23"/>
      <c r="K186" s="402"/>
      <c r="L186" s="23"/>
      <c r="M186" s="40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</row>
    <row r="187" spans="1:31" ht="13">
      <c r="A187" s="23"/>
      <c r="B187" s="401"/>
      <c r="C187" s="23"/>
      <c r="D187" s="401"/>
      <c r="E187" s="23"/>
      <c r="F187" s="23"/>
      <c r="G187" s="23"/>
      <c r="H187" s="401"/>
      <c r="I187" s="23"/>
      <c r="J187" s="23"/>
      <c r="K187" s="402"/>
      <c r="L187" s="23"/>
      <c r="M187" s="40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</row>
    <row r="188" spans="1:31" ht="13">
      <c r="A188" s="23"/>
      <c r="B188" s="401"/>
      <c r="C188" s="23"/>
      <c r="D188" s="401"/>
      <c r="E188" s="23"/>
      <c r="F188" s="23"/>
      <c r="G188" s="23"/>
      <c r="H188" s="401"/>
      <c r="I188" s="23"/>
      <c r="J188" s="23"/>
      <c r="K188" s="402"/>
      <c r="L188" s="23"/>
      <c r="M188" s="40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</row>
    <row r="189" spans="1:31" ht="13">
      <c r="A189" s="23"/>
      <c r="B189" s="401"/>
      <c r="C189" s="23"/>
      <c r="D189" s="401"/>
      <c r="E189" s="23"/>
      <c r="F189" s="23"/>
      <c r="G189" s="23"/>
      <c r="H189" s="401"/>
      <c r="I189" s="23"/>
      <c r="J189" s="23"/>
      <c r="K189" s="402"/>
      <c r="L189" s="23"/>
      <c r="M189" s="40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</row>
    <row r="190" spans="1:31" ht="13">
      <c r="A190" s="23"/>
      <c r="B190" s="401"/>
      <c r="C190" s="23"/>
      <c r="D190" s="401"/>
      <c r="E190" s="23"/>
      <c r="F190" s="23"/>
      <c r="G190" s="23"/>
      <c r="H190" s="401"/>
      <c r="I190" s="23"/>
      <c r="J190" s="23"/>
      <c r="K190" s="402"/>
      <c r="L190" s="23"/>
      <c r="M190" s="40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</row>
    <row r="191" spans="1:31" ht="13">
      <c r="A191" s="23"/>
      <c r="B191" s="401"/>
      <c r="C191" s="23"/>
      <c r="D191" s="401"/>
      <c r="E191" s="23"/>
      <c r="F191" s="23"/>
      <c r="G191" s="23"/>
      <c r="H191" s="401"/>
      <c r="I191" s="23"/>
      <c r="J191" s="23"/>
      <c r="K191" s="402"/>
      <c r="L191" s="23"/>
      <c r="M191" s="40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</row>
    <row r="192" spans="1:31" ht="13">
      <c r="A192" s="23"/>
      <c r="B192" s="401"/>
      <c r="C192" s="23"/>
      <c r="D192" s="401"/>
      <c r="E192" s="23"/>
      <c r="F192" s="23"/>
      <c r="G192" s="23"/>
      <c r="H192" s="401"/>
      <c r="I192" s="23"/>
      <c r="J192" s="23"/>
      <c r="K192" s="402"/>
      <c r="L192" s="23"/>
      <c r="M192" s="40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</row>
    <row r="193" spans="1:31" ht="13">
      <c r="A193" s="23"/>
      <c r="B193" s="401"/>
      <c r="C193" s="23"/>
      <c r="D193" s="401"/>
      <c r="E193" s="23"/>
      <c r="F193" s="23"/>
      <c r="G193" s="23"/>
      <c r="H193" s="401"/>
      <c r="I193" s="23"/>
      <c r="J193" s="23"/>
      <c r="K193" s="402"/>
      <c r="L193" s="23"/>
      <c r="M193" s="40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</row>
    <row r="194" spans="1:31" ht="13">
      <c r="A194" s="23"/>
      <c r="B194" s="401"/>
      <c r="C194" s="23"/>
      <c r="D194" s="401"/>
      <c r="E194" s="23"/>
      <c r="F194" s="23"/>
      <c r="G194" s="23"/>
      <c r="H194" s="401"/>
      <c r="I194" s="23"/>
      <c r="J194" s="23"/>
      <c r="K194" s="402"/>
      <c r="L194" s="23"/>
      <c r="M194" s="40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</row>
    <row r="195" spans="1:31" ht="13">
      <c r="A195" s="23"/>
      <c r="B195" s="401"/>
      <c r="C195" s="23"/>
      <c r="D195" s="401"/>
      <c r="E195" s="23"/>
      <c r="F195" s="23"/>
      <c r="G195" s="23"/>
      <c r="H195" s="401"/>
      <c r="I195" s="23"/>
      <c r="J195" s="23"/>
      <c r="K195" s="402"/>
      <c r="L195" s="23"/>
      <c r="M195" s="40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</row>
    <row r="196" spans="1:31" ht="13">
      <c r="A196" s="23"/>
      <c r="B196" s="401"/>
      <c r="C196" s="23"/>
      <c r="D196" s="401"/>
      <c r="E196" s="23"/>
      <c r="F196" s="23"/>
      <c r="G196" s="23"/>
      <c r="H196" s="401"/>
      <c r="I196" s="23"/>
      <c r="J196" s="23"/>
      <c r="K196" s="402"/>
      <c r="L196" s="23"/>
      <c r="M196" s="40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</row>
    <row r="197" spans="1:31" ht="13">
      <c r="A197" s="23"/>
      <c r="B197" s="401"/>
      <c r="C197" s="23"/>
      <c r="D197" s="401"/>
      <c r="E197" s="23"/>
      <c r="F197" s="23"/>
      <c r="G197" s="23"/>
      <c r="H197" s="401"/>
      <c r="I197" s="23"/>
      <c r="J197" s="23"/>
      <c r="K197" s="402"/>
      <c r="L197" s="23"/>
      <c r="M197" s="40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</row>
    <row r="198" spans="1:31" ht="13">
      <c r="A198" s="23"/>
      <c r="B198" s="401"/>
      <c r="C198" s="23"/>
      <c r="D198" s="401"/>
      <c r="E198" s="23"/>
      <c r="F198" s="23"/>
      <c r="G198" s="23"/>
      <c r="H198" s="401"/>
      <c r="I198" s="23"/>
      <c r="J198" s="23"/>
      <c r="K198" s="402"/>
      <c r="L198" s="23"/>
      <c r="M198" s="40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</row>
    <row r="199" spans="1:31" ht="13">
      <c r="A199" s="23"/>
      <c r="B199" s="401"/>
      <c r="C199" s="23"/>
      <c r="D199" s="401"/>
      <c r="E199" s="23"/>
      <c r="F199" s="23"/>
      <c r="G199" s="23"/>
      <c r="H199" s="401"/>
      <c r="I199" s="23"/>
      <c r="J199" s="23"/>
      <c r="K199" s="402"/>
      <c r="L199" s="23"/>
      <c r="M199" s="40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</row>
    <row r="200" spans="1:31" ht="13">
      <c r="A200" s="23"/>
      <c r="B200" s="401"/>
      <c r="C200" s="23"/>
      <c r="D200" s="401"/>
      <c r="E200" s="23"/>
      <c r="F200" s="23"/>
      <c r="G200" s="23"/>
      <c r="H200" s="401"/>
      <c r="I200" s="23"/>
      <c r="J200" s="23"/>
      <c r="K200" s="402"/>
      <c r="L200" s="23"/>
      <c r="M200" s="40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</row>
    <row r="201" spans="1:31" ht="13">
      <c r="A201" s="23"/>
      <c r="B201" s="401"/>
      <c r="C201" s="23"/>
      <c r="D201" s="401"/>
      <c r="E201" s="23"/>
      <c r="F201" s="23"/>
      <c r="G201" s="23"/>
      <c r="H201" s="401"/>
      <c r="I201" s="23"/>
      <c r="J201" s="23"/>
      <c r="K201" s="402"/>
      <c r="L201" s="23"/>
      <c r="M201" s="40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</row>
    <row r="202" spans="1:31" ht="13">
      <c r="A202" s="23"/>
      <c r="B202" s="401"/>
      <c r="C202" s="23"/>
      <c r="D202" s="401"/>
      <c r="E202" s="23"/>
      <c r="F202" s="23"/>
      <c r="G202" s="23"/>
      <c r="H202" s="401"/>
      <c r="I202" s="23"/>
      <c r="J202" s="23"/>
      <c r="K202" s="402"/>
      <c r="L202" s="23"/>
      <c r="M202" s="40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</row>
    <row r="203" spans="1:31" ht="13">
      <c r="A203" s="23"/>
      <c r="B203" s="401"/>
      <c r="C203" s="23"/>
      <c r="D203" s="401"/>
      <c r="E203" s="23"/>
      <c r="F203" s="23"/>
      <c r="G203" s="23"/>
      <c r="H203" s="401"/>
      <c r="I203" s="23"/>
      <c r="J203" s="23"/>
      <c r="K203" s="402"/>
      <c r="L203" s="23"/>
      <c r="M203" s="40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</row>
    <row r="204" spans="1:31" ht="13">
      <c r="A204" s="23"/>
      <c r="B204" s="401"/>
      <c r="C204" s="23"/>
      <c r="D204" s="401"/>
      <c r="E204" s="23"/>
      <c r="F204" s="23"/>
      <c r="G204" s="23"/>
      <c r="H204" s="401"/>
      <c r="I204" s="23"/>
      <c r="J204" s="23"/>
      <c r="K204" s="402"/>
      <c r="L204" s="23"/>
      <c r="M204" s="40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</row>
    <row r="205" spans="1:31" ht="13">
      <c r="A205" s="23"/>
      <c r="B205" s="401"/>
      <c r="C205" s="23"/>
      <c r="D205" s="401"/>
      <c r="E205" s="23"/>
      <c r="F205" s="23"/>
      <c r="G205" s="23"/>
      <c r="H205" s="401"/>
      <c r="I205" s="23"/>
      <c r="J205" s="23"/>
      <c r="K205" s="402"/>
      <c r="L205" s="23"/>
      <c r="M205" s="40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</row>
    <row r="206" spans="1:31" ht="13">
      <c r="A206" s="23"/>
      <c r="B206" s="401"/>
      <c r="C206" s="23"/>
      <c r="D206" s="401"/>
      <c r="E206" s="23"/>
      <c r="F206" s="23"/>
      <c r="G206" s="23"/>
      <c r="H206" s="401"/>
      <c r="I206" s="23"/>
      <c r="J206" s="23"/>
      <c r="K206" s="402"/>
      <c r="L206" s="23"/>
      <c r="M206" s="40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</row>
    <row r="207" spans="1:31" ht="13">
      <c r="A207" s="23"/>
      <c r="B207" s="401"/>
      <c r="C207" s="23"/>
      <c r="D207" s="401"/>
      <c r="E207" s="23"/>
      <c r="F207" s="23"/>
      <c r="G207" s="23"/>
      <c r="H207" s="401"/>
      <c r="I207" s="23"/>
      <c r="J207" s="23"/>
      <c r="K207" s="402"/>
      <c r="L207" s="23"/>
      <c r="M207" s="40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</row>
    <row r="208" spans="1:31" ht="13">
      <c r="A208" s="23"/>
      <c r="B208" s="401"/>
      <c r="C208" s="23"/>
      <c r="D208" s="401"/>
      <c r="E208" s="23"/>
      <c r="F208" s="23"/>
      <c r="G208" s="23"/>
      <c r="H208" s="401"/>
      <c r="I208" s="23"/>
      <c r="J208" s="23"/>
      <c r="K208" s="402"/>
      <c r="L208" s="23"/>
      <c r="M208" s="40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</row>
    <row r="209" spans="1:31" ht="13">
      <c r="A209" s="23"/>
      <c r="B209" s="401"/>
      <c r="C209" s="23"/>
      <c r="D209" s="401"/>
      <c r="E209" s="23"/>
      <c r="F209" s="23"/>
      <c r="G209" s="23"/>
      <c r="H209" s="401"/>
      <c r="I209" s="23"/>
      <c r="J209" s="23"/>
      <c r="K209" s="402"/>
      <c r="L209" s="23"/>
      <c r="M209" s="40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</row>
    <row r="210" spans="1:31" ht="13">
      <c r="A210" s="23"/>
      <c r="B210" s="401"/>
      <c r="C210" s="23"/>
      <c r="D210" s="401"/>
      <c r="E210" s="23"/>
      <c r="F210" s="23"/>
      <c r="G210" s="23"/>
      <c r="H210" s="401"/>
      <c r="I210" s="23"/>
      <c r="J210" s="23"/>
      <c r="K210" s="402"/>
      <c r="L210" s="23"/>
      <c r="M210" s="40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</row>
    <row r="211" spans="1:31" ht="13">
      <c r="A211" s="23"/>
      <c r="B211" s="401"/>
      <c r="C211" s="23"/>
      <c r="D211" s="401"/>
      <c r="E211" s="23"/>
      <c r="F211" s="23"/>
      <c r="G211" s="23"/>
      <c r="H211" s="401"/>
      <c r="I211" s="23"/>
      <c r="J211" s="23"/>
      <c r="K211" s="402"/>
      <c r="L211" s="23"/>
      <c r="M211" s="40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</row>
    <row r="212" spans="1:31" ht="13">
      <c r="A212" s="23"/>
      <c r="B212" s="401"/>
      <c r="C212" s="23"/>
      <c r="D212" s="401"/>
      <c r="E212" s="23"/>
      <c r="F212" s="23"/>
      <c r="G212" s="23"/>
      <c r="H212" s="401"/>
      <c r="I212" s="23"/>
      <c r="J212" s="23"/>
      <c r="K212" s="402"/>
      <c r="L212" s="23"/>
      <c r="M212" s="40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</row>
    <row r="213" spans="1:31" ht="13">
      <c r="A213" s="23"/>
      <c r="B213" s="401"/>
      <c r="C213" s="23"/>
      <c r="D213" s="401"/>
      <c r="E213" s="23"/>
      <c r="F213" s="23"/>
      <c r="G213" s="23"/>
      <c r="H213" s="401"/>
      <c r="I213" s="23"/>
      <c r="J213" s="23"/>
      <c r="K213" s="402"/>
      <c r="L213" s="23"/>
      <c r="M213" s="40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</row>
    <row r="214" spans="1:31" ht="13">
      <c r="A214" s="23"/>
      <c r="B214" s="401"/>
      <c r="C214" s="23"/>
      <c r="D214" s="401"/>
      <c r="E214" s="23"/>
      <c r="F214" s="23"/>
      <c r="G214" s="23"/>
      <c r="H214" s="401"/>
      <c r="I214" s="23"/>
      <c r="J214" s="23"/>
      <c r="K214" s="402"/>
      <c r="L214" s="23"/>
      <c r="M214" s="40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</row>
    <row r="215" spans="1:31" ht="13">
      <c r="A215" s="23"/>
      <c r="B215" s="401"/>
      <c r="C215" s="23"/>
      <c r="D215" s="401"/>
      <c r="E215" s="23"/>
      <c r="F215" s="23"/>
      <c r="G215" s="23"/>
      <c r="H215" s="401"/>
      <c r="I215" s="23"/>
      <c r="J215" s="23"/>
      <c r="K215" s="402"/>
      <c r="L215" s="23"/>
      <c r="M215" s="40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</row>
    <row r="216" spans="1:31" ht="13">
      <c r="A216" s="23"/>
      <c r="B216" s="401"/>
      <c r="C216" s="23"/>
      <c r="D216" s="401"/>
      <c r="E216" s="23"/>
      <c r="F216" s="23"/>
      <c r="G216" s="23"/>
      <c r="H216" s="401"/>
      <c r="I216" s="23"/>
      <c r="J216" s="23"/>
      <c r="K216" s="402"/>
      <c r="L216" s="23"/>
      <c r="M216" s="40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</row>
    <row r="217" spans="1:31" ht="13">
      <c r="A217" s="23"/>
      <c r="B217" s="401"/>
      <c r="C217" s="23"/>
      <c r="D217" s="401"/>
      <c r="E217" s="23"/>
      <c r="F217" s="23"/>
      <c r="G217" s="23"/>
      <c r="H217" s="401"/>
      <c r="I217" s="23"/>
      <c r="J217" s="23"/>
      <c r="K217" s="402"/>
      <c r="L217" s="23"/>
      <c r="M217" s="40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</row>
    <row r="218" spans="1:31" ht="13">
      <c r="A218" s="23"/>
      <c r="B218" s="401"/>
      <c r="C218" s="23"/>
      <c r="D218" s="401"/>
      <c r="E218" s="23"/>
      <c r="F218" s="23"/>
      <c r="G218" s="23"/>
      <c r="H218" s="401"/>
      <c r="I218" s="23"/>
      <c r="J218" s="23"/>
      <c r="K218" s="402"/>
      <c r="L218" s="23"/>
      <c r="M218" s="40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</row>
    <row r="219" spans="1:31" ht="13">
      <c r="A219" s="23"/>
      <c r="B219" s="401"/>
      <c r="C219" s="23"/>
      <c r="D219" s="401"/>
      <c r="E219" s="23"/>
      <c r="F219" s="23"/>
      <c r="G219" s="23"/>
      <c r="H219" s="401"/>
      <c r="I219" s="23"/>
      <c r="J219" s="23"/>
      <c r="K219" s="402"/>
      <c r="L219" s="23"/>
      <c r="M219" s="40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</row>
    <row r="220" spans="1:31" ht="13">
      <c r="A220" s="23"/>
      <c r="B220" s="401"/>
      <c r="C220" s="23"/>
      <c r="D220" s="401"/>
      <c r="E220" s="23"/>
      <c r="F220" s="23"/>
      <c r="G220" s="23"/>
      <c r="H220" s="401"/>
      <c r="I220" s="23"/>
      <c r="J220" s="23"/>
      <c r="K220" s="402"/>
      <c r="L220" s="23"/>
      <c r="M220" s="40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</row>
    <row r="221" spans="1:31" ht="13">
      <c r="A221" s="23"/>
      <c r="B221" s="401"/>
      <c r="C221" s="23"/>
      <c r="D221" s="401"/>
      <c r="E221" s="23"/>
      <c r="F221" s="23"/>
      <c r="G221" s="23"/>
      <c r="H221" s="401"/>
      <c r="I221" s="23"/>
      <c r="J221" s="23"/>
      <c r="K221" s="402"/>
      <c r="L221" s="23"/>
      <c r="M221" s="40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</row>
    <row r="222" spans="1:31" ht="13">
      <c r="A222" s="23"/>
      <c r="B222" s="401"/>
      <c r="C222" s="23"/>
      <c r="D222" s="401"/>
      <c r="E222" s="23"/>
      <c r="F222" s="23"/>
      <c r="G222" s="23"/>
      <c r="H222" s="401"/>
      <c r="I222" s="23"/>
      <c r="J222" s="23"/>
      <c r="K222" s="402"/>
      <c r="L222" s="23"/>
      <c r="M222" s="40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</row>
    <row r="223" spans="1:31" ht="13">
      <c r="A223" s="23"/>
      <c r="B223" s="401"/>
      <c r="C223" s="23"/>
      <c r="D223" s="401"/>
      <c r="E223" s="23"/>
      <c r="F223" s="23"/>
      <c r="G223" s="23"/>
      <c r="H223" s="401"/>
      <c r="I223" s="23"/>
      <c r="J223" s="23"/>
      <c r="K223" s="402"/>
      <c r="L223" s="23"/>
      <c r="M223" s="40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</row>
    <row r="224" spans="1:31" ht="13">
      <c r="A224" s="23"/>
      <c r="B224" s="401"/>
      <c r="C224" s="23"/>
      <c r="D224" s="401"/>
      <c r="E224" s="23"/>
      <c r="F224" s="23"/>
      <c r="G224" s="23"/>
      <c r="H224" s="401"/>
      <c r="I224" s="23"/>
      <c r="J224" s="23"/>
      <c r="K224" s="402"/>
      <c r="L224" s="23"/>
      <c r="M224" s="40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</row>
    <row r="225" spans="1:31" ht="13">
      <c r="A225" s="23"/>
      <c r="B225" s="401"/>
      <c r="C225" s="23"/>
      <c r="D225" s="401"/>
      <c r="E225" s="23"/>
      <c r="F225" s="23"/>
      <c r="G225" s="23"/>
      <c r="H225" s="401"/>
      <c r="I225" s="23"/>
      <c r="J225" s="23"/>
      <c r="K225" s="402"/>
      <c r="L225" s="23"/>
      <c r="M225" s="40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</row>
    <row r="226" spans="1:31" ht="13">
      <c r="A226" s="23"/>
      <c r="B226" s="401"/>
      <c r="C226" s="23"/>
      <c r="D226" s="401"/>
      <c r="E226" s="23"/>
      <c r="F226" s="23"/>
      <c r="G226" s="23"/>
      <c r="H226" s="401"/>
      <c r="I226" s="23"/>
      <c r="J226" s="23"/>
      <c r="K226" s="402"/>
      <c r="L226" s="23"/>
      <c r="M226" s="40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</row>
    <row r="227" spans="1:31" ht="13">
      <c r="A227" s="23"/>
      <c r="B227" s="401"/>
      <c r="C227" s="23"/>
      <c r="D227" s="401"/>
      <c r="E227" s="23"/>
      <c r="F227" s="23"/>
      <c r="G227" s="23"/>
      <c r="H227" s="401"/>
      <c r="I227" s="23"/>
      <c r="J227" s="23"/>
      <c r="K227" s="402"/>
      <c r="L227" s="23"/>
      <c r="M227" s="40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</row>
    <row r="228" spans="1:31" ht="13">
      <c r="A228" s="23"/>
      <c r="B228" s="401"/>
      <c r="C228" s="23"/>
      <c r="D228" s="401"/>
      <c r="E228" s="23"/>
      <c r="F228" s="23"/>
      <c r="G228" s="23"/>
      <c r="H228" s="401"/>
      <c r="I228" s="23"/>
      <c r="J228" s="23"/>
      <c r="K228" s="402"/>
      <c r="L228" s="23"/>
      <c r="M228" s="40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</row>
    <row r="229" spans="1:31" ht="13">
      <c r="A229" s="23"/>
      <c r="B229" s="401"/>
      <c r="C229" s="23"/>
      <c r="D229" s="401"/>
      <c r="E229" s="23"/>
      <c r="F229" s="23"/>
      <c r="G229" s="23"/>
      <c r="H229" s="401"/>
      <c r="I229" s="23"/>
      <c r="J229" s="23"/>
      <c r="K229" s="402"/>
      <c r="L229" s="23"/>
      <c r="M229" s="40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</row>
    <row r="230" spans="1:31" ht="13">
      <c r="A230" s="23"/>
      <c r="B230" s="401"/>
      <c r="C230" s="23"/>
      <c r="D230" s="401"/>
      <c r="E230" s="23"/>
      <c r="F230" s="23"/>
      <c r="G230" s="23"/>
      <c r="H230" s="401"/>
      <c r="I230" s="23"/>
      <c r="J230" s="23"/>
      <c r="K230" s="402"/>
      <c r="L230" s="23"/>
      <c r="M230" s="40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</row>
    <row r="231" spans="1:31" ht="13">
      <c r="A231" s="23"/>
      <c r="B231" s="401"/>
      <c r="C231" s="23"/>
      <c r="D231" s="401"/>
      <c r="E231" s="23"/>
      <c r="F231" s="23"/>
      <c r="G231" s="23"/>
      <c r="H231" s="401"/>
      <c r="I231" s="23"/>
      <c r="J231" s="23"/>
      <c r="K231" s="402"/>
      <c r="L231" s="23"/>
      <c r="M231" s="40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</row>
    <row r="232" spans="1:31" ht="13">
      <c r="A232" s="23"/>
      <c r="B232" s="401"/>
      <c r="C232" s="23"/>
      <c r="D232" s="401"/>
      <c r="E232" s="23"/>
      <c r="F232" s="23"/>
      <c r="G232" s="23"/>
      <c r="H232" s="401"/>
      <c r="I232" s="23"/>
      <c r="J232" s="23"/>
      <c r="K232" s="402"/>
      <c r="L232" s="23"/>
      <c r="M232" s="40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</row>
    <row r="233" spans="1:31" ht="13">
      <c r="A233" s="23"/>
      <c r="B233" s="401"/>
      <c r="C233" s="23"/>
      <c r="D233" s="401"/>
      <c r="E233" s="23"/>
      <c r="F233" s="23"/>
      <c r="G233" s="23"/>
      <c r="H233" s="401"/>
      <c r="I233" s="23"/>
      <c r="J233" s="23"/>
      <c r="K233" s="402"/>
      <c r="L233" s="23"/>
      <c r="M233" s="40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</row>
    <row r="234" spans="1:31" ht="13">
      <c r="A234" s="23"/>
      <c r="B234" s="401"/>
      <c r="C234" s="23"/>
      <c r="D234" s="401"/>
      <c r="E234" s="23"/>
      <c r="F234" s="23"/>
      <c r="G234" s="23"/>
      <c r="H234" s="401"/>
      <c r="I234" s="23"/>
      <c r="J234" s="23"/>
      <c r="K234" s="402"/>
      <c r="L234" s="23"/>
      <c r="M234" s="40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</row>
    <row r="235" spans="1:31" ht="13">
      <c r="A235" s="23"/>
      <c r="B235" s="401"/>
      <c r="C235" s="23"/>
      <c r="D235" s="401"/>
      <c r="E235" s="23"/>
      <c r="F235" s="23"/>
      <c r="G235" s="23"/>
      <c r="H235" s="401"/>
      <c r="I235" s="23"/>
      <c r="J235" s="23"/>
      <c r="K235" s="402"/>
      <c r="L235" s="23"/>
      <c r="M235" s="40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</row>
    <row r="236" spans="1:31" ht="13">
      <c r="A236" s="23"/>
      <c r="B236" s="401"/>
      <c r="C236" s="23"/>
      <c r="D236" s="401"/>
      <c r="E236" s="23"/>
      <c r="F236" s="23"/>
      <c r="G236" s="23"/>
      <c r="H236" s="401"/>
      <c r="I236" s="23"/>
      <c r="J236" s="23"/>
      <c r="K236" s="402"/>
      <c r="L236" s="23"/>
      <c r="M236" s="40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</row>
    <row r="237" spans="1:31" ht="13">
      <c r="A237" s="23"/>
      <c r="B237" s="401"/>
      <c r="C237" s="23"/>
      <c r="D237" s="401"/>
      <c r="E237" s="23"/>
      <c r="F237" s="23"/>
      <c r="G237" s="23"/>
      <c r="H237" s="401"/>
      <c r="I237" s="23"/>
      <c r="J237" s="23"/>
      <c r="K237" s="402"/>
      <c r="L237" s="23"/>
      <c r="M237" s="40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</row>
    <row r="238" spans="1:31" ht="13">
      <c r="A238" s="23"/>
      <c r="B238" s="401"/>
      <c r="C238" s="23"/>
      <c r="D238" s="401"/>
      <c r="E238" s="23"/>
      <c r="F238" s="23"/>
      <c r="G238" s="23"/>
      <c r="H238" s="401"/>
      <c r="I238" s="23"/>
      <c r="J238" s="23"/>
      <c r="K238" s="402"/>
      <c r="L238" s="23"/>
      <c r="M238" s="40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</row>
    <row r="239" spans="1:31" ht="13">
      <c r="A239" s="23"/>
      <c r="B239" s="401"/>
      <c r="C239" s="23"/>
      <c r="D239" s="401"/>
      <c r="E239" s="23"/>
      <c r="F239" s="23"/>
      <c r="G239" s="23"/>
      <c r="H239" s="401"/>
      <c r="I239" s="23"/>
      <c r="J239" s="23"/>
      <c r="K239" s="402"/>
      <c r="L239" s="23"/>
      <c r="M239" s="40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</row>
    <row r="240" spans="1:31" ht="13">
      <c r="A240" s="23"/>
      <c r="B240" s="401"/>
      <c r="C240" s="23"/>
      <c r="D240" s="401"/>
      <c r="E240" s="23"/>
      <c r="F240" s="23"/>
      <c r="G240" s="23"/>
      <c r="H240" s="401"/>
      <c r="I240" s="23"/>
      <c r="J240" s="23"/>
      <c r="K240" s="402"/>
      <c r="L240" s="23"/>
      <c r="M240" s="40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</row>
    <row r="241" spans="1:31" ht="13">
      <c r="A241" s="23"/>
      <c r="B241" s="401"/>
      <c r="C241" s="23"/>
      <c r="D241" s="401"/>
      <c r="E241" s="23"/>
      <c r="F241" s="23"/>
      <c r="G241" s="23"/>
      <c r="H241" s="401"/>
      <c r="I241" s="23"/>
      <c r="J241" s="23"/>
      <c r="K241" s="402"/>
      <c r="L241" s="23"/>
      <c r="M241" s="40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</row>
    <row r="242" spans="1:31" ht="13">
      <c r="A242" s="23"/>
      <c r="B242" s="401"/>
      <c r="C242" s="23"/>
      <c r="D242" s="401"/>
      <c r="E242" s="23"/>
      <c r="F242" s="23"/>
      <c r="G242" s="23"/>
      <c r="H242" s="401"/>
      <c r="I242" s="23"/>
      <c r="J242" s="23"/>
      <c r="K242" s="402"/>
      <c r="L242" s="23"/>
      <c r="M242" s="40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</row>
    <row r="243" spans="1:31" ht="13">
      <c r="A243" s="23"/>
      <c r="B243" s="401"/>
      <c r="C243" s="23"/>
      <c r="D243" s="401"/>
      <c r="E243" s="23"/>
      <c r="F243" s="23"/>
      <c r="G243" s="23"/>
      <c r="H243" s="401"/>
      <c r="I243" s="23"/>
      <c r="J243" s="23"/>
      <c r="K243" s="402"/>
      <c r="L243" s="23"/>
      <c r="M243" s="40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</row>
    <row r="244" spans="1:31" ht="13">
      <c r="A244" s="23"/>
      <c r="B244" s="401"/>
      <c r="C244" s="23"/>
      <c r="D244" s="401"/>
      <c r="E244" s="23"/>
      <c r="F244" s="23"/>
      <c r="G244" s="23"/>
      <c r="H244" s="401"/>
      <c r="I244" s="23"/>
      <c r="J244" s="23"/>
      <c r="K244" s="402"/>
      <c r="L244" s="23"/>
      <c r="M244" s="40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</row>
    <row r="245" spans="1:31" ht="13">
      <c r="A245" s="23"/>
      <c r="B245" s="401"/>
      <c r="C245" s="23"/>
      <c r="D245" s="401"/>
      <c r="E245" s="23"/>
      <c r="F245" s="23"/>
      <c r="G245" s="23"/>
      <c r="H245" s="401"/>
      <c r="I245" s="23"/>
      <c r="J245" s="23"/>
      <c r="K245" s="402"/>
      <c r="L245" s="23"/>
      <c r="M245" s="40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</row>
    <row r="246" spans="1:31" ht="13">
      <c r="A246" s="23"/>
      <c r="B246" s="401"/>
      <c r="C246" s="23"/>
      <c r="D246" s="401"/>
      <c r="E246" s="23"/>
      <c r="F246" s="23"/>
      <c r="G246" s="23"/>
      <c r="H246" s="401"/>
      <c r="I246" s="23"/>
      <c r="J246" s="23"/>
      <c r="K246" s="402"/>
      <c r="L246" s="23"/>
      <c r="M246" s="40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</row>
    <row r="247" spans="1:31" ht="13">
      <c r="A247" s="23"/>
      <c r="B247" s="401"/>
      <c r="C247" s="23"/>
      <c r="D247" s="401"/>
      <c r="E247" s="23"/>
      <c r="F247" s="23"/>
      <c r="G247" s="23"/>
      <c r="H247" s="401"/>
      <c r="I247" s="23"/>
      <c r="J247" s="23"/>
      <c r="K247" s="402"/>
      <c r="L247" s="23"/>
      <c r="M247" s="40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</row>
    <row r="248" spans="1:31" ht="13">
      <c r="A248" s="23"/>
      <c r="B248" s="401"/>
      <c r="C248" s="23"/>
      <c r="D248" s="401"/>
      <c r="E248" s="23"/>
      <c r="F248" s="23"/>
      <c r="G248" s="23"/>
      <c r="H248" s="401"/>
      <c r="I248" s="23"/>
      <c r="J248" s="23"/>
      <c r="K248" s="402"/>
      <c r="L248" s="23"/>
      <c r="M248" s="40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</row>
    <row r="249" spans="1:31" ht="13">
      <c r="A249" s="23"/>
      <c r="B249" s="401"/>
      <c r="C249" s="23"/>
      <c r="D249" s="401"/>
      <c r="E249" s="23"/>
      <c r="F249" s="23"/>
      <c r="G249" s="23"/>
      <c r="H249" s="401"/>
      <c r="I249" s="23"/>
      <c r="J249" s="23"/>
      <c r="K249" s="402"/>
      <c r="L249" s="23"/>
      <c r="M249" s="40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</row>
    <row r="250" spans="1:31" ht="13">
      <c r="A250" s="23"/>
      <c r="B250" s="401"/>
      <c r="C250" s="23"/>
      <c r="D250" s="401"/>
      <c r="E250" s="23"/>
      <c r="F250" s="23"/>
      <c r="G250" s="23"/>
      <c r="H250" s="401"/>
      <c r="I250" s="23"/>
      <c r="J250" s="23"/>
      <c r="K250" s="402"/>
      <c r="L250" s="23"/>
      <c r="M250" s="40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</row>
    <row r="251" spans="1:31" ht="13">
      <c r="A251" s="23"/>
      <c r="B251" s="401"/>
      <c r="C251" s="23"/>
      <c r="D251" s="401"/>
      <c r="E251" s="23"/>
      <c r="F251" s="23"/>
      <c r="G251" s="23"/>
      <c r="H251" s="401"/>
      <c r="I251" s="23"/>
      <c r="J251" s="23"/>
      <c r="K251" s="402"/>
      <c r="L251" s="23"/>
      <c r="M251" s="40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</row>
    <row r="252" spans="1:31" ht="13">
      <c r="A252" s="23"/>
      <c r="B252" s="401"/>
      <c r="C252" s="23"/>
      <c r="D252" s="401"/>
      <c r="E252" s="23"/>
      <c r="F252" s="23"/>
      <c r="G252" s="23"/>
      <c r="H252" s="401"/>
      <c r="I252" s="23"/>
      <c r="J252" s="23"/>
      <c r="K252" s="402"/>
      <c r="L252" s="23"/>
      <c r="M252" s="40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</row>
    <row r="253" spans="1:31" ht="13">
      <c r="A253" s="23"/>
      <c r="B253" s="401"/>
      <c r="C253" s="23"/>
      <c r="D253" s="401"/>
      <c r="E253" s="23"/>
      <c r="F253" s="23"/>
      <c r="G253" s="23"/>
      <c r="H253" s="401"/>
      <c r="I253" s="23"/>
      <c r="J253" s="23"/>
      <c r="K253" s="402"/>
      <c r="L253" s="23"/>
      <c r="M253" s="40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</row>
    <row r="254" spans="1:31" ht="13">
      <c r="A254" s="23"/>
      <c r="B254" s="401"/>
      <c r="C254" s="23"/>
      <c r="D254" s="401"/>
      <c r="E254" s="23"/>
      <c r="F254" s="23"/>
      <c r="G254" s="23"/>
      <c r="H254" s="401"/>
      <c r="I254" s="23"/>
      <c r="J254" s="23"/>
      <c r="K254" s="402"/>
      <c r="L254" s="23"/>
      <c r="M254" s="40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</row>
    <row r="255" spans="1:31" ht="13">
      <c r="A255" s="23"/>
      <c r="B255" s="401"/>
      <c r="C255" s="23"/>
      <c r="D255" s="401"/>
      <c r="E255" s="23"/>
      <c r="F255" s="23"/>
      <c r="G255" s="23"/>
      <c r="H255" s="401"/>
      <c r="I255" s="23"/>
      <c r="J255" s="23"/>
      <c r="K255" s="402"/>
      <c r="L255" s="23"/>
      <c r="M255" s="40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</row>
    <row r="256" spans="1:31" ht="13">
      <c r="A256" s="23"/>
      <c r="B256" s="401"/>
      <c r="C256" s="23"/>
      <c r="D256" s="401"/>
      <c r="E256" s="23"/>
      <c r="F256" s="23"/>
      <c r="G256" s="23"/>
      <c r="H256" s="401"/>
      <c r="I256" s="23"/>
      <c r="J256" s="23"/>
      <c r="K256" s="402"/>
      <c r="L256" s="23"/>
      <c r="M256" s="40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</row>
    <row r="257" spans="1:31" ht="13">
      <c r="A257" s="23"/>
      <c r="B257" s="401"/>
      <c r="C257" s="23"/>
      <c r="D257" s="401"/>
      <c r="E257" s="23"/>
      <c r="F257" s="23"/>
      <c r="G257" s="23"/>
      <c r="H257" s="401"/>
      <c r="I257" s="23"/>
      <c r="J257" s="23"/>
      <c r="K257" s="402"/>
      <c r="L257" s="23"/>
      <c r="M257" s="40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</row>
    <row r="258" spans="1:31" ht="13">
      <c r="A258" s="23"/>
      <c r="B258" s="401"/>
      <c r="C258" s="23"/>
      <c r="D258" s="401"/>
      <c r="E258" s="23"/>
      <c r="F258" s="23"/>
      <c r="G258" s="23"/>
      <c r="H258" s="401"/>
      <c r="I258" s="23"/>
      <c r="J258" s="23"/>
      <c r="K258" s="402"/>
      <c r="L258" s="23"/>
      <c r="M258" s="40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</row>
    <row r="259" spans="1:31" ht="13">
      <c r="A259" s="23"/>
      <c r="B259" s="401"/>
      <c r="C259" s="23"/>
      <c r="D259" s="401"/>
      <c r="E259" s="23"/>
      <c r="F259" s="23"/>
      <c r="G259" s="23"/>
      <c r="H259" s="401"/>
      <c r="I259" s="23"/>
      <c r="J259" s="23"/>
      <c r="K259" s="402"/>
      <c r="L259" s="23"/>
      <c r="M259" s="40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</row>
    <row r="260" spans="1:31" ht="13">
      <c r="A260" s="23"/>
      <c r="B260" s="401"/>
      <c r="C260" s="23"/>
      <c r="D260" s="401"/>
      <c r="E260" s="23"/>
      <c r="F260" s="23"/>
      <c r="G260" s="23"/>
      <c r="H260" s="401"/>
      <c r="I260" s="23"/>
      <c r="J260" s="23"/>
      <c r="K260" s="402"/>
      <c r="L260" s="23"/>
      <c r="M260" s="40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</row>
    <row r="261" spans="1:31" ht="13">
      <c r="A261" s="23"/>
      <c r="B261" s="401"/>
      <c r="C261" s="23"/>
      <c r="D261" s="401"/>
      <c r="E261" s="23"/>
      <c r="F261" s="23"/>
      <c r="G261" s="23"/>
      <c r="H261" s="401"/>
      <c r="I261" s="23"/>
      <c r="J261" s="23"/>
      <c r="K261" s="402"/>
      <c r="L261" s="23"/>
      <c r="M261" s="40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</row>
    <row r="262" spans="1:31" ht="13">
      <c r="A262" s="23"/>
      <c r="B262" s="401"/>
      <c r="C262" s="23"/>
      <c r="D262" s="401"/>
      <c r="E262" s="23"/>
      <c r="F262" s="23"/>
      <c r="G262" s="23"/>
      <c r="H262" s="401"/>
      <c r="I262" s="23"/>
      <c r="J262" s="23"/>
      <c r="K262" s="402"/>
      <c r="L262" s="23"/>
      <c r="M262" s="40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</row>
    <row r="263" spans="1:31" ht="13">
      <c r="A263" s="23"/>
      <c r="B263" s="401"/>
      <c r="C263" s="23"/>
      <c r="D263" s="401"/>
      <c r="E263" s="23"/>
      <c r="F263" s="23"/>
      <c r="G263" s="23"/>
      <c r="H263" s="401"/>
      <c r="I263" s="23"/>
      <c r="J263" s="23"/>
      <c r="K263" s="402"/>
      <c r="L263" s="23"/>
      <c r="M263" s="40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</row>
    <row r="264" spans="1:31" ht="13">
      <c r="A264" s="23"/>
      <c r="B264" s="401"/>
      <c r="C264" s="23"/>
      <c r="D264" s="401"/>
      <c r="E264" s="23"/>
      <c r="F264" s="23"/>
      <c r="G264" s="23"/>
      <c r="H264" s="401"/>
      <c r="I264" s="23"/>
      <c r="J264" s="23"/>
      <c r="K264" s="402"/>
      <c r="L264" s="23"/>
      <c r="M264" s="40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</row>
    <row r="265" spans="1:31" ht="13">
      <c r="A265" s="23"/>
      <c r="B265" s="401"/>
      <c r="C265" s="23"/>
      <c r="D265" s="401"/>
      <c r="E265" s="23"/>
      <c r="F265" s="23"/>
      <c r="G265" s="23"/>
      <c r="H265" s="401"/>
      <c r="I265" s="23"/>
      <c r="J265" s="23"/>
      <c r="K265" s="402"/>
      <c r="L265" s="23"/>
      <c r="M265" s="40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</row>
    <row r="266" spans="1:31" ht="13">
      <c r="A266" s="23"/>
      <c r="B266" s="401"/>
      <c r="C266" s="23"/>
      <c r="D266" s="401"/>
      <c r="E266" s="23"/>
      <c r="F266" s="23"/>
      <c r="G266" s="23"/>
      <c r="H266" s="401"/>
      <c r="I266" s="23"/>
      <c r="J266" s="23"/>
      <c r="K266" s="402"/>
      <c r="L266" s="23"/>
      <c r="M266" s="40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</row>
    <row r="267" spans="1:31" ht="13">
      <c r="A267" s="23"/>
      <c r="B267" s="401"/>
      <c r="C267" s="23"/>
      <c r="D267" s="401"/>
      <c r="E267" s="23"/>
      <c r="F267" s="23"/>
      <c r="G267" s="23"/>
      <c r="H267" s="401"/>
      <c r="I267" s="23"/>
      <c r="J267" s="23"/>
      <c r="K267" s="402"/>
      <c r="L267" s="23"/>
      <c r="M267" s="40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</row>
    <row r="268" spans="1:31" ht="13">
      <c r="A268" s="23"/>
      <c r="B268" s="401"/>
      <c r="C268" s="23"/>
      <c r="D268" s="401"/>
      <c r="E268" s="23"/>
      <c r="F268" s="23"/>
      <c r="G268" s="23"/>
      <c r="H268" s="401"/>
      <c r="I268" s="23"/>
      <c r="J268" s="23"/>
      <c r="K268" s="402"/>
      <c r="L268" s="23"/>
      <c r="M268" s="40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</row>
    <row r="269" spans="1:31" ht="13">
      <c r="A269" s="23"/>
      <c r="B269" s="401"/>
      <c r="C269" s="23"/>
      <c r="D269" s="401"/>
      <c r="E269" s="23"/>
      <c r="F269" s="23"/>
      <c r="G269" s="23"/>
      <c r="H269" s="401"/>
      <c r="I269" s="23"/>
      <c r="J269" s="23"/>
      <c r="K269" s="402"/>
      <c r="L269" s="23"/>
      <c r="M269" s="40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</row>
    <row r="270" spans="1:31" ht="13">
      <c r="A270" s="23"/>
      <c r="B270" s="401"/>
      <c r="C270" s="23"/>
      <c r="D270" s="401"/>
      <c r="E270" s="23"/>
      <c r="F270" s="23"/>
      <c r="G270" s="23"/>
      <c r="H270" s="401"/>
      <c r="I270" s="23"/>
      <c r="J270" s="23"/>
      <c r="K270" s="402"/>
      <c r="L270" s="23"/>
      <c r="M270" s="40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</row>
    <row r="271" spans="1:31" ht="13">
      <c r="A271" s="23"/>
      <c r="B271" s="401"/>
      <c r="C271" s="23"/>
      <c r="D271" s="401"/>
      <c r="E271" s="23"/>
      <c r="F271" s="23"/>
      <c r="G271" s="23"/>
      <c r="H271" s="401"/>
      <c r="I271" s="23"/>
      <c r="J271" s="23"/>
      <c r="K271" s="402"/>
      <c r="L271" s="23"/>
      <c r="M271" s="40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</row>
    <row r="272" spans="1:31" ht="13">
      <c r="A272" s="23"/>
      <c r="B272" s="401"/>
      <c r="C272" s="23"/>
      <c r="D272" s="401"/>
      <c r="E272" s="23"/>
      <c r="F272" s="23"/>
      <c r="G272" s="23"/>
      <c r="H272" s="401"/>
      <c r="I272" s="23"/>
      <c r="J272" s="23"/>
      <c r="K272" s="402"/>
      <c r="L272" s="23"/>
      <c r="M272" s="40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</row>
    <row r="273" spans="1:31" ht="13">
      <c r="A273" s="23"/>
      <c r="B273" s="401"/>
      <c r="C273" s="23"/>
      <c r="D273" s="401"/>
      <c r="E273" s="23"/>
      <c r="F273" s="23"/>
      <c r="G273" s="23"/>
      <c r="H273" s="401"/>
      <c r="I273" s="23"/>
      <c r="J273" s="23"/>
      <c r="K273" s="402"/>
      <c r="L273" s="23"/>
      <c r="M273" s="40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</row>
    <row r="274" spans="1:31" ht="13">
      <c r="A274" s="23"/>
      <c r="B274" s="401"/>
      <c r="C274" s="23"/>
      <c r="D274" s="401"/>
      <c r="E274" s="23"/>
      <c r="F274" s="23"/>
      <c r="G274" s="23"/>
      <c r="H274" s="401"/>
      <c r="I274" s="23"/>
      <c r="J274" s="23"/>
      <c r="K274" s="402"/>
      <c r="L274" s="23"/>
      <c r="M274" s="40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</row>
    <row r="275" spans="1:31" ht="13">
      <c r="A275" s="23"/>
      <c r="B275" s="401"/>
      <c r="C275" s="23"/>
      <c r="D275" s="401"/>
      <c r="E275" s="23"/>
      <c r="F275" s="23"/>
      <c r="G275" s="23"/>
      <c r="H275" s="401"/>
      <c r="I275" s="23"/>
      <c r="J275" s="23"/>
      <c r="K275" s="402"/>
      <c r="L275" s="23"/>
      <c r="M275" s="40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</row>
    <row r="276" spans="1:31" ht="13">
      <c r="A276" s="23"/>
      <c r="B276" s="401"/>
      <c r="C276" s="23"/>
      <c r="D276" s="401"/>
      <c r="E276" s="23"/>
      <c r="F276" s="23"/>
      <c r="G276" s="23"/>
      <c r="H276" s="401"/>
      <c r="I276" s="23"/>
      <c r="J276" s="23"/>
      <c r="K276" s="402"/>
      <c r="L276" s="23"/>
      <c r="M276" s="40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</row>
    <row r="277" spans="1:31" ht="13">
      <c r="A277" s="23"/>
      <c r="B277" s="401"/>
      <c r="C277" s="23"/>
      <c r="D277" s="401"/>
      <c r="E277" s="23"/>
      <c r="F277" s="23"/>
      <c r="G277" s="23"/>
      <c r="H277" s="401"/>
      <c r="I277" s="23"/>
      <c r="J277" s="23"/>
      <c r="K277" s="402"/>
      <c r="L277" s="23"/>
      <c r="M277" s="40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</row>
    <row r="278" spans="1:31" ht="13">
      <c r="A278" s="23"/>
      <c r="B278" s="401"/>
      <c r="C278" s="23"/>
      <c r="D278" s="401"/>
      <c r="E278" s="23"/>
      <c r="F278" s="23"/>
      <c r="G278" s="23"/>
      <c r="H278" s="401"/>
      <c r="I278" s="23"/>
      <c r="J278" s="23"/>
      <c r="K278" s="402"/>
      <c r="L278" s="23"/>
      <c r="M278" s="40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</row>
    <row r="279" spans="1:31" ht="13">
      <c r="A279" s="23"/>
      <c r="B279" s="401"/>
      <c r="C279" s="23"/>
      <c r="D279" s="401"/>
      <c r="E279" s="23"/>
      <c r="F279" s="23"/>
      <c r="G279" s="23"/>
      <c r="H279" s="401"/>
      <c r="I279" s="23"/>
      <c r="J279" s="23"/>
      <c r="K279" s="402"/>
      <c r="L279" s="23"/>
      <c r="M279" s="40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</row>
    <row r="280" spans="1:31" ht="13">
      <c r="A280" s="23"/>
      <c r="B280" s="401"/>
      <c r="C280" s="23"/>
      <c r="D280" s="401"/>
      <c r="E280" s="23"/>
      <c r="F280" s="23"/>
      <c r="G280" s="23"/>
      <c r="H280" s="401"/>
      <c r="I280" s="23"/>
      <c r="J280" s="23"/>
      <c r="K280" s="402"/>
      <c r="L280" s="23"/>
      <c r="M280" s="40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</row>
    <row r="281" spans="1:31" ht="13">
      <c r="A281" s="23"/>
      <c r="B281" s="401"/>
      <c r="C281" s="23"/>
      <c r="D281" s="401"/>
      <c r="E281" s="23"/>
      <c r="F281" s="23"/>
      <c r="G281" s="23"/>
      <c r="H281" s="401"/>
      <c r="I281" s="23"/>
      <c r="J281" s="23"/>
      <c r="K281" s="402"/>
      <c r="L281" s="23"/>
      <c r="M281" s="40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</row>
    <row r="282" spans="1:31" ht="13">
      <c r="A282" s="23"/>
      <c r="B282" s="401"/>
      <c r="C282" s="23"/>
      <c r="D282" s="401"/>
      <c r="E282" s="23"/>
      <c r="F282" s="23"/>
      <c r="G282" s="23"/>
      <c r="H282" s="401"/>
      <c r="I282" s="23"/>
      <c r="J282" s="23"/>
      <c r="K282" s="402"/>
      <c r="L282" s="23"/>
      <c r="M282" s="40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</row>
    <row r="283" spans="1:31" ht="13">
      <c r="A283" s="23"/>
      <c r="B283" s="401"/>
      <c r="C283" s="23"/>
      <c r="D283" s="401"/>
      <c r="E283" s="23"/>
      <c r="F283" s="23"/>
      <c r="G283" s="23"/>
      <c r="H283" s="401"/>
      <c r="I283" s="23"/>
      <c r="J283" s="23"/>
      <c r="K283" s="402"/>
      <c r="L283" s="23"/>
      <c r="M283" s="40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</row>
    <row r="284" spans="1:31" ht="13">
      <c r="A284" s="23"/>
      <c r="B284" s="401"/>
      <c r="C284" s="23"/>
      <c r="D284" s="401"/>
      <c r="E284" s="23"/>
      <c r="F284" s="23"/>
      <c r="G284" s="23"/>
      <c r="H284" s="401"/>
      <c r="I284" s="23"/>
      <c r="J284" s="23"/>
      <c r="K284" s="402"/>
      <c r="L284" s="23"/>
      <c r="M284" s="40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</row>
    <row r="285" spans="1:31" ht="13">
      <c r="A285" s="23"/>
      <c r="B285" s="401"/>
      <c r="C285" s="23"/>
      <c r="D285" s="401"/>
      <c r="E285" s="23"/>
      <c r="F285" s="23"/>
      <c r="G285" s="23"/>
      <c r="H285" s="401"/>
      <c r="I285" s="23"/>
      <c r="J285" s="23"/>
      <c r="K285" s="402"/>
      <c r="L285" s="23"/>
      <c r="M285" s="40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</row>
    <row r="286" spans="1:31" ht="13">
      <c r="A286" s="23"/>
      <c r="B286" s="401"/>
      <c r="C286" s="23"/>
      <c r="D286" s="401"/>
      <c r="E286" s="23"/>
      <c r="F286" s="23"/>
      <c r="G286" s="23"/>
      <c r="H286" s="401"/>
      <c r="I286" s="23"/>
      <c r="J286" s="23"/>
      <c r="K286" s="402"/>
      <c r="L286" s="23"/>
      <c r="M286" s="40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</row>
    <row r="287" spans="1:31" ht="13">
      <c r="A287" s="23"/>
      <c r="B287" s="401"/>
      <c r="C287" s="23"/>
      <c r="D287" s="401"/>
      <c r="E287" s="23"/>
      <c r="F287" s="23"/>
      <c r="G287" s="23"/>
      <c r="H287" s="401"/>
      <c r="I287" s="23"/>
      <c r="J287" s="23"/>
      <c r="K287" s="402"/>
      <c r="L287" s="23"/>
      <c r="M287" s="40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</row>
    <row r="288" spans="1:31" ht="13">
      <c r="A288" s="23"/>
      <c r="B288" s="401"/>
      <c r="C288" s="23"/>
      <c r="D288" s="401"/>
      <c r="E288" s="23"/>
      <c r="F288" s="23"/>
      <c r="G288" s="23"/>
      <c r="H288" s="401"/>
      <c r="I288" s="23"/>
      <c r="J288" s="23"/>
      <c r="K288" s="402"/>
      <c r="L288" s="23"/>
      <c r="M288" s="40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</row>
    <row r="289" spans="1:31" ht="13">
      <c r="A289" s="23"/>
      <c r="B289" s="401"/>
      <c r="C289" s="23"/>
      <c r="D289" s="401"/>
      <c r="E289" s="23"/>
      <c r="F289" s="23"/>
      <c r="G289" s="23"/>
      <c r="H289" s="401"/>
      <c r="I289" s="23"/>
      <c r="J289" s="23"/>
      <c r="K289" s="402"/>
      <c r="L289" s="23"/>
      <c r="M289" s="40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</row>
    <row r="290" spans="1:31" ht="13">
      <c r="A290" s="23"/>
      <c r="B290" s="401"/>
      <c r="C290" s="23"/>
      <c r="D290" s="401"/>
      <c r="E290" s="23"/>
      <c r="F290" s="23"/>
      <c r="G290" s="23"/>
      <c r="H290" s="401"/>
      <c r="I290" s="23"/>
      <c r="J290" s="23"/>
      <c r="K290" s="402"/>
      <c r="L290" s="23"/>
      <c r="M290" s="40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</row>
    <row r="291" spans="1:31" ht="13">
      <c r="A291" s="23"/>
      <c r="B291" s="401"/>
      <c r="C291" s="23"/>
      <c r="D291" s="401"/>
      <c r="E291" s="23"/>
      <c r="F291" s="23"/>
      <c r="G291" s="23"/>
      <c r="H291" s="401"/>
      <c r="I291" s="23"/>
      <c r="J291" s="23"/>
      <c r="K291" s="402"/>
      <c r="L291" s="23"/>
      <c r="M291" s="40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</row>
    <row r="292" spans="1:31" ht="13">
      <c r="A292" s="23"/>
      <c r="B292" s="401"/>
      <c r="C292" s="23"/>
      <c r="D292" s="401"/>
      <c r="E292" s="23"/>
      <c r="F292" s="23"/>
      <c r="G292" s="23"/>
      <c r="H292" s="401"/>
      <c r="I292" s="23"/>
      <c r="J292" s="23"/>
      <c r="K292" s="402"/>
      <c r="L292" s="23"/>
      <c r="M292" s="40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</row>
    <row r="293" spans="1:31" ht="13">
      <c r="A293" s="23"/>
      <c r="B293" s="401"/>
      <c r="C293" s="23"/>
      <c r="D293" s="401"/>
      <c r="E293" s="23"/>
      <c r="F293" s="23"/>
      <c r="G293" s="23"/>
      <c r="H293" s="401"/>
      <c r="I293" s="23"/>
      <c r="J293" s="23"/>
      <c r="K293" s="402"/>
      <c r="L293" s="23"/>
      <c r="M293" s="40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</row>
    <row r="294" spans="1:31" ht="13">
      <c r="A294" s="23"/>
      <c r="B294" s="401"/>
      <c r="C294" s="23"/>
      <c r="D294" s="401"/>
      <c r="E294" s="23"/>
      <c r="F294" s="23"/>
      <c r="G294" s="23"/>
      <c r="H294" s="401"/>
      <c r="I294" s="23"/>
      <c r="J294" s="23"/>
      <c r="K294" s="402"/>
      <c r="L294" s="23"/>
      <c r="M294" s="40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</row>
    <row r="295" spans="1:31" ht="13">
      <c r="A295" s="23"/>
      <c r="B295" s="401"/>
      <c r="C295" s="23"/>
      <c r="D295" s="401"/>
      <c r="E295" s="23"/>
      <c r="F295" s="23"/>
      <c r="G295" s="23"/>
      <c r="H295" s="401"/>
      <c r="I295" s="23"/>
      <c r="J295" s="23"/>
      <c r="K295" s="402"/>
      <c r="L295" s="23"/>
      <c r="M295" s="40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</row>
    <row r="296" spans="1:31" ht="13">
      <c r="A296" s="23"/>
      <c r="B296" s="401"/>
      <c r="C296" s="23"/>
      <c r="D296" s="401"/>
      <c r="E296" s="23"/>
      <c r="F296" s="23"/>
      <c r="G296" s="23"/>
      <c r="H296" s="401"/>
      <c r="I296" s="23"/>
      <c r="J296" s="23"/>
      <c r="K296" s="402"/>
      <c r="L296" s="23"/>
      <c r="M296" s="40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</row>
    <row r="297" spans="1:31" ht="13">
      <c r="A297" s="23"/>
      <c r="B297" s="401"/>
      <c r="C297" s="23"/>
      <c r="D297" s="401"/>
      <c r="E297" s="23"/>
      <c r="F297" s="23"/>
      <c r="G297" s="23"/>
      <c r="H297" s="401"/>
      <c r="I297" s="23"/>
      <c r="J297" s="23"/>
      <c r="K297" s="402"/>
      <c r="L297" s="23"/>
      <c r="M297" s="40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</row>
    <row r="298" spans="1:31" ht="13">
      <c r="A298" s="23"/>
      <c r="B298" s="401"/>
      <c r="C298" s="23"/>
      <c r="D298" s="401"/>
      <c r="E298" s="23"/>
      <c r="F298" s="23"/>
      <c r="G298" s="23"/>
      <c r="H298" s="401"/>
      <c r="I298" s="23"/>
      <c r="J298" s="23"/>
      <c r="K298" s="402"/>
      <c r="L298" s="23"/>
      <c r="M298" s="40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</row>
    <row r="299" spans="1:31" ht="13">
      <c r="A299" s="23"/>
      <c r="B299" s="401"/>
      <c r="C299" s="23"/>
      <c r="D299" s="401"/>
      <c r="E299" s="23"/>
      <c r="F299" s="23"/>
      <c r="G299" s="23"/>
      <c r="H299" s="401"/>
      <c r="I299" s="23"/>
      <c r="J299" s="23"/>
      <c r="K299" s="402"/>
      <c r="L299" s="23"/>
      <c r="M299" s="40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</row>
    <row r="300" spans="1:31" ht="13">
      <c r="A300" s="23"/>
      <c r="B300" s="401"/>
      <c r="C300" s="23"/>
      <c r="D300" s="401"/>
      <c r="E300" s="23"/>
      <c r="F300" s="23"/>
      <c r="G300" s="23"/>
      <c r="H300" s="401"/>
      <c r="I300" s="23"/>
      <c r="J300" s="23"/>
      <c r="K300" s="402"/>
      <c r="L300" s="23"/>
      <c r="M300" s="40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</row>
    <row r="301" spans="1:31" ht="13">
      <c r="A301" s="23"/>
      <c r="B301" s="401"/>
      <c r="C301" s="23"/>
      <c r="D301" s="401"/>
      <c r="E301" s="23"/>
      <c r="F301" s="23"/>
      <c r="G301" s="23"/>
      <c r="H301" s="401"/>
      <c r="I301" s="23"/>
      <c r="J301" s="23"/>
      <c r="K301" s="402"/>
      <c r="L301" s="23"/>
      <c r="M301" s="40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</row>
    <row r="302" spans="1:31" ht="13">
      <c r="A302" s="23"/>
      <c r="B302" s="401"/>
      <c r="C302" s="23"/>
      <c r="D302" s="401"/>
      <c r="E302" s="23"/>
      <c r="F302" s="23"/>
      <c r="G302" s="23"/>
      <c r="H302" s="401"/>
      <c r="I302" s="23"/>
      <c r="J302" s="23"/>
      <c r="K302" s="402"/>
      <c r="L302" s="23"/>
      <c r="M302" s="40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</row>
    <row r="303" spans="1:31" ht="13">
      <c r="A303" s="23"/>
      <c r="B303" s="401"/>
      <c r="C303" s="23"/>
      <c r="D303" s="401"/>
      <c r="E303" s="23"/>
      <c r="F303" s="23"/>
      <c r="G303" s="23"/>
      <c r="H303" s="401"/>
      <c r="I303" s="23"/>
      <c r="J303" s="23"/>
      <c r="K303" s="402"/>
      <c r="L303" s="23"/>
      <c r="M303" s="40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</row>
    <row r="304" spans="1:31" ht="13">
      <c r="A304" s="23"/>
      <c r="B304" s="401"/>
      <c r="C304" s="23"/>
      <c r="D304" s="401"/>
      <c r="E304" s="23"/>
      <c r="F304" s="23"/>
      <c r="G304" s="23"/>
      <c r="H304" s="401"/>
      <c r="I304" s="23"/>
      <c r="J304" s="23"/>
      <c r="K304" s="402"/>
      <c r="L304" s="23"/>
      <c r="M304" s="40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</row>
    <row r="305" spans="1:31" ht="13">
      <c r="A305" s="23"/>
      <c r="B305" s="401"/>
      <c r="C305" s="23"/>
      <c r="D305" s="401"/>
      <c r="E305" s="23"/>
      <c r="F305" s="23"/>
      <c r="G305" s="23"/>
      <c r="H305" s="401"/>
      <c r="I305" s="23"/>
      <c r="J305" s="23"/>
      <c r="K305" s="402"/>
      <c r="L305" s="23"/>
      <c r="M305" s="40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</row>
    <row r="306" spans="1:31" ht="13">
      <c r="A306" s="23"/>
      <c r="B306" s="401"/>
      <c r="C306" s="23"/>
      <c r="D306" s="401"/>
      <c r="E306" s="23"/>
      <c r="F306" s="23"/>
      <c r="G306" s="23"/>
      <c r="H306" s="401"/>
      <c r="I306" s="23"/>
      <c r="J306" s="23"/>
      <c r="K306" s="402"/>
      <c r="L306" s="23"/>
      <c r="M306" s="40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</row>
    <row r="307" spans="1:31" ht="13">
      <c r="A307" s="23"/>
      <c r="B307" s="401"/>
      <c r="C307" s="23"/>
      <c r="D307" s="401"/>
      <c r="E307" s="23"/>
      <c r="F307" s="23"/>
      <c r="G307" s="23"/>
      <c r="H307" s="401"/>
      <c r="I307" s="23"/>
      <c r="J307" s="23"/>
      <c r="K307" s="402"/>
      <c r="L307" s="23"/>
      <c r="M307" s="40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</row>
    <row r="308" spans="1:31" ht="13">
      <c r="A308" s="23"/>
      <c r="B308" s="401"/>
      <c r="C308" s="23"/>
      <c r="D308" s="401"/>
      <c r="E308" s="23"/>
      <c r="F308" s="23"/>
      <c r="G308" s="23"/>
      <c r="H308" s="401"/>
      <c r="I308" s="23"/>
      <c r="J308" s="23"/>
      <c r="K308" s="402"/>
      <c r="L308" s="23"/>
      <c r="M308" s="40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</row>
    <row r="309" spans="1:31" ht="13">
      <c r="A309" s="23"/>
      <c r="B309" s="401"/>
      <c r="C309" s="23"/>
      <c r="D309" s="401"/>
      <c r="E309" s="23"/>
      <c r="F309" s="23"/>
      <c r="G309" s="23"/>
      <c r="H309" s="401"/>
      <c r="I309" s="23"/>
      <c r="J309" s="23"/>
      <c r="K309" s="402"/>
      <c r="L309" s="23"/>
      <c r="M309" s="40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</row>
    <row r="310" spans="1:31" ht="13">
      <c r="A310" s="23"/>
      <c r="B310" s="401"/>
      <c r="C310" s="23"/>
      <c r="D310" s="401"/>
      <c r="E310" s="23"/>
      <c r="F310" s="23"/>
      <c r="G310" s="23"/>
      <c r="H310" s="401"/>
      <c r="I310" s="23"/>
      <c r="J310" s="23"/>
      <c r="K310" s="402"/>
      <c r="L310" s="23"/>
      <c r="M310" s="40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</row>
    <row r="311" spans="1:31" ht="13">
      <c r="A311" s="23"/>
      <c r="B311" s="401"/>
      <c r="C311" s="23"/>
      <c r="D311" s="401"/>
      <c r="E311" s="23"/>
      <c r="F311" s="23"/>
      <c r="G311" s="23"/>
      <c r="H311" s="401"/>
      <c r="I311" s="23"/>
      <c r="J311" s="23"/>
      <c r="K311" s="402"/>
      <c r="L311" s="23"/>
      <c r="M311" s="40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</row>
    <row r="312" spans="1:31" ht="13">
      <c r="A312" s="23"/>
      <c r="B312" s="401"/>
      <c r="C312" s="23"/>
      <c r="D312" s="401"/>
      <c r="E312" s="23"/>
      <c r="F312" s="23"/>
      <c r="G312" s="23"/>
      <c r="H312" s="401"/>
      <c r="I312" s="23"/>
      <c r="J312" s="23"/>
      <c r="K312" s="402"/>
      <c r="L312" s="23"/>
      <c r="M312" s="40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</row>
    <row r="313" spans="1:31" ht="13">
      <c r="A313" s="23"/>
      <c r="B313" s="401"/>
      <c r="C313" s="23"/>
      <c r="D313" s="401"/>
      <c r="E313" s="23"/>
      <c r="F313" s="23"/>
      <c r="G313" s="23"/>
      <c r="H313" s="401"/>
      <c r="I313" s="23"/>
      <c r="J313" s="23"/>
      <c r="K313" s="402"/>
      <c r="L313" s="23"/>
      <c r="M313" s="40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</row>
    <row r="314" spans="1:31" ht="13">
      <c r="A314" s="23"/>
      <c r="B314" s="401"/>
      <c r="C314" s="23"/>
      <c r="D314" s="401"/>
      <c r="E314" s="23"/>
      <c r="F314" s="23"/>
      <c r="G314" s="23"/>
      <c r="H314" s="401"/>
      <c r="I314" s="23"/>
      <c r="J314" s="23"/>
      <c r="K314" s="402"/>
      <c r="L314" s="23"/>
      <c r="M314" s="40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</row>
    <row r="315" spans="1:31" ht="13">
      <c r="A315" s="23"/>
      <c r="B315" s="401"/>
      <c r="C315" s="23"/>
      <c r="D315" s="401"/>
      <c r="E315" s="23"/>
      <c r="F315" s="23"/>
      <c r="G315" s="23"/>
      <c r="H315" s="401"/>
      <c r="I315" s="23"/>
      <c r="J315" s="23"/>
      <c r="K315" s="402"/>
      <c r="L315" s="23"/>
      <c r="M315" s="40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</row>
    <row r="316" spans="1:31" ht="13">
      <c r="A316" s="23"/>
      <c r="B316" s="401"/>
      <c r="C316" s="23"/>
      <c r="D316" s="401"/>
      <c r="E316" s="23"/>
      <c r="F316" s="23"/>
      <c r="G316" s="23"/>
      <c r="H316" s="401"/>
      <c r="I316" s="23"/>
      <c r="J316" s="23"/>
      <c r="K316" s="402"/>
      <c r="L316" s="23"/>
      <c r="M316" s="40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</row>
    <row r="317" spans="1:31" ht="13">
      <c r="A317" s="23"/>
      <c r="B317" s="401"/>
      <c r="C317" s="23"/>
      <c r="D317" s="401"/>
      <c r="E317" s="23"/>
      <c r="F317" s="23"/>
      <c r="G317" s="23"/>
      <c r="H317" s="401"/>
      <c r="I317" s="23"/>
      <c r="J317" s="23"/>
      <c r="K317" s="402"/>
      <c r="L317" s="23"/>
      <c r="M317" s="40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</row>
    <row r="318" spans="1:31" ht="13">
      <c r="A318" s="23"/>
      <c r="B318" s="401"/>
      <c r="C318" s="23"/>
      <c r="D318" s="401"/>
      <c r="E318" s="23"/>
      <c r="F318" s="23"/>
      <c r="G318" s="23"/>
      <c r="H318" s="401"/>
      <c r="I318" s="23"/>
      <c r="J318" s="23"/>
      <c r="K318" s="402"/>
      <c r="L318" s="23"/>
      <c r="M318" s="40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</row>
    <row r="319" spans="1:31" ht="13">
      <c r="A319" s="23"/>
      <c r="B319" s="401"/>
      <c r="C319" s="23"/>
      <c r="D319" s="401"/>
      <c r="E319" s="23"/>
      <c r="F319" s="23"/>
      <c r="G319" s="23"/>
      <c r="H319" s="401"/>
      <c r="I319" s="23"/>
      <c r="J319" s="23"/>
      <c r="K319" s="402"/>
      <c r="L319" s="23"/>
      <c r="M319" s="40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</row>
    <row r="320" spans="1:31" ht="13">
      <c r="A320" s="23"/>
      <c r="B320" s="401"/>
      <c r="C320" s="23"/>
      <c r="D320" s="401"/>
      <c r="E320" s="23"/>
      <c r="F320" s="23"/>
      <c r="G320" s="23"/>
      <c r="H320" s="401"/>
      <c r="I320" s="23"/>
      <c r="J320" s="23"/>
      <c r="K320" s="402"/>
      <c r="L320" s="23"/>
      <c r="M320" s="40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</row>
    <row r="321" spans="1:31" ht="13">
      <c r="A321" s="23"/>
      <c r="B321" s="401"/>
      <c r="C321" s="23"/>
      <c r="D321" s="401"/>
      <c r="E321" s="23"/>
      <c r="F321" s="23"/>
      <c r="G321" s="23"/>
      <c r="H321" s="401"/>
      <c r="I321" s="23"/>
      <c r="J321" s="23"/>
      <c r="K321" s="402"/>
      <c r="L321" s="23"/>
      <c r="M321" s="40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</row>
    <row r="322" spans="1:31" ht="13">
      <c r="A322" s="23"/>
      <c r="B322" s="401"/>
      <c r="C322" s="23"/>
      <c r="D322" s="401"/>
      <c r="E322" s="23"/>
      <c r="F322" s="23"/>
      <c r="G322" s="23"/>
      <c r="H322" s="401"/>
      <c r="I322" s="23"/>
      <c r="J322" s="23"/>
      <c r="K322" s="402"/>
      <c r="L322" s="23"/>
      <c r="M322" s="40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</row>
    <row r="323" spans="1:31" ht="13">
      <c r="A323" s="23"/>
      <c r="B323" s="401"/>
      <c r="C323" s="23"/>
      <c r="D323" s="401"/>
      <c r="E323" s="23"/>
      <c r="F323" s="23"/>
      <c r="G323" s="23"/>
      <c r="H323" s="401"/>
      <c r="I323" s="23"/>
      <c r="J323" s="23"/>
      <c r="K323" s="402"/>
      <c r="L323" s="23"/>
      <c r="M323" s="40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</row>
    <row r="324" spans="1:31" ht="13">
      <c r="A324" s="23"/>
      <c r="B324" s="401"/>
      <c r="C324" s="23"/>
      <c r="D324" s="401"/>
      <c r="E324" s="23"/>
      <c r="F324" s="23"/>
      <c r="G324" s="23"/>
      <c r="H324" s="401"/>
      <c r="I324" s="23"/>
      <c r="J324" s="23"/>
      <c r="K324" s="402"/>
      <c r="L324" s="23"/>
      <c r="M324" s="40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</row>
    <row r="325" spans="1:31" ht="13">
      <c r="A325" s="23"/>
      <c r="B325" s="401"/>
      <c r="C325" s="23"/>
      <c r="D325" s="401"/>
      <c r="E325" s="23"/>
      <c r="F325" s="23"/>
      <c r="G325" s="23"/>
      <c r="H325" s="401"/>
      <c r="I325" s="23"/>
      <c r="J325" s="23"/>
      <c r="K325" s="402"/>
      <c r="L325" s="23"/>
      <c r="M325" s="40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</row>
    <row r="326" spans="1:31" ht="13">
      <c r="A326" s="23"/>
      <c r="B326" s="401"/>
      <c r="C326" s="23"/>
      <c r="D326" s="401"/>
      <c r="E326" s="23"/>
      <c r="F326" s="23"/>
      <c r="G326" s="23"/>
      <c r="H326" s="401"/>
      <c r="I326" s="23"/>
      <c r="J326" s="23"/>
      <c r="K326" s="402"/>
      <c r="L326" s="23"/>
      <c r="M326" s="40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</row>
    <row r="327" spans="1:31" ht="13">
      <c r="A327" s="23"/>
      <c r="B327" s="401"/>
      <c r="C327" s="23"/>
      <c r="D327" s="401"/>
      <c r="E327" s="23"/>
      <c r="F327" s="23"/>
      <c r="G327" s="23"/>
      <c r="H327" s="401"/>
      <c r="I327" s="23"/>
      <c r="J327" s="23"/>
      <c r="K327" s="402"/>
      <c r="L327" s="23"/>
      <c r="M327" s="40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</row>
    <row r="328" spans="1:31" ht="13">
      <c r="A328" s="23"/>
      <c r="B328" s="401"/>
      <c r="C328" s="23"/>
      <c r="D328" s="401"/>
      <c r="E328" s="23"/>
      <c r="F328" s="23"/>
      <c r="G328" s="23"/>
      <c r="H328" s="401"/>
      <c r="I328" s="23"/>
      <c r="J328" s="23"/>
      <c r="K328" s="402"/>
      <c r="L328" s="23"/>
      <c r="M328" s="40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</row>
    <row r="329" spans="1:31" ht="13">
      <c r="A329" s="23"/>
      <c r="B329" s="401"/>
      <c r="C329" s="23"/>
      <c r="D329" s="401"/>
      <c r="E329" s="23"/>
      <c r="F329" s="23"/>
      <c r="G329" s="23"/>
      <c r="H329" s="401"/>
      <c r="I329" s="23"/>
      <c r="J329" s="23"/>
      <c r="K329" s="402"/>
      <c r="L329" s="23"/>
      <c r="M329" s="40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</row>
    <row r="330" spans="1:31" ht="13">
      <c r="A330" s="23"/>
      <c r="B330" s="401"/>
      <c r="C330" s="23"/>
      <c r="D330" s="401"/>
      <c r="E330" s="23"/>
      <c r="F330" s="23"/>
      <c r="G330" s="23"/>
      <c r="H330" s="401"/>
      <c r="I330" s="23"/>
      <c r="J330" s="23"/>
      <c r="K330" s="402"/>
      <c r="L330" s="23"/>
      <c r="M330" s="40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</row>
    <row r="331" spans="1:31" ht="13">
      <c r="A331" s="23"/>
      <c r="B331" s="401"/>
      <c r="C331" s="23"/>
      <c r="D331" s="401"/>
      <c r="E331" s="23"/>
      <c r="F331" s="23"/>
      <c r="G331" s="23"/>
      <c r="H331" s="401"/>
      <c r="I331" s="23"/>
      <c r="J331" s="23"/>
      <c r="K331" s="402"/>
      <c r="L331" s="23"/>
      <c r="M331" s="40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</row>
    <row r="332" spans="1:31" ht="13">
      <c r="A332" s="23"/>
      <c r="B332" s="401"/>
      <c r="C332" s="23"/>
      <c r="D332" s="401"/>
      <c r="E332" s="23"/>
      <c r="F332" s="23"/>
      <c r="G332" s="23"/>
      <c r="H332" s="401"/>
      <c r="I332" s="23"/>
      <c r="J332" s="23"/>
      <c r="K332" s="402"/>
      <c r="L332" s="23"/>
      <c r="M332" s="40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</row>
    <row r="333" spans="1:31" ht="13">
      <c r="A333" s="23"/>
      <c r="B333" s="401"/>
      <c r="C333" s="23"/>
      <c r="D333" s="401"/>
      <c r="E333" s="23"/>
      <c r="F333" s="23"/>
      <c r="G333" s="23"/>
      <c r="H333" s="401"/>
      <c r="I333" s="23"/>
      <c r="J333" s="23"/>
      <c r="K333" s="402"/>
      <c r="L333" s="23"/>
      <c r="M333" s="40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</row>
    <row r="334" spans="1:31" ht="13">
      <c r="A334" s="23"/>
      <c r="B334" s="401"/>
      <c r="C334" s="23"/>
      <c r="D334" s="401"/>
      <c r="E334" s="23"/>
      <c r="F334" s="23"/>
      <c r="G334" s="23"/>
      <c r="H334" s="401"/>
      <c r="I334" s="23"/>
      <c r="J334" s="23"/>
      <c r="K334" s="402"/>
      <c r="L334" s="23"/>
      <c r="M334" s="40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</row>
    <row r="335" spans="1:31" ht="13">
      <c r="A335" s="23"/>
      <c r="B335" s="401"/>
      <c r="C335" s="23"/>
      <c r="D335" s="401"/>
      <c r="E335" s="23"/>
      <c r="F335" s="23"/>
      <c r="G335" s="23"/>
      <c r="H335" s="401"/>
      <c r="I335" s="23"/>
      <c r="J335" s="23"/>
      <c r="K335" s="402"/>
      <c r="L335" s="23"/>
      <c r="M335" s="40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</row>
    <row r="336" spans="1:31" ht="13">
      <c r="A336" s="23"/>
      <c r="B336" s="401"/>
      <c r="C336" s="23"/>
      <c r="D336" s="401"/>
      <c r="E336" s="23"/>
      <c r="F336" s="23"/>
      <c r="G336" s="23"/>
      <c r="H336" s="401"/>
      <c r="I336" s="23"/>
      <c r="J336" s="23"/>
      <c r="K336" s="402"/>
      <c r="L336" s="23"/>
      <c r="M336" s="40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</row>
    <row r="337" spans="1:31" ht="13">
      <c r="A337" s="23"/>
      <c r="B337" s="401"/>
      <c r="C337" s="23"/>
      <c r="D337" s="401"/>
      <c r="E337" s="23"/>
      <c r="F337" s="23"/>
      <c r="G337" s="23"/>
      <c r="H337" s="401"/>
      <c r="I337" s="23"/>
      <c r="J337" s="23"/>
      <c r="K337" s="402"/>
      <c r="L337" s="23"/>
      <c r="M337" s="40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</row>
    <row r="338" spans="1:31" ht="13">
      <c r="A338" s="23"/>
      <c r="B338" s="401"/>
      <c r="C338" s="23"/>
      <c r="D338" s="401"/>
      <c r="E338" s="23"/>
      <c r="F338" s="23"/>
      <c r="G338" s="23"/>
      <c r="H338" s="401"/>
      <c r="I338" s="23"/>
      <c r="J338" s="23"/>
      <c r="K338" s="402"/>
      <c r="L338" s="23"/>
      <c r="M338" s="40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</row>
    <row r="339" spans="1:31" ht="13">
      <c r="A339" s="23"/>
      <c r="B339" s="401"/>
      <c r="C339" s="23"/>
      <c r="D339" s="401"/>
      <c r="E339" s="23"/>
      <c r="F339" s="23"/>
      <c r="G339" s="23"/>
      <c r="H339" s="401"/>
      <c r="I339" s="23"/>
      <c r="J339" s="23"/>
      <c r="K339" s="402"/>
      <c r="L339" s="23"/>
      <c r="M339" s="40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</row>
    <row r="340" spans="1:31" ht="13">
      <c r="A340" s="23"/>
      <c r="B340" s="401"/>
      <c r="C340" s="23"/>
      <c r="D340" s="401"/>
      <c r="E340" s="23"/>
      <c r="F340" s="23"/>
      <c r="G340" s="23"/>
      <c r="H340" s="401"/>
      <c r="I340" s="23"/>
      <c r="J340" s="23"/>
      <c r="K340" s="402"/>
      <c r="L340" s="23"/>
      <c r="M340" s="40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</row>
    <row r="341" spans="1:31" ht="13">
      <c r="A341" s="23"/>
      <c r="B341" s="401"/>
      <c r="C341" s="23"/>
      <c r="D341" s="401"/>
      <c r="E341" s="23"/>
      <c r="F341" s="23"/>
      <c r="G341" s="23"/>
      <c r="H341" s="401"/>
      <c r="I341" s="23"/>
      <c r="J341" s="23"/>
      <c r="K341" s="402"/>
      <c r="L341" s="23"/>
      <c r="M341" s="40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</row>
    <row r="342" spans="1:31" ht="13">
      <c r="A342" s="23"/>
      <c r="B342" s="401"/>
      <c r="C342" s="23"/>
      <c r="D342" s="401"/>
      <c r="E342" s="23"/>
      <c r="F342" s="23"/>
      <c r="G342" s="23"/>
      <c r="H342" s="401"/>
      <c r="I342" s="23"/>
      <c r="J342" s="23"/>
      <c r="K342" s="402"/>
      <c r="L342" s="23"/>
      <c r="M342" s="40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</row>
    <row r="343" spans="1:31" ht="13">
      <c r="A343" s="23"/>
      <c r="B343" s="401"/>
      <c r="C343" s="23"/>
      <c r="D343" s="401"/>
      <c r="E343" s="23"/>
      <c r="F343" s="23"/>
      <c r="G343" s="23"/>
      <c r="H343" s="401"/>
      <c r="I343" s="23"/>
      <c r="J343" s="23"/>
      <c r="K343" s="402"/>
      <c r="L343" s="23"/>
      <c r="M343" s="40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</row>
    <row r="344" spans="1:31" ht="13">
      <c r="A344" s="23"/>
      <c r="B344" s="401"/>
      <c r="C344" s="23"/>
      <c r="D344" s="401"/>
      <c r="E344" s="23"/>
      <c r="F344" s="23"/>
      <c r="G344" s="23"/>
      <c r="H344" s="401"/>
      <c r="I344" s="23"/>
      <c r="J344" s="23"/>
      <c r="K344" s="402"/>
      <c r="L344" s="23"/>
      <c r="M344" s="40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</row>
    <row r="345" spans="1:31" ht="13">
      <c r="A345" s="23"/>
      <c r="B345" s="401"/>
      <c r="C345" s="23"/>
      <c r="D345" s="401"/>
      <c r="E345" s="23"/>
      <c r="F345" s="23"/>
      <c r="G345" s="23"/>
      <c r="H345" s="401"/>
      <c r="I345" s="23"/>
      <c r="J345" s="23"/>
      <c r="K345" s="402"/>
      <c r="L345" s="23"/>
      <c r="M345" s="40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</row>
    <row r="346" spans="1:31" ht="13">
      <c r="A346" s="23"/>
      <c r="B346" s="401"/>
      <c r="C346" s="23"/>
      <c r="D346" s="401"/>
      <c r="E346" s="23"/>
      <c r="F346" s="23"/>
      <c r="G346" s="23"/>
      <c r="H346" s="401"/>
      <c r="I346" s="23"/>
      <c r="J346" s="23"/>
      <c r="K346" s="402"/>
      <c r="L346" s="23"/>
      <c r="M346" s="40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</row>
    <row r="347" spans="1:31" ht="13">
      <c r="A347" s="23"/>
      <c r="B347" s="401"/>
      <c r="C347" s="23"/>
      <c r="D347" s="401"/>
      <c r="E347" s="23"/>
      <c r="F347" s="23"/>
      <c r="G347" s="23"/>
      <c r="H347" s="401"/>
      <c r="I347" s="23"/>
      <c r="J347" s="23"/>
      <c r="K347" s="402"/>
      <c r="L347" s="23"/>
      <c r="M347" s="40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</row>
    <row r="348" spans="1:31" ht="13">
      <c r="A348" s="23"/>
      <c r="B348" s="401"/>
      <c r="C348" s="23"/>
      <c r="D348" s="401"/>
      <c r="E348" s="23"/>
      <c r="F348" s="23"/>
      <c r="G348" s="23"/>
      <c r="H348" s="401"/>
      <c r="I348" s="23"/>
      <c r="J348" s="23"/>
      <c r="K348" s="402"/>
      <c r="L348" s="23"/>
      <c r="M348" s="40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</row>
    <row r="349" spans="1:31" ht="13">
      <c r="A349" s="23"/>
      <c r="B349" s="401"/>
      <c r="C349" s="23"/>
      <c r="D349" s="401"/>
      <c r="E349" s="23"/>
      <c r="F349" s="23"/>
      <c r="G349" s="23"/>
      <c r="H349" s="401"/>
      <c r="I349" s="23"/>
      <c r="J349" s="23"/>
      <c r="K349" s="402"/>
      <c r="L349" s="23"/>
      <c r="M349" s="40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</row>
    <row r="350" spans="1:31" ht="13">
      <c r="A350" s="23"/>
      <c r="B350" s="401"/>
      <c r="C350" s="23"/>
      <c r="D350" s="401"/>
      <c r="E350" s="23"/>
      <c r="F350" s="23"/>
      <c r="G350" s="23"/>
      <c r="H350" s="401"/>
      <c r="I350" s="23"/>
      <c r="J350" s="23"/>
      <c r="K350" s="402"/>
      <c r="L350" s="23"/>
      <c r="M350" s="40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</row>
    <row r="351" spans="1:31" ht="13">
      <c r="A351" s="23"/>
      <c r="B351" s="401"/>
      <c r="C351" s="23"/>
      <c r="D351" s="401"/>
      <c r="E351" s="23"/>
      <c r="F351" s="23"/>
      <c r="G351" s="23"/>
      <c r="H351" s="401"/>
      <c r="I351" s="23"/>
      <c r="J351" s="23"/>
      <c r="K351" s="402"/>
      <c r="L351" s="23"/>
      <c r="M351" s="40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</row>
    <row r="352" spans="1:31" ht="13">
      <c r="A352" s="23"/>
      <c r="B352" s="401"/>
      <c r="C352" s="23"/>
      <c r="D352" s="401"/>
      <c r="E352" s="23"/>
      <c r="F352" s="23"/>
      <c r="G352" s="23"/>
      <c r="H352" s="401"/>
      <c r="I352" s="23"/>
      <c r="J352" s="23"/>
      <c r="K352" s="402"/>
      <c r="L352" s="23"/>
      <c r="M352" s="40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</row>
    <row r="353" spans="1:31" ht="13">
      <c r="A353" s="23"/>
      <c r="B353" s="401"/>
      <c r="C353" s="23"/>
      <c r="D353" s="401"/>
      <c r="E353" s="23"/>
      <c r="F353" s="23"/>
      <c r="G353" s="23"/>
      <c r="H353" s="401"/>
      <c r="I353" s="23"/>
      <c r="J353" s="23"/>
      <c r="K353" s="402"/>
      <c r="L353" s="23"/>
      <c r="M353" s="40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</row>
    <row r="354" spans="1:31" ht="13">
      <c r="A354" s="23"/>
      <c r="B354" s="401"/>
      <c r="C354" s="23"/>
      <c r="D354" s="401"/>
      <c r="E354" s="23"/>
      <c r="F354" s="23"/>
      <c r="G354" s="23"/>
      <c r="H354" s="401"/>
      <c r="I354" s="23"/>
      <c r="J354" s="23"/>
      <c r="K354" s="402"/>
      <c r="L354" s="23"/>
      <c r="M354" s="40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</row>
    <row r="355" spans="1:31" ht="13">
      <c r="A355" s="23"/>
      <c r="B355" s="401"/>
      <c r="C355" s="23"/>
      <c r="D355" s="401"/>
      <c r="E355" s="23"/>
      <c r="F355" s="23"/>
      <c r="G355" s="23"/>
      <c r="H355" s="401"/>
      <c r="I355" s="23"/>
      <c r="J355" s="23"/>
      <c r="K355" s="402"/>
      <c r="L355" s="23"/>
      <c r="M355" s="40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</row>
    <row r="356" spans="1:31" ht="13">
      <c r="A356" s="23"/>
      <c r="B356" s="401"/>
      <c r="C356" s="23"/>
      <c r="D356" s="401"/>
      <c r="E356" s="23"/>
      <c r="F356" s="23"/>
      <c r="G356" s="23"/>
      <c r="H356" s="401"/>
      <c r="I356" s="23"/>
      <c r="J356" s="23"/>
      <c r="K356" s="402"/>
      <c r="L356" s="23"/>
      <c r="M356" s="40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</row>
    <row r="357" spans="1:31" ht="13">
      <c r="A357" s="23"/>
      <c r="B357" s="401"/>
      <c r="C357" s="23"/>
      <c r="D357" s="401"/>
      <c r="E357" s="23"/>
      <c r="F357" s="23"/>
      <c r="G357" s="23"/>
      <c r="H357" s="401"/>
      <c r="I357" s="23"/>
      <c r="J357" s="23"/>
      <c r="K357" s="402"/>
      <c r="L357" s="23"/>
      <c r="M357" s="40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</row>
    <row r="358" spans="1:31" ht="13">
      <c r="A358" s="23"/>
      <c r="B358" s="401"/>
      <c r="C358" s="23"/>
      <c r="D358" s="401"/>
      <c r="E358" s="23"/>
      <c r="F358" s="23"/>
      <c r="G358" s="23"/>
      <c r="H358" s="401"/>
      <c r="I358" s="23"/>
      <c r="J358" s="23"/>
      <c r="K358" s="402"/>
      <c r="L358" s="23"/>
      <c r="M358" s="40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</row>
    <row r="359" spans="1:31" ht="13">
      <c r="A359" s="23"/>
      <c r="B359" s="401"/>
      <c r="C359" s="23"/>
      <c r="D359" s="401"/>
      <c r="E359" s="23"/>
      <c r="F359" s="23"/>
      <c r="G359" s="23"/>
      <c r="H359" s="401"/>
      <c r="I359" s="23"/>
      <c r="J359" s="23"/>
      <c r="K359" s="402"/>
      <c r="L359" s="23"/>
      <c r="M359" s="40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</row>
    <row r="360" spans="1:31" ht="13">
      <c r="A360" s="23"/>
      <c r="B360" s="401"/>
      <c r="C360" s="23"/>
      <c r="D360" s="401"/>
      <c r="E360" s="23"/>
      <c r="F360" s="23"/>
      <c r="G360" s="23"/>
      <c r="H360" s="401"/>
      <c r="I360" s="23"/>
      <c r="J360" s="23"/>
      <c r="K360" s="402"/>
      <c r="L360" s="23"/>
      <c r="M360" s="40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</row>
    <row r="361" spans="1:31" ht="13">
      <c r="A361" s="23"/>
      <c r="B361" s="401"/>
      <c r="C361" s="23"/>
      <c r="D361" s="401"/>
      <c r="E361" s="23"/>
      <c r="F361" s="23"/>
      <c r="G361" s="23"/>
      <c r="H361" s="401"/>
      <c r="I361" s="23"/>
      <c r="J361" s="23"/>
      <c r="K361" s="402"/>
      <c r="L361" s="23"/>
      <c r="M361" s="40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</row>
    <row r="362" spans="1:31" ht="13">
      <c r="A362" s="23"/>
      <c r="B362" s="401"/>
      <c r="C362" s="23"/>
      <c r="D362" s="401"/>
      <c r="E362" s="23"/>
      <c r="F362" s="23"/>
      <c r="G362" s="23"/>
      <c r="H362" s="401"/>
      <c r="I362" s="23"/>
      <c r="J362" s="23"/>
      <c r="K362" s="402"/>
      <c r="L362" s="23"/>
      <c r="M362" s="40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</row>
    <row r="363" spans="1:31" ht="13">
      <c r="A363" s="23"/>
      <c r="B363" s="401"/>
      <c r="C363" s="23"/>
      <c r="D363" s="401"/>
      <c r="E363" s="23"/>
      <c r="F363" s="23"/>
      <c r="G363" s="23"/>
      <c r="H363" s="401"/>
      <c r="I363" s="23"/>
      <c r="J363" s="23"/>
      <c r="K363" s="402"/>
      <c r="L363" s="23"/>
      <c r="M363" s="40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</row>
    <row r="364" spans="1:31" ht="13">
      <c r="A364" s="23"/>
      <c r="B364" s="401"/>
      <c r="C364" s="23"/>
      <c r="D364" s="401"/>
      <c r="E364" s="23"/>
      <c r="F364" s="23"/>
      <c r="G364" s="23"/>
      <c r="H364" s="401"/>
      <c r="I364" s="23"/>
      <c r="J364" s="23"/>
      <c r="K364" s="402"/>
      <c r="L364" s="23"/>
      <c r="M364" s="40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</row>
    <row r="365" spans="1:31" ht="13">
      <c r="A365" s="23"/>
      <c r="B365" s="401"/>
      <c r="C365" s="23"/>
      <c r="D365" s="401"/>
      <c r="E365" s="23"/>
      <c r="F365" s="23"/>
      <c r="G365" s="23"/>
      <c r="H365" s="401"/>
      <c r="I365" s="23"/>
      <c r="J365" s="23"/>
      <c r="K365" s="402"/>
      <c r="L365" s="23"/>
      <c r="M365" s="40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</row>
    <row r="366" spans="1:31" ht="13">
      <c r="A366" s="23"/>
      <c r="B366" s="401"/>
      <c r="C366" s="23"/>
      <c r="D366" s="401"/>
      <c r="E366" s="23"/>
      <c r="F366" s="23"/>
      <c r="G366" s="23"/>
      <c r="H366" s="401"/>
      <c r="I366" s="23"/>
      <c r="J366" s="23"/>
      <c r="K366" s="402"/>
      <c r="L366" s="23"/>
      <c r="M366" s="40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</row>
    <row r="367" spans="1:31" ht="13">
      <c r="A367" s="23"/>
      <c r="B367" s="401"/>
      <c r="C367" s="23"/>
      <c r="D367" s="401"/>
      <c r="E367" s="23"/>
      <c r="F367" s="23"/>
      <c r="G367" s="23"/>
      <c r="H367" s="401"/>
      <c r="I367" s="23"/>
      <c r="J367" s="23"/>
      <c r="K367" s="402"/>
      <c r="L367" s="23"/>
      <c r="M367" s="40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</row>
    <row r="368" spans="1:31" ht="13">
      <c r="A368" s="23"/>
      <c r="B368" s="401"/>
      <c r="C368" s="23"/>
      <c r="D368" s="401"/>
      <c r="E368" s="23"/>
      <c r="F368" s="23"/>
      <c r="G368" s="23"/>
      <c r="H368" s="401"/>
      <c r="I368" s="23"/>
      <c r="J368" s="23"/>
      <c r="K368" s="402"/>
      <c r="L368" s="23"/>
      <c r="M368" s="40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</row>
    <row r="369" spans="1:31" ht="13">
      <c r="A369" s="23"/>
      <c r="B369" s="401"/>
      <c r="C369" s="23"/>
      <c r="D369" s="401"/>
      <c r="E369" s="23"/>
      <c r="F369" s="23"/>
      <c r="G369" s="23"/>
      <c r="H369" s="401"/>
      <c r="I369" s="23"/>
      <c r="J369" s="23"/>
      <c r="K369" s="402"/>
      <c r="L369" s="23"/>
      <c r="M369" s="40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</row>
    <row r="370" spans="1:31" ht="13">
      <c r="A370" s="23"/>
      <c r="B370" s="401"/>
      <c r="C370" s="23"/>
      <c r="D370" s="401"/>
      <c r="E370" s="23"/>
      <c r="F370" s="23"/>
      <c r="G370" s="23"/>
      <c r="H370" s="401"/>
      <c r="I370" s="23"/>
      <c r="J370" s="23"/>
      <c r="K370" s="402"/>
      <c r="L370" s="23"/>
      <c r="M370" s="40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</row>
    <row r="371" spans="1:31" ht="13">
      <c r="A371" s="23"/>
      <c r="B371" s="401"/>
      <c r="C371" s="23"/>
      <c r="D371" s="401"/>
      <c r="E371" s="23"/>
      <c r="F371" s="23"/>
      <c r="G371" s="23"/>
      <c r="H371" s="401"/>
      <c r="I371" s="23"/>
      <c r="J371" s="23"/>
      <c r="K371" s="402"/>
      <c r="L371" s="23"/>
      <c r="M371" s="40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</row>
    <row r="372" spans="1:31" ht="13">
      <c r="A372" s="23"/>
      <c r="B372" s="401"/>
      <c r="C372" s="23"/>
      <c r="D372" s="401"/>
      <c r="E372" s="23"/>
      <c r="F372" s="23"/>
      <c r="G372" s="23"/>
      <c r="H372" s="401"/>
      <c r="I372" s="23"/>
      <c r="J372" s="23"/>
      <c r="K372" s="402"/>
      <c r="L372" s="23"/>
      <c r="M372" s="40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</row>
    <row r="373" spans="1:31" ht="13">
      <c r="A373" s="23"/>
      <c r="B373" s="401"/>
      <c r="C373" s="23"/>
      <c r="D373" s="401"/>
      <c r="E373" s="23"/>
      <c r="F373" s="23"/>
      <c r="G373" s="23"/>
      <c r="H373" s="401"/>
      <c r="I373" s="23"/>
      <c r="J373" s="23"/>
      <c r="K373" s="402"/>
      <c r="L373" s="23"/>
      <c r="M373" s="40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</row>
    <row r="374" spans="1:31" ht="13">
      <c r="A374" s="23"/>
      <c r="B374" s="401"/>
      <c r="C374" s="23"/>
      <c r="D374" s="401"/>
      <c r="E374" s="23"/>
      <c r="F374" s="23"/>
      <c r="G374" s="23"/>
      <c r="H374" s="401"/>
      <c r="I374" s="23"/>
      <c r="J374" s="23"/>
      <c r="K374" s="402"/>
      <c r="L374" s="23"/>
      <c r="M374" s="40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</row>
    <row r="375" spans="1:31" ht="13">
      <c r="A375" s="23"/>
      <c r="B375" s="401"/>
      <c r="C375" s="23"/>
      <c r="D375" s="401"/>
      <c r="E375" s="23"/>
      <c r="F375" s="23"/>
      <c r="G375" s="23"/>
      <c r="H375" s="401"/>
      <c r="I375" s="23"/>
      <c r="J375" s="23"/>
      <c r="K375" s="402"/>
      <c r="L375" s="23"/>
      <c r="M375" s="40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</row>
    <row r="376" spans="1:31" ht="13">
      <c r="A376" s="23"/>
      <c r="B376" s="401"/>
      <c r="C376" s="23"/>
      <c r="D376" s="401"/>
      <c r="E376" s="23"/>
      <c r="F376" s="23"/>
      <c r="G376" s="23"/>
      <c r="H376" s="401"/>
      <c r="I376" s="23"/>
      <c r="J376" s="23"/>
      <c r="K376" s="402"/>
      <c r="L376" s="23"/>
      <c r="M376" s="40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</row>
    <row r="377" spans="1:31" ht="13">
      <c r="A377" s="23"/>
      <c r="B377" s="401"/>
      <c r="C377" s="23"/>
      <c r="D377" s="401"/>
      <c r="E377" s="23"/>
      <c r="F377" s="23"/>
      <c r="G377" s="23"/>
      <c r="H377" s="401"/>
      <c r="I377" s="23"/>
      <c r="J377" s="23"/>
      <c r="K377" s="402"/>
      <c r="L377" s="23"/>
      <c r="M377" s="40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</row>
    <row r="378" spans="1:31" ht="13">
      <c r="A378" s="23"/>
      <c r="B378" s="401"/>
      <c r="C378" s="23"/>
      <c r="D378" s="401"/>
      <c r="E378" s="23"/>
      <c r="F378" s="23"/>
      <c r="G378" s="23"/>
      <c r="H378" s="401"/>
      <c r="I378" s="23"/>
      <c r="J378" s="23"/>
      <c r="K378" s="402"/>
      <c r="L378" s="23"/>
      <c r="M378" s="40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</row>
    <row r="379" spans="1:31" ht="13">
      <c r="A379" s="23"/>
      <c r="B379" s="401"/>
      <c r="C379" s="23"/>
      <c r="D379" s="401"/>
      <c r="E379" s="23"/>
      <c r="F379" s="23"/>
      <c r="G379" s="23"/>
      <c r="H379" s="401"/>
      <c r="I379" s="23"/>
      <c r="J379" s="23"/>
      <c r="K379" s="402"/>
      <c r="L379" s="23"/>
      <c r="M379" s="40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</row>
    <row r="380" spans="1:31" ht="13">
      <c r="A380" s="23"/>
      <c r="B380" s="401"/>
      <c r="C380" s="23"/>
      <c r="D380" s="401"/>
      <c r="E380" s="23"/>
      <c r="F380" s="23"/>
      <c r="G380" s="23"/>
      <c r="H380" s="401"/>
      <c r="I380" s="23"/>
      <c r="J380" s="23"/>
      <c r="K380" s="402"/>
      <c r="L380" s="23"/>
      <c r="M380" s="40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</row>
    <row r="381" spans="1:31" ht="13">
      <c r="A381" s="23"/>
      <c r="B381" s="401"/>
      <c r="C381" s="23"/>
      <c r="D381" s="401"/>
      <c r="E381" s="23"/>
      <c r="F381" s="23"/>
      <c r="G381" s="23"/>
      <c r="H381" s="401"/>
      <c r="I381" s="23"/>
      <c r="J381" s="23"/>
      <c r="K381" s="402"/>
      <c r="L381" s="23"/>
      <c r="M381" s="40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</row>
    <row r="382" spans="1:31" ht="13">
      <c r="A382" s="23"/>
      <c r="B382" s="401"/>
      <c r="C382" s="23"/>
      <c r="D382" s="401"/>
      <c r="E382" s="23"/>
      <c r="F382" s="23"/>
      <c r="G382" s="23"/>
      <c r="H382" s="401"/>
      <c r="I382" s="23"/>
      <c r="J382" s="23"/>
      <c r="K382" s="402"/>
      <c r="L382" s="23"/>
      <c r="M382" s="40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</row>
    <row r="383" spans="1:31" ht="13">
      <c r="A383" s="23"/>
      <c r="B383" s="401"/>
      <c r="C383" s="23"/>
      <c r="D383" s="401"/>
      <c r="E383" s="23"/>
      <c r="F383" s="23"/>
      <c r="G383" s="23"/>
      <c r="H383" s="401"/>
      <c r="I383" s="23"/>
      <c r="J383" s="23"/>
      <c r="K383" s="402"/>
      <c r="L383" s="23"/>
      <c r="M383" s="40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</row>
    <row r="384" spans="1:31" ht="13">
      <c r="A384" s="23"/>
      <c r="B384" s="401"/>
      <c r="C384" s="23"/>
      <c r="D384" s="401"/>
      <c r="E384" s="23"/>
      <c r="F384" s="23"/>
      <c r="G384" s="23"/>
      <c r="H384" s="401"/>
      <c r="I384" s="23"/>
      <c r="J384" s="23"/>
      <c r="K384" s="402"/>
      <c r="L384" s="23"/>
      <c r="M384" s="40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</row>
    <row r="385" spans="1:31" ht="13">
      <c r="A385" s="23"/>
      <c r="B385" s="401"/>
      <c r="C385" s="23"/>
      <c r="D385" s="401"/>
      <c r="E385" s="23"/>
      <c r="F385" s="23"/>
      <c r="G385" s="23"/>
      <c r="H385" s="401"/>
      <c r="I385" s="23"/>
      <c r="J385" s="23"/>
      <c r="K385" s="402"/>
      <c r="L385" s="23"/>
      <c r="M385" s="40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</row>
    <row r="386" spans="1:31" ht="13">
      <c r="A386" s="23"/>
      <c r="B386" s="401"/>
      <c r="C386" s="23"/>
      <c r="D386" s="401"/>
      <c r="E386" s="23"/>
      <c r="F386" s="23"/>
      <c r="G386" s="23"/>
      <c r="H386" s="401"/>
      <c r="I386" s="23"/>
      <c r="J386" s="23"/>
      <c r="K386" s="402"/>
      <c r="L386" s="23"/>
      <c r="M386" s="40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</row>
    <row r="387" spans="1:31" ht="13">
      <c r="A387" s="23"/>
      <c r="B387" s="401"/>
      <c r="C387" s="23"/>
      <c r="D387" s="401"/>
      <c r="E387" s="23"/>
      <c r="F387" s="23"/>
      <c r="G387" s="23"/>
      <c r="H387" s="401"/>
      <c r="I387" s="23"/>
      <c r="J387" s="23"/>
      <c r="K387" s="402"/>
      <c r="L387" s="23"/>
      <c r="M387" s="40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</row>
    <row r="388" spans="1:31" ht="13">
      <c r="A388" s="23"/>
      <c r="B388" s="401"/>
      <c r="C388" s="23"/>
      <c r="D388" s="401"/>
      <c r="E388" s="23"/>
      <c r="F388" s="23"/>
      <c r="G388" s="23"/>
      <c r="H388" s="401"/>
      <c r="I388" s="23"/>
      <c r="J388" s="23"/>
      <c r="K388" s="402"/>
      <c r="L388" s="23"/>
      <c r="M388" s="40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</row>
    <row r="389" spans="1:31" ht="13">
      <c r="A389" s="23"/>
      <c r="B389" s="401"/>
      <c r="C389" s="23"/>
      <c r="D389" s="401"/>
      <c r="E389" s="23"/>
      <c r="F389" s="23"/>
      <c r="G389" s="23"/>
      <c r="H389" s="401"/>
      <c r="I389" s="23"/>
      <c r="J389" s="23"/>
      <c r="K389" s="402"/>
      <c r="L389" s="23"/>
      <c r="M389" s="40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</row>
    <row r="390" spans="1:31" ht="13">
      <c r="A390" s="23"/>
      <c r="B390" s="401"/>
      <c r="C390" s="23"/>
      <c r="D390" s="401"/>
      <c r="E390" s="23"/>
      <c r="F390" s="23"/>
      <c r="G390" s="23"/>
      <c r="H390" s="401"/>
      <c r="I390" s="23"/>
      <c r="J390" s="23"/>
      <c r="K390" s="402"/>
      <c r="L390" s="23"/>
      <c r="M390" s="40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</row>
    <row r="391" spans="1:31" ht="13">
      <c r="A391" s="23"/>
      <c r="B391" s="401"/>
      <c r="C391" s="23"/>
      <c r="D391" s="401"/>
      <c r="E391" s="23"/>
      <c r="F391" s="23"/>
      <c r="G391" s="23"/>
      <c r="H391" s="401"/>
      <c r="I391" s="23"/>
      <c r="J391" s="23"/>
      <c r="K391" s="402"/>
      <c r="L391" s="23"/>
      <c r="M391" s="40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</row>
    <row r="392" spans="1:31" ht="13">
      <c r="A392" s="23"/>
      <c r="B392" s="401"/>
      <c r="C392" s="23"/>
      <c r="D392" s="401"/>
      <c r="E392" s="23"/>
      <c r="F392" s="23"/>
      <c r="G392" s="23"/>
      <c r="H392" s="401"/>
      <c r="I392" s="23"/>
      <c r="J392" s="23"/>
      <c r="K392" s="402"/>
      <c r="L392" s="23"/>
      <c r="M392" s="40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</row>
    <row r="393" spans="1:31" ht="13">
      <c r="A393" s="23"/>
      <c r="B393" s="401"/>
      <c r="C393" s="23"/>
      <c r="D393" s="401"/>
      <c r="E393" s="23"/>
      <c r="F393" s="23"/>
      <c r="G393" s="23"/>
      <c r="H393" s="401"/>
      <c r="I393" s="23"/>
      <c r="J393" s="23"/>
      <c r="K393" s="402"/>
      <c r="L393" s="23"/>
      <c r="M393" s="40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</row>
    <row r="394" spans="1:31" ht="13">
      <c r="A394" s="23"/>
      <c r="B394" s="401"/>
      <c r="C394" s="23"/>
      <c r="D394" s="401"/>
      <c r="E394" s="23"/>
      <c r="F394" s="23"/>
      <c r="G394" s="23"/>
      <c r="H394" s="401"/>
      <c r="I394" s="23"/>
      <c r="J394" s="23"/>
      <c r="K394" s="402"/>
      <c r="L394" s="23"/>
      <c r="M394" s="40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</row>
    <row r="395" spans="1:31" ht="13">
      <c r="A395" s="23"/>
      <c r="B395" s="401"/>
      <c r="C395" s="23"/>
      <c r="D395" s="401"/>
      <c r="E395" s="23"/>
      <c r="F395" s="23"/>
      <c r="G395" s="23"/>
      <c r="H395" s="401"/>
      <c r="I395" s="23"/>
      <c r="J395" s="23"/>
      <c r="K395" s="402"/>
      <c r="L395" s="23"/>
      <c r="M395" s="40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</row>
    <row r="396" spans="1:31" ht="13">
      <c r="A396" s="23"/>
      <c r="B396" s="401"/>
      <c r="C396" s="23"/>
      <c r="D396" s="401"/>
      <c r="E396" s="23"/>
      <c r="F396" s="23"/>
      <c r="G396" s="23"/>
      <c r="H396" s="401"/>
      <c r="I396" s="23"/>
      <c r="J396" s="23"/>
      <c r="K396" s="402"/>
      <c r="L396" s="23"/>
      <c r="M396" s="40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</row>
    <row r="397" spans="1:31" ht="13">
      <c r="A397" s="23"/>
      <c r="B397" s="401"/>
      <c r="C397" s="23"/>
      <c r="D397" s="401"/>
      <c r="E397" s="23"/>
      <c r="F397" s="23"/>
      <c r="G397" s="23"/>
      <c r="H397" s="401"/>
      <c r="I397" s="23"/>
      <c r="J397" s="23"/>
      <c r="K397" s="402"/>
      <c r="L397" s="23"/>
      <c r="M397" s="40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</row>
    <row r="398" spans="1:31" ht="13">
      <c r="A398" s="23"/>
      <c r="B398" s="401"/>
      <c r="C398" s="23"/>
      <c r="D398" s="401"/>
      <c r="E398" s="23"/>
      <c r="F398" s="23"/>
      <c r="G398" s="23"/>
      <c r="H398" s="401"/>
      <c r="I398" s="23"/>
      <c r="J398" s="23"/>
      <c r="K398" s="402"/>
      <c r="L398" s="23"/>
      <c r="M398" s="40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</row>
    <row r="399" spans="1:31" ht="13">
      <c r="A399" s="23"/>
      <c r="B399" s="401"/>
      <c r="C399" s="23"/>
      <c r="D399" s="401"/>
      <c r="E399" s="23"/>
      <c r="F399" s="23"/>
      <c r="G399" s="23"/>
      <c r="H399" s="401"/>
      <c r="I399" s="23"/>
      <c r="J399" s="23"/>
      <c r="K399" s="402"/>
      <c r="L399" s="23"/>
      <c r="M399" s="40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</row>
    <row r="400" spans="1:31" ht="13">
      <c r="A400" s="23"/>
      <c r="B400" s="401"/>
      <c r="C400" s="23"/>
      <c r="D400" s="401"/>
      <c r="E400" s="23"/>
      <c r="F400" s="23"/>
      <c r="G400" s="23"/>
      <c r="H400" s="401"/>
      <c r="I400" s="23"/>
      <c r="J400" s="23"/>
      <c r="K400" s="402"/>
      <c r="L400" s="23"/>
      <c r="M400" s="40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</row>
    <row r="401" spans="1:31" ht="13">
      <c r="A401" s="23"/>
      <c r="B401" s="401"/>
      <c r="C401" s="23"/>
      <c r="D401" s="401"/>
      <c r="E401" s="23"/>
      <c r="F401" s="23"/>
      <c r="G401" s="23"/>
      <c r="H401" s="401"/>
      <c r="I401" s="23"/>
      <c r="J401" s="23"/>
      <c r="K401" s="402"/>
      <c r="L401" s="23"/>
      <c r="M401" s="40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</row>
    <row r="402" spans="1:31" ht="13">
      <c r="A402" s="23"/>
      <c r="B402" s="401"/>
      <c r="C402" s="23"/>
      <c r="D402" s="401"/>
      <c r="E402" s="23"/>
      <c r="F402" s="23"/>
      <c r="G402" s="23"/>
      <c r="H402" s="401"/>
      <c r="I402" s="23"/>
      <c r="J402" s="23"/>
      <c r="K402" s="402"/>
      <c r="L402" s="23"/>
      <c r="M402" s="40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</row>
    <row r="403" spans="1:31" ht="13">
      <c r="A403" s="23"/>
      <c r="B403" s="401"/>
      <c r="C403" s="23"/>
      <c r="D403" s="401"/>
      <c r="E403" s="23"/>
      <c r="F403" s="23"/>
      <c r="G403" s="23"/>
      <c r="H403" s="401"/>
      <c r="I403" s="23"/>
      <c r="J403" s="23"/>
      <c r="K403" s="402"/>
      <c r="L403" s="23"/>
      <c r="M403" s="40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</row>
    <row r="404" spans="1:31" ht="13">
      <c r="A404" s="23"/>
      <c r="B404" s="401"/>
      <c r="C404" s="23"/>
      <c r="D404" s="401"/>
      <c r="E404" s="23"/>
      <c r="F404" s="23"/>
      <c r="G404" s="23"/>
      <c r="H404" s="401"/>
      <c r="I404" s="23"/>
      <c r="J404" s="23"/>
      <c r="K404" s="402"/>
      <c r="L404" s="23"/>
      <c r="M404" s="40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</row>
    <row r="405" spans="1:31" ht="13">
      <c r="A405" s="23"/>
      <c r="B405" s="401"/>
      <c r="C405" s="23"/>
      <c r="D405" s="401"/>
      <c r="E405" s="23"/>
      <c r="F405" s="23"/>
      <c r="G405" s="23"/>
      <c r="H405" s="401"/>
      <c r="I405" s="23"/>
      <c r="J405" s="23"/>
      <c r="K405" s="402"/>
      <c r="L405" s="23"/>
      <c r="M405" s="40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</row>
    <row r="406" spans="1:31" ht="13">
      <c r="A406" s="23"/>
      <c r="B406" s="401"/>
      <c r="C406" s="23"/>
      <c r="D406" s="401"/>
      <c r="E406" s="23"/>
      <c r="F406" s="23"/>
      <c r="G406" s="23"/>
      <c r="H406" s="401"/>
      <c r="I406" s="23"/>
      <c r="J406" s="23"/>
      <c r="K406" s="402"/>
      <c r="L406" s="23"/>
      <c r="M406" s="40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</row>
    <row r="407" spans="1:31" ht="13">
      <c r="A407" s="23"/>
      <c r="B407" s="401"/>
      <c r="C407" s="23"/>
      <c r="D407" s="401"/>
      <c r="E407" s="23"/>
      <c r="F407" s="23"/>
      <c r="G407" s="23"/>
      <c r="H407" s="401"/>
      <c r="I407" s="23"/>
      <c r="J407" s="23"/>
      <c r="K407" s="402"/>
      <c r="L407" s="23"/>
      <c r="M407" s="40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</row>
    <row r="408" spans="1:31" ht="13">
      <c r="A408" s="23"/>
      <c r="B408" s="401"/>
      <c r="C408" s="23"/>
      <c r="D408" s="401"/>
      <c r="E408" s="23"/>
      <c r="F408" s="23"/>
      <c r="G408" s="23"/>
      <c r="H408" s="401"/>
      <c r="I408" s="23"/>
      <c r="J408" s="23"/>
      <c r="K408" s="402"/>
      <c r="L408" s="23"/>
      <c r="M408" s="40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</row>
    <row r="409" spans="1:31" ht="13">
      <c r="A409" s="23"/>
      <c r="B409" s="401"/>
      <c r="C409" s="23"/>
      <c r="D409" s="401"/>
      <c r="E409" s="23"/>
      <c r="F409" s="23"/>
      <c r="G409" s="23"/>
      <c r="H409" s="401"/>
      <c r="I409" s="23"/>
      <c r="J409" s="23"/>
      <c r="K409" s="402"/>
      <c r="L409" s="23"/>
      <c r="M409" s="40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</row>
    <row r="410" spans="1:31" ht="13">
      <c r="A410" s="23"/>
      <c r="B410" s="401"/>
      <c r="C410" s="23"/>
      <c r="D410" s="401"/>
      <c r="E410" s="23"/>
      <c r="F410" s="23"/>
      <c r="G410" s="23"/>
      <c r="H410" s="401"/>
      <c r="I410" s="23"/>
      <c r="J410" s="23"/>
      <c r="K410" s="402"/>
      <c r="L410" s="23"/>
      <c r="M410" s="40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</row>
    <row r="411" spans="1:31" ht="13">
      <c r="A411" s="23"/>
      <c r="B411" s="401"/>
      <c r="C411" s="23"/>
      <c r="D411" s="401"/>
      <c r="E411" s="23"/>
      <c r="F411" s="23"/>
      <c r="G411" s="23"/>
      <c r="H411" s="401"/>
      <c r="I411" s="23"/>
      <c r="J411" s="23"/>
      <c r="K411" s="402"/>
      <c r="L411" s="23"/>
      <c r="M411" s="40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</row>
    <row r="412" spans="1:31" ht="13">
      <c r="A412" s="23"/>
      <c r="B412" s="401"/>
      <c r="C412" s="23"/>
      <c r="D412" s="401"/>
      <c r="E412" s="23"/>
      <c r="F412" s="23"/>
      <c r="G412" s="23"/>
      <c r="H412" s="401"/>
      <c r="I412" s="23"/>
      <c r="J412" s="23"/>
      <c r="K412" s="402"/>
      <c r="L412" s="23"/>
      <c r="M412" s="40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</row>
    <row r="413" spans="1:31" ht="13">
      <c r="A413" s="23"/>
      <c r="B413" s="401"/>
      <c r="C413" s="23"/>
      <c r="D413" s="401"/>
      <c r="E413" s="23"/>
      <c r="F413" s="23"/>
      <c r="G413" s="23"/>
      <c r="H413" s="401"/>
      <c r="I413" s="23"/>
      <c r="J413" s="23"/>
      <c r="K413" s="402"/>
      <c r="L413" s="23"/>
      <c r="M413" s="40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</row>
    <row r="414" spans="1:31" ht="13">
      <c r="A414" s="23"/>
      <c r="B414" s="401"/>
      <c r="C414" s="23"/>
      <c r="D414" s="401"/>
      <c r="E414" s="23"/>
      <c r="F414" s="23"/>
      <c r="G414" s="23"/>
      <c r="H414" s="401"/>
      <c r="I414" s="23"/>
      <c r="J414" s="23"/>
      <c r="K414" s="402"/>
      <c r="L414" s="23"/>
      <c r="M414" s="40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</row>
    <row r="415" spans="1:31" ht="13">
      <c r="A415" s="23"/>
      <c r="B415" s="401"/>
      <c r="C415" s="23"/>
      <c r="D415" s="401"/>
      <c r="E415" s="23"/>
      <c r="F415" s="23"/>
      <c r="G415" s="23"/>
      <c r="H415" s="401"/>
      <c r="I415" s="23"/>
      <c r="J415" s="23"/>
      <c r="K415" s="402"/>
      <c r="L415" s="23"/>
      <c r="M415" s="40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</row>
    <row r="416" spans="1:31" ht="13">
      <c r="A416" s="23"/>
      <c r="B416" s="401"/>
      <c r="C416" s="23"/>
      <c r="D416" s="401"/>
      <c r="E416" s="23"/>
      <c r="F416" s="23"/>
      <c r="G416" s="23"/>
      <c r="H416" s="401"/>
      <c r="I416" s="23"/>
      <c r="J416" s="23"/>
      <c r="K416" s="402"/>
      <c r="L416" s="23"/>
      <c r="M416" s="40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</row>
    <row r="417" spans="1:31" ht="13">
      <c r="A417" s="23"/>
      <c r="B417" s="401"/>
      <c r="C417" s="23"/>
      <c r="D417" s="401"/>
      <c r="E417" s="23"/>
      <c r="F417" s="23"/>
      <c r="G417" s="23"/>
      <c r="H417" s="401"/>
      <c r="I417" s="23"/>
      <c r="J417" s="23"/>
      <c r="K417" s="402"/>
      <c r="L417" s="23"/>
      <c r="M417" s="40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</row>
    <row r="418" spans="1:31" ht="13">
      <c r="A418" s="23"/>
      <c r="B418" s="401"/>
      <c r="C418" s="23"/>
      <c r="D418" s="401"/>
      <c r="E418" s="23"/>
      <c r="F418" s="23"/>
      <c r="G418" s="23"/>
      <c r="H418" s="401"/>
      <c r="I418" s="23"/>
      <c r="J418" s="23"/>
      <c r="K418" s="402"/>
      <c r="L418" s="23"/>
      <c r="M418" s="40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</row>
    <row r="419" spans="1:31" ht="13">
      <c r="A419" s="23"/>
      <c r="B419" s="401"/>
      <c r="C419" s="23"/>
      <c r="D419" s="401"/>
      <c r="E419" s="23"/>
      <c r="F419" s="23"/>
      <c r="G419" s="23"/>
      <c r="H419" s="401"/>
      <c r="I419" s="23"/>
      <c r="J419" s="23"/>
      <c r="K419" s="402"/>
      <c r="L419" s="23"/>
      <c r="M419" s="40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</row>
    <row r="420" spans="1:31" ht="13">
      <c r="A420" s="23"/>
      <c r="B420" s="401"/>
      <c r="C420" s="23"/>
      <c r="D420" s="401"/>
      <c r="E420" s="23"/>
      <c r="F420" s="23"/>
      <c r="G420" s="23"/>
      <c r="H420" s="401"/>
      <c r="I420" s="23"/>
      <c r="J420" s="23"/>
      <c r="K420" s="402"/>
      <c r="L420" s="23"/>
      <c r="M420" s="40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</row>
    <row r="421" spans="1:31" ht="13">
      <c r="A421" s="23"/>
      <c r="B421" s="401"/>
      <c r="C421" s="23"/>
      <c r="D421" s="401"/>
      <c r="E421" s="23"/>
      <c r="F421" s="23"/>
      <c r="G421" s="23"/>
      <c r="H421" s="401"/>
      <c r="I421" s="23"/>
      <c r="J421" s="23"/>
      <c r="K421" s="402"/>
      <c r="L421" s="23"/>
      <c r="M421" s="40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</row>
    <row r="422" spans="1:31" ht="13">
      <c r="A422" s="23"/>
      <c r="B422" s="401"/>
      <c r="C422" s="23"/>
      <c r="D422" s="401"/>
      <c r="E422" s="23"/>
      <c r="F422" s="23"/>
      <c r="G422" s="23"/>
      <c r="H422" s="401"/>
      <c r="I422" s="23"/>
      <c r="J422" s="23"/>
      <c r="K422" s="402"/>
      <c r="L422" s="23"/>
      <c r="M422" s="40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</row>
    <row r="423" spans="1:31" ht="13">
      <c r="A423" s="23"/>
      <c r="B423" s="401"/>
      <c r="C423" s="23"/>
      <c r="D423" s="401"/>
      <c r="E423" s="23"/>
      <c r="F423" s="23"/>
      <c r="G423" s="23"/>
      <c r="H423" s="401"/>
      <c r="I423" s="23"/>
      <c r="J423" s="23"/>
      <c r="K423" s="402"/>
      <c r="L423" s="23"/>
      <c r="M423" s="40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</row>
    <row r="424" spans="1:31" ht="13">
      <c r="A424" s="23"/>
      <c r="B424" s="401"/>
      <c r="C424" s="23"/>
      <c r="D424" s="401"/>
      <c r="E424" s="23"/>
      <c r="F424" s="23"/>
      <c r="G424" s="23"/>
      <c r="H424" s="401"/>
      <c r="I424" s="23"/>
      <c r="J424" s="23"/>
      <c r="K424" s="402"/>
      <c r="L424" s="23"/>
      <c r="M424" s="40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</row>
    <row r="425" spans="1:31" ht="13">
      <c r="A425" s="23"/>
      <c r="B425" s="401"/>
      <c r="C425" s="23"/>
      <c r="D425" s="401"/>
      <c r="E425" s="23"/>
      <c r="F425" s="23"/>
      <c r="G425" s="23"/>
      <c r="H425" s="401"/>
      <c r="I425" s="23"/>
      <c r="J425" s="23"/>
      <c r="K425" s="402"/>
      <c r="L425" s="23"/>
      <c r="M425" s="40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</row>
    <row r="426" spans="1:31" ht="13">
      <c r="A426" s="23"/>
      <c r="B426" s="401"/>
      <c r="C426" s="23"/>
      <c r="D426" s="401"/>
      <c r="E426" s="23"/>
      <c r="F426" s="23"/>
      <c r="G426" s="23"/>
      <c r="H426" s="401"/>
      <c r="I426" s="23"/>
      <c r="J426" s="23"/>
      <c r="K426" s="402"/>
      <c r="L426" s="23"/>
      <c r="M426" s="40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</row>
    <row r="427" spans="1:31" ht="13">
      <c r="A427" s="23"/>
      <c r="B427" s="401"/>
      <c r="C427" s="23"/>
      <c r="D427" s="401"/>
      <c r="E427" s="23"/>
      <c r="F427" s="23"/>
      <c r="G427" s="23"/>
      <c r="H427" s="401"/>
      <c r="I427" s="23"/>
      <c r="J427" s="23"/>
      <c r="K427" s="402"/>
      <c r="L427" s="23"/>
      <c r="M427" s="40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</row>
    <row r="428" spans="1:31" ht="13">
      <c r="A428" s="23"/>
      <c r="B428" s="401"/>
      <c r="C428" s="23"/>
      <c r="D428" s="401"/>
      <c r="E428" s="23"/>
      <c r="F428" s="23"/>
      <c r="G428" s="23"/>
      <c r="H428" s="401"/>
      <c r="I428" s="23"/>
      <c r="J428" s="23"/>
      <c r="K428" s="402"/>
      <c r="L428" s="23"/>
      <c r="M428" s="40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</row>
    <row r="429" spans="1:31" ht="13">
      <c r="A429" s="23"/>
      <c r="B429" s="401"/>
      <c r="C429" s="23"/>
      <c r="D429" s="401"/>
      <c r="E429" s="23"/>
      <c r="F429" s="23"/>
      <c r="G429" s="23"/>
      <c r="H429" s="401"/>
      <c r="I429" s="23"/>
      <c r="J429" s="23"/>
      <c r="K429" s="402"/>
      <c r="L429" s="23"/>
      <c r="M429" s="40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</row>
    <row r="430" spans="1:31" ht="13">
      <c r="A430" s="23"/>
      <c r="B430" s="401"/>
      <c r="C430" s="23"/>
      <c r="D430" s="401"/>
      <c r="E430" s="23"/>
      <c r="F430" s="23"/>
      <c r="G430" s="23"/>
      <c r="H430" s="401"/>
      <c r="I430" s="23"/>
      <c r="J430" s="23"/>
      <c r="K430" s="402"/>
      <c r="L430" s="23"/>
      <c r="M430" s="40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</row>
    <row r="431" spans="1:31" ht="13">
      <c r="A431" s="23"/>
      <c r="B431" s="401"/>
      <c r="C431" s="23"/>
      <c r="D431" s="401"/>
      <c r="E431" s="23"/>
      <c r="F431" s="23"/>
      <c r="G431" s="23"/>
      <c r="H431" s="401"/>
      <c r="I431" s="23"/>
      <c r="J431" s="23"/>
      <c r="K431" s="402"/>
      <c r="L431" s="23"/>
      <c r="M431" s="40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</row>
    <row r="432" spans="1:31" ht="13">
      <c r="A432" s="23"/>
      <c r="B432" s="401"/>
      <c r="C432" s="23"/>
      <c r="D432" s="401"/>
      <c r="E432" s="23"/>
      <c r="F432" s="23"/>
      <c r="G432" s="23"/>
      <c r="H432" s="401"/>
      <c r="I432" s="23"/>
      <c r="J432" s="23"/>
      <c r="K432" s="402"/>
      <c r="L432" s="23"/>
      <c r="M432" s="40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</row>
    <row r="433" spans="1:31" ht="13">
      <c r="A433" s="23"/>
      <c r="B433" s="401"/>
      <c r="C433" s="23"/>
      <c r="D433" s="401"/>
      <c r="E433" s="23"/>
      <c r="F433" s="23"/>
      <c r="G433" s="23"/>
      <c r="H433" s="401"/>
      <c r="I433" s="23"/>
      <c r="J433" s="23"/>
      <c r="K433" s="402"/>
      <c r="L433" s="23"/>
      <c r="M433" s="40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</row>
    <row r="434" spans="1:31" ht="13">
      <c r="A434" s="23"/>
      <c r="B434" s="401"/>
      <c r="C434" s="23"/>
      <c r="D434" s="401"/>
      <c r="E434" s="23"/>
      <c r="F434" s="23"/>
      <c r="G434" s="23"/>
      <c r="H434" s="401"/>
      <c r="I434" s="23"/>
      <c r="J434" s="23"/>
      <c r="K434" s="402"/>
      <c r="L434" s="23"/>
      <c r="M434" s="40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</row>
    <row r="435" spans="1:31" ht="13">
      <c r="A435" s="23"/>
      <c r="B435" s="401"/>
      <c r="C435" s="23"/>
      <c r="D435" s="401"/>
      <c r="E435" s="23"/>
      <c r="F435" s="23"/>
      <c r="G435" s="23"/>
      <c r="H435" s="401"/>
      <c r="I435" s="23"/>
      <c r="J435" s="23"/>
      <c r="K435" s="402"/>
      <c r="L435" s="23"/>
      <c r="M435" s="40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</row>
    <row r="436" spans="1:31" ht="13">
      <c r="A436" s="23"/>
      <c r="B436" s="401"/>
      <c r="C436" s="23"/>
      <c r="D436" s="401"/>
      <c r="E436" s="23"/>
      <c r="F436" s="23"/>
      <c r="G436" s="23"/>
      <c r="H436" s="401"/>
      <c r="I436" s="23"/>
      <c r="J436" s="23"/>
      <c r="K436" s="402"/>
      <c r="L436" s="23"/>
      <c r="M436" s="40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</row>
    <row r="437" spans="1:31" ht="13">
      <c r="A437" s="23"/>
      <c r="B437" s="401"/>
      <c r="C437" s="23"/>
      <c r="D437" s="401"/>
      <c r="E437" s="23"/>
      <c r="F437" s="23"/>
      <c r="G437" s="23"/>
      <c r="H437" s="401"/>
      <c r="I437" s="23"/>
      <c r="J437" s="23"/>
      <c r="K437" s="402"/>
      <c r="L437" s="23"/>
      <c r="M437" s="40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</row>
    <row r="438" spans="1:31" ht="13">
      <c r="A438" s="23"/>
      <c r="B438" s="401"/>
      <c r="C438" s="23"/>
      <c r="D438" s="401"/>
      <c r="E438" s="23"/>
      <c r="F438" s="23"/>
      <c r="G438" s="23"/>
      <c r="H438" s="401"/>
      <c r="I438" s="23"/>
      <c r="J438" s="23"/>
      <c r="K438" s="402"/>
      <c r="L438" s="23"/>
      <c r="M438" s="40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</row>
    <row r="439" spans="1:31" ht="13">
      <c r="A439" s="23"/>
      <c r="B439" s="401"/>
      <c r="C439" s="23"/>
      <c r="D439" s="401"/>
      <c r="E439" s="23"/>
      <c r="F439" s="23"/>
      <c r="G439" s="23"/>
      <c r="H439" s="401"/>
      <c r="I439" s="23"/>
      <c r="J439" s="23"/>
      <c r="K439" s="402"/>
      <c r="L439" s="23"/>
      <c r="M439" s="40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</row>
    <row r="440" spans="1:31" ht="13">
      <c r="A440" s="23"/>
      <c r="B440" s="401"/>
      <c r="C440" s="23"/>
      <c r="D440" s="401"/>
      <c r="E440" s="23"/>
      <c r="F440" s="23"/>
      <c r="G440" s="23"/>
      <c r="H440" s="401"/>
      <c r="I440" s="23"/>
      <c r="J440" s="23"/>
      <c r="K440" s="402"/>
      <c r="L440" s="23"/>
      <c r="M440" s="40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</row>
    <row r="441" spans="1:31" ht="13">
      <c r="A441" s="23"/>
      <c r="B441" s="401"/>
      <c r="C441" s="23"/>
      <c r="D441" s="401"/>
      <c r="E441" s="23"/>
      <c r="F441" s="23"/>
      <c r="G441" s="23"/>
      <c r="H441" s="401"/>
      <c r="I441" s="23"/>
      <c r="J441" s="23"/>
      <c r="K441" s="402"/>
      <c r="L441" s="23"/>
      <c r="M441" s="40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</row>
    <row r="442" spans="1:31" ht="13">
      <c r="A442" s="23"/>
      <c r="B442" s="401"/>
      <c r="C442" s="23"/>
      <c r="D442" s="401"/>
      <c r="E442" s="23"/>
      <c r="F442" s="23"/>
      <c r="G442" s="23"/>
      <c r="H442" s="401"/>
      <c r="I442" s="23"/>
      <c r="J442" s="23"/>
      <c r="K442" s="402"/>
      <c r="L442" s="23"/>
      <c r="M442" s="40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</row>
    <row r="443" spans="1:31" ht="13">
      <c r="A443" s="23"/>
      <c r="B443" s="401"/>
      <c r="C443" s="23"/>
      <c r="D443" s="401"/>
      <c r="E443" s="23"/>
      <c r="F443" s="23"/>
      <c r="G443" s="23"/>
      <c r="H443" s="401"/>
      <c r="I443" s="23"/>
      <c r="J443" s="23"/>
      <c r="K443" s="402"/>
      <c r="L443" s="23"/>
      <c r="M443" s="40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</row>
    <row r="444" spans="1:31" ht="13">
      <c r="A444" s="23"/>
      <c r="B444" s="401"/>
      <c r="C444" s="23"/>
      <c r="D444" s="401"/>
      <c r="E444" s="23"/>
      <c r="F444" s="23"/>
      <c r="G444" s="23"/>
      <c r="H444" s="401"/>
      <c r="I444" s="23"/>
      <c r="J444" s="23"/>
      <c r="K444" s="402"/>
      <c r="L444" s="23"/>
      <c r="M444" s="40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</row>
    <row r="445" spans="1:31" ht="13">
      <c r="A445" s="23"/>
      <c r="B445" s="401"/>
      <c r="C445" s="23"/>
      <c r="D445" s="401"/>
      <c r="E445" s="23"/>
      <c r="F445" s="23"/>
      <c r="G445" s="23"/>
      <c r="H445" s="401"/>
      <c r="I445" s="23"/>
      <c r="J445" s="23"/>
      <c r="K445" s="402"/>
      <c r="L445" s="23"/>
      <c r="M445" s="40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</row>
    <row r="446" spans="1:31" ht="13">
      <c r="A446" s="23"/>
      <c r="B446" s="401"/>
      <c r="C446" s="23"/>
      <c r="D446" s="401"/>
      <c r="E446" s="23"/>
      <c r="F446" s="23"/>
      <c r="G446" s="23"/>
      <c r="H446" s="401"/>
      <c r="I446" s="23"/>
      <c r="J446" s="23"/>
      <c r="K446" s="402"/>
      <c r="L446" s="23"/>
      <c r="M446" s="40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</row>
    <row r="447" spans="1:31" ht="13">
      <c r="A447" s="23"/>
      <c r="B447" s="401"/>
      <c r="C447" s="23"/>
      <c r="D447" s="401"/>
      <c r="E447" s="23"/>
      <c r="F447" s="23"/>
      <c r="G447" s="23"/>
      <c r="H447" s="401"/>
      <c r="I447" s="23"/>
      <c r="J447" s="23"/>
      <c r="K447" s="402"/>
      <c r="L447" s="23"/>
      <c r="M447" s="40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</row>
    <row r="448" spans="1:31" ht="13">
      <c r="A448" s="23"/>
      <c r="B448" s="401"/>
      <c r="C448" s="23"/>
      <c r="D448" s="401"/>
      <c r="E448" s="23"/>
      <c r="F448" s="23"/>
      <c r="G448" s="23"/>
      <c r="H448" s="401"/>
      <c r="I448" s="23"/>
      <c r="J448" s="23"/>
      <c r="K448" s="402"/>
      <c r="L448" s="23"/>
      <c r="M448" s="40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</row>
    <row r="449" spans="1:31" ht="13">
      <c r="A449" s="23"/>
      <c r="B449" s="401"/>
      <c r="C449" s="23"/>
      <c r="D449" s="401"/>
      <c r="E449" s="23"/>
      <c r="F449" s="23"/>
      <c r="G449" s="23"/>
      <c r="H449" s="401"/>
      <c r="I449" s="23"/>
      <c r="J449" s="23"/>
      <c r="K449" s="402"/>
      <c r="L449" s="23"/>
      <c r="M449" s="40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</row>
    <row r="450" spans="1:31" ht="13">
      <c r="A450" s="23"/>
      <c r="B450" s="401"/>
      <c r="C450" s="23"/>
      <c r="D450" s="401"/>
      <c r="E450" s="23"/>
      <c r="F450" s="23"/>
      <c r="G450" s="23"/>
      <c r="H450" s="401"/>
      <c r="I450" s="23"/>
      <c r="J450" s="23"/>
      <c r="K450" s="402"/>
      <c r="L450" s="23"/>
      <c r="M450" s="40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</row>
    <row r="451" spans="1:31" ht="13">
      <c r="A451" s="23"/>
      <c r="B451" s="401"/>
      <c r="C451" s="23"/>
      <c r="D451" s="401"/>
      <c r="E451" s="23"/>
      <c r="F451" s="23"/>
      <c r="G451" s="23"/>
      <c r="H451" s="401"/>
      <c r="I451" s="23"/>
      <c r="J451" s="23"/>
      <c r="K451" s="402"/>
      <c r="L451" s="23"/>
      <c r="M451" s="40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</row>
    <row r="452" spans="1:31" ht="13">
      <c r="A452" s="23"/>
      <c r="B452" s="401"/>
      <c r="C452" s="23"/>
      <c r="D452" s="401"/>
      <c r="E452" s="23"/>
      <c r="F452" s="23"/>
      <c r="G452" s="23"/>
      <c r="H452" s="401"/>
      <c r="I452" s="23"/>
      <c r="J452" s="23"/>
      <c r="K452" s="402"/>
      <c r="L452" s="23"/>
      <c r="M452" s="40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</row>
    <row r="453" spans="1:31" ht="13">
      <c r="A453" s="23"/>
      <c r="B453" s="401"/>
      <c r="C453" s="23"/>
      <c r="D453" s="401"/>
      <c r="E453" s="23"/>
      <c r="F453" s="23"/>
      <c r="G453" s="23"/>
      <c r="H453" s="401"/>
      <c r="I453" s="23"/>
      <c r="J453" s="23"/>
      <c r="K453" s="402"/>
      <c r="L453" s="23"/>
      <c r="M453" s="40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</row>
    <row r="454" spans="1:31" ht="13">
      <c r="A454" s="23"/>
      <c r="B454" s="401"/>
      <c r="C454" s="23"/>
      <c r="D454" s="401"/>
      <c r="E454" s="23"/>
      <c r="F454" s="23"/>
      <c r="G454" s="23"/>
      <c r="H454" s="401"/>
      <c r="I454" s="23"/>
      <c r="J454" s="23"/>
      <c r="K454" s="402"/>
      <c r="L454" s="23"/>
      <c r="M454" s="40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</row>
    <row r="455" spans="1:31" ht="13">
      <c r="A455" s="23"/>
      <c r="B455" s="401"/>
      <c r="C455" s="23"/>
      <c r="D455" s="401"/>
      <c r="E455" s="23"/>
      <c r="F455" s="23"/>
      <c r="G455" s="23"/>
      <c r="H455" s="401"/>
      <c r="I455" s="23"/>
      <c r="J455" s="23"/>
      <c r="K455" s="402"/>
      <c r="L455" s="23"/>
      <c r="M455" s="40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</row>
    <row r="456" spans="1:31" ht="13">
      <c r="A456" s="23"/>
      <c r="B456" s="401"/>
      <c r="C456" s="23"/>
      <c r="D456" s="401"/>
      <c r="E456" s="23"/>
      <c r="F456" s="23"/>
      <c r="G456" s="23"/>
      <c r="H456" s="401"/>
      <c r="I456" s="23"/>
      <c r="J456" s="23"/>
      <c r="K456" s="402"/>
      <c r="L456" s="23"/>
      <c r="M456" s="40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</row>
    <row r="457" spans="1:31" ht="13">
      <c r="A457" s="23"/>
      <c r="B457" s="401"/>
      <c r="C457" s="23"/>
      <c r="D457" s="401"/>
      <c r="E457" s="23"/>
      <c r="F457" s="23"/>
      <c r="G457" s="23"/>
      <c r="H457" s="401"/>
      <c r="I457" s="23"/>
      <c r="J457" s="23"/>
      <c r="K457" s="402"/>
      <c r="L457" s="23"/>
      <c r="M457" s="40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</row>
    <row r="458" spans="1:31" ht="13">
      <c r="A458" s="23"/>
      <c r="B458" s="401"/>
      <c r="C458" s="23"/>
      <c r="D458" s="401"/>
      <c r="E458" s="23"/>
      <c r="F458" s="23"/>
      <c r="G458" s="23"/>
      <c r="H458" s="401"/>
      <c r="I458" s="23"/>
      <c r="J458" s="23"/>
      <c r="K458" s="402"/>
      <c r="L458" s="23"/>
      <c r="M458" s="40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</row>
    <row r="459" spans="1:31" ht="13">
      <c r="A459" s="23"/>
      <c r="B459" s="401"/>
      <c r="C459" s="23"/>
      <c r="D459" s="401"/>
      <c r="E459" s="23"/>
      <c r="F459" s="23"/>
      <c r="G459" s="23"/>
      <c r="H459" s="401"/>
      <c r="I459" s="23"/>
      <c r="J459" s="23"/>
      <c r="K459" s="402"/>
      <c r="L459" s="23"/>
      <c r="M459" s="40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</row>
    <row r="460" spans="1:31" ht="13">
      <c r="A460" s="23"/>
      <c r="B460" s="401"/>
      <c r="C460" s="23"/>
      <c r="D460" s="401"/>
      <c r="E460" s="23"/>
      <c r="F460" s="23"/>
      <c r="G460" s="23"/>
      <c r="H460" s="401"/>
      <c r="I460" s="23"/>
      <c r="J460" s="23"/>
      <c r="K460" s="402"/>
      <c r="L460" s="23"/>
      <c r="M460" s="40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</row>
    <row r="461" spans="1:31" ht="13">
      <c r="A461" s="23"/>
      <c r="B461" s="401"/>
      <c r="C461" s="23"/>
      <c r="D461" s="401"/>
      <c r="E461" s="23"/>
      <c r="F461" s="23"/>
      <c r="G461" s="23"/>
      <c r="H461" s="401"/>
      <c r="I461" s="23"/>
      <c r="J461" s="23"/>
      <c r="K461" s="402"/>
      <c r="L461" s="23"/>
      <c r="M461" s="40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</row>
    <row r="462" spans="1:31" ht="13">
      <c r="A462" s="23"/>
      <c r="B462" s="401"/>
      <c r="C462" s="23"/>
      <c r="D462" s="401"/>
      <c r="E462" s="23"/>
      <c r="F462" s="23"/>
      <c r="G462" s="23"/>
      <c r="H462" s="401"/>
      <c r="I462" s="23"/>
      <c r="J462" s="23"/>
      <c r="K462" s="402"/>
      <c r="L462" s="23"/>
      <c r="M462" s="40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</row>
    <row r="463" spans="1:31" ht="13">
      <c r="A463" s="23"/>
      <c r="B463" s="401"/>
      <c r="C463" s="23"/>
      <c r="D463" s="401"/>
      <c r="E463" s="23"/>
      <c r="F463" s="23"/>
      <c r="G463" s="23"/>
      <c r="H463" s="401"/>
      <c r="I463" s="23"/>
      <c r="J463" s="23"/>
      <c r="K463" s="402"/>
      <c r="L463" s="23"/>
      <c r="M463" s="40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</row>
    <row r="464" spans="1:31" ht="13">
      <c r="A464" s="23"/>
      <c r="B464" s="401"/>
      <c r="C464" s="23"/>
      <c r="D464" s="401"/>
      <c r="E464" s="23"/>
      <c r="F464" s="23"/>
      <c r="G464" s="23"/>
      <c r="H464" s="401"/>
      <c r="I464" s="23"/>
      <c r="J464" s="23"/>
      <c r="K464" s="402"/>
      <c r="L464" s="23"/>
      <c r="M464" s="40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</row>
    <row r="465" spans="1:31" ht="13">
      <c r="A465" s="23"/>
      <c r="B465" s="401"/>
      <c r="C465" s="23"/>
      <c r="D465" s="401"/>
      <c r="E465" s="23"/>
      <c r="F465" s="23"/>
      <c r="G465" s="23"/>
      <c r="H465" s="401"/>
      <c r="I465" s="23"/>
      <c r="J465" s="23"/>
      <c r="K465" s="402"/>
      <c r="L465" s="23"/>
      <c r="M465" s="40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</row>
    <row r="466" spans="1:31" ht="13">
      <c r="A466" s="23"/>
      <c r="B466" s="401"/>
      <c r="C466" s="23"/>
      <c r="D466" s="401"/>
      <c r="E466" s="23"/>
      <c r="F466" s="23"/>
      <c r="G466" s="23"/>
      <c r="H466" s="401"/>
      <c r="I466" s="23"/>
      <c r="J466" s="23"/>
      <c r="K466" s="402"/>
      <c r="L466" s="23"/>
      <c r="M466" s="40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</row>
    <row r="467" spans="1:31" ht="13">
      <c r="A467" s="23"/>
      <c r="B467" s="401"/>
      <c r="C467" s="23"/>
      <c r="D467" s="401"/>
      <c r="E467" s="23"/>
      <c r="F467" s="23"/>
      <c r="G467" s="23"/>
      <c r="H467" s="401"/>
      <c r="I467" s="23"/>
      <c r="J467" s="23"/>
      <c r="K467" s="402"/>
      <c r="L467" s="23"/>
      <c r="M467" s="40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</row>
    <row r="468" spans="1:31" ht="13">
      <c r="A468" s="23"/>
      <c r="B468" s="401"/>
      <c r="C468" s="23"/>
      <c r="D468" s="401"/>
      <c r="E468" s="23"/>
      <c r="F468" s="23"/>
      <c r="G468" s="23"/>
      <c r="H468" s="401"/>
      <c r="I468" s="23"/>
      <c r="J468" s="23"/>
      <c r="K468" s="402"/>
      <c r="L468" s="23"/>
      <c r="M468" s="40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</row>
    <row r="469" spans="1:31" ht="13">
      <c r="A469" s="23"/>
      <c r="B469" s="401"/>
      <c r="C469" s="23"/>
      <c r="D469" s="401"/>
      <c r="E469" s="23"/>
      <c r="F469" s="23"/>
      <c r="G469" s="23"/>
      <c r="H469" s="401"/>
      <c r="I469" s="23"/>
      <c r="J469" s="23"/>
      <c r="K469" s="402"/>
      <c r="L469" s="23"/>
      <c r="M469" s="40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</row>
    <row r="470" spans="1:31" ht="13">
      <c r="A470" s="23"/>
      <c r="B470" s="401"/>
      <c r="C470" s="23"/>
      <c r="D470" s="401"/>
      <c r="E470" s="23"/>
      <c r="F470" s="23"/>
      <c r="G470" s="23"/>
      <c r="H470" s="401"/>
      <c r="I470" s="23"/>
      <c r="J470" s="23"/>
      <c r="K470" s="402"/>
      <c r="L470" s="23"/>
      <c r="M470" s="40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</row>
    <row r="471" spans="1:31" ht="13">
      <c r="A471" s="23"/>
      <c r="B471" s="401"/>
      <c r="C471" s="23"/>
      <c r="D471" s="401"/>
      <c r="E471" s="23"/>
      <c r="F471" s="23"/>
      <c r="G471" s="23"/>
      <c r="H471" s="401"/>
      <c r="I471" s="23"/>
      <c r="J471" s="23"/>
      <c r="K471" s="402"/>
      <c r="L471" s="23"/>
      <c r="M471" s="40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</row>
    <row r="472" spans="1:31" ht="13">
      <c r="A472" s="23"/>
      <c r="B472" s="401"/>
      <c r="C472" s="23"/>
      <c r="D472" s="401"/>
      <c r="E472" s="23"/>
      <c r="F472" s="23"/>
      <c r="G472" s="23"/>
      <c r="H472" s="401"/>
      <c r="I472" s="23"/>
      <c r="J472" s="23"/>
      <c r="K472" s="402"/>
      <c r="L472" s="23"/>
      <c r="M472" s="40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</row>
    <row r="473" spans="1:31" ht="13">
      <c r="A473" s="23"/>
      <c r="B473" s="401"/>
      <c r="C473" s="23"/>
      <c r="D473" s="401"/>
      <c r="E473" s="23"/>
      <c r="F473" s="23"/>
      <c r="G473" s="23"/>
      <c r="H473" s="401"/>
      <c r="I473" s="23"/>
      <c r="J473" s="23"/>
      <c r="K473" s="402"/>
      <c r="L473" s="23"/>
      <c r="M473" s="40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</row>
    <row r="474" spans="1:31" ht="13">
      <c r="A474" s="23"/>
      <c r="B474" s="401"/>
      <c r="C474" s="23"/>
      <c r="D474" s="401"/>
      <c r="E474" s="23"/>
      <c r="F474" s="23"/>
      <c r="G474" s="23"/>
      <c r="H474" s="401"/>
      <c r="I474" s="23"/>
      <c r="J474" s="23"/>
      <c r="K474" s="402"/>
      <c r="L474" s="23"/>
      <c r="M474" s="40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</row>
    <row r="475" spans="1:31" ht="13">
      <c r="A475" s="23"/>
      <c r="B475" s="401"/>
      <c r="C475" s="23"/>
      <c r="D475" s="401"/>
      <c r="E475" s="23"/>
      <c r="F475" s="23"/>
      <c r="G475" s="23"/>
      <c r="H475" s="401"/>
      <c r="I475" s="23"/>
      <c r="J475" s="23"/>
      <c r="K475" s="402"/>
      <c r="L475" s="23"/>
      <c r="M475" s="40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</row>
    <row r="476" spans="1:31" ht="13">
      <c r="A476" s="23"/>
      <c r="B476" s="401"/>
      <c r="C476" s="23"/>
      <c r="D476" s="401"/>
      <c r="E476" s="23"/>
      <c r="F476" s="23"/>
      <c r="G476" s="23"/>
      <c r="H476" s="401"/>
      <c r="I476" s="23"/>
      <c r="J476" s="23"/>
      <c r="K476" s="402"/>
      <c r="L476" s="23"/>
      <c r="M476" s="40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</row>
    <row r="477" spans="1:31" ht="13">
      <c r="A477" s="23"/>
      <c r="B477" s="401"/>
      <c r="C477" s="23"/>
      <c r="D477" s="401"/>
      <c r="E477" s="23"/>
      <c r="F477" s="23"/>
      <c r="G477" s="23"/>
      <c r="H477" s="401"/>
      <c r="I477" s="23"/>
      <c r="J477" s="23"/>
      <c r="K477" s="402"/>
      <c r="L477" s="23"/>
      <c r="M477" s="40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</row>
    <row r="478" spans="1:31" ht="13">
      <c r="A478" s="23"/>
      <c r="B478" s="401"/>
      <c r="C478" s="23"/>
      <c r="D478" s="401"/>
      <c r="E478" s="23"/>
      <c r="F478" s="23"/>
      <c r="G478" s="23"/>
      <c r="H478" s="401"/>
      <c r="I478" s="23"/>
      <c r="J478" s="23"/>
      <c r="K478" s="402"/>
      <c r="L478" s="23"/>
      <c r="M478" s="40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</row>
    <row r="479" spans="1:31" ht="13">
      <c r="A479" s="23"/>
      <c r="B479" s="401"/>
      <c r="C479" s="23"/>
      <c r="D479" s="401"/>
      <c r="E479" s="23"/>
      <c r="F479" s="23"/>
      <c r="G479" s="23"/>
      <c r="H479" s="401"/>
      <c r="I479" s="23"/>
      <c r="J479" s="23"/>
      <c r="K479" s="402"/>
      <c r="L479" s="23"/>
      <c r="M479" s="40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</row>
    <row r="480" spans="1:31" ht="13">
      <c r="A480" s="23"/>
      <c r="B480" s="401"/>
      <c r="C480" s="23"/>
      <c r="D480" s="401"/>
      <c r="E480" s="23"/>
      <c r="F480" s="23"/>
      <c r="G480" s="23"/>
      <c r="H480" s="401"/>
      <c r="I480" s="23"/>
      <c r="J480" s="23"/>
      <c r="K480" s="402"/>
      <c r="L480" s="23"/>
      <c r="M480" s="40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</row>
    <row r="481" spans="1:31" ht="13">
      <c r="A481" s="23"/>
      <c r="B481" s="401"/>
      <c r="C481" s="23"/>
      <c r="D481" s="401"/>
      <c r="E481" s="23"/>
      <c r="F481" s="23"/>
      <c r="G481" s="23"/>
      <c r="H481" s="401"/>
      <c r="I481" s="23"/>
      <c r="J481" s="23"/>
      <c r="K481" s="402"/>
      <c r="L481" s="23"/>
      <c r="M481" s="40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</row>
    <row r="482" spans="1:31" ht="13">
      <c r="A482" s="23"/>
      <c r="B482" s="401"/>
      <c r="C482" s="23"/>
      <c r="D482" s="401"/>
      <c r="E482" s="23"/>
      <c r="F482" s="23"/>
      <c r="G482" s="23"/>
      <c r="H482" s="401"/>
      <c r="I482" s="23"/>
      <c r="J482" s="23"/>
      <c r="K482" s="402"/>
      <c r="L482" s="23"/>
      <c r="M482" s="40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</row>
    <row r="483" spans="1:31" ht="13">
      <c r="A483" s="23"/>
      <c r="B483" s="401"/>
      <c r="C483" s="23"/>
      <c r="D483" s="401"/>
      <c r="E483" s="23"/>
      <c r="F483" s="23"/>
      <c r="G483" s="23"/>
      <c r="H483" s="401"/>
      <c r="I483" s="23"/>
      <c r="J483" s="23"/>
      <c r="K483" s="402"/>
      <c r="L483" s="23"/>
      <c r="M483" s="40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</row>
    <row r="484" spans="1:31" ht="13">
      <c r="A484" s="23"/>
      <c r="B484" s="401"/>
      <c r="C484" s="23"/>
      <c r="D484" s="401"/>
      <c r="E484" s="23"/>
      <c r="F484" s="23"/>
      <c r="G484" s="23"/>
      <c r="H484" s="401"/>
      <c r="I484" s="23"/>
      <c r="J484" s="23"/>
      <c r="K484" s="402"/>
      <c r="L484" s="23"/>
      <c r="M484" s="40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</row>
    <row r="485" spans="1:31" ht="13">
      <c r="A485" s="23"/>
      <c r="B485" s="401"/>
      <c r="C485" s="23"/>
      <c r="D485" s="401"/>
      <c r="E485" s="23"/>
      <c r="F485" s="23"/>
      <c r="G485" s="23"/>
      <c r="H485" s="401"/>
      <c r="I485" s="23"/>
      <c r="J485" s="23"/>
      <c r="K485" s="402"/>
      <c r="L485" s="23"/>
      <c r="M485" s="40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</row>
    <row r="486" spans="1:31" ht="13">
      <c r="A486" s="23"/>
      <c r="B486" s="401"/>
      <c r="C486" s="23"/>
      <c r="D486" s="401"/>
      <c r="E486" s="23"/>
      <c r="F486" s="23"/>
      <c r="G486" s="23"/>
      <c r="H486" s="401"/>
      <c r="I486" s="23"/>
      <c r="J486" s="23"/>
      <c r="K486" s="402"/>
      <c r="L486" s="23"/>
      <c r="M486" s="40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</row>
    <row r="487" spans="1:31" ht="13">
      <c r="A487" s="23"/>
      <c r="B487" s="401"/>
      <c r="C487" s="23"/>
      <c r="D487" s="401"/>
      <c r="E487" s="23"/>
      <c r="F487" s="23"/>
      <c r="G487" s="23"/>
      <c r="H487" s="401"/>
      <c r="I487" s="23"/>
      <c r="J487" s="23"/>
      <c r="K487" s="402"/>
      <c r="L487" s="23"/>
      <c r="M487" s="40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</row>
    <row r="488" spans="1:31" ht="13">
      <c r="A488" s="23"/>
      <c r="B488" s="401"/>
      <c r="C488" s="23"/>
      <c r="D488" s="401"/>
      <c r="E488" s="23"/>
      <c r="F488" s="23"/>
      <c r="G488" s="23"/>
      <c r="H488" s="401"/>
      <c r="I488" s="23"/>
      <c r="J488" s="23"/>
      <c r="K488" s="402"/>
      <c r="L488" s="23"/>
      <c r="M488" s="40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</row>
    <row r="489" spans="1:31" ht="13">
      <c r="A489" s="23"/>
      <c r="B489" s="401"/>
      <c r="C489" s="23"/>
      <c r="D489" s="401"/>
      <c r="E489" s="23"/>
      <c r="F489" s="23"/>
      <c r="G489" s="23"/>
      <c r="H489" s="401"/>
      <c r="I489" s="23"/>
      <c r="J489" s="23"/>
      <c r="K489" s="402"/>
      <c r="L489" s="23"/>
      <c r="M489" s="40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</row>
    <row r="490" spans="1:31" ht="13">
      <c r="A490" s="23"/>
      <c r="B490" s="401"/>
      <c r="C490" s="23"/>
      <c r="D490" s="401"/>
      <c r="E490" s="23"/>
      <c r="F490" s="23"/>
      <c r="G490" s="23"/>
      <c r="H490" s="401"/>
      <c r="I490" s="23"/>
      <c r="J490" s="23"/>
      <c r="K490" s="402"/>
      <c r="L490" s="23"/>
      <c r="M490" s="40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</row>
    <row r="491" spans="1:31" ht="13">
      <c r="A491" s="23"/>
      <c r="B491" s="401"/>
      <c r="C491" s="23"/>
      <c r="D491" s="401"/>
      <c r="E491" s="23"/>
      <c r="F491" s="23"/>
      <c r="G491" s="23"/>
      <c r="H491" s="401"/>
      <c r="I491" s="23"/>
      <c r="J491" s="23"/>
      <c r="K491" s="402"/>
      <c r="L491" s="23"/>
      <c r="M491" s="40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</row>
    <row r="492" spans="1:31" ht="13">
      <c r="A492" s="23"/>
      <c r="B492" s="401"/>
      <c r="C492" s="23"/>
      <c r="D492" s="401"/>
      <c r="E492" s="23"/>
      <c r="F492" s="23"/>
      <c r="G492" s="23"/>
      <c r="H492" s="401"/>
      <c r="I492" s="23"/>
      <c r="J492" s="23"/>
      <c r="K492" s="402"/>
      <c r="L492" s="23"/>
      <c r="M492" s="40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</row>
    <row r="493" spans="1:31" ht="13">
      <c r="A493" s="23"/>
      <c r="B493" s="401"/>
      <c r="C493" s="23"/>
      <c r="D493" s="401"/>
      <c r="E493" s="23"/>
      <c r="F493" s="23"/>
      <c r="G493" s="23"/>
      <c r="H493" s="401"/>
      <c r="I493" s="23"/>
      <c r="J493" s="23"/>
      <c r="K493" s="402"/>
      <c r="L493" s="23"/>
      <c r="M493" s="40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</row>
    <row r="494" spans="1:31" ht="13">
      <c r="A494" s="23"/>
      <c r="B494" s="401"/>
      <c r="C494" s="23"/>
      <c r="D494" s="401"/>
      <c r="E494" s="23"/>
      <c r="F494" s="23"/>
      <c r="G494" s="23"/>
      <c r="H494" s="401"/>
      <c r="I494" s="23"/>
      <c r="J494" s="23"/>
      <c r="K494" s="402"/>
      <c r="L494" s="23"/>
      <c r="M494" s="40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</row>
    <row r="495" spans="1:31" ht="13">
      <c r="A495" s="23"/>
      <c r="B495" s="401"/>
      <c r="C495" s="23"/>
      <c r="D495" s="401"/>
      <c r="E495" s="23"/>
      <c r="F495" s="23"/>
      <c r="G495" s="23"/>
      <c r="H495" s="401"/>
      <c r="I495" s="23"/>
      <c r="J495" s="23"/>
      <c r="K495" s="402"/>
      <c r="L495" s="23"/>
      <c r="M495" s="40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</row>
    <row r="496" spans="1:31" ht="13">
      <c r="A496" s="23"/>
      <c r="B496" s="401"/>
      <c r="C496" s="23"/>
      <c r="D496" s="401"/>
      <c r="E496" s="23"/>
      <c r="F496" s="23"/>
      <c r="G496" s="23"/>
      <c r="H496" s="401"/>
      <c r="I496" s="23"/>
      <c r="J496" s="23"/>
      <c r="K496" s="402"/>
      <c r="L496" s="23"/>
      <c r="M496" s="40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</row>
    <row r="497" spans="1:31" ht="13">
      <c r="A497" s="23"/>
      <c r="B497" s="401"/>
      <c r="C497" s="23"/>
      <c r="D497" s="401"/>
      <c r="E497" s="23"/>
      <c r="F497" s="23"/>
      <c r="G497" s="23"/>
      <c r="H497" s="401"/>
      <c r="I497" s="23"/>
      <c r="J497" s="23"/>
      <c r="K497" s="402"/>
      <c r="L497" s="23"/>
      <c r="M497" s="40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</row>
    <row r="498" spans="1:31" ht="13">
      <c r="A498" s="23"/>
      <c r="B498" s="401"/>
      <c r="C498" s="23"/>
      <c r="D498" s="401"/>
      <c r="E498" s="23"/>
      <c r="F498" s="23"/>
      <c r="G498" s="23"/>
      <c r="H498" s="401"/>
      <c r="I498" s="23"/>
      <c r="J498" s="23"/>
      <c r="K498" s="402"/>
      <c r="L498" s="23"/>
      <c r="M498" s="40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</row>
    <row r="499" spans="1:31" ht="13">
      <c r="A499" s="23"/>
      <c r="B499" s="401"/>
      <c r="C499" s="23"/>
      <c r="D499" s="401"/>
      <c r="E499" s="23"/>
      <c r="F499" s="23"/>
      <c r="G499" s="23"/>
      <c r="H499" s="401"/>
      <c r="I499" s="23"/>
      <c r="J499" s="23"/>
      <c r="K499" s="402"/>
      <c r="L499" s="23"/>
      <c r="M499" s="40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</row>
    <row r="500" spans="1:31" ht="13">
      <c r="A500" s="23"/>
      <c r="B500" s="401"/>
      <c r="C500" s="23"/>
      <c r="D500" s="401"/>
      <c r="E500" s="23"/>
      <c r="F500" s="23"/>
      <c r="G500" s="23"/>
      <c r="H500" s="401"/>
      <c r="I500" s="23"/>
      <c r="J500" s="23"/>
      <c r="K500" s="402"/>
      <c r="L500" s="23"/>
      <c r="M500" s="40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</row>
    <row r="501" spans="1:31" ht="13">
      <c r="A501" s="23"/>
      <c r="B501" s="401"/>
      <c r="C501" s="23"/>
      <c r="D501" s="401"/>
      <c r="E501" s="23"/>
      <c r="F501" s="23"/>
      <c r="G501" s="23"/>
      <c r="H501" s="401"/>
      <c r="I501" s="23"/>
      <c r="J501" s="23"/>
      <c r="K501" s="402"/>
      <c r="L501" s="23"/>
      <c r="M501" s="40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</row>
    <row r="502" spans="1:31" ht="13">
      <c r="A502" s="23"/>
      <c r="B502" s="401"/>
      <c r="C502" s="23"/>
      <c r="D502" s="401"/>
      <c r="E502" s="23"/>
      <c r="F502" s="23"/>
      <c r="G502" s="23"/>
      <c r="H502" s="401"/>
      <c r="I502" s="23"/>
      <c r="J502" s="23"/>
      <c r="K502" s="402"/>
      <c r="L502" s="23"/>
      <c r="M502" s="40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</row>
    <row r="503" spans="1:31" ht="13">
      <c r="A503" s="23"/>
      <c r="B503" s="401"/>
      <c r="C503" s="23"/>
      <c r="D503" s="401"/>
      <c r="E503" s="23"/>
      <c r="F503" s="23"/>
      <c r="G503" s="23"/>
      <c r="H503" s="401"/>
      <c r="I503" s="23"/>
      <c r="J503" s="23"/>
      <c r="K503" s="402"/>
      <c r="L503" s="23"/>
      <c r="M503" s="40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</row>
    <row r="504" spans="1:31" ht="13">
      <c r="A504" s="23"/>
      <c r="B504" s="401"/>
      <c r="C504" s="23"/>
      <c r="D504" s="401"/>
      <c r="E504" s="23"/>
      <c r="F504" s="23"/>
      <c r="G504" s="23"/>
      <c r="H504" s="401"/>
      <c r="I504" s="23"/>
      <c r="J504" s="23"/>
      <c r="K504" s="402"/>
      <c r="L504" s="23"/>
      <c r="M504" s="40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</row>
    <row r="505" spans="1:31" ht="13">
      <c r="A505" s="23"/>
      <c r="B505" s="401"/>
      <c r="C505" s="23"/>
      <c r="D505" s="401"/>
      <c r="E505" s="23"/>
      <c r="F505" s="23"/>
      <c r="G505" s="23"/>
      <c r="H505" s="401"/>
      <c r="I505" s="23"/>
      <c r="J505" s="23"/>
      <c r="K505" s="402"/>
      <c r="L505" s="23"/>
      <c r="M505" s="40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</row>
    <row r="506" spans="1:31" ht="13">
      <c r="A506" s="23"/>
      <c r="B506" s="401"/>
      <c r="C506" s="23"/>
      <c r="D506" s="401"/>
      <c r="E506" s="23"/>
      <c r="F506" s="23"/>
      <c r="G506" s="23"/>
      <c r="H506" s="401"/>
      <c r="I506" s="23"/>
      <c r="J506" s="23"/>
      <c r="K506" s="402"/>
      <c r="L506" s="23"/>
      <c r="M506" s="40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</row>
    <row r="507" spans="1:31" ht="13">
      <c r="A507" s="23"/>
      <c r="B507" s="401"/>
      <c r="C507" s="23"/>
      <c r="D507" s="401"/>
      <c r="E507" s="23"/>
      <c r="F507" s="23"/>
      <c r="G507" s="23"/>
      <c r="H507" s="401"/>
      <c r="I507" s="23"/>
      <c r="J507" s="23"/>
      <c r="K507" s="402"/>
      <c r="L507" s="23"/>
      <c r="M507" s="40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</row>
    <row r="508" spans="1:31" ht="13">
      <c r="A508" s="23"/>
      <c r="B508" s="401"/>
      <c r="C508" s="23"/>
      <c r="D508" s="401"/>
      <c r="E508" s="23"/>
      <c r="F508" s="23"/>
      <c r="G508" s="23"/>
      <c r="H508" s="401"/>
      <c r="I508" s="23"/>
      <c r="J508" s="23"/>
      <c r="K508" s="402"/>
      <c r="L508" s="23"/>
      <c r="M508" s="40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</row>
    <row r="509" spans="1:31" ht="13">
      <c r="A509" s="23"/>
      <c r="B509" s="401"/>
      <c r="C509" s="23"/>
      <c r="D509" s="401"/>
      <c r="E509" s="23"/>
      <c r="F509" s="23"/>
      <c r="G509" s="23"/>
      <c r="H509" s="401"/>
      <c r="I509" s="23"/>
      <c r="J509" s="23"/>
      <c r="K509" s="402"/>
      <c r="L509" s="23"/>
      <c r="M509" s="40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</row>
    <row r="510" spans="1:31" ht="13">
      <c r="A510" s="23"/>
      <c r="B510" s="401"/>
      <c r="C510" s="23"/>
      <c r="D510" s="401"/>
      <c r="E510" s="23"/>
      <c r="F510" s="23"/>
      <c r="G510" s="23"/>
      <c r="H510" s="401"/>
      <c r="I510" s="23"/>
      <c r="J510" s="23"/>
      <c r="K510" s="402"/>
      <c r="L510" s="23"/>
      <c r="M510" s="40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</row>
    <row r="511" spans="1:31" ht="13">
      <c r="A511" s="23"/>
      <c r="B511" s="401"/>
      <c r="C511" s="23"/>
      <c r="D511" s="401"/>
      <c r="E511" s="23"/>
      <c r="F511" s="23"/>
      <c r="G511" s="23"/>
      <c r="H511" s="401"/>
      <c r="I511" s="23"/>
      <c r="J511" s="23"/>
      <c r="K511" s="402"/>
      <c r="L511" s="23"/>
      <c r="M511" s="40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</row>
    <row r="512" spans="1:31" ht="13">
      <c r="A512" s="23"/>
      <c r="B512" s="401"/>
      <c r="C512" s="23"/>
      <c r="D512" s="401"/>
      <c r="E512" s="23"/>
      <c r="F512" s="23"/>
      <c r="G512" s="23"/>
      <c r="H512" s="401"/>
      <c r="I512" s="23"/>
      <c r="J512" s="23"/>
      <c r="K512" s="402"/>
      <c r="L512" s="23"/>
      <c r="M512" s="40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</row>
    <row r="513" spans="1:31" ht="13">
      <c r="A513" s="23"/>
      <c r="B513" s="401"/>
      <c r="C513" s="23"/>
      <c r="D513" s="401"/>
      <c r="E513" s="23"/>
      <c r="F513" s="23"/>
      <c r="G513" s="23"/>
      <c r="H513" s="401"/>
      <c r="I513" s="23"/>
      <c r="J513" s="23"/>
      <c r="K513" s="402"/>
      <c r="L513" s="23"/>
      <c r="M513" s="40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</row>
    <row r="514" spans="1:31" ht="13">
      <c r="A514" s="23"/>
      <c r="B514" s="401"/>
      <c r="C514" s="23"/>
      <c r="D514" s="401"/>
      <c r="E514" s="23"/>
      <c r="F514" s="23"/>
      <c r="G514" s="23"/>
      <c r="H514" s="401"/>
      <c r="I514" s="23"/>
      <c r="J514" s="23"/>
      <c r="K514" s="402"/>
      <c r="L514" s="23"/>
      <c r="M514" s="40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</row>
    <row r="515" spans="1:31" ht="13">
      <c r="A515" s="23"/>
      <c r="B515" s="401"/>
      <c r="C515" s="23"/>
      <c r="D515" s="401"/>
      <c r="E515" s="23"/>
      <c r="F515" s="23"/>
      <c r="G515" s="23"/>
      <c r="H515" s="401"/>
      <c r="I515" s="23"/>
      <c r="J515" s="23"/>
      <c r="K515" s="402"/>
      <c r="L515" s="23"/>
      <c r="M515" s="40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</row>
    <row r="516" spans="1:31" ht="13">
      <c r="A516" s="23"/>
      <c r="B516" s="401"/>
      <c r="C516" s="23"/>
      <c r="D516" s="401"/>
      <c r="E516" s="23"/>
      <c r="F516" s="23"/>
      <c r="G516" s="23"/>
      <c r="H516" s="401"/>
      <c r="I516" s="23"/>
      <c r="J516" s="23"/>
      <c r="K516" s="402"/>
      <c r="L516" s="23"/>
      <c r="M516" s="40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</row>
    <row r="517" spans="1:31" ht="13">
      <c r="A517" s="23"/>
      <c r="B517" s="401"/>
      <c r="C517" s="23"/>
      <c r="D517" s="401"/>
      <c r="E517" s="23"/>
      <c r="F517" s="23"/>
      <c r="G517" s="23"/>
      <c r="H517" s="401"/>
      <c r="I517" s="23"/>
      <c r="J517" s="23"/>
      <c r="K517" s="402"/>
      <c r="L517" s="23"/>
      <c r="M517" s="40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</row>
    <row r="518" spans="1:31" ht="13">
      <c r="A518" s="23"/>
      <c r="B518" s="401"/>
      <c r="C518" s="23"/>
      <c r="D518" s="401"/>
      <c r="E518" s="23"/>
      <c r="F518" s="23"/>
      <c r="G518" s="23"/>
      <c r="H518" s="401"/>
      <c r="I518" s="23"/>
      <c r="J518" s="23"/>
      <c r="K518" s="402"/>
      <c r="L518" s="23"/>
      <c r="M518" s="40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</row>
    <row r="519" spans="1:31" ht="13">
      <c r="A519" s="23"/>
      <c r="B519" s="401"/>
      <c r="C519" s="23"/>
      <c r="D519" s="401"/>
      <c r="E519" s="23"/>
      <c r="F519" s="23"/>
      <c r="G519" s="23"/>
      <c r="H519" s="401"/>
      <c r="I519" s="23"/>
      <c r="J519" s="23"/>
      <c r="K519" s="402"/>
      <c r="L519" s="23"/>
      <c r="M519" s="40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</row>
    <row r="520" spans="1:31" ht="13">
      <c r="A520" s="23"/>
      <c r="B520" s="401"/>
      <c r="C520" s="23"/>
      <c r="D520" s="401"/>
      <c r="E520" s="23"/>
      <c r="F520" s="23"/>
      <c r="G520" s="23"/>
      <c r="H520" s="401"/>
      <c r="I520" s="23"/>
      <c r="J520" s="23"/>
      <c r="K520" s="402"/>
      <c r="L520" s="23"/>
      <c r="M520" s="40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</row>
    <row r="521" spans="1:31" ht="13">
      <c r="A521" s="23"/>
      <c r="B521" s="401"/>
      <c r="C521" s="23"/>
      <c r="D521" s="401"/>
      <c r="E521" s="23"/>
      <c r="F521" s="23"/>
      <c r="G521" s="23"/>
      <c r="H521" s="401"/>
      <c r="I521" s="23"/>
      <c r="J521" s="23"/>
      <c r="K521" s="402"/>
      <c r="L521" s="23"/>
      <c r="M521" s="40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</row>
    <row r="522" spans="1:31" ht="13">
      <c r="A522" s="23"/>
      <c r="B522" s="401"/>
      <c r="C522" s="23"/>
      <c r="D522" s="401"/>
      <c r="E522" s="23"/>
      <c r="F522" s="23"/>
      <c r="G522" s="23"/>
      <c r="H522" s="401"/>
      <c r="I522" s="23"/>
      <c r="J522" s="23"/>
      <c r="K522" s="402"/>
      <c r="L522" s="23"/>
      <c r="M522" s="40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</row>
    <row r="523" spans="1:31" ht="13">
      <c r="A523" s="23"/>
      <c r="B523" s="401"/>
      <c r="C523" s="23"/>
      <c r="D523" s="401"/>
      <c r="E523" s="23"/>
      <c r="F523" s="23"/>
      <c r="G523" s="23"/>
      <c r="H523" s="401"/>
      <c r="I523" s="23"/>
      <c r="J523" s="23"/>
      <c r="K523" s="402"/>
      <c r="L523" s="23"/>
      <c r="M523" s="40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</row>
    <row r="524" spans="1:31" ht="13">
      <c r="A524" s="23"/>
      <c r="B524" s="401"/>
      <c r="C524" s="23"/>
      <c r="D524" s="401"/>
      <c r="E524" s="23"/>
      <c r="F524" s="23"/>
      <c r="G524" s="23"/>
      <c r="H524" s="401"/>
      <c r="I524" s="23"/>
      <c r="J524" s="23"/>
      <c r="K524" s="402"/>
      <c r="L524" s="23"/>
      <c r="M524" s="40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</row>
    <row r="525" spans="1:31" ht="13">
      <c r="A525" s="23"/>
      <c r="B525" s="401"/>
      <c r="C525" s="23"/>
      <c r="D525" s="401"/>
      <c r="E525" s="23"/>
      <c r="F525" s="23"/>
      <c r="G525" s="23"/>
      <c r="H525" s="401"/>
      <c r="I525" s="23"/>
      <c r="J525" s="23"/>
      <c r="K525" s="402"/>
      <c r="L525" s="23"/>
      <c r="M525" s="40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</row>
    <row r="526" spans="1:31" ht="13">
      <c r="A526" s="23"/>
      <c r="B526" s="401"/>
      <c r="C526" s="23"/>
      <c r="D526" s="401"/>
      <c r="E526" s="23"/>
      <c r="F526" s="23"/>
      <c r="G526" s="23"/>
      <c r="H526" s="401"/>
      <c r="I526" s="23"/>
      <c r="J526" s="23"/>
      <c r="K526" s="402"/>
      <c r="L526" s="23"/>
      <c r="M526" s="40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</row>
    <row r="527" spans="1:31" ht="13">
      <c r="A527" s="23"/>
      <c r="B527" s="401"/>
      <c r="C527" s="23"/>
      <c r="D527" s="401"/>
      <c r="E527" s="23"/>
      <c r="F527" s="23"/>
      <c r="G527" s="23"/>
      <c r="H527" s="401"/>
      <c r="I527" s="23"/>
      <c r="J527" s="23"/>
      <c r="K527" s="402"/>
      <c r="L527" s="23"/>
      <c r="M527" s="40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</row>
    <row r="528" spans="1:31" ht="13">
      <c r="A528" s="23"/>
      <c r="B528" s="401"/>
      <c r="C528" s="23"/>
      <c r="D528" s="401"/>
      <c r="E528" s="23"/>
      <c r="F528" s="23"/>
      <c r="G528" s="23"/>
      <c r="H528" s="401"/>
      <c r="I528" s="23"/>
      <c r="J528" s="23"/>
      <c r="K528" s="402"/>
      <c r="L528" s="23"/>
      <c r="M528" s="40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</row>
    <row r="529" spans="1:31" ht="13">
      <c r="A529" s="23"/>
      <c r="B529" s="401"/>
      <c r="C529" s="23"/>
      <c r="D529" s="401"/>
      <c r="E529" s="23"/>
      <c r="F529" s="23"/>
      <c r="G529" s="23"/>
      <c r="H529" s="401"/>
      <c r="I529" s="23"/>
      <c r="J529" s="23"/>
      <c r="K529" s="402"/>
      <c r="L529" s="23"/>
      <c r="M529" s="40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</row>
    <row r="530" spans="1:31" ht="13">
      <c r="A530" s="23"/>
      <c r="B530" s="401"/>
      <c r="C530" s="23"/>
      <c r="D530" s="401"/>
      <c r="E530" s="23"/>
      <c r="F530" s="23"/>
      <c r="G530" s="23"/>
      <c r="H530" s="401"/>
      <c r="I530" s="23"/>
      <c r="J530" s="23"/>
      <c r="K530" s="402"/>
      <c r="L530" s="23"/>
      <c r="M530" s="40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</row>
    <row r="531" spans="1:31" ht="13">
      <c r="A531" s="23"/>
      <c r="B531" s="401"/>
      <c r="C531" s="23"/>
      <c r="D531" s="401"/>
      <c r="E531" s="23"/>
      <c r="F531" s="23"/>
      <c r="G531" s="23"/>
      <c r="H531" s="401"/>
      <c r="I531" s="23"/>
      <c r="J531" s="23"/>
      <c r="K531" s="402"/>
      <c r="L531" s="23"/>
      <c r="M531" s="40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</row>
    <row r="532" spans="1:31" ht="13">
      <c r="A532" s="23"/>
      <c r="B532" s="401"/>
      <c r="C532" s="23"/>
      <c r="D532" s="401"/>
      <c r="E532" s="23"/>
      <c r="F532" s="23"/>
      <c r="G532" s="23"/>
      <c r="H532" s="401"/>
      <c r="I532" s="23"/>
      <c r="J532" s="23"/>
      <c r="K532" s="402"/>
      <c r="L532" s="23"/>
      <c r="M532" s="40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</row>
    <row r="533" spans="1:31" ht="13">
      <c r="A533" s="23"/>
      <c r="B533" s="401"/>
      <c r="C533" s="23"/>
      <c r="D533" s="401"/>
      <c r="E533" s="23"/>
      <c r="F533" s="23"/>
      <c r="G533" s="23"/>
      <c r="H533" s="401"/>
      <c r="I533" s="23"/>
      <c r="J533" s="23"/>
      <c r="K533" s="402"/>
      <c r="L533" s="23"/>
      <c r="M533" s="40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</row>
    <row r="534" spans="1:31" ht="13">
      <c r="A534" s="23"/>
      <c r="B534" s="401"/>
      <c r="C534" s="23"/>
      <c r="D534" s="401"/>
      <c r="E534" s="23"/>
      <c r="F534" s="23"/>
      <c r="G534" s="23"/>
      <c r="H534" s="401"/>
      <c r="I534" s="23"/>
      <c r="J534" s="23"/>
      <c r="K534" s="402"/>
      <c r="L534" s="23"/>
      <c r="M534" s="40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</row>
    <row r="535" spans="1:31" ht="13">
      <c r="A535" s="23"/>
      <c r="B535" s="401"/>
      <c r="C535" s="23"/>
      <c r="D535" s="401"/>
      <c r="E535" s="23"/>
      <c r="F535" s="23"/>
      <c r="G535" s="23"/>
      <c r="H535" s="401"/>
      <c r="I535" s="23"/>
      <c r="J535" s="23"/>
      <c r="K535" s="402"/>
      <c r="L535" s="23"/>
      <c r="M535" s="40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</row>
    <row r="536" spans="1:31" ht="13">
      <c r="A536" s="23"/>
      <c r="B536" s="401"/>
      <c r="C536" s="23"/>
      <c r="D536" s="401"/>
      <c r="E536" s="23"/>
      <c r="F536" s="23"/>
      <c r="G536" s="23"/>
      <c r="H536" s="401"/>
      <c r="I536" s="23"/>
      <c r="J536" s="23"/>
      <c r="K536" s="402"/>
      <c r="L536" s="23"/>
      <c r="M536" s="40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</row>
    <row r="537" spans="1:31" ht="13">
      <c r="A537" s="23"/>
      <c r="B537" s="401"/>
      <c r="C537" s="23"/>
      <c r="D537" s="401"/>
      <c r="E537" s="23"/>
      <c r="F537" s="23"/>
      <c r="G537" s="23"/>
      <c r="H537" s="401"/>
      <c r="I537" s="23"/>
      <c r="J537" s="23"/>
      <c r="K537" s="402"/>
      <c r="L537" s="23"/>
      <c r="M537" s="40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</row>
    <row r="538" spans="1:31" ht="13">
      <c r="A538" s="23"/>
      <c r="B538" s="401"/>
      <c r="C538" s="23"/>
      <c r="D538" s="401"/>
      <c r="E538" s="23"/>
      <c r="F538" s="23"/>
      <c r="G538" s="23"/>
      <c r="H538" s="401"/>
      <c r="I538" s="23"/>
      <c r="J538" s="23"/>
      <c r="K538" s="402"/>
      <c r="L538" s="23"/>
      <c r="M538" s="40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</row>
    <row r="539" spans="1:31" ht="13">
      <c r="A539" s="23"/>
      <c r="B539" s="401"/>
      <c r="C539" s="23"/>
      <c r="D539" s="401"/>
      <c r="E539" s="23"/>
      <c r="F539" s="23"/>
      <c r="G539" s="23"/>
      <c r="H539" s="401"/>
      <c r="I539" s="23"/>
      <c r="J539" s="23"/>
      <c r="K539" s="402"/>
      <c r="L539" s="23"/>
      <c r="M539" s="40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</row>
    <row r="540" spans="1:31" ht="13">
      <c r="A540" s="23"/>
      <c r="B540" s="401"/>
      <c r="C540" s="23"/>
      <c r="D540" s="401"/>
      <c r="E540" s="23"/>
      <c r="F540" s="23"/>
      <c r="G540" s="23"/>
      <c r="H540" s="401"/>
      <c r="I540" s="23"/>
      <c r="J540" s="23"/>
      <c r="K540" s="402"/>
      <c r="L540" s="23"/>
      <c r="M540" s="40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</row>
    <row r="541" spans="1:31" ht="13">
      <c r="A541" s="23"/>
      <c r="B541" s="401"/>
      <c r="C541" s="23"/>
      <c r="D541" s="401"/>
      <c r="E541" s="23"/>
      <c r="F541" s="23"/>
      <c r="G541" s="23"/>
      <c r="H541" s="401"/>
      <c r="I541" s="23"/>
      <c r="J541" s="23"/>
      <c r="K541" s="402"/>
      <c r="L541" s="23"/>
      <c r="M541" s="40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</row>
    <row r="542" spans="1:31" ht="13">
      <c r="A542" s="23"/>
      <c r="B542" s="401"/>
      <c r="C542" s="23"/>
      <c r="D542" s="401"/>
      <c r="E542" s="23"/>
      <c r="F542" s="23"/>
      <c r="G542" s="23"/>
      <c r="H542" s="401"/>
      <c r="I542" s="23"/>
      <c r="J542" s="23"/>
      <c r="K542" s="402"/>
      <c r="L542" s="23"/>
      <c r="M542" s="40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</row>
    <row r="543" spans="1:31" ht="13">
      <c r="A543" s="23"/>
      <c r="B543" s="401"/>
      <c r="C543" s="23"/>
      <c r="D543" s="401"/>
      <c r="E543" s="23"/>
      <c r="F543" s="23"/>
      <c r="G543" s="23"/>
      <c r="H543" s="401"/>
      <c r="I543" s="23"/>
      <c r="J543" s="23"/>
      <c r="K543" s="402"/>
      <c r="L543" s="23"/>
      <c r="M543" s="40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</row>
    <row r="544" spans="1:31" ht="13">
      <c r="A544" s="23"/>
      <c r="B544" s="401"/>
      <c r="C544" s="23"/>
      <c r="D544" s="401"/>
      <c r="E544" s="23"/>
      <c r="F544" s="23"/>
      <c r="G544" s="23"/>
      <c r="H544" s="401"/>
      <c r="I544" s="23"/>
      <c r="J544" s="23"/>
      <c r="K544" s="402"/>
      <c r="L544" s="23"/>
      <c r="M544" s="40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</row>
    <row r="545" spans="1:31" ht="13">
      <c r="A545" s="23"/>
      <c r="B545" s="401"/>
      <c r="C545" s="23"/>
      <c r="D545" s="401"/>
      <c r="E545" s="23"/>
      <c r="F545" s="23"/>
      <c r="G545" s="23"/>
      <c r="H545" s="401"/>
      <c r="I545" s="23"/>
      <c r="J545" s="23"/>
      <c r="K545" s="402"/>
      <c r="L545" s="23"/>
      <c r="M545" s="40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</row>
    <row r="546" spans="1:31" ht="13">
      <c r="A546" s="23"/>
      <c r="B546" s="401"/>
      <c r="C546" s="23"/>
      <c r="D546" s="401"/>
      <c r="E546" s="23"/>
      <c r="F546" s="23"/>
      <c r="G546" s="23"/>
      <c r="H546" s="401"/>
      <c r="I546" s="23"/>
      <c r="J546" s="23"/>
      <c r="K546" s="402"/>
      <c r="L546" s="23"/>
      <c r="M546" s="40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</row>
    <row r="547" spans="1:31" ht="13">
      <c r="A547" s="23"/>
      <c r="B547" s="401"/>
      <c r="C547" s="23"/>
      <c r="D547" s="401"/>
      <c r="E547" s="23"/>
      <c r="F547" s="23"/>
      <c r="G547" s="23"/>
      <c r="H547" s="401"/>
      <c r="I547" s="23"/>
      <c r="J547" s="23"/>
      <c r="K547" s="402"/>
      <c r="L547" s="23"/>
      <c r="M547" s="40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</row>
    <row r="548" spans="1:31" ht="13">
      <c r="A548" s="23"/>
      <c r="B548" s="401"/>
      <c r="C548" s="23"/>
      <c r="D548" s="401"/>
      <c r="E548" s="23"/>
      <c r="F548" s="23"/>
      <c r="G548" s="23"/>
      <c r="H548" s="401"/>
      <c r="I548" s="23"/>
      <c r="J548" s="23"/>
      <c r="K548" s="402"/>
      <c r="L548" s="23"/>
      <c r="M548" s="40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</row>
    <row r="549" spans="1:31" ht="13">
      <c r="A549" s="23"/>
      <c r="B549" s="401"/>
      <c r="C549" s="23"/>
      <c r="D549" s="401"/>
      <c r="E549" s="23"/>
      <c r="F549" s="23"/>
      <c r="G549" s="23"/>
      <c r="H549" s="401"/>
      <c r="I549" s="23"/>
      <c r="J549" s="23"/>
      <c r="K549" s="402"/>
      <c r="L549" s="23"/>
      <c r="M549" s="40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</row>
    <row r="550" spans="1:31" ht="13">
      <c r="A550" s="23"/>
      <c r="B550" s="401"/>
      <c r="C550" s="23"/>
      <c r="D550" s="401"/>
      <c r="E550" s="23"/>
      <c r="F550" s="23"/>
      <c r="G550" s="23"/>
      <c r="H550" s="401"/>
      <c r="I550" s="23"/>
      <c r="J550" s="23"/>
      <c r="K550" s="402"/>
      <c r="L550" s="23"/>
      <c r="M550" s="40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</row>
    <row r="551" spans="1:31" ht="13">
      <c r="A551" s="23"/>
      <c r="B551" s="401"/>
      <c r="C551" s="23"/>
      <c r="D551" s="401"/>
      <c r="E551" s="23"/>
      <c r="F551" s="23"/>
      <c r="G551" s="23"/>
      <c r="H551" s="401"/>
      <c r="I551" s="23"/>
      <c r="J551" s="23"/>
      <c r="K551" s="402"/>
      <c r="L551" s="23"/>
      <c r="M551" s="40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</row>
    <row r="552" spans="1:31" ht="13">
      <c r="A552" s="23"/>
      <c r="B552" s="401"/>
      <c r="C552" s="23"/>
      <c r="D552" s="401"/>
      <c r="E552" s="23"/>
      <c r="F552" s="23"/>
      <c r="G552" s="23"/>
      <c r="H552" s="401"/>
      <c r="I552" s="23"/>
      <c r="J552" s="23"/>
      <c r="K552" s="402"/>
      <c r="L552" s="23"/>
      <c r="M552" s="40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</row>
    <row r="553" spans="1:31" ht="13">
      <c r="A553" s="23"/>
      <c r="B553" s="401"/>
      <c r="C553" s="23"/>
      <c r="D553" s="401"/>
      <c r="E553" s="23"/>
      <c r="F553" s="23"/>
      <c r="G553" s="23"/>
      <c r="H553" s="401"/>
      <c r="I553" s="23"/>
      <c r="J553" s="23"/>
      <c r="K553" s="402"/>
      <c r="L553" s="23"/>
      <c r="M553" s="40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</row>
    <row r="554" spans="1:31" ht="13">
      <c r="A554" s="23"/>
      <c r="B554" s="401"/>
      <c r="C554" s="23"/>
      <c r="D554" s="401"/>
      <c r="E554" s="23"/>
      <c r="F554" s="23"/>
      <c r="G554" s="23"/>
      <c r="H554" s="401"/>
      <c r="I554" s="23"/>
      <c r="J554" s="23"/>
      <c r="K554" s="402"/>
      <c r="L554" s="23"/>
      <c r="M554" s="40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</row>
    <row r="555" spans="1:31" ht="13">
      <c r="A555" s="23"/>
      <c r="B555" s="401"/>
      <c r="C555" s="23"/>
      <c r="D555" s="401"/>
      <c r="E555" s="23"/>
      <c r="F555" s="23"/>
      <c r="G555" s="23"/>
      <c r="H555" s="401"/>
      <c r="I555" s="23"/>
      <c r="J555" s="23"/>
      <c r="K555" s="402"/>
      <c r="L555" s="23"/>
      <c r="M555" s="40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</row>
    <row r="556" spans="1:31" ht="13">
      <c r="A556" s="23"/>
      <c r="B556" s="401"/>
      <c r="C556" s="23"/>
      <c r="D556" s="401"/>
      <c r="E556" s="23"/>
      <c r="F556" s="23"/>
      <c r="G556" s="23"/>
      <c r="H556" s="401"/>
      <c r="I556" s="23"/>
      <c r="J556" s="23"/>
      <c r="K556" s="402"/>
      <c r="L556" s="23"/>
      <c r="M556" s="40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</row>
    <row r="557" spans="1:31" ht="13">
      <c r="A557" s="23"/>
      <c r="B557" s="401"/>
      <c r="C557" s="23"/>
      <c r="D557" s="401"/>
      <c r="E557" s="23"/>
      <c r="F557" s="23"/>
      <c r="G557" s="23"/>
      <c r="H557" s="401"/>
      <c r="I557" s="23"/>
      <c r="J557" s="23"/>
      <c r="K557" s="402"/>
      <c r="L557" s="23"/>
      <c r="M557" s="40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</row>
    <row r="558" spans="1:31" ht="13">
      <c r="A558" s="23"/>
      <c r="B558" s="401"/>
      <c r="C558" s="23"/>
      <c r="D558" s="401"/>
      <c r="E558" s="23"/>
      <c r="F558" s="23"/>
      <c r="G558" s="23"/>
      <c r="H558" s="401"/>
      <c r="I558" s="23"/>
      <c r="J558" s="23"/>
      <c r="K558" s="402"/>
      <c r="L558" s="23"/>
      <c r="M558" s="40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</row>
    <row r="559" spans="1:31" ht="13">
      <c r="A559" s="23"/>
      <c r="B559" s="401"/>
      <c r="C559" s="23"/>
      <c r="D559" s="401"/>
      <c r="E559" s="23"/>
      <c r="F559" s="23"/>
      <c r="G559" s="23"/>
      <c r="H559" s="401"/>
      <c r="I559" s="23"/>
      <c r="J559" s="23"/>
      <c r="K559" s="402"/>
      <c r="L559" s="23"/>
      <c r="M559" s="40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</row>
    <row r="560" spans="1:31" ht="13">
      <c r="A560" s="23"/>
      <c r="B560" s="401"/>
      <c r="C560" s="23"/>
      <c r="D560" s="401"/>
      <c r="E560" s="23"/>
      <c r="F560" s="23"/>
      <c r="G560" s="23"/>
      <c r="H560" s="401"/>
      <c r="I560" s="23"/>
      <c r="J560" s="23"/>
      <c r="K560" s="402"/>
      <c r="L560" s="23"/>
      <c r="M560" s="40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</row>
    <row r="561" spans="1:31" ht="13">
      <c r="A561" s="23"/>
      <c r="B561" s="401"/>
      <c r="C561" s="23"/>
      <c r="D561" s="401"/>
      <c r="E561" s="23"/>
      <c r="F561" s="23"/>
      <c r="G561" s="23"/>
      <c r="H561" s="401"/>
      <c r="I561" s="23"/>
      <c r="J561" s="23"/>
      <c r="K561" s="402"/>
      <c r="L561" s="23"/>
      <c r="M561" s="40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</row>
    <row r="562" spans="1:31" ht="13">
      <c r="A562" s="23"/>
      <c r="B562" s="401"/>
      <c r="C562" s="23"/>
      <c r="D562" s="401"/>
      <c r="E562" s="23"/>
      <c r="F562" s="23"/>
      <c r="G562" s="23"/>
      <c r="H562" s="401"/>
      <c r="I562" s="23"/>
      <c r="J562" s="23"/>
      <c r="K562" s="402"/>
      <c r="L562" s="23"/>
      <c r="M562" s="40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</row>
    <row r="563" spans="1:31" ht="13">
      <c r="A563" s="23"/>
      <c r="B563" s="401"/>
      <c r="C563" s="23"/>
      <c r="D563" s="401"/>
      <c r="E563" s="23"/>
      <c r="F563" s="23"/>
      <c r="G563" s="23"/>
      <c r="H563" s="401"/>
      <c r="I563" s="23"/>
      <c r="J563" s="23"/>
      <c r="K563" s="402"/>
      <c r="L563" s="23"/>
      <c r="M563" s="40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</row>
    <row r="564" spans="1:31" ht="13">
      <c r="A564" s="23"/>
      <c r="B564" s="401"/>
      <c r="C564" s="23"/>
      <c r="D564" s="401"/>
      <c r="E564" s="23"/>
      <c r="F564" s="23"/>
      <c r="G564" s="23"/>
      <c r="H564" s="401"/>
      <c r="I564" s="23"/>
      <c r="J564" s="23"/>
      <c r="K564" s="402"/>
      <c r="L564" s="23"/>
      <c r="M564" s="40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</row>
    <row r="565" spans="1:31" ht="13">
      <c r="A565" s="23"/>
      <c r="B565" s="401"/>
      <c r="C565" s="23"/>
      <c r="D565" s="401"/>
      <c r="E565" s="23"/>
      <c r="F565" s="23"/>
      <c r="G565" s="23"/>
      <c r="H565" s="401"/>
      <c r="I565" s="23"/>
      <c r="J565" s="23"/>
      <c r="K565" s="402"/>
      <c r="L565" s="23"/>
      <c r="M565" s="40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</row>
    <row r="566" spans="1:31" ht="13">
      <c r="A566" s="23"/>
      <c r="B566" s="401"/>
      <c r="C566" s="23"/>
      <c r="D566" s="401"/>
      <c r="E566" s="23"/>
      <c r="F566" s="23"/>
      <c r="G566" s="23"/>
      <c r="H566" s="401"/>
      <c r="I566" s="23"/>
      <c r="J566" s="23"/>
      <c r="K566" s="402"/>
      <c r="L566" s="23"/>
      <c r="M566" s="40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</row>
    <row r="567" spans="1:31" ht="13">
      <c r="A567" s="23"/>
      <c r="B567" s="401"/>
      <c r="C567" s="23"/>
      <c r="D567" s="401"/>
      <c r="E567" s="23"/>
      <c r="F567" s="23"/>
      <c r="G567" s="23"/>
      <c r="H567" s="401"/>
      <c r="I567" s="23"/>
      <c r="J567" s="23"/>
      <c r="K567" s="402"/>
      <c r="L567" s="23"/>
      <c r="M567" s="40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</row>
    <row r="568" spans="1:31" ht="13">
      <c r="A568" s="23"/>
      <c r="B568" s="401"/>
      <c r="C568" s="23"/>
      <c r="D568" s="401"/>
      <c r="E568" s="23"/>
      <c r="F568" s="23"/>
      <c r="G568" s="23"/>
      <c r="H568" s="401"/>
      <c r="I568" s="23"/>
      <c r="J568" s="23"/>
      <c r="K568" s="402"/>
      <c r="L568" s="23"/>
      <c r="M568" s="40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</row>
    <row r="569" spans="1:31" ht="13">
      <c r="A569" s="23"/>
      <c r="B569" s="401"/>
      <c r="C569" s="23"/>
      <c r="D569" s="401"/>
      <c r="E569" s="23"/>
      <c r="F569" s="23"/>
      <c r="G569" s="23"/>
      <c r="H569" s="401"/>
      <c r="I569" s="23"/>
      <c r="J569" s="23"/>
      <c r="K569" s="402"/>
      <c r="L569" s="23"/>
      <c r="M569" s="40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</row>
    <row r="570" spans="1:31" ht="13">
      <c r="A570" s="23"/>
      <c r="B570" s="401"/>
      <c r="C570" s="23"/>
      <c r="D570" s="401"/>
      <c r="E570" s="23"/>
      <c r="F570" s="23"/>
      <c r="G570" s="23"/>
      <c r="H570" s="401"/>
      <c r="I570" s="23"/>
      <c r="J570" s="23"/>
      <c r="K570" s="402"/>
      <c r="L570" s="23"/>
      <c r="M570" s="40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</row>
    <row r="571" spans="1:31" ht="13">
      <c r="A571" s="23"/>
      <c r="B571" s="401"/>
      <c r="C571" s="23"/>
      <c r="D571" s="401"/>
      <c r="E571" s="23"/>
      <c r="F571" s="23"/>
      <c r="G571" s="23"/>
      <c r="H571" s="401"/>
      <c r="I571" s="23"/>
      <c r="J571" s="23"/>
      <c r="K571" s="402"/>
      <c r="L571" s="23"/>
      <c r="M571" s="40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</row>
    <row r="572" spans="1:31" ht="13">
      <c r="A572" s="23"/>
      <c r="B572" s="401"/>
      <c r="C572" s="23"/>
      <c r="D572" s="401"/>
      <c r="E572" s="23"/>
      <c r="F572" s="23"/>
      <c r="G572" s="23"/>
      <c r="H572" s="401"/>
      <c r="I572" s="23"/>
      <c r="J572" s="23"/>
      <c r="K572" s="402"/>
      <c r="L572" s="23"/>
      <c r="M572" s="40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</row>
    <row r="573" spans="1:31" ht="13">
      <c r="A573" s="23"/>
      <c r="B573" s="401"/>
      <c r="C573" s="23"/>
      <c r="D573" s="401"/>
      <c r="E573" s="23"/>
      <c r="F573" s="23"/>
      <c r="G573" s="23"/>
      <c r="H573" s="401"/>
      <c r="I573" s="23"/>
      <c r="J573" s="23"/>
      <c r="K573" s="402"/>
      <c r="L573" s="23"/>
      <c r="M573" s="40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</row>
    <row r="574" spans="1:31" ht="13">
      <c r="A574" s="23"/>
      <c r="B574" s="401"/>
      <c r="C574" s="23"/>
      <c r="D574" s="401"/>
      <c r="E574" s="23"/>
      <c r="F574" s="23"/>
      <c r="G574" s="23"/>
      <c r="H574" s="401"/>
      <c r="I574" s="23"/>
      <c r="J574" s="23"/>
      <c r="K574" s="402"/>
      <c r="L574" s="23"/>
      <c r="M574" s="40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</row>
    <row r="575" spans="1:31" ht="13">
      <c r="A575" s="23"/>
      <c r="B575" s="401"/>
      <c r="C575" s="23"/>
      <c r="D575" s="401"/>
      <c r="E575" s="23"/>
      <c r="F575" s="23"/>
      <c r="G575" s="23"/>
      <c r="H575" s="401"/>
      <c r="I575" s="23"/>
      <c r="J575" s="23"/>
      <c r="K575" s="402"/>
      <c r="L575" s="23"/>
      <c r="M575" s="40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</row>
    <row r="576" spans="1:31" ht="13">
      <c r="A576" s="23"/>
      <c r="B576" s="401"/>
      <c r="C576" s="23"/>
      <c r="D576" s="401"/>
      <c r="E576" s="23"/>
      <c r="F576" s="23"/>
      <c r="G576" s="23"/>
      <c r="H576" s="401"/>
      <c r="I576" s="23"/>
      <c r="J576" s="23"/>
      <c r="K576" s="402"/>
      <c r="L576" s="23"/>
      <c r="M576" s="40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</row>
    <row r="577" spans="1:31" ht="13">
      <c r="A577" s="23"/>
      <c r="B577" s="401"/>
      <c r="C577" s="23"/>
      <c r="D577" s="401"/>
      <c r="E577" s="23"/>
      <c r="F577" s="23"/>
      <c r="G577" s="23"/>
      <c r="H577" s="401"/>
      <c r="I577" s="23"/>
      <c r="J577" s="23"/>
      <c r="K577" s="402"/>
      <c r="L577" s="23"/>
      <c r="M577" s="40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</row>
    <row r="578" spans="1:31" ht="13">
      <c r="A578" s="23"/>
      <c r="B578" s="401"/>
      <c r="C578" s="23"/>
      <c r="D578" s="401"/>
      <c r="E578" s="23"/>
      <c r="F578" s="23"/>
      <c r="G578" s="23"/>
      <c r="H578" s="401"/>
      <c r="I578" s="23"/>
      <c r="J578" s="23"/>
      <c r="K578" s="402"/>
      <c r="L578" s="23"/>
      <c r="M578" s="40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</row>
    <row r="579" spans="1:31" ht="13">
      <c r="A579" s="23"/>
      <c r="B579" s="401"/>
      <c r="C579" s="23"/>
      <c r="D579" s="401"/>
      <c r="E579" s="23"/>
      <c r="F579" s="23"/>
      <c r="G579" s="23"/>
      <c r="H579" s="401"/>
      <c r="I579" s="23"/>
      <c r="J579" s="23"/>
      <c r="K579" s="402"/>
      <c r="L579" s="23"/>
      <c r="M579" s="40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</row>
    <row r="580" spans="1:31" ht="13">
      <c r="A580" s="23"/>
      <c r="B580" s="401"/>
      <c r="C580" s="23"/>
      <c r="D580" s="401"/>
      <c r="E580" s="23"/>
      <c r="F580" s="23"/>
      <c r="G580" s="23"/>
      <c r="H580" s="401"/>
      <c r="I580" s="23"/>
      <c r="J580" s="23"/>
      <c r="K580" s="402"/>
      <c r="L580" s="23"/>
      <c r="M580" s="40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</row>
    <row r="581" spans="1:31" ht="13">
      <c r="A581" s="23"/>
      <c r="B581" s="401"/>
      <c r="C581" s="23"/>
      <c r="D581" s="401"/>
      <c r="E581" s="23"/>
      <c r="F581" s="23"/>
      <c r="G581" s="23"/>
      <c r="H581" s="401"/>
      <c r="I581" s="23"/>
      <c r="J581" s="23"/>
      <c r="K581" s="402"/>
      <c r="L581" s="23"/>
      <c r="M581" s="40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</row>
    <row r="582" spans="1:31" ht="13">
      <c r="A582" s="23"/>
      <c r="B582" s="401"/>
      <c r="C582" s="23"/>
      <c r="D582" s="401"/>
      <c r="E582" s="23"/>
      <c r="F582" s="23"/>
      <c r="G582" s="23"/>
      <c r="H582" s="401"/>
      <c r="I582" s="23"/>
      <c r="J582" s="23"/>
      <c r="K582" s="402"/>
      <c r="L582" s="23"/>
      <c r="M582" s="40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</row>
    <row r="583" spans="1:31" ht="13">
      <c r="A583" s="23"/>
      <c r="B583" s="401"/>
      <c r="C583" s="23"/>
      <c r="D583" s="401"/>
      <c r="E583" s="23"/>
      <c r="F583" s="23"/>
      <c r="G583" s="23"/>
      <c r="H583" s="401"/>
      <c r="I583" s="23"/>
      <c r="J583" s="23"/>
      <c r="K583" s="402"/>
      <c r="L583" s="23"/>
      <c r="M583" s="40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</row>
    <row r="584" spans="1:31" ht="13">
      <c r="A584" s="23"/>
      <c r="B584" s="401"/>
      <c r="C584" s="23"/>
      <c r="D584" s="401"/>
      <c r="E584" s="23"/>
      <c r="F584" s="23"/>
      <c r="G584" s="23"/>
      <c r="H584" s="401"/>
      <c r="I584" s="23"/>
      <c r="J584" s="23"/>
      <c r="K584" s="402"/>
      <c r="L584" s="23"/>
      <c r="M584" s="40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</row>
    <row r="585" spans="1:31" ht="13">
      <c r="A585" s="23"/>
      <c r="B585" s="401"/>
      <c r="C585" s="23"/>
      <c r="D585" s="401"/>
      <c r="E585" s="23"/>
      <c r="F585" s="23"/>
      <c r="G585" s="23"/>
      <c r="H585" s="401"/>
      <c r="I585" s="23"/>
      <c r="J585" s="23"/>
      <c r="K585" s="402"/>
      <c r="L585" s="23"/>
      <c r="M585" s="40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</row>
    <row r="586" spans="1:31" ht="13">
      <c r="A586" s="23"/>
      <c r="B586" s="401"/>
      <c r="C586" s="23"/>
      <c r="D586" s="401"/>
      <c r="E586" s="23"/>
      <c r="F586" s="23"/>
      <c r="G586" s="23"/>
      <c r="H586" s="401"/>
      <c r="I586" s="23"/>
      <c r="J586" s="23"/>
      <c r="K586" s="402"/>
      <c r="L586" s="23"/>
      <c r="M586" s="40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</row>
    <row r="587" spans="1:31" ht="13">
      <c r="A587" s="23"/>
      <c r="B587" s="401"/>
      <c r="C587" s="23"/>
      <c r="D587" s="401"/>
      <c r="E587" s="23"/>
      <c r="F587" s="23"/>
      <c r="G587" s="23"/>
      <c r="H587" s="401"/>
      <c r="I587" s="23"/>
      <c r="J587" s="23"/>
      <c r="K587" s="402"/>
      <c r="L587" s="23"/>
      <c r="M587" s="40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</row>
    <row r="588" spans="1:31" ht="13">
      <c r="A588" s="23"/>
      <c r="B588" s="401"/>
      <c r="C588" s="23"/>
      <c r="D588" s="401"/>
      <c r="E588" s="23"/>
      <c r="F588" s="23"/>
      <c r="G588" s="23"/>
      <c r="H588" s="401"/>
      <c r="I588" s="23"/>
      <c r="J588" s="23"/>
      <c r="K588" s="402"/>
      <c r="L588" s="23"/>
      <c r="M588" s="40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</row>
    <row r="589" spans="1:31" ht="13">
      <c r="A589" s="23"/>
      <c r="B589" s="401"/>
      <c r="C589" s="23"/>
      <c r="D589" s="401"/>
      <c r="E589" s="23"/>
      <c r="F589" s="23"/>
      <c r="G589" s="23"/>
      <c r="H589" s="401"/>
      <c r="I589" s="23"/>
      <c r="J589" s="23"/>
      <c r="K589" s="402"/>
      <c r="L589" s="23"/>
      <c r="M589" s="40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</row>
    <row r="590" spans="1:31" ht="13">
      <c r="A590" s="23"/>
      <c r="B590" s="401"/>
      <c r="C590" s="23"/>
      <c r="D590" s="401"/>
      <c r="E590" s="23"/>
      <c r="F590" s="23"/>
      <c r="G590" s="23"/>
      <c r="H590" s="401"/>
      <c r="I590" s="23"/>
      <c r="J590" s="23"/>
      <c r="K590" s="402"/>
      <c r="L590" s="23"/>
      <c r="M590" s="40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</row>
    <row r="591" spans="1:31" ht="13">
      <c r="A591" s="23"/>
      <c r="B591" s="401"/>
      <c r="C591" s="23"/>
      <c r="D591" s="401"/>
      <c r="E591" s="23"/>
      <c r="F591" s="23"/>
      <c r="G591" s="23"/>
      <c r="H591" s="401"/>
      <c r="I591" s="23"/>
      <c r="J591" s="23"/>
      <c r="K591" s="402"/>
      <c r="L591" s="23"/>
      <c r="M591" s="40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</row>
    <row r="592" spans="1:31" ht="13">
      <c r="A592" s="23"/>
      <c r="B592" s="401"/>
      <c r="C592" s="23"/>
      <c r="D592" s="401"/>
      <c r="E592" s="23"/>
      <c r="F592" s="23"/>
      <c r="G592" s="23"/>
      <c r="H592" s="401"/>
      <c r="I592" s="23"/>
      <c r="J592" s="23"/>
      <c r="K592" s="402"/>
      <c r="L592" s="23"/>
      <c r="M592" s="40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</row>
    <row r="593" spans="1:31" ht="13">
      <c r="A593" s="23"/>
      <c r="B593" s="401"/>
      <c r="C593" s="23"/>
      <c r="D593" s="401"/>
      <c r="E593" s="23"/>
      <c r="F593" s="23"/>
      <c r="G593" s="23"/>
      <c r="H593" s="401"/>
      <c r="I593" s="23"/>
      <c r="J593" s="23"/>
      <c r="K593" s="402"/>
      <c r="L593" s="23"/>
      <c r="M593" s="40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</row>
    <row r="594" spans="1:31" ht="13">
      <c r="A594" s="23"/>
      <c r="B594" s="401"/>
      <c r="C594" s="23"/>
      <c r="D594" s="401"/>
      <c r="E594" s="23"/>
      <c r="F594" s="23"/>
      <c r="G594" s="23"/>
      <c r="H594" s="401"/>
      <c r="I594" s="23"/>
      <c r="J594" s="23"/>
      <c r="K594" s="402"/>
      <c r="L594" s="23"/>
      <c r="M594" s="40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</row>
    <row r="595" spans="1:31" ht="13">
      <c r="A595" s="23"/>
      <c r="B595" s="401"/>
      <c r="C595" s="23"/>
      <c r="D595" s="401"/>
      <c r="E595" s="23"/>
      <c r="F595" s="23"/>
      <c r="G595" s="23"/>
      <c r="H595" s="401"/>
      <c r="I595" s="23"/>
      <c r="J595" s="23"/>
      <c r="K595" s="402"/>
      <c r="L595" s="23"/>
      <c r="M595" s="40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</row>
    <row r="596" spans="1:31" ht="13">
      <c r="A596" s="23"/>
      <c r="B596" s="401"/>
      <c r="C596" s="23"/>
      <c r="D596" s="401"/>
      <c r="E596" s="23"/>
      <c r="F596" s="23"/>
      <c r="G596" s="23"/>
      <c r="H596" s="401"/>
      <c r="I596" s="23"/>
      <c r="J596" s="23"/>
      <c r="K596" s="402"/>
      <c r="L596" s="23"/>
      <c r="M596" s="40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</row>
    <row r="597" spans="1:31" ht="13">
      <c r="A597" s="23"/>
      <c r="B597" s="401"/>
      <c r="C597" s="23"/>
      <c r="D597" s="401"/>
      <c r="E597" s="23"/>
      <c r="F597" s="23"/>
      <c r="G597" s="23"/>
      <c r="H597" s="401"/>
      <c r="I597" s="23"/>
      <c r="J597" s="23"/>
      <c r="K597" s="402"/>
      <c r="L597" s="23"/>
      <c r="M597" s="40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</row>
    <row r="598" spans="1:31" ht="13">
      <c r="A598" s="23"/>
      <c r="B598" s="401"/>
      <c r="C598" s="23"/>
      <c r="D598" s="401"/>
      <c r="E598" s="23"/>
      <c r="F598" s="23"/>
      <c r="G598" s="23"/>
      <c r="H598" s="401"/>
      <c r="I598" s="23"/>
      <c r="J598" s="23"/>
      <c r="K598" s="402"/>
      <c r="L598" s="23"/>
      <c r="M598" s="40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</row>
    <row r="599" spans="1:31" ht="13">
      <c r="A599" s="23"/>
      <c r="B599" s="401"/>
      <c r="C599" s="23"/>
      <c r="D599" s="401"/>
      <c r="E599" s="23"/>
      <c r="F599" s="23"/>
      <c r="G599" s="23"/>
      <c r="H599" s="401"/>
      <c r="I599" s="23"/>
      <c r="J599" s="23"/>
      <c r="K599" s="402"/>
      <c r="L599" s="23"/>
      <c r="M599" s="40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</row>
    <row r="600" spans="1:31" ht="13">
      <c r="A600" s="23"/>
      <c r="B600" s="401"/>
      <c r="C600" s="23"/>
      <c r="D600" s="401"/>
      <c r="E600" s="23"/>
      <c r="F600" s="23"/>
      <c r="G600" s="23"/>
      <c r="H600" s="401"/>
      <c r="I600" s="23"/>
      <c r="J600" s="23"/>
      <c r="K600" s="402"/>
      <c r="L600" s="23"/>
      <c r="M600" s="40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</row>
    <row r="601" spans="1:31" ht="13">
      <c r="A601" s="23"/>
      <c r="B601" s="401"/>
      <c r="C601" s="23"/>
      <c r="D601" s="401"/>
      <c r="E601" s="23"/>
      <c r="F601" s="23"/>
      <c r="G601" s="23"/>
      <c r="H601" s="401"/>
      <c r="I601" s="23"/>
      <c r="J601" s="23"/>
      <c r="K601" s="402"/>
      <c r="L601" s="23"/>
      <c r="M601" s="40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</row>
    <row r="602" spans="1:31" ht="13">
      <c r="A602" s="23"/>
      <c r="B602" s="401"/>
      <c r="C602" s="23"/>
      <c r="D602" s="401"/>
      <c r="E602" s="23"/>
      <c r="F602" s="23"/>
      <c r="G602" s="23"/>
      <c r="H602" s="401"/>
      <c r="I602" s="23"/>
      <c r="J602" s="23"/>
      <c r="K602" s="402"/>
      <c r="L602" s="23"/>
      <c r="M602" s="40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</row>
    <row r="603" spans="1:31" ht="13">
      <c r="A603" s="23"/>
      <c r="B603" s="401"/>
      <c r="C603" s="23"/>
      <c r="D603" s="401"/>
      <c r="E603" s="23"/>
      <c r="F603" s="23"/>
      <c r="G603" s="23"/>
      <c r="H603" s="401"/>
      <c r="I603" s="23"/>
      <c r="J603" s="23"/>
      <c r="K603" s="402"/>
      <c r="L603" s="23"/>
      <c r="M603" s="40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</row>
    <row r="604" spans="1:31" ht="13">
      <c r="A604" s="23"/>
      <c r="B604" s="401"/>
      <c r="C604" s="23"/>
      <c r="D604" s="401"/>
      <c r="E604" s="23"/>
      <c r="F604" s="23"/>
      <c r="G604" s="23"/>
      <c r="H604" s="401"/>
      <c r="I604" s="23"/>
      <c r="J604" s="23"/>
      <c r="K604" s="402"/>
      <c r="L604" s="23"/>
      <c r="M604" s="40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</row>
    <row r="605" spans="1:31" ht="13">
      <c r="A605" s="23"/>
      <c r="B605" s="401"/>
      <c r="C605" s="23"/>
      <c r="D605" s="401"/>
      <c r="E605" s="23"/>
      <c r="F605" s="23"/>
      <c r="G605" s="23"/>
      <c r="H605" s="401"/>
      <c r="I605" s="23"/>
      <c r="J605" s="23"/>
      <c r="K605" s="402"/>
      <c r="L605" s="23"/>
      <c r="M605" s="40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</row>
    <row r="606" spans="1:31" ht="13">
      <c r="A606" s="23"/>
      <c r="B606" s="401"/>
      <c r="C606" s="23"/>
      <c r="D606" s="401"/>
      <c r="E606" s="23"/>
      <c r="F606" s="23"/>
      <c r="G606" s="23"/>
      <c r="H606" s="401"/>
      <c r="I606" s="23"/>
      <c r="J606" s="23"/>
      <c r="K606" s="402"/>
      <c r="L606" s="23"/>
      <c r="M606" s="40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</row>
    <row r="607" spans="1:31" ht="13">
      <c r="A607" s="23"/>
      <c r="B607" s="401"/>
      <c r="C607" s="23"/>
      <c r="D607" s="401"/>
      <c r="E607" s="23"/>
      <c r="F607" s="23"/>
      <c r="G607" s="23"/>
      <c r="H607" s="401"/>
      <c r="I607" s="23"/>
      <c r="J607" s="23"/>
      <c r="K607" s="402"/>
      <c r="L607" s="23"/>
      <c r="M607" s="40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</row>
    <row r="608" spans="1:31" ht="13">
      <c r="A608" s="23"/>
      <c r="B608" s="401"/>
      <c r="C608" s="23"/>
      <c r="D608" s="401"/>
      <c r="E608" s="23"/>
      <c r="F608" s="23"/>
      <c r="G608" s="23"/>
      <c r="H608" s="401"/>
      <c r="I608" s="23"/>
      <c r="J608" s="23"/>
      <c r="K608" s="402"/>
      <c r="L608" s="23"/>
      <c r="M608" s="40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</row>
    <row r="609" spans="1:31" ht="13">
      <c r="A609" s="23"/>
      <c r="B609" s="401"/>
      <c r="C609" s="23"/>
      <c r="D609" s="401"/>
      <c r="E609" s="23"/>
      <c r="F609" s="23"/>
      <c r="G609" s="23"/>
      <c r="H609" s="401"/>
      <c r="I609" s="23"/>
      <c r="J609" s="23"/>
      <c r="K609" s="402"/>
      <c r="L609" s="23"/>
      <c r="M609" s="40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</row>
    <row r="610" spans="1:31" ht="13">
      <c r="A610" s="23"/>
      <c r="B610" s="401"/>
      <c r="C610" s="23"/>
      <c r="D610" s="401"/>
      <c r="E610" s="23"/>
      <c r="F610" s="23"/>
      <c r="G610" s="23"/>
      <c r="H610" s="401"/>
      <c r="I610" s="23"/>
      <c r="J610" s="23"/>
      <c r="K610" s="402"/>
      <c r="L610" s="23"/>
      <c r="M610" s="40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</row>
    <row r="611" spans="1:31" ht="13">
      <c r="A611" s="23"/>
      <c r="B611" s="401"/>
      <c r="C611" s="23"/>
      <c r="D611" s="401"/>
      <c r="E611" s="23"/>
      <c r="F611" s="23"/>
      <c r="G611" s="23"/>
      <c r="H611" s="401"/>
      <c r="I611" s="23"/>
      <c r="J611" s="23"/>
      <c r="K611" s="402"/>
      <c r="L611" s="23"/>
      <c r="M611" s="40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</row>
    <row r="612" spans="1:31" ht="13">
      <c r="A612" s="23"/>
      <c r="B612" s="401"/>
      <c r="C612" s="23"/>
      <c r="D612" s="401"/>
      <c r="E612" s="23"/>
      <c r="F612" s="23"/>
      <c r="G612" s="23"/>
      <c r="H612" s="401"/>
      <c r="I612" s="23"/>
      <c r="J612" s="23"/>
      <c r="K612" s="402"/>
      <c r="L612" s="23"/>
      <c r="M612" s="40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</row>
    <row r="613" spans="1:31" ht="13">
      <c r="A613" s="23"/>
      <c r="B613" s="401"/>
      <c r="C613" s="23"/>
      <c r="D613" s="401"/>
      <c r="E613" s="23"/>
      <c r="F613" s="23"/>
      <c r="G613" s="23"/>
      <c r="H613" s="401"/>
      <c r="I613" s="23"/>
      <c r="J613" s="23"/>
      <c r="K613" s="402"/>
      <c r="L613" s="23"/>
      <c r="M613" s="40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</row>
    <row r="614" spans="1:31" ht="13">
      <c r="A614" s="23"/>
      <c r="B614" s="401"/>
      <c r="C614" s="23"/>
      <c r="D614" s="401"/>
      <c r="E614" s="23"/>
      <c r="F614" s="23"/>
      <c r="G614" s="23"/>
      <c r="H614" s="401"/>
      <c r="I614" s="23"/>
      <c r="J614" s="23"/>
      <c r="K614" s="402"/>
      <c r="L614" s="23"/>
      <c r="M614" s="40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</row>
    <row r="615" spans="1:31" ht="13">
      <c r="A615" s="23"/>
      <c r="B615" s="401"/>
      <c r="C615" s="23"/>
      <c r="D615" s="401"/>
      <c r="E615" s="23"/>
      <c r="F615" s="23"/>
      <c r="G615" s="23"/>
      <c r="H615" s="401"/>
      <c r="I615" s="23"/>
      <c r="J615" s="23"/>
      <c r="K615" s="402"/>
      <c r="L615" s="23"/>
      <c r="M615" s="40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</row>
    <row r="616" spans="1:31" ht="13">
      <c r="A616" s="23"/>
      <c r="B616" s="401"/>
      <c r="C616" s="23"/>
      <c r="D616" s="401"/>
      <c r="E616" s="23"/>
      <c r="F616" s="23"/>
      <c r="G616" s="23"/>
      <c r="H616" s="401"/>
      <c r="I616" s="23"/>
      <c r="J616" s="23"/>
      <c r="K616" s="402"/>
      <c r="L616" s="23"/>
      <c r="M616" s="40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</row>
    <row r="617" spans="1:31" ht="13">
      <c r="A617" s="23"/>
      <c r="B617" s="401"/>
      <c r="C617" s="23"/>
      <c r="D617" s="401"/>
      <c r="E617" s="23"/>
      <c r="F617" s="23"/>
      <c r="G617" s="23"/>
      <c r="H617" s="401"/>
      <c r="I617" s="23"/>
      <c r="J617" s="23"/>
      <c r="K617" s="402"/>
      <c r="L617" s="23"/>
      <c r="M617" s="40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</row>
    <row r="618" spans="1:31" ht="13">
      <c r="A618" s="23"/>
      <c r="B618" s="401"/>
      <c r="C618" s="23"/>
      <c r="D618" s="401"/>
      <c r="E618" s="23"/>
      <c r="F618" s="23"/>
      <c r="G618" s="23"/>
      <c r="H618" s="401"/>
      <c r="I618" s="23"/>
      <c r="J618" s="23"/>
      <c r="K618" s="402"/>
      <c r="L618" s="23"/>
      <c r="M618" s="40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</row>
    <row r="619" spans="1:31" ht="13">
      <c r="A619" s="23"/>
      <c r="B619" s="401"/>
      <c r="C619" s="23"/>
      <c r="D619" s="401"/>
      <c r="E619" s="23"/>
      <c r="F619" s="23"/>
      <c r="G619" s="23"/>
      <c r="H619" s="401"/>
      <c r="I619" s="23"/>
      <c r="J619" s="23"/>
      <c r="K619" s="402"/>
      <c r="L619" s="23"/>
      <c r="M619" s="40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</row>
    <row r="620" spans="1:31" ht="13">
      <c r="A620" s="23"/>
      <c r="B620" s="401"/>
      <c r="C620" s="23"/>
      <c r="D620" s="401"/>
      <c r="E620" s="23"/>
      <c r="F620" s="23"/>
      <c r="G620" s="23"/>
      <c r="H620" s="401"/>
      <c r="I620" s="23"/>
      <c r="J620" s="23"/>
      <c r="K620" s="402"/>
      <c r="L620" s="23"/>
      <c r="M620" s="40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</row>
    <row r="621" spans="1:31" ht="13">
      <c r="A621" s="23"/>
      <c r="B621" s="401"/>
      <c r="C621" s="23"/>
      <c r="D621" s="401"/>
      <c r="E621" s="23"/>
      <c r="F621" s="23"/>
      <c r="G621" s="23"/>
      <c r="H621" s="401"/>
      <c r="I621" s="23"/>
      <c r="J621" s="23"/>
      <c r="K621" s="402"/>
      <c r="L621" s="23"/>
      <c r="M621" s="40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</row>
    <row r="622" spans="1:31" ht="13">
      <c r="A622" s="23"/>
      <c r="B622" s="401"/>
      <c r="C622" s="23"/>
      <c r="D622" s="401"/>
      <c r="E622" s="23"/>
      <c r="F622" s="23"/>
      <c r="G622" s="23"/>
      <c r="H622" s="401"/>
      <c r="I622" s="23"/>
      <c r="J622" s="23"/>
      <c r="K622" s="402"/>
      <c r="L622" s="23"/>
      <c r="M622" s="40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</row>
    <row r="623" spans="1:31" ht="13">
      <c r="A623" s="23"/>
      <c r="B623" s="401"/>
      <c r="C623" s="23"/>
      <c r="D623" s="401"/>
      <c r="E623" s="23"/>
      <c r="F623" s="23"/>
      <c r="G623" s="23"/>
      <c r="H623" s="401"/>
      <c r="I623" s="23"/>
      <c r="J623" s="23"/>
      <c r="K623" s="402"/>
      <c r="L623" s="23"/>
      <c r="M623" s="40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</row>
    <row r="624" spans="1:31" ht="13">
      <c r="A624" s="23"/>
      <c r="B624" s="401"/>
      <c r="C624" s="23"/>
      <c r="D624" s="401"/>
      <c r="E624" s="23"/>
      <c r="F624" s="23"/>
      <c r="G624" s="23"/>
      <c r="H624" s="401"/>
      <c r="I624" s="23"/>
      <c r="J624" s="23"/>
      <c r="K624" s="402"/>
      <c r="L624" s="23"/>
      <c r="M624" s="40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</row>
    <row r="625" spans="1:31" ht="13">
      <c r="A625" s="23"/>
      <c r="B625" s="401"/>
      <c r="C625" s="23"/>
      <c r="D625" s="401"/>
      <c r="E625" s="23"/>
      <c r="F625" s="23"/>
      <c r="G625" s="23"/>
      <c r="H625" s="401"/>
      <c r="I625" s="23"/>
      <c r="J625" s="23"/>
      <c r="K625" s="402"/>
      <c r="L625" s="23"/>
      <c r="M625" s="40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</row>
    <row r="626" spans="1:31" ht="13">
      <c r="A626" s="23"/>
      <c r="B626" s="401"/>
      <c r="C626" s="23"/>
      <c r="D626" s="401"/>
      <c r="E626" s="23"/>
      <c r="F626" s="23"/>
      <c r="G626" s="23"/>
      <c r="H626" s="401"/>
      <c r="I626" s="23"/>
      <c r="J626" s="23"/>
      <c r="K626" s="402"/>
      <c r="L626" s="23"/>
      <c r="M626" s="40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</row>
    <row r="627" spans="1:31" ht="13">
      <c r="A627" s="23"/>
      <c r="B627" s="401"/>
      <c r="C627" s="23"/>
      <c r="D627" s="401"/>
      <c r="E627" s="23"/>
      <c r="F627" s="23"/>
      <c r="G627" s="23"/>
      <c r="H627" s="401"/>
      <c r="I627" s="23"/>
      <c r="J627" s="23"/>
      <c r="K627" s="402"/>
      <c r="L627" s="23"/>
      <c r="M627" s="40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</row>
    <row r="628" spans="1:31" ht="13">
      <c r="A628" s="23"/>
      <c r="B628" s="401"/>
      <c r="C628" s="23"/>
      <c r="D628" s="401"/>
      <c r="E628" s="23"/>
      <c r="F628" s="23"/>
      <c r="G628" s="23"/>
      <c r="H628" s="401"/>
      <c r="I628" s="23"/>
      <c r="J628" s="23"/>
      <c r="K628" s="402"/>
      <c r="L628" s="23"/>
      <c r="M628" s="40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</row>
    <row r="629" spans="1:31" ht="13">
      <c r="A629" s="23"/>
      <c r="B629" s="401"/>
      <c r="C629" s="23"/>
      <c r="D629" s="401"/>
      <c r="E629" s="23"/>
      <c r="F629" s="23"/>
      <c r="G629" s="23"/>
      <c r="H629" s="401"/>
      <c r="I629" s="23"/>
      <c r="J629" s="23"/>
      <c r="K629" s="402"/>
      <c r="L629" s="23"/>
      <c r="M629" s="40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</row>
    <row r="630" spans="1:31" ht="13">
      <c r="A630" s="23"/>
      <c r="B630" s="401"/>
      <c r="C630" s="23"/>
      <c r="D630" s="401"/>
      <c r="E630" s="23"/>
      <c r="F630" s="23"/>
      <c r="G630" s="23"/>
      <c r="H630" s="401"/>
      <c r="I630" s="23"/>
      <c r="J630" s="23"/>
      <c r="K630" s="402"/>
      <c r="L630" s="23"/>
      <c r="M630" s="40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</row>
    <row r="631" spans="1:31" ht="13">
      <c r="A631" s="23"/>
      <c r="B631" s="401"/>
      <c r="C631" s="23"/>
      <c r="D631" s="401"/>
      <c r="E631" s="23"/>
      <c r="F631" s="23"/>
      <c r="G631" s="23"/>
      <c r="H631" s="401"/>
      <c r="I631" s="23"/>
      <c r="J631" s="23"/>
      <c r="K631" s="402"/>
      <c r="L631" s="23"/>
      <c r="M631" s="40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</row>
    <row r="632" spans="1:31" ht="13">
      <c r="A632" s="23"/>
      <c r="B632" s="401"/>
      <c r="C632" s="23"/>
      <c r="D632" s="401"/>
      <c r="E632" s="23"/>
      <c r="F632" s="23"/>
      <c r="G632" s="23"/>
      <c r="H632" s="401"/>
      <c r="I632" s="23"/>
      <c r="J632" s="23"/>
      <c r="K632" s="402"/>
      <c r="L632" s="23"/>
      <c r="M632" s="40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</row>
    <row r="633" spans="1:31" ht="13">
      <c r="A633" s="23"/>
      <c r="B633" s="401"/>
      <c r="C633" s="23"/>
      <c r="D633" s="401"/>
      <c r="E633" s="23"/>
      <c r="F633" s="23"/>
      <c r="G633" s="23"/>
      <c r="H633" s="401"/>
      <c r="I633" s="23"/>
      <c r="J633" s="23"/>
      <c r="K633" s="402"/>
      <c r="L633" s="23"/>
      <c r="M633" s="40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</row>
    <row r="634" spans="1:31" ht="13">
      <c r="A634" s="23"/>
      <c r="B634" s="401"/>
      <c r="C634" s="23"/>
      <c r="D634" s="401"/>
      <c r="E634" s="23"/>
      <c r="F634" s="23"/>
      <c r="G634" s="23"/>
      <c r="H634" s="401"/>
      <c r="I634" s="23"/>
      <c r="J634" s="23"/>
      <c r="K634" s="402"/>
      <c r="L634" s="23"/>
      <c r="M634" s="40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</row>
    <row r="635" spans="1:31" ht="13">
      <c r="A635" s="23"/>
      <c r="B635" s="401"/>
      <c r="C635" s="23"/>
      <c r="D635" s="401"/>
      <c r="E635" s="23"/>
      <c r="F635" s="23"/>
      <c r="G635" s="23"/>
      <c r="H635" s="401"/>
      <c r="I635" s="23"/>
      <c r="J635" s="23"/>
      <c r="K635" s="402"/>
      <c r="L635" s="23"/>
      <c r="M635" s="40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</row>
    <row r="636" spans="1:31" ht="13">
      <c r="A636" s="23"/>
      <c r="B636" s="401"/>
      <c r="C636" s="23"/>
      <c r="D636" s="401"/>
      <c r="E636" s="23"/>
      <c r="F636" s="23"/>
      <c r="G636" s="23"/>
      <c r="H636" s="401"/>
      <c r="I636" s="23"/>
      <c r="J636" s="23"/>
      <c r="K636" s="402"/>
      <c r="L636" s="23"/>
      <c r="M636" s="40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</row>
    <row r="637" spans="1:31" ht="13">
      <c r="A637" s="23"/>
      <c r="B637" s="401"/>
      <c r="C637" s="23"/>
      <c r="D637" s="401"/>
      <c r="E637" s="23"/>
      <c r="F637" s="23"/>
      <c r="G637" s="23"/>
      <c r="H637" s="401"/>
      <c r="I637" s="23"/>
      <c r="J637" s="23"/>
      <c r="K637" s="402"/>
      <c r="L637" s="23"/>
      <c r="M637" s="40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</row>
    <row r="638" spans="1:31" ht="13">
      <c r="A638" s="23"/>
      <c r="B638" s="401"/>
      <c r="C638" s="23"/>
      <c r="D638" s="401"/>
      <c r="E638" s="23"/>
      <c r="F638" s="23"/>
      <c r="G638" s="23"/>
      <c r="H638" s="401"/>
      <c r="I638" s="23"/>
      <c r="J638" s="23"/>
      <c r="K638" s="402"/>
      <c r="L638" s="23"/>
      <c r="M638" s="40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</row>
    <row r="639" spans="1:31" ht="13">
      <c r="A639" s="23"/>
      <c r="B639" s="401"/>
      <c r="C639" s="23"/>
      <c r="D639" s="401"/>
      <c r="E639" s="23"/>
      <c r="F639" s="23"/>
      <c r="G639" s="23"/>
      <c r="H639" s="401"/>
      <c r="I639" s="23"/>
      <c r="J639" s="23"/>
      <c r="K639" s="402"/>
      <c r="L639" s="23"/>
      <c r="M639" s="40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</row>
    <row r="640" spans="1:31" ht="13">
      <c r="A640" s="23"/>
      <c r="B640" s="401"/>
      <c r="C640" s="23"/>
      <c r="D640" s="401"/>
      <c r="E640" s="23"/>
      <c r="F640" s="23"/>
      <c r="G640" s="23"/>
      <c r="H640" s="401"/>
      <c r="I640" s="23"/>
      <c r="J640" s="23"/>
      <c r="K640" s="402"/>
      <c r="L640" s="23"/>
      <c r="M640" s="40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</row>
    <row r="641" spans="1:31" ht="13">
      <c r="A641" s="23"/>
      <c r="B641" s="401"/>
      <c r="C641" s="23"/>
      <c r="D641" s="401"/>
      <c r="E641" s="23"/>
      <c r="F641" s="23"/>
      <c r="G641" s="23"/>
      <c r="H641" s="401"/>
      <c r="I641" s="23"/>
      <c r="J641" s="23"/>
      <c r="K641" s="402"/>
      <c r="L641" s="23"/>
      <c r="M641" s="40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</row>
    <row r="642" spans="1:31" ht="13">
      <c r="A642" s="23"/>
      <c r="B642" s="401"/>
      <c r="C642" s="23"/>
      <c r="D642" s="401"/>
      <c r="E642" s="23"/>
      <c r="F642" s="23"/>
      <c r="G642" s="23"/>
      <c r="H642" s="401"/>
      <c r="I642" s="23"/>
      <c r="J642" s="23"/>
      <c r="K642" s="402"/>
      <c r="L642" s="23"/>
      <c r="M642" s="40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</row>
    <row r="643" spans="1:31" ht="13">
      <c r="A643" s="23"/>
      <c r="B643" s="401"/>
      <c r="C643" s="23"/>
      <c r="D643" s="401"/>
      <c r="E643" s="23"/>
      <c r="F643" s="23"/>
      <c r="G643" s="23"/>
      <c r="H643" s="401"/>
      <c r="I643" s="23"/>
      <c r="J643" s="23"/>
      <c r="K643" s="402"/>
      <c r="L643" s="23"/>
      <c r="M643" s="40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</row>
    <row r="644" spans="1:31" ht="13">
      <c r="A644" s="23"/>
      <c r="B644" s="401"/>
      <c r="C644" s="23"/>
      <c r="D644" s="401"/>
      <c r="E644" s="23"/>
      <c r="F644" s="23"/>
      <c r="G644" s="23"/>
      <c r="H644" s="401"/>
      <c r="I644" s="23"/>
      <c r="J644" s="23"/>
      <c r="K644" s="402"/>
      <c r="L644" s="23"/>
      <c r="M644" s="40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</row>
    <row r="645" spans="1:31" ht="13">
      <c r="A645" s="23"/>
      <c r="B645" s="401"/>
      <c r="C645" s="23"/>
      <c r="D645" s="401"/>
      <c r="E645" s="23"/>
      <c r="F645" s="23"/>
      <c r="G645" s="23"/>
      <c r="H645" s="401"/>
      <c r="I645" s="23"/>
      <c r="J645" s="23"/>
      <c r="K645" s="402"/>
      <c r="L645" s="23"/>
      <c r="M645" s="40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</row>
    <row r="646" spans="1:31" ht="13">
      <c r="A646" s="23"/>
      <c r="B646" s="401"/>
      <c r="C646" s="23"/>
      <c r="D646" s="401"/>
      <c r="E646" s="23"/>
      <c r="F646" s="23"/>
      <c r="G646" s="23"/>
      <c r="H646" s="401"/>
      <c r="I646" s="23"/>
      <c r="J646" s="23"/>
      <c r="K646" s="402"/>
      <c r="L646" s="23"/>
      <c r="M646" s="40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</row>
    <row r="647" spans="1:31" ht="13">
      <c r="A647" s="23"/>
      <c r="B647" s="401"/>
      <c r="C647" s="23"/>
      <c r="D647" s="401"/>
      <c r="E647" s="23"/>
      <c r="F647" s="23"/>
      <c r="G647" s="23"/>
      <c r="H647" s="401"/>
      <c r="I647" s="23"/>
      <c r="J647" s="23"/>
      <c r="K647" s="402"/>
      <c r="L647" s="23"/>
      <c r="M647" s="40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</row>
    <row r="648" spans="1:31" ht="13">
      <c r="A648" s="23"/>
      <c r="B648" s="401"/>
      <c r="C648" s="23"/>
      <c r="D648" s="401"/>
      <c r="E648" s="23"/>
      <c r="F648" s="23"/>
      <c r="G648" s="23"/>
      <c r="H648" s="401"/>
      <c r="I648" s="23"/>
      <c r="J648" s="23"/>
      <c r="K648" s="402"/>
      <c r="L648" s="23"/>
      <c r="M648" s="40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</row>
    <row r="649" spans="1:31" ht="13">
      <c r="A649" s="23"/>
      <c r="B649" s="401"/>
      <c r="C649" s="23"/>
      <c r="D649" s="401"/>
      <c r="E649" s="23"/>
      <c r="F649" s="23"/>
      <c r="G649" s="23"/>
      <c r="H649" s="401"/>
      <c r="I649" s="23"/>
      <c r="J649" s="23"/>
      <c r="K649" s="402"/>
      <c r="L649" s="23"/>
      <c r="M649" s="40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</row>
    <row r="650" spans="1:31" ht="13">
      <c r="A650" s="23"/>
      <c r="B650" s="401"/>
      <c r="C650" s="23"/>
      <c r="D650" s="401"/>
      <c r="E650" s="23"/>
      <c r="F650" s="23"/>
      <c r="G650" s="23"/>
      <c r="H650" s="401"/>
      <c r="I650" s="23"/>
      <c r="J650" s="23"/>
      <c r="K650" s="402"/>
      <c r="L650" s="23"/>
      <c r="M650" s="40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</row>
    <row r="651" spans="1:31" ht="13">
      <c r="A651" s="23"/>
      <c r="B651" s="401"/>
      <c r="C651" s="23"/>
      <c r="D651" s="401"/>
      <c r="E651" s="23"/>
      <c r="F651" s="23"/>
      <c r="G651" s="23"/>
      <c r="H651" s="401"/>
      <c r="I651" s="23"/>
      <c r="J651" s="23"/>
      <c r="K651" s="402"/>
      <c r="L651" s="23"/>
      <c r="M651" s="40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</row>
    <row r="652" spans="1:31" ht="13">
      <c r="A652" s="23"/>
      <c r="B652" s="401"/>
      <c r="C652" s="23"/>
      <c r="D652" s="401"/>
      <c r="E652" s="23"/>
      <c r="F652" s="23"/>
      <c r="G652" s="23"/>
      <c r="H652" s="401"/>
      <c r="I652" s="23"/>
      <c r="J652" s="23"/>
      <c r="K652" s="402"/>
      <c r="L652" s="23"/>
      <c r="M652" s="40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</row>
    <row r="653" spans="1:31" ht="13">
      <c r="A653" s="23"/>
      <c r="B653" s="401"/>
      <c r="C653" s="23"/>
      <c r="D653" s="401"/>
      <c r="E653" s="23"/>
      <c r="F653" s="23"/>
      <c r="G653" s="23"/>
      <c r="H653" s="401"/>
      <c r="I653" s="23"/>
      <c r="J653" s="23"/>
      <c r="K653" s="402"/>
      <c r="L653" s="23"/>
      <c r="M653" s="40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</row>
    <row r="654" spans="1:31" ht="13">
      <c r="A654" s="23"/>
      <c r="B654" s="401"/>
      <c r="C654" s="23"/>
      <c r="D654" s="401"/>
      <c r="E654" s="23"/>
      <c r="F654" s="23"/>
      <c r="G654" s="23"/>
      <c r="H654" s="401"/>
      <c r="I654" s="23"/>
      <c r="J654" s="23"/>
      <c r="K654" s="402"/>
      <c r="L654" s="23"/>
      <c r="M654" s="40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</row>
    <row r="655" spans="1:31" ht="13">
      <c r="A655" s="23"/>
      <c r="B655" s="401"/>
      <c r="C655" s="23"/>
      <c r="D655" s="401"/>
      <c r="E655" s="23"/>
      <c r="F655" s="23"/>
      <c r="G655" s="23"/>
      <c r="H655" s="401"/>
      <c r="I655" s="23"/>
      <c r="J655" s="23"/>
      <c r="K655" s="402"/>
      <c r="L655" s="23"/>
      <c r="M655" s="40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</row>
    <row r="656" spans="1:31" ht="13">
      <c r="A656" s="23"/>
      <c r="B656" s="401"/>
      <c r="C656" s="23"/>
      <c r="D656" s="401"/>
      <c r="E656" s="23"/>
      <c r="F656" s="23"/>
      <c r="G656" s="23"/>
      <c r="H656" s="401"/>
      <c r="I656" s="23"/>
      <c r="J656" s="23"/>
      <c r="K656" s="402"/>
      <c r="L656" s="23"/>
      <c r="M656" s="40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</row>
    <row r="657" spans="1:31" ht="13">
      <c r="A657" s="23"/>
      <c r="B657" s="401"/>
      <c r="C657" s="23"/>
      <c r="D657" s="401"/>
      <c r="E657" s="23"/>
      <c r="F657" s="23"/>
      <c r="G657" s="23"/>
      <c r="H657" s="401"/>
      <c r="I657" s="23"/>
      <c r="J657" s="23"/>
      <c r="K657" s="402"/>
      <c r="L657" s="23"/>
      <c r="M657" s="40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</row>
    <row r="658" spans="1:31" ht="13">
      <c r="A658" s="23"/>
      <c r="B658" s="401"/>
      <c r="C658" s="23"/>
      <c r="D658" s="401"/>
      <c r="E658" s="23"/>
      <c r="F658" s="23"/>
      <c r="G658" s="23"/>
      <c r="H658" s="401"/>
      <c r="I658" s="23"/>
      <c r="J658" s="23"/>
      <c r="K658" s="402"/>
      <c r="L658" s="23"/>
      <c r="M658" s="40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</row>
    <row r="659" spans="1:31" ht="13">
      <c r="A659" s="23"/>
      <c r="B659" s="401"/>
      <c r="C659" s="23"/>
      <c r="D659" s="401"/>
      <c r="E659" s="23"/>
      <c r="F659" s="23"/>
      <c r="G659" s="23"/>
      <c r="H659" s="401"/>
      <c r="I659" s="23"/>
      <c r="J659" s="23"/>
      <c r="K659" s="402"/>
      <c r="L659" s="23"/>
      <c r="M659" s="40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</row>
    <row r="660" spans="1:31" ht="13">
      <c r="A660" s="23"/>
      <c r="B660" s="401"/>
      <c r="C660" s="23"/>
      <c r="D660" s="401"/>
      <c r="E660" s="23"/>
      <c r="F660" s="23"/>
      <c r="G660" s="23"/>
      <c r="H660" s="401"/>
      <c r="I660" s="23"/>
      <c r="J660" s="23"/>
      <c r="K660" s="402"/>
      <c r="L660" s="23"/>
      <c r="M660" s="40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</row>
    <row r="661" spans="1:31" ht="13">
      <c r="A661" s="23"/>
      <c r="B661" s="401"/>
      <c r="C661" s="23"/>
      <c r="D661" s="401"/>
      <c r="E661" s="23"/>
      <c r="F661" s="23"/>
      <c r="G661" s="23"/>
      <c r="H661" s="401"/>
      <c r="I661" s="23"/>
      <c r="J661" s="23"/>
      <c r="K661" s="402"/>
      <c r="L661" s="23"/>
      <c r="M661" s="40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</row>
    <row r="662" spans="1:31" ht="13">
      <c r="A662" s="23"/>
      <c r="B662" s="401"/>
      <c r="C662" s="23"/>
      <c r="D662" s="401"/>
      <c r="E662" s="23"/>
      <c r="F662" s="23"/>
      <c r="G662" s="23"/>
      <c r="H662" s="401"/>
      <c r="I662" s="23"/>
      <c r="J662" s="23"/>
      <c r="K662" s="402"/>
      <c r="L662" s="23"/>
      <c r="M662" s="40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</row>
    <row r="663" spans="1:31" ht="13">
      <c r="A663" s="23"/>
      <c r="B663" s="401"/>
      <c r="C663" s="23"/>
      <c r="D663" s="401"/>
      <c r="E663" s="23"/>
      <c r="F663" s="23"/>
      <c r="G663" s="23"/>
      <c r="H663" s="401"/>
      <c r="I663" s="23"/>
      <c r="J663" s="23"/>
      <c r="K663" s="402"/>
      <c r="L663" s="23"/>
      <c r="M663" s="40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</row>
    <row r="664" spans="1:31" ht="13">
      <c r="A664" s="23"/>
      <c r="B664" s="401"/>
      <c r="C664" s="23"/>
      <c r="D664" s="401"/>
      <c r="E664" s="23"/>
      <c r="F664" s="23"/>
      <c r="G664" s="23"/>
      <c r="H664" s="401"/>
      <c r="I664" s="23"/>
      <c r="J664" s="23"/>
      <c r="K664" s="402"/>
      <c r="L664" s="23"/>
      <c r="M664" s="40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</row>
    <row r="665" spans="1:31" ht="13">
      <c r="A665" s="23"/>
      <c r="B665" s="401"/>
      <c r="C665" s="23"/>
      <c r="D665" s="401"/>
      <c r="E665" s="23"/>
      <c r="F665" s="23"/>
      <c r="G665" s="23"/>
      <c r="H665" s="401"/>
      <c r="I665" s="23"/>
      <c r="J665" s="23"/>
      <c r="K665" s="402"/>
      <c r="L665" s="23"/>
      <c r="M665" s="40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</row>
    <row r="666" spans="1:31" ht="13">
      <c r="A666" s="23"/>
      <c r="B666" s="401"/>
      <c r="C666" s="23"/>
      <c r="D666" s="401"/>
      <c r="E666" s="23"/>
      <c r="F666" s="23"/>
      <c r="G666" s="23"/>
      <c r="H666" s="401"/>
      <c r="I666" s="23"/>
      <c r="J666" s="23"/>
      <c r="K666" s="402"/>
      <c r="L666" s="23"/>
      <c r="M666" s="40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</row>
    <row r="667" spans="1:31" ht="13">
      <c r="A667" s="23"/>
      <c r="B667" s="401"/>
      <c r="C667" s="23"/>
      <c r="D667" s="401"/>
      <c r="E667" s="23"/>
      <c r="F667" s="23"/>
      <c r="G667" s="23"/>
      <c r="H667" s="401"/>
      <c r="I667" s="23"/>
      <c r="J667" s="23"/>
      <c r="K667" s="402"/>
      <c r="L667" s="23"/>
      <c r="M667" s="40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</row>
    <row r="668" spans="1:31" ht="13">
      <c r="A668" s="23"/>
      <c r="B668" s="401"/>
      <c r="C668" s="23"/>
      <c r="D668" s="401"/>
      <c r="E668" s="23"/>
      <c r="F668" s="23"/>
      <c r="G668" s="23"/>
      <c r="H668" s="401"/>
      <c r="I668" s="23"/>
      <c r="J668" s="23"/>
      <c r="K668" s="402"/>
      <c r="L668" s="23"/>
      <c r="M668" s="40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</row>
    <row r="669" spans="1:31" ht="13">
      <c r="A669" s="23"/>
      <c r="B669" s="401"/>
      <c r="C669" s="23"/>
      <c r="D669" s="401"/>
      <c r="E669" s="23"/>
      <c r="F669" s="23"/>
      <c r="G669" s="23"/>
      <c r="H669" s="401"/>
      <c r="I669" s="23"/>
      <c r="J669" s="23"/>
      <c r="K669" s="402"/>
      <c r="L669" s="23"/>
      <c r="M669" s="40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</row>
    <row r="670" spans="1:31" ht="13">
      <c r="A670" s="23"/>
      <c r="B670" s="401"/>
      <c r="C670" s="23"/>
      <c r="D670" s="401"/>
      <c r="E670" s="23"/>
      <c r="F670" s="23"/>
      <c r="G670" s="23"/>
      <c r="H670" s="401"/>
      <c r="I670" s="23"/>
      <c r="J670" s="23"/>
      <c r="K670" s="402"/>
      <c r="L670" s="23"/>
      <c r="M670" s="40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</row>
    <row r="671" spans="1:31" ht="13">
      <c r="A671" s="23"/>
      <c r="B671" s="401"/>
      <c r="C671" s="23"/>
      <c r="D671" s="401"/>
      <c r="E671" s="23"/>
      <c r="F671" s="23"/>
      <c r="G671" s="23"/>
      <c r="H671" s="401"/>
      <c r="I671" s="23"/>
      <c r="J671" s="23"/>
      <c r="K671" s="402"/>
      <c r="L671" s="23"/>
      <c r="M671" s="40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</row>
    <row r="672" spans="1:31" ht="13">
      <c r="A672" s="23"/>
      <c r="B672" s="401"/>
      <c r="C672" s="23"/>
      <c r="D672" s="401"/>
      <c r="E672" s="23"/>
      <c r="F672" s="23"/>
      <c r="G672" s="23"/>
      <c r="H672" s="401"/>
      <c r="I672" s="23"/>
      <c r="J672" s="23"/>
      <c r="K672" s="402"/>
      <c r="L672" s="23"/>
      <c r="M672" s="40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</row>
    <row r="673" spans="1:31" ht="13">
      <c r="A673" s="23"/>
      <c r="B673" s="401"/>
      <c r="C673" s="23"/>
      <c r="D673" s="401"/>
      <c r="E673" s="23"/>
      <c r="F673" s="23"/>
      <c r="G673" s="23"/>
      <c r="H673" s="401"/>
      <c r="I673" s="23"/>
      <c r="J673" s="23"/>
      <c r="K673" s="402"/>
      <c r="L673" s="23"/>
      <c r="M673" s="40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</row>
    <row r="674" spans="1:31" ht="13">
      <c r="A674" s="23"/>
      <c r="B674" s="401"/>
      <c r="C674" s="23"/>
      <c r="D674" s="401"/>
      <c r="E674" s="23"/>
      <c r="F674" s="23"/>
      <c r="G674" s="23"/>
      <c r="H674" s="401"/>
      <c r="I674" s="23"/>
      <c r="J674" s="23"/>
      <c r="K674" s="402"/>
      <c r="L674" s="23"/>
      <c r="M674" s="40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</row>
    <row r="675" spans="1:31" ht="13">
      <c r="A675" s="23"/>
      <c r="B675" s="401"/>
      <c r="C675" s="23"/>
      <c r="D675" s="401"/>
      <c r="E675" s="23"/>
      <c r="F675" s="23"/>
      <c r="G675" s="23"/>
      <c r="H675" s="401"/>
      <c r="I675" s="23"/>
      <c r="J675" s="23"/>
      <c r="K675" s="402"/>
      <c r="L675" s="23"/>
      <c r="M675" s="40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</row>
    <row r="676" spans="1:31" ht="13">
      <c r="A676" s="23"/>
      <c r="B676" s="401"/>
      <c r="C676" s="23"/>
      <c r="D676" s="401"/>
      <c r="E676" s="23"/>
      <c r="F676" s="23"/>
      <c r="G676" s="23"/>
      <c r="H676" s="401"/>
      <c r="I676" s="23"/>
      <c r="J676" s="23"/>
      <c r="K676" s="402"/>
      <c r="L676" s="23"/>
      <c r="M676" s="40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</row>
    <row r="677" spans="1:31" ht="13">
      <c r="A677" s="23"/>
      <c r="B677" s="401"/>
      <c r="C677" s="23"/>
      <c r="D677" s="401"/>
      <c r="E677" s="23"/>
      <c r="F677" s="23"/>
      <c r="G677" s="23"/>
      <c r="H677" s="401"/>
      <c r="I677" s="23"/>
      <c r="J677" s="23"/>
      <c r="K677" s="402"/>
      <c r="L677" s="23"/>
      <c r="M677" s="40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</row>
    <row r="678" spans="1:31" ht="13">
      <c r="A678" s="23"/>
      <c r="B678" s="401"/>
      <c r="C678" s="23"/>
      <c r="D678" s="401"/>
      <c r="E678" s="23"/>
      <c r="F678" s="23"/>
      <c r="G678" s="23"/>
      <c r="H678" s="401"/>
      <c r="I678" s="23"/>
      <c r="J678" s="23"/>
      <c r="K678" s="402"/>
      <c r="L678" s="23"/>
      <c r="M678" s="40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</row>
    <row r="679" spans="1:31" ht="13">
      <c r="A679" s="23"/>
      <c r="B679" s="401"/>
      <c r="C679" s="23"/>
      <c r="D679" s="401"/>
      <c r="E679" s="23"/>
      <c r="F679" s="23"/>
      <c r="G679" s="23"/>
      <c r="H679" s="401"/>
      <c r="I679" s="23"/>
      <c r="J679" s="23"/>
      <c r="K679" s="402"/>
      <c r="L679" s="23"/>
      <c r="M679" s="40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</row>
    <row r="680" spans="1:31" ht="13">
      <c r="A680" s="23"/>
      <c r="B680" s="401"/>
      <c r="C680" s="23"/>
      <c r="D680" s="401"/>
      <c r="E680" s="23"/>
      <c r="F680" s="23"/>
      <c r="G680" s="23"/>
      <c r="H680" s="401"/>
      <c r="I680" s="23"/>
      <c r="J680" s="23"/>
      <c r="K680" s="402"/>
      <c r="L680" s="23"/>
      <c r="M680" s="40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</row>
    <row r="681" spans="1:31" ht="13">
      <c r="A681" s="23"/>
      <c r="B681" s="401"/>
      <c r="C681" s="23"/>
      <c r="D681" s="401"/>
      <c r="E681" s="23"/>
      <c r="F681" s="23"/>
      <c r="G681" s="23"/>
      <c r="H681" s="401"/>
      <c r="I681" s="23"/>
      <c r="J681" s="23"/>
      <c r="K681" s="402"/>
      <c r="L681" s="23"/>
      <c r="M681" s="40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</row>
    <row r="682" spans="1:31" ht="13">
      <c r="A682" s="23"/>
      <c r="B682" s="401"/>
      <c r="C682" s="23"/>
      <c r="D682" s="401"/>
      <c r="E682" s="23"/>
      <c r="F682" s="23"/>
      <c r="G682" s="23"/>
      <c r="H682" s="401"/>
      <c r="I682" s="23"/>
      <c r="J682" s="23"/>
      <c r="K682" s="402"/>
      <c r="L682" s="23"/>
      <c r="M682" s="40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</row>
    <row r="683" spans="1:31" ht="13">
      <c r="A683" s="23"/>
      <c r="B683" s="401"/>
      <c r="C683" s="23"/>
      <c r="D683" s="401"/>
      <c r="E683" s="23"/>
      <c r="F683" s="23"/>
      <c r="G683" s="23"/>
      <c r="H683" s="401"/>
      <c r="I683" s="23"/>
      <c r="J683" s="23"/>
      <c r="K683" s="402"/>
      <c r="L683" s="23"/>
      <c r="M683" s="40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</row>
    <row r="684" spans="1:31" ht="13">
      <c r="A684" s="23"/>
      <c r="B684" s="401"/>
      <c r="C684" s="23"/>
      <c r="D684" s="401"/>
      <c r="E684" s="23"/>
      <c r="F684" s="23"/>
      <c r="G684" s="23"/>
      <c r="H684" s="401"/>
      <c r="I684" s="23"/>
      <c r="J684" s="23"/>
      <c r="K684" s="402"/>
      <c r="L684" s="23"/>
      <c r="M684" s="40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</row>
    <row r="685" spans="1:31" ht="13">
      <c r="A685" s="23"/>
      <c r="B685" s="401"/>
      <c r="C685" s="23"/>
      <c r="D685" s="401"/>
      <c r="E685" s="23"/>
      <c r="F685" s="23"/>
      <c r="G685" s="23"/>
      <c r="H685" s="401"/>
      <c r="I685" s="23"/>
      <c r="J685" s="23"/>
      <c r="K685" s="402"/>
      <c r="L685" s="23"/>
      <c r="M685" s="40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</row>
    <row r="686" spans="1:31" ht="13">
      <c r="A686" s="23"/>
      <c r="B686" s="401"/>
      <c r="C686" s="23"/>
      <c r="D686" s="401"/>
      <c r="E686" s="23"/>
      <c r="F686" s="23"/>
      <c r="G686" s="23"/>
      <c r="H686" s="401"/>
      <c r="I686" s="23"/>
      <c r="J686" s="23"/>
      <c r="K686" s="402"/>
      <c r="L686" s="23"/>
      <c r="M686" s="40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</row>
    <row r="687" spans="1:31" ht="13">
      <c r="A687" s="23"/>
      <c r="B687" s="401"/>
      <c r="C687" s="23"/>
      <c r="D687" s="401"/>
      <c r="E687" s="23"/>
      <c r="F687" s="23"/>
      <c r="G687" s="23"/>
      <c r="H687" s="401"/>
      <c r="I687" s="23"/>
      <c r="J687" s="23"/>
      <c r="K687" s="402"/>
      <c r="L687" s="23"/>
      <c r="M687" s="40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</row>
    <row r="688" spans="1:31" ht="13">
      <c r="A688" s="23"/>
      <c r="B688" s="401"/>
      <c r="C688" s="23"/>
      <c r="D688" s="401"/>
      <c r="E688" s="23"/>
      <c r="F688" s="23"/>
      <c r="G688" s="23"/>
      <c r="H688" s="401"/>
      <c r="I688" s="23"/>
      <c r="J688" s="23"/>
      <c r="K688" s="402"/>
      <c r="L688" s="23"/>
      <c r="M688" s="40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</row>
    <row r="689" spans="1:31" ht="13">
      <c r="A689" s="23"/>
      <c r="B689" s="401"/>
      <c r="C689" s="23"/>
      <c r="D689" s="401"/>
      <c r="E689" s="23"/>
      <c r="F689" s="23"/>
      <c r="G689" s="23"/>
      <c r="H689" s="401"/>
      <c r="I689" s="23"/>
      <c r="J689" s="23"/>
      <c r="K689" s="402"/>
      <c r="L689" s="23"/>
      <c r="M689" s="40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</row>
    <row r="690" spans="1:31" ht="13">
      <c r="A690" s="23"/>
      <c r="B690" s="401"/>
      <c r="C690" s="23"/>
      <c r="D690" s="401"/>
      <c r="E690" s="23"/>
      <c r="F690" s="23"/>
      <c r="G690" s="23"/>
      <c r="H690" s="401"/>
      <c r="I690" s="23"/>
      <c r="J690" s="23"/>
      <c r="K690" s="402"/>
      <c r="L690" s="23"/>
      <c r="M690" s="40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</row>
    <row r="691" spans="1:31" ht="13">
      <c r="A691" s="23"/>
      <c r="B691" s="401"/>
      <c r="C691" s="23"/>
      <c r="D691" s="401"/>
      <c r="E691" s="23"/>
      <c r="F691" s="23"/>
      <c r="G691" s="23"/>
      <c r="H691" s="401"/>
      <c r="I691" s="23"/>
      <c r="J691" s="23"/>
      <c r="K691" s="402"/>
      <c r="L691" s="23"/>
      <c r="M691" s="40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</row>
    <row r="692" spans="1:31" ht="13">
      <c r="A692" s="23"/>
      <c r="B692" s="401"/>
      <c r="C692" s="23"/>
      <c r="D692" s="401"/>
      <c r="E692" s="23"/>
      <c r="F692" s="23"/>
      <c r="G692" s="23"/>
      <c r="H692" s="401"/>
      <c r="I692" s="23"/>
      <c r="J692" s="23"/>
      <c r="K692" s="402"/>
      <c r="L692" s="23"/>
      <c r="M692" s="40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</row>
    <row r="693" spans="1:31" ht="13">
      <c r="A693" s="23"/>
      <c r="B693" s="401"/>
      <c r="C693" s="23"/>
      <c r="D693" s="401"/>
      <c r="E693" s="23"/>
      <c r="F693" s="23"/>
      <c r="G693" s="23"/>
      <c r="H693" s="401"/>
      <c r="I693" s="23"/>
      <c r="J693" s="23"/>
      <c r="K693" s="402"/>
      <c r="L693" s="23"/>
      <c r="M693" s="40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</row>
    <row r="694" spans="1:31" ht="13">
      <c r="A694" s="23"/>
      <c r="B694" s="401"/>
      <c r="C694" s="23"/>
      <c r="D694" s="401"/>
      <c r="E694" s="23"/>
      <c r="F694" s="23"/>
      <c r="G694" s="23"/>
      <c r="H694" s="401"/>
      <c r="I694" s="23"/>
      <c r="J694" s="23"/>
      <c r="K694" s="402"/>
      <c r="L694" s="23"/>
      <c r="M694" s="40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</row>
    <row r="695" spans="1:31" ht="13">
      <c r="A695" s="23"/>
      <c r="B695" s="401"/>
      <c r="C695" s="23"/>
      <c r="D695" s="401"/>
      <c r="E695" s="23"/>
      <c r="F695" s="23"/>
      <c r="G695" s="23"/>
      <c r="H695" s="401"/>
      <c r="I695" s="23"/>
      <c r="J695" s="23"/>
      <c r="K695" s="402"/>
      <c r="L695" s="23"/>
      <c r="M695" s="40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</row>
    <row r="696" spans="1:31" ht="13">
      <c r="A696" s="23"/>
      <c r="B696" s="401"/>
      <c r="C696" s="23"/>
      <c r="D696" s="401"/>
      <c r="E696" s="23"/>
      <c r="F696" s="23"/>
      <c r="G696" s="23"/>
      <c r="H696" s="401"/>
      <c r="I696" s="23"/>
      <c r="J696" s="23"/>
      <c r="K696" s="402"/>
      <c r="L696" s="23"/>
      <c r="M696" s="40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</row>
    <row r="697" spans="1:31" ht="13">
      <c r="A697" s="23"/>
      <c r="B697" s="401"/>
      <c r="C697" s="23"/>
      <c r="D697" s="401"/>
      <c r="E697" s="23"/>
      <c r="F697" s="23"/>
      <c r="G697" s="23"/>
      <c r="H697" s="401"/>
      <c r="I697" s="23"/>
      <c r="J697" s="23"/>
      <c r="K697" s="402"/>
      <c r="L697" s="23"/>
      <c r="M697" s="40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</row>
    <row r="698" spans="1:31" ht="13">
      <c r="A698" s="23"/>
      <c r="B698" s="401"/>
      <c r="C698" s="23"/>
      <c r="D698" s="401"/>
      <c r="E698" s="23"/>
      <c r="F698" s="23"/>
      <c r="G698" s="23"/>
      <c r="H698" s="401"/>
      <c r="I698" s="23"/>
      <c r="J698" s="23"/>
      <c r="K698" s="402"/>
      <c r="L698" s="23"/>
      <c r="M698" s="40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</row>
    <row r="699" spans="1:31" ht="13">
      <c r="A699" s="23"/>
      <c r="B699" s="401"/>
      <c r="C699" s="23"/>
      <c r="D699" s="401"/>
      <c r="E699" s="23"/>
      <c r="F699" s="23"/>
      <c r="G699" s="23"/>
      <c r="H699" s="401"/>
      <c r="I699" s="23"/>
      <c r="J699" s="23"/>
      <c r="K699" s="402"/>
      <c r="L699" s="23"/>
      <c r="M699" s="40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</row>
    <row r="700" spans="1:31" ht="13">
      <c r="A700" s="23"/>
      <c r="B700" s="401"/>
      <c r="C700" s="23"/>
      <c r="D700" s="401"/>
      <c r="E700" s="23"/>
      <c r="F700" s="23"/>
      <c r="G700" s="23"/>
      <c r="H700" s="401"/>
      <c r="I700" s="23"/>
      <c r="J700" s="23"/>
      <c r="K700" s="402"/>
      <c r="L700" s="23"/>
      <c r="M700" s="40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</row>
    <row r="701" spans="1:31" ht="13">
      <c r="A701" s="23"/>
      <c r="B701" s="401"/>
      <c r="C701" s="23"/>
      <c r="D701" s="401"/>
      <c r="E701" s="23"/>
      <c r="F701" s="23"/>
      <c r="G701" s="23"/>
      <c r="H701" s="401"/>
      <c r="I701" s="23"/>
      <c r="J701" s="23"/>
      <c r="K701" s="402"/>
      <c r="L701" s="23"/>
      <c r="M701" s="40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</row>
    <row r="702" spans="1:31" ht="13">
      <c r="A702" s="23"/>
      <c r="B702" s="401"/>
      <c r="C702" s="23"/>
      <c r="D702" s="401"/>
      <c r="E702" s="23"/>
      <c r="F702" s="23"/>
      <c r="G702" s="23"/>
      <c r="H702" s="401"/>
      <c r="I702" s="23"/>
      <c r="J702" s="23"/>
      <c r="K702" s="402"/>
      <c r="L702" s="23"/>
      <c r="M702" s="40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</row>
    <row r="703" spans="1:31" ht="13">
      <c r="A703" s="23"/>
      <c r="B703" s="401"/>
      <c r="C703" s="23"/>
      <c r="D703" s="401"/>
      <c r="E703" s="23"/>
      <c r="F703" s="23"/>
      <c r="G703" s="23"/>
      <c r="H703" s="401"/>
      <c r="I703" s="23"/>
      <c r="J703" s="23"/>
      <c r="K703" s="402"/>
      <c r="L703" s="23"/>
      <c r="M703" s="40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</row>
    <row r="704" spans="1:31" ht="13">
      <c r="A704" s="23"/>
      <c r="B704" s="401"/>
      <c r="C704" s="23"/>
      <c r="D704" s="401"/>
      <c r="E704" s="23"/>
      <c r="F704" s="23"/>
      <c r="G704" s="23"/>
      <c r="H704" s="401"/>
      <c r="I704" s="23"/>
      <c r="J704" s="23"/>
      <c r="K704" s="402"/>
      <c r="L704" s="23"/>
      <c r="M704" s="40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</row>
    <row r="705" spans="1:31" ht="13">
      <c r="A705" s="23"/>
      <c r="B705" s="401"/>
      <c r="C705" s="23"/>
      <c r="D705" s="401"/>
      <c r="E705" s="23"/>
      <c r="F705" s="23"/>
      <c r="G705" s="23"/>
      <c r="H705" s="401"/>
      <c r="I705" s="23"/>
      <c r="J705" s="23"/>
      <c r="K705" s="402"/>
      <c r="L705" s="23"/>
      <c r="M705" s="40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</row>
    <row r="706" spans="1:31" ht="13">
      <c r="A706" s="23"/>
      <c r="B706" s="401"/>
      <c r="C706" s="23"/>
      <c r="D706" s="401"/>
      <c r="E706" s="23"/>
      <c r="F706" s="23"/>
      <c r="G706" s="23"/>
      <c r="H706" s="401"/>
      <c r="I706" s="23"/>
      <c r="J706" s="23"/>
      <c r="K706" s="402"/>
      <c r="L706" s="23"/>
      <c r="M706" s="40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</row>
    <row r="707" spans="1:31" ht="13">
      <c r="A707" s="23"/>
      <c r="B707" s="401"/>
      <c r="C707" s="23"/>
      <c r="D707" s="401"/>
      <c r="E707" s="23"/>
      <c r="F707" s="23"/>
      <c r="G707" s="23"/>
      <c r="H707" s="401"/>
      <c r="I707" s="23"/>
      <c r="J707" s="23"/>
      <c r="K707" s="402"/>
      <c r="L707" s="23"/>
      <c r="M707" s="40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</row>
    <row r="708" spans="1:31" ht="13">
      <c r="A708" s="23"/>
      <c r="B708" s="401"/>
      <c r="C708" s="23"/>
      <c r="D708" s="401"/>
      <c r="E708" s="23"/>
      <c r="F708" s="23"/>
      <c r="G708" s="23"/>
      <c r="H708" s="401"/>
      <c r="I708" s="23"/>
      <c r="J708" s="23"/>
      <c r="K708" s="402"/>
      <c r="L708" s="23"/>
      <c r="M708" s="40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</row>
    <row r="709" spans="1:31" ht="13">
      <c r="A709" s="23"/>
      <c r="B709" s="401"/>
      <c r="C709" s="23"/>
      <c r="D709" s="401"/>
      <c r="E709" s="23"/>
      <c r="F709" s="23"/>
      <c r="G709" s="23"/>
      <c r="H709" s="401"/>
      <c r="I709" s="23"/>
      <c r="J709" s="23"/>
      <c r="K709" s="402"/>
      <c r="L709" s="23"/>
      <c r="M709" s="40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</row>
    <row r="710" spans="1:31" ht="13">
      <c r="A710" s="23"/>
      <c r="B710" s="401"/>
      <c r="C710" s="23"/>
      <c r="D710" s="401"/>
      <c r="E710" s="23"/>
      <c r="F710" s="23"/>
      <c r="G710" s="23"/>
      <c r="H710" s="401"/>
      <c r="I710" s="23"/>
      <c r="J710" s="23"/>
      <c r="K710" s="402"/>
      <c r="L710" s="23"/>
      <c r="M710" s="40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</row>
    <row r="711" spans="1:31" ht="13">
      <c r="A711" s="23"/>
      <c r="B711" s="401"/>
      <c r="C711" s="23"/>
      <c r="D711" s="401"/>
      <c r="E711" s="23"/>
      <c r="F711" s="23"/>
      <c r="G711" s="23"/>
      <c r="H711" s="401"/>
      <c r="I711" s="23"/>
      <c r="J711" s="23"/>
      <c r="K711" s="402"/>
      <c r="L711" s="23"/>
      <c r="M711" s="40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</row>
    <row r="712" spans="1:31" ht="13">
      <c r="A712" s="23"/>
      <c r="B712" s="401"/>
      <c r="C712" s="23"/>
      <c r="D712" s="401"/>
      <c r="E712" s="23"/>
      <c r="F712" s="23"/>
      <c r="G712" s="23"/>
      <c r="H712" s="401"/>
      <c r="I712" s="23"/>
      <c r="J712" s="23"/>
      <c r="K712" s="402"/>
      <c r="L712" s="23"/>
      <c r="M712" s="40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</row>
    <row r="713" spans="1:31" ht="13">
      <c r="A713" s="23"/>
      <c r="B713" s="401"/>
      <c r="C713" s="23"/>
      <c r="D713" s="401"/>
      <c r="E713" s="23"/>
      <c r="F713" s="23"/>
      <c r="G713" s="23"/>
      <c r="H713" s="401"/>
      <c r="I713" s="23"/>
      <c r="J713" s="23"/>
      <c r="K713" s="402"/>
      <c r="L713" s="23"/>
      <c r="M713" s="40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</row>
    <row r="714" spans="1:31" ht="13">
      <c r="A714" s="23"/>
      <c r="B714" s="401"/>
      <c r="C714" s="23"/>
      <c r="D714" s="401"/>
      <c r="E714" s="23"/>
      <c r="F714" s="23"/>
      <c r="G714" s="23"/>
      <c r="H714" s="401"/>
      <c r="I714" s="23"/>
      <c r="J714" s="23"/>
      <c r="K714" s="402"/>
      <c r="L714" s="23"/>
      <c r="M714" s="40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</row>
    <row r="715" spans="1:31" ht="13">
      <c r="A715" s="23"/>
      <c r="B715" s="401"/>
      <c r="C715" s="23"/>
      <c r="D715" s="401"/>
      <c r="E715" s="23"/>
      <c r="F715" s="23"/>
      <c r="G715" s="23"/>
      <c r="H715" s="401"/>
      <c r="I715" s="23"/>
      <c r="J715" s="23"/>
      <c r="K715" s="402"/>
      <c r="L715" s="23"/>
      <c r="M715" s="40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</row>
    <row r="716" spans="1:31" ht="13">
      <c r="A716" s="23"/>
      <c r="B716" s="401"/>
      <c r="C716" s="23"/>
      <c r="D716" s="401"/>
      <c r="E716" s="23"/>
      <c r="F716" s="23"/>
      <c r="G716" s="23"/>
      <c r="H716" s="401"/>
      <c r="I716" s="23"/>
      <c r="J716" s="23"/>
      <c r="K716" s="402"/>
      <c r="L716" s="23"/>
      <c r="M716" s="40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</row>
    <row r="717" spans="1:31" ht="13">
      <c r="A717" s="23"/>
      <c r="B717" s="401"/>
      <c r="C717" s="23"/>
      <c r="D717" s="401"/>
      <c r="E717" s="23"/>
      <c r="F717" s="23"/>
      <c r="G717" s="23"/>
      <c r="H717" s="401"/>
      <c r="I717" s="23"/>
      <c r="J717" s="23"/>
      <c r="K717" s="402"/>
      <c r="L717" s="23"/>
      <c r="M717" s="40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</row>
    <row r="718" spans="1:31" ht="13">
      <c r="A718" s="23"/>
      <c r="B718" s="401"/>
      <c r="C718" s="23"/>
      <c r="D718" s="401"/>
      <c r="E718" s="23"/>
      <c r="F718" s="23"/>
      <c r="G718" s="23"/>
      <c r="H718" s="401"/>
      <c r="I718" s="23"/>
      <c r="J718" s="23"/>
      <c r="K718" s="402"/>
      <c r="L718" s="23"/>
      <c r="M718" s="40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</row>
    <row r="719" spans="1:31" ht="13">
      <c r="A719" s="23"/>
      <c r="B719" s="401"/>
      <c r="C719" s="23"/>
      <c r="D719" s="401"/>
      <c r="E719" s="23"/>
      <c r="F719" s="23"/>
      <c r="G719" s="23"/>
      <c r="H719" s="401"/>
      <c r="I719" s="23"/>
      <c r="J719" s="23"/>
      <c r="K719" s="402"/>
      <c r="L719" s="23"/>
      <c r="M719" s="40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</row>
    <row r="720" spans="1:31" ht="13">
      <c r="A720" s="23"/>
      <c r="B720" s="401"/>
      <c r="C720" s="23"/>
      <c r="D720" s="401"/>
      <c r="E720" s="23"/>
      <c r="F720" s="23"/>
      <c r="G720" s="23"/>
      <c r="H720" s="401"/>
      <c r="I720" s="23"/>
      <c r="J720" s="23"/>
      <c r="K720" s="402"/>
      <c r="L720" s="23"/>
      <c r="M720" s="40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</row>
    <row r="721" spans="1:31" ht="13">
      <c r="A721" s="23"/>
      <c r="B721" s="401"/>
      <c r="C721" s="23"/>
      <c r="D721" s="401"/>
      <c r="E721" s="23"/>
      <c r="F721" s="23"/>
      <c r="G721" s="23"/>
      <c r="H721" s="401"/>
      <c r="I721" s="23"/>
      <c r="J721" s="23"/>
      <c r="K721" s="402"/>
      <c r="L721" s="23"/>
      <c r="M721" s="40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</row>
    <row r="722" spans="1:31" ht="13">
      <c r="A722" s="23"/>
      <c r="B722" s="401"/>
      <c r="C722" s="23"/>
      <c r="D722" s="401"/>
      <c r="E722" s="23"/>
      <c r="F722" s="23"/>
      <c r="G722" s="23"/>
      <c r="H722" s="401"/>
      <c r="I722" s="23"/>
      <c r="J722" s="23"/>
      <c r="K722" s="402"/>
      <c r="L722" s="23"/>
      <c r="M722" s="40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</row>
    <row r="723" spans="1:31" ht="13">
      <c r="A723" s="23"/>
      <c r="B723" s="401"/>
      <c r="C723" s="23"/>
      <c r="D723" s="401"/>
      <c r="E723" s="23"/>
      <c r="F723" s="23"/>
      <c r="G723" s="23"/>
      <c r="H723" s="401"/>
      <c r="I723" s="23"/>
      <c r="J723" s="23"/>
      <c r="K723" s="402"/>
      <c r="L723" s="23"/>
      <c r="M723" s="40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</row>
    <row r="724" spans="1:31" ht="13">
      <c r="A724" s="23"/>
      <c r="B724" s="401"/>
      <c r="C724" s="23"/>
      <c r="D724" s="401"/>
      <c r="E724" s="23"/>
      <c r="F724" s="23"/>
      <c r="G724" s="23"/>
      <c r="H724" s="401"/>
      <c r="I724" s="23"/>
      <c r="J724" s="23"/>
      <c r="K724" s="402"/>
      <c r="L724" s="23"/>
      <c r="M724" s="40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</row>
    <row r="725" spans="1:31" ht="13">
      <c r="A725" s="23"/>
      <c r="B725" s="401"/>
      <c r="C725" s="23"/>
      <c r="D725" s="401"/>
      <c r="E725" s="23"/>
      <c r="F725" s="23"/>
      <c r="G725" s="23"/>
      <c r="H725" s="401"/>
      <c r="I725" s="23"/>
      <c r="J725" s="23"/>
      <c r="K725" s="402"/>
      <c r="L725" s="23"/>
      <c r="M725" s="40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</row>
    <row r="726" spans="1:31" ht="13">
      <c r="A726" s="23"/>
      <c r="B726" s="401"/>
      <c r="C726" s="23"/>
      <c r="D726" s="401"/>
      <c r="E726" s="23"/>
      <c r="F726" s="23"/>
      <c r="G726" s="23"/>
      <c r="H726" s="401"/>
      <c r="I726" s="23"/>
      <c r="J726" s="23"/>
      <c r="K726" s="402"/>
      <c r="L726" s="23"/>
      <c r="M726" s="40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</row>
    <row r="727" spans="1:31" ht="13">
      <c r="A727" s="23"/>
      <c r="B727" s="401"/>
      <c r="C727" s="23"/>
      <c r="D727" s="401"/>
      <c r="E727" s="23"/>
      <c r="F727" s="23"/>
      <c r="G727" s="23"/>
      <c r="H727" s="401"/>
      <c r="I727" s="23"/>
      <c r="J727" s="23"/>
      <c r="K727" s="402"/>
      <c r="L727" s="23"/>
      <c r="M727" s="40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</row>
    <row r="728" spans="1:31" ht="13">
      <c r="A728" s="23"/>
      <c r="B728" s="401"/>
      <c r="C728" s="23"/>
      <c r="D728" s="401"/>
      <c r="E728" s="23"/>
      <c r="F728" s="23"/>
      <c r="G728" s="23"/>
      <c r="H728" s="401"/>
      <c r="I728" s="23"/>
      <c r="J728" s="23"/>
      <c r="K728" s="402"/>
      <c r="L728" s="23"/>
      <c r="M728" s="40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</row>
    <row r="729" spans="1:31" ht="13">
      <c r="A729" s="23"/>
      <c r="B729" s="401"/>
      <c r="C729" s="23"/>
      <c r="D729" s="401"/>
      <c r="E729" s="23"/>
      <c r="F729" s="23"/>
      <c r="G729" s="23"/>
      <c r="H729" s="401"/>
      <c r="I729" s="23"/>
      <c r="J729" s="23"/>
      <c r="K729" s="402"/>
      <c r="L729" s="23"/>
      <c r="M729" s="40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</row>
    <row r="730" spans="1:31" ht="13">
      <c r="A730" s="23"/>
      <c r="B730" s="401"/>
      <c r="C730" s="23"/>
      <c r="D730" s="401"/>
      <c r="E730" s="23"/>
      <c r="F730" s="23"/>
      <c r="G730" s="23"/>
      <c r="H730" s="401"/>
      <c r="I730" s="23"/>
      <c r="J730" s="23"/>
      <c r="K730" s="402"/>
      <c r="L730" s="23"/>
      <c r="M730" s="40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</row>
    <row r="731" spans="1:31" ht="13">
      <c r="A731" s="23"/>
      <c r="B731" s="401"/>
      <c r="C731" s="23"/>
      <c r="D731" s="401"/>
      <c r="E731" s="23"/>
      <c r="F731" s="23"/>
      <c r="G731" s="23"/>
      <c r="H731" s="401"/>
      <c r="I731" s="23"/>
      <c r="J731" s="23"/>
      <c r="K731" s="402"/>
      <c r="L731" s="23"/>
      <c r="M731" s="40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</row>
    <row r="732" spans="1:31" ht="13">
      <c r="A732" s="23"/>
      <c r="B732" s="401"/>
      <c r="C732" s="23"/>
      <c r="D732" s="401"/>
      <c r="E732" s="23"/>
      <c r="F732" s="23"/>
      <c r="G732" s="23"/>
      <c r="H732" s="401"/>
      <c r="I732" s="23"/>
      <c r="J732" s="23"/>
      <c r="K732" s="402"/>
      <c r="L732" s="23"/>
      <c r="M732" s="40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</row>
    <row r="733" spans="1:31" ht="13">
      <c r="A733" s="23"/>
      <c r="B733" s="401"/>
      <c r="C733" s="23"/>
      <c r="D733" s="401"/>
      <c r="E733" s="23"/>
      <c r="F733" s="23"/>
      <c r="G733" s="23"/>
      <c r="H733" s="401"/>
      <c r="I733" s="23"/>
      <c r="J733" s="23"/>
      <c r="K733" s="402"/>
      <c r="L733" s="23"/>
      <c r="M733" s="40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</row>
    <row r="734" spans="1:31" ht="13">
      <c r="A734" s="23"/>
      <c r="B734" s="401"/>
      <c r="C734" s="23"/>
      <c r="D734" s="401"/>
      <c r="E734" s="23"/>
      <c r="F734" s="23"/>
      <c r="G734" s="23"/>
      <c r="H734" s="401"/>
      <c r="I734" s="23"/>
      <c r="J734" s="23"/>
      <c r="K734" s="402"/>
      <c r="L734" s="23"/>
      <c r="M734" s="40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</row>
    <row r="735" spans="1:31" ht="13">
      <c r="A735" s="23"/>
      <c r="B735" s="401"/>
      <c r="C735" s="23"/>
      <c r="D735" s="401"/>
      <c r="E735" s="23"/>
      <c r="F735" s="23"/>
      <c r="G735" s="23"/>
      <c r="H735" s="401"/>
      <c r="I735" s="23"/>
      <c r="J735" s="23"/>
      <c r="K735" s="402"/>
      <c r="L735" s="23"/>
      <c r="M735" s="40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</row>
    <row r="736" spans="1:31" ht="13">
      <c r="A736" s="23"/>
      <c r="B736" s="401"/>
      <c r="C736" s="23"/>
      <c r="D736" s="401"/>
      <c r="E736" s="23"/>
      <c r="F736" s="23"/>
      <c r="G736" s="23"/>
      <c r="H736" s="401"/>
      <c r="I736" s="23"/>
      <c r="J736" s="23"/>
      <c r="K736" s="402"/>
      <c r="L736" s="23"/>
      <c r="M736" s="40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</row>
    <row r="737" spans="1:31" ht="13">
      <c r="A737" s="23"/>
      <c r="B737" s="401"/>
      <c r="C737" s="23"/>
      <c r="D737" s="401"/>
      <c r="E737" s="23"/>
      <c r="F737" s="23"/>
      <c r="G737" s="23"/>
      <c r="H737" s="401"/>
      <c r="I737" s="23"/>
      <c r="J737" s="23"/>
      <c r="K737" s="402"/>
      <c r="L737" s="23"/>
      <c r="M737" s="40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</row>
    <row r="738" spans="1:31" ht="13">
      <c r="A738" s="23"/>
      <c r="B738" s="401"/>
      <c r="C738" s="23"/>
      <c r="D738" s="401"/>
      <c r="E738" s="23"/>
      <c r="F738" s="23"/>
      <c r="G738" s="23"/>
      <c r="H738" s="401"/>
      <c r="I738" s="23"/>
      <c r="J738" s="23"/>
      <c r="K738" s="402"/>
      <c r="L738" s="23"/>
      <c r="M738" s="40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</row>
    <row r="739" spans="1:31" ht="13">
      <c r="A739" s="23"/>
      <c r="B739" s="401"/>
      <c r="C739" s="23"/>
      <c r="D739" s="401"/>
      <c r="E739" s="23"/>
      <c r="F739" s="23"/>
      <c r="G739" s="23"/>
      <c r="H739" s="401"/>
      <c r="I739" s="23"/>
      <c r="J739" s="23"/>
      <c r="K739" s="402"/>
      <c r="L739" s="23"/>
      <c r="M739" s="40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</row>
    <row r="740" spans="1:31" ht="13">
      <c r="A740" s="23"/>
      <c r="B740" s="401"/>
      <c r="C740" s="23"/>
      <c r="D740" s="401"/>
      <c r="E740" s="23"/>
      <c r="F740" s="23"/>
      <c r="G740" s="23"/>
      <c r="H740" s="401"/>
      <c r="I740" s="23"/>
      <c r="J740" s="23"/>
      <c r="K740" s="402"/>
      <c r="L740" s="23"/>
      <c r="M740" s="40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</row>
    <row r="741" spans="1:31" ht="13">
      <c r="A741" s="23"/>
      <c r="B741" s="401"/>
      <c r="C741" s="23"/>
      <c r="D741" s="401"/>
      <c r="E741" s="23"/>
      <c r="F741" s="23"/>
      <c r="G741" s="23"/>
      <c r="H741" s="401"/>
      <c r="I741" s="23"/>
      <c r="J741" s="23"/>
      <c r="K741" s="402"/>
      <c r="L741" s="23"/>
      <c r="M741" s="40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</row>
    <row r="742" spans="1:31" ht="13">
      <c r="A742" s="23"/>
      <c r="B742" s="401"/>
      <c r="C742" s="23"/>
      <c r="D742" s="401"/>
      <c r="E742" s="23"/>
      <c r="F742" s="23"/>
      <c r="G742" s="23"/>
      <c r="H742" s="401"/>
      <c r="I742" s="23"/>
      <c r="J742" s="23"/>
      <c r="K742" s="402"/>
      <c r="L742" s="23"/>
      <c r="M742" s="40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</row>
    <row r="743" spans="1:31" ht="13">
      <c r="A743" s="23"/>
      <c r="B743" s="401"/>
      <c r="C743" s="23"/>
      <c r="D743" s="401"/>
      <c r="E743" s="23"/>
      <c r="F743" s="23"/>
      <c r="G743" s="23"/>
      <c r="H743" s="401"/>
      <c r="I743" s="23"/>
      <c r="J743" s="23"/>
      <c r="K743" s="402"/>
      <c r="L743" s="23"/>
      <c r="M743" s="40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</row>
    <row r="744" spans="1:31" ht="13">
      <c r="A744" s="23"/>
      <c r="B744" s="401"/>
      <c r="C744" s="23"/>
      <c r="D744" s="401"/>
      <c r="E744" s="23"/>
      <c r="F744" s="23"/>
      <c r="G744" s="23"/>
      <c r="H744" s="401"/>
      <c r="I744" s="23"/>
      <c r="J744" s="23"/>
      <c r="K744" s="402"/>
      <c r="L744" s="23"/>
      <c r="M744" s="40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</row>
    <row r="745" spans="1:31" ht="13">
      <c r="A745" s="23"/>
      <c r="B745" s="401"/>
      <c r="C745" s="23"/>
      <c r="D745" s="401"/>
      <c r="E745" s="23"/>
      <c r="F745" s="23"/>
      <c r="G745" s="23"/>
      <c r="H745" s="401"/>
      <c r="I745" s="23"/>
      <c r="J745" s="23"/>
      <c r="K745" s="402"/>
      <c r="L745" s="23"/>
      <c r="M745" s="40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</row>
    <row r="746" spans="1:31" ht="13">
      <c r="A746" s="23"/>
      <c r="B746" s="401"/>
      <c r="C746" s="23"/>
      <c r="D746" s="401"/>
      <c r="E746" s="23"/>
      <c r="F746" s="23"/>
      <c r="G746" s="23"/>
      <c r="H746" s="401"/>
      <c r="I746" s="23"/>
      <c r="J746" s="23"/>
      <c r="K746" s="402"/>
      <c r="L746" s="23"/>
      <c r="M746" s="40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</row>
    <row r="747" spans="1:31" ht="13">
      <c r="A747" s="23"/>
      <c r="B747" s="401"/>
      <c r="C747" s="23"/>
      <c r="D747" s="401"/>
      <c r="E747" s="23"/>
      <c r="F747" s="23"/>
      <c r="G747" s="23"/>
      <c r="H747" s="401"/>
      <c r="I747" s="23"/>
      <c r="J747" s="23"/>
      <c r="K747" s="402"/>
      <c r="L747" s="23"/>
      <c r="M747" s="40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</row>
    <row r="748" spans="1:31" ht="13">
      <c r="A748" s="23"/>
      <c r="B748" s="401"/>
      <c r="C748" s="23"/>
      <c r="D748" s="401"/>
      <c r="E748" s="23"/>
      <c r="F748" s="23"/>
      <c r="G748" s="23"/>
      <c r="H748" s="401"/>
      <c r="I748" s="23"/>
      <c r="J748" s="23"/>
      <c r="K748" s="402"/>
      <c r="L748" s="23"/>
      <c r="M748" s="40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</row>
    <row r="749" spans="1:31" ht="13">
      <c r="A749" s="23"/>
      <c r="B749" s="401"/>
      <c r="C749" s="23"/>
      <c r="D749" s="401"/>
      <c r="E749" s="23"/>
      <c r="F749" s="23"/>
      <c r="G749" s="23"/>
      <c r="H749" s="401"/>
      <c r="I749" s="23"/>
      <c r="J749" s="23"/>
      <c r="K749" s="402"/>
      <c r="L749" s="23"/>
      <c r="M749" s="40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</row>
    <row r="750" spans="1:31" ht="13">
      <c r="A750" s="23"/>
      <c r="B750" s="401"/>
      <c r="C750" s="23"/>
      <c r="D750" s="401"/>
      <c r="E750" s="23"/>
      <c r="F750" s="23"/>
      <c r="G750" s="23"/>
      <c r="H750" s="401"/>
      <c r="I750" s="23"/>
      <c r="J750" s="23"/>
      <c r="K750" s="402"/>
      <c r="L750" s="23"/>
      <c r="M750" s="40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</row>
    <row r="751" spans="1:31" ht="13">
      <c r="A751" s="23"/>
      <c r="B751" s="401"/>
      <c r="C751" s="23"/>
      <c r="D751" s="401"/>
      <c r="E751" s="23"/>
      <c r="F751" s="23"/>
      <c r="G751" s="23"/>
      <c r="H751" s="401"/>
      <c r="I751" s="23"/>
      <c r="J751" s="23"/>
      <c r="K751" s="402"/>
      <c r="L751" s="23"/>
      <c r="M751" s="40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</row>
    <row r="752" spans="1:31" ht="13">
      <c r="A752" s="23"/>
      <c r="B752" s="401"/>
      <c r="C752" s="23"/>
      <c r="D752" s="401"/>
      <c r="E752" s="23"/>
      <c r="F752" s="23"/>
      <c r="G752" s="23"/>
      <c r="H752" s="401"/>
      <c r="I752" s="23"/>
      <c r="J752" s="23"/>
      <c r="K752" s="402"/>
      <c r="L752" s="23"/>
      <c r="M752" s="40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</row>
    <row r="753" spans="1:31" ht="13">
      <c r="A753" s="23"/>
      <c r="B753" s="401"/>
      <c r="C753" s="23"/>
      <c r="D753" s="401"/>
      <c r="E753" s="23"/>
      <c r="F753" s="23"/>
      <c r="G753" s="23"/>
      <c r="H753" s="401"/>
      <c r="I753" s="23"/>
      <c r="J753" s="23"/>
      <c r="K753" s="402"/>
      <c r="L753" s="23"/>
      <c r="M753" s="40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</row>
    <row r="754" spans="1:31" ht="13">
      <c r="A754" s="23"/>
      <c r="B754" s="401"/>
      <c r="C754" s="23"/>
      <c r="D754" s="401"/>
      <c r="E754" s="23"/>
      <c r="F754" s="23"/>
      <c r="G754" s="23"/>
      <c r="H754" s="401"/>
      <c r="I754" s="23"/>
      <c r="J754" s="23"/>
      <c r="K754" s="402"/>
      <c r="L754" s="23"/>
      <c r="M754" s="40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</row>
    <row r="755" spans="1:31" ht="13">
      <c r="A755" s="23"/>
      <c r="B755" s="401"/>
      <c r="C755" s="23"/>
      <c r="D755" s="401"/>
      <c r="E755" s="23"/>
      <c r="F755" s="23"/>
      <c r="G755" s="23"/>
      <c r="H755" s="401"/>
      <c r="I755" s="23"/>
      <c r="J755" s="23"/>
      <c r="K755" s="402"/>
      <c r="L755" s="23"/>
      <c r="M755" s="40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</row>
    <row r="756" spans="1:31" ht="13">
      <c r="A756" s="23"/>
      <c r="B756" s="401"/>
      <c r="C756" s="23"/>
      <c r="D756" s="401"/>
      <c r="E756" s="23"/>
      <c r="F756" s="23"/>
      <c r="G756" s="23"/>
      <c r="H756" s="401"/>
      <c r="I756" s="23"/>
      <c r="J756" s="23"/>
      <c r="K756" s="402"/>
      <c r="L756" s="23"/>
      <c r="M756" s="40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</row>
    <row r="757" spans="1:31" ht="13">
      <c r="A757" s="23"/>
      <c r="B757" s="401"/>
      <c r="C757" s="23"/>
      <c r="D757" s="401"/>
      <c r="E757" s="23"/>
      <c r="F757" s="23"/>
      <c r="G757" s="23"/>
      <c r="H757" s="401"/>
      <c r="I757" s="23"/>
      <c r="J757" s="23"/>
      <c r="K757" s="402"/>
      <c r="L757" s="23"/>
      <c r="M757" s="40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</row>
    <row r="758" spans="1:31" ht="13">
      <c r="A758" s="23"/>
      <c r="B758" s="401"/>
      <c r="C758" s="23"/>
      <c r="D758" s="401"/>
      <c r="E758" s="23"/>
      <c r="F758" s="23"/>
      <c r="G758" s="23"/>
      <c r="H758" s="401"/>
      <c r="I758" s="23"/>
      <c r="J758" s="23"/>
      <c r="K758" s="402"/>
      <c r="L758" s="23"/>
      <c r="M758" s="40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</row>
    <row r="759" spans="1:31" ht="13">
      <c r="A759" s="23"/>
      <c r="B759" s="401"/>
      <c r="C759" s="23"/>
      <c r="D759" s="401"/>
      <c r="E759" s="23"/>
      <c r="F759" s="23"/>
      <c r="G759" s="23"/>
      <c r="H759" s="401"/>
      <c r="I759" s="23"/>
      <c r="J759" s="23"/>
      <c r="K759" s="402"/>
      <c r="L759" s="23"/>
      <c r="M759" s="40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</row>
    <row r="760" spans="1:31" ht="13">
      <c r="A760" s="23"/>
      <c r="B760" s="401"/>
      <c r="C760" s="23"/>
      <c r="D760" s="401"/>
      <c r="E760" s="23"/>
      <c r="F760" s="23"/>
      <c r="G760" s="23"/>
      <c r="H760" s="401"/>
      <c r="I760" s="23"/>
      <c r="J760" s="23"/>
      <c r="K760" s="402"/>
      <c r="L760" s="23"/>
      <c r="M760" s="40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</row>
    <row r="761" spans="1:31" ht="13">
      <c r="A761" s="23"/>
      <c r="B761" s="401"/>
      <c r="C761" s="23"/>
      <c r="D761" s="401"/>
      <c r="E761" s="23"/>
      <c r="F761" s="23"/>
      <c r="G761" s="23"/>
      <c r="H761" s="401"/>
      <c r="I761" s="23"/>
      <c r="J761" s="23"/>
      <c r="K761" s="402"/>
      <c r="L761" s="23"/>
      <c r="M761" s="40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</row>
    <row r="762" spans="1:31" ht="13">
      <c r="A762" s="23"/>
      <c r="B762" s="401"/>
      <c r="C762" s="23"/>
      <c r="D762" s="401"/>
      <c r="E762" s="23"/>
      <c r="F762" s="23"/>
      <c r="G762" s="23"/>
      <c r="H762" s="401"/>
      <c r="I762" s="23"/>
      <c r="J762" s="23"/>
      <c r="K762" s="402"/>
      <c r="L762" s="23"/>
      <c r="M762" s="40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</row>
    <row r="763" spans="1:31" ht="13">
      <c r="A763" s="23"/>
      <c r="B763" s="401"/>
      <c r="C763" s="23"/>
      <c r="D763" s="401"/>
      <c r="E763" s="23"/>
      <c r="F763" s="23"/>
      <c r="G763" s="23"/>
      <c r="H763" s="401"/>
      <c r="I763" s="23"/>
      <c r="J763" s="23"/>
      <c r="K763" s="402"/>
      <c r="L763" s="23"/>
      <c r="M763" s="40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</row>
    <row r="764" spans="1:31" ht="13">
      <c r="A764" s="23"/>
      <c r="B764" s="401"/>
      <c r="C764" s="23"/>
      <c r="D764" s="401"/>
      <c r="E764" s="23"/>
      <c r="F764" s="23"/>
      <c r="G764" s="23"/>
      <c r="H764" s="401"/>
      <c r="I764" s="23"/>
      <c r="J764" s="23"/>
      <c r="K764" s="402"/>
      <c r="L764" s="23"/>
      <c r="M764" s="40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</row>
    <row r="765" spans="1:31" ht="13">
      <c r="A765" s="23"/>
      <c r="B765" s="401"/>
      <c r="C765" s="23"/>
      <c r="D765" s="401"/>
      <c r="E765" s="23"/>
      <c r="F765" s="23"/>
      <c r="G765" s="23"/>
      <c r="H765" s="401"/>
      <c r="I765" s="23"/>
      <c r="J765" s="23"/>
      <c r="K765" s="402"/>
      <c r="L765" s="23"/>
      <c r="M765" s="40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</row>
    <row r="766" spans="1:31" ht="13">
      <c r="A766" s="23"/>
      <c r="B766" s="401"/>
      <c r="C766" s="23"/>
      <c r="D766" s="401"/>
      <c r="E766" s="23"/>
      <c r="F766" s="23"/>
      <c r="G766" s="23"/>
      <c r="H766" s="401"/>
      <c r="I766" s="23"/>
      <c r="J766" s="23"/>
      <c r="K766" s="402"/>
      <c r="L766" s="23"/>
      <c r="M766" s="40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</row>
    <row r="767" spans="1:31" ht="13">
      <c r="A767" s="23"/>
      <c r="B767" s="401"/>
      <c r="C767" s="23"/>
      <c r="D767" s="401"/>
      <c r="E767" s="23"/>
      <c r="F767" s="23"/>
      <c r="G767" s="23"/>
      <c r="H767" s="401"/>
      <c r="I767" s="23"/>
      <c r="J767" s="23"/>
      <c r="K767" s="402"/>
      <c r="L767" s="23"/>
      <c r="M767" s="40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</row>
    <row r="768" spans="1:31" ht="13">
      <c r="A768" s="23"/>
      <c r="B768" s="401"/>
      <c r="C768" s="23"/>
      <c r="D768" s="401"/>
      <c r="E768" s="23"/>
      <c r="F768" s="23"/>
      <c r="G768" s="23"/>
      <c r="H768" s="401"/>
      <c r="I768" s="23"/>
      <c r="J768" s="23"/>
      <c r="K768" s="402"/>
      <c r="L768" s="23"/>
      <c r="M768" s="40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</row>
    <row r="769" spans="1:31" ht="13">
      <c r="A769" s="23"/>
      <c r="B769" s="401"/>
      <c r="C769" s="23"/>
      <c r="D769" s="401"/>
      <c r="E769" s="23"/>
      <c r="F769" s="23"/>
      <c r="G769" s="23"/>
      <c r="H769" s="401"/>
      <c r="I769" s="23"/>
      <c r="J769" s="23"/>
      <c r="K769" s="402"/>
      <c r="L769" s="23"/>
      <c r="M769" s="40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</row>
    <row r="770" spans="1:31" ht="13">
      <c r="A770" s="23"/>
      <c r="B770" s="401"/>
      <c r="C770" s="23"/>
      <c r="D770" s="401"/>
      <c r="E770" s="23"/>
      <c r="F770" s="23"/>
      <c r="G770" s="23"/>
      <c r="H770" s="401"/>
      <c r="I770" s="23"/>
      <c r="J770" s="23"/>
      <c r="K770" s="402"/>
      <c r="L770" s="23"/>
      <c r="M770" s="40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</row>
    <row r="771" spans="1:31" ht="13">
      <c r="A771" s="23"/>
      <c r="B771" s="401"/>
      <c r="C771" s="23"/>
      <c r="D771" s="401"/>
      <c r="E771" s="23"/>
      <c r="F771" s="23"/>
      <c r="G771" s="23"/>
      <c r="H771" s="401"/>
      <c r="I771" s="23"/>
      <c r="J771" s="23"/>
      <c r="K771" s="402"/>
      <c r="L771" s="23"/>
      <c r="M771" s="40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</row>
    <row r="772" spans="1:31" ht="13">
      <c r="A772" s="23"/>
      <c r="B772" s="401"/>
      <c r="C772" s="23"/>
      <c r="D772" s="401"/>
      <c r="E772" s="23"/>
      <c r="F772" s="23"/>
      <c r="G772" s="23"/>
      <c r="H772" s="401"/>
      <c r="I772" s="23"/>
      <c r="J772" s="23"/>
      <c r="K772" s="402"/>
      <c r="L772" s="23"/>
      <c r="M772" s="40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</row>
    <row r="773" spans="1:31" ht="13">
      <c r="A773" s="23"/>
      <c r="B773" s="401"/>
      <c r="C773" s="23"/>
      <c r="D773" s="401"/>
      <c r="E773" s="23"/>
      <c r="F773" s="23"/>
      <c r="G773" s="23"/>
      <c r="H773" s="401"/>
      <c r="I773" s="23"/>
      <c r="J773" s="23"/>
      <c r="K773" s="402"/>
      <c r="L773" s="23"/>
      <c r="M773" s="40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</row>
    <row r="774" spans="1:31" ht="13">
      <c r="A774" s="23"/>
      <c r="B774" s="401"/>
      <c r="C774" s="23"/>
      <c r="D774" s="401"/>
      <c r="E774" s="23"/>
      <c r="F774" s="23"/>
      <c r="G774" s="23"/>
      <c r="H774" s="401"/>
      <c r="I774" s="23"/>
      <c r="J774" s="23"/>
      <c r="K774" s="402"/>
      <c r="L774" s="23"/>
      <c r="M774" s="40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</row>
    <row r="775" spans="1:31" ht="13">
      <c r="A775" s="23"/>
      <c r="B775" s="401"/>
      <c r="C775" s="23"/>
      <c r="D775" s="401"/>
      <c r="E775" s="23"/>
      <c r="F775" s="23"/>
      <c r="G775" s="23"/>
      <c r="H775" s="401"/>
      <c r="I775" s="23"/>
      <c r="J775" s="23"/>
      <c r="K775" s="402"/>
      <c r="L775" s="23"/>
      <c r="M775" s="40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</row>
    <row r="776" spans="1:31" ht="13">
      <c r="A776" s="23"/>
      <c r="B776" s="401"/>
      <c r="C776" s="23"/>
      <c r="D776" s="401"/>
      <c r="E776" s="23"/>
      <c r="F776" s="23"/>
      <c r="G776" s="23"/>
      <c r="H776" s="401"/>
      <c r="I776" s="23"/>
      <c r="J776" s="23"/>
      <c r="K776" s="402"/>
      <c r="L776" s="23"/>
      <c r="M776" s="40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</row>
    <row r="777" spans="1:31" ht="13">
      <c r="A777" s="23"/>
      <c r="B777" s="401"/>
      <c r="C777" s="23"/>
      <c r="D777" s="401"/>
      <c r="E777" s="23"/>
      <c r="F777" s="23"/>
      <c r="G777" s="23"/>
      <c r="H777" s="401"/>
      <c r="I777" s="23"/>
      <c r="J777" s="23"/>
      <c r="K777" s="402"/>
      <c r="L777" s="23"/>
      <c r="M777" s="40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</row>
    <row r="778" spans="1:31" ht="13">
      <c r="A778" s="23"/>
      <c r="B778" s="401"/>
      <c r="C778" s="23"/>
      <c r="D778" s="401"/>
      <c r="E778" s="23"/>
      <c r="F778" s="23"/>
      <c r="G778" s="23"/>
      <c r="H778" s="401"/>
      <c r="I778" s="23"/>
      <c r="J778" s="23"/>
      <c r="K778" s="402"/>
      <c r="L778" s="23"/>
      <c r="M778" s="40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</row>
    <row r="779" spans="1:31" ht="13">
      <c r="A779" s="23"/>
      <c r="B779" s="401"/>
      <c r="C779" s="23"/>
      <c r="D779" s="401"/>
      <c r="E779" s="23"/>
      <c r="F779" s="23"/>
      <c r="G779" s="23"/>
      <c r="H779" s="401"/>
      <c r="I779" s="23"/>
      <c r="J779" s="23"/>
      <c r="K779" s="402"/>
      <c r="L779" s="23"/>
      <c r="M779" s="40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</row>
    <row r="780" spans="1:31" ht="13">
      <c r="A780" s="23"/>
      <c r="B780" s="401"/>
      <c r="C780" s="23"/>
      <c r="D780" s="401"/>
      <c r="E780" s="23"/>
      <c r="F780" s="23"/>
      <c r="G780" s="23"/>
      <c r="H780" s="401"/>
      <c r="I780" s="23"/>
      <c r="J780" s="23"/>
      <c r="K780" s="402"/>
      <c r="L780" s="23"/>
      <c r="M780" s="40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</row>
    <row r="781" spans="1:31" ht="13">
      <c r="A781" s="23"/>
      <c r="B781" s="401"/>
      <c r="C781" s="23"/>
      <c r="D781" s="401"/>
      <c r="E781" s="23"/>
      <c r="F781" s="23"/>
      <c r="G781" s="23"/>
      <c r="H781" s="401"/>
      <c r="I781" s="23"/>
      <c r="J781" s="23"/>
      <c r="K781" s="402"/>
      <c r="L781" s="23"/>
      <c r="M781" s="40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</row>
    <row r="782" spans="1:31" ht="13">
      <c r="A782" s="23"/>
      <c r="B782" s="401"/>
      <c r="C782" s="23"/>
      <c r="D782" s="401"/>
      <c r="E782" s="23"/>
      <c r="F782" s="23"/>
      <c r="G782" s="23"/>
      <c r="H782" s="401"/>
      <c r="I782" s="23"/>
      <c r="J782" s="23"/>
      <c r="K782" s="402"/>
      <c r="L782" s="23"/>
      <c r="M782" s="40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</row>
    <row r="783" spans="1:31" ht="13">
      <c r="A783" s="23"/>
      <c r="B783" s="401"/>
      <c r="C783" s="23"/>
      <c r="D783" s="401"/>
      <c r="E783" s="23"/>
      <c r="F783" s="23"/>
      <c r="G783" s="23"/>
      <c r="H783" s="401"/>
      <c r="I783" s="23"/>
      <c r="J783" s="23"/>
      <c r="K783" s="402"/>
      <c r="L783" s="23"/>
      <c r="M783" s="40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</row>
    <row r="784" spans="1:31" ht="13">
      <c r="A784" s="23"/>
      <c r="B784" s="401"/>
      <c r="C784" s="23"/>
      <c r="D784" s="401"/>
      <c r="E784" s="23"/>
      <c r="F784" s="23"/>
      <c r="G784" s="23"/>
      <c r="H784" s="401"/>
      <c r="I784" s="23"/>
      <c r="J784" s="23"/>
      <c r="K784" s="402"/>
      <c r="L784" s="23"/>
      <c r="M784" s="40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</row>
    <row r="785" spans="1:31" ht="13">
      <c r="A785" s="23"/>
      <c r="B785" s="401"/>
      <c r="C785" s="23"/>
      <c r="D785" s="401"/>
      <c r="E785" s="23"/>
      <c r="F785" s="23"/>
      <c r="G785" s="23"/>
      <c r="H785" s="401"/>
      <c r="I785" s="23"/>
      <c r="J785" s="23"/>
      <c r="K785" s="402"/>
      <c r="L785" s="23"/>
      <c r="M785" s="40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</row>
    <row r="786" spans="1:31" ht="13">
      <c r="A786" s="23"/>
      <c r="B786" s="401"/>
      <c r="C786" s="23"/>
      <c r="D786" s="401"/>
      <c r="E786" s="23"/>
      <c r="F786" s="23"/>
      <c r="G786" s="23"/>
      <c r="H786" s="401"/>
      <c r="I786" s="23"/>
      <c r="J786" s="23"/>
      <c r="K786" s="402"/>
      <c r="L786" s="23"/>
      <c r="M786" s="40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</row>
    <row r="787" spans="1:31" ht="13">
      <c r="A787" s="23"/>
      <c r="B787" s="401"/>
      <c r="C787" s="23"/>
      <c r="D787" s="401"/>
      <c r="E787" s="23"/>
      <c r="F787" s="23"/>
      <c r="G787" s="23"/>
      <c r="H787" s="401"/>
      <c r="I787" s="23"/>
      <c r="J787" s="23"/>
      <c r="K787" s="402"/>
      <c r="L787" s="23"/>
      <c r="M787" s="40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</row>
    <row r="788" spans="1:31" ht="13">
      <c r="A788" s="23"/>
      <c r="B788" s="401"/>
      <c r="C788" s="23"/>
      <c r="D788" s="401"/>
      <c r="E788" s="23"/>
      <c r="F788" s="23"/>
      <c r="G788" s="23"/>
      <c r="H788" s="401"/>
      <c r="I788" s="23"/>
      <c r="J788" s="23"/>
      <c r="K788" s="402"/>
      <c r="L788" s="23"/>
      <c r="M788" s="40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</row>
    <row r="789" spans="1:31" ht="13">
      <c r="A789" s="23"/>
      <c r="B789" s="401"/>
      <c r="C789" s="23"/>
      <c r="D789" s="401"/>
      <c r="E789" s="23"/>
      <c r="F789" s="23"/>
      <c r="G789" s="23"/>
      <c r="H789" s="401"/>
      <c r="I789" s="23"/>
      <c r="J789" s="23"/>
      <c r="K789" s="402"/>
      <c r="L789" s="23"/>
      <c r="M789" s="40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</row>
    <row r="790" spans="1:31" ht="13">
      <c r="A790" s="23"/>
      <c r="B790" s="401"/>
      <c r="C790" s="23"/>
      <c r="D790" s="401"/>
      <c r="E790" s="23"/>
      <c r="F790" s="23"/>
      <c r="G790" s="23"/>
      <c r="H790" s="401"/>
      <c r="I790" s="23"/>
      <c r="J790" s="23"/>
      <c r="K790" s="402"/>
      <c r="L790" s="23"/>
      <c r="M790" s="40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</row>
    <row r="791" spans="1:31" ht="13">
      <c r="A791" s="23"/>
      <c r="B791" s="401"/>
      <c r="C791" s="23"/>
      <c r="D791" s="401"/>
      <c r="E791" s="23"/>
      <c r="F791" s="23"/>
      <c r="G791" s="23"/>
      <c r="H791" s="401"/>
      <c r="I791" s="23"/>
      <c r="J791" s="23"/>
      <c r="K791" s="402"/>
      <c r="L791" s="23"/>
      <c r="M791" s="40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</row>
    <row r="792" spans="1:31" ht="13">
      <c r="A792" s="23"/>
      <c r="B792" s="401"/>
      <c r="C792" s="23"/>
      <c r="D792" s="401"/>
      <c r="E792" s="23"/>
      <c r="F792" s="23"/>
      <c r="G792" s="23"/>
      <c r="H792" s="401"/>
      <c r="I792" s="23"/>
      <c r="J792" s="23"/>
      <c r="K792" s="402"/>
      <c r="L792" s="23"/>
      <c r="M792" s="40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</row>
    <row r="793" spans="1:31" ht="13">
      <c r="A793" s="23"/>
      <c r="B793" s="401"/>
      <c r="C793" s="23"/>
      <c r="D793" s="401"/>
      <c r="E793" s="23"/>
      <c r="F793" s="23"/>
      <c r="G793" s="23"/>
      <c r="H793" s="401"/>
      <c r="I793" s="23"/>
      <c r="J793" s="23"/>
      <c r="K793" s="402"/>
      <c r="L793" s="23"/>
      <c r="M793" s="40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</row>
    <row r="794" spans="1:31" ht="13">
      <c r="A794" s="23"/>
      <c r="B794" s="401"/>
      <c r="C794" s="23"/>
      <c r="D794" s="401"/>
      <c r="E794" s="23"/>
      <c r="F794" s="23"/>
      <c r="G794" s="23"/>
      <c r="H794" s="401"/>
      <c r="I794" s="23"/>
      <c r="J794" s="23"/>
      <c r="K794" s="402"/>
      <c r="L794" s="23"/>
      <c r="M794" s="40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</row>
    <row r="795" spans="1:31" ht="13">
      <c r="A795" s="23"/>
      <c r="B795" s="401"/>
      <c r="C795" s="23"/>
      <c r="D795" s="401"/>
      <c r="E795" s="23"/>
      <c r="F795" s="23"/>
      <c r="G795" s="23"/>
      <c r="H795" s="401"/>
      <c r="I795" s="23"/>
      <c r="J795" s="23"/>
      <c r="K795" s="402"/>
      <c r="L795" s="23"/>
      <c r="M795" s="40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</row>
    <row r="796" spans="1:31" ht="13">
      <c r="A796" s="23"/>
      <c r="B796" s="401"/>
      <c r="C796" s="23"/>
      <c r="D796" s="401"/>
      <c r="E796" s="23"/>
      <c r="F796" s="23"/>
      <c r="G796" s="23"/>
      <c r="H796" s="401"/>
      <c r="I796" s="23"/>
      <c r="J796" s="23"/>
      <c r="K796" s="402"/>
      <c r="L796" s="23"/>
      <c r="M796" s="40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</row>
    <row r="797" spans="1:31" ht="13">
      <c r="A797" s="23"/>
      <c r="B797" s="401"/>
      <c r="C797" s="23"/>
      <c r="D797" s="401"/>
      <c r="E797" s="23"/>
      <c r="F797" s="23"/>
      <c r="G797" s="23"/>
      <c r="H797" s="401"/>
      <c r="I797" s="23"/>
      <c r="J797" s="23"/>
      <c r="K797" s="402"/>
      <c r="L797" s="23"/>
      <c r="M797" s="40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</row>
    <row r="798" spans="1:31" ht="13">
      <c r="A798" s="23"/>
      <c r="B798" s="401"/>
      <c r="C798" s="23"/>
      <c r="D798" s="401"/>
      <c r="E798" s="23"/>
      <c r="F798" s="23"/>
      <c r="G798" s="23"/>
      <c r="H798" s="401"/>
      <c r="I798" s="23"/>
      <c r="J798" s="23"/>
      <c r="K798" s="402"/>
      <c r="L798" s="23"/>
      <c r="M798" s="40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</row>
    <row r="799" spans="1:31" ht="13">
      <c r="A799" s="23"/>
      <c r="B799" s="401"/>
      <c r="C799" s="23"/>
      <c r="D799" s="401"/>
      <c r="E799" s="23"/>
      <c r="F799" s="23"/>
      <c r="G799" s="23"/>
      <c r="H799" s="401"/>
      <c r="I799" s="23"/>
      <c r="J799" s="23"/>
      <c r="K799" s="402"/>
      <c r="L799" s="23"/>
      <c r="M799" s="40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</row>
    <row r="800" spans="1:31" ht="13">
      <c r="A800" s="23"/>
      <c r="B800" s="401"/>
      <c r="C800" s="23"/>
      <c r="D800" s="401"/>
      <c r="E800" s="23"/>
      <c r="F800" s="23"/>
      <c r="G800" s="23"/>
      <c r="H800" s="401"/>
      <c r="I800" s="23"/>
      <c r="J800" s="23"/>
      <c r="K800" s="402"/>
      <c r="L800" s="23"/>
      <c r="M800" s="40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</row>
    <row r="801" spans="1:31" ht="13">
      <c r="A801" s="23"/>
      <c r="B801" s="401"/>
      <c r="C801" s="23"/>
      <c r="D801" s="401"/>
      <c r="E801" s="23"/>
      <c r="F801" s="23"/>
      <c r="G801" s="23"/>
      <c r="H801" s="401"/>
      <c r="I801" s="23"/>
      <c r="J801" s="23"/>
      <c r="K801" s="402"/>
      <c r="L801" s="23"/>
      <c r="M801" s="40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</row>
    <row r="802" spans="1:31" ht="13">
      <c r="A802" s="23"/>
      <c r="B802" s="401"/>
      <c r="C802" s="23"/>
      <c r="D802" s="401"/>
      <c r="E802" s="23"/>
      <c r="F802" s="23"/>
      <c r="G802" s="23"/>
      <c r="H802" s="401"/>
      <c r="I802" s="23"/>
      <c r="J802" s="23"/>
      <c r="K802" s="402"/>
      <c r="L802" s="23"/>
      <c r="M802" s="40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</row>
    <row r="803" spans="1:31" ht="13">
      <c r="A803" s="23"/>
      <c r="B803" s="401"/>
      <c r="C803" s="23"/>
      <c r="D803" s="401"/>
      <c r="E803" s="23"/>
      <c r="F803" s="23"/>
      <c r="G803" s="23"/>
      <c r="H803" s="401"/>
      <c r="I803" s="23"/>
      <c r="J803" s="23"/>
      <c r="K803" s="402"/>
      <c r="L803" s="23"/>
      <c r="M803" s="40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</row>
    <row r="804" spans="1:31" ht="13">
      <c r="A804" s="23"/>
      <c r="B804" s="401"/>
      <c r="C804" s="23"/>
      <c r="D804" s="401"/>
      <c r="E804" s="23"/>
      <c r="F804" s="23"/>
      <c r="G804" s="23"/>
      <c r="H804" s="401"/>
      <c r="I804" s="23"/>
      <c r="J804" s="23"/>
      <c r="K804" s="402"/>
      <c r="L804" s="23"/>
      <c r="M804" s="40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</row>
    <row r="805" spans="1:31" ht="13">
      <c r="A805" s="23"/>
      <c r="B805" s="401"/>
      <c r="C805" s="23"/>
      <c r="D805" s="401"/>
      <c r="E805" s="23"/>
      <c r="F805" s="23"/>
      <c r="G805" s="23"/>
      <c r="H805" s="401"/>
      <c r="I805" s="23"/>
      <c r="J805" s="23"/>
      <c r="K805" s="402"/>
      <c r="L805" s="23"/>
      <c r="M805" s="40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</row>
    <row r="806" spans="1:31" ht="13">
      <c r="A806" s="23"/>
      <c r="B806" s="401"/>
      <c r="C806" s="23"/>
      <c r="D806" s="401"/>
      <c r="E806" s="23"/>
      <c r="F806" s="23"/>
      <c r="G806" s="23"/>
      <c r="H806" s="401"/>
      <c r="I806" s="23"/>
      <c r="J806" s="23"/>
      <c r="K806" s="402"/>
      <c r="L806" s="23"/>
      <c r="M806" s="40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</row>
    <row r="807" spans="1:31" ht="13">
      <c r="A807" s="23"/>
      <c r="B807" s="401"/>
      <c r="C807" s="23"/>
      <c r="D807" s="401"/>
      <c r="E807" s="23"/>
      <c r="F807" s="23"/>
      <c r="G807" s="23"/>
      <c r="H807" s="401"/>
      <c r="I807" s="23"/>
      <c r="J807" s="23"/>
      <c r="K807" s="402"/>
      <c r="L807" s="23"/>
      <c r="M807" s="40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</row>
    <row r="808" spans="1:31" ht="13">
      <c r="A808" s="23"/>
      <c r="B808" s="401"/>
      <c r="C808" s="23"/>
      <c r="D808" s="401"/>
      <c r="E808" s="23"/>
      <c r="F808" s="23"/>
      <c r="G808" s="23"/>
      <c r="H808" s="401"/>
      <c r="I808" s="23"/>
      <c r="J808" s="23"/>
      <c r="K808" s="402"/>
      <c r="L808" s="23"/>
      <c r="M808" s="40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</row>
    <row r="809" spans="1:31" ht="13">
      <c r="A809" s="23"/>
      <c r="B809" s="401"/>
      <c r="C809" s="23"/>
      <c r="D809" s="401"/>
      <c r="E809" s="23"/>
      <c r="F809" s="23"/>
      <c r="G809" s="23"/>
      <c r="H809" s="401"/>
      <c r="I809" s="23"/>
      <c r="J809" s="23"/>
      <c r="K809" s="402"/>
      <c r="L809" s="23"/>
      <c r="M809" s="40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</row>
    <row r="810" spans="1:31" ht="13">
      <c r="A810" s="23"/>
      <c r="B810" s="401"/>
      <c r="C810" s="23"/>
      <c r="D810" s="401"/>
      <c r="E810" s="23"/>
      <c r="F810" s="23"/>
      <c r="G810" s="23"/>
      <c r="H810" s="401"/>
      <c r="I810" s="23"/>
      <c r="J810" s="23"/>
      <c r="K810" s="402"/>
      <c r="L810" s="23"/>
      <c r="M810" s="40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</row>
    <row r="811" spans="1:31" ht="13">
      <c r="A811" s="23"/>
      <c r="B811" s="401"/>
      <c r="C811" s="23"/>
      <c r="D811" s="401"/>
      <c r="E811" s="23"/>
      <c r="F811" s="23"/>
      <c r="G811" s="23"/>
      <c r="H811" s="401"/>
      <c r="I811" s="23"/>
      <c r="J811" s="23"/>
      <c r="K811" s="402"/>
      <c r="L811" s="23"/>
      <c r="M811" s="40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</row>
    <row r="812" spans="1:31" ht="13">
      <c r="A812" s="23"/>
      <c r="B812" s="401"/>
      <c r="C812" s="23"/>
      <c r="D812" s="401"/>
      <c r="E812" s="23"/>
      <c r="F812" s="23"/>
      <c r="G812" s="23"/>
      <c r="H812" s="401"/>
      <c r="I812" s="23"/>
      <c r="J812" s="23"/>
      <c r="K812" s="402"/>
      <c r="L812" s="23"/>
      <c r="M812" s="40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</row>
    <row r="813" spans="1:31" ht="13">
      <c r="A813" s="23"/>
      <c r="B813" s="401"/>
      <c r="C813" s="23"/>
      <c r="D813" s="401"/>
      <c r="E813" s="23"/>
      <c r="F813" s="23"/>
      <c r="G813" s="23"/>
      <c r="H813" s="401"/>
      <c r="I813" s="23"/>
      <c r="J813" s="23"/>
      <c r="K813" s="402"/>
      <c r="L813" s="23"/>
      <c r="M813" s="40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</row>
    <row r="814" spans="1:31" ht="13">
      <c r="A814" s="23"/>
      <c r="B814" s="401"/>
      <c r="C814" s="23"/>
      <c r="D814" s="401"/>
      <c r="E814" s="23"/>
      <c r="F814" s="23"/>
      <c r="G814" s="23"/>
      <c r="H814" s="401"/>
      <c r="I814" s="23"/>
      <c r="J814" s="23"/>
      <c r="K814" s="402"/>
      <c r="L814" s="23"/>
      <c r="M814" s="40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</row>
    <row r="815" spans="1:31" ht="13">
      <c r="A815" s="23"/>
      <c r="B815" s="401"/>
      <c r="C815" s="23"/>
      <c r="D815" s="401"/>
      <c r="E815" s="23"/>
      <c r="F815" s="23"/>
      <c r="G815" s="23"/>
      <c r="H815" s="401"/>
      <c r="I815" s="23"/>
      <c r="J815" s="23"/>
      <c r="K815" s="402"/>
      <c r="L815" s="23"/>
      <c r="M815" s="40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</row>
    <row r="816" spans="1:31" ht="13">
      <c r="A816" s="23"/>
      <c r="B816" s="401"/>
      <c r="C816" s="23"/>
      <c r="D816" s="401"/>
      <c r="E816" s="23"/>
      <c r="F816" s="23"/>
      <c r="G816" s="23"/>
      <c r="H816" s="401"/>
      <c r="I816" s="23"/>
      <c r="J816" s="23"/>
      <c r="K816" s="402"/>
      <c r="L816" s="23"/>
      <c r="M816" s="40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</row>
    <row r="817" spans="1:31" ht="13">
      <c r="A817" s="23"/>
      <c r="B817" s="401"/>
      <c r="C817" s="23"/>
      <c r="D817" s="401"/>
      <c r="E817" s="23"/>
      <c r="F817" s="23"/>
      <c r="G817" s="23"/>
      <c r="H817" s="401"/>
      <c r="I817" s="23"/>
      <c r="J817" s="23"/>
      <c r="K817" s="402"/>
      <c r="L817" s="23"/>
      <c r="M817" s="40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</row>
    <row r="818" spans="1:31" ht="13">
      <c r="A818" s="23"/>
      <c r="B818" s="401"/>
      <c r="C818" s="23"/>
      <c r="D818" s="401"/>
      <c r="E818" s="23"/>
      <c r="F818" s="23"/>
      <c r="G818" s="23"/>
      <c r="H818" s="401"/>
      <c r="I818" s="23"/>
      <c r="J818" s="23"/>
      <c r="K818" s="402"/>
      <c r="L818" s="23"/>
      <c r="M818" s="40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</row>
    <row r="819" spans="1:31" ht="13">
      <c r="A819" s="23"/>
      <c r="B819" s="401"/>
      <c r="C819" s="23"/>
      <c r="D819" s="401"/>
      <c r="E819" s="23"/>
      <c r="F819" s="23"/>
      <c r="G819" s="23"/>
      <c r="H819" s="401"/>
      <c r="I819" s="23"/>
      <c r="J819" s="23"/>
      <c r="K819" s="402"/>
      <c r="L819" s="23"/>
      <c r="M819" s="40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</row>
    <row r="820" spans="1:31" ht="13">
      <c r="A820" s="23"/>
      <c r="B820" s="401"/>
      <c r="C820" s="23"/>
      <c r="D820" s="401"/>
      <c r="E820" s="23"/>
      <c r="F820" s="23"/>
      <c r="G820" s="23"/>
      <c r="H820" s="401"/>
      <c r="I820" s="23"/>
      <c r="J820" s="23"/>
      <c r="K820" s="402"/>
      <c r="L820" s="23"/>
      <c r="M820" s="40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</row>
    <row r="821" spans="1:31" ht="13">
      <c r="A821" s="23"/>
      <c r="B821" s="401"/>
      <c r="C821" s="23"/>
      <c r="D821" s="401"/>
      <c r="E821" s="23"/>
      <c r="F821" s="23"/>
      <c r="G821" s="23"/>
      <c r="H821" s="401"/>
      <c r="I821" s="23"/>
      <c r="J821" s="23"/>
      <c r="K821" s="402"/>
      <c r="L821" s="23"/>
      <c r="M821" s="40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</row>
    <row r="822" spans="1:31" ht="13">
      <c r="A822" s="23"/>
      <c r="B822" s="401"/>
      <c r="C822" s="23"/>
      <c r="D822" s="401"/>
      <c r="E822" s="23"/>
      <c r="F822" s="23"/>
      <c r="G822" s="23"/>
      <c r="H822" s="401"/>
      <c r="I822" s="23"/>
      <c r="J822" s="23"/>
      <c r="K822" s="402"/>
      <c r="L822" s="23"/>
      <c r="M822" s="40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</row>
    <row r="823" spans="1:31" ht="13">
      <c r="A823" s="23"/>
      <c r="B823" s="401"/>
      <c r="C823" s="23"/>
      <c r="D823" s="401"/>
      <c r="E823" s="23"/>
      <c r="F823" s="23"/>
      <c r="G823" s="23"/>
      <c r="H823" s="401"/>
      <c r="I823" s="23"/>
      <c r="J823" s="23"/>
      <c r="K823" s="402"/>
      <c r="L823" s="23"/>
      <c r="M823" s="40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</row>
    <row r="824" spans="1:31" ht="13">
      <c r="A824" s="23"/>
      <c r="B824" s="401"/>
      <c r="C824" s="23"/>
      <c r="D824" s="401"/>
      <c r="E824" s="23"/>
      <c r="F824" s="23"/>
      <c r="G824" s="23"/>
      <c r="H824" s="401"/>
      <c r="I824" s="23"/>
      <c r="J824" s="23"/>
      <c r="K824" s="402"/>
      <c r="L824" s="23"/>
      <c r="M824" s="40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</row>
    <row r="825" spans="1:31" ht="13">
      <c r="A825" s="23"/>
      <c r="B825" s="401"/>
      <c r="C825" s="23"/>
      <c r="D825" s="401"/>
      <c r="E825" s="23"/>
      <c r="F825" s="23"/>
      <c r="G825" s="23"/>
      <c r="H825" s="401"/>
      <c r="I825" s="23"/>
      <c r="J825" s="23"/>
      <c r="K825" s="402"/>
      <c r="L825" s="23"/>
      <c r="M825" s="40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</row>
    <row r="826" spans="1:31" ht="13">
      <c r="A826" s="23"/>
      <c r="B826" s="401"/>
      <c r="C826" s="23"/>
      <c r="D826" s="401"/>
      <c r="E826" s="23"/>
      <c r="F826" s="23"/>
      <c r="G826" s="23"/>
      <c r="H826" s="401"/>
      <c r="I826" s="23"/>
      <c r="J826" s="23"/>
      <c r="K826" s="402"/>
      <c r="L826" s="23"/>
      <c r="M826" s="40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</row>
    <row r="827" spans="1:31" ht="13">
      <c r="A827" s="23"/>
      <c r="B827" s="401"/>
      <c r="C827" s="23"/>
      <c r="D827" s="401"/>
      <c r="E827" s="23"/>
      <c r="F827" s="23"/>
      <c r="G827" s="23"/>
      <c r="H827" s="401"/>
      <c r="I827" s="23"/>
      <c r="J827" s="23"/>
      <c r="K827" s="402"/>
      <c r="L827" s="23"/>
      <c r="M827" s="40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</row>
    <row r="828" spans="1:31" ht="13">
      <c r="A828" s="23"/>
      <c r="B828" s="401"/>
      <c r="C828" s="23"/>
      <c r="D828" s="401"/>
      <c r="E828" s="23"/>
      <c r="F828" s="23"/>
      <c r="G828" s="23"/>
      <c r="H828" s="401"/>
      <c r="I828" s="23"/>
      <c r="J828" s="23"/>
      <c r="K828" s="402"/>
      <c r="L828" s="23"/>
      <c r="M828" s="40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</row>
    <row r="829" spans="1:31" ht="13">
      <c r="A829" s="23"/>
      <c r="B829" s="401"/>
      <c r="C829" s="23"/>
      <c r="D829" s="401"/>
      <c r="E829" s="23"/>
      <c r="F829" s="23"/>
      <c r="G829" s="23"/>
      <c r="H829" s="401"/>
      <c r="I829" s="23"/>
      <c r="J829" s="23"/>
      <c r="K829" s="402"/>
      <c r="L829" s="23"/>
      <c r="M829" s="40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</row>
    <row r="830" spans="1:31" ht="13">
      <c r="A830" s="23"/>
      <c r="B830" s="401"/>
      <c r="C830" s="23"/>
      <c r="D830" s="401"/>
      <c r="E830" s="23"/>
      <c r="F830" s="23"/>
      <c r="G830" s="23"/>
      <c r="H830" s="401"/>
      <c r="I830" s="23"/>
      <c r="J830" s="23"/>
      <c r="K830" s="402"/>
      <c r="L830" s="23"/>
      <c r="M830" s="40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</row>
    <row r="831" spans="1:31" ht="13">
      <c r="A831" s="23"/>
      <c r="B831" s="401"/>
      <c r="C831" s="23"/>
      <c r="D831" s="401"/>
      <c r="E831" s="23"/>
      <c r="F831" s="23"/>
      <c r="G831" s="23"/>
      <c r="H831" s="401"/>
      <c r="I831" s="23"/>
      <c r="J831" s="23"/>
      <c r="K831" s="402"/>
      <c r="L831" s="23"/>
      <c r="M831" s="40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</row>
    <row r="832" spans="1:31" ht="13">
      <c r="A832" s="23"/>
      <c r="B832" s="401"/>
      <c r="C832" s="23"/>
      <c r="D832" s="401"/>
      <c r="E832" s="23"/>
      <c r="F832" s="23"/>
      <c r="G832" s="23"/>
      <c r="H832" s="401"/>
      <c r="I832" s="23"/>
      <c r="J832" s="23"/>
      <c r="K832" s="402"/>
      <c r="L832" s="23"/>
      <c r="M832" s="40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</row>
    <row r="833" spans="1:31" ht="13">
      <c r="A833" s="23"/>
      <c r="B833" s="401"/>
      <c r="C833" s="23"/>
      <c r="D833" s="401"/>
      <c r="E833" s="23"/>
      <c r="F833" s="23"/>
      <c r="G833" s="23"/>
      <c r="H833" s="401"/>
      <c r="I833" s="23"/>
      <c r="J833" s="23"/>
      <c r="K833" s="402"/>
      <c r="L833" s="23"/>
      <c r="M833" s="40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</row>
    <row r="834" spans="1:31" ht="13">
      <c r="A834" s="23"/>
      <c r="B834" s="401"/>
      <c r="C834" s="23"/>
      <c r="D834" s="401"/>
      <c r="E834" s="23"/>
      <c r="F834" s="23"/>
      <c r="G834" s="23"/>
      <c r="H834" s="401"/>
      <c r="I834" s="23"/>
      <c r="J834" s="23"/>
      <c r="K834" s="402"/>
      <c r="L834" s="23"/>
      <c r="M834" s="40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</row>
    <row r="835" spans="1:31" ht="13">
      <c r="A835" s="23"/>
      <c r="B835" s="401"/>
      <c r="C835" s="23"/>
      <c r="D835" s="401"/>
      <c r="E835" s="23"/>
      <c r="F835" s="23"/>
      <c r="G835" s="23"/>
      <c r="H835" s="401"/>
      <c r="I835" s="23"/>
      <c r="J835" s="23"/>
      <c r="K835" s="402"/>
      <c r="L835" s="23"/>
      <c r="M835" s="40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</row>
    <row r="836" spans="1:31" ht="13">
      <c r="A836" s="23"/>
      <c r="B836" s="401"/>
      <c r="C836" s="23"/>
      <c r="D836" s="401"/>
      <c r="E836" s="23"/>
      <c r="F836" s="23"/>
      <c r="G836" s="23"/>
      <c r="H836" s="401"/>
      <c r="I836" s="23"/>
      <c r="J836" s="23"/>
      <c r="K836" s="402"/>
      <c r="L836" s="23"/>
      <c r="M836" s="40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</row>
    <row r="837" spans="1:31" ht="13">
      <c r="A837" s="23"/>
      <c r="B837" s="401"/>
      <c r="C837" s="23"/>
      <c r="D837" s="401"/>
      <c r="E837" s="23"/>
      <c r="F837" s="23"/>
      <c r="G837" s="23"/>
      <c r="H837" s="401"/>
      <c r="I837" s="23"/>
      <c r="J837" s="23"/>
      <c r="K837" s="402"/>
      <c r="L837" s="23"/>
      <c r="M837" s="40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</row>
    <row r="838" spans="1:31" ht="13">
      <c r="A838" s="23"/>
      <c r="B838" s="401"/>
      <c r="C838" s="23"/>
      <c r="D838" s="401"/>
      <c r="E838" s="23"/>
      <c r="F838" s="23"/>
      <c r="G838" s="23"/>
      <c r="H838" s="401"/>
      <c r="I838" s="23"/>
      <c r="J838" s="23"/>
      <c r="K838" s="402"/>
      <c r="L838" s="23"/>
      <c r="M838" s="40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</row>
    <row r="839" spans="1:31" ht="13">
      <c r="A839" s="23"/>
      <c r="B839" s="401"/>
      <c r="C839" s="23"/>
      <c r="D839" s="401"/>
      <c r="E839" s="23"/>
      <c r="F839" s="23"/>
      <c r="G839" s="23"/>
      <c r="H839" s="401"/>
      <c r="I839" s="23"/>
      <c r="J839" s="23"/>
      <c r="K839" s="402"/>
      <c r="L839" s="23"/>
      <c r="M839" s="40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</row>
    <row r="840" spans="1:31" ht="13">
      <c r="A840" s="23"/>
      <c r="B840" s="401"/>
      <c r="C840" s="23"/>
      <c r="D840" s="401"/>
      <c r="E840" s="23"/>
      <c r="F840" s="23"/>
      <c r="G840" s="23"/>
      <c r="H840" s="401"/>
      <c r="I840" s="23"/>
      <c r="J840" s="23"/>
      <c r="K840" s="402"/>
      <c r="L840" s="23"/>
      <c r="M840" s="40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</row>
    <row r="841" spans="1:31" ht="13">
      <c r="A841" s="23"/>
      <c r="B841" s="401"/>
      <c r="C841" s="23"/>
      <c r="D841" s="401"/>
      <c r="E841" s="23"/>
      <c r="F841" s="23"/>
      <c r="G841" s="23"/>
      <c r="H841" s="401"/>
      <c r="I841" s="23"/>
      <c r="J841" s="23"/>
      <c r="K841" s="402"/>
      <c r="L841" s="23"/>
      <c r="M841" s="40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</row>
    <row r="842" spans="1:31" ht="13">
      <c r="A842" s="23"/>
      <c r="B842" s="401"/>
      <c r="C842" s="23"/>
      <c r="D842" s="401"/>
      <c r="E842" s="23"/>
      <c r="F842" s="23"/>
      <c r="G842" s="23"/>
      <c r="H842" s="401"/>
      <c r="I842" s="23"/>
      <c r="J842" s="23"/>
      <c r="K842" s="402"/>
      <c r="L842" s="23"/>
      <c r="M842" s="40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</row>
    <row r="843" spans="1:31" ht="13">
      <c r="A843" s="23"/>
      <c r="B843" s="401"/>
      <c r="C843" s="23"/>
      <c r="D843" s="401"/>
      <c r="E843" s="23"/>
      <c r="F843" s="23"/>
      <c r="G843" s="23"/>
      <c r="H843" s="401"/>
      <c r="I843" s="23"/>
      <c r="J843" s="23"/>
      <c r="K843" s="402"/>
      <c r="L843" s="23"/>
      <c r="M843" s="40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</row>
    <row r="844" spans="1:31" ht="13">
      <c r="A844" s="23"/>
      <c r="B844" s="401"/>
      <c r="C844" s="23"/>
      <c r="D844" s="401"/>
      <c r="E844" s="23"/>
      <c r="F844" s="23"/>
      <c r="G844" s="23"/>
      <c r="H844" s="401"/>
      <c r="I844" s="23"/>
      <c r="J844" s="23"/>
      <c r="K844" s="402"/>
      <c r="L844" s="23"/>
      <c r="M844" s="40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</row>
    <row r="845" spans="1:31" ht="13">
      <c r="A845" s="23"/>
      <c r="B845" s="401"/>
      <c r="C845" s="23"/>
      <c r="D845" s="401"/>
      <c r="E845" s="23"/>
      <c r="F845" s="23"/>
      <c r="G845" s="23"/>
      <c r="H845" s="401"/>
      <c r="I845" s="23"/>
      <c r="J845" s="23"/>
      <c r="K845" s="402"/>
      <c r="L845" s="23"/>
      <c r="M845" s="40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</row>
    <row r="846" spans="1:31" ht="13">
      <c r="A846" s="23"/>
      <c r="B846" s="401"/>
      <c r="C846" s="23"/>
      <c r="D846" s="401"/>
      <c r="E846" s="23"/>
      <c r="F846" s="23"/>
      <c r="G846" s="23"/>
      <c r="H846" s="401"/>
      <c r="I846" s="23"/>
      <c r="J846" s="23"/>
      <c r="K846" s="402"/>
      <c r="L846" s="23"/>
      <c r="M846" s="40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</row>
    <row r="847" spans="1:31" ht="13">
      <c r="A847" s="23"/>
      <c r="B847" s="401"/>
      <c r="C847" s="23"/>
      <c r="D847" s="401"/>
      <c r="E847" s="23"/>
      <c r="F847" s="23"/>
      <c r="G847" s="23"/>
      <c r="H847" s="401"/>
      <c r="I847" s="23"/>
      <c r="J847" s="23"/>
      <c r="K847" s="402"/>
      <c r="L847" s="23"/>
      <c r="M847" s="40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</row>
    <row r="848" spans="1:31" ht="13">
      <c r="A848" s="23"/>
      <c r="B848" s="401"/>
      <c r="C848" s="23"/>
      <c r="D848" s="401"/>
      <c r="E848" s="23"/>
      <c r="F848" s="23"/>
      <c r="G848" s="23"/>
      <c r="H848" s="401"/>
      <c r="I848" s="23"/>
      <c r="J848" s="23"/>
      <c r="K848" s="402"/>
      <c r="L848" s="23"/>
      <c r="M848" s="40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</row>
    <row r="849" spans="1:31" ht="13">
      <c r="A849" s="23"/>
      <c r="B849" s="401"/>
      <c r="C849" s="23"/>
      <c r="D849" s="401"/>
      <c r="E849" s="23"/>
      <c r="F849" s="23"/>
      <c r="G849" s="23"/>
      <c r="H849" s="401"/>
      <c r="I849" s="23"/>
      <c r="J849" s="23"/>
      <c r="K849" s="402"/>
      <c r="L849" s="23"/>
      <c r="M849" s="40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</row>
    <row r="850" spans="1:31" ht="13">
      <c r="A850" s="23"/>
      <c r="B850" s="401"/>
      <c r="C850" s="23"/>
      <c r="D850" s="401"/>
      <c r="E850" s="23"/>
      <c r="F850" s="23"/>
      <c r="G850" s="23"/>
      <c r="H850" s="401"/>
      <c r="I850" s="23"/>
      <c r="J850" s="23"/>
      <c r="K850" s="402"/>
      <c r="L850" s="23"/>
      <c r="M850" s="40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</row>
    <row r="851" spans="1:31" ht="13">
      <c r="A851" s="23"/>
      <c r="B851" s="401"/>
      <c r="C851" s="23"/>
      <c r="D851" s="401"/>
      <c r="E851" s="23"/>
      <c r="F851" s="23"/>
      <c r="G851" s="23"/>
      <c r="H851" s="401"/>
      <c r="I851" s="23"/>
      <c r="J851" s="23"/>
      <c r="K851" s="402"/>
      <c r="L851" s="23"/>
      <c r="M851" s="40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</row>
    <row r="852" spans="1:31" ht="13">
      <c r="A852" s="23"/>
      <c r="B852" s="401"/>
      <c r="C852" s="23"/>
      <c r="D852" s="401"/>
      <c r="E852" s="23"/>
      <c r="F852" s="23"/>
      <c r="G852" s="23"/>
      <c r="H852" s="401"/>
      <c r="I852" s="23"/>
      <c r="J852" s="23"/>
      <c r="K852" s="402"/>
      <c r="L852" s="23"/>
      <c r="M852" s="40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</row>
    <row r="853" spans="1:31" ht="13">
      <c r="A853" s="23"/>
      <c r="B853" s="401"/>
      <c r="C853" s="23"/>
      <c r="D853" s="401"/>
      <c r="E853" s="23"/>
      <c r="F853" s="23"/>
      <c r="G853" s="23"/>
      <c r="H853" s="401"/>
      <c r="I853" s="23"/>
      <c r="J853" s="23"/>
      <c r="K853" s="402"/>
      <c r="L853" s="23"/>
      <c r="M853" s="40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</row>
    <row r="854" spans="1:31" ht="13">
      <c r="A854" s="23"/>
      <c r="B854" s="401"/>
      <c r="C854" s="23"/>
      <c r="D854" s="401"/>
      <c r="E854" s="23"/>
      <c r="F854" s="23"/>
      <c r="G854" s="23"/>
      <c r="H854" s="401"/>
      <c r="I854" s="23"/>
      <c r="J854" s="23"/>
      <c r="K854" s="402"/>
      <c r="L854" s="23"/>
      <c r="M854" s="40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</row>
    <row r="855" spans="1:31" ht="13">
      <c r="A855" s="23"/>
      <c r="B855" s="401"/>
      <c r="C855" s="23"/>
      <c r="D855" s="401"/>
      <c r="E855" s="23"/>
      <c r="F855" s="23"/>
      <c r="G855" s="23"/>
      <c r="H855" s="401"/>
      <c r="I855" s="23"/>
      <c r="J855" s="23"/>
      <c r="K855" s="402"/>
      <c r="L855" s="23"/>
      <c r="M855" s="40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</row>
    <row r="856" spans="1:31" ht="13">
      <c r="A856" s="23"/>
      <c r="B856" s="401"/>
      <c r="C856" s="23"/>
      <c r="D856" s="401"/>
      <c r="E856" s="23"/>
      <c r="F856" s="23"/>
      <c r="G856" s="23"/>
      <c r="H856" s="401"/>
      <c r="I856" s="23"/>
      <c r="J856" s="23"/>
      <c r="K856" s="402"/>
      <c r="L856" s="23"/>
      <c r="M856" s="40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</row>
    <row r="857" spans="1:31" ht="13">
      <c r="A857" s="23"/>
      <c r="B857" s="401"/>
      <c r="C857" s="23"/>
      <c r="D857" s="401"/>
      <c r="E857" s="23"/>
      <c r="F857" s="23"/>
      <c r="G857" s="23"/>
      <c r="H857" s="401"/>
      <c r="I857" s="23"/>
      <c r="J857" s="23"/>
      <c r="K857" s="402"/>
      <c r="L857" s="23"/>
      <c r="M857" s="40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</row>
    <row r="858" spans="1:31" ht="13">
      <c r="A858" s="23"/>
      <c r="B858" s="401"/>
      <c r="C858" s="23"/>
      <c r="D858" s="401"/>
      <c r="E858" s="23"/>
      <c r="F858" s="23"/>
      <c r="G858" s="23"/>
      <c r="H858" s="401"/>
      <c r="I858" s="23"/>
      <c r="J858" s="23"/>
      <c r="K858" s="402"/>
      <c r="L858" s="23"/>
      <c r="M858" s="40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</row>
    <row r="859" spans="1:31" ht="13">
      <c r="A859" s="23"/>
      <c r="B859" s="401"/>
      <c r="C859" s="23"/>
      <c r="D859" s="401"/>
      <c r="E859" s="23"/>
      <c r="F859" s="23"/>
      <c r="G859" s="23"/>
      <c r="H859" s="401"/>
      <c r="I859" s="23"/>
      <c r="J859" s="23"/>
      <c r="K859" s="402"/>
      <c r="L859" s="23"/>
      <c r="M859" s="40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</row>
    <row r="860" spans="1:31" ht="13">
      <c r="A860" s="23"/>
      <c r="B860" s="401"/>
      <c r="C860" s="23"/>
      <c r="D860" s="401"/>
      <c r="E860" s="23"/>
      <c r="F860" s="23"/>
      <c r="G860" s="23"/>
      <c r="H860" s="401"/>
      <c r="I860" s="23"/>
      <c r="J860" s="23"/>
      <c r="K860" s="402"/>
      <c r="L860" s="23"/>
      <c r="M860" s="40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</row>
    <row r="861" spans="1:31" ht="13">
      <c r="A861" s="23"/>
      <c r="B861" s="401"/>
      <c r="C861" s="23"/>
      <c r="D861" s="401"/>
      <c r="E861" s="23"/>
      <c r="F861" s="23"/>
      <c r="G861" s="23"/>
      <c r="H861" s="401"/>
      <c r="I861" s="23"/>
      <c r="J861" s="23"/>
      <c r="K861" s="402"/>
      <c r="L861" s="23"/>
      <c r="M861" s="40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</row>
    <row r="862" spans="1:31" ht="13">
      <c r="A862" s="23"/>
      <c r="B862" s="401"/>
      <c r="C862" s="23"/>
      <c r="D862" s="401"/>
      <c r="E862" s="23"/>
      <c r="F862" s="23"/>
      <c r="G862" s="23"/>
      <c r="H862" s="401"/>
      <c r="I862" s="23"/>
      <c r="J862" s="23"/>
      <c r="K862" s="402"/>
      <c r="L862" s="23"/>
      <c r="M862" s="40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</row>
    <row r="863" spans="1:31" ht="13">
      <c r="A863" s="23"/>
      <c r="B863" s="401"/>
      <c r="C863" s="23"/>
      <c r="D863" s="401"/>
      <c r="E863" s="23"/>
      <c r="F863" s="23"/>
      <c r="G863" s="23"/>
      <c r="H863" s="401"/>
      <c r="I863" s="23"/>
      <c r="J863" s="23"/>
      <c r="K863" s="402"/>
      <c r="L863" s="23"/>
      <c r="M863" s="40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</row>
    <row r="864" spans="1:31" ht="13">
      <c r="A864" s="23"/>
      <c r="B864" s="401"/>
      <c r="C864" s="23"/>
      <c r="D864" s="401"/>
      <c r="E864" s="23"/>
      <c r="F864" s="23"/>
      <c r="G864" s="23"/>
      <c r="H864" s="401"/>
      <c r="I864" s="23"/>
      <c r="J864" s="23"/>
      <c r="K864" s="402"/>
      <c r="L864" s="23"/>
      <c r="M864" s="40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</row>
    <row r="865" spans="1:31" ht="13">
      <c r="A865" s="23"/>
      <c r="B865" s="401"/>
      <c r="C865" s="23"/>
      <c r="D865" s="401"/>
      <c r="E865" s="23"/>
      <c r="F865" s="23"/>
      <c r="G865" s="23"/>
      <c r="H865" s="401"/>
      <c r="I865" s="23"/>
      <c r="J865" s="23"/>
      <c r="K865" s="402"/>
      <c r="L865" s="23"/>
      <c r="M865" s="40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</row>
    <row r="866" spans="1:31" ht="13">
      <c r="A866" s="23"/>
      <c r="B866" s="401"/>
      <c r="C866" s="23"/>
      <c r="D866" s="401"/>
      <c r="E866" s="23"/>
      <c r="F866" s="23"/>
      <c r="G866" s="23"/>
      <c r="H866" s="401"/>
      <c r="I866" s="23"/>
      <c r="J866" s="23"/>
      <c r="K866" s="402"/>
      <c r="L866" s="23"/>
      <c r="M866" s="40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</row>
    <row r="867" spans="1:31" ht="13">
      <c r="A867" s="23"/>
      <c r="B867" s="401"/>
      <c r="C867" s="23"/>
      <c r="D867" s="401"/>
      <c r="E867" s="23"/>
      <c r="F867" s="23"/>
      <c r="G867" s="23"/>
      <c r="H867" s="401"/>
      <c r="I867" s="23"/>
      <c r="J867" s="23"/>
      <c r="K867" s="402"/>
      <c r="L867" s="23"/>
      <c r="M867" s="40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</row>
    <row r="868" spans="1:31" ht="13">
      <c r="A868" s="23"/>
      <c r="B868" s="401"/>
      <c r="C868" s="23"/>
      <c r="D868" s="401"/>
      <c r="E868" s="23"/>
      <c r="F868" s="23"/>
      <c r="G868" s="23"/>
      <c r="H868" s="401"/>
      <c r="I868" s="23"/>
      <c r="J868" s="23"/>
      <c r="K868" s="402"/>
      <c r="L868" s="23"/>
      <c r="M868" s="40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</row>
    <row r="869" spans="1:31" ht="13">
      <c r="A869" s="23"/>
      <c r="B869" s="401"/>
      <c r="C869" s="23"/>
      <c r="D869" s="401"/>
      <c r="E869" s="23"/>
      <c r="F869" s="23"/>
      <c r="G869" s="23"/>
      <c r="H869" s="401"/>
      <c r="I869" s="23"/>
      <c r="J869" s="23"/>
      <c r="K869" s="402"/>
      <c r="L869" s="23"/>
      <c r="M869" s="40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</row>
    <row r="870" spans="1:31" ht="13">
      <c r="A870" s="23"/>
      <c r="B870" s="401"/>
      <c r="C870" s="23"/>
      <c r="D870" s="401"/>
      <c r="E870" s="23"/>
      <c r="F870" s="23"/>
      <c r="G870" s="23"/>
      <c r="H870" s="401"/>
      <c r="I870" s="23"/>
      <c r="J870" s="23"/>
      <c r="K870" s="402"/>
      <c r="L870" s="23"/>
      <c r="M870" s="40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</row>
    <row r="871" spans="1:31" ht="13">
      <c r="A871" s="23"/>
      <c r="B871" s="401"/>
      <c r="C871" s="23"/>
      <c r="D871" s="401"/>
      <c r="E871" s="23"/>
      <c r="F871" s="23"/>
      <c r="G871" s="23"/>
      <c r="H871" s="401"/>
      <c r="I871" s="23"/>
      <c r="J871" s="23"/>
      <c r="K871" s="402"/>
      <c r="L871" s="23"/>
      <c r="M871" s="40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</row>
    <row r="872" spans="1:31" ht="13">
      <c r="A872" s="23"/>
      <c r="B872" s="401"/>
      <c r="C872" s="23"/>
      <c r="D872" s="401"/>
      <c r="E872" s="23"/>
      <c r="F872" s="23"/>
      <c r="G872" s="23"/>
      <c r="H872" s="401"/>
      <c r="I872" s="23"/>
      <c r="J872" s="23"/>
      <c r="K872" s="402"/>
      <c r="L872" s="23"/>
      <c r="M872" s="40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</row>
    <row r="873" spans="1:31" ht="13">
      <c r="A873" s="23"/>
      <c r="B873" s="401"/>
      <c r="C873" s="23"/>
      <c r="D873" s="401"/>
      <c r="E873" s="23"/>
      <c r="F873" s="23"/>
      <c r="G873" s="23"/>
      <c r="H873" s="401"/>
      <c r="I873" s="23"/>
      <c r="J873" s="23"/>
      <c r="K873" s="402"/>
      <c r="L873" s="23"/>
      <c r="M873" s="40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</row>
    <row r="874" spans="1:31" ht="13">
      <c r="A874" s="23"/>
      <c r="B874" s="401"/>
      <c r="C874" s="23"/>
      <c r="D874" s="401"/>
      <c r="E874" s="23"/>
      <c r="F874" s="23"/>
      <c r="G874" s="23"/>
      <c r="H874" s="401"/>
      <c r="I874" s="23"/>
      <c r="J874" s="23"/>
      <c r="K874" s="402"/>
      <c r="L874" s="23"/>
      <c r="M874" s="40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</row>
    <row r="875" spans="1:31" ht="13">
      <c r="A875" s="23"/>
      <c r="B875" s="401"/>
      <c r="C875" s="23"/>
      <c r="D875" s="401"/>
      <c r="E875" s="23"/>
      <c r="F875" s="23"/>
      <c r="G875" s="23"/>
      <c r="H875" s="401"/>
      <c r="I875" s="23"/>
      <c r="J875" s="23"/>
      <c r="K875" s="402"/>
      <c r="L875" s="23"/>
      <c r="M875" s="40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</row>
    <row r="876" spans="1:31" ht="13">
      <c r="A876" s="23"/>
      <c r="B876" s="401"/>
      <c r="C876" s="23"/>
      <c r="D876" s="401"/>
      <c r="E876" s="23"/>
      <c r="F876" s="23"/>
      <c r="G876" s="23"/>
      <c r="H876" s="401"/>
      <c r="I876" s="23"/>
      <c r="J876" s="23"/>
      <c r="K876" s="402"/>
      <c r="L876" s="23"/>
      <c r="M876" s="40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</row>
    <row r="877" spans="1:31" ht="13">
      <c r="A877" s="23"/>
      <c r="B877" s="401"/>
      <c r="C877" s="23"/>
      <c r="D877" s="401"/>
      <c r="E877" s="23"/>
      <c r="F877" s="23"/>
      <c r="G877" s="23"/>
      <c r="H877" s="401"/>
      <c r="I877" s="23"/>
      <c r="J877" s="23"/>
      <c r="K877" s="402"/>
      <c r="L877" s="23"/>
      <c r="M877" s="40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</row>
    <row r="878" spans="1:31" ht="13">
      <c r="A878" s="23"/>
      <c r="B878" s="401"/>
      <c r="C878" s="23"/>
      <c r="D878" s="401"/>
      <c r="E878" s="23"/>
      <c r="F878" s="23"/>
      <c r="G878" s="23"/>
      <c r="H878" s="401"/>
      <c r="I878" s="23"/>
      <c r="J878" s="23"/>
      <c r="K878" s="402"/>
      <c r="L878" s="23"/>
      <c r="M878" s="40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</row>
    <row r="879" spans="1:31" ht="13">
      <c r="A879" s="23"/>
      <c r="B879" s="401"/>
      <c r="C879" s="23"/>
      <c r="D879" s="401"/>
      <c r="E879" s="23"/>
      <c r="F879" s="23"/>
      <c r="G879" s="23"/>
      <c r="H879" s="401"/>
      <c r="I879" s="23"/>
      <c r="J879" s="23"/>
      <c r="K879" s="402"/>
      <c r="L879" s="23"/>
      <c r="M879" s="40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</row>
    <row r="880" spans="1:31" ht="13">
      <c r="A880" s="23"/>
      <c r="B880" s="401"/>
      <c r="C880" s="23"/>
      <c r="D880" s="401"/>
      <c r="E880" s="23"/>
      <c r="F880" s="23"/>
      <c r="G880" s="23"/>
      <c r="H880" s="401"/>
      <c r="I880" s="23"/>
      <c r="J880" s="23"/>
      <c r="K880" s="402"/>
      <c r="L880" s="23"/>
      <c r="M880" s="40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</row>
    <row r="881" spans="1:31" ht="13">
      <c r="A881" s="23"/>
      <c r="B881" s="401"/>
      <c r="C881" s="23"/>
      <c r="D881" s="401"/>
      <c r="E881" s="23"/>
      <c r="F881" s="23"/>
      <c r="G881" s="23"/>
      <c r="H881" s="401"/>
      <c r="I881" s="23"/>
      <c r="J881" s="23"/>
      <c r="K881" s="402"/>
      <c r="L881" s="23"/>
      <c r="M881" s="40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</row>
    <row r="882" spans="1:31" ht="13">
      <c r="A882" s="23"/>
      <c r="B882" s="401"/>
      <c r="C882" s="23"/>
      <c r="D882" s="401"/>
      <c r="E882" s="23"/>
      <c r="F882" s="23"/>
      <c r="G882" s="23"/>
      <c r="H882" s="401"/>
      <c r="I882" s="23"/>
      <c r="J882" s="23"/>
      <c r="K882" s="402"/>
      <c r="L882" s="23"/>
      <c r="M882" s="40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</row>
    <row r="883" spans="1:31" ht="13">
      <c r="A883" s="23"/>
      <c r="B883" s="401"/>
      <c r="C883" s="23"/>
      <c r="D883" s="401"/>
      <c r="E883" s="23"/>
      <c r="F883" s="23"/>
      <c r="G883" s="23"/>
      <c r="H883" s="401"/>
      <c r="I883" s="23"/>
      <c r="J883" s="23"/>
      <c r="K883" s="402"/>
      <c r="L883" s="23"/>
      <c r="M883" s="40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</row>
    <row r="884" spans="1:31" ht="13">
      <c r="A884" s="23"/>
      <c r="B884" s="401"/>
      <c r="C884" s="23"/>
      <c r="D884" s="401"/>
      <c r="E884" s="23"/>
      <c r="F884" s="23"/>
      <c r="G884" s="23"/>
      <c r="H884" s="401"/>
      <c r="I884" s="23"/>
      <c r="J884" s="23"/>
      <c r="K884" s="402"/>
      <c r="L884" s="23"/>
      <c r="M884" s="40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</row>
    <row r="885" spans="1:31" ht="13">
      <c r="A885" s="23"/>
      <c r="B885" s="401"/>
      <c r="C885" s="23"/>
      <c r="D885" s="401"/>
      <c r="E885" s="23"/>
      <c r="F885" s="23"/>
      <c r="G885" s="23"/>
      <c r="H885" s="401"/>
      <c r="I885" s="23"/>
      <c r="J885" s="23"/>
      <c r="K885" s="402"/>
      <c r="L885" s="23"/>
      <c r="M885" s="40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</row>
    <row r="886" spans="1:31" ht="13">
      <c r="A886" s="23"/>
      <c r="B886" s="401"/>
      <c r="C886" s="23"/>
      <c r="D886" s="401"/>
      <c r="E886" s="23"/>
      <c r="F886" s="23"/>
      <c r="G886" s="23"/>
      <c r="H886" s="401"/>
      <c r="I886" s="23"/>
      <c r="J886" s="23"/>
      <c r="K886" s="402"/>
      <c r="L886" s="23"/>
      <c r="M886" s="40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</row>
    <row r="887" spans="1:31" ht="13">
      <c r="A887" s="23"/>
      <c r="B887" s="401"/>
      <c r="C887" s="23"/>
      <c r="D887" s="401"/>
      <c r="E887" s="23"/>
      <c r="F887" s="23"/>
      <c r="G887" s="23"/>
      <c r="H887" s="401"/>
      <c r="I887" s="23"/>
      <c r="J887" s="23"/>
      <c r="K887" s="402"/>
      <c r="L887" s="23"/>
      <c r="M887" s="40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</row>
    <row r="888" spans="1:31" ht="13">
      <c r="A888" s="23"/>
      <c r="B888" s="401"/>
      <c r="C888" s="23"/>
      <c r="D888" s="401"/>
      <c r="E888" s="23"/>
      <c r="F888" s="23"/>
      <c r="G888" s="23"/>
      <c r="H888" s="401"/>
      <c r="I888" s="23"/>
      <c r="J888" s="23"/>
      <c r="K888" s="402"/>
      <c r="L888" s="23"/>
      <c r="M888" s="40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</row>
    <row r="889" spans="1:31" ht="13">
      <c r="A889" s="23"/>
      <c r="B889" s="401"/>
      <c r="C889" s="23"/>
      <c r="D889" s="401"/>
      <c r="E889" s="23"/>
      <c r="F889" s="23"/>
      <c r="G889" s="23"/>
      <c r="H889" s="401"/>
      <c r="I889" s="23"/>
      <c r="J889" s="23"/>
      <c r="K889" s="402"/>
      <c r="L889" s="23"/>
      <c r="M889" s="40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</row>
    <row r="890" spans="1:31" ht="13">
      <c r="A890" s="23"/>
      <c r="B890" s="401"/>
      <c r="C890" s="23"/>
      <c r="D890" s="401"/>
      <c r="E890" s="23"/>
      <c r="F890" s="23"/>
      <c r="G890" s="23"/>
      <c r="H890" s="401"/>
      <c r="I890" s="23"/>
      <c r="J890" s="23"/>
      <c r="K890" s="402"/>
      <c r="L890" s="23"/>
      <c r="M890" s="40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</row>
    <row r="891" spans="1:31" ht="13">
      <c r="A891" s="23"/>
      <c r="B891" s="401"/>
      <c r="C891" s="23"/>
      <c r="D891" s="401"/>
      <c r="E891" s="23"/>
      <c r="F891" s="23"/>
      <c r="G891" s="23"/>
      <c r="H891" s="401"/>
      <c r="I891" s="23"/>
      <c r="J891" s="23"/>
      <c r="K891" s="402"/>
      <c r="L891" s="23"/>
      <c r="M891" s="40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</row>
    <row r="892" spans="1:31" ht="13">
      <c r="A892" s="23"/>
      <c r="B892" s="401"/>
      <c r="C892" s="23"/>
      <c r="D892" s="401"/>
      <c r="E892" s="23"/>
      <c r="F892" s="23"/>
      <c r="G892" s="23"/>
      <c r="H892" s="401"/>
      <c r="I892" s="23"/>
      <c r="J892" s="23"/>
      <c r="K892" s="402"/>
      <c r="L892" s="23"/>
      <c r="M892" s="40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</row>
    <row r="893" spans="1:31" ht="13">
      <c r="A893" s="23"/>
      <c r="B893" s="401"/>
      <c r="C893" s="23"/>
      <c r="D893" s="401"/>
      <c r="E893" s="23"/>
      <c r="F893" s="23"/>
      <c r="G893" s="23"/>
      <c r="H893" s="401"/>
      <c r="I893" s="23"/>
      <c r="J893" s="23"/>
      <c r="K893" s="402"/>
      <c r="L893" s="23"/>
      <c r="M893" s="40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</row>
    <row r="894" spans="1:31" ht="13">
      <c r="A894" s="23"/>
      <c r="B894" s="401"/>
      <c r="C894" s="23"/>
      <c r="D894" s="401"/>
      <c r="E894" s="23"/>
      <c r="F894" s="23"/>
      <c r="G894" s="23"/>
      <c r="H894" s="401"/>
      <c r="I894" s="23"/>
      <c r="J894" s="23"/>
      <c r="K894" s="402"/>
      <c r="L894" s="23"/>
      <c r="M894" s="40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</row>
    <row r="895" spans="1:31" ht="13">
      <c r="A895" s="23"/>
      <c r="B895" s="401"/>
      <c r="C895" s="23"/>
      <c r="D895" s="401"/>
      <c r="E895" s="23"/>
      <c r="F895" s="23"/>
      <c r="G895" s="23"/>
      <c r="H895" s="401"/>
      <c r="I895" s="23"/>
      <c r="J895" s="23"/>
      <c r="K895" s="402"/>
      <c r="L895" s="23"/>
      <c r="M895" s="40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</row>
    <row r="896" spans="1:31" ht="13">
      <c r="A896" s="23"/>
      <c r="B896" s="401"/>
      <c r="C896" s="23"/>
      <c r="D896" s="401"/>
      <c r="E896" s="23"/>
      <c r="F896" s="23"/>
      <c r="G896" s="23"/>
      <c r="H896" s="401"/>
      <c r="I896" s="23"/>
      <c r="J896" s="23"/>
      <c r="K896" s="402"/>
      <c r="L896" s="23"/>
      <c r="M896" s="40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</row>
    <row r="897" spans="1:31" ht="13">
      <c r="A897" s="23"/>
      <c r="B897" s="401"/>
      <c r="C897" s="23"/>
      <c r="D897" s="401"/>
      <c r="E897" s="23"/>
      <c r="F897" s="23"/>
      <c r="G897" s="23"/>
      <c r="H897" s="401"/>
      <c r="I897" s="23"/>
      <c r="J897" s="23"/>
      <c r="K897" s="402"/>
      <c r="L897" s="23"/>
      <c r="M897" s="40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</row>
    <row r="898" spans="1:31" ht="13">
      <c r="A898" s="23"/>
      <c r="B898" s="401"/>
      <c r="C898" s="23"/>
      <c r="D898" s="401"/>
      <c r="E898" s="23"/>
      <c r="F898" s="23"/>
      <c r="G898" s="23"/>
      <c r="H898" s="401"/>
      <c r="I898" s="23"/>
      <c r="J898" s="23"/>
      <c r="K898" s="402"/>
      <c r="L898" s="23"/>
      <c r="M898" s="40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</row>
    <row r="899" spans="1:31" ht="13">
      <c r="A899" s="23"/>
      <c r="B899" s="401"/>
      <c r="C899" s="23"/>
      <c r="D899" s="401"/>
      <c r="E899" s="23"/>
      <c r="F899" s="23"/>
      <c r="G899" s="23"/>
      <c r="H899" s="401"/>
      <c r="I899" s="23"/>
      <c r="J899" s="23"/>
      <c r="K899" s="402"/>
      <c r="L899" s="23"/>
      <c r="M899" s="40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</row>
    <row r="900" spans="1:31" ht="13">
      <c r="A900" s="23"/>
      <c r="B900" s="401"/>
      <c r="C900" s="23"/>
      <c r="D900" s="401"/>
      <c r="E900" s="23"/>
      <c r="F900" s="23"/>
      <c r="G900" s="23"/>
      <c r="H900" s="401"/>
      <c r="I900" s="23"/>
      <c r="J900" s="23"/>
      <c r="K900" s="402"/>
      <c r="L900" s="23"/>
      <c r="M900" s="40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</row>
    <row r="901" spans="1:31" ht="13">
      <c r="A901" s="23"/>
      <c r="B901" s="401"/>
      <c r="C901" s="23"/>
      <c r="D901" s="401"/>
      <c r="E901" s="23"/>
      <c r="F901" s="23"/>
      <c r="G901" s="23"/>
      <c r="H901" s="401"/>
      <c r="I901" s="23"/>
      <c r="J901" s="23"/>
      <c r="K901" s="402"/>
      <c r="L901" s="23"/>
      <c r="M901" s="40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</row>
    <row r="902" spans="1:31" ht="13">
      <c r="A902" s="23"/>
      <c r="B902" s="401"/>
      <c r="C902" s="23"/>
      <c r="D902" s="401"/>
      <c r="E902" s="23"/>
      <c r="F902" s="23"/>
      <c r="G902" s="23"/>
      <c r="H902" s="401"/>
      <c r="I902" s="23"/>
      <c r="J902" s="23"/>
      <c r="K902" s="402"/>
      <c r="L902" s="23"/>
      <c r="M902" s="40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</row>
    <row r="903" spans="1:31" ht="13">
      <c r="A903" s="23"/>
      <c r="B903" s="401"/>
      <c r="C903" s="23"/>
      <c r="D903" s="401"/>
      <c r="E903" s="23"/>
      <c r="F903" s="23"/>
      <c r="G903" s="23"/>
      <c r="H903" s="401"/>
      <c r="I903" s="23"/>
      <c r="J903" s="23"/>
      <c r="K903" s="402"/>
      <c r="L903" s="23"/>
      <c r="M903" s="40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</row>
    <row r="904" spans="1:31" ht="13">
      <c r="A904" s="23"/>
      <c r="B904" s="401"/>
      <c r="C904" s="23"/>
      <c r="D904" s="401"/>
      <c r="E904" s="23"/>
      <c r="F904" s="23"/>
      <c r="G904" s="23"/>
      <c r="H904" s="401"/>
      <c r="I904" s="23"/>
      <c r="J904" s="23"/>
      <c r="K904" s="402"/>
      <c r="L904" s="23"/>
      <c r="M904" s="40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</row>
    <row r="905" spans="1:31" ht="13">
      <c r="A905" s="23"/>
      <c r="B905" s="401"/>
      <c r="C905" s="23"/>
      <c r="D905" s="401"/>
      <c r="E905" s="23"/>
      <c r="F905" s="23"/>
      <c r="G905" s="23"/>
      <c r="H905" s="401"/>
      <c r="I905" s="23"/>
      <c r="J905" s="23"/>
      <c r="K905" s="402"/>
      <c r="L905" s="23"/>
      <c r="M905" s="40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</row>
    <row r="906" spans="1:31" ht="13">
      <c r="A906" s="23"/>
      <c r="B906" s="401"/>
      <c r="C906" s="23"/>
      <c r="D906" s="401"/>
      <c r="E906" s="23"/>
      <c r="F906" s="23"/>
      <c r="G906" s="23"/>
      <c r="H906" s="401"/>
      <c r="I906" s="23"/>
      <c r="J906" s="23"/>
      <c r="K906" s="402"/>
      <c r="L906" s="23"/>
      <c r="M906" s="40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</row>
    <row r="907" spans="1:31" ht="13">
      <c r="A907" s="23"/>
      <c r="B907" s="401"/>
      <c r="C907" s="23"/>
      <c r="D907" s="401"/>
      <c r="E907" s="23"/>
      <c r="F907" s="23"/>
      <c r="G907" s="23"/>
      <c r="H907" s="401"/>
      <c r="I907" s="23"/>
      <c r="J907" s="23"/>
      <c r="K907" s="402"/>
      <c r="L907" s="23"/>
      <c r="M907" s="40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</row>
    <row r="908" spans="1:31" ht="13">
      <c r="A908" s="23"/>
      <c r="B908" s="401"/>
      <c r="C908" s="23"/>
      <c r="D908" s="401"/>
      <c r="E908" s="23"/>
      <c r="F908" s="23"/>
      <c r="G908" s="23"/>
      <c r="H908" s="401"/>
      <c r="I908" s="23"/>
      <c r="J908" s="23"/>
      <c r="K908" s="402"/>
      <c r="L908" s="23"/>
      <c r="M908" s="40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</row>
    <row r="909" spans="1:31" ht="13">
      <c r="A909" s="23"/>
      <c r="B909" s="401"/>
      <c r="C909" s="23"/>
      <c r="D909" s="401"/>
      <c r="E909" s="23"/>
      <c r="F909" s="23"/>
      <c r="G909" s="23"/>
      <c r="H909" s="401"/>
      <c r="I909" s="23"/>
      <c r="J909" s="23"/>
      <c r="K909" s="402"/>
      <c r="L909" s="23"/>
      <c r="M909" s="40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</row>
    <row r="910" spans="1:31" ht="13">
      <c r="A910" s="23"/>
      <c r="B910" s="401"/>
      <c r="C910" s="23"/>
      <c r="D910" s="401"/>
      <c r="E910" s="23"/>
      <c r="F910" s="23"/>
      <c r="G910" s="23"/>
      <c r="H910" s="401"/>
      <c r="I910" s="23"/>
      <c r="J910" s="23"/>
      <c r="K910" s="402"/>
      <c r="L910" s="23"/>
      <c r="M910" s="40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</row>
    <row r="911" spans="1:31" ht="13">
      <c r="A911" s="23"/>
      <c r="B911" s="401"/>
      <c r="C911" s="23"/>
      <c r="D911" s="401"/>
      <c r="E911" s="23"/>
      <c r="F911" s="23"/>
      <c r="G911" s="23"/>
      <c r="H911" s="401"/>
      <c r="I911" s="23"/>
      <c r="J911" s="23"/>
      <c r="K911" s="402"/>
      <c r="L911" s="23"/>
      <c r="M911" s="40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</row>
    <row r="912" spans="1:31" ht="13">
      <c r="A912" s="23"/>
      <c r="B912" s="401"/>
      <c r="C912" s="23"/>
      <c r="D912" s="401"/>
      <c r="E912" s="23"/>
      <c r="F912" s="23"/>
      <c r="G912" s="23"/>
      <c r="H912" s="401"/>
      <c r="I912" s="23"/>
      <c r="J912" s="23"/>
      <c r="K912" s="402"/>
      <c r="L912" s="23"/>
      <c r="M912" s="40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</row>
    <row r="913" spans="1:31" ht="13">
      <c r="A913" s="23"/>
      <c r="B913" s="401"/>
      <c r="C913" s="23"/>
      <c r="D913" s="401"/>
      <c r="E913" s="23"/>
      <c r="F913" s="23"/>
      <c r="G913" s="23"/>
      <c r="H913" s="401"/>
      <c r="I913" s="23"/>
      <c r="J913" s="23"/>
      <c r="K913" s="402"/>
      <c r="L913" s="23"/>
      <c r="M913" s="40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</row>
    <row r="914" spans="1:31" ht="13">
      <c r="A914" s="23"/>
      <c r="B914" s="401"/>
      <c r="C914" s="23"/>
      <c r="D914" s="401"/>
      <c r="E914" s="23"/>
      <c r="F914" s="23"/>
      <c r="G914" s="23"/>
      <c r="H914" s="401"/>
      <c r="I914" s="23"/>
      <c r="J914" s="23"/>
      <c r="K914" s="402"/>
      <c r="L914" s="23"/>
      <c r="M914" s="40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</row>
    <row r="915" spans="1:31" ht="13">
      <c r="A915" s="23"/>
      <c r="B915" s="401"/>
      <c r="C915" s="23"/>
      <c r="D915" s="401"/>
      <c r="E915" s="23"/>
      <c r="F915" s="23"/>
      <c r="G915" s="23"/>
      <c r="H915" s="401"/>
      <c r="I915" s="23"/>
      <c r="J915" s="23"/>
      <c r="K915" s="402"/>
      <c r="L915" s="23"/>
      <c r="M915" s="40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</row>
    <row r="916" spans="1:31" ht="13">
      <c r="A916" s="23"/>
      <c r="B916" s="401"/>
      <c r="C916" s="23"/>
      <c r="D916" s="401"/>
      <c r="E916" s="23"/>
      <c r="F916" s="23"/>
      <c r="G916" s="23"/>
      <c r="H916" s="401"/>
      <c r="I916" s="23"/>
      <c r="J916" s="23"/>
      <c r="K916" s="402"/>
      <c r="L916" s="23"/>
      <c r="M916" s="40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</row>
    <row r="917" spans="1:31" ht="13">
      <c r="A917" s="23"/>
      <c r="B917" s="401"/>
      <c r="C917" s="23"/>
      <c r="D917" s="401"/>
      <c r="E917" s="23"/>
      <c r="F917" s="23"/>
      <c r="G917" s="23"/>
      <c r="H917" s="401"/>
      <c r="I917" s="23"/>
      <c r="J917" s="23"/>
      <c r="K917" s="402"/>
      <c r="L917" s="23"/>
      <c r="M917" s="40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</row>
    <row r="918" spans="1:31" ht="13">
      <c r="A918" s="23"/>
      <c r="B918" s="401"/>
      <c r="C918" s="23"/>
      <c r="D918" s="401"/>
      <c r="E918" s="23"/>
      <c r="F918" s="23"/>
      <c r="G918" s="23"/>
      <c r="H918" s="401"/>
      <c r="I918" s="23"/>
      <c r="J918" s="23"/>
      <c r="K918" s="402"/>
      <c r="L918" s="23"/>
      <c r="M918" s="40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</row>
    <row r="919" spans="1:31" ht="13">
      <c r="A919" s="23"/>
      <c r="B919" s="401"/>
      <c r="C919" s="23"/>
      <c r="D919" s="401"/>
      <c r="E919" s="23"/>
      <c r="F919" s="23"/>
      <c r="G919" s="23"/>
      <c r="H919" s="401"/>
      <c r="I919" s="23"/>
      <c r="J919" s="23"/>
      <c r="K919" s="402"/>
      <c r="L919" s="23"/>
      <c r="M919" s="40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</row>
    <row r="920" spans="1:31" ht="13">
      <c r="A920" s="23"/>
      <c r="B920" s="401"/>
      <c r="C920" s="23"/>
      <c r="D920" s="401"/>
      <c r="E920" s="23"/>
      <c r="F920" s="23"/>
      <c r="G920" s="23"/>
      <c r="H920" s="401"/>
      <c r="I920" s="23"/>
      <c r="J920" s="23"/>
      <c r="K920" s="402"/>
      <c r="L920" s="23"/>
      <c r="M920" s="40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</row>
    <row r="921" spans="1:31" ht="13">
      <c r="A921" s="23"/>
      <c r="B921" s="401"/>
      <c r="C921" s="23"/>
      <c r="D921" s="401"/>
      <c r="E921" s="23"/>
      <c r="F921" s="23"/>
      <c r="G921" s="23"/>
      <c r="H921" s="401"/>
      <c r="I921" s="23"/>
      <c r="J921" s="23"/>
      <c r="K921" s="402"/>
      <c r="L921" s="23"/>
      <c r="M921" s="40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</row>
    <row r="922" spans="1:31" ht="13">
      <c r="A922" s="23"/>
      <c r="B922" s="401"/>
      <c r="C922" s="23"/>
      <c r="D922" s="401"/>
      <c r="E922" s="23"/>
      <c r="F922" s="23"/>
      <c r="G922" s="23"/>
      <c r="H922" s="401"/>
      <c r="I922" s="23"/>
      <c r="J922" s="23"/>
      <c r="K922" s="402"/>
      <c r="L922" s="23"/>
      <c r="M922" s="40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</row>
    <row r="923" spans="1:31" ht="13">
      <c r="A923" s="23"/>
      <c r="B923" s="401"/>
      <c r="C923" s="23"/>
      <c r="D923" s="401"/>
      <c r="E923" s="23"/>
      <c r="F923" s="23"/>
      <c r="G923" s="23"/>
      <c r="H923" s="401"/>
      <c r="I923" s="23"/>
      <c r="J923" s="23"/>
      <c r="K923" s="402"/>
      <c r="L923" s="23"/>
      <c r="M923" s="40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</row>
    <row r="924" spans="1:31" ht="13">
      <c r="A924" s="23"/>
      <c r="B924" s="401"/>
      <c r="C924" s="23"/>
      <c r="D924" s="401"/>
      <c r="E924" s="23"/>
      <c r="F924" s="23"/>
      <c r="G924" s="23"/>
      <c r="H924" s="401"/>
      <c r="I924" s="23"/>
      <c r="J924" s="23"/>
      <c r="K924" s="402"/>
      <c r="L924" s="23"/>
      <c r="M924" s="40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</row>
    <row r="925" spans="1:31" ht="13">
      <c r="A925" s="23"/>
      <c r="B925" s="401"/>
      <c r="C925" s="23"/>
      <c r="D925" s="401"/>
      <c r="E925" s="23"/>
      <c r="F925" s="23"/>
      <c r="G925" s="23"/>
      <c r="H925" s="401"/>
      <c r="I925" s="23"/>
      <c r="J925" s="23"/>
      <c r="K925" s="402"/>
      <c r="L925" s="23"/>
      <c r="M925" s="40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</row>
    <row r="926" spans="1:31" ht="13">
      <c r="A926" s="23"/>
      <c r="B926" s="401"/>
      <c r="C926" s="23"/>
      <c r="D926" s="401"/>
      <c r="E926" s="23"/>
      <c r="F926" s="23"/>
      <c r="G926" s="23"/>
      <c r="H926" s="401"/>
      <c r="I926" s="23"/>
      <c r="J926" s="23"/>
      <c r="K926" s="402"/>
      <c r="L926" s="23"/>
      <c r="M926" s="40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</row>
    <row r="927" spans="1:31" ht="13">
      <c r="A927" s="23"/>
      <c r="B927" s="401"/>
      <c r="C927" s="23"/>
      <c r="D927" s="401"/>
      <c r="E927" s="23"/>
      <c r="F927" s="23"/>
      <c r="G927" s="23"/>
      <c r="H927" s="401"/>
      <c r="I927" s="23"/>
      <c r="J927" s="23"/>
      <c r="K927" s="402"/>
      <c r="L927" s="23"/>
      <c r="M927" s="40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</row>
    <row r="928" spans="1:31" ht="13">
      <c r="A928" s="23"/>
      <c r="B928" s="401"/>
      <c r="C928" s="23"/>
      <c r="D928" s="401"/>
      <c r="E928" s="23"/>
      <c r="F928" s="23"/>
      <c r="G928" s="23"/>
      <c r="H928" s="401"/>
      <c r="I928" s="23"/>
      <c r="J928" s="23"/>
      <c r="K928" s="402"/>
      <c r="L928" s="23"/>
      <c r="M928" s="40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</row>
    <row r="929" spans="1:31" ht="13">
      <c r="A929" s="23"/>
      <c r="B929" s="401"/>
      <c r="C929" s="23"/>
      <c r="D929" s="401"/>
      <c r="E929" s="23"/>
      <c r="F929" s="23"/>
      <c r="G929" s="23"/>
      <c r="H929" s="401"/>
      <c r="I929" s="23"/>
      <c r="J929" s="23"/>
      <c r="K929" s="402"/>
      <c r="L929" s="23"/>
      <c r="M929" s="40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</row>
    <row r="930" spans="1:31" ht="13">
      <c r="A930" s="23"/>
      <c r="B930" s="401"/>
      <c r="C930" s="23"/>
      <c r="D930" s="401"/>
      <c r="E930" s="23"/>
      <c r="F930" s="23"/>
      <c r="G930" s="23"/>
      <c r="H930" s="401"/>
      <c r="I930" s="23"/>
      <c r="J930" s="23"/>
      <c r="K930" s="402"/>
      <c r="L930" s="23"/>
      <c r="M930" s="40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</row>
    <row r="931" spans="1:31" ht="13">
      <c r="A931" s="23"/>
      <c r="B931" s="401"/>
      <c r="C931" s="23"/>
      <c r="D931" s="401"/>
      <c r="E931" s="23"/>
      <c r="F931" s="23"/>
      <c r="G931" s="23"/>
      <c r="H931" s="401"/>
      <c r="I931" s="23"/>
      <c r="J931" s="23"/>
      <c r="K931" s="402"/>
      <c r="L931" s="23"/>
      <c r="M931" s="40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</row>
    <row r="932" spans="1:31" ht="13">
      <c r="A932" s="23"/>
      <c r="B932" s="401"/>
      <c r="C932" s="23"/>
      <c r="D932" s="401"/>
      <c r="E932" s="23"/>
      <c r="F932" s="23"/>
      <c r="G932" s="23"/>
      <c r="H932" s="401"/>
      <c r="I932" s="23"/>
      <c r="J932" s="23"/>
      <c r="K932" s="402"/>
      <c r="L932" s="23"/>
      <c r="M932" s="40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</row>
    <row r="933" spans="1:31" ht="13">
      <c r="A933" s="23"/>
      <c r="B933" s="401"/>
      <c r="C933" s="23"/>
      <c r="D933" s="401"/>
      <c r="E933" s="23"/>
      <c r="F933" s="23"/>
      <c r="G933" s="23"/>
      <c r="H933" s="401"/>
      <c r="I933" s="23"/>
      <c r="J933" s="23"/>
      <c r="K933" s="402"/>
      <c r="L933" s="23"/>
      <c r="M933" s="40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</row>
    <row r="934" spans="1:31" ht="13">
      <c r="A934" s="23"/>
      <c r="B934" s="401"/>
      <c r="C934" s="23"/>
      <c r="D934" s="401"/>
      <c r="E934" s="23"/>
      <c r="F934" s="23"/>
      <c r="G934" s="23"/>
      <c r="H934" s="401"/>
      <c r="I934" s="23"/>
      <c r="J934" s="23"/>
      <c r="K934" s="402"/>
      <c r="L934" s="23"/>
      <c r="M934" s="40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</row>
    <row r="935" spans="1:31" ht="13">
      <c r="A935" s="23"/>
      <c r="B935" s="401"/>
      <c r="C935" s="23"/>
      <c r="D935" s="401"/>
      <c r="E935" s="23"/>
      <c r="F935" s="23"/>
      <c r="G935" s="23"/>
      <c r="H935" s="401"/>
      <c r="I935" s="23"/>
      <c r="J935" s="23"/>
      <c r="K935" s="402"/>
      <c r="L935" s="23"/>
      <c r="M935" s="40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</row>
    <row r="936" spans="1:31" ht="13">
      <c r="A936" s="23"/>
      <c r="B936" s="401"/>
      <c r="C936" s="23"/>
      <c r="D936" s="401"/>
      <c r="E936" s="23"/>
      <c r="F936" s="23"/>
      <c r="G936" s="23"/>
      <c r="H936" s="401"/>
      <c r="I936" s="23"/>
      <c r="J936" s="23"/>
      <c r="K936" s="402"/>
      <c r="L936" s="23"/>
      <c r="M936" s="40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</row>
    <row r="937" spans="1:31" ht="13">
      <c r="A937" s="23"/>
      <c r="B937" s="401"/>
      <c r="C937" s="23"/>
      <c r="D937" s="401"/>
      <c r="E937" s="23"/>
      <c r="F937" s="23"/>
      <c r="G937" s="23"/>
      <c r="H937" s="401"/>
      <c r="I937" s="23"/>
      <c r="J937" s="23"/>
      <c r="K937" s="402"/>
      <c r="L937" s="23"/>
      <c r="M937" s="40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</row>
    <row r="938" spans="1:31" ht="13">
      <c r="A938" s="23"/>
      <c r="B938" s="401"/>
      <c r="C938" s="23"/>
      <c r="D938" s="401"/>
      <c r="E938" s="23"/>
      <c r="F938" s="23"/>
      <c r="G938" s="23"/>
      <c r="H938" s="401"/>
      <c r="I938" s="23"/>
      <c r="J938" s="23"/>
      <c r="K938" s="402"/>
      <c r="L938" s="23"/>
      <c r="M938" s="40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</row>
    <row r="939" spans="1:31" ht="13">
      <c r="A939" s="23"/>
      <c r="B939" s="401"/>
      <c r="C939" s="23"/>
      <c r="D939" s="401"/>
      <c r="E939" s="23"/>
      <c r="F939" s="23"/>
      <c r="G939" s="23"/>
      <c r="H939" s="401"/>
      <c r="I939" s="23"/>
      <c r="J939" s="23"/>
      <c r="K939" s="402"/>
      <c r="L939" s="23"/>
      <c r="M939" s="40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</row>
    <row r="940" spans="1:31" ht="13">
      <c r="A940" s="23"/>
      <c r="B940" s="401"/>
      <c r="C940" s="23"/>
      <c r="D940" s="401"/>
      <c r="E940" s="23"/>
      <c r="F940" s="23"/>
      <c r="G940" s="23"/>
      <c r="H940" s="401"/>
      <c r="I940" s="23"/>
      <c r="J940" s="23"/>
      <c r="K940" s="402"/>
      <c r="L940" s="23"/>
      <c r="M940" s="40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</row>
    <row r="941" spans="1:31" ht="13">
      <c r="A941" s="23"/>
      <c r="B941" s="401"/>
      <c r="C941" s="23"/>
      <c r="D941" s="401"/>
      <c r="E941" s="23"/>
      <c r="F941" s="23"/>
      <c r="G941" s="23"/>
      <c r="H941" s="401"/>
      <c r="I941" s="23"/>
      <c r="J941" s="23"/>
      <c r="K941" s="402"/>
      <c r="L941" s="23"/>
      <c r="M941" s="40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</row>
    <row r="942" spans="1:31" ht="13">
      <c r="A942" s="23"/>
      <c r="B942" s="401"/>
      <c r="C942" s="23"/>
      <c r="D942" s="401"/>
      <c r="E942" s="23"/>
      <c r="F942" s="23"/>
      <c r="G942" s="23"/>
      <c r="H942" s="401"/>
      <c r="I942" s="23"/>
      <c r="J942" s="23"/>
      <c r="K942" s="402"/>
      <c r="L942" s="23"/>
      <c r="M942" s="40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</row>
    <row r="943" spans="1:31" ht="13">
      <c r="A943" s="23"/>
      <c r="B943" s="401"/>
      <c r="C943" s="23"/>
      <c r="D943" s="401"/>
      <c r="E943" s="23"/>
      <c r="F943" s="23"/>
      <c r="G943" s="23"/>
      <c r="H943" s="401"/>
      <c r="I943" s="23"/>
      <c r="J943" s="23"/>
      <c r="K943" s="402"/>
      <c r="L943" s="23"/>
      <c r="M943" s="40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</row>
    <row r="944" spans="1:31" ht="13">
      <c r="A944" s="23"/>
      <c r="B944" s="401"/>
      <c r="C944" s="23"/>
      <c r="D944" s="401"/>
      <c r="E944" s="23"/>
      <c r="F944" s="23"/>
      <c r="G944" s="23"/>
      <c r="H944" s="401"/>
      <c r="I944" s="23"/>
      <c r="J944" s="23"/>
      <c r="K944" s="402"/>
      <c r="L944" s="23"/>
      <c r="M944" s="40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</row>
    <row r="945" spans="1:31" ht="13">
      <c r="A945" s="23"/>
      <c r="B945" s="401"/>
      <c r="C945" s="23"/>
      <c r="D945" s="401"/>
      <c r="E945" s="23"/>
      <c r="F945" s="23"/>
      <c r="G945" s="23"/>
      <c r="H945" s="401"/>
      <c r="I945" s="23"/>
      <c r="J945" s="23"/>
      <c r="K945" s="402"/>
      <c r="L945" s="23"/>
      <c r="M945" s="40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</row>
    <row r="946" spans="1:31" ht="13">
      <c r="A946" s="23"/>
      <c r="B946" s="401"/>
      <c r="C946" s="23"/>
      <c r="D946" s="401"/>
      <c r="E946" s="23"/>
      <c r="F946" s="23"/>
      <c r="G946" s="23"/>
      <c r="H946" s="401"/>
      <c r="I946" s="23"/>
      <c r="J946" s="23"/>
      <c r="K946" s="402"/>
      <c r="L946" s="23"/>
      <c r="M946" s="40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</row>
    <row r="947" spans="1:31" ht="13">
      <c r="A947" s="23"/>
      <c r="B947" s="401"/>
      <c r="C947" s="23"/>
      <c r="D947" s="401"/>
      <c r="E947" s="23"/>
      <c r="F947" s="23"/>
      <c r="G947" s="23"/>
      <c r="H947" s="401"/>
      <c r="I947" s="23"/>
      <c r="J947" s="23"/>
      <c r="K947" s="402"/>
      <c r="L947" s="23"/>
      <c r="M947" s="40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</row>
    <row r="948" spans="1:31" ht="13">
      <c r="A948" s="23"/>
      <c r="B948" s="401"/>
      <c r="C948" s="23"/>
      <c r="D948" s="401"/>
      <c r="E948" s="23"/>
      <c r="F948" s="23"/>
      <c r="G948" s="23"/>
      <c r="H948" s="401"/>
      <c r="I948" s="23"/>
      <c r="J948" s="23"/>
      <c r="K948" s="402"/>
      <c r="L948" s="23"/>
      <c r="M948" s="40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</row>
    <row r="949" spans="1:31" ht="13">
      <c r="A949" s="23"/>
      <c r="B949" s="401"/>
      <c r="C949" s="23"/>
      <c r="D949" s="401"/>
      <c r="E949" s="23"/>
      <c r="F949" s="23"/>
      <c r="G949" s="23"/>
      <c r="H949" s="401"/>
      <c r="I949" s="23"/>
      <c r="J949" s="23"/>
      <c r="K949" s="402"/>
      <c r="L949" s="23"/>
      <c r="M949" s="40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</row>
    <row r="950" spans="1:31" ht="13">
      <c r="A950" s="23"/>
      <c r="B950" s="401"/>
      <c r="C950" s="23"/>
      <c r="D950" s="401"/>
      <c r="E950" s="23"/>
      <c r="F950" s="23"/>
      <c r="G950" s="23"/>
      <c r="H950" s="401"/>
      <c r="I950" s="23"/>
      <c r="J950" s="23"/>
      <c r="K950" s="402"/>
      <c r="L950" s="23"/>
      <c r="M950" s="40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</row>
    <row r="951" spans="1:31" ht="13">
      <c r="A951" s="23"/>
      <c r="B951" s="401"/>
      <c r="C951" s="23"/>
      <c r="D951" s="401"/>
      <c r="E951" s="23"/>
      <c r="F951" s="23"/>
      <c r="G951" s="23"/>
      <c r="H951" s="401"/>
      <c r="I951" s="23"/>
      <c r="J951" s="23"/>
      <c r="K951" s="402"/>
      <c r="L951" s="23"/>
      <c r="M951" s="40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</row>
    <row r="952" spans="1:31" ht="13">
      <c r="A952" s="23"/>
      <c r="B952" s="401"/>
      <c r="C952" s="23"/>
      <c r="D952" s="401"/>
      <c r="E952" s="23"/>
      <c r="F952" s="23"/>
      <c r="G952" s="23"/>
      <c r="H952" s="401"/>
      <c r="I952" s="23"/>
      <c r="J952" s="23"/>
      <c r="K952" s="402"/>
      <c r="L952" s="23"/>
      <c r="M952" s="40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</row>
    <row r="953" spans="1:31" ht="13">
      <c r="A953" s="23"/>
      <c r="B953" s="401"/>
      <c r="C953" s="23"/>
      <c r="D953" s="401"/>
      <c r="E953" s="23"/>
      <c r="F953" s="23"/>
      <c r="G953" s="23"/>
      <c r="H953" s="401"/>
      <c r="I953" s="23"/>
      <c r="J953" s="23"/>
      <c r="K953" s="402"/>
      <c r="L953" s="23"/>
      <c r="M953" s="40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</row>
    <row r="954" spans="1:31" ht="13">
      <c r="A954" s="23"/>
      <c r="B954" s="401"/>
      <c r="C954" s="23"/>
      <c r="D954" s="401"/>
      <c r="E954" s="23"/>
      <c r="F954" s="23"/>
      <c r="G954" s="23"/>
      <c r="H954" s="401"/>
      <c r="I954" s="23"/>
      <c r="J954" s="23"/>
      <c r="K954" s="402"/>
      <c r="L954" s="23"/>
      <c r="M954" s="40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</row>
    <row r="955" spans="1:31" ht="13">
      <c r="A955" s="23"/>
      <c r="B955" s="401"/>
      <c r="C955" s="23"/>
      <c r="D955" s="401"/>
      <c r="E955" s="23"/>
      <c r="F955" s="23"/>
      <c r="G955" s="23"/>
      <c r="H955" s="401"/>
      <c r="I955" s="23"/>
      <c r="J955" s="23"/>
      <c r="K955" s="402"/>
      <c r="L955" s="23"/>
      <c r="M955" s="40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</row>
    <row r="956" spans="1:31" ht="13">
      <c r="A956" s="23"/>
      <c r="B956" s="401"/>
      <c r="C956" s="23"/>
      <c r="D956" s="401"/>
      <c r="E956" s="23"/>
      <c r="F956" s="23"/>
      <c r="G956" s="23"/>
      <c r="H956" s="401"/>
      <c r="I956" s="23"/>
      <c r="J956" s="23"/>
      <c r="K956" s="402"/>
      <c r="L956" s="23"/>
      <c r="M956" s="40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</row>
    <row r="957" spans="1:31" ht="13">
      <c r="A957" s="23"/>
      <c r="B957" s="401"/>
      <c r="C957" s="23"/>
      <c r="D957" s="401"/>
      <c r="E957" s="23"/>
      <c r="F957" s="23"/>
      <c r="G957" s="23"/>
      <c r="H957" s="401"/>
      <c r="I957" s="23"/>
      <c r="J957" s="23"/>
      <c r="K957" s="402"/>
      <c r="L957" s="23"/>
      <c r="M957" s="40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</row>
    <row r="958" spans="1:31" ht="13">
      <c r="A958" s="23"/>
      <c r="B958" s="401"/>
      <c r="C958" s="23"/>
      <c r="D958" s="401"/>
      <c r="E958" s="23"/>
      <c r="F958" s="23"/>
      <c r="G958" s="23"/>
      <c r="H958" s="401"/>
      <c r="I958" s="23"/>
      <c r="J958" s="23"/>
      <c r="K958" s="402"/>
      <c r="L958" s="23"/>
      <c r="M958" s="40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</row>
    <row r="959" spans="1:31" ht="13">
      <c r="A959" s="23"/>
      <c r="B959" s="401"/>
      <c r="C959" s="23"/>
      <c r="D959" s="401"/>
      <c r="E959" s="23"/>
      <c r="F959" s="23"/>
      <c r="G959" s="23"/>
      <c r="H959" s="401"/>
      <c r="I959" s="23"/>
      <c r="J959" s="23"/>
      <c r="K959" s="402"/>
      <c r="L959" s="23"/>
      <c r="M959" s="40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</row>
    <row r="960" spans="1:31" ht="13">
      <c r="A960" s="23"/>
      <c r="B960" s="401"/>
      <c r="C960" s="23"/>
      <c r="D960" s="401"/>
      <c r="E960" s="23"/>
      <c r="F960" s="23"/>
      <c r="G960" s="23"/>
      <c r="H960" s="401"/>
      <c r="I960" s="23"/>
      <c r="J960" s="23"/>
      <c r="K960" s="402"/>
      <c r="L960" s="23"/>
      <c r="M960" s="40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</row>
    <row r="961" spans="1:31" ht="13">
      <c r="A961" s="23"/>
      <c r="B961" s="401"/>
      <c r="C961" s="23"/>
      <c r="D961" s="401"/>
      <c r="E961" s="23"/>
      <c r="F961" s="23"/>
      <c r="G961" s="23"/>
      <c r="H961" s="401"/>
      <c r="I961" s="23"/>
      <c r="J961" s="23"/>
      <c r="K961" s="402"/>
      <c r="L961" s="23"/>
      <c r="M961" s="40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</row>
    <row r="962" spans="1:31" ht="13">
      <c r="A962" s="23"/>
      <c r="B962" s="401"/>
      <c r="C962" s="23"/>
      <c r="D962" s="401"/>
      <c r="E962" s="23"/>
      <c r="F962" s="23"/>
      <c r="G962" s="23"/>
      <c r="H962" s="401"/>
      <c r="I962" s="23"/>
      <c r="J962" s="23"/>
      <c r="K962" s="402"/>
      <c r="L962" s="23"/>
      <c r="M962" s="40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</row>
    <row r="963" spans="1:31" ht="13">
      <c r="A963" s="23"/>
      <c r="B963" s="401"/>
      <c r="C963" s="23"/>
      <c r="D963" s="401"/>
      <c r="E963" s="23"/>
      <c r="F963" s="23"/>
      <c r="G963" s="23"/>
      <c r="H963" s="401"/>
      <c r="I963" s="23"/>
      <c r="J963" s="23"/>
      <c r="K963" s="402"/>
      <c r="L963" s="23"/>
      <c r="M963" s="40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</row>
    <row r="964" spans="1:31" ht="13">
      <c r="A964" s="23"/>
      <c r="B964" s="401"/>
      <c r="C964" s="23"/>
      <c r="D964" s="401"/>
      <c r="E964" s="23"/>
      <c r="F964" s="23"/>
      <c r="G964" s="23"/>
      <c r="H964" s="401"/>
      <c r="I964" s="23"/>
      <c r="J964" s="23"/>
      <c r="K964" s="402"/>
      <c r="L964" s="23"/>
      <c r="M964" s="40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</row>
    <row r="965" spans="1:31" ht="13">
      <c r="A965" s="23"/>
      <c r="B965" s="401"/>
      <c r="C965" s="23"/>
      <c r="D965" s="401"/>
      <c r="E965" s="23"/>
      <c r="F965" s="23"/>
      <c r="G965" s="23"/>
      <c r="H965" s="401"/>
      <c r="I965" s="23"/>
      <c r="J965" s="23"/>
      <c r="K965" s="402"/>
      <c r="L965" s="23"/>
      <c r="M965" s="40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</row>
    <row r="966" spans="1:31" ht="13">
      <c r="A966" s="23"/>
      <c r="B966" s="401"/>
      <c r="C966" s="23"/>
      <c r="D966" s="401"/>
      <c r="E966" s="23"/>
      <c r="F966" s="23"/>
      <c r="G966" s="23"/>
      <c r="H966" s="401"/>
      <c r="I966" s="23"/>
      <c r="J966" s="23"/>
      <c r="K966" s="402"/>
      <c r="L966" s="23"/>
      <c r="M966" s="40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</row>
    <row r="967" spans="1:31" ht="13">
      <c r="A967" s="23"/>
      <c r="B967" s="401"/>
      <c r="C967" s="23"/>
      <c r="D967" s="401"/>
      <c r="E967" s="23"/>
      <c r="F967" s="23"/>
      <c r="G967" s="23"/>
      <c r="H967" s="401"/>
      <c r="I967" s="23"/>
      <c r="J967" s="23"/>
      <c r="K967" s="402"/>
      <c r="L967" s="23"/>
      <c r="M967" s="40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</row>
    <row r="968" spans="1:31" ht="13">
      <c r="A968" s="23"/>
      <c r="B968" s="401"/>
      <c r="C968" s="23"/>
      <c r="D968" s="401"/>
      <c r="E968" s="23"/>
      <c r="F968" s="23"/>
      <c r="G968" s="23"/>
      <c r="H968" s="401"/>
      <c r="I968" s="23"/>
      <c r="J968" s="23"/>
      <c r="K968" s="402"/>
      <c r="L968" s="23"/>
      <c r="M968" s="40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</row>
    <row r="969" spans="1:31" ht="13">
      <c r="A969" s="23"/>
      <c r="B969" s="401"/>
      <c r="C969" s="23"/>
      <c r="D969" s="401"/>
      <c r="E969" s="23"/>
      <c r="F969" s="23"/>
      <c r="G969" s="23"/>
      <c r="H969" s="401"/>
      <c r="I969" s="23"/>
      <c r="J969" s="23"/>
      <c r="K969" s="402"/>
      <c r="L969" s="23"/>
      <c r="M969" s="40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</row>
  </sheetData>
  <mergeCells count="121">
    <mergeCell ref="K24:K25"/>
    <mergeCell ref="K27:K29"/>
    <mergeCell ref="L27:L29"/>
    <mergeCell ref="K13:K15"/>
    <mergeCell ref="K16:K18"/>
    <mergeCell ref="K19:K21"/>
    <mergeCell ref="L19:L21"/>
    <mergeCell ref="K22:K23"/>
    <mergeCell ref="L22:L23"/>
    <mergeCell ref="L24:L25"/>
    <mergeCell ref="O8:O12"/>
    <mergeCell ref="P8:P12"/>
    <mergeCell ref="O13:O15"/>
    <mergeCell ref="O16:O18"/>
    <mergeCell ref="O19:O21"/>
    <mergeCell ref="O22:O23"/>
    <mergeCell ref="O24:O25"/>
    <mergeCell ref="O27:O29"/>
    <mergeCell ref="A8:A12"/>
    <mergeCell ref="B8:B12"/>
    <mergeCell ref="C8:C12"/>
    <mergeCell ref="D8:D12"/>
    <mergeCell ref="K8:K12"/>
    <mergeCell ref="L8:L12"/>
    <mergeCell ref="N8:N12"/>
    <mergeCell ref="A13:A15"/>
    <mergeCell ref="B13:B15"/>
    <mergeCell ref="C13:C15"/>
    <mergeCell ref="D13:D15"/>
    <mergeCell ref="L13:L15"/>
    <mergeCell ref="A16:A18"/>
    <mergeCell ref="D16:D18"/>
    <mergeCell ref="L16:L18"/>
    <mergeCell ref="B22:B23"/>
    <mergeCell ref="C22:C23"/>
    <mergeCell ref="B16:B18"/>
    <mergeCell ref="C16:C18"/>
    <mergeCell ref="A19:A21"/>
    <mergeCell ref="B19:B21"/>
    <mergeCell ref="C19:C21"/>
    <mergeCell ref="D19:D21"/>
    <mergeCell ref="D22:D23"/>
    <mergeCell ref="C27:C29"/>
    <mergeCell ref="D27:D29"/>
    <mergeCell ref="A22:A23"/>
    <mergeCell ref="A24:A25"/>
    <mergeCell ref="B24:B25"/>
    <mergeCell ref="C24:C25"/>
    <mergeCell ref="D24:D25"/>
    <mergeCell ref="A27:A29"/>
    <mergeCell ref="B27:B29"/>
    <mergeCell ref="D38:D41"/>
    <mergeCell ref="E38:E41"/>
    <mergeCell ref="K38:K41"/>
    <mergeCell ref="L38:L41"/>
    <mergeCell ref="A42:A45"/>
    <mergeCell ref="B42:B45"/>
    <mergeCell ref="C42:C45"/>
    <mergeCell ref="D42:D45"/>
    <mergeCell ref="E42:E45"/>
    <mergeCell ref="K42:K45"/>
    <mergeCell ref="L42:L45"/>
    <mergeCell ref="N30:N33"/>
    <mergeCell ref="O30:O33"/>
    <mergeCell ref="A30:A33"/>
    <mergeCell ref="B30:B33"/>
    <mergeCell ref="C30:C33"/>
    <mergeCell ref="D30:D33"/>
    <mergeCell ref="E30:E33"/>
    <mergeCell ref="K30:K33"/>
    <mergeCell ref="L30:L33"/>
    <mergeCell ref="N34:N37"/>
    <mergeCell ref="O34:O37"/>
    <mergeCell ref="A34:A37"/>
    <mergeCell ref="B34:B37"/>
    <mergeCell ref="C34:C37"/>
    <mergeCell ref="D34:D37"/>
    <mergeCell ref="E34:E37"/>
    <mergeCell ref="K34:K37"/>
    <mergeCell ref="L34:L37"/>
    <mergeCell ref="P38:P41"/>
    <mergeCell ref="N46:N49"/>
    <mergeCell ref="O46:O49"/>
    <mergeCell ref="O50:O52"/>
    <mergeCell ref="N53:N54"/>
    <mergeCell ref="O53:O54"/>
    <mergeCell ref="K58:K59"/>
    <mergeCell ref="L58:L59"/>
    <mergeCell ref="N58:N59"/>
    <mergeCell ref="O58:O59"/>
    <mergeCell ref="K55:K57"/>
    <mergeCell ref="L55:L57"/>
    <mergeCell ref="N55:N57"/>
    <mergeCell ref="N42:N45"/>
    <mergeCell ref="O42:O45"/>
    <mergeCell ref="K46:K49"/>
    <mergeCell ref="L46:L49"/>
    <mergeCell ref="A58:A59"/>
    <mergeCell ref="B58:B59"/>
    <mergeCell ref="C58:C59"/>
    <mergeCell ref="D58:D59"/>
    <mergeCell ref="E58:E59"/>
    <mergeCell ref="I58:I59"/>
    <mergeCell ref="J58:J59"/>
    <mergeCell ref="N38:N41"/>
    <mergeCell ref="O38:O41"/>
    <mergeCell ref="A55:A57"/>
    <mergeCell ref="B55:B57"/>
    <mergeCell ref="C55:C57"/>
    <mergeCell ref="D55:D57"/>
    <mergeCell ref="E55:E57"/>
    <mergeCell ref="I55:I57"/>
    <mergeCell ref="J55:J57"/>
    <mergeCell ref="A46:A49"/>
    <mergeCell ref="B46:B49"/>
    <mergeCell ref="C46:C49"/>
    <mergeCell ref="D46:D49"/>
    <mergeCell ref="E46:E49"/>
    <mergeCell ref="A38:A41"/>
    <mergeCell ref="B38:B41"/>
    <mergeCell ref="C38:C41"/>
  </mergeCells>
  <phoneticPr fontId="179" type="noConversion"/>
  <hyperlinks>
    <hyperlink ref="N55" r:id="rId1" xr:uid="{00000000-0004-0000-0500-000000000000}"/>
  </hyperlinks>
  <pageMargins left="0.7" right="0.7" top="0.75" bottom="0.75" header="0.3" footer="0.3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  <outlinePr summaryBelow="0" summaryRight="0"/>
  </sheetPr>
  <dimension ref="A1:GL984"/>
  <sheetViews>
    <sheetView workbookViewId="0">
      <pane ySplit="3" topLeftCell="A4" activePane="bottomLeft" state="frozen"/>
      <selection pane="bottomLeft" activeCell="B5" sqref="B5"/>
    </sheetView>
  </sheetViews>
  <sheetFormatPr baseColWidth="10" defaultColWidth="12.5" defaultRowHeight="15.75" customHeight="1"/>
  <cols>
    <col min="1" max="1" width="4" customWidth="1"/>
    <col min="2" max="2" width="10.6640625" customWidth="1"/>
    <col min="3" max="3" width="4.1640625" customWidth="1"/>
    <col min="4" max="4" width="9.1640625" customWidth="1"/>
    <col min="5" max="5" width="30.6640625" customWidth="1"/>
    <col min="6" max="6" width="10" customWidth="1"/>
    <col min="7" max="7" width="11.5" customWidth="1"/>
    <col min="8" max="8" width="10" customWidth="1"/>
    <col min="9" max="10" width="9.5" customWidth="1"/>
    <col min="11" max="11" width="21.83203125" customWidth="1"/>
    <col min="12" max="12" width="4.5" customWidth="1"/>
    <col min="13" max="13" width="15.5" customWidth="1"/>
    <col min="14" max="14" width="57.83203125" customWidth="1"/>
    <col min="15" max="15" width="18.5" customWidth="1"/>
  </cols>
  <sheetData>
    <row r="1" spans="1:194" ht="22">
      <c r="A1" s="437"/>
      <c r="B1" s="23"/>
      <c r="C1" s="23"/>
      <c r="D1" s="23"/>
      <c r="E1" s="23"/>
      <c r="F1" s="23"/>
      <c r="G1" s="23"/>
      <c r="H1" s="401"/>
      <c r="I1" s="401"/>
      <c r="J1" s="401"/>
      <c r="K1" s="401"/>
      <c r="L1" s="401"/>
      <c r="M1" s="438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</row>
    <row r="2" spans="1:194" ht="13">
      <c r="A2" s="23"/>
      <c r="B2" s="23"/>
      <c r="C2" s="23"/>
      <c r="D2" s="23"/>
      <c r="E2" s="23"/>
      <c r="F2" s="23"/>
      <c r="G2" s="23"/>
      <c r="H2" s="401"/>
      <c r="I2" s="401"/>
      <c r="J2" s="401"/>
      <c r="K2" s="401"/>
      <c r="L2" s="401"/>
      <c r="M2" s="438" t="s">
        <v>857</v>
      </c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  <c r="CR2" s="23"/>
      <c r="CS2" s="23"/>
      <c r="CT2" s="23"/>
      <c r="CU2" s="23"/>
      <c r="CV2" s="23"/>
      <c r="CW2" s="23"/>
      <c r="CX2" s="23"/>
      <c r="CY2" s="23"/>
      <c r="CZ2" s="23"/>
      <c r="DA2" s="23"/>
      <c r="DB2" s="23"/>
      <c r="DC2" s="23"/>
      <c r="DD2" s="23"/>
      <c r="DE2" s="23"/>
      <c r="DF2" s="23"/>
      <c r="DG2" s="23"/>
      <c r="DH2" s="23"/>
      <c r="DI2" s="23"/>
      <c r="DJ2" s="23"/>
      <c r="DK2" s="23"/>
      <c r="DL2" s="23"/>
      <c r="DM2" s="23"/>
      <c r="DN2" s="23"/>
      <c r="DO2" s="23"/>
      <c r="DP2" s="23"/>
      <c r="DQ2" s="23"/>
      <c r="DR2" s="23"/>
      <c r="DS2" s="23"/>
      <c r="DT2" s="23"/>
      <c r="DU2" s="23"/>
      <c r="DV2" s="23"/>
      <c r="DW2" s="23"/>
      <c r="DX2" s="23"/>
      <c r="DY2" s="23"/>
      <c r="DZ2" s="23"/>
      <c r="EA2" s="23"/>
      <c r="EB2" s="23"/>
      <c r="EC2" s="23"/>
      <c r="ED2" s="23"/>
      <c r="EE2" s="23"/>
      <c r="EF2" s="23"/>
      <c r="EG2" s="23"/>
      <c r="EH2" s="23"/>
      <c r="EI2" s="23"/>
      <c r="EJ2" s="23"/>
      <c r="EK2" s="23"/>
      <c r="EL2" s="23"/>
      <c r="EM2" s="23"/>
      <c r="EN2" s="23"/>
      <c r="EO2" s="23"/>
      <c r="EP2" s="23"/>
      <c r="EQ2" s="23"/>
      <c r="ER2" s="23"/>
      <c r="ES2" s="23"/>
      <c r="ET2" s="23"/>
      <c r="EU2" s="23"/>
      <c r="EV2" s="23"/>
      <c r="EW2" s="23"/>
      <c r="EX2" s="23"/>
      <c r="EY2" s="23"/>
      <c r="EZ2" s="23"/>
      <c r="FA2" s="23"/>
      <c r="FB2" s="23"/>
      <c r="FC2" s="23"/>
      <c r="FD2" s="23"/>
      <c r="FE2" s="23"/>
      <c r="FF2" s="23"/>
      <c r="FG2" s="23"/>
      <c r="FH2" s="23"/>
      <c r="FI2" s="23"/>
      <c r="FJ2" s="23"/>
      <c r="FK2" s="23"/>
      <c r="FL2" s="23"/>
      <c r="FM2" s="23"/>
      <c r="FN2" s="23"/>
      <c r="FO2" s="23"/>
      <c r="FP2" s="23"/>
      <c r="FQ2" s="23"/>
      <c r="FR2" s="23"/>
      <c r="FS2" s="23"/>
      <c r="FT2" s="23"/>
      <c r="FU2" s="23"/>
      <c r="FV2" s="23"/>
      <c r="FW2" s="23"/>
      <c r="FX2" s="23"/>
      <c r="FY2" s="23"/>
      <c r="FZ2" s="23"/>
      <c r="GA2" s="23"/>
      <c r="GB2" s="23"/>
      <c r="GC2" s="23"/>
      <c r="GD2" s="23"/>
      <c r="GE2" s="23"/>
      <c r="GF2" s="23"/>
      <c r="GG2" s="23"/>
      <c r="GH2" s="23"/>
      <c r="GI2" s="23"/>
      <c r="GJ2" s="23"/>
      <c r="GK2" s="23"/>
      <c r="GL2" s="23"/>
    </row>
    <row r="3" spans="1:194" ht="14">
      <c r="A3" s="76" t="s">
        <v>7</v>
      </c>
      <c r="B3" s="76" t="s">
        <v>8</v>
      </c>
      <c r="C3" s="76" t="s">
        <v>9</v>
      </c>
      <c r="D3" s="76" t="s">
        <v>280</v>
      </c>
      <c r="E3" s="76" t="s">
        <v>10</v>
      </c>
      <c r="F3" s="76" t="s">
        <v>11</v>
      </c>
      <c r="G3" s="76" t="s">
        <v>12</v>
      </c>
      <c r="H3" s="76" t="s">
        <v>13</v>
      </c>
      <c r="I3" s="76" t="s">
        <v>14</v>
      </c>
      <c r="J3" s="76" t="s">
        <v>15</v>
      </c>
      <c r="K3" s="77" t="s">
        <v>281</v>
      </c>
      <c r="L3" s="78" t="s">
        <v>282</v>
      </c>
      <c r="M3" s="439" t="s">
        <v>283</v>
      </c>
      <c r="N3" s="78" t="s">
        <v>284</v>
      </c>
      <c r="O3" s="105" t="s">
        <v>743</v>
      </c>
      <c r="P3" s="83"/>
      <c r="Q3" s="83"/>
      <c r="R3" s="83"/>
      <c r="S3" s="83"/>
      <c r="T3" s="83"/>
      <c r="U3" s="83"/>
      <c r="V3" s="83"/>
      <c r="W3" s="83"/>
      <c r="X3" s="83"/>
      <c r="Y3" s="83"/>
      <c r="Z3" s="83"/>
      <c r="AA3" s="83"/>
      <c r="AB3" s="83"/>
      <c r="AC3" s="83"/>
      <c r="AD3" s="83"/>
      <c r="AE3" s="83"/>
      <c r="AF3" s="83"/>
      <c r="AG3" s="83"/>
      <c r="AH3" s="83"/>
      <c r="AI3" s="83"/>
      <c r="AJ3" s="83"/>
      <c r="AK3" s="83"/>
      <c r="AL3" s="83"/>
      <c r="AM3" s="83"/>
      <c r="AN3" s="83"/>
      <c r="AO3" s="83"/>
      <c r="AP3" s="83"/>
      <c r="AQ3" s="83"/>
      <c r="AR3" s="83"/>
      <c r="AS3" s="83"/>
      <c r="AT3" s="83"/>
      <c r="AU3" s="83"/>
      <c r="AV3" s="83"/>
      <c r="AW3" s="83"/>
      <c r="AX3" s="83"/>
      <c r="AY3" s="83"/>
      <c r="AZ3" s="83"/>
      <c r="BA3" s="83"/>
      <c r="BB3" s="83"/>
      <c r="BC3" s="83"/>
      <c r="BD3" s="83"/>
      <c r="BE3" s="83"/>
      <c r="BF3" s="83"/>
      <c r="BG3" s="83"/>
      <c r="BH3" s="83"/>
      <c r="BI3" s="83"/>
      <c r="BJ3" s="83"/>
      <c r="BK3" s="83"/>
      <c r="BL3" s="83"/>
      <c r="BM3" s="83"/>
      <c r="BN3" s="83"/>
      <c r="BO3" s="83"/>
      <c r="BP3" s="83"/>
      <c r="BQ3" s="83"/>
      <c r="BR3" s="83"/>
      <c r="BS3" s="83"/>
      <c r="BT3" s="83"/>
      <c r="BU3" s="83"/>
      <c r="BV3" s="83"/>
      <c r="BW3" s="83"/>
      <c r="BX3" s="83"/>
      <c r="BY3" s="83"/>
      <c r="BZ3" s="83"/>
      <c r="CA3" s="83"/>
      <c r="CB3" s="83"/>
      <c r="CC3" s="83"/>
      <c r="CD3" s="83"/>
      <c r="CE3" s="83"/>
      <c r="CF3" s="83"/>
      <c r="CG3" s="83"/>
      <c r="CH3" s="83"/>
      <c r="CI3" s="83"/>
      <c r="CJ3" s="83"/>
      <c r="CK3" s="83"/>
      <c r="CL3" s="83"/>
      <c r="CM3" s="83"/>
      <c r="CN3" s="83"/>
      <c r="CO3" s="83"/>
      <c r="CP3" s="83"/>
      <c r="CQ3" s="83"/>
      <c r="CR3" s="83"/>
      <c r="CS3" s="83"/>
      <c r="CT3" s="83"/>
      <c r="CU3" s="83"/>
      <c r="CV3" s="83"/>
      <c r="CW3" s="83"/>
      <c r="CX3" s="83"/>
      <c r="CY3" s="83"/>
      <c r="CZ3" s="83"/>
      <c r="DA3" s="83"/>
      <c r="DB3" s="83"/>
      <c r="DC3" s="83"/>
      <c r="DD3" s="83"/>
      <c r="DE3" s="83"/>
      <c r="DF3" s="83"/>
      <c r="DG3" s="83"/>
      <c r="DH3" s="83"/>
      <c r="DI3" s="83"/>
      <c r="DJ3" s="83"/>
      <c r="DK3" s="83"/>
      <c r="DL3" s="83"/>
      <c r="DM3" s="83"/>
      <c r="DN3" s="83"/>
      <c r="DO3" s="83"/>
      <c r="DP3" s="83"/>
      <c r="DQ3" s="83"/>
      <c r="DR3" s="83"/>
      <c r="DS3" s="83"/>
      <c r="DT3" s="83"/>
      <c r="DU3" s="83"/>
      <c r="DV3" s="83"/>
      <c r="DW3" s="83"/>
      <c r="DX3" s="83"/>
      <c r="DY3" s="83"/>
      <c r="DZ3" s="83"/>
      <c r="EA3" s="83"/>
      <c r="EB3" s="83"/>
      <c r="EC3" s="83"/>
      <c r="ED3" s="83"/>
      <c r="EE3" s="83"/>
      <c r="EF3" s="83"/>
      <c r="EG3" s="83"/>
      <c r="EH3" s="83"/>
      <c r="EI3" s="83"/>
      <c r="EJ3" s="83"/>
      <c r="EK3" s="83"/>
      <c r="EL3" s="83"/>
      <c r="EM3" s="83"/>
      <c r="EN3" s="83"/>
      <c r="EO3" s="83"/>
      <c r="EP3" s="83"/>
      <c r="EQ3" s="83"/>
      <c r="ER3" s="83"/>
      <c r="ES3" s="83"/>
      <c r="ET3" s="83"/>
      <c r="EU3" s="83"/>
      <c r="EV3" s="83"/>
      <c r="EW3" s="83"/>
      <c r="EX3" s="83"/>
      <c r="EY3" s="83"/>
      <c r="EZ3" s="83"/>
      <c r="FA3" s="83"/>
      <c r="FB3" s="83"/>
      <c r="FC3" s="83"/>
      <c r="FD3" s="83"/>
      <c r="FE3" s="83"/>
      <c r="FF3" s="83"/>
      <c r="FG3" s="83"/>
      <c r="FH3" s="83"/>
      <c r="FI3" s="83"/>
      <c r="FJ3" s="83"/>
      <c r="FK3" s="83"/>
      <c r="FL3" s="83"/>
      <c r="FM3" s="83"/>
      <c r="FN3" s="83"/>
      <c r="FO3" s="83"/>
      <c r="FP3" s="83"/>
      <c r="FQ3" s="83"/>
      <c r="FR3" s="83"/>
      <c r="FS3" s="83"/>
      <c r="FT3" s="83"/>
      <c r="FU3" s="83"/>
      <c r="FV3" s="83"/>
      <c r="FW3" s="83"/>
      <c r="FX3" s="83"/>
      <c r="FY3" s="83"/>
      <c r="FZ3" s="83"/>
      <c r="GA3" s="83"/>
      <c r="GB3" s="83"/>
      <c r="GC3" s="83"/>
      <c r="GD3" s="83"/>
      <c r="GE3" s="83"/>
      <c r="GF3" s="83"/>
      <c r="GG3" s="83"/>
      <c r="GH3" s="83"/>
      <c r="GI3" s="83"/>
      <c r="GJ3" s="83"/>
      <c r="GK3" s="83"/>
      <c r="GL3" s="83"/>
    </row>
    <row r="4" spans="1:194" ht="13">
      <c r="A4" s="440"/>
      <c r="B4" s="24" t="s">
        <v>146</v>
      </c>
      <c r="C4" s="24" t="s">
        <v>142</v>
      </c>
      <c r="D4" s="26" t="s">
        <v>858</v>
      </c>
      <c r="E4" s="81" t="s">
        <v>859</v>
      </c>
      <c r="F4" s="24" t="s">
        <v>79</v>
      </c>
      <c r="G4" s="24" t="s">
        <v>80</v>
      </c>
      <c r="H4" s="51" t="s">
        <v>148</v>
      </c>
      <c r="I4" s="27">
        <v>45383</v>
      </c>
      <c r="J4" s="27">
        <v>45747</v>
      </c>
      <c r="K4" s="51" t="s">
        <v>860</v>
      </c>
      <c r="L4" s="10"/>
      <c r="M4" s="33">
        <v>2080000</v>
      </c>
      <c r="N4" s="81" t="s">
        <v>861</v>
      </c>
      <c r="O4" s="11" t="s">
        <v>862</v>
      </c>
      <c r="P4" s="417"/>
      <c r="Q4" s="417"/>
      <c r="R4" s="417"/>
      <c r="S4" s="417"/>
      <c r="T4" s="417"/>
      <c r="U4" s="417"/>
      <c r="V4" s="417"/>
      <c r="W4" s="417"/>
      <c r="X4" s="417"/>
      <c r="Y4" s="417"/>
      <c r="Z4" s="417"/>
      <c r="AA4" s="417"/>
      <c r="AB4" s="417"/>
      <c r="AC4" s="417"/>
      <c r="AD4" s="417"/>
      <c r="AE4" s="417"/>
      <c r="AF4" s="417"/>
      <c r="AG4" s="417"/>
      <c r="AH4" s="417"/>
      <c r="AI4" s="417"/>
      <c r="AJ4" s="417"/>
      <c r="AK4" s="417"/>
      <c r="AL4" s="417"/>
      <c r="AM4" s="417"/>
      <c r="AN4" s="417"/>
      <c r="AO4" s="417"/>
      <c r="AP4" s="417"/>
      <c r="AQ4" s="417"/>
      <c r="AR4" s="417"/>
      <c r="AS4" s="417"/>
      <c r="AT4" s="417"/>
      <c r="AU4" s="417"/>
      <c r="AV4" s="417"/>
      <c r="AW4" s="417"/>
      <c r="AX4" s="417"/>
      <c r="AY4" s="417"/>
      <c r="AZ4" s="417"/>
      <c r="BA4" s="417"/>
      <c r="BB4" s="417"/>
      <c r="BC4" s="417"/>
      <c r="BD4" s="417"/>
      <c r="BE4" s="417"/>
      <c r="BF4" s="417"/>
      <c r="BG4" s="417"/>
      <c r="BH4" s="417"/>
      <c r="BI4" s="417"/>
      <c r="BJ4" s="417"/>
      <c r="BK4" s="417"/>
      <c r="BL4" s="417"/>
      <c r="BM4" s="417"/>
      <c r="BN4" s="417"/>
      <c r="BO4" s="417"/>
      <c r="BP4" s="417"/>
      <c r="BQ4" s="417"/>
      <c r="BR4" s="417"/>
      <c r="BS4" s="417"/>
      <c r="BT4" s="417"/>
      <c r="BU4" s="417"/>
      <c r="BV4" s="417"/>
      <c r="BW4" s="417"/>
      <c r="BX4" s="417"/>
      <c r="BY4" s="417"/>
      <c r="BZ4" s="417"/>
      <c r="CA4" s="417"/>
      <c r="CB4" s="417"/>
      <c r="CC4" s="417"/>
      <c r="CD4" s="417"/>
      <c r="CE4" s="417"/>
      <c r="CF4" s="417"/>
      <c r="CG4" s="417"/>
      <c r="CH4" s="417"/>
      <c r="CI4" s="417"/>
      <c r="CJ4" s="417"/>
      <c r="CK4" s="417"/>
      <c r="CL4" s="417"/>
      <c r="CM4" s="417"/>
      <c r="CN4" s="417"/>
      <c r="CO4" s="417"/>
      <c r="CP4" s="417"/>
      <c r="CQ4" s="417"/>
      <c r="CR4" s="417"/>
      <c r="CS4" s="417"/>
      <c r="CT4" s="417"/>
      <c r="CU4" s="417"/>
      <c r="CV4" s="417"/>
      <c r="CW4" s="417"/>
      <c r="CX4" s="417"/>
      <c r="CY4" s="417"/>
      <c r="CZ4" s="417"/>
      <c r="DA4" s="417"/>
      <c r="DB4" s="417"/>
      <c r="DC4" s="417"/>
      <c r="DD4" s="417"/>
      <c r="DE4" s="417"/>
      <c r="DF4" s="417"/>
      <c r="DG4" s="417"/>
      <c r="DH4" s="417"/>
      <c r="DI4" s="417"/>
      <c r="DJ4" s="417"/>
      <c r="DK4" s="417"/>
      <c r="DL4" s="417"/>
      <c r="DM4" s="417"/>
      <c r="DN4" s="417"/>
      <c r="DO4" s="417"/>
      <c r="DP4" s="417"/>
      <c r="DQ4" s="417"/>
      <c r="DR4" s="417"/>
      <c r="DS4" s="417"/>
      <c r="DT4" s="417"/>
      <c r="DU4" s="417"/>
      <c r="DV4" s="417"/>
      <c r="DW4" s="417"/>
      <c r="DX4" s="417"/>
      <c r="DY4" s="417"/>
      <c r="DZ4" s="417"/>
      <c r="EA4" s="417"/>
      <c r="EB4" s="417"/>
      <c r="EC4" s="417"/>
      <c r="ED4" s="417"/>
      <c r="EE4" s="417"/>
      <c r="EF4" s="417"/>
      <c r="EG4" s="417"/>
      <c r="EH4" s="417"/>
      <c r="EI4" s="417"/>
      <c r="EJ4" s="417"/>
      <c r="EK4" s="417"/>
      <c r="EL4" s="417"/>
      <c r="EM4" s="417"/>
      <c r="EN4" s="417"/>
      <c r="EO4" s="417"/>
      <c r="EP4" s="417"/>
      <c r="EQ4" s="417"/>
      <c r="ER4" s="417"/>
      <c r="ES4" s="417"/>
      <c r="ET4" s="417"/>
      <c r="EU4" s="417"/>
      <c r="EV4" s="417"/>
      <c r="EW4" s="417"/>
      <c r="EX4" s="417"/>
      <c r="EY4" s="417"/>
      <c r="EZ4" s="417"/>
      <c r="FA4" s="417"/>
      <c r="FB4" s="417"/>
      <c r="FC4" s="417"/>
      <c r="FD4" s="417"/>
      <c r="FE4" s="417"/>
      <c r="FF4" s="417"/>
      <c r="FG4" s="417"/>
      <c r="FH4" s="417"/>
      <c r="FI4" s="417"/>
      <c r="FJ4" s="417"/>
      <c r="FK4" s="417"/>
      <c r="FL4" s="417"/>
      <c r="FM4" s="417"/>
      <c r="FN4" s="417"/>
      <c r="FO4" s="417"/>
      <c r="FP4" s="417"/>
      <c r="FQ4" s="417"/>
      <c r="FR4" s="417"/>
      <c r="FS4" s="417"/>
      <c r="FT4" s="417"/>
      <c r="FU4" s="417"/>
      <c r="FV4" s="417"/>
      <c r="FW4" s="417"/>
      <c r="FX4" s="417"/>
      <c r="FY4" s="417"/>
      <c r="FZ4" s="417"/>
      <c r="GA4" s="417"/>
      <c r="GB4" s="417"/>
      <c r="GC4" s="417"/>
      <c r="GD4" s="417"/>
      <c r="GE4" s="417"/>
      <c r="GF4" s="417"/>
      <c r="GG4" s="417"/>
      <c r="GH4" s="417"/>
      <c r="GI4" s="417"/>
      <c r="GJ4" s="417"/>
      <c r="GK4" s="417"/>
      <c r="GL4" s="417"/>
    </row>
    <row r="5" spans="1:194" ht="13">
      <c r="A5" s="440"/>
      <c r="B5" s="106" t="s">
        <v>146</v>
      </c>
      <c r="C5" s="106" t="s">
        <v>75</v>
      </c>
      <c r="D5" s="412" t="s">
        <v>858</v>
      </c>
      <c r="E5" s="277" t="s">
        <v>863</v>
      </c>
      <c r="F5" s="106" t="s">
        <v>79</v>
      </c>
      <c r="G5" s="106" t="s">
        <v>80</v>
      </c>
      <c r="H5" s="106" t="s">
        <v>864</v>
      </c>
      <c r="I5" s="413">
        <v>45536</v>
      </c>
      <c r="J5" s="413">
        <v>45900</v>
      </c>
      <c r="K5" s="154" t="s">
        <v>865</v>
      </c>
      <c r="L5" s="411"/>
      <c r="M5" s="415">
        <v>5791667</v>
      </c>
      <c r="N5" s="441" t="s">
        <v>866</v>
      </c>
      <c r="O5" s="11" t="s">
        <v>867</v>
      </c>
      <c r="P5" s="417"/>
      <c r="Q5" s="417"/>
      <c r="R5" s="417"/>
      <c r="S5" s="417"/>
      <c r="T5" s="417"/>
      <c r="U5" s="417"/>
      <c r="V5" s="417"/>
      <c r="W5" s="417"/>
      <c r="X5" s="417"/>
      <c r="Y5" s="417"/>
      <c r="Z5" s="417"/>
      <c r="AA5" s="417"/>
      <c r="AB5" s="417"/>
      <c r="AC5" s="417"/>
      <c r="AD5" s="417"/>
      <c r="AE5" s="417"/>
      <c r="AF5" s="417"/>
      <c r="AG5" s="417"/>
      <c r="AH5" s="417"/>
      <c r="AI5" s="417"/>
      <c r="AJ5" s="417"/>
      <c r="AK5" s="417"/>
      <c r="AL5" s="417"/>
      <c r="AM5" s="417"/>
      <c r="AN5" s="417"/>
      <c r="AO5" s="417"/>
      <c r="AP5" s="417"/>
      <c r="AQ5" s="417"/>
      <c r="AR5" s="417"/>
      <c r="AS5" s="417"/>
      <c r="AT5" s="417"/>
      <c r="AU5" s="417"/>
      <c r="AV5" s="417"/>
      <c r="AW5" s="417"/>
      <c r="AX5" s="417"/>
      <c r="AY5" s="417"/>
      <c r="AZ5" s="417"/>
      <c r="BA5" s="417"/>
      <c r="BB5" s="417"/>
      <c r="BC5" s="417"/>
      <c r="BD5" s="417"/>
      <c r="BE5" s="417"/>
      <c r="BF5" s="417"/>
      <c r="BG5" s="417"/>
      <c r="BH5" s="417"/>
      <c r="BI5" s="417"/>
      <c r="BJ5" s="417"/>
      <c r="BK5" s="417"/>
      <c r="BL5" s="417"/>
      <c r="BM5" s="417"/>
      <c r="BN5" s="417"/>
      <c r="BO5" s="417"/>
      <c r="BP5" s="417"/>
      <c r="BQ5" s="417"/>
      <c r="BR5" s="417"/>
      <c r="BS5" s="417"/>
      <c r="BT5" s="417"/>
      <c r="BU5" s="417"/>
      <c r="BV5" s="417"/>
      <c r="BW5" s="417"/>
      <c r="BX5" s="417"/>
      <c r="BY5" s="417"/>
      <c r="BZ5" s="417"/>
      <c r="CA5" s="417"/>
      <c r="CB5" s="417"/>
      <c r="CC5" s="417"/>
      <c r="CD5" s="417"/>
      <c r="CE5" s="417"/>
      <c r="CF5" s="417"/>
      <c r="CG5" s="417"/>
      <c r="CH5" s="417"/>
      <c r="CI5" s="417"/>
      <c r="CJ5" s="417"/>
      <c r="CK5" s="417"/>
      <c r="CL5" s="417"/>
      <c r="CM5" s="417"/>
      <c r="CN5" s="417"/>
      <c r="CO5" s="417"/>
      <c r="CP5" s="417"/>
      <c r="CQ5" s="417"/>
      <c r="CR5" s="417"/>
      <c r="CS5" s="417"/>
      <c r="CT5" s="417"/>
      <c r="CU5" s="417"/>
      <c r="CV5" s="417"/>
      <c r="CW5" s="417"/>
      <c r="CX5" s="417"/>
      <c r="CY5" s="417"/>
      <c r="CZ5" s="417"/>
      <c r="DA5" s="417"/>
      <c r="DB5" s="417"/>
      <c r="DC5" s="417"/>
      <c r="DD5" s="417"/>
      <c r="DE5" s="417"/>
      <c r="DF5" s="417"/>
      <c r="DG5" s="417"/>
      <c r="DH5" s="417"/>
      <c r="DI5" s="417"/>
      <c r="DJ5" s="417"/>
      <c r="DK5" s="417"/>
      <c r="DL5" s="417"/>
      <c r="DM5" s="417"/>
      <c r="DN5" s="417"/>
      <c r="DO5" s="417"/>
      <c r="DP5" s="417"/>
      <c r="DQ5" s="417"/>
      <c r="DR5" s="417"/>
      <c r="DS5" s="417"/>
      <c r="DT5" s="417"/>
      <c r="DU5" s="417"/>
      <c r="DV5" s="417"/>
      <c r="DW5" s="417"/>
      <c r="DX5" s="417"/>
      <c r="DY5" s="417"/>
      <c r="DZ5" s="417"/>
      <c r="EA5" s="417"/>
      <c r="EB5" s="417"/>
      <c r="EC5" s="417"/>
      <c r="ED5" s="417"/>
      <c r="EE5" s="417"/>
      <c r="EF5" s="417"/>
      <c r="EG5" s="417"/>
      <c r="EH5" s="417"/>
      <c r="EI5" s="417"/>
      <c r="EJ5" s="417"/>
      <c r="EK5" s="417"/>
      <c r="EL5" s="417"/>
      <c r="EM5" s="417"/>
      <c r="EN5" s="417"/>
      <c r="EO5" s="417"/>
      <c r="EP5" s="417"/>
      <c r="EQ5" s="417"/>
      <c r="ER5" s="417"/>
      <c r="ES5" s="417"/>
      <c r="ET5" s="417"/>
      <c r="EU5" s="417"/>
      <c r="EV5" s="417"/>
      <c r="EW5" s="417"/>
      <c r="EX5" s="417"/>
      <c r="EY5" s="417"/>
      <c r="EZ5" s="417"/>
      <c r="FA5" s="417"/>
      <c r="FB5" s="417"/>
      <c r="FC5" s="417"/>
      <c r="FD5" s="417"/>
      <c r="FE5" s="417"/>
      <c r="FF5" s="417"/>
      <c r="FG5" s="417"/>
      <c r="FH5" s="417"/>
      <c r="FI5" s="417"/>
      <c r="FJ5" s="417"/>
      <c r="FK5" s="417"/>
      <c r="FL5" s="417"/>
      <c r="FM5" s="417"/>
      <c r="FN5" s="417"/>
      <c r="FO5" s="417"/>
      <c r="FP5" s="417"/>
      <c r="FQ5" s="417"/>
      <c r="FR5" s="417"/>
      <c r="FS5" s="417"/>
      <c r="FT5" s="417"/>
      <c r="FU5" s="417"/>
      <c r="FV5" s="417"/>
      <c r="FW5" s="417"/>
      <c r="FX5" s="417"/>
      <c r="FY5" s="417"/>
      <c r="FZ5" s="417"/>
      <c r="GA5" s="417"/>
      <c r="GB5" s="417"/>
      <c r="GC5" s="417"/>
      <c r="GD5" s="417"/>
      <c r="GE5" s="417"/>
      <c r="GF5" s="417"/>
      <c r="GG5" s="417"/>
      <c r="GH5" s="417"/>
      <c r="GI5" s="417"/>
      <c r="GJ5" s="417"/>
      <c r="GK5" s="417"/>
      <c r="GL5" s="417"/>
    </row>
    <row r="6" spans="1:194" ht="13">
      <c r="A6" s="440"/>
      <c r="B6" s="106" t="s">
        <v>151</v>
      </c>
      <c r="C6" s="106" t="s">
        <v>75</v>
      </c>
      <c r="D6" s="412" t="s">
        <v>868</v>
      </c>
      <c r="E6" s="277" t="s">
        <v>869</v>
      </c>
      <c r="F6" s="106" t="s">
        <v>79</v>
      </c>
      <c r="G6" s="154" t="s">
        <v>153</v>
      </c>
      <c r="H6" s="106" t="s">
        <v>870</v>
      </c>
      <c r="I6" s="413">
        <f>VLOOKUP(H6,'(참고)PJT목록'!A:D,4,0)</f>
        <v>45383</v>
      </c>
      <c r="J6" s="413">
        <f>VLOOKUP(H6,'(참고)PJT목록'!A:E,5,0)</f>
        <v>47208</v>
      </c>
      <c r="K6" s="154" t="s">
        <v>871</v>
      </c>
      <c r="L6" s="411"/>
      <c r="M6" s="415">
        <v>165812</v>
      </c>
      <c r="N6" s="441" t="s">
        <v>872</v>
      </c>
      <c r="O6" s="11" t="s">
        <v>873</v>
      </c>
      <c r="P6" s="417"/>
      <c r="Q6" s="417"/>
      <c r="R6" s="417"/>
      <c r="S6" s="417"/>
      <c r="T6" s="417"/>
      <c r="U6" s="417"/>
      <c r="V6" s="417"/>
      <c r="W6" s="417"/>
      <c r="X6" s="417"/>
      <c r="Y6" s="417"/>
      <c r="Z6" s="417"/>
      <c r="AA6" s="417"/>
      <c r="AB6" s="417"/>
      <c r="AC6" s="417"/>
      <c r="AD6" s="417"/>
      <c r="AE6" s="417"/>
      <c r="AF6" s="417"/>
      <c r="AG6" s="417"/>
      <c r="AH6" s="417"/>
      <c r="AI6" s="417"/>
      <c r="AJ6" s="417"/>
      <c r="AK6" s="417"/>
      <c r="AL6" s="417"/>
      <c r="AM6" s="417"/>
      <c r="AN6" s="417"/>
      <c r="AO6" s="417"/>
      <c r="AP6" s="417"/>
      <c r="AQ6" s="417"/>
      <c r="AR6" s="417"/>
      <c r="AS6" s="417"/>
      <c r="AT6" s="417"/>
      <c r="AU6" s="417"/>
      <c r="AV6" s="417"/>
      <c r="AW6" s="417"/>
      <c r="AX6" s="417"/>
      <c r="AY6" s="417"/>
      <c r="AZ6" s="417"/>
      <c r="BA6" s="417"/>
      <c r="BB6" s="417"/>
      <c r="BC6" s="417"/>
      <c r="BD6" s="417"/>
      <c r="BE6" s="417"/>
      <c r="BF6" s="417"/>
      <c r="BG6" s="417"/>
      <c r="BH6" s="417"/>
      <c r="BI6" s="417"/>
      <c r="BJ6" s="417"/>
      <c r="BK6" s="417"/>
      <c r="BL6" s="417"/>
      <c r="BM6" s="417"/>
      <c r="BN6" s="417"/>
      <c r="BO6" s="417"/>
      <c r="BP6" s="417"/>
      <c r="BQ6" s="417"/>
      <c r="BR6" s="417"/>
      <c r="BS6" s="417"/>
      <c r="BT6" s="417"/>
      <c r="BU6" s="417"/>
      <c r="BV6" s="417"/>
      <c r="BW6" s="417"/>
      <c r="BX6" s="417"/>
      <c r="BY6" s="417"/>
      <c r="BZ6" s="417"/>
      <c r="CA6" s="417"/>
      <c r="CB6" s="417"/>
      <c r="CC6" s="417"/>
      <c r="CD6" s="417"/>
      <c r="CE6" s="417"/>
      <c r="CF6" s="417"/>
      <c r="CG6" s="417"/>
      <c r="CH6" s="417"/>
      <c r="CI6" s="417"/>
      <c r="CJ6" s="417"/>
      <c r="CK6" s="417"/>
      <c r="CL6" s="417"/>
      <c r="CM6" s="417"/>
      <c r="CN6" s="417"/>
      <c r="CO6" s="417"/>
      <c r="CP6" s="417"/>
      <c r="CQ6" s="417"/>
      <c r="CR6" s="417"/>
      <c r="CS6" s="417"/>
      <c r="CT6" s="417"/>
      <c r="CU6" s="417"/>
      <c r="CV6" s="417"/>
      <c r="CW6" s="417"/>
      <c r="CX6" s="417"/>
      <c r="CY6" s="417"/>
      <c r="CZ6" s="417"/>
      <c r="DA6" s="417"/>
      <c r="DB6" s="417"/>
      <c r="DC6" s="417"/>
      <c r="DD6" s="417"/>
      <c r="DE6" s="417"/>
      <c r="DF6" s="417"/>
      <c r="DG6" s="417"/>
      <c r="DH6" s="417"/>
      <c r="DI6" s="417"/>
      <c r="DJ6" s="417"/>
      <c r="DK6" s="417"/>
      <c r="DL6" s="417"/>
      <c r="DM6" s="417"/>
      <c r="DN6" s="417"/>
      <c r="DO6" s="417"/>
      <c r="DP6" s="417"/>
      <c r="DQ6" s="417"/>
      <c r="DR6" s="417"/>
      <c r="DS6" s="417"/>
      <c r="DT6" s="417"/>
      <c r="DU6" s="417"/>
      <c r="DV6" s="417"/>
      <c r="DW6" s="417"/>
      <c r="DX6" s="417"/>
      <c r="DY6" s="417"/>
      <c r="DZ6" s="417"/>
      <c r="EA6" s="417"/>
      <c r="EB6" s="417"/>
      <c r="EC6" s="417"/>
      <c r="ED6" s="417"/>
      <c r="EE6" s="417"/>
      <c r="EF6" s="417"/>
      <c r="EG6" s="417"/>
      <c r="EH6" s="417"/>
      <c r="EI6" s="417"/>
      <c r="EJ6" s="417"/>
      <c r="EK6" s="417"/>
      <c r="EL6" s="417"/>
      <c r="EM6" s="417"/>
      <c r="EN6" s="417"/>
      <c r="EO6" s="417"/>
      <c r="EP6" s="417"/>
      <c r="EQ6" s="417"/>
      <c r="ER6" s="417"/>
      <c r="ES6" s="417"/>
      <c r="ET6" s="417"/>
      <c r="EU6" s="417"/>
      <c r="EV6" s="417"/>
      <c r="EW6" s="417"/>
      <c r="EX6" s="417"/>
      <c r="EY6" s="417"/>
      <c r="EZ6" s="417"/>
      <c r="FA6" s="417"/>
      <c r="FB6" s="417"/>
      <c r="FC6" s="417"/>
      <c r="FD6" s="417"/>
      <c r="FE6" s="417"/>
      <c r="FF6" s="417"/>
      <c r="FG6" s="417"/>
      <c r="FH6" s="417"/>
      <c r="FI6" s="417"/>
      <c r="FJ6" s="417"/>
      <c r="FK6" s="417"/>
      <c r="FL6" s="417"/>
      <c r="FM6" s="417"/>
      <c r="FN6" s="417"/>
      <c r="FO6" s="417"/>
      <c r="FP6" s="417"/>
      <c r="FQ6" s="417"/>
      <c r="FR6" s="417"/>
      <c r="FS6" s="417"/>
      <c r="FT6" s="417"/>
      <c r="FU6" s="417"/>
      <c r="FV6" s="417"/>
      <c r="FW6" s="417"/>
      <c r="FX6" s="417"/>
      <c r="FY6" s="417"/>
      <c r="FZ6" s="417"/>
      <c r="GA6" s="417"/>
      <c r="GB6" s="417"/>
      <c r="GC6" s="417"/>
      <c r="GD6" s="417"/>
      <c r="GE6" s="417"/>
      <c r="GF6" s="417"/>
      <c r="GG6" s="417"/>
      <c r="GH6" s="417"/>
      <c r="GI6" s="417"/>
      <c r="GJ6" s="417"/>
      <c r="GK6" s="417"/>
      <c r="GL6" s="417"/>
    </row>
    <row r="7" spans="1:194" ht="32.25" customHeight="1">
      <c r="A7" s="1147"/>
      <c r="B7" s="1050" t="s">
        <v>146</v>
      </c>
      <c r="C7" s="1050" t="s">
        <v>133</v>
      </c>
      <c r="D7" s="1055" t="s">
        <v>874</v>
      </c>
      <c r="E7" s="1075" t="s">
        <v>875</v>
      </c>
      <c r="F7" s="1050" t="s">
        <v>79</v>
      </c>
      <c r="G7" s="1050" t="s">
        <v>153</v>
      </c>
      <c r="H7" s="24" t="s">
        <v>156</v>
      </c>
      <c r="I7" s="1140">
        <f>VLOOKUP(H7,'(참고)PJT목록'!A:D,4,0)</f>
        <v>45566</v>
      </c>
      <c r="J7" s="1140">
        <f>VLOOKUP(H7,'(참고)PJT목록'!A:E,5,0)</f>
        <v>45930</v>
      </c>
      <c r="K7" s="1079" t="s">
        <v>876</v>
      </c>
      <c r="L7" s="10"/>
      <c r="M7" s="33">
        <v>1163900</v>
      </c>
      <c r="N7" s="1075" t="s">
        <v>877</v>
      </c>
      <c r="O7" s="1059" t="s">
        <v>878</v>
      </c>
      <c r="P7" s="417"/>
      <c r="Q7" s="417"/>
      <c r="R7" s="417"/>
      <c r="S7" s="417"/>
      <c r="T7" s="417"/>
      <c r="U7" s="417"/>
      <c r="V7" s="417"/>
      <c r="W7" s="417"/>
      <c r="X7" s="417"/>
      <c r="Y7" s="417"/>
      <c r="Z7" s="417"/>
      <c r="AA7" s="417"/>
      <c r="AB7" s="417"/>
      <c r="AC7" s="417"/>
      <c r="AD7" s="417"/>
      <c r="AE7" s="417"/>
      <c r="AF7" s="417"/>
      <c r="AG7" s="417"/>
      <c r="AH7" s="417"/>
      <c r="AI7" s="417"/>
      <c r="AJ7" s="417"/>
      <c r="AK7" s="417"/>
      <c r="AL7" s="417"/>
      <c r="AM7" s="417"/>
      <c r="AN7" s="417"/>
      <c r="AO7" s="417"/>
      <c r="AP7" s="417"/>
      <c r="AQ7" s="417"/>
      <c r="AR7" s="417"/>
      <c r="AS7" s="417"/>
      <c r="AT7" s="417"/>
      <c r="AU7" s="417"/>
      <c r="AV7" s="417"/>
      <c r="AW7" s="417"/>
      <c r="AX7" s="417"/>
      <c r="AY7" s="417"/>
      <c r="AZ7" s="417"/>
      <c r="BA7" s="417"/>
      <c r="BB7" s="417"/>
      <c r="BC7" s="417"/>
      <c r="BD7" s="417"/>
      <c r="BE7" s="417"/>
      <c r="BF7" s="417"/>
      <c r="BG7" s="417"/>
      <c r="BH7" s="417"/>
      <c r="BI7" s="417"/>
      <c r="BJ7" s="417"/>
      <c r="BK7" s="417"/>
      <c r="BL7" s="417"/>
      <c r="BM7" s="417"/>
      <c r="BN7" s="417"/>
      <c r="BO7" s="417"/>
      <c r="BP7" s="417"/>
      <c r="BQ7" s="417"/>
      <c r="BR7" s="417"/>
      <c r="BS7" s="417"/>
      <c r="BT7" s="417"/>
      <c r="BU7" s="417"/>
      <c r="BV7" s="417"/>
      <c r="BW7" s="417"/>
      <c r="BX7" s="417"/>
      <c r="BY7" s="417"/>
      <c r="BZ7" s="417"/>
      <c r="CA7" s="417"/>
      <c r="CB7" s="417"/>
      <c r="CC7" s="417"/>
      <c r="CD7" s="417"/>
      <c r="CE7" s="417"/>
      <c r="CF7" s="417"/>
      <c r="CG7" s="417"/>
      <c r="CH7" s="417"/>
      <c r="CI7" s="417"/>
      <c r="CJ7" s="417"/>
      <c r="CK7" s="417"/>
      <c r="CL7" s="417"/>
      <c r="CM7" s="417"/>
      <c r="CN7" s="417"/>
      <c r="CO7" s="417"/>
      <c r="CP7" s="417"/>
      <c r="CQ7" s="417"/>
      <c r="CR7" s="417"/>
      <c r="CS7" s="417"/>
      <c r="CT7" s="417"/>
      <c r="CU7" s="417"/>
      <c r="CV7" s="417"/>
      <c r="CW7" s="417"/>
      <c r="CX7" s="417"/>
      <c r="CY7" s="417"/>
      <c r="CZ7" s="417"/>
      <c r="DA7" s="417"/>
      <c r="DB7" s="417"/>
      <c r="DC7" s="417"/>
      <c r="DD7" s="417"/>
      <c r="DE7" s="417"/>
      <c r="DF7" s="417"/>
      <c r="DG7" s="417"/>
      <c r="DH7" s="417"/>
      <c r="DI7" s="417"/>
      <c r="DJ7" s="417"/>
      <c r="DK7" s="417"/>
      <c r="DL7" s="417"/>
      <c r="DM7" s="417"/>
      <c r="DN7" s="417"/>
      <c r="DO7" s="417"/>
      <c r="DP7" s="417"/>
      <c r="DQ7" s="417"/>
      <c r="DR7" s="417"/>
      <c r="DS7" s="417"/>
      <c r="DT7" s="417"/>
      <c r="DU7" s="417"/>
      <c r="DV7" s="417"/>
      <c r="DW7" s="417"/>
      <c r="DX7" s="417"/>
      <c r="DY7" s="417"/>
      <c r="DZ7" s="417"/>
      <c r="EA7" s="417"/>
      <c r="EB7" s="417"/>
      <c r="EC7" s="417"/>
      <c r="ED7" s="417"/>
      <c r="EE7" s="417"/>
      <c r="EF7" s="417"/>
      <c r="EG7" s="417"/>
      <c r="EH7" s="417"/>
      <c r="EI7" s="417"/>
      <c r="EJ7" s="417"/>
      <c r="EK7" s="417"/>
      <c r="EL7" s="417"/>
      <c r="EM7" s="417"/>
      <c r="EN7" s="417"/>
      <c r="EO7" s="417"/>
      <c r="EP7" s="417"/>
      <c r="EQ7" s="417"/>
      <c r="ER7" s="417"/>
      <c r="ES7" s="417"/>
      <c r="ET7" s="417"/>
      <c r="EU7" s="417"/>
      <c r="EV7" s="417"/>
      <c r="EW7" s="417"/>
      <c r="EX7" s="417"/>
      <c r="EY7" s="417"/>
      <c r="EZ7" s="417"/>
      <c r="FA7" s="417"/>
      <c r="FB7" s="417"/>
      <c r="FC7" s="417"/>
      <c r="FD7" s="417"/>
      <c r="FE7" s="417"/>
      <c r="FF7" s="417"/>
      <c r="FG7" s="417"/>
      <c r="FH7" s="417"/>
      <c r="FI7" s="417"/>
      <c r="FJ7" s="417"/>
      <c r="FK7" s="417"/>
      <c r="FL7" s="417"/>
      <c r="FM7" s="417"/>
      <c r="FN7" s="417"/>
      <c r="FO7" s="417"/>
      <c r="FP7" s="417"/>
      <c r="FQ7" s="417"/>
      <c r="FR7" s="417"/>
      <c r="FS7" s="417"/>
      <c r="FT7" s="417"/>
      <c r="FU7" s="417"/>
      <c r="FV7" s="417"/>
      <c r="FW7" s="417"/>
      <c r="FX7" s="417"/>
      <c r="FY7" s="417"/>
      <c r="FZ7" s="417"/>
      <c r="GA7" s="417"/>
      <c r="GB7" s="417"/>
      <c r="GC7" s="417"/>
      <c r="GD7" s="417"/>
      <c r="GE7" s="417"/>
      <c r="GF7" s="417"/>
      <c r="GG7" s="417"/>
      <c r="GH7" s="417"/>
      <c r="GI7" s="417"/>
      <c r="GJ7" s="417"/>
      <c r="GK7" s="417"/>
      <c r="GL7" s="417"/>
    </row>
    <row r="8" spans="1:194" ht="32.25" customHeight="1">
      <c r="A8" s="1143"/>
      <c r="B8" s="1051"/>
      <c r="C8" s="1051"/>
      <c r="D8" s="1051"/>
      <c r="E8" s="1051"/>
      <c r="F8" s="1051"/>
      <c r="G8" s="1051"/>
      <c r="H8" s="24" t="s">
        <v>158</v>
      </c>
      <c r="I8" s="1051"/>
      <c r="J8" s="1051"/>
      <c r="K8" s="1051"/>
      <c r="L8" s="10"/>
      <c r="M8" s="33">
        <v>33600</v>
      </c>
      <c r="N8" s="1051"/>
      <c r="O8" s="1051"/>
      <c r="P8" s="417"/>
      <c r="Q8" s="417"/>
      <c r="R8" s="417"/>
      <c r="S8" s="417"/>
      <c r="T8" s="417"/>
      <c r="U8" s="417"/>
      <c r="V8" s="417"/>
      <c r="W8" s="417"/>
      <c r="X8" s="417"/>
      <c r="Y8" s="417"/>
      <c r="Z8" s="417"/>
      <c r="AA8" s="417"/>
      <c r="AB8" s="417"/>
      <c r="AC8" s="417"/>
      <c r="AD8" s="417"/>
      <c r="AE8" s="417"/>
      <c r="AF8" s="417"/>
      <c r="AG8" s="417"/>
      <c r="AH8" s="417"/>
      <c r="AI8" s="417"/>
      <c r="AJ8" s="417"/>
      <c r="AK8" s="417"/>
      <c r="AL8" s="417"/>
      <c r="AM8" s="417"/>
      <c r="AN8" s="417"/>
      <c r="AO8" s="417"/>
      <c r="AP8" s="417"/>
      <c r="AQ8" s="417"/>
      <c r="AR8" s="417"/>
      <c r="AS8" s="417"/>
      <c r="AT8" s="417"/>
      <c r="AU8" s="417"/>
      <c r="AV8" s="417"/>
      <c r="AW8" s="417"/>
      <c r="AX8" s="417"/>
      <c r="AY8" s="417"/>
      <c r="AZ8" s="417"/>
      <c r="BA8" s="417"/>
      <c r="BB8" s="417"/>
      <c r="BC8" s="417"/>
      <c r="BD8" s="417"/>
      <c r="BE8" s="417"/>
      <c r="BF8" s="417"/>
      <c r="BG8" s="417"/>
      <c r="BH8" s="417"/>
      <c r="BI8" s="417"/>
      <c r="BJ8" s="417"/>
      <c r="BK8" s="417"/>
      <c r="BL8" s="417"/>
      <c r="BM8" s="417"/>
      <c r="BN8" s="417"/>
      <c r="BO8" s="417"/>
      <c r="BP8" s="417"/>
      <c r="BQ8" s="417"/>
      <c r="BR8" s="417"/>
      <c r="BS8" s="417"/>
      <c r="BT8" s="417"/>
      <c r="BU8" s="417"/>
      <c r="BV8" s="417"/>
      <c r="BW8" s="417"/>
      <c r="BX8" s="417"/>
      <c r="BY8" s="417"/>
      <c r="BZ8" s="417"/>
      <c r="CA8" s="417"/>
      <c r="CB8" s="417"/>
      <c r="CC8" s="417"/>
      <c r="CD8" s="417"/>
      <c r="CE8" s="417"/>
      <c r="CF8" s="417"/>
      <c r="CG8" s="417"/>
      <c r="CH8" s="417"/>
      <c r="CI8" s="417"/>
      <c r="CJ8" s="417"/>
      <c r="CK8" s="417"/>
      <c r="CL8" s="417"/>
      <c r="CM8" s="417"/>
      <c r="CN8" s="417"/>
      <c r="CO8" s="417"/>
      <c r="CP8" s="417"/>
      <c r="CQ8" s="417"/>
      <c r="CR8" s="417"/>
      <c r="CS8" s="417"/>
      <c r="CT8" s="417"/>
      <c r="CU8" s="417"/>
      <c r="CV8" s="417"/>
      <c r="CW8" s="417"/>
      <c r="CX8" s="417"/>
      <c r="CY8" s="417"/>
      <c r="CZ8" s="417"/>
      <c r="DA8" s="417"/>
      <c r="DB8" s="417"/>
      <c r="DC8" s="417"/>
      <c r="DD8" s="417"/>
      <c r="DE8" s="417"/>
      <c r="DF8" s="417"/>
      <c r="DG8" s="417"/>
      <c r="DH8" s="417"/>
      <c r="DI8" s="417"/>
      <c r="DJ8" s="417"/>
      <c r="DK8" s="417"/>
      <c r="DL8" s="417"/>
      <c r="DM8" s="417"/>
      <c r="DN8" s="417"/>
      <c r="DO8" s="417"/>
      <c r="DP8" s="417"/>
      <c r="DQ8" s="417"/>
      <c r="DR8" s="417"/>
      <c r="DS8" s="417"/>
      <c r="DT8" s="417"/>
      <c r="DU8" s="417"/>
      <c r="DV8" s="417"/>
      <c r="DW8" s="417"/>
      <c r="DX8" s="417"/>
      <c r="DY8" s="417"/>
      <c r="DZ8" s="417"/>
      <c r="EA8" s="417"/>
      <c r="EB8" s="417"/>
      <c r="EC8" s="417"/>
      <c r="ED8" s="417"/>
      <c r="EE8" s="417"/>
      <c r="EF8" s="417"/>
      <c r="EG8" s="417"/>
      <c r="EH8" s="417"/>
      <c r="EI8" s="417"/>
      <c r="EJ8" s="417"/>
      <c r="EK8" s="417"/>
      <c r="EL8" s="417"/>
      <c r="EM8" s="417"/>
      <c r="EN8" s="417"/>
      <c r="EO8" s="417"/>
      <c r="EP8" s="417"/>
      <c r="EQ8" s="417"/>
      <c r="ER8" s="417"/>
      <c r="ES8" s="417"/>
      <c r="ET8" s="417"/>
      <c r="EU8" s="417"/>
      <c r="EV8" s="417"/>
      <c r="EW8" s="417"/>
      <c r="EX8" s="417"/>
      <c r="EY8" s="417"/>
      <c r="EZ8" s="417"/>
      <c r="FA8" s="417"/>
      <c r="FB8" s="417"/>
      <c r="FC8" s="417"/>
      <c r="FD8" s="417"/>
      <c r="FE8" s="417"/>
      <c r="FF8" s="417"/>
      <c r="FG8" s="417"/>
      <c r="FH8" s="417"/>
      <c r="FI8" s="417"/>
      <c r="FJ8" s="417"/>
      <c r="FK8" s="417"/>
      <c r="FL8" s="417"/>
      <c r="FM8" s="417"/>
      <c r="FN8" s="417"/>
      <c r="FO8" s="417"/>
      <c r="FP8" s="417"/>
      <c r="FQ8" s="417"/>
      <c r="FR8" s="417"/>
      <c r="FS8" s="417"/>
      <c r="FT8" s="417"/>
      <c r="FU8" s="417"/>
      <c r="FV8" s="417"/>
      <c r="FW8" s="417"/>
      <c r="FX8" s="417"/>
      <c r="FY8" s="417"/>
      <c r="FZ8" s="417"/>
      <c r="GA8" s="417"/>
      <c r="GB8" s="417"/>
      <c r="GC8" s="417"/>
      <c r="GD8" s="417"/>
      <c r="GE8" s="417"/>
      <c r="GF8" s="417"/>
      <c r="GG8" s="417"/>
      <c r="GH8" s="417"/>
      <c r="GI8" s="417"/>
      <c r="GJ8" s="417"/>
      <c r="GK8" s="417"/>
      <c r="GL8" s="417"/>
    </row>
    <row r="9" spans="1:194" ht="32.25" customHeight="1">
      <c r="A9" s="1143"/>
      <c r="B9" s="1052"/>
      <c r="C9" s="1052"/>
      <c r="D9" s="1052"/>
      <c r="E9" s="1052"/>
      <c r="F9" s="1052"/>
      <c r="G9" s="1052"/>
      <c r="H9" s="24" t="s">
        <v>157</v>
      </c>
      <c r="I9" s="1052"/>
      <c r="J9" s="1052"/>
      <c r="K9" s="1052"/>
      <c r="L9" s="10"/>
      <c r="M9" s="33">
        <v>1602900</v>
      </c>
      <c r="N9" s="1052"/>
      <c r="O9" s="1052"/>
      <c r="P9" s="417"/>
      <c r="Q9" s="417"/>
      <c r="R9" s="417"/>
      <c r="S9" s="417"/>
      <c r="T9" s="417"/>
      <c r="U9" s="417"/>
      <c r="V9" s="417"/>
      <c r="W9" s="417"/>
      <c r="X9" s="417"/>
      <c r="Y9" s="417"/>
      <c r="Z9" s="417"/>
      <c r="AA9" s="417"/>
      <c r="AB9" s="417"/>
      <c r="AC9" s="417"/>
      <c r="AD9" s="417"/>
      <c r="AE9" s="417"/>
      <c r="AF9" s="417"/>
      <c r="AG9" s="417"/>
      <c r="AH9" s="417"/>
      <c r="AI9" s="417"/>
      <c r="AJ9" s="417"/>
      <c r="AK9" s="417"/>
      <c r="AL9" s="417"/>
      <c r="AM9" s="417"/>
      <c r="AN9" s="417"/>
      <c r="AO9" s="417"/>
      <c r="AP9" s="417"/>
      <c r="AQ9" s="417"/>
      <c r="AR9" s="417"/>
      <c r="AS9" s="417"/>
      <c r="AT9" s="417"/>
      <c r="AU9" s="417"/>
      <c r="AV9" s="417"/>
      <c r="AW9" s="417"/>
      <c r="AX9" s="417"/>
      <c r="AY9" s="417"/>
      <c r="AZ9" s="417"/>
      <c r="BA9" s="417"/>
      <c r="BB9" s="417"/>
      <c r="BC9" s="417"/>
      <c r="BD9" s="417"/>
      <c r="BE9" s="417"/>
      <c r="BF9" s="417"/>
      <c r="BG9" s="417"/>
      <c r="BH9" s="417"/>
      <c r="BI9" s="417"/>
      <c r="BJ9" s="417"/>
      <c r="BK9" s="417"/>
      <c r="BL9" s="417"/>
      <c r="BM9" s="417"/>
      <c r="BN9" s="417"/>
      <c r="BO9" s="417"/>
      <c r="BP9" s="417"/>
      <c r="BQ9" s="417"/>
      <c r="BR9" s="417"/>
      <c r="BS9" s="417"/>
      <c r="BT9" s="417"/>
      <c r="BU9" s="417"/>
      <c r="BV9" s="417"/>
      <c r="BW9" s="417"/>
      <c r="BX9" s="417"/>
      <c r="BY9" s="417"/>
      <c r="BZ9" s="417"/>
      <c r="CA9" s="417"/>
      <c r="CB9" s="417"/>
      <c r="CC9" s="417"/>
      <c r="CD9" s="417"/>
      <c r="CE9" s="417"/>
      <c r="CF9" s="417"/>
      <c r="CG9" s="417"/>
      <c r="CH9" s="417"/>
      <c r="CI9" s="417"/>
      <c r="CJ9" s="417"/>
      <c r="CK9" s="417"/>
      <c r="CL9" s="417"/>
      <c r="CM9" s="417"/>
      <c r="CN9" s="417"/>
      <c r="CO9" s="417"/>
      <c r="CP9" s="417"/>
      <c r="CQ9" s="417"/>
      <c r="CR9" s="417"/>
      <c r="CS9" s="417"/>
      <c r="CT9" s="417"/>
      <c r="CU9" s="417"/>
      <c r="CV9" s="417"/>
      <c r="CW9" s="417"/>
      <c r="CX9" s="417"/>
      <c r="CY9" s="417"/>
      <c r="CZ9" s="417"/>
      <c r="DA9" s="417"/>
      <c r="DB9" s="417"/>
      <c r="DC9" s="417"/>
      <c r="DD9" s="417"/>
      <c r="DE9" s="417"/>
      <c r="DF9" s="417"/>
      <c r="DG9" s="417"/>
      <c r="DH9" s="417"/>
      <c r="DI9" s="417"/>
      <c r="DJ9" s="417"/>
      <c r="DK9" s="417"/>
      <c r="DL9" s="417"/>
      <c r="DM9" s="417"/>
      <c r="DN9" s="417"/>
      <c r="DO9" s="417"/>
      <c r="DP9" s="417"/>
      <c r="DQ9" s="417"/>
      <c r="DR9" s="417"/>
      <c r="DS9" s="417"/>
      <c r="DT9" s="417"/>
      <c r="DU9" s="417"/>
      <c r="DV9" s="417"/>
      <c r="DW9" s="417"/>
      <c r="DX9" s="417"/>
      <c r="DY9" s="417"/>
      <c r="DZ9" s="417"/>
      <c r="EA9" s="417"/>
      <c r="EB9" s="417"/>
      <c r="EC9" s="417"/>
      <c r="ED9" s="417"/>
      <c r="EE9" s="417"/>
      <c r="EF9" s="417"/>
      <c r="EG9" s="417"/>
      <c r="EH9" s="417"/>
      <c r="EI9" s="417"/>
      <c r="EJ9" s="417"/>
      <c r="EK9" s="417"/>
      <c r="EL9" s="417"/>
      <c r="EM9" s="417"/>
      <c r="EN9" s="417"/>
      <c r="EO9" s="417"/>
      <c r="EP9" s="417"/>
      <c r="EQ9" s="417"/>
      <c r="ER9" s="417"/>
      <c r="ES9" s="417"/>
      <c r="ET9" s="417"/>
      <c r="EU9" s="417"/>
      <c r="EV9" s="417"/>
      <c r="EW9" s="417"/>
      <c r="EX9" s="417"/>
      <c r="EY9" s="417"/>
      <c r="EZ9" s="417"/>
      <c r="FA9" s="417"/>
      <c r="FB9" s="417"/>
      <c r="FC9" s="417"/>
      <c r="FD9" s="417"/>
      <c r="FE9" s="417"/>
      <c r="FF9" s="417"/>
      <c r="FG9" s="417"/>
      <c r="FH9" s="417"/>
      <c r="FI9" s="417"/>
      <c r="FJ9" s="417"/>
      <c r="FK9" s="417"/>
      <c r="FL9" s="417"/>
      <c r="FM9" s="417"/>
      <c r="FN9" s="417"/>
      <c r="FO9" s="417"/>
      <c r="FP9" s="417"/>
      <c r="FQ9" s="417"/>
      <c r="FR9" s="417"/>
      <c r="FS9" s="417"/>
      <c r="FT9" s="417"/>
      <c r="FU9" s="417"/>
      <c r="FV9" s="417"/>
      <c r="FW9" s="417"/>
      <c r="FX9" s="417"/>
      <c r="FY9" s="417"/>
      <c r="FZ9" s="417"/>
      <c r="GA9" s="417"/>
      <c r="GB9" s="417"/>
      <c r="GC9" s="417"/>
      <c r="GD9" s="417"/>
      <c r="GE9" s="417"/>
      <c r="GF9" s="417"/>
      <c r="GG9" s="417"/>
      <c r="GH9" s="417"/>
      <c r="GI9" s="417"/>
      <c r="GJ9" s="417"/>
      <c r="GK9" s="417"/>
      <c r="GL9" s="417"/>
    </row>
    <row r="10" spans="1:194" ht="13">
      <c r="A10" s="440"/>
      <c r="B10" s="106" t="s">
        <v>159</v>
      </c>
      <c r="C10" s="106" t="s">
        <v>879</v>
      </c>
      <c r="D10" s="412" t="s">
        <v>874</v>
      </c>
      <c r="E10" s="277" t="s">
        <v>880</v>
      </c>
      <c r="F10" s="106" t="s">
        <v>79</v>
      </c>
      <c r="G10" s="106" t="s">
        <v>80</v>
      </c>
      <c r="H10" s="106" t="s">
        <v>161</v>
      </c>
      <c r="I10" s="413">
        <f>VLOOKUP(H10,'(참고)PJT목록'!A:D,4,0)</f>
        <v>45292</v>
      </c>
      <c r="J10" s="413">
        <f>VLOOKUP(H10,'(참고)PJT목록'!A:E,5,0)</f>
        <v>45657</v>
      </c>
      <c r="K10" s="154" t="s">
        <v>881</v>
      </c>
      <c r="L10" s="411"/>
      <c r="M10" s="415">
        <v>865000</v>
      </c>
      <c r="N10" s="277" t="s">
        <v>882</v>
      </c>
      <c r="O10" s="11" t="s">
        <v>883</v>
      </c>
      <c r="P10" s="417"/>
      <c r="Q10" s="417"/>
      <c r="R10" s="417"/>
      <c r="S10" s="417"/>
      <c r="T10" s="417"/>
      <c r="U10" s="417"/>
      <c r="V10" s="417"/>
      <c r="W10" s="417"/>
      <c r="X10" s="417"/>
      <c r="Y10" s="417"/>
      <c r="Z10" s="417"/>
      <c r="AA10" s="417"/>
      <c r="AB10" s="417"/>
      <c r="AC10" s="417"/>
      <c r="AD10" s="417"/>
      <c r="AE10" s="417"/>
      <c r="AF10" s="417"/>
      <c r="AG10" s="417"/>
      <c r="AH10" s="417"/>
      <c r="AI10" s="417"/>
      <c r="AJ10" s="417"/>
      <c r="AK10" s="417"/>
      <c r="AL10" s="417"/>
      <c r="AM10" s="417"/>
      <c r="AN10" s="417"/>
      <c r="AO10" s="417"/>
      <c r="AP10" s="417"/>
      <c r="AQ10" s="417"/>
      <c r="AR10" s="417"/>
      <c r="AS10" s="417"/>
      <c r="AT10" s="417"/>
      <c r="AU10" s="417"/>
      <c r="AV10" s="417"/>
      <c r="AW10" s="417"/>
      <c r="AX10" s="417"/>
      <c r="AY10" s="417"/>
      <c r="AZ10" s="417"/>
      <c r="BA10" s="417"/>
      <c r="BB10" s="417"/>
      <c r="BC10" s="417"/>
      <c r="BD10" s="417"/>
      <c r="BE10" s="417"/>
      <c r="BF10" s="417"/>
      <c r="BG10" s="417"/>
      <c r="BH10" s="417"/>
      <c r="BI10" s="417"/>
      <c r="BJ10" s="417"/>
      <c r="BK10" s="417"/>
      <c r="BL10" s="417"/>
      <c r="BM10" s="417"/>
      <c r="BN10" s="417"/>
      <c r="BO10" s="417"/>
      <c r="BP10" s="417"/>
      <c r="BQ10" s="417"/>
      <c r="BR10" s="417"/>
      <c r="BS10" s="417"/>
      <c r="BT10" s="417"/>
      <c r="BU10" s="417"/>
      <c r="BV10" s="417"/>
      <c r="BW10" s="417"/>
      <c r="BX10" s="417"/>
      <c r="BY10" s="417"/>
      <c r="BZ10" s="417"/>
      <c r="CA10" s="417"/>
      <c r="CB10" s="417"/>
      <c r="CC10" s="417"/>
      <c r="CD10" s="417"/>
      <c r="CE10" s="417"/>
      <c r="CF10" s="417"/>
      <c r="CG10" s="417"/>
      <c r="CH10" s="417"/>
      <c r="CI10" s="417"/>
      <c r="CJ10" s="417"/>
      <c r="CK10" s="417"/>
      <c r="CL10" s="417"/>
      <c r="CM10" s="417"/>
      <c r="CN10" s="417"/>
      <c r="CO10" s="417"/>
      <c r="CP10" s="417"/>
      <c r="CQ10" s="417"/>
      <c r="CR10" s="417"/>
      <c r="CS10" s="417"/>
      <c r="CT10" s="417"/>
      <c r="CU10" s="417"/>
      <c r="CV10" s="417"/>
      <c r="CW10" s="417"/>
      <c r="CX10" s="417"/>
      <c r="CY10" s="417"/>
      <c r="CZ10" s="417"/>
      <c r="DA10" s="417"/>
      <c r="DB10" s="417"/>
      <c r="DC10" s="417"/>
      <c r="DD10" s="417"/>
      <c r="DE10" s="417"/>
      <c r="DF10" s="417"/>
      <c r="DG10" s="417"/>
      <c r="DH10" s="417"/>
      <c r="DI10" s="417"/>
      <c r="DJ10" s="417"/>
      <c r="DK10" s="417"/>
      <c r="DL10" s="417"/>
      <c r="DM10" s="417"/>
      <c r="DN10" s="417"/>
      <c r="DO10" s="417"/>
      <c r="DP10" s="417"/>
      <c r="DQ10" s="417"/>
      <c r="DR10" s="417"/>
      <c r="DS10" s="417"/>
      <c r="DT10" s="417"/>
      <c r="DU10" s="417"/>
      <c r="DV10" s="417"/>
      <c r="DW10" s="417"/>
      <c r="DX10" s="417"/>
      <c r="DY10" s="417"/>
      <c r="DZ10" s="417"/>
      <c r="EA10" s="417"/>
      <c r="EB10" s="417"/>
      <c r="EC10" s="417"/>
      <c r="ED10" s="417"/>
      <c r="EE10" s="417"/>
      <c r="EF10" s="417"/>
      <c r="EG10" s="417"/>
      <c r="EH10" s="417"/>
      <c r="EI10" s="417"/>
      <c r="EJ10" s="417"/>
      <c r="EK10" s="417"/>
      <c r="EL10" s="417"/>
      <c r="EM10" s="417"/>
      <c r="EN10" s="417"/>
      <c r="EO10" s="417"/>
      <c r="EP10" s="417"/>
      <c r="EQ10" s="417"/>
      <c r="ER10" s="417"/>
      <c r="ES10" s="417"/>
      <c r="ET10" s="417"/>
      <c r="EU10" s="417"/>
      <c r="EV10" s="417"/>
      <c r="EW10" s="417"/>
      <c r="EX10" s="417"/>
      <c r="EY10" s="417"/>
      <c r="EZ10" s="417"/>
      <c r="FA10" s="417"/>
      <c r="FB10" s="417"/>
      <c r="FC10" s="417"/>
      <c r="FD10" s="417"/>
      <c r="FE10" s="417"/>
      <c r="FF10" s="417"/>
      <c r="FG10" s="417"/>
      <c r="FH10" s="417"/>
      <c r="FI10" s="417"/>
      <c r="FJ10" s="417"/>
      <c r="FK10" s="417"/>
      <c r="FL10" s="417"/>
      <c r="FM10" s="417"/>
      <c r="FN10" s="417"/>
      <c r="FO10" s="417"/>
      <c r="FP10" s="417"/>
      <c r="FQ10" s="417"/>
      <c r="FR10" s="417"/>
      <c r="FS10" s="417"/>
      <c r="FT10" s="417"/>
      <c r="FU10" s="417"/>
      <c r="FV10" s="417"/>
      <c r="FW10" s="417"/>
      <c r="FX10" s="417"/>
      <c r="FY10" s="417"/>
      <c r="FZ10" s="417"/>
      <c r="GA10" s="417"/>
      <c r="GB10" s="417"/>
      <c r="GC10" s="417"/>
      <c r="GD10" s="417"/>
      <c r="GE10" s="417"/>
      <c r="GF10" s="417"/>
      <c r="GG10" s="417"/>
      <c r="GH10" s="417"/>
      <c r="GI10" s="417"/>
      <c r="GJ10" s="417"/>
      <c r="GK10" s="417"/>
      <c r="GL10" s="417"/>
    </row>
    <row r="11" spans="1:194" ht="13">
      <c r="A11" s="440"/>
      <c r="B11" s="24" t="s">
        <v>162</v>
      </c>
      <c r="C11" s="24" t="s">
        <v>884</v>
      </c>
      <c r="D11" s="26" t="s">
        <v>885</v>
      </c>
      <c r="E11" s="81" t="s">
        <v>886</v>
      </c>
      <c r="F11" s="1050" t="s">
        <v>79</v>
      </c>
      <c r="G11" s="1079" t="s">
        <v>164</v>
      </c>
      <c r="H11" s="1079" t="s">
        <v>165</v>
      </c>
      <c r="I11" s="27">
        <f>VLOOKUP(H11,'(참고)PJT목록'!A:D,4,0)</f>
        <v>45139</v>
      </c>
      <c r="J11" s="27">
        <f>VLOOKUP(H11,'(참고)PJT목록'!A:E,5,0)</f>
        <v>46234</v>
      </c>
      <c r="K11" s="51" t="s">
        <v>887</v>
      </c>
      <c r="L11" s="10"/>
      <c r="M11" s="33">
        <v>4998310</v>
      </c>
      <c r="N11" s="81" t="s">
        <v>888</v>
      </c>
      <c r="O11" s="11" t="s">
        <v>889</v>
      </c>
      <c r="P11" s="417"/>
      <c r="Q11" s="417"/>
      <c r="R11" s="417"/>
      <c r="S11" s="417"/>
      <c r="T11" s="417"/>
      <c r="U11" s="417"/>
      <c r="V11" s="417"/>
      <c r="W11" s="417"/>
      <c r="X11" s="417"/>
      <c r="Y11" s="417"/>
      <c r="Z11" s="417"/>
      <c r="AA11" s="417"/>
      <c r="AB11" s="417"/>
      <c r="AC11" s="417"/>
      <c r="AD11" s="417"/>
      <c r="AE11" s="417"/>
      <c r="AF11" s="417"/>
      <c r="AG11" s="417"/>
      <c r="AH11" s="417"/>
      <c r="AI11" s="417"/>
      <c r="AJ11" s="417"/>
      <c r="AK11" s="417"/>
      <c r="AL11" s="417"/>
      <c r="AM11" s="417"/>
      <c r="AN11" s="417"/>
      <c r="AO11" s="417"/>
      <c r="AP11" s="417"/>
      <c r="AQ11" s="417"/>
      <c r="AR11" s="417"/>
      <c r="AS11" s="417"/>
      <c r="AT11" s="417"/>
      <c r="AU11" s="417"/>
      <c r="AV11" s="417"/>
      <c r="AW11" s="417"/>
      <c r="AX11" s="417"/>
      <c r="AY11" s="417"/>
      <c r="AZ11" s="417"/>
      <c r="BA11" s="417"/>
      <c r="BB11" s="417"/>
      <c r="BC11" s="417"/>
      <c r="BD11" s="417"/>
      <c r="BE11" s="417"/>
      <c r="BF11" s="417"/>
      <c r="BG11" s="417"/>
      <c r="BH11" s="417"/>
      <c r="BI11" s="417"/>
      <c r="BJ11" s="417"/>
      <c r="BK11" s="417"/>
      <c r="BL11" s="417"/>
      <c r="BM11" s="417"/>
      <c r="BN11" s="417"/>
      <c r="BO11" s="417"/>
      <c r="BP11" s="417"/>
      <c r="BQ11" s="417"/>
      <c r="BR11" s="417"/>
      <c r="BS11" s="417"/>
      <c r="BT11" s="417"/>
      <c r="BU11" s="417"/>
      <c r="BV11" s="417"/>
      <c r="BW11" s="417"/>
      <c r="BX11" s="417"/>
      <c r="BY11" s="417"/>
      <c r="BZ11" s="417"/>
      <c r="CA11" s="417"/>
      <c r="CB11" s="417"/>
      <c r="CC11" s="417"/>
      <c r="CD11" s="417"/>
      <c r="CE11" s="417"/>
      <c r="CF11" s="417"/>
      <c r="CG11" s="417"/>
      <c r="CH11" s="417"/>
      <c r="CI11" s="417"/>
      <c r="CJ11" s="417"/>
      <c r="CK11" s="417"/>
      <c r="CL11" s="417"/>
      <c r="CM11" s="417"/>
      <c r="CN11" s="417"/>
      <c r="CO11" s="417"/>
      <c r="CP11" s="417"/>
      <c r="CQ11" s="417"/>
      <c r="CR11" s="417"/>
      <c r="CS11" s="417"/>
      <c r="CT11" s="417"/>
      <c r="CU11" s="417"/>
      <c r="CV11" s="417"/>
      <c r="CW11" s="417"/>
      <c r="CX11" s="417"/>
      <c r="CY11" s="417"/>
      <c r="CZ11" s="417"/>
      <c r="DA11" s="417"/>
      <c r="DB11" s="417"/>
      <c r="DC11" s="417"/>
      <c r="DD11" s="417"/>
      <c r="DE11" s="417"/>
      <c r="DF11" s="417"/>
      <c r="DG11" s="417"/>
      <c r="DH11" s="417"/>
      <c r="DI11" s="417"/>
      <c r="DJ11" s="417"/>
      <c r="DK11" s="417"/>
      <c r="DL11" s="417"/>
      <c r="DM11" s="417"/>
      <c r="DN11" s="417"/>
      <c r="DO11" s="417"/>
      <c r="DP11" s="417"/>
      <c r="DQ11" s="417"/>
      <c r="DR11" s="417"/>
      <c r="DS11" s="417"/>
      <c r="DT11" s="417"/>
      <c r="DU11" s="417"/>
      <c r="DV11" s="417"/>
      <c r="DW11" s="417"/>
      <c r="DX11" s="417"/>
      <c r="DY11" s="417"/>
      <c r="DZ11" s="417"/>
      <c r="EA11" s="417"/>
      <c r="EB11" s="417"/>
      <c r="EC11" s="417"/>
      <c r="ED11" s="417"/>
      <c r="EE11" s="417"/>
      <c r="EF11" s="417"/>
      <c r="EG11" s="417"/>
      <c r="EH11" s="417"/>
      <c r="EI11" s="417"/>
      <c r="EJ11" s="417"/>
      <c r="EK11" s="417"/>
      <c r="EL11" s="417"/>
      <c r="EM11" s="417"/>
      <c r="EN11" s="417"/>
      <c r="EO11" s="417"/>
      <c r="EP11" s="417"/>
      <c r="EQ11" s="417"/>
      <c r="ER11" s="417"/>
      <c r="ES11" s="417"/>
      <c r="ET11" s="417"/>
      <c r="EU11" s="417"/>
      <c r="EV11" s="417"/>
      <c r="EW11" s="417"/>
      <c r="EX11" s="417"/>
      <c r="EY11" s="417"/>
      <c r="EZ11" s="417"/>
      <c r="FA11" s="417"/>
      <c r="FB11" s="417"/>
      <c r="FC11" s="417"/>
      <c r="FD11" s="417"/>
      <c r="FE11" s="417"/>
      <c r="FF11" s="417"/>
      <c r="FG11" s="417"/>
      <c r="FH11" s="417"/>
      <c r="FI11" s="417"/>
      <c r="FJ11" s="417"/>
      <c r="FK11" s="417"/>
      <c r="FL11" s="417"/>
      <c r="FM11" s="417"/>
      <c r="FN11" s="417"/>
      <c r="FO11" s="417"/>
      <c r="FP11" s="417"/>
      <c r="FQ11" s="417"/>
      <c r="FR11" s="417"/>
      <c r="FS11" s="417"/>
      <c r="FT11" s="417"/>
      <c r="FU11" s="417"/>
      <c r="FV11" s="417"/>
      <c r="FW11" s="417"/>
      <c r="FX11" s="417"/>
      <c r="FY11" s="417"/>
      <c r="FZ11" s="417"/>
      <c r="GA11" s="417"/>
      <c r="GB11" s="417"/>
      <c r="GC11" s="417"/>
      <c r="GD11" s="417"/>
      <c r="GE11" s="417"/>
      <c r="GF11" s="417"/>
      <c r="GG11" s="417"/>
      <c r="GH11" s="417"/>
      <c r="GI11" s="417"/>
      <c r="GJ11" s="417"/>
      <c r="GK11" s="417"/>
      <c r="GL11" s="417"/>
    </row>
    <row r="12" spans="1:194" ht="13">
      <c r="A12" s="440"/>
      <c r="B12" s="24" t="s">
        <v>162</v>
      </c>
      <c r="C12" s="24" t="s">
        <v>884</v>
      </c>
      <c r="D12" s="26" t="s">
        <v>885</v>
      </c>
      <c r="E12" s="81" t="s">
        <v>890</v>
      </c>
      <c r="F12" s="1052"/>
      <c r="G12" s="1052"/>
      <c r="H12" s="1052"/>
      <c r="I12" s="40">
        <v>43466</v>
      </c>
      <c r="J12" s="40">
        <v>45657</v>
      </c>
      <c r="K12" s="51" t="s">
        <v>891</v>
      </c>
      <c r="L12" s="10"/>
      <c r="M12" s="33">
        <v>19170990</v>
      </c>
      <c r="N12" s="81" t="s">
        <v>892</v>
      </c>
      <c r="O12" s="11" t="s">
        <v>889</v>
      </c>
      <c r="P12" s="417"/>
      <c r="Q12" s="417"/>
      <c r="R12" s="417"/>
      <c r="S12" s="417"/>
      <c r="T12" s="417"/>
      <c r="U12" s="417"/>
      <c r="V12" s="417"/>
      <c r="W12" s="417"/>
      <c r="X12" s="417"/>
      <c r="Y12" s="417"/>
      <c r="Z12" s="417"/>
      <c r="AA12" s="417"/>
      <c r="AB12" s="417"/>
      <c r="AC12" s="417"/>
      <c r="AD12" s="417"/>
      <c r="AE12" s="417"/>
      <c r="AF12" s="417"/>
      <c r="AG12" s="417"/>
      <c r="AH12" s="417"/>
      <c r="AI12" s="417"/>
      <c r="AJ12" s="417"/>
      <c r="AK12" s="417"/>
      <c r="AL12" s="417"/>
      <c r="AM12" s="417"/>
      <c r="AN12" s="417"/>
      <c r="AO12" s="417"/>
      <c r="AP12" s="417"/>
      <c r="AQ12" s="417"/>
      <c r="AR12" s="417"/>
      <c r="AS12" s="417"/>
      <c r="AT12" s="417"/>
      <c r="AU12" s="417"/>
      <c r="AV12" s="417"/>
      <c r="AW12" s="417"/>
      <c r="AX12" s="417"/>
      <c r="AY12" s="417"/>
      <c r="AZ12" s="417"/>
      <c r="BA12" s="417"/>
      <c r="BB12" s="417"/>
      <c r="BC12" s="417"/>
      <c r="BD12" s="417"/>
      <c r="BE12" s="417"/>
      <c r="BF12" s="417"/>
      <c r="BG12" s="417"/>
      <c r="BH12" s="417"/>
      <c r="BI12" s="417"/>
      <c r="BJ12" s="417"/>
      <c r="BK12" s="417"/>
      <c r="BL12" s="417"/>
      <c r="BM12" s="417"/>
      <c r="BN12" s="417"/>
      <c r="BO12" s="417"/>
      <c r="BP12" s="417"/>
      <c r="BQ12" s="417"/>
      <c r="BR12" s="417"/>
      <c r="BS12" s="417"/>
      <c r="BT12" s="417"/>
      <c r="BU12" s="417"/>
      <c r="BV12" s="417"/>
      <c r="BW12" s="417"/>
      <c r="BX12" s="417"/>
      <c r="BY12" s="417"/>
      <c r="BZ12" s="417"/>
      <c r="CA12" s="417"/>
      <c r="CB12" s="417"/>
      <c r="CC12" s="417"/>
      <c r="CD12" s="417"/>
      <c r="CE12" s="417"/>
      <c r="CF12" s="417"/>
      <c r="CG12" s="417"/>
      <c r="CH12" s="417"/>
      <c r="CI12" s="417"/>
      <c r="CJ12" s="417"/>
      <c r="CK12" s="417"/>
      <c r="CL12" s="417"/>
      <c r="CM12" s="417"/>
      <c r="CN12" s="417"/>
      <c r="CO12" s="417"/>
      <c r="CP12" s="417"/>
      <c r="CQ12" s="417"/>
      <c r="CR12" s="417"/>
      <c r="CS12" s="417"/>
      <c r="CT12" s="417"/>
      <c r="CU12" s="417"/>
      <c r="CV12" s="417"/>
      <c r="CW12" s="417"/>
      <c r="CX12" s="417"/>
      <c r="CY12" s="417"/>
      <c r="CZ12" s="417"/>
      <c r="DA12" s="417"/>
      <c r="DB12" s="417"/>
      <c r="DC12" s="417"/>
      <c r="DD12" s="417"/>
      <c r="DE12" s="417"/>
      <c r="DF12" s="417"/>
      <c r="DG12" s="417"/>
      <c r="DH12" s="417"/>
      <c r="DI12" s="417"/>
      <c r="DJ12" s="417"/>
      <c r="DK12" s="417"/>
      <c r="DL12" s="417"/>
      <c r="DM12" s="417"/>
      <c r="DN12" s="417"/>
      <c r="DO12" s="417"/>
      <c r="DP12" s="417"/>
      <c r="DQ12" s="417"/>
      <c r="DR12" s="417"/>
      <c r="DS12" s="417"/>
      <c r="DT12" s="417"/>
      <c r="DU12" s="417"/>
      <c r="DV12" s="417"/>
      <c r="DW12" s="417"/>
      <c r="DX12" s="417"/>
      <c r="DY12" s="417"/>
      <c r="DZ12" s="417"/>
      <c r="EA12" s="417"/>
      <c r="EB12" s="417"/>
      <c r="EC12" s="417"/>
      <c r="ED12" s="417"/>
      <c r="EE12" s="417"/>
      <c r="EF12" s="417"/>
      <c r="EG12" s="417"/>
      <c r="EH12" s="417"/>
      <c r="EI12" s="417"/>
      <c r="EJ12" s="417"/>
      <c r="EK12" s="417"/>
      <c r="EL12" s="417"/>
      <c r="EM12" s="417"/>
      <c r="EN12" s="417"/>
      <c r="EO12" s="417"/>
      <c r="EP12" s="417"/>
      <c r="EQ12" s="417"/>
      <c r="ER12" s="417"/>
      <c r="ES12" s="417"/>
      <c r="ET12" s="417"/>
      <c r="EU12" s="417"/>
      <c r="EV12" s="417"/>
      <c r="EW12" s="417"/>
      <c r="EX12" s="417"/>
      <c r="EY12" s="417"/>
      <c r="EZ12" s="417"/>
      <c r="FA12" s="417"/>
      <c r="FB12" s="417"/>
      <c r="FC12" s="417"/>
      <c r="FD12" s="417"/>
      <c r="FE12" s="417"/>
      <c r="FF12" s="417"/>
      <c r="FG12" s="417"/>
      <c r="FH12" s="417"/>
      <c r="FI12" s="417"/>
      <c r="FJ12" s="417"/>
      <c r="FK12" s="417"/>
      <c r="FL12" s="417"/>
      <c r="FM12" s="417"/>
      <c r="FN12" s="417"/>
      <c r="FO12" s="417"/>
      <c r="FP12" s="417"/>
      <c r="FQ12" s="417"/>
      <c r="FR12" s="417"/>
      <c r="FS12" s="417"/>
      <c r="FT12" s="417"/>
      <c r="FU12" s="417"/>
      <c r="FV12" s="417"/>
      <c r="FW12" s="417"/>
      <c r="FX12" s="417"/>
      <c r="FY12" s="417"/>
      <c r="FZ12" s="417"/>
      <c r="GA12" s="417"/>
      <c r="GB12" s="417"/>
      <c r="GC12" s="417"/>
      <c r="GD12" s="417"/>
      <c r="GE12" s="417"/>
      <c r="GF12" s="417"/>
      <c r="GG12" s="417"/>
      <c r="GH12" s="417"/>
      <c r="GI12" s="417"/>
      <c r="GJ12" s="417"/>
      <c r="GK12" s="417"/>
      <c r="GL12" s="417"/>
    </row>
    <row r="13" spans="1:194" ht="13">
      <c r="A13" s="440"/>
      <c r="B13" s="24" t="s">
        <v>45</v>
      </c>
      <c r="C13" s="24" t="s">
        <v>142</v>
      </c>
      <c r="D13" s="26" t="s">
        <v>893</v>
      </c>
      <c r="E13" s="81" t="s">
        <v>894</v>
      </c>
      <c r="F13" s="51" t="s">
        <v>79</v>
      </c>
      <c r="G13" s="51" t="s">
        <v>168</v>
      </c>
      <c r="H13" s="51" t="s">
        <v>169</v>
      </c>
      <c r="I13" s="27">
        <f>VLOOKUP(H13,'(참고)PJT목록'!A:D,4,0)</f>
        <v>41699</v>
      </c>
      <c r="J13" s="40">
        <f>VLOOKUP(H13,'(참고)PJT목록'!A:E,5,0)</f>
        <v>45565</v>
      </c>
      <c r="K13" s="51" t="s">
        <v>895</v>
      </c>
      <c r="L13" s="442" t="s">
        <v>303</v>
      </c>
      <c r="M13" s="33">
        <v>9388000</v>
      </c>
      <c r="N13" s="81" t="s">
        <v>896</v>
      </c>
      <c r="O13" s="11" t="s">
        <v>897</v>
      </c>
      <c r="P13" s="417"/>
      <c r="Q13" s="417"/>
      <c r="R13" s="417"/>
      <c r="S13" s="417"/>
      <c r="T13" s="417"/>
      <c r="U13" s="417"/>
      <c r="V13" s="417"/>
      <c r="W13" s="417"/>
      <c r="X13" s="417"/>
      <c r="Y13" s="417"/>
      <c r="Z13" s="417"/>
      <c r="AA13" s="417"/>
      <c r="AB13" s="417"/>
      <c r="AC13" s="417"/>
      <c r="AD13" s="417"/>
      <c r="AE13" s="417"/>
      <c r="AF13" s="417"/>
      <c r="AG13" s="417"/>
      <c r="AH13" s="417"/>
      <c r="AI13" s="417"/>
      <c r="AJ13" s="417"/>
      <c r="AK13" s="417"/>
      <c r="AL13" s="417"/>
      <c r="AM13" s="417"/>
      <c r="AN13" s="417"/>
      <c r="AO13" s="417"/>
      <c r="AP13" s="417"/>
      <c r="AQ13" s="417"/>
      <c r="AR13" s="417"/>
      <c r="AS13" s="417"/>
      <c r="AT13" s="417"/>
      <c r="AU13" s="417"/>
      <c r="AV13" s="417"/>
      <c r="AW13" s="417"/>
      <c r="AX13" s="417"/>
      <c r="AY13" s="417"/>
      <c r="AZ13" s="417"/>
      <c r="BA13" s="417"/>
      <c r="BB13" s="417"/>
      <c r="BC13" s="417"/>
      <c r="BD13" s="417"/>
      <c r="BE13" s="417"/>
      <c r="BF13" s="417"/>
      <c r="BG13" s="417"/>
      <c r="BH13" s="417"/>
      <c r="BI13" s="417"/>
      <c r="BJ13" s="417"/>
      <c r="BK13" s="417"/>
      <c r="BL13" s="417"/>
      <c r="BM13" s="417"/>
      <c r="BN13" s="417"/>
      <c r="BO13" s="417"/>
      <c r="BP13" s="417"/>
      <c r="BQ13" s="417"/>
      <c r="BR13" s="417"/>
      <c r="BS13" s="417"/>
      <c r="BT13" s="417"/>
      <c r="BU13" s="417"/>
      <c r="BV13" s="417"/>
      <c r="BW13" s="417"/>
      <c r="BX13" s="417"/>
      <c r="BY13" s="417"/>
      <c r="BZ13" s="417"/>
      <c r="CA13" s="417"/>
      <c r="CB13" s="417"/>
      <c r="CC13" s="417"/>
      <c r="CD13" s="417"/>
      <c r="CE13" s="417"/>
      <c r="CF13" s="417"/>
      <c r="CG13" s="417"/>
      <c r="CH13" s="417"/>
      <c r="CI13" s="417"/>
      <c r="CJ13" s="417"/>
      <c r="CK13" s="417"/>
      <c r="CL13" s="417"/>
      <c r="CM13" s="417"/>
      <c r="CN13" s="417"/>
      <c r="CO13" s="417"/>
      <c r="CP13" s="417"/>
      <c r="CQ13" s="417"/>
      <c r="CR13" s="417"/>
      <c r="CS13" s="417"/>
      <c r="CT13" s="417"/>
      <c r="CU13" s="417"/>
      <c r="CV13" s="417"/>
      <c r="CW13" s="417"/>
      <c r="CX13" s="417"/>
      <c r="CY13" s="417"/>
      <c r="CZ13" s="417"/>
      <c r="DA13" s="417"/>
      <c r="DB13" s="417"/>
      <c r="DC13" s="417"/>
      <c r="DD13" s="417"/>
      <c r="DE13" s="417"/>
      <c r="DF13" s="417"/>
      <c r="DG13" s="417"/>
      <c r="DH13" s="417"/>
      <c r="DI13" s="417"/>
      <c r="DJ13" s="417"/>
      <c r="DK13" s="417"/>
      <c r="DL13" s="417"/>
      <c r="DM13" s="417"/>
      <c r="DN13" s="417"/>
      <c r="DO13" s="417"/>
      <c r="DP13" s="417"/>
      <c r="DQ13" s="417"/>
      <c r="DR13" s="417"/>
      <c r="DS13" s="417"/>
      <c r="DT13" s="417"/>
      <c r="DU13" s="417"/>
      <c r="DV13" s="417"/>
      <c r="DW13" s="417"/>
      <c r="DX13" s="417"/>
      <c r="DY13" s="417"/>
      <c r="DZ13" s="417"/>
      <c r="EA13" s="417"/>
      <c r="EB13" s="417"/>
      <c r="EC13" s="417"/>
      <c r="ED13" s="417"/>
      <c r="EE13" s="417"/>
      <c r="EF13" s="417"/>
      <c r="EG13" s="417"/>
      <c r="EH13" s="417"/>
      <c r="EI13" s="417"/>
      <c r="EJ13" s="417"/>
      <c r="EK13" s="417"/>
      <c r="EL13" s="417"/>
      <c r="EM13" s="417"/>
      <c r="EN13" s="417"/>
      <c r="EO13" s="417"/>
      <c r="EP13" s="417"/>
      <c r="EQ13" s="417"/>
      <c r="ER13" s="417"/>
      <c r="ES13" s="417"/>
      <c r="ET13" s="417"/>
      <c r="EU13" s="417"/>
      <c r="EV13" s="417"/>
      <c r="EW13" s="417"/>
      <c r="EX13" s="417"/>
      <c r="EY13" s="417"/>
      <c r="EZ13" s="417"/>
      <c r="FA13" s="417"/>
      <c r="FB13" s="417"/>
      <c r="FC13" s="417"/>
      <c r="FD13" s="417"/>
      <c r="FE13" s="417"/>
      <c r="FF13" s="417"/>
      <c r="FG13" s="417"/>
      <c r="FH13" s="417"/>
      <c r="FI13" s="417"/>
      <c r="FJ13" s="417"/>
      <c r="FK13" s="417"/>
      <c r="FL13" s="417"/>
      <c r="FM13" s="417"/>
      <c r="FN13" s="417"/>
      <c r="FO13" s="417"/>
      <c r="FP13" s="417"/>
      <c r="FQ13" s="417"/>
      <c r="FR13" s="417"/>
      <c r="FS13" s="417"/>
      <c r="FT13" s="417"/>
      <c r="FU13" s="417"/>
      <c r="FV13" s="417"/>
      <c r="FW13" s="417"/>
      <c r="FX13" s="417"/>
      <c r="FY13" s="417"/>
      <c r="FZ13" s="417"/>
      <c r="GA13" s="417"/>
      <c r="GB13" s="417"/>
      <c r="GC13" s="417"/>
      <c r="GD13" s="417"/>
      <c r="GE13" s="417"/>
      <c r="GF13" s="417"/>
      <c r="GG13" s="417"/>
      <c r="GH13" s="417"/>
      <c r="GI13" s="417"/>
      <c r="GJ13" s="417"/>
      <c r="GK13" s="417"/>
      <c r="GL13" s="417"/>
    </row>
    <row r="14" spans="1:194" ht="13">
      <c r="A14" s="440"/>
      <c r="B14" s="24" t="s">
        <v>45</v>
      </c>
      <c r="C14" s="24" t="s">
        <v>142</v>
      </c>
      <c r="D14" s="26" t="s">
        <v>893</v>
      </c>
      <c r="E14" s="81" t="s">
        <v>898</v>
      </c>
      <c r="F14" s="51" t="s">
        <v>79</v>
      </c>
      <c r="G14" s="51" t="s">
        <v>168</v>
      </c>
      <c r="H14" s="51" t="s">
        <v>169</v>
      </c>
      <c r="I14" s="27">
        <f>VLOOKUP(H14,'(참고)PJT목록'!A:D,4,0)</f>
        <v>41699</v>
      </c>
      <c r="J14" s="40">
        <f>VLOOKUP(H14,'(참고)PJT목록'!A:E,5,0)</f>
        <v>45565</v>
      </c>
      <c r="K14" s="51" t="s">
        <v>899</v>
      </c>
      <c r="L14" s="442" t="s">
        <v>303</v>
      </c>
      <c r="M14" s="33">
        <v>2059456</v>
      </c>
      <c r="N14" s="81" t="s">
        <v>900</v>
      </c>
      <c r="O14" s="11" t="s">
        <v>901</v>
      </c>
      <c r="P14" s="417"/>
      <c r="Q14" s="417"/>
      <c r="R14" s="417"/>
      <c r="S14" s="417"/>
      <c r="T14" s="417"/>
      <c r="U14" s="417"/>
      <c r="V14" s="417"/>
      <c r="W14" s="417"/>
      <c r="X14" s="417"/>
      <c r="Y14" s="417"/>
      <c r="Z14" s="417"/>
      <c r="AA14" s="417"/>
      <c r="AB14" s="417"/>
      <c r="AC14" s="417"/>
      <c r="AD14" s="417"/>
      <c r="AE14" s="417"/>
      <c r="AF14" s="417"/>
      <c r="AG14" s="417"/>
      <c r="AH14" s="417"/>
      <c r="AI14" s="417"/>
      <c r="AJ14" s="417"/>
      <c r="AK14" s="417"/>
      <c r="AL14" s="417"/>
      <c r="AM14" s="417"/>
      <c r="AN14" s="417"/>
      <c r="AO14" s="417"/>
      <c r="AP14" s="417"/>
      <c r="AQ14" s="417"/>
      <c r="AR14" s="417"/>
      <c r="AS14" s="417"/>
      <c r="AT14" s="417"/>
      <c r="AU14" s="417"/>
      <c r="AV14" s="417"/>
      <c r="AW14" s="417"/>
      <c r="AX14" s="417"/>
      <c r="AY14" s="417"/>
      <c r="AZ14" s="417"/>
      <c r="BA14" s="417"/>
      <c r="BB14" s="417"/>
      <c r="BC14" s="417"/>
      <c r="BD14" s="417"/>
      <c r="BE14" s="417"/>
      <c r="BF14" s="417"/>
      <c r="BG14" s="417"/>
      <c r="BH14" s="417"/>
      <c r="BI14" s="417"/>
      <c r="BJ14" s="417"/>
      <c r="BK14" s="417"/>
      <c r="BL14" s="417"/>
      <c r="BM14" s="417"/>
      <c r="BN14" s="417"/>
      <c r="BO14" s="417"/>
      <c r="BP14" s="417"/>
      <c r="BQ14" s="417"/>
      <c r="BR14" s="417"/>
      <c r="BS14" s="417"/>
      <c r="BT14" s="417"/>
      <c r="BU14" s="417"/>
      <c r="BV14" s="417"/>
      <c r="BW14" s="417"/>
      <c r="BX14" s="417"/>
      <c r="BY14" s="417"/>
      <c r="BZ14" s="417"/>
      <c r="CA14" s="417"/>
      <c r="CB14" s="417"/>
      <c r="CC14" s="417"/>
      <c r="CD14" s="417"/>
      <c r="CE14" s="417"/>
      <c r="CF14" s="417"/>
      <c r="CG14" s="417"/>
      <c r="CH14" s="417"/>
      <c r="CI14" s="417"/>
      <c r="CJ14" s="417"/>
      <c r="CK14" s="417"/>
      <c r="CL14" s="417"/>
      <c r="CM14" s="417"/>
      <c r="CN14" s="417"/>
      <c r="CO14" s="417"/>
      <c r="CP14" s="417"/>
      <c r="CQ14" s="417"/>
      <c r="CR14" s="417"/>
      <c r="CS14" s="417"/>
      <c r="CT14" s="417"/>
      <c r="CU14" s="417"/>
      <c r="CV14" s="417"/>
      <c r="CW14" s="417"/>
      <c r="CX14" s="417"/>
      <c r="CY14" s="417"/>
      <c r="CZ14" s="417"/>
      <c r="DA14" s="417"/>
      <c r="DB14" s="417"/>
      <c r="DC14" s="417"/>
      <c r="DD14" s="417"/>
      <c r="DE14" s="417"/>
      <c r="DF14" s="417"/>
      <c r="DG14" s="417"/>
      <c r="DH14" s="417"/>
      <c r="DI14" s="417"/>
      <c r="DJ14" s="417"/>
      <c r="DK14" s="417"/>
      <c r="DL14" s="417"/>
      <c r="DM14" s="417"/>
      <c r="DN14" s="417"/>
      <c r="DO14" s="417"/>
      <c r="DP14" s="417"/>
      <c r="DQ14" s="417"/>
      <c r="DR14" s="417"/>
      <c r="DS14" s="417"/>
      <c r="DT14" s="417"/>
      <c r="DU14" s="417"/>
      <c r="DV14" s="417"/>
      <c r="DW14" s="417"/>
      <c r="DX14" s="417"/>
      <c r="DY14" s="417"/>
      <c r="DZ14" s="417"/>
      <c r="EA14" s="417"/>
      <c r="EB14" s="417"/>
      <c r="EC14" s="417"/>
      <c r="ED14" s="417"/>
      <c r="EE14" s="417"/>
      <c r="EF14" s="417"/>
      <c r="EG14" s="417"/>
      <c r="EH14" s="417"/>
      <c r="EI14" s="417"/>
      <c r="EJ14" s="417"/>
      <c r="EK14" s="417"/>
      <c r="EL14" s="417"/>
      <c r="EM14" s="417"/>
      <c r="EN14" s="417"/>
      <c r="EO14" s="417"/>
      <c r="EP14" s="417"/>
      <c r="EQ14" s="417"/>
      <c r="ER14" s="417"/>
      <c r="ES14" s="417"/>
      <c r="ET14" s="417"/>
      <c r="EU14" s="417"/>
      <c r="EV14" s="417"/>
      <c r="EW14" s="417"/>
      <c r="EX14" s="417"/>
      <c r="EY14" s="417"/>
      <c r="EZ14" s="417"/>
      <c r="FA14" s="417"/>
      <c r="FB14" s="417"/>
      <c r="FC14" s="417"/>
      <c r="FD14" s="417"/>
      <c r="FE14" s="417"/>
      <c r="FF14" s="417"/>
      <c r="FG14" s="417"/>
      <c r="FH14" s="417"/>
      <c r="FI14" s="417"/>
      <c r="FJ14" s="417"/>
      <c r="FK14" s="417"/>
      <c r="FL14" s="417"/>
      <c r="FM14" s="417"/>
      <c r="FN14" s="417"/>
      <c r="FO14" s="417"/>
      <c r="FP14" s="417"/>
      <c r="FQ14" s="417"/>
      <c r="FR14" s="417"/>
      <c r="FS14" s="417"/>
      <c r="FT14" s="417"/>
      <c r="FU14" s="417"/>
      <c r="FV14" s="417"/>
      <c r="FW14" s="417"/>
      <c r="FX14" s="417"/>
      <c r="FY14" s="417"/>
      <c r="FZ14" s="417"/>
      <c r="GA14" s="417"/>
      <c r="GB14" s="417"/>
      <c r="GC14" s="417"/>
      <c r="GD14" s="417"/>
      <c r="GE14" s="417"/>
      <c r="GF14" s="417"/>
      <c r="GG14" s="417"/>
      <c r="GH14" s="417"/>
      <c r="GI14" s="417"/>
      <c r="GJ14" s="417"/>
      <c r="GK14" s="417"/>
      <c r="GL14" s="417"/>
    </row>
    <row r="15" spans="1:194" ht="13">
      <c r="A15" s="1147"/>
      <c r="B15" s="1050" t="s">
        <v>170</v>
      </c>
      <c r="C15" s="1148" t="s">
        <v>142</v>
      </c>
      <c r="D15" s="1055" t="s">
        <v>902</v>
      </c>
      <c r="E15" s="1075" t="s">
        <v>903</v>
      </c>
      <c r="F15" s="51" t="s">
        <v>79</v>
      </c>
      <c r="G15" s="51" t="s">
        <v>153</v>
      </c>
      <c r="H15" s="51" t="s">
        <v>172</v>
      </c>
      <c r="I15" s="1140">
        <f>VLOOKUP(H15,'(참고)PJT목록'!A:D,4,0)</f>
        <v>45292</v>
      </c>
      <c r="J15" s="1140">
        <f>VLOOKUP(H15,'(참고)PJT목록'!A:E,5,0)</f>
        <v>45657</v>
      </c>
      <c r="K15" s="1079" t="s">
        <v>904</v>
      </c>
      <c r="L15" s="10"/>
      <c r="M15" s="33">
        <v>21689757</v>
      </c>
      <c r="N15" s="1075" t="s">
        <v>905</v>
      </c>
      <c r="O15" s="1059" t="s">
        <v>906</v>
      </c>
      <c r="P15" s="417"/>
      <c r="Q15" s="417"/>
      <c r="R15" s="417"/>
      <c r="S15" s="417"/>
      <c r="T15" s="417"/>
      <c r="U15" s="417"/>
      <c r="V15" s="417"/>
      <c r="W15" s="417"/>
      <c r="X15" s="417"/>
      <c r="Y15" s="417"/>
      <c r="Z15" s="417"/>
      <c r="AA15" s="417"/>
      <c r="AB15" s="417"/>
      <c r="AC15" s="417"/>
      <c r="AD15" s="417"/>
      <c r="AE15" s="417"/>
      <c r="AF15" s="417"/>
      <c r="AG15" s="417"/>
      <c r="AH15" s="417"/>
      <c r="AI15" s="417"/>
      <c r="AJ15" s="417"/>
      <c r="AK15" s="417"/>
      <c r="AL15" s="417"/>
      <c r="AM15" s="417"/>
      <c r="AN15" s="417"/>
      <c r="AO15" s="417"/>
      <c r="AP15" s="417"/>
      <c r="AQ15" s="417"/>
      <c r="AR15" s="417"/>
      <c r="AS15" s="417"/>
      <c r="AT15" s="417"/>
      <c r="AU15" s="417"/>
      <c r="AV15" s="417"/>
      <c r="AW15" s="417"/>
      <c r="AX15" s="417"/>
      <c r="AY15" s="417"/>
      <c r="AZ15" s="417"/>
      <c r="BA15" s="417"/>
      <c r="BB15" s="417"/>
      <c r="BC15" s="417"/>
      <c r="BD15" s="417"/>
      <c r="BE15" s="417"/>
      <c r="BF15" s="417"/>
      <c r="BG15" s="417"/>
      <c r="BH15" s="417"/>
      <c r="BI15" s="417"/>
      <c r="BJ15" s="417"/>
      <c r="BK15" s="417"/>
      <c r="BL15" s="417"/>
      <c r="BM15" s="417"/>
      <c r="BN15" s="417"/>
      <c r="BO15" s="417"/>
      <c r="BP15" s="417"/>
      <c r="BQ15" s="417"/>
      <c r="BR15" s="417"/>
      <c r="BS15" s="417"/>
      <c r="BT15" s="417"/>
      <c r="BU15" s="417"/>
      <c r="BV15" s="417"/>
      <c r="BW15" s="417"/>
      <c r="BX15" s="417"/>
      <c r="BY15" s="417"/>
      <c r="BZ15" s="417"/>
      <c r="CA15" s="417"/>
      <c r="CB15" s="417"/>
      <c r="CC15" s="417"/>
      <c r="CD15" s="417"/>
      <c r="CE15" s="417"/>
      <c r="CF15" s="417"/>
      <c r="CG15" s="417"/>
      <c r="CH15" s="417"/>
      <c r="CI15" s="417"/>
      <c r="CJ15" s="417"/>
      <c r="CK15" s="417"/>
      <c r="CL15" s="417"/>
      <c r="CM15" s="417"/>
      <c r="CN15" s="417"/>
      <c r="CO15" s="417"/>
      <c r="CP15" s="417"/>
      <c r="CQ15" s="417"/>
      <c r="CR15" s="417"/>
      <c r="CS15" s="417"/>
      <c r="CT15" s="417"/>
      <c r="CU15" s="417"/>
      <c r="CV15" s="417"/>
      <c r="CW15" s="417"/>
      <c r="CX15" s="417"/>
      <c r="CY15" s="417"/>
      <c r="CZ15" s="417"/>
      <c r="DA15" s="417"/>
      <c r="DB15" s="417"/>
      <c r="DC15" s="417"/>
      <c r="DD15" s="417"/>
      <c r="DE15" s="417"/>
      <c r="DF15" s="417"/>
      <c r="DG15" s="417"/>
      <c r="DH15" s="417"/>
      <c r="DI15" s="417"/>
      <c r="DJ15" s="417"/>
      <c r="DK15" s="417"/>
      <c r="DL15" s="417"/>
      <c r="DM15" s="417"/>
      <c r="DN15" s="417"/>
      <c r="DO15" s="417"/>
      <c r="DP15" s="417"/>
      <c r="DQ15" s="417"/>
      <c r="DR15" s="417"/>
      <c r="DS15" s="417"/>
      <c r="DT15" s="417"/>
      <c r="DU15" s="417"/>
      <c r="DV15" s="417"/>
      <c r="DW15" s="417"/>
      <c r="DX15" s="417"/>
      <c r="DY15" s="417"/>
      <c r="DZ15" s="417"/>
      <c r="EA15" s="417"/>
      <c r="EB15" s="417"/>
      <c r="EC15" s="417"/>
      <c r="ED15" s="417"/>
      <c r="EE15" s="417"/>
      <c r="EF15" s="417"/>
      <c r="EG15" s="417"/>
      <c r="EH15" s="417"/>
      <c r="EI15" s="417"/>
      <c r="EJ15" s="417"/>
      <c r="EK15" s="417"/>
      <c r="EL15" s="417"/>
      <c r="EM15" s="417"/>
      <c r="EN15" s="417"/>
      <c r="EO15" s="417"/>
      <c r="EP15" s="417"/>
      <c r="EQ15" s="417"/>
      <c r="ER15" s="417"/>
      <c r="ES15" s="417"/>
      <c r="ET15" s="417"/>
      <c r="EU15" s="417"/>
      <c r="EV15" s="417"/>
      <c r="EW15" s="417"/>
      <c r="EX15" s="417"/>
      <c r="EY15" s="417"/>
      <c r="EZ15" s="417"/>
      <c r="FA15" s="417"/>
      <c r="FB15" s="417"/>
      <c r="FC15" s="417"/>
      <c r="FD15" s="417"/>
      <c r="FE15" s="417"/>
      <c r="FF15" s="417"/>
      <c r="FG15" s="417"/>
      <c r="FH15" s="417"/>
      <c r="FI15" s="417"/>
      <c r="FJ15" s="417"/>
      <c r="FK15" s="417"/>
      <c r="FL15" s="417"/>
      <c r="FM15" s="417"/>
      <c r="FN15" s="417"/>
      <c r="FO15" s="417"/>
      <c r="FP15" s="417"/>
      <c r="FQ15" s="417"/>
      <c r="FR15" s="417"/>
      <c r="FS15" s="417"/>
      <c r="FT15" s="417"/>
      <c r="FU15" s="417"/>
      <c r="FV15" s="417"/>
      <c r="FW15" s="417"/>
      <c r="FX15" s="417"/>
      <c r="FY15" s="417"/>
      <c r="FZ15" s="417"/>
      <c r="GA15" s="417"/>
      <c r="GB15" s="417"/>
      <c r="GC15" s="417"/>
      <c r="GD15" s="417"/>
      <c r="GE15" s="417"/>
      <c r="GF15" s="417"/>
      <c r="GG15" s="417"/>
      <c r="GH15" s="417"/>
      <c r="GI15" s="417"/>
      <c r="GJ15" s="417"/>
      <c r="GK15" s="417"/>
      <c r="GL15" s="417"/>
    </row>
    <row r="16" spans="1:194" ht="13">
      <c r="A16" s="1143"/>
      <c r="B16" s="1051"/>
      <c r="C16" s="1106"/>
      <c r="D16" s="1051"/>
      <c r="E16" s="1051"/>
      <c r="F16" s="51" t="s">
        <v>138</v>
      </c>
      <c r="G16" s="443" t="s">
        <v>173</v>
      </c>
      <c r="H16" s="443" t="s">
        <v>174</v>
      </c>
      <c r="I16" s="1051"/>
      <c r="J16" s="1051"/>
      <c r="K16" s="1051"/>
      <c r="L16" s="10"/>
      <c r="M16" s="33">
        <v>855000</v>
      </c>
      <c r="N16" s="1051"/>
      <c r="O16" s="1051"/>
      <c r="P16" s="417"/>
      <c r="Q16" s="417"/>
      <c r="R16" s="417"/>
      <c r="S16" s="417"/>
      <c r="T16" s="417"/>
      <c r="U16" s="417"/>
      <c r="V16" s="417"/>
      <c r="W16" s="417"/>
      <c r="X16" s="417"/>
      <c r="Y16" s="417"/>
      <c r="Z16" s="417"/>
      <c r="AA16" s="417"/>
      <c r="AB16" s="417"/>
      <c r="AC16" s="417"/>
      <c r="AD16" s="417"/>
      <c r="AE16" s="417"/>
      <c r="AF16" s="417"/>
      <c r="AG16" s="417"/>
      <c r="AH16" s="417"/>
      <c r="AI16" s="417"/>
      <c r="AJ16" s="417"/>
      <c r="AK16" s="417"/>
      <c r="AL16" s="417"/>
      <c r="AM16" s="417"/>
      <c r="AN16" s="417"/>
      <c r="AO16" s="417"/>
      <c r="AP16" s="417"/>
      <c r="AQ16" s="417"/>
      <c r="AR16" s="417"/>
      <c r="AS16" s="417"/>
      <c r="AT16" s="417"/>
      <c r="AU16" s="417"/>
      <c r="AV16" s="417"/>
      <c r="AW16" s="417"/>
      <c r="AX16" s="417"/>
      <c r="AY16" s="417"/>
      <c r="AZ16" s="417"/>
      <c r="BA16" s="417"/>
      <c r="BB16" s="417"/>
      <c r="BC16" s="417"/>
      <c r="BD16" s="417"/>
      <c r="BE16" s="417"/>
      <c r="BF16" s="417"/>
      <c r="BG16" s="417"/>
      <c r="BH16" s="417"/>
      <c r="BI16" s="417"/>
      <c r="BJ16" s="417"/>
      <c r="BK16" s="417"/>
      <c r="BL16" s="417"/>
      <c r="BM16" s="417"/>
      <c r="BN16" s="417"/>
      <c r="BO16" s="417"/>
      <c r="BP16" s="417"/>
      <c r="BQ16" s="417"/>
      <c r="BR16" s="417"/>
      <c r="BS16" s="417"/>
      <c r="BT16" s="417"/>
      <c r="BU16" s="417"/>
      <c r="BV16" s="417"/>
      <c r="BW16" s="417"/>
      <c r="BX16" s="417"/>
      <c r="BY16" s="417"/>
      <c r="BZ16" s="417"/>
      <c r="CA16" s="417"/>
      <c r="CB16" s="417"/>
      <c r="CC16" s="417"/>
      <c r="CD16" s="417"/>
      <c r="CE16" s="417"/>
      <c r="CF16" s="417"/>
      <c r="CG16" s="417"/>
      <c r="CH16" s="417"/>
      <c r="CI16" s="417"/>
      <c r="CJ16" s="417"/>
      <c r="CK16" s="417"/>
      <c r="CL16" s="417"/>
      <c r="CM16" s="417"/>
      <c r="CN16" s="417"/>
      <c r="CO16" s="417"/>
      <c r="CP16" s="417"/>
      <c r="CQ16" s="417"/>
      <c r="CR16" s="417"/>
      <c r="CS16" s="417"/>
      <c r="CT16" s="417"/>
      <c r="CU16" s="417"/>
      <c r="CV16" s="417"/>
      <c r="CW16" s="417"/>
      <c r="CX16" s="417"/>
      <c r="CY16" s="417"/>
      <c r="CZ16" s="417"/>
      <c r="DA16" s="417"/>
      <c r="DB16" s="417"/>
      <c r="DC16" s="417"/>
      <c r="DD16" s="417"/>
      <c r="DE16" s="417"/>
      <c r="DF16" s="417"/>
      <c r="DG16" s="417"/>
      <c r="DH16" s="417"/>
      <c r="DI16" s="417"/>
      <c r="DJ16" s="417"/>
      <c r="DK16" s="417"/>
      <c r="DL16" s="417"/>
      <c r="DM16" s="417"/>
      <c r="DN16" s="417"/>
      <c r="DO16" s="417"/>
      <c r="DP16" s="417"/>
      <c r="DQ16" s="417"/>
      <c r="DR16" s="417"/>
      <c r="DS16" s="417"/>
      <c r="DT16" s="417"/>
      <c r="DU16" s="417"/>
      <c r="DV16" s="417"/>
      <c r="DW16" s="417"/>
      <c r="DX16" s="417"/>
      <c r="DY16" s="417"/>
      <c r="DZ16" s="417"/>
      <c r="EA16" s="417"/>
      <c r="EB16" s="417"/>
      <c r="EC16" s="417"/>
      <c r="ED16" s="417"/>
      <c r="EE16" s="417"/>
      <c r="EF16" s="417"/>
      <c r="EG16" s="417"/>
      <c r="EH16" s="417"/>
      <c r="EI16" s="417"/>
      <c r="EJ16" s="417"/>
      <c r="EK16" s="417"/>
      <c r="EL16" s="417"/>
      <c r="EM16" s="417"/>
      <c r="EN16" s="417"/>
      <c r="EO16" s="417"/>
      <c r="EP16" s="417"/>
      <c r="EQ16" s="417"/>
      <c r="ER16" s="417"/>
      <c r="ES16" s="417"/>
      <c r="ET16" s="417"/>
      <c r="EU16" s="417"/>
      <c r="EV16" s="417"/>
      <c r="EW16" s="417"/>
      <c r="EX16" s="417"/>
      <c r="EY16" s="417"/>
      <c r="EZ16" s="417"/>
      <c r="FA16" s="417"/>
      <c r="FB16" s="417"/>
      <c r="FC16" s="417"/>
      <c r="FD16" s="417"/>
      <c r="FE16" s="417"/>
      <c r="FF16" s="417"/>
      <c r="FG16" s="417"/>
      <c r="FH16" s="417"/>
      <c r="FI16" s="417"/>
      <c r="FJ16" s="417"/>
      <c r="FK16" s="417"/>
      <c r="FL16" s="417"/>
      <c r="FM16" s="417"/>
      <c r="FN16" s="417"/>
      <c r="FO16" s="417"/>
      <c r="FP16" s="417"/>
      <c r="FQ16" s="417"/>
      <c r="FR16" s="417"/>
      <c r="FS16" s="417"/>
      <c r="FT16" s="417"/>
      <c r="FU16" s="417"/>
      <c r="FV16" s="417"/>
      <c r="FW16" s="417"/>
      <c r="FX16" s="417"/>
      <c r="FY16" s="417"/>
      <c r="FZ16" s="417"/>
      <c r="GA16" s="417"/>
      <c r="GB16" s="417"/>
      <c r="GC16" s="417"/>
      <c r="GD16" s="417"/>
      <c r="GE16" s="417"/>
      <c r="GF16" s="417"/>
      <c r="GG16" s="417"/>
      <c r="GH16" s="417"/>
      <c r="GI16" s="417"/>
      <c r="GJ16" s="417"/>
      <c r="GK16" s="417"/>
      <c r="GL16" s="417"/>
    </row>
    <row r="17" spans="1:194" ht="13">
      <c r="A17" s="1143"/>
      <c r="B17" s="1051"/>
      <c r="C17" s="1106"/>
      <c r="D17" s="1051"/>
      <c r="E17" s="1051"/>
      <c r="F17" s="51" t="s">
        <v>138</v>
      </c>
      <c r="G17" s="444" t="s">
        <v>173</v>
      </c>
      <c r="H17" s="444" t="s">
        <v>175</v>
      </c>
      <c r="I17" s="1051"/>
      <c r="J17" s="1051"/>
      <c r="K17" s="1051"/>
      <c r="L17" s="10"/>
      <c r="M17" s="33">
        <v>1960000</v>
      </c>
      <c r="N17" s="1051"/>
      <c r="O17" s="1051"/>
      <c r="P17" s="417"/>
      <c r="Q17" s="417"/>
      <c r="R17" s="417"/>
      <c r="S17" s="417"/>
      <c r="T17" s="417"/>
      <c r="U17" s="417"/>
      <c r="V17" s="417"/>
      <c r="W17" s="417"/>
      <c r="X17" s="417"/>
      <c r="Y17" s="417"/>
      <c r="Z17" s="417"/>
      <c r="AA17" s="417"/>
      <c r="AB17" s="417"/>
      <c r="AC17" s="417"/>
      <c r="AD17" s="417"/>
      <c r="AE17" s="417"/>
      <c r="AF17" s="417"/>
      <c r="AG17" s="417"/>
      <c r="AH17" s="417"/>
      <c r="AI17" s="417"/>
      <c r="AJ17" s="417"/>
      <c r="AK17" s="417"/>
      <c r="AL17" s="417"/>
      <c r="AM17" s="417"/>
      <c r="AN17" s="417"/>
      <c r="AO17" s="417"/>
      <c r="AP17" s="417"/>
      <c r="AQ17" s="417"/>
      <c r="AR17" s="417"/>
      <c r="AS17" s="417"/>
      <c r="AT17" s="417"/>
      <c r="AU17" s="417"/>
      <c r="AV17" s="417"/>
      <c r="AW17" s="417"/>
      <c r="AX17" s="417"/>
      <c r="AY17" s="417"/>
      <c r="AZ17" s="417"/>
      <c r="BA17" s="417"/>
      <c r="BB17" s="417"/>
      <c r="BC17" s="417"/>
      <c r="BD17" s="417"/>
      <c r="BE17" s="417"/>
      <c r="BF17" s="417"/>
      <c r="BG17" s="417"/>
      <c r="BH17" s="417"/>
      <c r="BI17" s="417"/>
      <c r="BJ17" s="417"/>
      <c r="BK17" s="417"/>
      <c r="BL17" s="417"/>
      <c r="BM17" s="417"/>
      <c r="BN17" s="417"/>
      <c r="BO17" s="417"/>
      <c r="BP17" s="417"/>
      <c r="BQ17" s="417"/>
      <c r="BR17" s="417"/>
      <c r="BS17" s="417"/>
      <c r="BT17" s="417"/>
      <c r="BU17" s="417"/>
      <c r="BV17" s="417"/>
      <c r="BW17" s="417"/>
      <c r="BX17" s="417"/>
      <c r="BY17" s="417"/>
      <c r="BZ17" s="417"/>
      <c r="CA17" s="417"/>
      <c r="CB17" s="417"/>
      <c r="CC17" s="417"/>
      <c r="CD17" s="417"/>
      <c r="CE17" s="417"/>
      <c r="CF17" s="417"/>
      <c r="CG17" s="417"/>
      <c r="CH17" s="417"/>
      <c r="CI17" s="417"/>
      <c r="CJ17" s="417"/>
      <c r="CK17" s="417"/>
      <c r="CL17" s="417"/>
      <c r="CM17" s="417"/>
      <c r="CN17" s="417"/>
      <c r="CO17" s="417"/>
      <c r="CP17" s="417"/>
      <c r="CQ17" s="417"/>
      <c r="CR17" s="417"/>
      <c r="CS17" s="417"/>
      <c r="CT17" s="417"/>
      <c r="CU17" s="417"/>
      <c r="CV17" s="417"/>
      <c r="CW17" s="417"/>
      <c r="CX17" s="417"/>
      <c r="CY17" s="417"/>
      <c r="CZ17" s="417"/>
      <c r="DA17" s="417"/>
      <c r="DB17" s="417"/>
      <c r="DC17" s="417"/>
      <c r="DD17" s="417"/>
      <c r="DE17" s="417"/>
      <c r="DF17" s="417"/>
      <c r="DG17" s="417"/>
      <c r="DH17" s="417"/>
      <c r="DI17" s="417"/>
      <c r="DJ17" s="417"/>
      <c r="DK17" s="417"/>
      <c r="DL17" s="417"/>
      <c r="DM17" s="417"/>
      <c r="DN17" s="417"/>
      <c r="DO17" s="417"/>
      <c r="DP17" s="417"/>
      <c r="DQ17" s="417"/>
      <c r="DR17" s="417"/>
      <c r="DS17" s="417"/>
      <c r="DT17" s="417"/>
      <c r="DU17" s="417"/>
      <c r="DV17" s="417"/>
      <c r="DW17" s="417"/>
      <c r="DX17" s="417"/>
      <c r="DY17" s="417"/>
      <c r="DZ17" s="417"/>
      <c r="EA17" s="417"/>
      <c r="EB17" s="417"/>
      <c r="EC17" s="417"/>
      <c r="ED17" s="417"/>
      <c r="EE17" s="417"/>
      <c r="EF17" s="417"/>
      <c r="EG17" s="417"/>
      <c r="EH17" s="417"/>
      <c r="EI17" s="417"/>
      <c r="EJ17" s="417"/>
      <c r="EK17" s="417"/>
      <c r="EL17" s="417"/>
      <c r="EM17" s="417"/>
      <c r="EN17" s="417"/>
      <c r="EO17" s="417"/>
      <c r="EP17" s="417"/>
      <c r="EQ17" s="417"/>
      <c r="ER17" s="417"/>
      <c r="ES17" s="417"/>
      <c r="ET17" s="417"/>
      <c r="EU17" s="417"/>
      <c r="EV17" s="417"/>
      <c r="EW17" s="417"/>
      <c r="EX17" s="417"/>
      <c r="EY17" s="417"/>
      <c r="EZ17" s="417"/>
      <c r="FA17" s="417"/>
      <c r="FB17" s="417"/>
      <c r="FC17" s="417"/>
      <c r="FD17" s="417"/>
      <c r="FE17" s="417"/>
      <c r="FF17" s="417"/>
      <c r="FG17" s="417"/>
      <c r="FH17" s="417"/>
      <c r="FI17" s="417"/>
      <c r="FJ17" s="417"/>
      <c r="FK17" s="417"/>
      <c r="FL17" s="417"/>
      <c r="FM17" s="417"/>
      <c r="FN17" s="417"/>
      <c r="FO17" s="417"/>
      <c r="FP17" s="417"/>
      <c r="FQ17" s="417"/>
      <c r="FR17" s="417"/>
      <c r="FS17" s="417"/>
      <c r="FT17" s="417"/>
      <c r="FU17" s="417"/>
      <c r="FV17" s="417"/>
      <c r="FW17" s="417"/>
      <c r="FX17" s="417"/>
      <c r="FY17" s="417"/>
      <c r="FZ17" s="417"/>
      <c r="GA17" s="417"/>
      <c r="GB17" s="417"/>
      <c r="GC17" s="417"/>
      <c r="GD17" s="417"/>
      <c r="GE17" s="417"/>
      <c r="GF17" s="417"/>
      <c r="GG17" s="417"/>
      <c r="GH17" s="417"/>
      <c r="GI17" s="417"/>
      <c r="GJ17" s="417"/>
      <c r="GK17" s="417"/>
      <c r="GL17" s="417"/>
    </row>
    <row r="18" spans="1:194" ht="13">
      <c r="A18" s="1143"/>
      <c r="B18" s="1052"/>
      <c r="C18" s="1138"/>
      <c r="D18" s="1052"/>
      <c r="E18" s="1052"/>
      <c r="F18" s="51" t="s">
        <v>138</v>
      </c>
      <c r="G18" s="24" t="s">
        <v>173</v>
      </c>
      <c r="H18" s="24" t="s">
        <v>174</v>
      </c>
      <c r="I18" s="1052"/>
      <c r="J18" s="1052"/>
      <c r="K18" s="1052"/>
      <c r="L18" s="10"/>
      <c r="M18" s="33">
        <v>25507973</v>
      </c>
      <c r="N18" s="1052"/>
      <c r="O18" s="1052"/>
      <c r="P18" s="417"/>
      <c r="Q18" s="417"/>
      <c r="R18" s="417"/>
      <c r="S18" s="417"/>
      <c r="T18" s="417"/>
      <c r="U18" s="417"/>
      <c r="V18" s="417"/>
      <c r="W18" s="417"/>
      <c r="X18" s="417"/>
      <c r="Y18" s="417"/>
      <c r="Z18" s="417"/>
      <c r="AA18" s="417"/>
      <c r="AB18" s="417"/>
      <c r="AC18" s="417"/>
      <c r="AD18" s="417"/>
      <c r="AE18" s="417"/>
      <c r="AF18" s="417"/>
      <c r="AG18" s="417"/>
      <c r="AH18" s="417"/>
      <c r="AI18" s="417"/>
      <c r="AJ18" s="417"/>
      <c r="AK18" s="417"/>
      <c r="AL18" s="417"/>
      <c r="AM18" s="417"/>
      <c r="AN18" s="417"/>
      <c r="AO18" s="417"/>
      <c r="AP18" s="417"/>
      <c r="AQ18" s="417"/>
      <c r="AR18" s="417"/>
      <c r="AS18" s="417"/>
      <c r="AT18" s="417"/>
      <c r="AU18" s="417"/>
      <c r="AV18" s="417"/>
      <c r="AW18" s="417"/>
      <c r="AX18" s="417"/>
      <c r="AY18" s="417"/>
      <c r="AZ18" s="417"/>
      <c r="BA18" s="417"/>
      <c r="BB18" s="417"/>
      <c r="BC18" s="417"/>
      <c r="BD18" s="417"/>
      <c r="BE18" s="417"/>
      <c r="BF18" s="417"/>
      <c r="BG18" s="417"/>
      <c r="BH18" s="417"/>
      <c r="BI18" s="417"/>
      <c r="BJ18" s="417"/>
      <c r="BK18" s="417"/>
      <c r="BL18" s="417"/>
      <c r="BM18" s="417"/>
      <c r="BN18" s="417"/>
      <c r="BO18" s="417"/>
      <c r="BP18" s="417"/>
      <c r="BQ18" s="417"/>
      <c r="BR18" s="417"/>
      <c r="BS18" s="417"/>
      <c r="BT18" s="417"/>
      <c r="BU18" s="417"/>
      <c r="BV18" s="417"/>
      <c r="BW18" s="417"/>
      <c r="BX18" s="417"/>
      <c r="BY18" s="417"/>
      <c r="BZ18" s="417"/>
      <c r="CA18" s="417"/>
      <c r="CB18" s="417"/>
      <c r="CC18" s="417"/>
      <c r="CD18" s="417"/>
      <c r="CE18" s="417"/>
      <c r="CF18" s="417"/>
      <c r="CG18" s="417"/>
      <c r="CH18" s="417"/>
      <c r="CI18" s="417"/>
      <c r="CJ18" s="417"/>
      <c r="CK18" s="417"/>
      <c r="CL18" s="417"/>
      <c r="CM18" s="417"/>
      <c r="CN18" s="417"/>
      <c r="CO18" s="417"/>
      <c r="CP18" s="417"/>
      <c r="CQ18" s="417"/>
      <c r="CR18" s="417"/>
      <c r="CS18" s="417"/>
      <c r="CT18" s="417"/>
      <c r="CU18" s="417"/>
      <c r="CV18" s="417"/>
      <c r="CW18" s="417"/>
      <c r="CX18" s="417"/>
      <c r="CY18" s="417"/>
      <c r="CZ18" s="417"/>
      <c r="DA18" s="417"/>
      <c r="DB18" s="417"/>
      <c r="DC18" s="417"/>
      <c r="DD18" s="417"/>
      <c r="DE18" s="417"/>
      <c r="DF18" s="417"/>
      <c r="DG18" s="417"/>
      <c r="DH18" s="417"/>
      <c r="DI18" s="417"/>
      <c r="DJ18" s="417"/>
      <c r="DK18" s="417"/>
      <c r="DL18" s="417"/>
      <c r="DM18" s="417"/>
      <c r="DN18" s="417"/>
      <c r="DO18" s="417"/>
      <c r="DP18" s="417"/>
      <c r="DQ18" s="417"/>
      <c r="DR18" s="417"/>
      <c r="DS18" s="417"/>
      <c r="DT18" s="417"/>
      <c r="DU18" s="417"/>
      <c r="DV18" s="417"/>
      <c r="DW18" s="417"/>
      <c r="DX18" s="417"/>
      <c r="DY18" s="417"/>
      <c r="DZ18" s="417"/>
      <c r="EA18" s="417"/>
      <c r="EB18" s="417"/>
      <c r="EC18" s="417"/>
      <c r="ED18" s="417"/>
      <c r="EE18" s="417"/>
      <c r="EF18" s="417"/>
      <c r="EG18" s="417"/>
      <c r="EH18" s="417"/>
      <c r="EI18" s="417"/>
      <c r="EJ18" s="417"/>
      <c r="EK18" s="417"/>
      <c r="EL18" s="417"/>
      <c r="EM18" s="417"/>
      <c r="EN18" s="417"/>
      <c r="EO18" s="417"/>
      <c r="EP18" s="417"/>
      <c r="EQ18" s="417"/>
      <c r="ER18" s="417"/>
      <c r="ES18" s="417"/>
      <c r="ET18" s="417"/>
      <c r="EU18" s="417"/>
      <c r="EV18" s="417"/>
      <c r="EW18" s="417"/>
      <c r="EX18" s="417"/>
      <c r="EY18" s="417"/>
      <c r="EZ18" s="417"/>
      <c r="FA18" s="417"/>
      <c r="FB18" s="417"/>
      <c r="FC18" s="417"/>
      <c r="FD18" s="417"/>
      <c r="FE18" s="417"/>
      <c r="FF18" s="417"/>
      <c r="FG18" s="417"/>
      <c r="FH18" s="417"/>
      <c r="FI18" s="417"/>
      <c r="FJ18" s="417"/>
      <c r="FK18" s="417"/>
      <c r="FL18" s="417"/>
      <c r="FM18" s="417"/>
      <c r="FN18" s="417"/>
      <c r="FO18" s="417"/>
      <c r="FP18" s="417"/>
      <c r="FQ18" s="417"/>
      <c r="FR18" s="417"/>
      <c r="FS18" s="417"/>
      <c r="FT18" s="417"/>
      <c r="FU18" s="417"/>
      <c r="FV18" s="417"/>
      <c r="FW18" s="417"/>
      <c r="FX18" s="417"/>
      <c r="FY18" s="417"/>
      <c r="FZ18" s="417"/>
      <c r="GA18" s="417"/>
      <c r="GB18" s="417"/>
      <c r="GC18" s="417"/>
      <c r="GD18" s="417"/>
      <c r="GE18" s="417"/>
      <c r="GF18" s="417"/>
      <c r="GG18" s="417"/>
      <c r="GH18" s="417"/>
      <c r="GI18" s="417"/>
      <c r="GJ18" s="417"/>
      <c r="GK18" s="417"/>
      <c r="GL18" s="417"/>
    </row>
    <row r="19" spans="1:194" ht="14">
      <c r="A19" s="440"/>
      <c r="B19" s="24" t="s">
        <v>64</v>
      </c>
      <c r="C19" s="24" t="s">
        <v>142</v>
      </c>
      <c r="D19" s="26" t="s">
        <v>907</v>
      </c>
      <c r="E19" s="81" t="s">
        <v>908</v>
      </c>
      <c r="F19" s="24" t="s">
        <v>79</v>
      </c>
      <c r="G19" s="126" t="s">
        <v>177</v>
      </c>
      <c r="H19" s="24" t="s">
        <v>178</v>
      </c>
      <c r="I19" s="27">
        <f>VLOOKUP(H19,'(참고)PJT목록'!A:D,4,0)</f>
        <v>45474</v>
      </c>
      <c r="J19" s="27">
        <f>VLOOKUP(H19,'(참고)PJT목록'!A:E,5,0)</f>
        <v>45838</v>
      </c>
      <c r="K19" s="445" t="s">
        <v>909</v>
      </c>
      <c r="L19" s="10"/>
      <c r="M19" s="33">
        <v>26712689</v>
      </c>
      <c r="N19" s="81" t="s">
        <v>910</v>
      </c>
      <c r="O19" s="11" t="s">
        <v>911</v>
      </c>
      <c r="P19" s="417"/>
      <c r="Q19" s="417"/>
      <c r="R19" s="417"/>
      <c r="S19" s="417"/>
      <c r="T19" s="417"/>
      <c r="U19" s="417"/>
      <c r="V19" s="417"/>
      <c r="W19" s="417"/>
      <c r="X19" s="417"/>
      <c r="Y19" s="417"/>
      <c r="Z19" s="417"/>
      <c r="AA19" s="417"/>
      <c r="AB19" s="417"/>
      <c r="AC19" s="417"/>
      <c r="AD19" s="417"/>
      <c r="AE19" s="417"/>
      <c r="AF19" s="417"/>
      <c r="AG19" s="417"/>
      <c r="AH19" s="417"/>
      <c r="AI19" s="417"/>
      <c r="AJ19" s="417"/>
      <c r="AK19" s="417"/>
      <c r="AL19" s="417"/>
      <c r="AM19" s="417"/>
      <c r="AN19" s="417"/>
      <c r="AO19" s="417"/>
      <c r="AP19" s="417"/>
      <c r="AQ19" s="417"/>
      <c r="AR19" s="417"/>
      <c r="AS19" s="417"/>
      <c r="AT19" s="417"/>
      <c r="AU19" s="417"/>
      <c r="AV19" s="417"/>
      <c r="AW19" s="417"/>
      <c r="AX19" s="417"/>
      <c r="AY19" s="417"/>
      <c r="AZ19" s="417"/>
      <c r="BA19" s="417"/>
      <c r="BB19" s="417"/>
      <c r="BC19" s="417"/>
      <c r="BD19" s="417"/>
      <c r="BE19" s="417"/>
      <c r="BF19" s="417"/>
      <c r="BG19" s="417"/>
      <c r="BH19" s="417"/>
      <c r="BI19" s="417"/>
      <c r="BJ19" s="417"/>
      <c r="BK19" s="417"/>
      <c r="BL19" s="417"/>
      <c r="BM19" s="417"/>
      <c r="BN19" s="417"/>
      <c r="BO19" s="417"/>
      <c r="BP19" s="417"/>
      <c r="BQ19" s="417"/>
      <c r="BR19" s="417"/>
      <c r="BS19" s="417"/>
      <c r="BT19" s="417"/>
      <c r="BU19" s="417"/>
      <c r="BV19" s="417"/>
      <c r="BW19" s="417"/>
      <c r="BX19" s="417"/>
      <c r="BY19" s="417"/>
      <c r="BZ19" s="417"/>
      <c r="CA19" s="417"/>
      <c r="CB19" s="417"/>
      <c r="CC19" s="417"/>
      <c r="CD19" s="417"/>
      <c r="CE19" s="417"/>
      <c r="CF19" s="417"/>
      <c r="CG19" s="417"/>
      <c r="CH19" s="417"/>
      <c r="CI19" s="417"/>
      <c r="CJ19" s="417"/>
      <c r="CK19" s="417"/>
      <c r="CL19" s="417"/>
      <c r="CM19" s="417"/>
      <c r="CN19" s="417"/>
      <c r="CO19" s="417"/>
      <c r="CP19" s="417"/>
      <c r="CQ19" s="417"/>
      <c r="CR19" s="417"/>
      <c r="CS19" s="417"/>
      <c r="CT19" s="417"/>
      <c r="CU19" s="417"/>
      <c r="CV19" s="417"/>
      <c r="CW19" s="417"/>
      <c r="CX19" s="417"/>
      <c r="CY19" s="417"/>
      <c r="CZ19" s="417"/>
      <c r="DA19" s="417"/>
      <c r="DB19" s="417"/>
      <c r="DC19" s="417"/>
      <c r="DD19" s="417"/>
      <c r="DE19" s="417"/>
      <c r="DF19" s="417"/>
      <c r="DG19" s="417"/>
      <c r="DH19" s="417"/>
      <c r="DI19" s="417"/>
      <c r="DJ19" s="417"/>
      <c r="DK19" s="417"/>
      <c r="DL19" s="417"/>
      <c r="DM19" s="417"/>
      <c r="DN19" s="417"/>
      <c r="DO19" s="417"/>
      <c r="DP19" s="417"/>
      <c r="DQ19" s="417"/>
      <c r="DR19" s="417"/>
      <c r="DS19" s="417"/>
      <c r="DT19" s="417"/>
      <c r="DU19" s="417"/>
      <c r="DV19" s="417"/>
      <c r="DW19" s="417"/>
      <c r="DX19" s="417"/>
      <c r="DY19" s="417"/>
      <c r="DZ19" s="417"/>
      <c r="EA19" s="417"/>
      <c r="EB19" s="417"/>
      <c r="EC19" s="417"/>
      <c r="ED19" s="417"/>
      <c r="EE19" s="417"/>
      <c r="EF19" s="417"/>
      <c r="EG19" s="417"/>
      <c r="EH19" s="417"/>
      <c r="EI19" s="417"/>
      <c r="EJ19" s="417"/>
      <c r="EK19" s="417"/>
      <c r="EL19" s="417"/>
      <c r="EM19" s="417"/>
      <c r="EN19" s="417"/>
      <c r="EO19" s="417"/>
      <c r="EP19" s="417"/>
      <c r="EQ19" s="417"/>
      <c r="ER19" s="417"/>
      <c r="ES19" s="417"/>
      <c r="ET19" s="417"/>
      <c r="EU19" s="417"/>
      <c r="EV19" s="417"/>
      <c r="EW19" s="417"/>
      <c r="EX19" s="417"/>
      <c r="EY19" s="417"/>
      <c r="EZ19" s="417"/>
      <c r="FA19" s="417"/>
      <c r="FB19" s="417"/>
      <c r="FC19" s="417"/>
      <c r="FD19" s="417"/>
      <c r="FE19" s="417"/>
      <c r="FF19" s="417"/>
      <c r="FG19" s="417"/>
      <c r="FH19" s="417"/>
      <c r="FI19" s="417"/>
      <c r="FJ19" s="417"/>
      <c r="FK19" s="417"/>
      <c r="FL19" s="417"/>
      <c r="FM19" s="417"/>
      <c r="FN19" s="417"/>
      <c r="FO19" s="417"/>
      <c r="FP19" s="417"/>
      <c r="FQ19" s="417"/>
      <c r="FR19" s="417"/>
      <c r="FS19" s="417"/>
      <c r="FT19" s="417"/>
      <c r="FU19" s="417"/>
      <c r="FV19" s="417"/>
      <c r="FW19" s="417"/>
      <c r="FX19" s="417"/>
      <c r="FY19" s="417"/>
      <c r="FZ19" s="417"/>
      <c r="GA19" s="417"/>
      <c r="GB19" s="417"/>
      <c r="GC19" s="417"/>
      <c r="GD19" s="417"/>
      <c r="GE19" s="417"/>
      <c r="GF19" s="417"/>
      <c r="GG19" s="417"/>
      <c r="GH19" s="417"/>
      <c r="GI19" s="417"/>
      <c r="GJ19" s="417"/>
      <c r="GK19" s="417"/>
      <c r="GL19" s="417"/>
    </row>
    <row r="20" spans="1:194" ht="14">
      <c r="A20" s="440"/>
      <c r="B20" s="24" t="s">
        <v>64</v>
      </c>
      <c r="C20" s="24" t="s">
        <v>142</v>
      </c>
      <c r="D20" s="26" t="s">
        <v>907</v>
      </c>
      <c r="E20" s="81" t="s">
        <v>912</v>
      </c>
      <c r="F20" s="24" t="s">
        <v>79</v>
      </c>
      <c r="G20" s="126" t="s">
        <v>180</v>
      </c>
      <c r="H20" s="24" t="s">
        <v>181</v>
      </c>
      <c r="I20" s="27">
        <f>VLOOKUP(H20,'(참고)PJT목록'!A:D,4,0)</f>
        <v>45474</v>
      </c>
      <c r="J20" s="27">
        <f>VLOOKUP(H20,'(참고)PJT목록'!A:E,5,0)</f>
        <v>45838</v>
      </c>
      <c r="K20" s="446" t="s">
        <v>913</v>
      </c>
      <c r="L20" s="10"/>
      <c r="M20" s="33">
        <v>2541000</v>
      </c>
      <c r="N20" s="81" t="s">
        <v>914</v>
      </c>
      <c r="O20" s="11" t="s">
        <v>911</v>
      </c>
      <c r="P20" s="417"/>
      <c r="Q20" s="417"/>
      <c r="R20" s="417"/>
      <c r="S20" s="417"/>
      <c r="T20" s="417"/>
      <c r="U20" s="417"/>
      <c r="V20" s="417"/>
      <c r="W20" s="417"/>
      <c r="X20" s="417"/>
      <c r="Y20" s="417"/>
      <c r="Z20" s="417"/>
      <c r="AA20" s="417"/>
      <c r="AB20" s="417"/>
      <c r="AC20" s="417"/>
      <c r="AD20" s="417"/>
      <c r="AE20" s="417"/>
      <c r="AF20" s="417"/>
      <c r="AG20" s="417"/>
      <c r="AH20" s="417"/>
      <c r="AI20" s="417"/>
      <c r="AJ20" s="417"/>
      <c r="AK20" s="417"/>
      <c r="AL20" s="417"/>
      <c r="AM20" s="417"/>
      <c r="AN20" s="417"/>
      <c r="AO20" s="417"/>
      <c r="AP20" s="417"/>
      <c r="AQ20" s="417"/>
      <c r="AR20" s="417"/>
      <c r="AS20" s="417"/>
      <c r="AT20" s="417"/>
      <c r="AU20" s="417"/>
      <c r="AV20" s="417"/>
      <c r="AW20" s="417"/>
      <c r="AX20" s="417"/>
      <c r="AY20" s="417"/>
      <c r="AZ20" s="417"/>
      <c r="BA20" s="417"/>
      <c r="BB20" s="417"/>
      <c r="BC20" s="417"/>
      <c r="BD20" s="417"/>
      <c r="BE20" s="417"/>
      <c r="BF20" s="417"/>
      <c r="BG20" s="417"/>
      <c r="BH20" s="417"/>
      <c r="BI20" s="417"/>
      <c r="BJ20" s="417"/>
      <c r="BK20" s="417"/>
      <c r="BL20" s="417"/>
      <c r="BM20" s="417"/>
      <c r="BN20" s="417"/>
      <c r="BO20" s="417"/>
      <c r="BP20" s="417"/>
      <c r="BQ20" s="417"/>
      <c r="BR20" s="417"/>
      <c r="BS20" s="417"/>
      <c r="BT20" s="417"/>
      <c r="BU20" s="417"/>
      <c r="BV20" s="417"/>
      <c r="BW20" s="417"/>
      <c r="BX20" s="417"/>
      <c r="BY20" s="417"/>
      <c r="BZ20" s="417"/>
      <c r="CA20" s="417"/>
      <c r="CB20" s="417"/>
      <c r="CC20" s="417"/>
      <c r="CD20" s="417"/>
      <c r="CE20" s="417"/>
      <c r="CF20" s="417"/>
      <c r="CG20" s="417"/>
      <c r="CH20" s="417"/>
      <c r="CI20" s="417"/>
      <c r="CJ20" s="417"/>
      <c r="CK20" s="417"/>
      <c r="CL20" s="417"/>
      <c r="CM20" s="417"/>
      <c r="CN20" s="417"/>
      <c r="CO20" s="417"/>
      <c r="CP20" s="417"/>
      <c r="CQ20" s="417"/>
      <c r="CR20" s="417"/>
      <c r="CS20" s="417"/>
      <c r="CT20" s="417"/>
      <c r="CU20" s="417"/>
      <c r="CV20" s="417"/>
      <c r="CW20" s="417"/>
      <c r="CX20" s="417"/>
      <c r="CY20" s="417"/>
      <c r="CZ20" s="417"/>
      <c r="DA20" s="417"/>
      <c r="DB20" s="417"/>
      <c r="DC20" s="417"/>
      <c r="DD20" s="417"/>
      <c r="DE20" s="417"/>
      <c r="DF20" s="417"/>
      <c r="DG20" s="417"/>
      <c r="DH20" s="417"/>
      <c r="DI20" s="417"/>
      <c r="DJ20" s="417"/>
      <c r="DK20" s="417"/>
      <c r="DL20" s="417"/>
      <c r="DM20" s="417"/>
      <c r="DN20" s="417"/>
      <c r="DO20" s="417"/>
      <c r="DP20" s="417"/>
      <c r="DQ20" s="417"/>
      <c r="DR20" s="417"/>
      <c r="DS20" s="417"/>
      <c r="DT20" s="417"/>
      <c r="DU20" s="417"/>
      <c r="DV20" s="417"/>
      <c r="DW20" s="417"/>
      <c r="DX20" s="417"/>
      <c r="DY20" s="417"/>
      <c r="DZ20" s="417"/>
      <c r="EA20" s="417"/>
      <c r="EB20" s="417"/>
      <c r="EC20" s="417"/>
      <c r="ED20" s="417"/>
      <c r="EE20" s="417"/>
      <c r="EF20" s="417"/>
      <c r="EG20" s="417"/>
      <c r="EH20" s="417"/>
      <c r="EI20" s="417"/>
      <c r="EJ20" s="417"/>
      <c r="EK20" s="417"/>
      <c r="EL20" s="417"/>
      <c r="EM20" s="417"/>
      <c r="EN20" s="417"/>
      <c r="EO20" s="417"/>
      <c r="EP20" s="417"/>
      <c r="EQ20" s="417"/>
      <c r="ER20" s="417"/>
      <c r="ES20" s="417"/>
      <c r="ET20" s="417"/>
      <c r="EU20" s="417"/>
      <c r="EV20" s="417"/>
      <c r="EW20" s="417"/>
      <c r="EX20" s="417"/>
      <c r="EY20" s="417"/>
      <c r="EZ20" s="417"/>
      <c r="FA20" s="417"/>
      <c r="FB20" s="417"/>
      <c r="FC20" s="417"/>
      <c r="FD20" s="417"/>
      <c r="FE20" s="417"/>
      <c r="FF20" s="417"/>
      <c r="FG20" s="417"/>
      <c r="FH20" s="417"/>
      <c r="FI20" s="417"/>
      <c r="FJ20" s="417"/>
      <c r="FK20" s="417"/>
      <c r="FL20" s="417"/>
      <c r="FM20" s="417"/>
      <c r="FN20" s="417"/>
      <c r="FO20" s="417"/>
      <c r="FP20" s="417"/>
      <c r="FQ20" s="417"/>
      <c r="FR20" s="417"/>
      <c r="FS20" s="417"/>
      <c r="FT20" s="417"/>
      <c r="FU20" s="417"/>
      <c r="FV20" s="417"/>
      <c r="FW20" s="417"/>
      <c r="FX20" s="417"/>
      <c r="FY20" s="417"/>
      <c r="FZ20" s="417"/>
      <c r="GA20" s="417"/>
      <c r="GB20" s="417"/>
      <c r="GC20" s="417"/>
      <c r="GD20" s="417"/>
      <c r="GE20" s="417"/>
      <c r="GF20" s="417"/>
      <c r="GG20" s="417"/>
      <c r="GH20" s="417"/>
      <c r="GI20" s="417"/>
      <c r="GJ20" s="417"/>
      <c r="GK20" s="417"/>
      <c r="GL20" s="417"/>
    </row>
    <row r="21" spans="1:194" ht="13">
      <c r="A21" s="1147"/>
      <c r="B21" s="1050" t="s">
        <v>125</v>
      </c>
      <c r="C21" s="1050" t="s">
        <v>142</v>
      </c>
      <c r="D21" s="1050" t="s">
        <v>874</v>
      </c>
      <c r="E21" s="1075" t="s">
        <v>915</v>
      </c>
      <c r="F21" s="444" t="s">
        <v>79</v>
      </c>
      <c r="G21" s="444" t="s">
        <v>183</v>
      </c>
      <c r="H21" s="444" t="s">
        <v>184</v>
      </c>
      <c r="I21" s="27">
        <f>VLOOKUP(H21,'(참고)PJT목록'!A:D,4,0)</f>
        <v>45170</v>
      </c>
      <c r="J21" s="27">
        <f>VLOOKUP(H21,'(참고)PJT목록'!A:E,5,0)</f>
        <v>46630</v>
      </c>
      <c r="K21" s="1079" t="s">
        <v>916</v>
      </c>
      <c r="L21" s="10"/>
      <c r="M21" s="33">
        <v>2158700</v>
      </c>
      <c r="N21" s="1075" t="s">
        <v>917</v>
      </c>
      <c r="O21" s="1059" t="s">
        <v>918</v>
      </c>
      <c r="P21" s="417"/>
      <c r="Q21" s="417"/>
      <c r="R21" s="417"/>
      <c r="S21" s="417"/>
      <c r="T21" s="417"/>
      <c r="U21" s="417"/>
      <c r="V21" s="417"/>
      <c r="W21" s="417"/>
      <c r="X21" s="417"/>
      <c r="Y21" s="417"/>
      <c r="Z21" s="417"/>
      <c r="AA21" s="417"/>
      <c r="AB21" s="417"/>
      <c r="AC21" s="417"/>
      <c r="AD21" s="417"/>
      <c r="AE21" s="417"/>
      <c r="AF21" s="417"/>
      <c r="AG21" s="417"/>
      <c r="AH21" s="417"/>
      <c r="AI21" s="417"/>
      <c r="AJ21" s="417"/>
      <c r="AK21" s="417"/>
      <c r="AL21" s="417"/>
      <c r="AM21" s="417"/>
      <c r="AN21" s="417"/>
      <c r="AO21" s="417"/>
      <c r="AP21" s="417"/>
      <c r="AQ21" s="417"/>
      <c r="AR21" s="417"/>
      <c r="AS21" s="417"/>
      <c r="AT21" s="417"/>
      <c r="AU21" s="417"/>
      <c r="AV21" s="417"/>
      <c r="AW21" s="417"/>
      <c r="AX21" s="417"/>
      <c r="AY21" s="417"/>
      <c r="AZ21" s="417"/>
      <c r="BA21" s="417"/>
      <c r="BB21" s="417"/>
      <c r="BC21" s="417"/>
      <c r="BD21" s="417"/>
      <c r="BE21" s="417"/>
      <c r="BF21" s="417"/>
      <c r="BG21" s="417"/>
      <c r="BH21" s="417"/>
      <c r="BI21" s="417"/>
      <c r="BJ21" s="417"/>
      <c r="BK21" s="417"/>
      <c r="BL21" s="417"/>
      <c r="BM21" s="417"/>
      <c r="BN21" s="417"/>
      <c r="BO21" s="417"/>
      <c r="BP21" s="417"/>
      <c r="BQ21" s="417"/>
      <c r="BR21" s="417"/>
      <c r="BS21" s="417"/>
      <c r="BT21" s="417"/>
      <c r="BU21" s="417"/>
      <c r="BV21" s="417"/>
      <c r="BW21" s="417"/>
      <c r="BX21" s="417"/>
      <c r="BY21" s="417"/>
      <c r="BZ21" s="417"/>
      <c r="CA21" s="417"/>
      <c r="CB21" s="417"/>
      <c r="CC21" s="417"/>
      <c r="CD21" s="417"/>
      <c r="CE21" s="417"/>
      <c r="CF21" s="417"/>
      <c r="CG21" s="417"/>
      <c r="CH21" s="417"/>
      <c r="CI21" s="417"/>
      <c r="CJ21" s="417"/>
      <c r="CK21" s="417"/>
      <c r="CL21" s="417"/>
      <c r="CM21" s="417"/>
      <c r="CN21" s="417"/>
      <c r="CO21" s="417"/>
      <c r="CP21" s="417"/>
      <c r="CQ21" s="417"/>
      <c r="CR21" s="417"/>
      <c r="CS21" s="417"/>
      <c r="CT21" s="417"/>
      <c r="CU21" s="417"/>
      <c r="CV21" s="417"/>
      <c r="CW21" s="417"/>
      <c r="CX21" s="417"/>
      <c r="CY21" s="417"/>
      <c r="CZ21" s="417"/>
      <c r="DA21" s="417"/>
      <c r="DB21" s="417"/>
      <c r="DC21" s="417"/>
      <c r="DD21" s="417"/>
      <c r="DE21" s="417"/>
      <c r="DF21" s="417"/>
      <c r="DG21" s="417"/>
      <c r="DH21" s="417"/>
      <c r="DI21" s="417"/>
      <c r="DJ21" s="417"/>
      <c r="DK21" s="417"/>
      <c r="DL21" s="417"/>
      <c r="DM21" s="417"/>
      <c r="DN21" s="417"/>
      <c r="DO21" s="417"/>
      <c r="DP21" s="417"/>
      <c r="DQ21" s="417"/>
      <c r="DR21" s="417"/>
      <c r="DS21" s="417"/>
      <c r="DT21" s="417"/>
      <c r="DU21" s="417"/>
      <c r="DV21" s="417"/>
      <c r="DW21" s="417"/>
      <c r="DX21" s="417"/>
      <c r="DY21" s="417"/>
      <c r="DZ21" s="417"/>
      <c r="EA21" s="417"/>
      <c r="EB21" s="417"/>
      <c r="EC21" s="417"/>
      <c r="ED21" s="417"/>
      <c r="EE21" s="417"/>
      <c r="EF21" s="417"/>
      <c r="EG21" s="417"/>
      <c r="EH21" s="417"/>
      <c r="EI21" s="417"/>
      <c r="EJ21" s="417"/>
      <c r="EK21" s="417"/>
      <c r="EL21" s="417"/>
      <c r="EM21" s="417"/>
      <c r="EN21" s="417"/>
      <c r="EO21" s="417"/>
      <c r="EP21" s="417"/>
      <c r="EQ21" s="417"/>
      <c r="ER21" s="417"/>
      <c r="ES21" s="417"/>
      <c r="ET21" s="417"/>
      <c r="EU21" s="417"/>
      <c r="EV21" s="417"/>
      <c r="EW21" s="417"/>
      <c r="EX21" s="417"/>
      <c r="EY21" s="417"/>
      <c r="EZ21" s="417"/>
      <c r="FA21" s="417"/>
      <c r="FB21" s="417"/>
      <c r="FC21" s="417"/>
      <c r="FD21" s="417"/>
      <c r="FE21" s="417"/>
      <c r="FF21" s="417"/>
      <c r="FG21" s="417"/>
      <c r="FH21" s="417"/>
      <c r="FI21" s="417"/>
      <c r="FJ21" s="417"/>
      <c r="FK21" s="417"/>
      <c r="FL21" s="417"/>
      <c r="FM21" s="417"/>
      <c r="FN21" s="417"/>
      <c r="FO21" s="417"/>
      <c r="FP21" s="417"/>
      <c r="FQ21" s="417"/>
      <c r="FR21" s="417"/>
      <c r="FS21" s="417"/>
      <c r="FT21" s="417"/>
      <c r="FU21" s="417"/>
      <c r="FV21" s="417"/>
      <c r="FW21" s="417"/>
      <c r="FX21" s="417"/>
      <c r="FY21" s="417"/>
      <c r="FZ21" s="417"/>
      <c r="GA21" s="417"/>
      <c r="GB21" s="417"/>
      <c r="GC21" s="417"/>
      <c r="GD21" s="417"/>
      <c r="GE21" s="417"/>
      <c r="GF21" s="417"/>
      <c r="GG21" s="417"/>
      <c r="GH21" s="417"/>
      <c r="GI21" s="417"/>
      <c r="GJ21" s="417"/>
      <c r="GK21" s="417"/>
      <c r="GL21" s="417"/>
    </row>
    <row r="22" spans="1:194" ht="13">
      <c r="A22" s="1143"/>
      <c r="B22" s="1052"/>
      <c r="C22" s="1052"/>
      <c r="D22" s="1052"/>
      <c r="E22" s="1052"/>
      <c r="F22" s="443" t="s">
        <v>79</v>
      </c>
      <c r="G22" s="443" t="s">
        <v>185</v>
      </c>
      <c r="H22" s="443" t="s">
        <v>186</v>
      </c>
      <c r="I22" s="27">
        <f>VLOOKUP(H22,'(참고)PJT목록'!A:D,4,0)</f>
        <v>45505</v>
      </c>
      <c r="J22" s="27">
        <f>VLOOKUP(H22,'(참고)PJT목록'!A:E,5,0)</f>
        <v>45869</v>
      </c>
      <c r="K22" s="1052"/>
      <c r="L22" s="10"/>
      <c r="M22" s="33">
        <v>687000</v>
      </c>
      <c r="N22" s="1052"/>
      <c r="O22" s="1052"/>
      <c r="P22" s="417"/>
      <c r="Q22" s="417"/>
      <c r="R22" s="417"/>
      <c r="S22" s="417"/>
      <c r="T22" s="417"/>
      <c r="U22" s="417"/>
      <c r="V22" s="417"/>
      <c r="W22" s="417"/>
      <c r="X22" s="417"/>
      <c r="Y22" s="417"/>
      <c r="Z22" s="417"/>
      <c r="AA22" s="417"/>
      <c r="AB22" s="417"/>
      <c r="AC22" s="417"/>
      <c r="AD22" s="417"/>
      <c r="AE22" s="417"/>
      <c r="AF22" s="417"/>
      <c r="AG22" s="417"/>
      <c r="AH22" s="417"/>
      <c r="AI22" s="417"/>
      <c r="AJ22" s="417"/>
      <c r="AK22" s="417"/>
      <c r="AL22" s="417"/>
      <c r="AM22" s="417"/>
      <c r="AN22" s="417"/>
      <c r="AO22" s="417"/>
      <c r="AP22" s="417"/>
      <c r="AQ22" s="417"/>
      <c r="AR22" s="417"/>
      <c r="AS22" s="417"/>
      <c r="AT22" s="417"/>
      <c r="AU22" s="417"/>
      <c r="AV22" s="417"/>
      <c r="AW22" s="417"/>
      <c r="AX22" s="417"/>
      <c r="AY22" s="417"/>
      <c r="AZ22" s="417"/>
      <c r="BA22" s="417"/>
      <c r="BB22" s="417"/>
      <c r="BC22" s="417"/>
      <c r="BD22" s="417"/>
      <c r="BE22" s="417"/>
      <c r="BF22" s="417"/>
      <c r="BG22" s="417"/>
      <c r="BH22" s="417"/>
      <c r="BI22" s="417"/>
      <c r="BJ22" s="417"/>
      <c r="BK22" s="417"/>
      <c r="BL22" s="417"/>
      <c r="BM22" s="417"/>
      <c r="BN22" s="417"/>
      <c r="BO22" s="417"/>
      <c r="BP22" s="417"/>
      <c r="BQ22" s="417"/>
      <c r="BR22" s="417"/>
      <c r="BS22" s="417"/>
      <c r="BT22" s="417"/>
      <c r="BU22" s="417"/>
      <c r="BV22" s="417"/>
      <c r="BW22" s="417"/>
      <c r="BX22" s="417"/>
      <c r="BY22" s="417"/>
      <c r="BZ22" s="417"/>
      <c r="CA22" s="417"/>
      <c r="CB22" s="417"/>
      <c r="CC22" s="417"/>
      <c r="CD22" s="417"/>
      <c r="CE22" s="417"/>
      <c r="CF22" s="417"/>
      <c r="CG22" s="417"/>
      <c r="CH22" s="417"/>
      <c r="CI22" s="417"/>
      <c r="CJ22" s="417"/>
      <c r="CK22" s="417"/>
      <c r="CL22" s="417"/>
      <c r="CM22" s="417"/>
      <c r="CN22" s="417"/>
      <c r="CO22" s="417"/>
      <c r="CP22" s="417"/>
      <c r="CQ22" s="417"/>
      <c r="CR22" s="417"/>
      <c r="CS22" s="417"/>
      <c r="CT22" s="417"/>
      <c r="CU22" s="417"/>
      <c r="CV22" s="417"/>
      <c r="CW22" s="417"/>
      <c r="CX22" s="417"/>
      <c r="CY22" s="417"/>
      <c r="CZ22" s="417"/>
      <c r="DA22" s="417"/>
      <c r="DB22" s="417"/>
      <c r="DC22" s="417"/>
      <c r="DD22" s="417"/>
      <c r="DE22" s="417"/>
      <c r="DF22" s="417"/>
      <c r="DG22" s="417"/>
      <c r="DH22" s="417"/>
      <c r="DI22" s="417"/>
      <c r="DJ22" s="417"/>
      <c r="DK22" s="417"/>
      <c r="DL22" s="417"/>
      <c r="DM22" s="417"/>
      <c r="DN22" s="417"/>
      <c r="DO22" s="417"/>
      <c r="DP22" s="417"/>
      <c r="DQ22" s="417"/>
      <c r="DR22" s="417"/>
      <c r="DS22" s="417"/>
      <c r="DT22" s="417"/>
      <c r="DU22" s="417"/>
      <c r="DV22" s="417"/>
      <c r="DW22" s="417"/>
      <c r="DX22" s="417"/>
      <c r="DY22" s="417"/>
      <c r="DZ22" s="417"/>
      <c r="EA22" s="417"/>
      <c r="EB22" s="417"/>
      <c r="EC22" s="417"/>
      <c r="ED22" s="417"/>
      <c r="EE22" s="417"/>
      <c r="EF22" s="417"/>
      <c r="EG22" s="417"/>
      <c r="EH22" s="417"/>
      <c r="EI22" s="417"/>
      <c r="EJ22" s="417"/>
      <c r="EK22" s="417"/>
      <c r="EL22" s="417"/>
      <c r="EM22" s="417"/>
      <c r="EN22" s="417"/>
      <c r="EO22" s="417"/>
      <c r="EP22" s="417"/>
      <c r="EQ22" s="417"/>
      <c r="ER22" s="417"/>
      <c r="ES22" s="417"/>
      <c r="ET22" s="417"/>
      <c r="EU22" s="417"/>
      <c r="EV22" s="417"/>
      <c r="EW22" s="417"/>
      <c r="EX22" s="417"/>
      <c r="EY22" s="417"/>
      <c r="EZ22" s="417"/>
      <c r="FA22" s="417"/>
      <c r="FB22" s="417"/>
      <c r="FC22" s="417"/>
      <c r="FD22" s="417"/>
      <c r="FE22" s="417"/>
      <c r="FF22" s="417"/>
      <c r="FG22" s="417"/>
      <c r="FH22" s="417"/>
      <c r="FI22" s="417"/>
      <c r="FJ22" s="417"/>
      <c r="FK22" s="417"/>
      <c r="FL22" s="417"/>
      <c r="FM22" s="417"/>
      <c r="FN22" s="417"/>
      <c r="FO22" s="417"/>
      <c r="FP22" s="417"/>
      <c r="FQ22" s="417"/>
      <c r="FR22" s="417"/>
      <c r="FS22" s="417"/>
      <c r="FT22" s="417"/>
      <c r="FU22" s="417"/>
      <c r="FV22" s="417"/>
      <c r="FW22" s="417"/>
      <c r="FX22" s="417"/>
      <c r="FY22" s="417"/>
      <c r="FZ22" s="417"/>
      <c r="GA22" s="417"/>
      <c r="GB22" s="417"/>
      <c r="GC22" s="417"/>
      <c r="GD22" s="417"/>
      <c r="GE22" s="417"/>
      <c r="GF22" s="417"/>
      <c r="GG22" s="417"/>
      <c r="GH22" s="417"/>
      <c r="GI22" s="417"/>
      <c r="GJ22" s="417"/>
      <c r="GK22" s="417"/>
      <c r="GL22" s="417"/>
    </row>
    <row r="23" spans="1:194" ht="13">
      <c r="A23" s="440"/>
      <c r="B23" s="24" t="s">
        <v>187</v>
      </c>
      <c r="C23" s="24" t="s">
        <v>142</v>
      </c>
      <c r="D23" s="26" t="s">
        <v>874</v>
      </c>
      <c r="E23" s="81" t="s">
        <v>919</v>
      </c>
      <c r="F23" s="24" t="s">
        <v>79</v>
      </c>
      <c r="G23" s="126" t="s">
        <v>153</v>
      </c>
      <c r="H23" s="24" t="s">
        <v>189</v>
      </c>
      <c r="I23" s="27">
        <v>44166</v>
      </c>
      <c r="J23" s="27">
        <v>45991</v>
      </c>
      <c r="K23" s="51" t="s">
        <v>920</v>
      </c>
      <c r="L23" s="447" t="s">
        <v>303</v>
      </c>
      <c r="M23" s="33">
        <v>60344910</v>
      </c>
      <c r="N23" s="81" t="s">
        <v>921</v>
      </c>
      <c r="O23" s="11" t="s">
        <v>922</v>
      </c>
      <c r="P23" s="417"/>
      <c r="Q23" s="417"/>
      <c r="R23" s="417"/>
      <c r="S23" s="417"/>
      <c r="T23" s="417"/>
      <c r="U23" s="417"/>
      <c r="V23" s="417"/>
      <c r="W23" s="417"/>
      <c r="X23" s="417"/>
      <c r="Y23" s="417"/>
      <c r="Z23" s="417"/>
      <c r="AA23" s="417"/>
      <c r="AB23" s="417"/>
      <c r="AC23" s="417"/>
      <c r="AD23" s="417"/>
      <c r="AE23" s="417"/>
      <c r="AF23" s="417"/>
      <c r="AG23" s="417"/>
      <c r="AH23" s="417"/>
      <c r="AI23" s="417"/>
      <c r="AJ23" s="417"/>
      <c r="AK23" s="417"/>
      <c r="AL23" s="417"/>
      <c r="AM23" s="417"/>
      <c r="AN23" s="417"/>
      <c r="AO23" s="417"/>
      <c r="AP23" s="417"/>
      <c r="AQ23" s="417"/>
      <c r="AR23" s="417"/>
      <c r="AS23" s="417"/>
      <c r="AT23" s="417"/>
      <c r="AU23" s="417"/>
      <c r="AV23" s="417"/>
      <c r="AW23" s="417"/>
      <c r="AX23" s="417"/>
      <c r="AY23" s="417"/>
      <c r="AZ23" s="417"/>
      <c r="BA23" s="417"/>
      <c r="BB23" s="417"/>
      <c r="BC23" s="417"/>
      <c r="BD23" s="417"/>
      <c r="BE23" s="417"/>
      <c r="BF23" s="417"/>
      <c r="BG23" s="417"/>
      <c r="BH23" s="417"/>
      <c r="BI23" s="417"/>
      <c r="BJ23" s="417"/>
      <c r="BK23" s="417"/>
      <c r="BL23" s="417"/>
      <c r="BM23" s="417"/>
      <c r="BN23" s="417"/>
      <c r="BO23" s="417"/>
      <c r="BP23" s="417"/>
      <c r="BQ23" s="417"/>
      <c r="BR23" s="417"/>
      <c r="BS23" s="417"/>
      <c r="BT23" s="417"/>
      <c r="BU23" s="417"/>
      <c r="BV23" s="417"/>
      <c r="BW23" s="417"/>
      <c r="BX23" s="417"/>
      <c r="BY23" s="417"/>
      <c r="BZ23" s="417"/>
      <c r="CA23" s="417"/>
      <c r="CB23" s="417"/>
      <c r="CC23" s="417"/>
      <c r="CD23" s="417"/>
      <c r="CE23" s="417"/>
      <c r="CF23" s="417"/>
      <c r="CG23" s="417"/>
      <c r="CH23" s="417"/>
      <c r="CI23" s="417"/>
      <c r="CJ23" s="417"/>
      <c r="CK23" s="417"/>
      <c r="CL23" s="417"/>
      <c r="CM23" s="417"/>
      <c r="CN23" s="417"/>
      <c r="CO23" s="417"/>
      <c r="CP23" s="417"/>
      <c r="CQ23" s="417"/>
      <c r="CR23" s="417"/>
      <c r="CS23" s="417"/>
      <c r="CT23" s="417"/>
      <c r="CU23" s="417"/>
      <c r="CV23" s="417"/>
      <c r="CW23" s="417"/>
      <c r="CX23" s="417"/>
      <c r="CY23" s="417"/>
      <c r="CZ23" s="417"/>
      <c r="DA23" s="417"/>
      <c r="DB23" s="417"/>
      <c r="DC23" s="417"/>
      <c r="DD23" s="417"/>
      <c r="DE23" s="417"/>
      <c r="DF23" s="417"/>
      <c r="DG23" s="417"/>
      <c r="DH23" s="417"/>
      <c r="DI23" s="417"/>
      <c r="DJ23" s="417"/>
      <c r="DK23" s="417"/>
      <c r="DL23" s="417"/>
      <c r="DM23" s="417"/>
      <c r="DN23" s="417"/>
      <c r="DO23" s="417"/>
      <c r="DP23" s="417"/>
      <c r="DQ23" s="417"/>
      <c r="DR23" s="417"/>
      <c r="DS23" s="417"/>
      <c r="DT23" s="417"/>
      <c r="DU23" s="417"/>
      <c r="DV23" s="417"/>
      <c r="DW23" s="417"/>
      <c r="DX23" s="417"/>
      <c r="DY23" s="417"/>
      <c r="DZ23" s="417"/>
      <c r="EA23" s="417"/>
      <c r="EB23" s="417"/>
      <c r="EC23" s="417"/>
      <c r="ED23" s="417"/>
      <c r="EE23" s="417"/>
      <c r="EF23" s="417"/>
      <c r="EG23" s="417"/>
      <c r="EH23" s="417"/>
      <c r="EI23" s="417"/>
      <c r="EJ23" s="417"/>
      <c r="EK23" s="417"/>
      <c r="EL23" s="417"/>
      <c r="EM23" s="417"/>
      <c r="EN23" s="417"/>
      <c r="EO23" s="417"/>
      <c r="EP23" s="417"/>
      <c r="EQ23" s="417"/>
      <c r="ER23" s="417"/>
      <c r="ES23" s="417"/>
      <c r="ET23" s="417"/>
      <c r="EU23" s="417"/>
      <c r="EV23" s="417"/>
      <c r="EW23" s="417"/>
      <c r="EX23" s="417"/>
      <c r="EY23" s="417"/>
      <c r="EZ23" s="417"/>
      <c r="FA23" s="417"/>
      <c r="FB23" s="417"/>
      <c r="FC23" s="417"/>
      <c r="FD23" s="417"/>
      <c r="FE23" s="417"/>
      <c r="FF23" s="417"/>
      <c r="FG23" s="417"/>
      <c r="FH23" s="417"/>
      <c r="FI23" s="417"/>
      <c r="FJ23" s="417"/>
      <c r="FK23" s="417"/>
      <c r="FL23" s="417"/>
      <c r="FM23" s="417"/>
      <c r="FN23" s="417"/>
      <c r="FO23" s="417"/>
      <c r="FP23" s="417"/>
      <c r="FQ23" s="417"/>
      <c r="FR23" s="417"/>
      <c r="FS23" s="417"/>
      <c r="FT23" s="417"/>
      <c r="FU23" s="417"/>
      <c r="FV23" s="417"/>
      <c r="FW23" s="417"/>
      <c r="FX23" s="417"/>
      <c r="FY23" s="417"/>
      <c r="FZ23" s="417"/>
      <c r="GA23" s="417"/>
      <c r="GB23" s="417"/>
      <c r="GC23" s="417"/>
      <c r="GD23" s="417"/>
      <c r="GE23" s="417"/>
      <c r="GF23" s="417"/>
      <c r="GG23" s="417"/>
      <c r="GH23" s="417"/>
      <c r="GI23" s="417"/>
      <c r="GJ23" s="417"/>
      <c r="GK23" s="417"/>
      <c r="GL23" s="417"/>
    </row>
    <row r="24" spans="1:194" ht="13">
      <c r="A24" s="440"/>
      <c r="B24" s="24" t="s">
        <v>187</v>
      </c>
      <c r="C24" s="24" t="s">
        <v>923</v>
      </c>
      <c r="D24" s="26" t="s">
        <v>874</v>
      </c>
      <c r="E24" s="81" t="s">
        <v>924</v>
      </c>
      <c r="F24" s="24" t="s">
        <v>79</v>
      </c>
      <c r="G24" s="126" t="s">
        <v>153</v>
      </c>
      <c r="H24" s="24" t="s">
        <v>191</v>
      </c>
      <c r="I24" s="27">
        <v>44287</v>
      </c>
      <c r="J24" s="27">
        <v>46112</v>
      </c>
      <c r="K24" s="51" t="s">
        <v>925</v>
      </c>
      <c r="L24" s="447" t="s">
        <v>303</v>
      </c>
      <c r="M24" s="33">
        <v>2090000</v>
      </c>
      <c r="N24" s="81" t="s">
        <v>926</v>
      </c>
      <c r="O24" s="11" t="s">
        <v>922</v>
      </c>
      <c r="P24" s="417"/>
      <c r="Q24" s="417"/>
      <c r="R24" s="417"/>
      <c r="S24" s="417"/>
      <c r="T24" s="417"/>
      <c r="U24" s="417"/>
      <c r="V24" s="417"/>
      <c r="W24" s="417"/>
      <c r="X24" s="417"/>
      <c r="Y24" s="417"/>
      <c r="Z24" s="417"/>
      <c r="AA24" s="417"/>
      <c r="AB24" s="417"/>
      <c r="AC24" s="417"/>
      <c r="AD24" s="417"/>
      <c r="AE24" s="417"/>
      <c r="AF24" s="417"/>
      <c r="AG24" s="417"/>
      <c r="AH24" s="417"/>
      <c r="AI24" s="417"/>
      <c r="AJ24" s="417"/>
      <c r="AK24" s="417"/>
      <c r="AL24" s="417"/>
      <c r="AM24" s="417"/>
      <c r="AN24" s="417"/>
      <c r="AO24" s="417"/>
      <c r="AP24" s="417"/>
      <c r="AQ24" s="417"/>
      <c r="AR24" s="417"/>
      <c r="AS24" s="417"/>
      <c r="AT24" s="417"/>
      <c r="AU24" s="417"/>
      <c r="AV24" s="417"/>
      <c r="AW24" s="417"/>
      <c r="AX24" s="417"/>
      <c r="AY24" s="417"/>
      <c r="AZ24" s="417"/>
      <c r="BA24" s="417"/>
      <c r="BB24" s="417"/>
      <c r="BC24" s="417"/>
      <c r="BD24" s="417"/>
      <c r="BE24" s="417"/>
      <c r="BF24" s="417"/>
      <c r="BG24" s="417"/>
      <c r="BH24" s="417"/>
      <c r="BI24" s="417"/>
      <c r="BJ24" s="417"/>
      <c r="BK24" s="417"/>
      <c r="BL24" s="417"/>
      <c r="BM24" s="417"/>
      <c r="BN24" s="417"/>
      <c r="BO24" s="417"/>
      <c r="BP24" s="417"/>
      <c r="BQ24" s="417"/>
      <c r="BR24" s="417"/>
      <c r="BS24" s="417"/>
      <c r="BT24" s="417"/>
      <c r="BU24" s="417"/>
      <c r="BV24" s="417"/>
      <c r="BW24" s="417"/>
      <c r="BX24" s="417"/>
      <c r="BY24" s="417"/>
      <c r="BZ24" s="417"/>
      <c r="CA24" s="417"/>
      <c r="CB24" s="417"/>
      <c r="CC24" s="417"/>
      <c r="CD24" s="417"/>
      <c r="CE24" s="417"/>
      <c r="CF24" s="417"/>
      <c r="CG24" s="417"/>
      <c r="CH24" s="417"/>
      <c r="CI24" s="417"/>
      <c r="CJ24" s="417"/>
      <c r="CK24" s="417"/>
      <c r="CL24" s="417"/>
      <c r="CM24" s="417"/>
      <c r="CN24" s="417"/>
      <c r="CO24" s="417"/>
      <c r="CP24" s="417"/>
      <c r="CQ24" s="417"/>
      <c r="CR24" s="417"/>
      <c r="CS24" s="417"/>
      <c r="CT24" s="417"/>
      <c r="CU24" s="417"/>
      <c r="CV24" s="417"/>
      <c r="CW24" s="417"/>
      <c r="CX24" s="417"/>
      <c r="CY24" s="417"/>
      <c r="CZ24" s="417"/>
      <c r="DA24" s="417"/>
      <c r="DB24" s="417"/>
      <c r="DC24" s="417"/>
      <c r="DD24" s="417"/>
      <c r="DE24" s="417"/>
      <c r="DF24" s="417"/>
      <c r="DG24" s="417"/>
      <c r="DH24" s="417"/>
      <c r="DI24" s="417"/>
      <c r="DJ24" s="417"/>
      <c r="DK24" s="417"/>
      <c r="DL24" s="417"/>
      <c r="DM24" s="417"/>
      <c r="DN24" s="417"/>
      <c r="DO24" s="417"/>
      <c r="DP24" s="417"/>
      <c r="DQ24" s="417"/>
      <c r="DR24" s="417"/>
      <c r="DS24" s="417"/>
      <c r="DT24" s="417"/>
      <c r="DU24" s="417"/>
      <c r="DV24" s="417"/>
      <c r="DW24" s="417"/>
      <c r="DX24" s="417"/>
      <c r="DY24" s="417"/>
      <c r="DZ24" s="417"/>
      <c r="EA24" s="417"/>
      <c r="EB24" s="417"/>
      <c r="EC24" s="417"/>
      <c r="ED24" s="417"/>
      <c r="EE24" s="417"/>
      <c r="EF24" s="417"/>
      <c r="EG24" s="417"/>
      <c r="EH24" s="417"/>
      <c r="EI24" s="417"/>
      <c r="EJ24" s="417"/>
      <c r="EK24" s="417"/>
      <c r="EL24" s="417"/>
      <c r="EM24" s="417"/>
      <c r="EN24" s="417"/>
      <c r="EO24" s="417"/>
      <c r="EP24" s="417"/>
      <c r="EQ24" s="417"/>
      <c r="ER24" s="417"/>
      <c r="ES24" s="417"/>
      <c r="ET24" s="417"/>
      <c r="EU24" s="417"/>
      <c r="EV24" s="417"/>
      <c r="EW24" s="417"/>
      <c r="EX24" s="417"/>
      <c r="EY24" s="417"/>
      <c r="EZ24" s="417"/>
      <c r="FA24" s="417"/>
      <c r="FB24" s="417"/>
      <c r="FC24" s="417"/>
      <c r="FD24" s="417"/>
      <c r="FE24" s="417"/>
      <c r="FF24" s="417"/>
      <c r="FG24" s="417"/>
      <c r="FH24" s="417"/>
      <c r="FI24" s="417"/>
      <c r="FJ24" s="417"/>
      <c r="FK24" s="417"/>
      <c r="FL24" s="417"/>
      <c r="FM24" s="417"/>
      <c r="FN24" s="417"/>
      <c r="FO24" s="417"/>
      <c r="FP24" s="417"/>
      <c r="FQ24" s="417"/>
      <c r="FR24" s="417"/>
      <c r="FS24" s="417"/>
      <c r="FT24" s="417"/>
      <c r="FU24" s="417"/>
      <c r="FV24" s="417"/>
      <c r="FW24" s="417"/>
      <c r="FX24" s="417"/>
      <c r="FY24" s="417"/>
      <c r="FZ24" s="417"/>
      <c r="GA24" s="417"/>
      <c r="GB24" s="417"/>
      <c r="GC24" s="417"/>
      <c r="GD24" s="417"/>
      <c r="GE24" s="417"/>
      <c r="GF24" s="417"/>
      <c r="GG24" s="417"/>
      <c r="GH24" s="417"/>
      <c r="GI24" s="417"/>
      <c r="GJ24" s="417"/>
      <c r="GK24" s="417"/>
      <c r="GL24" s="417"/>
    </row>
    <row r="25" spans="1:194" ht="13">
      <c r="A25" s="440"/>
      <c r="B25" s="24" t="s">
        <v>192</v>
      </c>
      <c r="C25" s="24" t="s">
        <v>142</v>
      </c>
      <c r="D25" s="26" t="s">
        <v>927</v>
      </c>
      <c r="E25" s="81" t="s">
        <v>928</v>
      </c>
      <c r="F25" s="24" t="s">
        <v>79</v>
      </c>
      <c r="G25" s="126" t="s">
        <v>180</v>
      </c>
      <c r="H25" s="24" t="s">
        <v>194</v>
      </c>
      <c r="I25" s="27">
        <v>45145</v>
      </c>
      <c r="J25" s="27">
        <v>46240</v>
      </c>
      <c r="K25" s="51" t="s">
        <v>929</v>
      </c>
      <c r="L25" s="10"/>
      <c r="M25" s="33">
        <v>2415000</v>
      </c>
      <c r="N25" s="81" t="s">
        <v>930</v>
      </c>
      <c r="O25" s="11" t="s">
        <v>931</v>
      </c>
      <c r="P25" s="417"/>
      <c r="Q25" s="417"/>
      <c r="R25" s="417"/>
      <c r="S25" s="417"/>
      <c r="T25" s="417"/>
      <c r="U25" s="417"/>
      <c r="V25" s="417"/>
      <c r="W25" s="417"/>
      <c r="X25" s="417"/>
      <c r="Y25" s="417"/>
      <c r="Z25" s="417"/>
      <c r="AA25" s="417"/>
      <c r="AB25" s="417"/>
      <c r="AC25" s="417"/>
      <c r="AD25" s="417"/>
      <c r="AE25" s="417"/>
      <c r="AF25" s="417"/>
      <c r="AG25" s="417"/>
      <c r="AH25" s="417"/>
      <c r="AI25" s="417"/>
      <c r="AJ25" s="417"/>
      <c r="AK25" s="417"/>
      <c r="AL25" s="417"/>
      <c r="AM25" s="417"/>
      <c r="AN25" s="417"/>
      <c r="AO25" s="417"/>
      <c r="AP25" s="417"/>
      <c r="AQ25" s="417"/>
      <c r="AR25" s="417"/>
      <c r="AS25" s="417"/>
      <c r="AT25" s="417"/>
      <c r="AU25" s="417"/>
      <c r="AV25" s="417"/>
      <c r="AW25" s="417"/>
      <c r="AX25" s="417"/>
      <c r="AY25" s="417"/>
      <c r="AZ25" s="417"/>
      <c r="BA25" s="417"/>
      <c r="BB25" s="417"/>
      <c r="BC25" s="417"/>
      <c r="BD25" s="417"/>
      <c r="BE25" s="417"/>
      <c r="BF25" s="417"/>
      <c r="BG25" s="417"/>
      <c r="BH25" s="417"/>
      <c r="BI25" s="417"/>
      <c r="BJ25" s="417"/>
      <c r="BK25" s="417"/>
      <c r="BL25" s="417"/>
      <c r="BM25" s="417"/>
      <c r="BN25" s="417"/>
      <c r="BO25" s="417"/>
      <c r="BP25" s="417"/>
      <c r="BQ25" s="417"/>
      <c r="BR25" s="417"/>
      <c r="BS25" s="417"/>
      <c r="BT25" s="417"/>
      <c r="BU25" s="417"/>
      <c r="BV25" s="417"/>
      <c r="BW25" s="417"/>
      <c r="BX25" s="417"/>
      <c r="BY25" s="417"/>
      <c r="BZ25" s="417"/>
      <c r="CA25" s="417"/>
      <c r="CB25" s="417"/>
      <c r="CC25" s="417"/>
      <c r="CD25" s="417"/>
      <c r="CE25" s="417"/>
      <c r="CF25" s="417"/>
      <c r="CG25" s="417"/>
      <c r="CH25" s="417"/>
      <c r="CI25" s="417"/>
      <c r="CJ25" s="417"/>
      <c r="CK25" s="417"/>
      <c r="CL25" s="417"/>
      <c r="CM25" s="417"/>
      <c r="CN25" s="417"/>
      <c r="CO25" s="417"/>
      <c r="CP25" s="417"/>
      <c r="CQ25" s="417"/>
      <c r="CR25" s="417"/>
      <c r="CS25" s="417"/>
      <c r="CT25" s="417"/>
      <c r="CU25" s="417"/>
      <c r="CV25" s="417"/>
      <c r="CW25" s="417"/>
      <c r="CX25" s="417"/>
      <c r="CY25" s="417"/>
      <c r="CZ25" s="417"/>
      <c r="DA25" s="417"/>
      <c r="DB25" s="417"/>
      <c r="DC25" s="417"/>
      <c r="DD25" s="417"/>
      <c r="DE25" s="417"/>
      <c r="DF25" s="417"/>
      <c r="DG25" s="417"/>
      <c r="DH25" s="417"/>
      <c r="DI25" s="417"/>
      <c r="DJ25" s="417"/>
      <c r="DK25" s="417"/>
      <c r="DL25" s="417"/>
      <c r="DM25" s="417"/>
      <c r="DN25" s="417"/>
      <c r="DO25" s="417"/>
      <c r="DP25" s="417"/>
      <c r="DQ25" s="417"/>
      <c r="DR25" s="417"/>
      <c r="DS25" s="417"/>
      <c r="DT25" s="417"/>
      <c r="DU25" s="417"/>
      <c r="DV25" s="417"/>
      <c r="DW25" s="417"/>
      <c r="DX25" s="417"/>
      <c r="DY25" s="417"/>
      <c r="DZ25" s="417"/>
      <c r="EA25" s="417"/>
      <c r="EB25" s="417"/>
      <c r="EC25" s="417"/>
      <c r="ED25" s="417"/>
      <c r="EE25" s="417"/>
      <c r="EF25" s="417"/>
      <c r="EG25" s="417"/>
      <c r="EH25" s="417"/>
      <c r="EI25" s="417"/>
      <c r="EJ25" s="417"/>
      <c r="EK25" s="417"/>
      <c r="EL25" s="417"/>
      <c r="EM25" s="417"/>
      <c r="EN25" s="417"/>
      <c r="EO25" s="417"/>
      <c r="EP25" s="417"/>
      <c r="EQ25" s="417"/>
      <c r="ER25" s="417"/>
      <c r="ES25" s="417"/>
      <c r="ET25" s="417"/>
      <c r="EU25" s="417"/>
      <c r="EV25" s="417"/>
      <c r="EW25" s="417"/>
      <c r="EX25" s="417"/>
      <c r="EY25" s="417"/>
      <c r="EZ25" s="417"/>
      <c r="FA25" s="417"/>
      <c r="FB25" s="417"/>
      <c r="FC25" s="417"/>
      <c r="FD25" s="417"/>
      <c r="FE25" s="417"/>
      <c r="FF25" s="417"/>
      <c r="FG25" s="417"/>
      <c r="FH25" s="417"/>
      <c r="FI25" s="417"/>
      <c r="FJ25" s="417"/>
      <c r="FK25" s="417"/>
      <c r="FL25" s="417"/>
      <c r="FM25" s="417"/>
      <c r="FN25" s="417"/>
      <c r="FO25" s="417"/>
      <c r="FP25" s="417"/>
      <c r="FQ25" s="417"/>
      <c r="FR25" s="417"/>
      <c r="FS25" s="417"/>
      <c r="FT25" s="417"/>
      <c r="FU25" s="417"/>
      <c r="FV25" s="417"/>
      <c r="FW25" s="417"/>
      <c r="FX25" s="417"/>
      <c r="FY25" s="417"/>
      <c r="FZ25" s="417"/>
      <c r="GA25" s="417"/>
      <c r="GB25" s="417"/>
      <c r="GC25" s="417"/>
      <c r="GD25" s="417"/>
      <c r="GE25" s="417"/>
      <c r="GF25" s="417"/>
      <c r="GG25" s="417"/>
      <c r="GH25" s="417"/>
      <c r="GI25" s="417"/>
      <c r="GJ25" s="417"/>
      <c r="GK25" s="417"/>
      <c r="GL25" s="417"/>
    </row>
    <row r="26" spans="1:194" ht="13">
      <c r="A26" s="440"/>
      <c r="B26" s="24" t="s">
        <v>195</v>
      </c>
      <c r="C26" s="448" t="s">
        <v>142</v>
      </c>
      <c r="D26" s="449" t="s">
        <v>907</v>
      </c>
      <c r="E26" s="81" t="s">
        <v>932</v>
      </c>
      <c r="F26" s="24" t="s">
        <v>79</v>
      </c>
      <c r="G26" s="126" t="s">
        <v>197</v>
      </c>
      <c r="H26" s="24" t="s">
        <v>198</v>
      </c>
      <c r="I26" s="27">
        <v>44621</v>
      </c>
      <c r="J26" s="27">
        <v>45716</v>
      </c>
      <c r="K26" s="51" t="s">
        <v>933</v>
      </c>
      <c r="L26" s="10"/>
      <c r="M26" s="33">
        <v>164000</v>
      </c>
      <c r="N26" s="81" t="s">
        <v>934</v>
      </c>
      <c r="O26" s="11" t="s">
        <v>935</v>
      </c>
      <c r="P26" s="417"/>
      <c r="Q26" s="417"/>
      <c r="R26" s="417"/>
      <c r="S26" s="417"/>
      <c r="T26" s="417"/>
      <c r="U26" s="417"/>
      <c r="V26" s="417"/>
      <c r="W26" s="417"/>
      <c r="X26" s="417"/>
      <c r="Y26" s="417"/>
      <c r="Z26" s="417"/>
      <c r="AA26" s="417"/>
      <c r="AB26" s="417"/>
      <c r="AC26" s="417"/>
      <c r="AD26" s="417"/>
      <c r="AE26" s="417"/>
      <c r="AF26" s="417"/>
      <c r="AG26" s="417"/>
      <c r="AH26" s="417"/>
      <c r="AI26" s="417"/>
      <c r="AJ26" s="417"/>
      <c r="AK26" s="417"/>
      <c r="AL26" s="417"/>
      <c r="AM26" s="417"/>
      <c r="AN26" s="417"/>
      <c r="AO26" s="417"/>
      <c r="AP26" s="417"/>
      <c r="AQ26" s="417"/>
      <c r="AR26" s="417"/>
      <c r="AS26" s="417"/>
      <c r="AT26" s="417"/>
      <c r="AU26" s="417"/>
      <c r="AV26" s="417"/>
      <c r="AW26" s="417"/>
      <c r="AX26" s="417"/>
      <c r="AY26" s="417"/>
      <c r="AZ26" s="417"/>
      <c r="BA26" s="417"/>
      <c r="BB26" s="417"/>
      <c r="BC26" s="417"/>
      <c r="BD26" s="417"/>
      <c r="BE26" s="417"/>
      <c r="BF26" s="417"/>
      <c r="BG26" s="417"/>
      <c r="BH26" s="417"/>
      <c r="BI26" s="417"/>
      <c r="BJ26" s="417"/>
      <c r="BK26" s="417"/>
      <c r="BL26" s="417"/>
      <c r="BM26" s="417"/>
      <c r="BN26" s="417"/>
      <c r="BO26" s="417"/>
      <c r="BP26" s="417"/>
      <c r="BQ26" s="417"/>
      <c r="BR26" s="417"/>
      <c r="BS26" s="417"/>
      <c r="BT26" s="417"/>
      <c r="BU26" s="417"/>
      <c r="BV26" s="417"/>
      <c r="BW26" s="417"/>
      <c r="BX26" s="417"/>
      <c r="BY26" s="417"/>
      <c r="BZ26" s="417"/>
      <c r="CA26" s="417"/>
      <c r="CB26" s="417"/>
      <c r="CC26" s="417"/>
      <c r="CD26" s="417"/>
      <c r="CE26" s="417"/>
      <c r="CF26" s="417"/>
      <c r="CG26" s="417"/>
      <c r="CH26" s="417"/>
      <c r="CI26" s="417"/>
      <c r="CJ26" s="417"/>
      <c r="CK26" s="417"/>
      <c r="CL26" s="417"/>
      <c r="CM26" s="417"/>
      <c r="CN26" s="417"/>
      <c r="CO26" s="417"/>
      <c r="CP26" s="417"/>
      <c r="CQ26" s="417"/>
      <c r="CR26" s="417"/>
      <c r="CS26" s="417"/>
      <c r="CT26" s="417"/>
      <c r="CU26" s="417"/>
      <c r="CV26" s="417"/>
      <c r="CW26" s="417"/>
      <c r="CX26" s="417"/>
      <c r="CY26" s="417"/>
      <c r="CZ26" s="417"/>
      <c r="DA26" s="417"/>
      <c r="DB26" s="417"/>
      <c r="DC26" s="417"/>
      <c r="DD26" s="417"/>
      <c r="DE26" s="417"/>
      <c r="DF26" s="417"/>
      <c r="DG26" s="417"/>
      <c r="DH26" s="417"/>
      <c r="DI26" s="417"/>
      <c r="DJ26" s="417"/>
      <c r="DK26" s="417"/>
      <c r="DL26" s="417"/>
      <c r="DM26" s="417"/>
      <c r="DN26" s="417"/>
      <c r="DO26" s="417"/>
      <c r="DP26" s="417"/>
      <c r="DQ26" s="417"/>
      <c r="DR26" s="417"/>
      <c r="DS26" s="417"/>
      <c r="DT26" s="417"/>
      <c r="DU26" s="417"/>
      <c r="DV26" s="417"/>
      <c r="DW26" s="417"/>
      <c r="DX26" s="417"/>
      <c r="DY26" s="417"/>
      <c r="DZ26" s="417"/>
      <c r="EA26" s="417"/>
      <c r="EB26" s="417"/>
      <c r="EC26" s="417"/>
      <c r="ED26" s="417"/>
      <c r="EE26" s="417"/>
      <c r="EF26" s="417"/>
      <c r="EG26" s="417"/>
      <c r="EH26" s="417"/>
      <c r="EI26" s="417"/>
      <c r="EJ26" s="417"/>
      <c r="EK26" s="417"/>
      <c r="EL26" s="417"/>
      <c r="EM26" s="417"/>
      <c r="EN26" s="417"/>
      <c r="EO26" s="417"/>
      <c r="EP26" s="417"/>
      <c r="EQ26" s="417"/>
      <c r="ER26" s="417"/>
      <c r="ES26" s="417"/>
      <c r="ET26" s="417"/>
      <c r="EU26" s="417"/>
      <c r="EV26" s="417"/>
      <c r="EW26" s="417"/>
      <c r="EX26" s="417"/>
      <c r="EY26" s="417"/>
      <c r="EZ26" s="417"/>
      <c r="FA26" s="417"/>
      <c r="FB26" s="417"/>
      <c r="FC26" s="417"/>
      <c r="FD26" s="417"/>
      <c r="FE26" s="417"/>
      <c r="FF26" s="417"/>
      <c r="FG26" s="417"/>
      <c r="FH26" s="417"/>
      <c r="FI26" s="417"/>
      <c r="FJ26" s="417"/>
      <c r="FK26" s="417"/>
      <c r="FL26" s="417"/>
      <c r="FM26" s="417"/>
      <c r="FN26" s="417"/>
      <c r="FO26" s="417"/>
      <c r="FP26" s="417"/>
      <c r="FQ26" s="417"/>
      <c r="FR26" s="417"/>
      <c r="FS26" s="417"/>
      <c r="FT26" s="417"/>
      <c r="FU26" s="417"/>
      <c r="FV26" s="417"/>
      <c r="FW26" s="417"/>
      <c r="FX26" s="417"/>
      <c r="FY26" s="417"/>
      <c r="FZ26" s="417"/>
      <c r="GA26" s="417"/>
      <c r="GB26" s="417"/>
      <c r="GC26" s="417"/>
      <c r="GD26" s="417"/>
      <c r="GE26" s="417"/>
      <c r="GF26" s="417"/>
      <c r="GG26" s="417"/>
      <c r="GH26" s="417"/>
      <c r="GI26" s="417"/>
      <c r="GJ26" s="417"/>
      <c r="GK26" s="417"/>
      <c r="GL26" s="417"/>
    </row>
    <row r="27" spans="1:194" ht="36" customHeight="1">
      <c r="A27" s="1147"/>
      <c r="B27" s="1050" t="s">
        <v>70</v>
      </c>
      <c r="C27" s="1050" t="s">
        <v>142</v>
      </c>
      <c r="D27" s="1145" t="s">
        <v>936</v>
      </c>
      <c r="E27" s="1075" t="s">
        <v>937</v>
      </c>
      <c r="F27" s="24" t="s">
        <v>79</v>
      </c>
      <c r="G27" s="24" t="s">
        <v>197</v>
      </c>
      <c r="H27" s="24" t="s">
        <v>200</v>
      </c>
      <c r="I27" s="1140">
        <v>45292</v>
      </c>
      <c r="J27" s="1140">
        <v>45657</v>
      </c>
      <c r="K27" s="1079" t="s">
        <v>938</v>
      </c>
      <c r="L27" s="1058"/>
      <c r="M27" s="33">
        <v>13842828</v>
      </c>
      <c r="N27" s="1075" t="s">
        <v>939</v>
      </c>
      <c r="O27" s="11" t="s">
        <v>940</v>
      </c>
      <c r="P27" s="417"/>
      <c r="Q27" s="417"/>
      <c r="R27" s="417"/>
      <c r="S27" s="417"/>
      <c r="T27" s="417"/>
      <c r="U27" s="417"/>
      <c r="V27" s="417"/>
      <c r="W27" s="417"/>
      <c r="X27" s="417"/>
      <c r="Y27" s="417"/>
      <c r="Z27" s="417"/>
      <c r="AA27" s="417"/>
      <c r="AB27" s="417"/>
      <c r="AC27" s="417"/>
      <c r="AD27" s="417"/>
      <c r="AE27" s="417"/>
      <c r="AF27" s="417"/>
      <c r="AG27" s="417"/>
      <c r="AH27" s="417"/>
      <c r="AI27" s="417"/>
      <c r="AJ27" s="417"/>
      <c r="AK27" s="417"/>
      <c r="AL27" s="417"/>
      <c r="AM27" s="417"/>
      <c r="AN27" s="417"/>
      <c r="AO27" s="417"/>
      <c r="AP27" s="417"/>
      <c r="AQ27" s="417"/>
      <c r="AR27" s="417"/>
      <c r="AS27" s="417"/>
      <c r="AT27" s="417"/>
      <c r="AU27" s="417"/>
      <c r="AV27" s="417"/>
      <c r="AW27" s="417"/>
      <c r="AX27" s="417"/>
      <c r="AY27" s="417"/>
      <c r="AZ27" s="417"/>
      <c r="BA27" s="417"/>
      <c r="BB27" s="417"/>
      <c r="BC27" s="417"/>
      <c r="BD27" s="417"/>
      <c r="BE27" s="417"/>
      <c r="BF27" s="417"/>
      <c r="BG27" s="417"/>
      <c r="BH27" s="417"/>
      <c r="BI27" s="417"/>
      <c r="BJ27" s="417"/>
      <c r="BK27" s="417"/>
      <c r="BL27" s="417"/>
      <c r="BM27" s="417"/>
      <c r="BN27" s="417"/>
      <c r="BO27" s="417"/>
      <c r="BP27" s="417"/>
      <c r="BQ27" s="417"/>
      <c r="BR27" s="417"/>
      <c r="BS27" s="417"/>
      <c r="BT27" s="417"/>
      <c r="BU27" s="417"/>
      <c r="BV27" s="417"/>
      <c r="BW27" s="417"/>
      <c r="BX27" s="417"/>
      <c r="BY27" s="417"/>
      <c r="BZ27" s="417"/>
      <c r="CA27" s="417"/>
      <c r="CB27" s="417"/>
      <c r="CC27" s="417"/>
      <c r="CD27" s="417"/>
      <c r="CE27" s="417"/>
      <c r="CF27" s="417"/>
      <c r="CG27" s="417"/>
      <c r="CH27" s="417"/>
      <c r="CI27" s="417"/>
      <c r="CJ27" s="417"/>
      <c r="CK27" s="417"/>
      <c r="CL27" s="417"/>
      <c r="CM27" s="417"/>
      <c r="CN27" s="417"/>
      <c r="CO27" s="417"/>
      <c r="CP27" s="417"/>
      <c r="CQ27" s="417"/>
      <c r="CR27" s="417"/>
      <c r="CS27" s="417"/>
      <c r="CT27" s="417"/>
      <c r="CU27" s="417"/>
      <c r="CV27" s="417"/>
      <c r="CW27" s="417"/>
      <c r="CX27" s="417"/>
      <c r="CY27" s="417"/>
      <c r="CZ27" s="417"/>
      <c r="DA27" s="417"/>
      <c r="DB27" s="417"/>
      <c r="DC27" s="417"/>
      <c r="DD27" s="417"/>
      <c r="DE27" s="417"/>
      <c r="DF27" s="417"/>
      <c r="DG27" s="417"/>
      <c r="DH27" s="417"/>
      <c r="DI27" s="417"/>
      <c r="DJ27" s="417"/>
      <c r="DK27" s="417"/>
      <c r="DL27" s="417"/>
      <c r="DM27" s="417"/>
      <c r="DN27" s="417"/>
      <c r="DO27" s="417"/>
      <c r="DP27" s="417"/>
      <c r="DQ27" s="417"/>
      <c r="DR27" s="417"/>
      <c r="DS27" s="417"/>
      <c r="DT27" s="417"/>
      <c r="DU27" s="417"/>
      <c r="DV27" s="417"/>
      <c r="DW27" s="417"/>
      <c r="DX27" s="417"/>
      <c r="DY27" s="417"/>
      <c r="DZ27" s="417"/>
      <c r="EA27" s="417"/>
      <c r="EB27" s="417"/>
      <c r="EC27" s="417"/>
      <c r="ED27" s="417"/>
      <c r="EE27" s="417"/>
      <c r="EF27" s="417"/>
      <c r="EG27" s="417"/>
      <c r="EH27" s="417"/>
      <c r="EI27" s="417"/>
      <c r="EJ27" s="417"/>
      <c r="EK27" s="417"/>
      <c r="EL27" s="417"/>
      <c r="EM27" s="417"/>
      <c r="EN27" s="417"/>
      <c r="EO27" s="417"/>
      <c r="EP27" s="417"/>
      <c r="EQ27" s="417"/>
      <c r="ER27" s="417"/>
      <c r="ES27" s="417"/>
      <c r="ET27" s="417"/>
      <c r="EU27" s="417"/>
      <c r="EV27" s="417"/>
      <c r="EW27" s="417"/>
      <c r="EX27" s="417"/>
      <c r="EY27" s="417"/>
      <c r="EZ27" s="417"/>
      <c r="FA27" s="417"/>
      <c r="FB27" s="417"/>
      <c r="FC27" s="417"/>
      <c r="FD27" s="417"/>
      <c r="FE27" s="417"/>
      <c r="FF27" s="417"/>
      <c r="FG27" s="417"/>
      <c r="FH27" s="417"/>
      <c r="FI27" s="417"/>
      <c r="FJ27" s="417"/>
      <c r="FK27" s="417"/>
      <c r="FL27" s="417"/>
      <c r="FM27" s="417"/>
      <c r="FN27" s="417"/>
      <c r="FO27" s="417"/>
      <c r="FP27" s="417"/>
      <c r="FQ27" s="417"/>
      <c r="FR27" s="417"/>
      <c r="FS27" s="417"/>
      <c r="FT27" s="417"/>
      <c r="FU27" s="417"/>
      <c r="FV27" s="417"/>
      <c r="FW27" s="417"/>
      <c r="FX27" s="417"/>
      <c r="FY27" s="417"/>
      <c r="FZ27" s="417"/>
      <c r="GA27" s="417"/>
      <c r="GB27" s="417"/>
      <c r="GC27" s="417"/>
      <c r="GD27" s="417"/>
      <c r="GE27" s="417"/>
      <c r="GF27" s="417"/>
      <c r="GG27" s="417"/>
      <c r="GH27" s="417"/>
      <c r="GI27" s="417"/>
      <c r="GJ27" s="417"/>
      <c r="GK27" s="417"/>
      <c r="GL27" s="417"/>
    </row>
    <row r="28" spans="1:194" ht="36" customHeight="1">
      <c r="A28" s="1143"/>
      <c r="B28" s="1052"/>
      <c r="C28" s="1052"/>
      <c r="D28" s="1096"/>
      <c r="E28" s="1052"/>
      <c r="F28" s="36" t="s">
        <v>91</v>
      </c>
      <c r="G28" s="24" t="s">
        <v>201</v>
      </c>
      <c r="H28" s="24" t="s">
        <v>202</v>
      </c>
      <c r="I28" s="1052"/>
      <c r="J28" s="1052"/>
      <c r="K28" s="1052"/>
      <c r="L28" s="1052"/>
      <c r="M28" s="33">
        <v>2683060</v>
      </c>
      <c r="N28" s="1052"/>
      <c r="O28" s="11" t="s">
        <v>941</v>
      </c>
      <c r="P28" s="417"/>
      <c r="Q28" s="417"/>
      <c r="R28" s="417"/>
      <c r="S28" s="417"/>
      <c r="T28" s="417"/>
      <c r="U28" s="417"/>
      <c r="V28" s="417"/>
      <c r="W28" s="417"/>
      <c r="X28" s="417"/>
      <c r="Y28" s="417"/>
      <c r="Z28" s="417"/>
      <c r="AA28" s="417"/>
      <c r="AB28" s="417"/>
      <c r="AC28" s="417"/>
      <c r="AD28" s="417"/>
      <c r="AE28" s="417"/>
      <c r="AF28" s="417"/>
      <c r="AG28" s="417"/>
      <c r="AH28" s="417"/>
      <c r="AI28" s="417"/>
      <c r="AJ28" s="417"/>
      <c r="AK28" s="417"/>
      <c r="AL28" s="417"/>
      <c r="AM28" s="417"/>
      <c r="AN28" s="417"/>
      <c r="AO28" s="417"/>
      <c r="AP28" s="417"/>
      <c r="AQ28" s="417"/>
      <c r="AR28" s="417"/>
      <c r="AS28" s="417"/>
      <c r="AT28" s="417"/>
      <c r="AU28" s="417"/>
      <c r="AV28" s="417"/>
      <c r="AW28" s="417"/>
      <c r="AX28" s="417"/>
      <c r="AY28" s="417"/>
      <c r="AZ28" s="417"/>
      <c r="BA28" s="417"/>
      <c r="BB28" s="417"/>
      <c r="BC28" s="417"/>
      <c r="BD28" s="417"/>
      <c r="BE28" s="417"/>
      <c r="BF28" s="417"/>
      <c r="BG28" s="417"/>
      <c r="BH28" s="417"/>
      <c r="BI28" s="417"/>
      <c r="BJ28" s="417"/>
      <c r="BK28" s="417"/>
      <c r="BL28" s="417"/>
      <c r="BM28" s="417"/>
      <c r="BN28" s="417"/>
      <c r="BO28" s="417"/>
      <c r="BP28" s="417"/>
      <c r="BQ28" s="417"/>
      <c r="BR28" s="417"/>
      <c r="BS28" s="417"/>
      <c r="BT28" s="417"/>
      <c r="BU28" s="417"/>
      <c r="BV28" s="417"/>
      <c r="BW28" s="417"/>
      <c r="BX28" s="417"/>
      <c r="BY28" s="417"/>
      <c r="BZ28" s="417"/>
      <c r="CA28" s="417"/>
      <c r="CB28" s="417"/>
      <c r="CC28" s="417"/>
      <c r="CD28" s="417"/>
      <c r="CE28" s="417"/>
      <c r="CF28" s="417"/>
      <c r="CG28" s="417"/>
      <c r="CH28" s="417"/>
      <c r="CI28" s="417"/>
      <c r="CJ28" s="417"/>
      <c r="CK28" s="417"/>
      <c r="CL28" s="417"/>
      <c r="CM28" s="417"/>
      <c r="CN28" s="417"/>
      <c r="CO28" s="417"/>
      <c r="CP28" s="417"/>
      <c r="CQ28" s="417"/>
      <c r="CR28" s="417"/>
      <c r="CS28" s="417"/>
      <c r="CT28" s="417"/>
      <c r="CU28" s="417"/>
      <c r="CV28" s="417"/>
      <c r="CW28" s="417"/>
      <c r="CX28" s="417"/>
      <c r="CY28" s="417"/>
      <c r="CZ28" s="417"/>
      <c r="DA28" s="417"/>
      <c r="DB28" s="417"/>
      <c r="DC28" s="417"/>
      <c r="DD28" s="417"/>
      <c r="DE28" s="417"/>
      <c r="DF28" s="417"/>
      <c r="DG28" s="417"/>
      <c r="DH28" s="417"/>
      <c r="DI28" s="417"/>
      <c r="DJ28" s="417"/>
      <c r="DK28" s="417"/>
      <c r="DL28" s="417"/>
      <c r="DM28" s="417"/>
      <c r="DN28" s="417"/>
      <c r="DO28" s="417"/>
      <c r="DP28" s="417"/>
      <c r="DQ28" s="417"/>
      <c r="DR28" s="417"/>
      <c r="DS28" s="417"/>
      <c r="DT28" s="417"/>
      <c r="DU28" s="417"/>
      <c r="DV28" s="417"/>
      <c r="DW28" s="417"/>
      <c r="DX28" s="417"/>
      <c r="DY28" s="417"/>
      <c r="DZ28" s="417"/>
      <c r="EA28" s="417"/>
      <c r="EB28" s="417"/>
      <c r="EC28" s="417"/>
      <c r="ED28" s="417"/>
      <c r="EE28" s="417"/>
      <c r="EF28" s="417"/>
      <c r="EG28" s="417"/>
      <c r="EH28" s="417"/>
      <c r="EI28" s="417"/>
      <c r="EJ28" s="417"/>
      <c r="EK28" s="417"/>
      <c r="EL28" s="417"/>
      <c r="EM28" s="417"/>
      <c r="EN28" s="417"/>
      <c r="EO28" s="417"/>
      <c r="EP28" s="417"/>
      <c r="EQ28" s="417"/>
      <c r="ER28" s="417"/>
      <c r="ES28" s="417"/>
      <c r="ET28" s="417"/>
      <c r="EU28" s="417"/>
      <c r="EV28" s="417"/>
      <c r="EW28" s="417"/>
      <c r="EX28" s="417"/>
      <c r="EY28" s="417"/>
      <c r="EZ28" s="417"/>
      <c r="FA28" s="417"/>
      <c r="FB28" s="417"/>
      <c r="FC28" s="417"/>
      <c r="FD28" s="417"/>
      <c r="FE28" s="417"/>
      <c r="FF28" s="417"/>
      <c r="FG28" s="417"/>
      <c r="FH28" s="417"/>
      <c r="FI28" s="417"/>
      <c r="FJ28" s="417"/>
      <c r="FK28" s="417"/>
      <c r="FL28" s="417"/>
      <c r="FM28" s="417"/>
      <c r="FN28" s="417"/>
      <c r="FO28" s="417"/>
      <c r="FP28" s="417"/>
      <c r="FQ28" s="417"/>
      <c r="FR28" s="417"/>
      <c r="FS28" s="417"/>
      <c r="FT28" s="417"/>
      <c r="FU28" s="417"/>
      <c r="FV28" s="417"/>
      <c r="FW28" s="417"/>
      <c r="FX28" s="417"/>
      <c r="FY28" s="417"/>
      <c r="FZ28" s="417"/>
      <c r="GA28" s="417"/>
      <c r="GB28" s="417"/>
      <c r="GC28" s="417"/>
      <c r="GD28" s="417"/>
      <c r="GE28" s="417"/>
      <c r="GF28" s="417"/>
      <c r="GG28" s="417"/>
      <c r="GH28" s="417"/>
      <c r="GI28" s="417"/>
      <c r="GJ28" s="417"/>
      <c r="GK28" s="417"/>
      <c r="GL28" s="417"/>
    </row>
    <row r="29" spans="1:194" ht="13">
      <c r="A29" s="440"/>
      <c r="B29" s="24" t="s">
        <v>203</v>
      </c>
      <c r="C29" s="11" t="s">
        <v>142</v>
      </c>
      <c r="D29" s="450" t="s">
        <v>942</v>
      </c>
      <c r="E29" s="81" t="s">
        <v>943</v>
      </c>
      <c r="F29" s="24" t="s">
        <v>79</v>
      </c>
      <c r="G29" s="24" t="s">
        <v>205</v>
      </c>
      <c r="H29" s="24" t="s">
        <v>206</v>
      </c>
      <c r="I29" s="27">
        <v>44835</v>
      </c>
      <c r="J29" s="27">
        <v>46660</v>
      </c>
      <c r="K29" s="51" t="s">
        <v>944</v>
      </c>
      <c r="L29" s="10"/>
      <c r="M29" s="33">
        <v>591600</v>
      </c>
      <c r="N29" s="81" t="s">
        <v>945</v>
      </c>
      <c r="O29" s="11" t="s">
        <v>946</v>
      </c>
      <c r="P29" s="417"/>
      <c r="Q29" s="417"/>
      <c r="R29" s="417"/>
      <c r="S29" s="417"/>
      <c r="T29" s="417"/>
      <c r="U29" s="417"/>
      <c r="V29" s="417"/>
      <c r="W29" s="417"/>
      <c r="X29" s="417"/>
      <c r="Y29" s="417"/>
      <c r="Z29" s="417"/>
      <c r="AA29" s="417"/>
      <c r="AB29" s="417"/>
      <c r="AC29" s="417"/>
      <c r="AD29" s="417"/>
      <c r="AE29" s="417"/>
      <c r="AF29" s="417"/>
      <c r="AG29" s="417"/>
      <c r="AH29" s="417"/>
      <c r="AI29" s="417"/>
      <c r="AJ29" s="417"/>
      <c r="AK29" s="417"/>
      <c r="AL29" s="417"/>
      <c r="AM29" s="417"/>
      <c r="AN29" s="417"/>
      <c r="AO29" s="417"/>
      <c r="AP29" s="417"/>
      <c r="AQ29" s="417"/>
      <c r="AR29" s="417"/>
      <c r="AS29" s="417"/>
      <c r="AT29" s="417"/>
      <c r="AU29" s="417"/>
      <c r="AV29" s="417"/>
      <c r="AW29" s="417"/>
      <c r="AX29" s="417"/>
      <c r="AY29" s="417"/>
      <c r="AZ29" s="417"/>
      <c r="BA29" s="417"/>
      <c r="BB29" s="417"/>
      <c r="BC29" s="417"/>
      <c r="BD29" s="417"/>
      <c r="BE29" s="417"/>
      <c r="BF29" s="417"/>
      <c r="BG29" s="417"/>
      <c r="BH29" s="417"/>
      <c r="BI29" s="417"/>
      <c r="BJ29" s="417"/>
      <c r="BK29" s="417"/>
      <c r="BL29" s="417"/>
      <c r="BM29" s="417"/>
      <c r="BN29" s="417"/>
      <c r="BO29" s="417"/>
      <c r="BP29" s="417"/>
      <c r="BQ29" s="417"/>
      <c r="BR29" s="417"/>
      <c r="BS29" s="417"/>
      <c r="BT29" s="417"/>
      <c r="BU29" s="417"/>
      <c r="BV29" s="417"/>
      <c r="BW29" s="417"/>
      <c r="BX29" s="417"/>
      <c r="BY29" s="417"/>
      <c r="BZ29" s="417"/>
      <c r="CA29" s="417"/>
      <c r="CB29" s="417"/>
      <c r="CC29" s="417"/>
      <c r="CD29" s="417"/>
      <c r="CE29" s="417"/>
      <c r="CF29" s="417"/>
      <c r="CG29" s="417"/>
      <c r="CH29" s="417"/>
      <c r="CI29" s="417"/>
      <c r="CJ29" s="417"/>
      <c r="CK29" s="417"/>
      <c r="CL29" s="417"/>
      <c r="CM29" s="417"/>
      <c r="CN29" s="417"/>
      <c r="CO29" s="417"/>
      <c r="CP29" s="417"/>
      <c r="CQ29" s="417"/>
      <c r="CR29" s="417"/>
      <c r="CS29" s="417"/>
      <c r="CT29" s="417"/>
      <c r="CU29" s="417"/>
      <c r="CV29" s="417"/>
      <c r="CW29" s="417"/>
      <c r="CX29" s="417"/>
      <c r="CY29" s="417"/>
      <c r="CZ29" s="417"/>
      <c r="DA29" s="417"/>
      <c r="DB29" s="417"/>
      <c r="DC29" s="417"/>
      <c r="DD29" s="417"/>
      <c r="DE29" s="417"/>
      <c r="DF29" s="417"/>
      <c r="DG29" s="417"/>
      <c r="DH29" s="417"/>
      <c r="DI29" s="417"/>
      <c r="DJ29" s="417"/>
      <c r="DK29" s="417"/>
      <c r="DL29" s="417"/>
      <c r="DM29" s="417"/>
      <c r="DN29" s="417"/>
      <c r="DO29" s="417"/>
      <c r="DP29" s="417"/>
      <c r="DQ29" s="417"/>
      <c r="DR29" s="417"/>
      <c r="DS29" s="417"/>
      <c r="DT29" s="417"/>
      <c r="DU29" s="417"/>
      <c r="DV29" s="417"/>
      <c r="DW29" s="417"/>
      <c r="DX29" s="417"/>
      <c r="DY29" s="417"/>
      <c r="DZ29" s="417"/>
      <c r="EA29" s="417"/>
      <c r="EB29" s="417"/>
      <c r="EC29" s="417"/>
      <c r="ED29" s="417"/>
      <c r="EE29" s="417"/>
      <c r="EF29" s="417"/>
      <c r="EG29" s="417"/>
      <c r="EH29" s="417"/>
      <c r="EI29" s="417"/>
      <c r="EJ29" s="417"/>
      <c r="EK29" s="417"/>
      <c r="EL29" s="417"/>
      <c r="EM29" s="417"/>
      <c r="EN29" s="417"/>
      <c r="EO29" s="417"/>
      <c r="EP29" s="417"/>
      <c r="EQ29" s="417"/>
      <c r="ER29" s="417"/>
      <c r="ES29" s="417"/>
      <c r="ET29" s="417"/>
      <c r="EU29" s="417"/>
      <c r="EV29" s="417"/>
      <c r="EW29" s="417"/>
      <c r="EX29" s="417"/>
      <c r="EY29" s="417"/>
      <c r="EZ29" s="417"/>
      <c r="FA29" s="417"/>
      <c r="FB29" s="417"/>
      <c r="FC29" s="417"/>
      <c r="FD29" s="417"/>
      <c r="FE29" s="417"/>
      <c r="FF29" s="417"/>
      <c r="FG29" s="417"/>
      <c r="FH29" s="417"/>
      <c r="FI29" s="417"/>
      <c r="FJ29" s="417"/>
      <c r="FK29" s="417"/>
      <c r="FL29" s="417"/>
      <c r="FM29" s="417"/>
      <c r="FN29" s="417"/>
      <c r="FO29" s="417"/>
      <c r="FP29" s="417"/>
      <c r="FQ29" s="417"/>
      <c r="FR29" s="417"/>
      <c r="FS29" s="417"/>
      <c r="FT29" s="417"/>
      <c r="FU29" s="417"/>
      <c r="FV29" s="417"/>
      <c r="FW29" s="417"/>
      <c r="FX29" s="417"/>
      <c r="FY29" s="417"/>
      <c r="FZ29" s="417"/>
      <c r="GA29" s="417"/>
      <c r="GB29" s="417"/>
      <c r="GC29" s="417"/>
      <c r="GD29" s="417"/>
      <c r="GE29" s="417"/>
      <c r="GF29" s="417"/>
      <c r="GG29" s="417"/>
      <c r="GH29" s="417"/>
      <c r="GI29" s="417"/>
      <c r="GJ29" s="417"/>
      <c r="GK29" s="417"/>
      <c r="GL29" s="417"/>
    </row>
    <row r="30" spans="1:194" ht="13">
      <c r="A30" s="440"/>
      <c r="B30" s="24" t="s">
        <v>144</v>
      </c>
      <c r="C30" s="24" t="s">
        <v>142</v>
      </c>
      <c r="D30" s="451" t="s">
        <v>947</v>
      </c>
      <c r="E30" s="81" t="s">
        <v>948</v>
      </c>
      <c r="F30" s="24" t="s">
        <v>79</v>
      </c>
      <c r="G30" s="24" t="s">
        <v>208</v>
      </c>
      <c r="H30" s="24" t="s">
        <v>209</v>
      </c>
      <c r="I30" s="10" t="s">
        <v>210</v>
      </c>
      <c r="J30" s="10" t="s">
        <v>211</v>
      </c>
      <c r="K30" s="51" t="s">
        <v>949</v>
      </c>
      <c r="L30" s="10"/>
      <c r="M30" s="33">
        <v>469800</v>
      </c>
      <c r="N30" s="81" t="s">
        <v>950</v>
      </c>
      <c r="O30" s="11" t="s">
        <v>951</v>
      </c>
      <c r="P30" s="417"/>
      <c r="Q30" s="417"/>
      <c r="R30" s="417"/>
      <c r="S30" s="417"/>
      <c r="T30" s="417"/>
      <c r="U30" s="417"/>
      <c r="V30" s="417"/>
      <c r="W30" s="417"/>
      <c r="X30" s="417"/>
      <c r="Y30" s="417"/>
      <c r="Z30" s="417"/>
      <c r="AA30" s="417"/>
      <c r="AB30" s="417"/>
      <c r="AC30" s="417"/>
      <c r="AD30" s="417"/>
      <c r="AE30" s="417"/>
      <c r="AF30" s="417"/>
      <c r="AG30" s="417"/>
      <c r="AH30" s="417"/>
      <c r="AI30" s="417"/>
      <c r="AJ30" s="417"/>
      <c r="AK30" s="417"/>
      <c r="AL30" s="417"/>
      <c r="AM30" s="417"/>
      <c r="AN30" s="417"/>
      <c r="AO30" s="417"/>
      <c r="AP30" s="417"/>
      <c r="AQ30" s="417"/>
      <c r="AR30" s="417"/>
      <c r="AS30" s="417"/>
      <c r="AT30" s="417"/>
      <c r="AU30" s="417"/>
      <c r="AV30" s="417"/>
      <c r="AW30" s="417"/>
      <c r="AX30" s="417"/>
      <c r="AY30" s="417"/>
      <c r="AZ30" s="417"/>
      <c r="BA30" s="417"/>
      <c r="BB30" s="417"/>
      <c r="BC30" s="417"/>
      <c r="BD30" s="417"/>
      <c r="BE30" s="417"/>
      <c r="BF30" s="417"/>
      <c r="BG30" s="417"/>
      <c r="BH30" s="417"/>
      <c r="BI30" s="417"/>
      <c r="BJ30" s="417"/>
      <c r="BK30" s="417"/>
      <c r="BL30" s="417"/>
      <c r="BM30" s="417"/>
      <c r="BN30" s="417"/>
      <c r="BO30" s="417"/>
      <c r="BP30" s="417"/>
      <c r="BQ30" s="417"/>
      <c r="BR30" s="417"/>
      <c r="BS30" s="417"/>
      <c r="BT30" s="417"/>
      <c r="BU30" s="417"/>
      <c r="BV30" s="417"/>
      <c r="BW30" s="417"/>
      <c r="BX30" s="417"/>
      <c r="BY30" s="417"/>
      <c r="BZ30" s="417"/>
      <c r="CA30" s="417"/>
      <c r="CB30" s="417"/>
      <c r="CC30" s="417"/>
      <c r="CD30" s="417"/>
      <c r="CE30" s="417"/>
      <c r="CF30" s="417"/>
      <c r="CG30" s="417"/>
      <c r="CH30" s="417"/>
      <c r="CI30" s="417"/>
      <c r="CJ30" s="417"/>
      <c r="CK30" s="417"/>
      <c r="CL30" s="417"/>
      <c r="CM30" s="417"/>
      <c r="CN30" s="417"/>
      <c r="CO30" s="417"/>
      <c r="CP30" s="417"/>
      <c r="CQ30" s="417"/>
      <c r="CR30" s="417"/>
      <c r="CS30" s="417"/>
      <c r="CT30" s="417"/>
      <c r="CU30" s="417"/>
      <c r="CV30" s="417"/>
      <c r="CW30" s="417"/>
      <c r="CX30" s="417"/>
      <c r="CY30" s="417"/>
      <c r="CZ30" s="417"/>
      <c r="DA30" s="417"/>
      <c r="DB30" s="417"/>
      <c r="DC30" s="417"/>
      <c r="DD30" s="417"/>
      <c r="DE30" s="417"/>
      <c r="DF30" s="417"/>
      <c r="DG30" s="417"/>
      <c r="DH30" s="417"/>
      <c r="DI30" s="417"/>
      <c r="DJ30" s="417"/>
      <c r="DK30" s="417"/>
      <c r="DL30" s="417"/>
      <c r="DM30" s="417"/>
      <c r="DN30" s="417"/>
      <c r="DO30" s="417"/>
      <c r="DP30" s="417"/>
      <c r="DQ30" s="417"/>
      <c r="DR30" s="417"/>
      <c r="DS30" s="417"/>
      <c r="DT30" s="417"/>
      <c r="DU30" s="417"/>
      <c r="DV30" s="417"/>
      <c r="DW30" s="417"/>
      <c r="DX30" s="417"/>
      <c r="DY30" s="417"/>
      <c r="DZ30" s="417"/>
      <c r="EA30" s="417"/>
      <c r="EB30" s="417"/>
      <c r="EC30" s="417"/>
      <c r="ED30" s="417"/>
      <c r="EE30" s="417"/>
      <c r="EF30" s="417"/>
      <c r="EG30" s="417"/>
      <c r="EH30" s="417"/>
      <c r="EI30" s="417"/>
      <c r="EJ30" s="417"/>
      <c r="EK30" s="417"/>
      <c r="EL30" s="417"/>
      <c r="EM30" s="417"/>
      <c r="EN30" s="417"/>
      <c r="EO30" s="417"/>
      <c r="EP30" s="417"/>
      <c r="EQ30" s="417"/>
      <c r="ER30" s="417"/>
      <c r="ES30" s="417"/>
      <c r="ET30" s="417"/>
      <c r="EU30" s="417"/>
      <c r="EV30" s="417"/>
      <c r="EW30" s="417"/>
      <c r="EX30" s="417"/>
      <c r="EY30" s="417"/>
      <c r="EZ30" s="417"/>
      <c r="FA30" s="417"/>
      <c r="FB30" s="417"/>
      <c r="FC30" s="417"/>
      <c r="FD30" s="417"/>
      <c r="FE30" s="417"/>
      <c r="FF30" s="417"/>
      <c r="FG30" s="417"/>
      <c r="FH30" s="417"/>
      <c r="FI30" s="417"/>
      <c r="FJ30" s="417"/>
      <c r="FK30" s="417"/>
      <c r="FL30" s="417"/>
      <c r="FM30" s="417"/>
      <c r="FN30" s="417"/>
      <c r="FO30" s="417"/>
      <c r="FP30" s="417"/>
      <c r="FQ30" s="417"/>
      <c r="FR30" s="417"/>
      <c r="FS30" s="417"/>
      <c r="FT30" s="417"/>
      <c r="FU30" s="417"/>
      <c r="FV30" s="417"/>
      <c r="FW30" s="417"/>
      <c r="FX30" s="417"/>
      <c r="FY30" s="417"/>
      <c r="FZ30" s="417"/>
      <c r="GA30" s="417"/>
      <c r="GB30" s="417"/>
      <c r="GC30" s="417"/>
      <c r="GD30" s="417"/>
      <c r="GE30" s="417"/>
      <c r="GF30" s="417"/>
      <c r="GG30" s="417"/>
      <c r="GH30" s="417"/>
      <c r="GI30" s="417"/>
      <c r="GJ30" s="417"/>
      <c r="GK30" s="417"/>
      <c r="GL30" s="417"/>
    </row>
    <row r="31" spans="1:194" ht="13">
      <c r="A31" s="440"/>
      <c r="B31" s="24" t="s">
        <v>70</v>
      </c>
      <c r="C31" s="448" t="s">
        <v>142</v>
      </c>
      <c r="D31" s="449" t="s">
        <v>907</v>
      </c>
      <c r="E31" s="81" t="s">
        <v>952</v>
      </c>
      <c r="F31" s="24" t="s">
        <v>79</v>
      </c>
      <c r="G31" s="24" t="s">
        <v>213</v>
      </c>
      <c r="H31" s="24" t="s">
        <v>214</v>
      </c>
      <c r="I31" s="27">
        <f>VLOOKUP(H31,'(참고)PJT목록'!A:D,4,0)</f>
        <v>39814</v>
      </c>
      <c r="J31" s="27">
        <f>VLOOKUP(H31,'(참고)PJT목록'!A:E,5,0)</f>
        <v>45657</v>
      </c>
      <c r="K31" s="51" t="s">
        <v>953</v>
      </c>
      <c r="L31" s="10"/>
      <c r="M31" s="33">
        <v>732000</v>
      </c>
      <c r="N31" s="81" t="s">
        <v>954</v>
      </c>
      <c r="O31" s="11"/>
      <c r="P31" s="417"/>
      <c r="Q31" s="417"/>
      <c r="R31" s="417"/>
      <c r="S31" s="417"/>
      <c r="T31" s="417"/>
      <c r="U31" s="417"/>
      <c r="V31" s="417"/>
      <c r="W31" s="417"/>
      <c r="X31" s="417"/>
      <c r="Y31" s="417"/>
      <c r="Z31" s="417"/>
      <c r="AA31" s="417"/>
      <c r="AB31" s="417"/>
      <c r="AC31" s="417"/>
      <c r="AD31" s="417"/>
      <c r="AE31" s="417"/>
      <c r="AF31" s="417"/>
      <c r="AG31" s="417"/>
      <c r="AH31" s="417"/>
      <c r="AI31" s="417"/>
      <c r="AJ31" s="417"/>
      <c r="AK31" s="417"/>
      <c r="AL31" s="417"/>
      <c r="AM31" s="417"/>
      <c r="AN31" s="417"/>
      <c r="AO31" s="417"/>
      <c r="AP31" s="417"/>
      <c r="AQ31" s="417"/>
      <c r="AR31" s="417"/>
      <c r="AS31" s="417"/>
      <c r="AT31" s="417"/>
      <c r="AU31" s="417"/>
      <c r="AV31" s="417"/>
      <c r="AW31" s="417"/>
      <c r="AX31" s="417"/>
      <c r="AY31" s="417"/>
      <c r="AZ31" s="417"/>
      <c r="BA31" s="417"/>
      <c r="BB31" s="417"/>
      <c r="BC31" s="417"/>
      <c r="BD31" s="417"/>
      <c r="BE31" s="417"/>
      <c r="BF31" s="417"/>
      <c r="BG31" s="417"/>
      <c r="BH31" s="417"/>
      <c r="BI31" s="417"/>
      <c r="BJ31" s="417"/>
      <c r="BK31" s="417"/>
      <c r="BL31" s="417"/>
      <c r="BM31" s="417"/>
      <c r="BN31" s="417"/>
      <c r="BO31" s="417"/>
      <c r="BP31" s="417"/>
      <c r="BQ31" s="417"/>
      <c r="BR31" s="417"/>
      <c r="BS31" s="417"/>
      <c r="BT31" s="417"/>
      <c r="BU31" s="417"/>
      <c r="BV31" s="417"/>
      <c r="BW31" s="417"/>
      <c r="BX31" s="417"/>
      <c r="BY31" s="417"/>
      <c r="BZ31" s="417"/>
      <c r="CA31" s="417"/>
      <c r="CB31" s="417"/>
      <c r="CC31" s="417"/>
      <c r="CD31" s="417"/>
      <c r="CE31" s="417"/>
      <c r="CF31" s="417"/>
      <c r="CG31" s="417"/>
      <c r="CH31" s="417"/>
      <c r="CI31" s="417"/>
      <c r="CJ31" s="417"/>
      <c r="CK31" s="417"/>
      <c r="CL31" s="417"/>
      <c r="CM31" s="417"/>
      <c r="CN31" s="417"/>
      <c r="CO31" s="417"/>
      <c r="CP31" s="417"/>
      <c r="CQ31" s="417"/>
      <c r="CR31" s="417"/>
      <c r="CS31" s="417"/>
      <c r="CT31" s="417"/>
      <c r="CU31" s="417"/>
      <c r="CV31" s="417"/>
      <c r="CW31" s="417"/>
      <c r="CX31" s="417"/>
      <c r="CY31" s="417"/>
      <c r="CZ31" s="417"/>
      <c r="DA31" s="417"/>
      <c r="DB31" s="417"/>
      <c r="DC31" s="417"/>
      <c r="DD31" s="417"/>
      <c r="DE31" s="417"/>
      <c r="DF31" s="417"/>
      <c r="DG31" s="417"/>
      <c r="DH31" s="417"/>
      <c r="DI31" s="417"/>
      <c r="DJ31" s="417"/>
      <c r="DK31" s="417"/>
      <c r="DL31" s="417"/>
      <c r="DM31" s="417"/>
      <c r="DN31" s="417"/>
      <c r="DO31" s="417"/>
      <c r="DP31" s="417"/>
      <c r="DQ31" s="417"/>
      <c r="DR31" s="417"/>
      <c r="DS31" s="417"/>
      <c r="DT31" s="417"/>
      <c r="DU31" s="417"/>
      <c r="DV31" s="417"/>
      <c r="DW31" s="417"/>
      <c r="DX31" s="417"/>
      <c r="DY31" s="417"/>
      <c r="DZ31" s="417"/>
      <c r="EA31" s="417"/>
      <c r="EB31" s="417"/>
      <c r="EC31" s="417"/>
      <c r="ED31" s="417"/>
      <c r="EE31" s="417"/>
      <c r="EF31" s="417"/>
      <c r="EG31" s="417"/>
      <c r="EH31" s="417"/>
      <c r="EI31" s="417"/>
      <c r="EJ31" s="417"/>
      <c r="EK31" s="417"/>
      <c r="EL31" s="417"/>
      <c r="EM31" s="417"/>
      <c r="EN31" s="417"/>
      <c r="EO31" s="417"/>
      <c r="EP31" s="417"/>
      <c r="EQ31" s="417"/>
      <c r="ER31" s="417"/>
      <c r="ES31" s="417"/>
      <c r="ET31" s="417"/>
      <c r="EU31" s="417"/>
      <c r="EV31" s="417"/>
      <c r="EW31" s="417"/>
      <c r="EX31" s="417"/>
      <c r="EY31" s="417"/>
      <c r="EZ31" s="417"/>
      <c r="FA31" s="417"/>
      <c r="FB31" s="417"/>
      <c r="FC31" s="417"/>
      <c r="FD31" s="417"/>
      <c r="FE31" s="417"/>
      <c r="FF31" s="417"/>
      <c r="FG31" s="417"/>
      <c r="FH31" s="417"/>
      <c r="FI31" s="417"/>
      <c r="FJ31" s="417"/>
      <c r="FK31" s="417"/>
      <c r="FL31" s="417"/>
      <c r="FM31" s="417"/>
      <c r="FN31" s="417"/>
      <c r="FO31" s="417"/>
      <c r="FP31" s="417"/>
      <c r="FQ31" s="417"/>
      <c r="FR31" s="417"/>
      <c r="FS31" s="417"/>
      <c r="FT31" s="417"/>
      <c r="FU31" s="417"/>
      <c r="FV31" s="417"/>
      <c r="FW31" s="417"/>
      <c r="FX31" s="417"/>
      <c r="FY31" s="417"/>
      <c r="FZ31" s="417"/>
      <c r="GA31" s="417"/>
      <c r="GB31" s="417"/>
      <c r="GC31" s="417"/>
      <c r="GD31" s="417"/>
      <c r="GE31" s="417"/>
      <c r="GF31" s="417"/>
      <c r="GG31" s="417"/>
      <c r="GH31" s="417"/>
      <c r="GI31" s="417"/>
      <c r="GJ31" s="417"/>
      <c r="GK31" s="417"/>
      <c r="GL31" s="417"/>
    </row>
    <row r="32" spans="1:194" ht="13">
      <c r="A32" s="440"/>
      <c r="B32" s="24" t="s">
        <v>70</v>
      </c>
      <c r="C32" s="448" t="s">
        <v>142</v>
      </c>
      <c r="D32" s="449" t="s">
        <v>907</v>
      </c>
      <c r="E32" s="81" t="s">
        <v>955</v>
      </c>
      <c r="F32" s="24" t="s">
        <v>79</v>
      </c>
      <c r="G32" s="24" t="s">
        <v>213</v>
      </c>
      <c r="H32" s="24" t="s">
        <v>214</v>
      </c>
      <c r="I32" s="27">
        <v>45622</v>
      </c>
      <c r="J32" s="27">
        <v>45622</v>
      </c>
      <c r="K32" s="51" t="s">
        <v>956</v>
      </c>
      <c r="L32" s="10"/>
      <c r="M32" s="33">
        <v>872000</v>
      </c>
      <c r="N32" s="81" t="s">
        <v>957</v>
      </c>
      <c r="O32" s="11" t="s">
        <v>958</v>
      </c>
      <c r="P32" s="417"/>
      <c r="Q32" s="417"/>
      <c r="R32" s="417"/>
      <c r="S32" s="417"/>
      <c r="T32" s="417"/>
      <c r="U32" s="417"/>
      <c r="V32" s="417"/>
      <c r="W32" s="417"/>
      <c r="X32" s="417"/>
      <c r="Y32" s="417"/>
      <c r="Z32" s="417"/>
      <c r="AA32" s="417"/>
      <c r="AB32" s="417"/>
      <c r="AC32" s="417"/>
      <c r="AD32" s="417"/>
      <c r="AE32" s="417"/>
      <c r="AF32" s="417"/>
      <c r="AG32" s="417"/>
      <c r="AH32" s="417"/>
      <c r="AI32" s="417"/>
      <c r="AJ32" s="417"/>
      <c r="AK32" s="417"/>
      <c r="AL32" s="417"/>
      <c r="AM32" s="417"/>
      <c r="AN32" s="417"/>
      <c r="AO32" s="417"/>
      <c r="AP32" s="417"/>
      <c r="AQ32" s="417"/>
      <c r="AR32" s="417"/>
      <c r="AS32" s="417"/>
      <c r="AT32" s="417"/>
      <c r="AU32" s="417"/>
      <c r="AV32" s="417"/>
      <c r="AW32" s="417"/>
      <c r="AX32" s="417"/>
      <c r="AY32" s="417"/>
      <c r="AZ32" s="417"/>
      <c r="BA32" s="417"/>
      <c r="BB32" s="417"/>
      <c r="BC32" s="417"/>
      <c r="BD32" s="417"/>
      <c r="BE32" s="417"/>
      <c r="BF32" s="417"/>
      <c r="BG32" s="417"/>
      <c r="BH32" s="417"/>
      <c r="BI32" s="417"/>
      <c r="BJ32" s="417"/>
      <c r="BK32" s="417"/>
      <c r="BL32" s="417"/>
      <c r="BM32" s="417"/>
      <c r="BN32" s="417"/>
      <c r="BO32" s="417"/>
      <c r="BP32" s="417"/>
      <c r="BQ32" s="417"/>
      <c r="BR32" s="417"/>
      <c r="BS32" s="417"/>
      <c r="BT32" s="417"/>
      <c r="BU32" s="417"/>
      <c r="BV32" s="417"/>
      <c r="BW32" s="417"/>
      <c r="BX32" s="417"/>
      <c r="BY32" s="417"/>
      <c r="BZ32" s="417"/>
      <c r="CA32" s="417"/>
      <c r="CB32" s="417"/>
      <c r="CC32" s="417"/>
      <c r="CD32" s="417"/>
      <c r="CE32" s="417"/>
      <c r="CF32" s="417"/>
      <c r="CG32" s="417"/>
      <c r="CH32" s="417"/>
      <c r="CI32" s="417"/>
      <c r="CJ32" s="417"/>
      <c r="CK32" s="417"/>
      <c r="CL32" s="417"/>
      <c r="CM32" s="417"/>
      <c r="CN32" s="417"/>
      <c r="CO32" s="417"/>
      <c r="CP32" s="417"/>
      <c r="CQ32" s="417"/>
      <c r="CR32" s="417"/>
      <c r="CS32" s="417"/>
      <c r="CT32" s="417"/>
      <c r="CU32" s="417"/>
      <c r="CV32" s="417"/>
      <c r="CW32" s="417"/>
      <c r="CX32" s="417"/>
      <c r="CY32" s="417"/>
      <c r="CZ32" s="417"/>
      <c r="DA32" s="417"/>
      <c r="DB32" s="417"/>
      <c r="DC32" s="417"/>
      <c r="DD32" s="417"/>
      <c r="DE32" s="417"/>
      <c r="DF32" s="417"/>
      <c r="DG32" s="417"/>
      <c r="DH32" s="417"/>
      <c r="DI32" s="417"/>
      <c r="DJ32" s="417"/>
      <c r="DK32" s="417"/>
      <c r="DL32" s="417"/>
      <c r="DM32" s="417"/>
      <c r="DN32" s="417"/>
      <c r="DO32" s="417"/>
      <c r="DP32" s="417"/>
      <c r="DQ32" s="417"/>
      <c r="DR32" s="417"/>
      <c r="DS32" s="417"/>
      <c r="DT32" s="417"/>
      <c r="DU32" s="417"/>
      <c r="DV32" s="417"/>
      <c r="DW32" s="417"/>
      <c r="DX32" s="417"/>
      <c r="DY32" s="417"/>
      <c r="DZ32" s="417"/>
      <c r="EA32" s="417"/>
      <c r="EB32" s="417"/>
      <c r="EC32" s="417"/>
      <c r="ED32" s="417"/>
      <c r="EE32" s="417"/>
      <c r="EF32" s="417"/>
      <c r="EG32" s="417"/>
      <c r="EH32" s="417"/>
      <c r="EI32" s="417"/>
      <c r="EJ32" s="417"/>
      <c r="EK32" s="417"/>
      <c r="EL32" s="417"/>
      <c r="EM32" s="417"/>
      <c r="EN32" s="417"/>
      <c r="EO32" s="417"/>
      <c r="EP32" s="417"/>
      <c r="EQ32" s="417"/>
      <c r="ER32" s="417"/>
      <c r="ES32" s="417"/>
      <c r="ET32" s="417"/>
      <c r="EU32" s="417"/>
      <c r="EV32" s="417"/>
      <c r="EW32" s="417"/>
      <c r="EX32" s="417"/>
      <c r="EY32" s="417"/>
      <c r="EZ32" s="417"/>
      <c r="FA32" s="417"/>
      <c r="FB32" s="417"/>
      <c r="FC32" s="417"/>
      <c r="FD32" s="417"/>
      <c r="FE32" s="417"/>
      <c r="FF32" s="417"/>
      <c r="FG32" s="417"/>
      <c r="FH32" s="417"/>
      <c r="FI32" s="417"/>
      <c r="FJ32" s="417"/>
      <c r="FK32" s="417"/>
      <c r="FL32" s="417"/>
      <c r="FM32" s="417"/>
      <c r="FN32" s="417"/>
      <c r="FO32" s="417"/>
      <c r="FP32" s="417"/>
      <c r="FQ32" s="417"/>
      <c r="FR32" s="417"/>
      <c r="FS32" s="417"/>
      <c r="FT32" s="417"/>
      <c r="FU32" s="417"/>
      <c r="FV32" s="417"/>
      <c r="FW32" s="417"/>
      <c r="FX32" s="417"/>
      <c r="FY32" s="417"/>
      <c r="FZ32" s="417"/>
      <c r="GA32" s="417"/>
      <c r="GB32" s="417"/>
      <c r="GC32" s="417"/>
      <c r="GD32" s="417"/>
      <c r="GE32" s="417"/>
      <c r="GF32" s="417"/>
      <c r="GG32" s="417"/>
      <c r="GH32" s="417"/>
      <c r="GI32" s="417"/>
      <c r="GJ32" s="417"/>
      <c r="GK32" s="417"/>
      <c r="GL32" s="417"/>
    </row>
    <row r="33" spans="1:194" ht="13">
      <c r="A33" s="440"/>
      <c r="B33" s="24" t="s">
        <v>70</v>
      </c>
      <c r="C33" s="448" t="s">
        <v>142</v>
      </c>
      <c r="D33" s="449" t="s">
        <v>907</v>
      </c>
      <c r="E33" s="81" t="s">
        <v>959</v>
      </c>
      <c r="F33" s="24" t="s">
        <v>79</v>
      </c>
      <c r="G33" s="24" t="s">
        <v>213</v>
      </c>
      <c r="H33" s="24" t="s">
        <v>214</v>
      </c>
      <c r="I33" s="27">
        <v>45626</v>
      </c>
      <c r="J33" s="27">
        <v>45626</v>
      </c>
      <c r="K33" s="51" t="s">
        <v>960</v>
      </c>
      <c r="L33" s="10"/>
      <c r="M33" s="33">
        <v>1804000</v>
      </c>
      <c r="N33" s="81" t="s">
        <v>961</v>
      </c>
      <c r="O33" s="11" t="s">
        <v>962</v>
      </c>
      <c r="P33" s="417"/>
      <c r="Q33" s="417"/>
      <c r="R33" s="417"/>
      <c r="S33" s="417"/>
      <c r="T33" s="417"/>
      <c r="U33" s="417"/>
      <c r="V33" s="417"/>
      <c r="W33" s="417"/>
      <c r="X33" s="417"/>
      <c r="Y33" s="417"/>
      <c r="Z33" s="417"/>
      <c r="AA33" s="417"/>
      <c r="AB33" s="417"/>
      <c r="AC33" s="417"/>
      <c r="AD33" s="417"/>
      <c r="AE33" s="417"/>
      <c r="AF33" s="417"/>
      <c r="AG33" s="417"/>
      <c r="AH33" s="417"/>
      <c r="AI33" s="417"/>
      <c r="AJ33" s="417"/>
      <c r="AK33" s="417"/>
      <c r="AL33" s="417"/>
      <c r="AM33" s="417"/>
      <c r="AN33" s="417"/>
      <c r="AO33" s="417"/>
      <c r="AP33" s="417"/>
      <c r="AQ33" s="417"/>
      <c r="AR33" s="417"/>
      <c r="AS33" s="417"/>
      <c r="AT33" s="417"/>
      <c r="AU33" s="417"/>
      <c r="AV33" s="417"/>
      <c r="AW33" s="417"/>
      <c r="AX33" s="417"/>
      <c r="AY33" s="417"/>
      <c r="AZ33" s="417"/>
      <c r="BA33" s="417"/>
      <c r="BB33" s="417"/>
      <c r="BC33" s="417"/>
      <c r="BD33" s="417"/>
      <c r="BE33" s="417"/>
      <c r="BF33" s="417"/>
      <c r="BG33" s="417"/>
      <c r="BH33" s="417"/>
      <c r="BI33" s="417"/>
      <c r="BJ33" s="417"/>
      <c r="BK33" s="417"/>
      <c r="BL33" s="417"/>
      <c r="BM33" s="417"/>
      <c r="BN33" s="417"/>
      <c r="BO33" s="417"/>
      <c r="BP33" s="417"/>
      <c r="BQ33" s="417"/>
      <c r="BR33" s="417"/>
      <c r="BS33" s="417"/>
      <c r="BT33" s="417"/>
      <c r="BU33" s="417"/>
      <c r="BV33" s="417"/>
      <c r="BW33" s="417"/>
      <c r="BX33" s="417"/>
      <c r="BY33" s="417"/>
      <c r="BZ33" s="417"/>
      <c r="CA33" s="417"/>
      <c r="CB33" s="417"/>
      <c r="CC33" s="417"/>
      <c r="CD33" s="417"/>
      <c r="CE33" s="417"/>
      <c r="CF33" s="417"/>
      <c r="CG33" s="417"/>
      <c r="CH33" s="417"/>
      <c r="CI33" s="417"/>
      <c r="CJ33" s="417"/>
      <c r="CK33" s="417"/>
      <c r="CL33" s="417"/>
      <c r="CM33" s="417"/>
      <c r="CN33" s="417"/>
      <c r="CO33" s="417"/>
      <c r="CP33" s="417"/>
      <c r="CQ33" s="417"/>
      <c r="CR33" s="417"/>
      <c r="CS33" s="417"/>
      <c r="CT33" s="417"/>
      <c r="CU33" s="417"/>
      <c r="CV33" s="417"/>
      <c r="CW33" s="417"/>
      <c r="CX33" s="417"/>
      <c r="CY33" s="417"/>
      <c r="CZ33" s="417"/>
      <c r="DA33" s="417"/>
      <c r="DB33" s="417"/>
      <c r="DC33" s="417"/>
      <c r="DD33" s="417"/>
      <c r="DE33" s="417"/>
      <c r="DF33" s="417"/>
      <c r="DG33" s="417"/>
      <c r="DH33" s="417"/>
      <c r="DI33" s="417"/>
      <c r="DJ33" s="417"/>
      <c r="DK33" s="417"/>
      <c r="DL33" s="417"/>
      <c r="DM33" s="417"/>
      <c r="DN33" s="417"/>
      <c r="DO33" s="417"/>
      <c r="DP33" s="417"/>
      <c r="DQ33" s="417"/>
      <c r="DR33" s="417"/>
      <c r="DS33" s="417"/>
      <c r="DT33" s="417"/>
      <c r="DU33" s="417"/>
      <c r="DV33" s="417"/>
      <c r="DW33" s="417"/>
      <c r="DX33" s="417"/>
      <c r="DY33" s="417"/>
      <c r="DZ33" s="417"/>
      <c r="EA33" s="417"/>
      <c r="EB33" s="417"/>
      <c r="EC33" s="417"/>
      <c r="ED33" s="417"/>
      <c r="EE33" s="417"/>
      <c r="EF33" s="417"/>
      <c r="EG33" s="417"/>
      <c r="EH33" s="417"/>
      <c r="EI33" s="417"/>
      <c r="EJ33" s="417"/>
      <c r="EK33" s="417"/>
      <c r="EL33" s="417"/>
      <c r="EM33" s="417"/>
      <c r="EN33" s="417"/>
      <c r="EO33" s="417"/>
      <c r="EP33" s="417"/>
      <c r="EQ33" s="417"/>
      <c r="ER33" s="417"/>
      <c r="ES33" s="417"/>
      <c r="ET33" s="417"/>
      <c r="EU33" s="417"/>
      <c r="EV33" s="417"/>
      <c r="EW33" s="417"/>
      <c r="EX33" s="417"/>
      <c r="EY33" s="417"/>
      <c r="EZ33" s="417"/>
      <c r="FA33" s="417"/>
      <c r="FB33" s="417"/>
      <c r="FC33" s="417"/>
      <c r="FD33" s="417"/>
      <c r="FE33" s="417"/>
      <c r="FF33" s="417"/>
      <c r="FG33" s="417"/>
      <c r="FH33" s="417"/>
      <c r="FI33" s="417"/>
      <c r="FJ33" s="417"/>
      <c r="FK33" s="417"/>
      <c r="FL33" s="417"/>
      <c r="FM33" s="417"/>
      <c r="FN33" s="417"/>
      <c r="FO33" s="417"/>
      <c r="FP33" s="417"/>
      <c r="FQ33" s="417"/>
      <c r="FR33" s="417"/>
      <c r="FS33" s="417"/>
      <c r="FT33" s="417"/>
      <c r="FU33" s="417"/>
      <c r="FV33" s="417"/>
      <c r="FW33" s="417"/>
      <c r="FX33" s="417"/>
      <c r="FY33" s="417"/>
      <c r="FZ33" s="417"/>
      <c r="GA33" s="417"/>
      <c r="GB33" s="417"/>
      <c r="GC33" s="417"/>
      <c r="GD33" s="417"/>
      <c r="GE33" s="417"/>
      <c r="GF33" s="417"/>
      <c r="GG33" s="417"/>
      <c r="GH33" s="417"/>
      <c r="GI33" s="417"/>
      <c r="GJ33" s="417"/>
      <c r="GK33" s="417"/>
      <c r="GL33" s="417"/>
    </row>
    <row r="34" spans="1:194" ht="13">
      <c r="A34" s="440"/>
      <c r="B34" s="24" t="s">
        <v>64</v>
      </c>
      <c r="C34" s="448" t="s">
        <v>142</v>
      </c>
      <c r="D34" s="449" t="s">
        <v>907</v>
      </c>
      <c r="E34" s="81" t="s">
        <v>963</v>
      </c>
      <c r="F34" s="24" t="s">
        <v>79</v>
      </c>
      <c r="G34" s="24" t="s">
        <v>213</v>
      </c>
      <c r="H34" s="443" t="s">
        <v>964</v>
      </c>
      <c r="I34" s="27">
        <v>45608</v>
      </c>
      <c r="J34" s="27">
        <v>45608</v>
      </c>
      <c r="K34" s="51" t="s">
        <v>965</v>
      </c>
      <c r="L34" s="10"/>
      <c r="M34" s="33">
        <v>340000</v>
      </c>
      <c r="N34" s="81" t="s">
        <v>966</v>
      </c>
      <c r="O34" s="11" t="s">
        <v>967</v>
      </c>
      <c r="P34" s="417"/>
      <c r="Q34" s="417"/>
      <c r="R34" s="417"/>
      <c r="S34" s="417"/>
      <c r="T34" s="417"/>
      <c r="U34" s="417"/>
      <c r="V34" s="417"/>
      <c r="W34" s="417"/>
      <c r="X34" s="417"/>
      <c r="Y34" s="417"/>
      <c r="Z34" s="417"/>
      <c r="AA34" s="417"/>
      <c r="AB34" s="417"/>
      <c r="AC34" s="417"/>
      <c r="AD34" s="417"/>
      <c r="AE34" s="417"/>
      <c r="AF34" s="417"/>
      <c r="AG34" s="417"/>
      <c r="AH34" s="417"/>
      <c r="AI34" s="417"/>
      <c r="AJ34" s="417"/>
      <c r="AK34" s="417"/>
      <c r="AL34" s="417"/>
      <c r="AM34" s="417"/>
      <c r="AN34" s="417"/>
      <c r="AO34" s="417"/>
      <c r="AP34" s="417"/>
      <c r="AQ34" s="417"/>
      <c r="AR34" s="417"/>
      <c r="AS34" s="417"/>
      <c r="AT34" s="417"/>
      <c r="AU34" s="417"/>
      <c r="AV34" s="417"/>
      <c r="AW34" s="417"/>
      <c r="AX34" s="417"/>
      <c r="AY34" s="417"/>
      <c r="AZ34" s="417"/>
      <c r="BA34" s="417"/>
      <c r="BB34" s="417"/>
      <c r="BC34" s="417"/>
      <c r="BD34" s="417"/>
      <c r="BE34" s="417"/>
      <c r="BF34" s="417"/>
      <c r="BG34" s="417"/>
      <c r="BH34" s="417"/>
      <c r="BI34" s="417"/>
      <c r="BJ34" s="417"/>
      <c r="BK34" s="417"/>
      <c r="BL34" s="417"/>
      <c r="BM34" s="417"/>
      <c r="BN34" s="417"/>
      <c r="BO34" s="417"/>
      <c r="BP34" s="417"/>
      <c r="BQ34" s="417"/>
      <c r="BR34" s="417"/>
      <c r="BS34" s="417"/>
      <c r="BT34" s="417"/>
      <c r="BU34" s="417"/>
      <c r="BV34" s="417"/>
      <c r="BW34" s="417"/>
      <c r="BX34" s="417"/>
      <c r="BY34" s="417"/>
      <c r="BZ34" s="417"/>
      <c r="CA34" s="417"/>
      <c r="CB34" s="417"/>
      <c r="CC34" s="417"/>
      <c r="CD34" s="417"/>
      <c r="CE34" s="417"/>
      <c r="CF34" s="417"/>
      <c r="CG34" s="417"/>
      <c r="CH34" s="417"/>
      <c r="CI34" s="417"/>
      <c r="CJ34" s="417"/>
      <c r="CK34" s="417"/>
      <c r="CL34" s="417"/>
      <c r="CM34" s="417"/>
      <c r="CN34" s="417"/>
      <c r="CO34" s="417"/>
      <c r="CP34" s="417"/>
      <c r="CQ34" s="417"/>
      <c r="CR34" s="417"/>
      <c r="CS34" s="417"/>
      <c r="CT34" s="417"/>
      <c r="CU34" s="417"/>
      <c r="CV34" s="417"/>
      <c r="CW34" s="417"/>
      <c r="CX34" s="417"/>
      <c r="CY34" s="417"/>
      <c r="CZ34" s="417"/>
      <c r="DA34" s="417"/>
      <c r="DB34" s="417"/>
      <c r="DC34" s="417"/>
      <c r="DD34" s="417"/>
      <c r="DE34" s="417"/>
      <c r="DF34" s="417"/>
      <c r="DG34" s="417"/>
      <c r="DH34" s="417"/>
      <c r="DI34" s="417"/>
      <c r="DJ34" s="417"/>
      <c r="DK34" s="417"/>
      <c r="DL34" s="417"/>
      <c r="DM34" s="417"/>
      <c r="DN34" s="417"/>
      <c r="DO34" s="417"/>
      <c r="DP34" s="417"/>
      <c r="DQ34" s="417"/>
      <c r="DR34" s="417"/>
      <c r="DS34" s="417"/>
      <c r="DT34" s="417"/>
      <c r="DU34" s="417"/>
      <c r="DV34" s="417"/>
      <c r="DW34" s="417"/>
      <c r="DX34" s="417"/>
      <c r="DY34" s="417"/>
      <c r="DZ34" s="417"/>
      <c r="EA34" s="417"/>
      <c r="EB34" s="417"/>
      <c r="EC34" s="417"/>
      <c r="ED34" s="417"/>
      <c r="EE34" s="417"/>
      <c r="EF34" s="417"/>
      <c r="EG34" s="417"/>
      <c r="EH34" s="417"/>
      <c r="EI34" s="417"/>
      <c r="EJ34" s="417"/>
      <c r="EK34" s="417"/>
      <c r="EL34" s="417"/>
      <c r="EM34" s="417"/>
      <c r="EN34" s="417"/>
      <c r="EO34" s="417"/>
      <c r="EP34" s="417"/>
      <c r="EQ34" s="417"/>
      <c r="ER34" s="417"/>
      <c r="ES34" s="417"/>
      <c r="ET34" s="417"/>
      <c r="EU34" s="417"/>
      <c r="EV34" s="417"/>
      <c r="EW34" s="417"/>
      <c r="EX34" s="417"/>
      <c r="EY34" s="417"/>
      <c r="EZ34" s="417"/>
      <c r="FA34" s="417"/>
      <c r="FB34" s="417"/>
      <c r="FC34" s="417"/>
      <c r="FD34" s="417"/>
      <c r="FE34" s="417"/>
      <c r="FF34" s="417"/>
      <c r="FG34" s="417"/>
      <c r="FH34" s="417"/>
      <c r="FI34" s="417"/>
      <c r="FJ34" s="417"/>
      <c r="FK34" s="417"/>
      <c r="FL34" s="417"/>
      <c r="FM34" s="417"/>
      <c r="FN34" s="417"/>
      <c r="FO34" s="417"/>
      <c r="FP34" s="417"/>
      <c r="FQ34" s="417"/>
      <c r="FR34" s="417"/>
      <c r="FS34" s="417"/>
      <c r="FT34" s="417"/>
      <c r="FU34" s="417"/>
      <c r="FV34" s="417"/>
      <c r="FW34" s="417"/>
      <c r="FX34" s="417"/>
      <c r="FY34" s="417"/>
      <c r="FZ34" s="417"/>
      <c r="GA34" s="417"/>
      <c r="GB34" s="417"/>
      <c r="GC34" s="417"/>
      <c r="GD34" s="417"/>
      <c r="GE34" s="417"/>
      <c r="GF34" s="417"/>
      <c r="GG34" s="417"/>
      <c r="GH34" s="417"/>
      <c r="GI34" s="417"/>
      <c r="GJ34" s="417"/>
      <c r="GK34" s="417"/>
      <c r="GL34" s="417"/>
    </row>
    <row r="35" spans="1:194" ht="13">
      <c r="A35" s="440"/>
      <c r="B35" s="24" t="s">
        <v>64</v>
      </c>
      <c r="C35" s="448" t="s">
        <v>142</v>
      </c>
      <c r="D35" s="449" t="s">
        <v>907</v>
      </c>
      <c r="E35" s="81" t="s">
        <v>968</v>
      </c>
      <c r="F35" s="24" t="s">
        <v>79</v>
      </c>
      <c r="G35" s="24" t="s">
        <v>213</v>
      </c>
      <c r="H35" s="443" t="s">
        <v>964</v>
      </c>
      <c r="I35" s="27">
        <v>45603</v>
      </c>
      <c r="J35" s="27">
        <v>45603</v>
      </c>
      <c r="K35" s="51" t="s">
        <v>969</v>
      </c>
      <c r="L35" s="10"/>
      <c r="M35" s="33">
        <v>1309000</v>
      </c>
      <c r="N35" s="81" t="s">
        <v>970</v>
      </c>
      <c r="O35" s="11" t="s">
        <v>967</v>
      </c>
      <c r="P35" s="417"/>
      <c r="Q35" s="417"/>
      <c r="R35" s="417"/>
      <c r="S35" s="417"/>
      <c r="T35" s="417"/>
      <c r="U35" s="417"/>
      <c r="V35" s="417"/>
      <c r="W35" s="417"/>
      <c r="X35" s="417"/>
      <c r="Y35" s="417"/>
      <c r="Z35" s="417"/>
      <c r="AA35" s="417"/>
      <c r="AB35" s="417"/>
      <c r="AC35" s="417"/>
      <c r="AD35" s="417"/>
      <c r="AE35" s="417"/>
      <c r="AF35" s="417"/>
      <c r="AG35" s="417"/>
      <c r="AH35" s="417"/>
      <c r="AI35" s="417"/>
      <c r="AJ35" s="417"/>
      <c r="AK35" s="417"/>
      <c r="AL35" s="417"/>
      <c r="AM35" s="417"/>
      <c r="AN35" s="417"/>
      <c r="AO35" s="417"/>
      <c r="AP35" s="417"/>
      <c r="AQ35" s="417"/>
      <c r="AR35" s="417"/>
      <c r="AS35" s="417"/>
      <c r="AT35" s="417"/>
      <c r="AU35" s="417"/>
      <c r="AV35" s="417"/>
      <c r="AW35" s="417"/>
      <c r="AX35" s="417"/>
      <c r="AY35" s="417"/>
      <c r="AZ35" s="417"/>
      <c r="BA35" s="417"/>
      <c r="BB35" s="417"/>
      <c r="BC35" s="417"/>
      <c r="BD35" s="417"/>
      <c r="BE35" s="417"/>
      <c r="BF35" s="417"/>
      <c r="BG35" s="417"/>
      <c r="BH35" s="417"/>
      <c r="BI35" s="417"/>
      <c r="BJ35" s="417"/>
      <c r="BK35" s="417"/>
      <c r="BL35" s="417"/>
      <c r="BM35" s="417"/>
      <c r="BN35" s="417"/>
      <c r="BO35" s="417"/>
      <c r="BP35" s="417"/>
      <c r="BQ35" s="417"/>
      <c r="BR35" s="417"/>
      <c r="BS35" s="417"/>
      <c r="BT35" s="417"/>
      <c r="BU35" s="417"/>
      <c r="BV35" s="417"/>
      <c r="BW35" s="417"/>
      <c r="BX35" s="417"/>
      <c r="BY35" s="417"/>
      <c r="BZ35" s="417"/>
      <c r="CA35" s="417"/>
      <c r="CB35" s="417"/>
      <c r="CC35" s="417"/>
      <c r="CD35" s="417"/>
      <c r="CE35" s="417"/>
      <c r="CF35" s="417"/>
      <c r="CG35" s="417"/>
      <c r="CH35" s="417"/>
      <c r="CI35" s="417"/>
      <c r="CJ35" s="417"/>
      <c r="CK35" s="417"/>
      <c r="CL35" s="417"/>
      <c r="CM35" s="417"/>
      <c r="CN35" s="417"/>
      <c r="CO35" s="417"/>
      <c r="CP35" s="417"/>
      <c r="CQ35" s="417"/>
      <c r="CR35" s="417"/>
      <c r="CS35" s="417"/>
      <c r="CT35" s="417"/>
      <c r="CU35" s="417"/>
      <c r="CV35" s="417"/>
      <c r="CW35" s="417"/>
      <c r="CX35" s="417"/>
      <c r="CY35" s="417"/>
      <c r="CZ35" s="417"/>
      <c r="DA35" s="417"/>
      <c r="DB35" s="417"/>
      <c r="DC35" s="417"/>
      <c r="DD35" s="417"/>
      <c r="DE35" s="417"/>
      <c r="DF35" s="417"/>
      <c r="DG35" s="417"/>
      <c r="DH35" s="417"/>
      <c r="DI35" s="417"/>
      <c r="DJ35" s="417"/>
      <c r="DK35" s="417"/>
      <c r="DL35" s="417"/>
      <c r="DM35" s="417"/>
      <c r="DN35" s="417"/>
      <c r="DO35" s="417"/>
      <c r="DP35" s="417"/>
      <c r="DQ35" s="417"/>
      <c r="DR35" s="417"/>
      <c r="DS35" s="417"/>
      <c r="DT35" s="417"/>
      <c r="DU35" s="417"/>
      <c r="DV35" s="417"/>
      <c r="DW35" s="417"/>
      <c r="DX35" s="417"/>
      <c r="DY35" s="417"/>
      <c r="DZ35" s="417"/>
      <c r="EA35" s="417"/>
      <c r="EB35" s="417"/>
      <c r="EC35" s="417"/>
      <c r="ED35" s="417"/>
      <c r="EE35" s="417"/>
      <c r="EF35" s="417"/>
      <c r="EG35" s="417"/>
      <c r="EH35" s="417"/>
      <c r="EI35" s="417"/>
      <c r="EJ35" s="417"/>
      <c r="EK35" s="417"/>
      <c r="EL35" s="417"/>
      <c r="EM35" s="417"/>
      <c r="EN35" s="417"/>
      <c r="EO35" s="417"/>
      <c r="EP35" s="417"/>
      <c r="EQ35" s="417"/>
      <c r="ER35" s="417"/>
      <c r="ES35" s="417"/>
      <c r="ET35" s="417"/>
      <c r="EU35" s="417"/>
      <c r="EV35" s="417"/>
      <c r="EW35" s="417"/>
      <c r="EX35" s="417"/>
      <c r="EY35" s="417"/>
      <c r="EZ35" s="417"/>
      <c r="FA35" s="417"/>
      <c r="FB35" s="417"/>
      <c r="FC35" s="417"/>
      <c r="FD35" s="417"/>
      <c r="FE35" s="417"/>
      <c r="FF35" s="417"/>
      <c r="FG35" s="417"/>
      <c r="FH35" s="417"/>
      <c r="FI35" s="417"/>
      <c r="FJ35" s="417"/>
      <c r="FK35" s="417"/>
      <c r="FL35" s="417"/>
      <c r="FM35" s="417"/>
      <c r="FN35" s="417"/>
      <c r="FO35" s="417"/>
      <c r="FP35" s="417"/>
      <c r="FQ35" s="417"/>
      <c r="FR35" s="417"/>
      <c r="FS35" s="417"/>
      <c r="FT35" s="417"/>
      <c r="FU35" s="417"/>
      <c r="FV35" s="417"/>
      <c r="FW35" s="417"/>
      <c r="FX35" s="417"/>
      <c r="FY35" s="417"/>
      <c r="FZ35" s="417"/>
      <c r="GA35" s="417"/>
      <c r="GB35" s="417"/>
      <c r="GC35" s="417"/>
      <c r="GD35" s="417"/>
      <c r="GE35" s="417"/>
      <c r="GF35" s="417"/>
      <c r="GG35" s="417"/>
      <c r="GH35" s="417"/>
      <c r="GI35" s="417"/>
      <c r="GJ35" s="417"/>
      <c r="GK35" s="417"/>
      <c r="GL35" s="417"/>
    </row>
    <row r="36" spans="1:194" ht="13">
      <c r="A36" s="452"/>
      <c r="B36" s="453" t="s">
        <v>225</v>
      </c>
      <c r="C36" s="454" t="s">
        <v>142</v>
      </c>
      <c r="D36" s="455" t="s">
        <v>971</v>
      </c>
      <c r="E36" s="456" t="s">
        <v>972</v>
      </c>
      <c r="F36" s="453" t="s">
        <v>79</v>
      </c>
      <c r="G36" s="453" t="s">
        <v>973</v>
      </c>
      <c r="H36" s="453" t="s">
        <v>974</v>
      </c>
      <c r="I36" s="431"/>
      <c r="J36" s="457"/>
      <c r="K36" s="453" t="s">
        <v>975</v>
      </c>
      <c r="L36" s="431"/>
      <c r="M36" s="432">
        <v>2306000</v>
      </c>
      <c r="N36" s="456" t="s">
        <v>976</v>
      </c>
      <c r="O36" s="458" t="s">
        <v>977</v>
      </c>
      <c r="P36" s="459"/>
      <c r="Q36" s="459"/>
      <c r="R36" s="459"/>
      <c r="S36" s="459"/>
      <c r="T36" s="459"/>
      <c r="U36" s="459"/>
      <c r="V36" s="459"/>
      <c r="W36" s="459"/>
      <c r="X36" s="459"/>
      <c r="Y36" s="459"/>
      <c r="Z36" s="459"/>
      <c r="AA36" s="459"/>
      <c r="AB36" s="459"/>
      <c r="AC36" s="459"/>
      <c r="AD36" s="459"/>
      <c r="AE36" s="459"/>
      <c r="AF36" s="459"/>
      <c r="AG36" s="459"/>
      <c r="AH36" s="459"/>
      <c r="AI36" s="459"/>
      <c r="AJ36" s="459"/>
      <c r="AK36" s="459"/>
      <c r="AL36" s="459"/>
      <c r="AM36" s="459"/>
      <c r="AN36" s="459"/>
      <c r="AO36" s="459"/>
      <c r="AP36" s="459"/>
      <c r="AQ36" s="459"/>
      <c r="AR36" s="459"/>
      <c r="AS36" s="459"/>
      <c r="AT36" s="459"/>
      <c r="AU36" s="459"/>
      <c r="AV36" s="459"/>
      <c r="AW36" s="459"/>
      <c r="AX36" s="459"/>
      <c r="AY36" s="459"/>
      <c r="AZ36" s="459"/>
      <c r="BA36" s="459"/>
      <c r="BB36" s="459"/>
      <c r="BC36" s="459"/>
      <c r="BD36" s="459"/>
      <c r="BE36" s="459"/>
      <c r="BF36" s="459"/>
      <c r="BG36" s="459"/>
      <c r="BH36" s="459"/>
      <c r="BI36" s="459"/>
      <c r="BJ36" s="459"/>
      <c r="BK36" s="459"/>
      <c r="BL36" s="459"/>
      <c r="BM36" s="459"/>
      <c r="BN36" s="459"/>
      <c r="BO36" s="459"/>
      <c r="BP36" s="459"/>
      <c r="BQ36" s="459"/>
      <c r="BR36" s="459"/>
      <c r="BS36" s="459"/>
      <c r="BT36" s="459"/>
      <c r="BU36" s="459"/>
      <c r="BV36" s="459"/>
      <c r="BW36" s="459"/>
      <c r="BX36" s="459"/>
      <c r="BY36" s="459"/>
      <c r="BZ36" s="459"/>
      <c r="CA36" s="459"/>
      <c r="CB36" s="459"/>
      <c r="CC36" s="459"/>
      <c r="CD36" s="459"/>
      <c r="CE36" s="459"/>
      <c r="CF36" s="459"/>
      <c r="CG36" s="459"/>
      <c r="CH36" s="459"/>
      <c r="CI36" s="459"/>
      <c r="CJ36" s="459"/>
      <c r="CK36" s="459"/>
      <c r="CL36" s="459"/>
      <c r="CM36" s="459"/>
      <c r="CN36" s="459"/>
      <c r="CO36" s="459"/>
      <c r="CP36" s="459"/>
      <c r="CQ36" s="459"/>
      <c r="CR36" s="459"/>
      <c r="CS36" s="459"/>
      <c r="CT36" s="459"/>
      <c r="CU36" s="459"/>
      <c r="CV36" s="459"/>
      <c r="CW36" s="459"/>
      <c r="CX36" s="459"/>
      <c r="CY36" s="459"/>
      <c r="CZ36" s="459"/>
      <c r="DA36" s="459"/>
      <c r="DB36" s="459"/>
      <c r="DC36" s="459"/>
      <c r="DD36" s="459"/>
      <c r="DE36" s="459"/>
      <c r="DF36" s="459"/>
      <c r="DG36" s="459"/>
      <c r="DH36" s="459"/>
      <c r="DI36" s="459"/>
      <c r="DJ36" s="459"/>
      <c r="DK36" s="459"/>
      <c r="DL36" s="459"/>
      <c r="DM36" s="459"/>
      <c r="DN36" s="459"/>
      <c r="DO36" s="459"/>
      <c r="DP36" s="459"/>
      <c r="DQ36" s="459"/>
      <c r="DR36" s="459"/>
      <c r="DS36" s="459"/>
      <c r="DT36" s="459"/>
      <c r="DU36" s="459"/>
      <c r="DV36" s="459"/>
      <c r="DW36" s="459"/>
      <c r="DX36" s="459"/>
      <c r="DY36" s="459"/>
      <c r="DZ36" s="459"/>
      <c r="EA36" s="459"/>
      <c r="EB36" s="459"/>
      <c r="EC36" s="459"/>
      <c r="ED36" s="459"/>
      <c r="EE36" s="459"/>
      <c r="EF36" s="459"/>
      <c r="EG36" s="459"/>
      <c r="EH36" s="459"/>
      <c r="EI36" s="459"/>
      <c r="EJ36" s="459"/>
      <c r="EK36" s="459"/>
      <c r="EL36" s="459"/>
      <c r="EM36" s="459"/>
      <c r="EN36" s="459"/>
      <c r="EO36" s="459"/>
      <c r="EP36" s="459"/>
      <c r="EQ36" s="459"/>
      <c r="ER36" s="459"/>
      <c r="ES36" s="459"/>
      <c r="ET36" s="459"/>
      <c r="EU36" s="459"/>
      <c r="EV36" s="459"/>
      <c r="EW36" s="459"/>
      <c r="EX36" s="459"/>
      <c r="EY36" s="459"/>
      <c r="EZ36" s="459"/>
      <c r="FA36" s="459"/>
      <c r="FB36" s="459"/>
      <c r="FC36" s="459"/>
      <c r="FD36" s="459"/>
      <c r="FE36" s="459"/>
      <c r="FF36" s="459"/>
      <c r="FG36" s="459"/>
      <c r="FH36" s="459"/>
      <c r="FI36" s="459"/>
      <c r="FJ36" s="459"/>
      <c r="FK36" s="459"/>
      <c r="FL36" s="459"/>
      <c r="FM36" s="459"/>
      <c r="FN36" s="459"/>
      <c r="FO36" s="459"/>
      <c r="FP36" s="459"/>
      <c r="FQ36" s="459"/>
      <c r="FR36" s="459"/>
      <c r="FS36" s="459"/>
      <c r="FT36" s="459"/>
      <c r="FU36" s="459"/>
      <c r="FV36" s="459"/>
      <c r="FW36" s="459"/>
      <c r="FX36" s="459"/>
      <c r="FY36" s="459"/>
      <c r="FZ36" s="459"/>
      <c r="GA36" s="459"/>
      <c r="GB36" s="459"/>
      <c r="GC36" s="459"/>
      <c r="GD36" s="459"/>
      <c r="GE36" s="459"/>
      <c r="GF36" s="459"/>
      <c r="GG36" s="459"/>
      <c r="GH36" s="459"/>
      <c r="GI36" s="459"/>
      <c r="GJ36" s="459"/>
      <c r="GK36" s="459"/>
      <c r="GL36" s="459"/>
    </row>
    <row r="37" spans="1:194" ht="21" customHeight="1">
      <c r="A37" s="460"/>
      <c r="B37" s="24" t="s">
        <v>45</v>
      </c>
      <c r="C37" s="11" t="s">
        <v>142</v>
      </c>
      <c r="D37" s="24" t="s">
        <v>978</v>
      </c>
      <c r="E37" s="81" t="s">
        <v>979</v>
      </c>
      <c r="F37" s="81"/>
      <c r="G37" s="11"/>
      <c r="H37" s="24"/>
      <c r="I37" s="27">
        <v>45626</v>
      </c>
      <c r="J37" s="27">
        <v>45626</v>
      </c>
      <c r="K37" s="24"/>
      <c r="L37" s="442" t="s">
        <v>303</v>
      </c>
      <c r="M37" s="33">
        <v>28307000</v>
      </c>
      <c r="N37" s="461" t="s">
        <v>980</v>
      </c>
      <c r="O37" s="1059" t="s">
        <v>981</v>
      </c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3"/>
      <c r="EP37" s="23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  <c r="FL37" s="23"/>
      <c r="FM37" s="23"/>
      <c r="FN37" s="23"/>
      <c r="FO37" s="23"/>
      <c r="FP37" s="23"/>
      <c r="FQ37" s="23"/>
      <c r="FR37" s="23"/>
      <c r="FS37" s="23"/>
      <c r="FT37" s="23"/>
      <c r="FU37" s="23"/>
      <c r="FV37" s="23"/>
      <c r="FW37" s="23"/>
      <c r="FX37" s="23"/>
      <c r="FY37" s="23"/>
      <c r="FZ37" s="23"/>
      <c r="GA37" s="23"/>
      <c r="GB37" s="23"/>
      <c r="GC37" s="23"/>
      <c r="GD37" s="23"/>
      <c r="GE37" s="23"/>
      <c r="GF37" s="23"/>
      <c r="GG37" s="23"/>
      <c r="GH37" s="23"/>
      <c r="GI37" s="23"/>
      <c r="GJ37" s="23"/>
      <c r="GK37" s="23"/>
      <c r="GL37" s="23"/>
    </row>
    <row r="38" spans="1:194" ht="21" customHeight="1">
      <c r="A38" s="460"/>
      <c r="B38" s="24" t="s">
        <v>45</v>
      </c>
      <c r="C38" s="11" t="s">
        <v>142</v>
      </c>
      <c r="D38" s="24" t="s">
        <v>978</v>
      </c>
      <c r="E38" s="81" t="s">
        <v>982</v>
      </c>
      <c r="F38" s="81"/>
      <c r="G38" s="11"/>
      <c r="H38" s="24"/>
      <c r="I38" s="27">
        <v>45626</v>
      </c>
      <c r="J38" s="27">
        <v>45626</v>
      </c>
      <c r="K38" s="24"/>
      <c r="L38" s="442" t="s">
        <v>303</v>
      </c>
      <c r="M38" s="33">
        <v>21608000</v>
      </c>
      <c r="N38" s="461" t="s">
        <v>980</v>
      </c>
      <c r="O38" s="1051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3"/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  <c r="FL38" s="23"/>
      <c r="FM38" s="23"/>
      <c r="FN38" s="23"/>
      <c r="FO38" s="23"/>
      <c r="FP38" s="23"/>
      <c r="FQ38" s="23"/>
      <c r="FR38" s="23"/>
      <c r="FS38" s="23"/>
      <c r="FT38" s="23"/>
      <c r="FU38" s="23"/>
      <c r="FV38" s="23"/>
      <c r="FW38" s="23"/>
      <c r="FX38" s="23"/>
      <c r="FY38" s="23"/>
      <c r="FZ38" s="23"/>
      <c r="GA38" s="23"/>
      <c r="GB38" s="23"/>
      <c r="GC38" s="23"/>
      <c r="GD38" s="23"/>
      <c r="GE38" s="23"/>
      <c r="GF38" s="23"/>
      <c r="GG38" s="23"/>
      <c r="GH38" s="23"/>
      <c r="GI38" s="23"/>
      <c r="GJ38" s="23"/>
      <c r="GK38" s="23"/>
      <c r="GL38" s="23"/>
    </row>
    <row r="39" spans="1:194" ht="21" customHeight="1">
      <c r="A39" s="460"/>
      <c r="B39" s="24" t="s">
        <v>45</v>
      </c>
      <c r="C39" s="11" t="s">
        <v>142</v>
      </c>
      <c r="D39" s="24" t="s">
        <v>978</v>
      </c>
      <c r="E39" s="81" t="s">
        <v>983</v>
      </c>
      <c r="F39" s="81"/>
      <c r="G39" s="11"/>
      <c r="H39" s="24"/>
      <c r="I39" s="27">
        <v>45626</v>
      </c>
      <c r="J39" s="27">
        <v>45626</v>
      </c>
      <c r="K39" s="24"/>
      <c r="L39" s="442" t="s">
        <v>303</v>
      </c>
      <c r="M39" s="33">
        <v>15834000</v>
      </c>
      <c r="N39" s="461" t="s">
        <v>980</v>
      </c>
      <c r="O39" s="1052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3"/>
      <c r="EQ39" s="23"/>
      <c r="ER39" s="23"/>
      <c r="ES39" s="23"/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23"/>
      <c r="FE39" s="23"/>
      <c r="FF39" s="23"/>
      <c r="FG39" s="23"/>
      <c r="FH39" s="23"/>
      <c r="FI39" s="23"/>
      <c r="FJ39" s="23"/>
      <c r="FK39" s="23"/>
      <c r="FL39" s="23"/>
      <c r="FM39" s="23"/>
      <c r="FN39" s="23"/>
      <c r="FO39" s="23"/>
      <c r="FP39" s="23"/>
      <c r="FQ39" s="23"/>
      <c r="FR39" s="23"/>
      <c r="FS39" s="23"/>
      <c r="FT39" s="23"/>
      <c r="FU39" s="23"/>
      <c r="FV39" s="23"/>
      <c r="FW39" s="23"/>
      <c r="FX39" s="23"/>
      <c r="FY39" s="23"/>
      <c r="FZ39" s="23"/>
      <c r="GA39" s="23"/>
      <c r="GB39" s="23"/>
      <c r="GC39" s="23"/>
      <c r="GD39" s="23"/>
      <c r="GE39" s="23"/>
      <c r="GF39" s="23"/>
      <c r="GG39" s="23"/>
      <c r="GH39" s="23"/>
      <c r="GI39" s="23"/>
      <c r="GJ39" s="23"/>
      <c r="GK39" s="23"/>
      <c r="GL39" s="23"/>
    </row>
    <row r="40" spans="1:194" ht="13">
      <c r="A40" s="460"/>
      <c r="B40" s="462" t="s">
        <v>132</v>
      </c>
      <c r="C40" s="11" t="s">
        <v>133</v>
      </c>
      <c r="D40" s="463" t="s">
        <v>874</v>
      </c>
      <c r="E40" s="81" t="s">
        <v>984</v>
      </c>
      <c r="F40" s="24" t="s">
        <v>79</v>
      </c>
      <c r="G40" s="126" t="s">
        <v>220</v>
      </c>
      <c r="H40" s="24" t="s">
        <v>221</v>
      </c>
      <c r="I40" s="27">
        <v>45017</v>
      </c>
      <c r="J40" s="27">
        <v>45747</v>
      </c>
      <c r="K40" s="51" t="s">
        <v>985</v>
      </c>
      <c r="L40" s="10"/>
      <c r="M40" s="464">
        <v>20181818</v>
      </c>
      <c r="N40" s="81" t="s">
        <v>986</v>
      </c>
      <c r="O40" s="11" t="s">
        <v>987</v>
      </c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3"/>
      <c r="EQ40" s="23"/>
      <c r="ER40" s="23"/>
      <c r="ES40" s="23"/>
      <c r="ET40" s="23"/>
      <c r="EU40" s="23"/>
      <c r="EV40" s="23"/>
      <c r="EW40" s="23"/>
      <c r="EX40" s="23"/>
      <c r="EY40" s="23"/>
      <c r="EZ40" s="23"/>
      <c r="FA40" s="23"/>
      <c r="FB40" s="23"/>
      <c r="FC40" s="23"/>
      <c r="FD40" s="23"/>
      <c r="FE40" s="23"/>
      <c r="FF40" s="23"/>
      <c r="FG40" s="23"/>
      <c r="FH40" s="23"/>
      <c r="FI40" s="23"/>
      <c r="FJ40" s="23"/>
      <c r="FK40" s="23"/>
      <c r="FL40" s="23"/>
      <c r="FM40" s="23"/>
      <c r="FN40" s="23"/>
      <c r="FO40" s="23"/>
      <c r="FP40" s="23"/>
      <c r="FQ40" s="23"/>
      <c r="FR40" s="23"/>
      <c r="FS40" s="23"/>
      <c r="FT40" s="23"/>
      <c r="FU40" s="23"/>
      <c r="FV40" s="23"/>
      <c r="FW40" s="23"/>
      <c r="FX40" s="23"/>
      <c r="FY40" s="23"/>
      <c r="FZ40" s="23"/>
      <c r="GA40" s="23"/>
      <c r="GB40" s="23"/>
      <c r="GC40" s="23"/>
      <c r="GD40" s="23"/>
      <c r="GE40" s="23"/>
      <c r="GF40" s="23"/>
      <c r="GG40" s="23"/>
      <c r="GH40" s="23"/>
      <c r="GI40" s="23"/>
      <c r="GJ40" s="23"/>
      <c r="GK40" s="23"/>
      <c r="GL40" s="23"/>
    </row>
    <row r="41" spans="1:194" ht="13">
      <c r="A41" s="460"/>
      <c r="B41" s="462" t="s">
        <v>132</v>
      </c>
      <c r="C41" s="11" t="s">
        <v>133</v>
      </c>
      <c r="D41" s="463" t="s">
        <v>947</v>
      </c>
      <c r="E41" s="81" t="s">
        <v>988</v>
      </c>
      <c r="F41" s="24" t="s">
        <v>79</v>
      </c>
      <c r="G41" s="24" t="s">
        <v>223</v>
      </c>
      <c r="H41" s="24" t="s">
        <v>224</v>
      </c>
      <c r="I41" s="27">
        <f>VLOOKUP(H41,'(참고)PJT목록'!A:D,4,0)</f>
        <v>45505</v>
      </c>
      <c r="J41" s="27">
        <f>VLOOKUP(H41,'(참고)PJT목록'!A:E,5,0)</f>
        <v>46387</v>
      </c>
      <c r="K41" s="51" t="s">
        <v>989</v>
      </c>
      <c r="L41" s="10"/>
      <c r="M41" s="464">
        <v>394550</v>
      </c>
      <c r="N41" s="81" t="s">
        <v>990</v>
      </c>
      <c r="O41" s="11" t="s">
        <v>991</v>
      </c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3"/>
      <c r="FE41" s="23"/>
      <c r="FF41" s="23"/>
      <c r="FG41" s="23"/>
      <c r="FH41" s="23"/>
      <c r="FI41" s="23"/>
      <c r="FJ41" s="23"/>
      <c r="FK41" s="23"/>
      <c r="FL41" s="23"/>
      <c r="FM41" s="23"/>
      <c r="FN41" s="23"/>
      <c r="FO41" s="23"/>
      <c r="FP41" s="23"/>
      <c r="FQ41" s="23"/>
      <c r="FR41" s="23"/>
      <c r="FS41" s="23"/>
      <c r="FT41" s="23"/>
      <c r="FU41" s="23"/>
      <c r="FV41" s="23"/>
      <c r="FW41" s="23"/>
      <c r="FX41" s="23"/>
      <c r="FY41" s="23"/>
      <c r="FZ41" s="23"/>
      <c r="GA41" s="23"/>
      <c r="GB41" s="23"/>
      <c r="GC41" s="23"/>
      <c r="GD41" s="23"/>
      <c r="GE41" s="23"/>
      <c r="GF41" s="23"/>
      <c r="GG41" s="23"/>
      <c r="GH41" s="23"/>
      <c r="GI41" s="23"/>
      <c r="GJ41" s="23"/>
      <c r="GK41" s="23"/>
      <c r="GL41" s="23"/>
    </row>
    <row r="42" spans="1:194" ht="31.5" customHeight="1">
      <c r="A42" s="1142"/>
      <c r="B42" s="1144" t="s">
        <v>225</v>
      </c>
      <c r="C42" s="1059" t="s">
        <v>142</v>
      </c>
      <c r="D42" s="1145" t="s">
        <v>971</v>
      </c>
      <c r="E42" s="1075" t="s">
        <v>992</v>
      </c>
      <c r="F42" s="1050" t="s">
        <v>79</v>
      </c>
      <c r="G42" s="24" t="s">
        <v>153</v>
      </c>
      <c r="H42" s="24" t="s">
        <v>227</v>
      </c>
      <c r="I42" s="1140">
        <v>44562</v>
      </c>
      <c r="J42" s="1140">
        <v>45657</v>
      </c>
      <c r="K42" s="1079" t="s">
        <v>993</v>
      </c>
      <c r="L42" s="1058"/>
      <c r="M42" s="34">
        <v>8982740</v>
      </c>
      <c r="N42" s="1075" t="s">
        <v>994</v>
      </c>
      <c r="O42" s="1059" t="s">
        <v>995</v>
      </c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  <c r="EQ42" s="23"/>
      <c r="ER42" s="23"/>
      <c r="ES42" s="23"/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23"/>
      <c r="FE42" s="23"/>
      <c r="FF42" s="23"/>
      <c r="FG42" s="23"/>
      <c r="FH42" s="23"/>
      <c r="FI42" s="23"/>
      <c r="FJ42" s="23"/>
      <c r="FK42" s="23"/>
      <c r="FL42" s="23"/>
      <c r="FM42" s="23"/>
      <c r="FN42" s="23"/>
      <c r="FO42" s="23"/>
      <c r="FP42" s="23"/>
      <c r="FQ42" s="23"/>
      <c r="FR42" s="23"/>
      <c r="FS42" s="23"/>
      <c r="FT42" s="23"/>
      <c r="FU42" s="23"/>
      <c r="FV42" s="23"/>
      <c r="FW42" s="23"/>
      <c r="FX42" s="23"/>
      <c r="FY42" s="23"/>
      <c r="FZ42" s="23"/>
      <c r="GA42" s="23"/>
      <c r="GB42" s="23"/>
      <c r="GC42" s="23"/>
      <c r="GD42" s="23"/>
      <c r="GE42" s="23"/>
      <c r="GF42" s="23"/>
      <c r="GG42" s="23"/>
      <c r="GH42" s="23"/>
      <c r="GI42" s="23"/>
      <c r="GJ42" s="23"/>
      <c r="GK42" s="23"/>
      <c r="GL42" s="23"/>
    </row>
    <row r="43" spans="1:194" ht="31.5" customHeight="1">
      <c r="A43" s="1143"/>
      <c r="B43" s="1051"/>
      <c r="C43" s="1051"/>
      <c r="D43" s="1095"/>
      <c r="E43" s="1051"/>
      <c r="F43" s="1051"/>
      <c r="G43" s="1146" t="s">
        <v>228</v>
      </c>
      <c r="H43" s="443" t="s">
        <v>229</v>
      </c>
      <c r="I43" s="1051"/>
      <c r="J43" s="1051"/>
      <c r="K43" s="1051"/>
      <c r="L43" s="1051"/>
      <c r="M43" s="34">
        <v>200000</v>
      </c>
      <c r="N43" s="1051"/>
      <c r="O43" s="1051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3"/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23"/>
      <c r="FE43" s="23"/>
      <c r="FF43" s="23"/>
      <c r="FG43" s="23"/>
      <c r="FH43" s="23"/>
      <c r="FI43" s="23"/>
      <c r="FJ43" s="23"/>
      <c r="FK43" s="23"/>
      <c r="FL43" s="23"/>
      <c r="FM43" s="23"/>
      <c r="FN43" s="23"/>
      <c r="FO43" s="23"/>
      <c r="FP43" s="23"/>
      <c r="FQ43" s="23"/>
      <c r="FR43" s="23"/>
      <c r="FS43" s="23"/>
      <c r="FT43" s="23"/>
      <c r="FU43" s="23"/>
      <c r="FV43" s="23"/>
      <c r="FW43" s="23"/>
      <c r="FX43" s="23"/>
      <c r="FY43" s="23"/>
      <c r="FZ43" s="23"/>
      <c r="GA43" s="23"/>
      <c r="GB43" s="23"/>
      <c r="GC43" s="23"/>
      <c r="GD43" s="23"/>
      <c r="GE43" s="23"/>
      <c r="GF43" s="23"/>
      <c r="GG43" s="23"/>
      <c r="GH43" s="23"/>
      <c r="GI43" s="23"/>
      <c r="GJ43" s="23"/>
      <c r="GK43" s="23"/>
      <c r="GL43" s="23"/>
    </row>
    <row r="44" spans="1:194" ht="31.5" customHeight="1">
      <c r="A44" s="1143"/>
      <c r="B44" s="1052"/>
      <c r="C44" s="1052"/>
      <c r="D44" s="1096"/>
      <c r="E44" s="1052"/>
      <c r="F44" s="1052"/>
      <c r="G44" s="1052"/>
      <c r="H44" s="466" t="s">
        <v>230</v>
      </c>
      <c r="I44" s="1052"/>
      <c r="J44" s="1052"/>
      <c r="K44" s="1052"/>
      <c r="L44" s="1052"/>
      <c r="M44" s="34">
        <f>M42+M43</f>
        <v>9182740</v>
      </c>
      <c r="N44" s="1052"/>
      <c r="O44" s="1052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3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  <c r="FL44" s="23"/>
      <c r="FM44" s="23"/>
      <c r="FN44" s="23"/>
      <c r="FO44" s="23"/>
      <c r="FP44" s="23"/>
      <c r="FQ44" s="23"/>
      <c r="FR44" s="23"/>
      <c r="FS44" s="23"/>
      <c r="FT44" s="23"/>
      <c r="FU44" s="23"/>
      <c r="FV44" s="23"/>
      <c r="FW44" s="23"/>
      <c r="FX44" s="23"/>
      <c r="FY44" s="23"/>
      <c r="FZ44" s="23"/>
      <c r="GA44" s="23"/>
      <c r="GB44" s="23"/>
      <c r="GC44" s="23"/>
      <c r="GD44" s="23"/>
      <c r="GE44" s="23"/>
      <c r="GF44" s="23"/>
      <c r="GG44" s="23"/>
      <c r="GH44" s="23"/>
      <c r="GI44" s="23"/>
      <c r="GJ44" s="23"/>
      <c r="GK44" s="23"/>
      <c r="GL44" s="23"/>
    </row>
    <row r="45" spans="1:194" ht="13" hidden="1">
      <c r="A45" s="460"/>
      <c r="B45" s="462" t="s">
        <v>996</v>
      </c>
      <c r="C45" s="11" t="s">
        <v>142</v>
      </c>
      <c r="D45" s="467" t="s">
        <v>997</v>
      </c>
      <c r="E45" s="92" t="s">
        <v>998</v>
      </c>
      <c r="F45" s="468" t="s">
        <v>79</v>
      </c>
      <c r="G45" s="469" t="s">
        <v>232</v>
      </c>
      <c r="H45" s="468" t="s">
        <v>233</v>
      </c>
      <c r="I45" s="470">
        <v>43344</v>
      </c>
      <c r="J45" s="471">
        <v>45169</v>
      </c>
      <c r="K45" s="90" t="s">
        <v>999</v>
      </c>
      <c r="L45" s="472"/>
      <c r="M45" s="473">
        <v>7832171</v>
      </c>
      <c r="N45" s="92" t="s">
        <v>1000</v>
      </c>
      <c r="O45" s="11" t="s">
        <v>1001</v>
      </c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  <c r="FL45" s="23"/>
      <c r="FM45" s="23"/>
      <c r="FN45" s="23"/>
      <c r="FO45" s="23"/>
      <c r="FP45" s="23"/>
      <c r="FQ45" s="23"/>
      <c r="FR45" s="23"/>
      <c r="FS45" s="23"/>
      <c r="FT45" s="23"/>
      <c r="FU45" s="23"/>
      <c r="FV45" s="23"/>
      <c r="FW45" s="23"/>
      <c r="FX45" s="23"/>
      <c r="FY45" s="23"/>
      <c r="FZ45" s="23"/>
      <c r="GA45" s="23"/>
      <c r="GB45" s="23"/>
      <c r="GC45" s="23"/>
      <c r="GD45" s="23"/>
      <c r="GE45" s="23"/>
      <c r="GF45" s="23"/>
      <c r="GG45" s="23"/>
      <c r="GH45" s="23"/>
      <c r="GI45" s="23"/>
      <c r="GJ45" s="23"/>
      <c r="GK45" s="23"/>
      <c r="GL45" s="23"/>
    </row>
    <row r="46" spans="1:194" ht="31.5" customHeight="1">
      <c r="A46" s="1142"/>
      <c r="B46" s="1144" t="s">
        <v>234</v>
      </c>
      <c r="C46" s="1059" t="s">
        <v>142</v>
      </c>
      <c r="D46" s="1145" t="s">
        <v>1002</v>
      </c>
      <c r="E46" s="1075" t="s">
        <v>1003</v>
      </c>
      <c r="F46" s="51" t="s">
        <v>79</v>
      </c>
      <c r="G46" s="51" t="s">
        <v>183</v>
      </c>
      <c r="H46" s="51" t="s">
        <v>237</v>
      </c>
      <c r="I46" s="27">
        <f>VLOOKUP(H46,'(참고)PJT목록'!A:D,4,0)</f>
        <v>45474</v>
      </c>
      <c r="J46" s="40">
        <f>VLOOKUP(H46,'(참고)PJT목록'!A:E,5,0)</f>
        <v>46203</v>
      </c>
      <c r="K46" s="1079" t="s">
        <v>1004</v>
      </c>
      <c r="L46" s="10"/>
      <c r="M46" s="170">
        <v>7227400</v>
      </c>
      <c r="N46" s="1075" t="s">
        <v>1005</v>
      </c>
      <c r="O46" s="1059" t="s">
        <v>1006</v>
      </c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3"/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  <c r="FL46" s="23"/>
      <c r="FM46" s="23"/>
      <c r="FN46" s="23"/>
      <c r="FO46" s="23"/>
      <c r="FP46" s="23"/>
      <c r="FQ46" s="23"/>
      <c r="FR46" s="23"/>
      <c r="FS46" s="23"/>
      <c r="FT46" s="23"/>
      <c r="FU46" s="23"/>
      <c r="FV46" s="23"/>
      <c r="FW46" s="23"/>
      <c r="FX46" s="23"/>
      <c r="FY46" s="23"/>
      <c r="FZ46" s="23"/>
      <c r="GA46" s="23"/>
      <c r="GB46" s="23"/>
      <c r="GC46" s="23"/>
      <c r="GD46" s="23"/>
      <c r="GE46" s="23"/>
      <c r="GF46" s="23"/>
      <c r="GG46" s="23"/>
      <c r="GH46" s="23"/>
      <c r="GI46" s="23"/>
      <c r="GJ46" s="23"/>
      <c r="GK46" s="23"/>
      <c r="GL46" s="23"/>
    </row>
    <row r="47" spans="1:194" ht="31.5" customHeight="1">
      <c r="A47" s="1143"/>
      <c r="B47" s="1051"/>
      <c r="C47" s="1051"/>
      <c r="D47" s="1095"/>
      <c r="E47" s="1051"/>
      <c r="F47" s="443" t="s">
        <v>79</v>
      </c>
      <c r="G47" s="443" t="s">
        <v>185</v>
      </c>
      <c r="H47" s="443" t="s">
        <v>238</v>
      </c>
      <c r="I47" s="27">
        <f>VLOOKUP(H47,'(참고)PJT목록'!A:D,4,0)</f>
        <v>45017</v>
      </c>
      <c r="J47" s="27">
        <f>VLOOKUP(H47,'(참고)PJT목록'!A:E,5,0)</f>
        <v>46112</v>
      </c>
      <c r="K47" s="1051"/>
      <c r="L47" s="10"/>
      <c r="M47" s="170">
        <v>968200</v>
      </c>
      <c r="N47" s="1051"/>
      <c r="O47" s="1051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23"/>
      <c r="EO47" s="23"/>
      <c r="EP47" s="23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  <c r="FL47" s="23"/>
      <c r="FM47" s="23"/>
      <c r="FN47" s="23"/>
      <c r="FO47" s="23"/>
      <c r="FP47" s="23"/>
      <c r="FQ47" s="23"/>
      <c r="FR47" s="23"/>
      <c r="FS47" s="23"/>
      <c r="FT47" s="23"/>
      <c r="FU47" s="23"/>
      <c r="FV47" s="23"/>
      <c r="FW47" s="23"/>
      <c r="FX47" s="23"/>
      <c r="FY47" s="23"/>
      <c r="FZ47" s="23"/>
      <c r="GA47" s="23"/>
      <c r="GB47" s="23"/>
      <c r="GC47" s="23"/>
      <c r="GD47" s="23"/>
      <c r="GE47" s="23"/>
      <c r="GF47" s="23"/>
      <c r="GG47" s="23"/>
      <c r="GH47" s="23"/>
      <c r="GI47" s="23"/>
      <c r="GJ47" s="23"/>
      <c r="GK47" s="23"/>
      <c r="GL47" s="23"/>
    </row>
    <row r="48" spans="1:194" ht="31.5" customHeight="1">
      <c r="A48" s="1143"/>
      <c r="B48" s="1052"/>
      <c r="C48" s="1052"/>
      <c r="D48" s="1096"/>
      <c r="E48" s="1052"/>
      <c r="F48" s="81"/>
      <c r="G48" s="81"/>
      <c r="H48" s="24"/>
      <c r="I48" s="10"/>
      <c r="J48" s="10"/>
      <c r="K48" s="1052"/>
      <c r="L48" s="10"/>
      <c r="M48" s="170">
        <f>SUM(M46:M47)</f>
        <v>8195600</v>
      </c>
      <c r="N48" s="1052"/>
      <c r="O48" s="1052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3"/>
      <c r="EP48" s="23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  <c r="FL48" s="23"/>
      <c r="FM48" s="23"/>
      <c r="FN48" s="23"/>
      <c r="FO48" s="23"/>
      <c r="FP48" s="23"/>
      <c r="FQ48" s="23"/>
      <c r="FR48" s="23"/>
      <c r="FS48" s="23"/>
      <c r="FT48" s="23"/>
      <c r="FU48" s="23"/>
      <c r="FV48" s="23"/>
      <c r="FW48" s="23"/>
      <c r="FX48" s="23"/>
      <c r="FY48" s="23"/>
      <c r="FZ48" s="23"/>
      <c r="GA48" s="23"/>
      <c r="GB48" s="23"/>
      <c r="GC48" s="23"/>
      <c r="GD48" s="23"/>
      <c r="GE48" s="23"/>
      <c r="GF48" s="23"/>
      <c r="GG48" s="23"/>
      <c r="GH48" s="23"/>
      <c r="GI48" s="23"/>
      <c r="GJ48" s="23"/>
      <c r="GK48" s="23"/>
      <c r="GL48" s="23"/>
    </row>
    <row r="49" spans="1:194" ht="24.75" customHeight="1">
      <c r="A49" s="1142"/>
      <c r="B49" s="1144" t="s">
        <v>70</v>
      </c>
      <c r="C49" s="1059" t="s">
        <v>142</v>
      </c>
      <c r="D49" s="1145" t="s">
        <v>907</v>
      </c>
      <c r="E49" s="1075" t="s">
        <v>1007</v>
      </c>
      <c r="F49" s="24" t="s">
        <v>79</v>
      </c>
      <c r="G49" s="24" t="s">
        <v>197</v>
      </c>
      <c r="H49" s="24" t="s">
        <v>240</v>
      </c>
      <c r="I49" s="1140">
        <v>45292</v>
      </c>
      <c r="J49" s="1140">
        <v>45657</v>
      </c>
      <c r="K49" s="1079" t="s">
        <v>1008</v>
      </c>
      <c r="L49" s="10"/>
      <c r="M49" s="474">
        <v>145854380</v>
      </c>
      <c r="N49" s="1075" t="s">
        <v>1009</v>
      </c>
      <c r="O49" s="1141" t="s">
        <v>1010</v>
      </c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3"/>
      <c r="EQ49" s="23"/>
      <c r="ER49" s="23"/>
      <c r="ES49" s="23"/>
      <c r="ET49" s="23"/>
      <c r="EU49" s="23"/>
      <c r="EV49" s="23"/>
      <c r="EW49" s="23"/>
      <c r="EX49" s="23"/>
      <c r="EY49" s="23"/>
      <c r="EZ49" s="23"/>
      <c r="FA49" s="23"/>
      <c r="FB49" s="23"/>
      <c r="FC49" s="23"/>
      <c r="FD49" s="23"/>
      <c r="FE49" s="23"/>
      <c r="FF49" s="23"/>
      <c r="FG49" s="23"/>
      <c r="FH49" s="23"/>
      <c r="FI49" s="23"/>
      <c r="FJ49" s="23"/>
      <c r="FK49" s="23"/>
      <c r="FL49" s="23"/>
      <c r="FM49" s="23"/>
      <c r="FN49" s="23"/>
      <c r="FO49" s="23"/>
      <c r="FP49" s="23"/>
      <c r="FQ49" s="23"/>
      <c r="FR49" s="23"/>
      <c r="FS49" s="23"/>
      <c r="FT49" s="23"/>
      <c r="FU49" s="23"/>
      <c r="FV49" s="23"/>
      <c r="FW49" s="23"/>
      <c r="FX49" s="23"/>
      <c r="FY49" s="23"/>
      <c r="FZ49" s="23"/>
      <c r="GA49" s="23"/>
      <c r="GB49" s="23"/>
      <c r="GC49" s="23"/>
      <c r="GD49" s="23"/>
      <c r="GE49" s="23"/>
      <c r="GF49" s="23"/>
      <c r="GG49" s="23"/>
      <c r="GH49" s="23"/>
      <c r="GI49" s="23"/>
      <c r="GJ49" s="23"/>
      <c r="GK49" s="23"/>
      <c r="GL49" s="23"/>
    </row>
    <row r="50" spans="1:194" ht="24.75" customHeight="1">
      <c r="A50" s="1143"/>
      <c r="B50" s="1051"/>
      <c r="C50" s="1051"/>
      <c r="D50" s="1095"/>
      <c r="E50" s="1051"/>
      <c r="F50" s="24" t="s">
        <v>79</v>
      </c>
      <c r="G50" s="24" t="s">
        <v>241</v>
      </c>
      <c r="H50" s="24" t="s">
        <v>242</v>
      </c>
      <c r="I50" s="1051"/>
      <c r="J50" s="1051"/>
      <c r="K50" s="1051"/>
      <c r="L50" s="10"/>
      <c r="M50" s="474">
        <v>18154508</v>
      </c>
      <c r="N50" s="1051"/>
      <c r="O50" s="1095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23"/>
      <c r="EN50" s="23"/>
      <c r="EO50" s="23"/>
      <c r="EP50" s="23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3"/>
      <c r="FD50" s="23"/>
      <c r="FE50" s="23"/>
      <c r="FF50" s="23"/>
      <c r="FG50" s="23"/>
      <c r="FH50" s="23"/>
      <c r="FI50" s="23"/>
      <c r="FJ50" s="23"/>
      <c r="FK50" s="23"/>
      <c r="FL50" s="23"/>
      <c r="FM50" s="23"/>
      <c r="FN50" s="23"/>
      <c r="FO50" s="23"/>
      <c r="FP50" s="23"/>
      <c r="FQ50" s="23"/>
      <c r="FR50" s="23"/>
      <c r="FS50" s="23"/>
      <c r="FT50" s="23"/>
      <c r="FU50" s="23"/>
      <c r="FV50" s="23"/>
      <c r="FW50" s="23"/>
      <c r="FX50" s="23"/>
      <c r="FY50" s="23"/>
      <c r="FZ50" s="23"/>
      <c r="GA50" s="23"/>
      <c r="GB50" s="23"/>
      <c r="GC50" s="23"/>
      <c r="GD50" s="23"/>
      <c r="GE50" s="23"/>
      <c r="GF50" s="23"/>
      <c r="GG50" s="23"/>
      <c r="GH50" s="23"/>
      <c r="GI50" s="23"/>
      <c r="GJ50" s="23"/>
      <c r="GK50" s="23"/>
      <c r="GL50" s="23"/>
    </row>
    <row r="51" spans="1:194" ht="24.75" customHeight="1">
      <c r="A51" s="1143"/>
      <c r="B51" s="1051"/>
      <c r="C51" s="1051"/>
      <c r="D51" s="1095"/>
      <c r="E51" s="1051"/>
      <c r="F51" s="24" t="s">
        <v>243</v>
      </c>
      <c r="G51" s="24" t="s">
        <v>43</v>
      </c>
      <c r="H51" s="24" t="s">
        <v>244</v>
      </c>
      <c r="I51" s="1051"/>
      <c r="J51" s="1051"/>
      <c r="K51" s="1051"/>
      <c r="L51" s="10"/>
      <c r="M51" s="474">
        <v>11067004</v>
      </c>
      <c r="N51" s="1051"/>
      <c r="O51" s="1095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23"/>
      <c r="EN51" s="23"/>
      <c r="EO51" s="23"/>
      <c r="EP51" s="23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3"/>
      <c r="FD51" s="23"/>
      <c r="FE51" s="23"/>
      <c r="FF51" s="23"/>
      <c r="FG51" s="23"/>
      <c r="FH51" s="23"/>
      <c r="FI51" s="23"/>
      <c r="FJ51" s="23"/>
      <c r="FK51" s="23"/>
      <c r="FL51" s="23"/>
      <c r="FM51" s="23"/>
      <c r="FN51" s="23"/>
      <c r="FO51" s="23"/>
      <c r="FP51" s="23"/>
      <c r="FQ51" s="23"/>
      <c r="FR51" s="23"/>
      <c r="FS51" s="23"/>
      <c r="FT51" s="23"/>
      <c r="FU51" s="23"/>
      <c r="FV51" s="23"/>
      <c r="FW51" s="23"/>
      <c r="FX51" s="23"/>
      <c r="FY51" s="23"/>
      <c r="FZ51" s="23"/>
      <c r="GA51" s="23"/>
      <c r="GB51" s="23"/>
      <c r="GC51" s="23"/>
      <c r="GD51" s="23"/>
      <c r="GE51" s="23"/>
      <c r="GF51" s="23"/>
      <c r="GG51" s="23"/>
      <c r="GH51" s="23"/>
      <c r="GI51" s="23"/>
      <c r="GJ51" s="23"/>
      <c r="GK51" s="23"/>
      <c r="GL51" s="23"/>
    </row>
    <row r="52" spans="1:194" ht="24.75" customHeight="1">
      <c r="A52" s="1143"/>
      <c r="B52" s="1051"/>
      <c r="C52" s="1051"/>
      <c r="D52" s="1095"/>
      <c r="E52" s="1051"/>
      <c r="F52" s="24" t="s">
        <v>79</v>
      </c>
      <c r="G52" s="81" t="s">
        <v>201</v>
      </c>
      <c r="H52" s="24" t="s">
        <v>1011</v>
      </c>
      <c r="I52" s="1051"/>
      <c r="J52" s="1051"/>
      <c r="K52" s="1051"/>
      <c r="L52" s="10"/>
      <c r="M52" s="170">
        <v>900460</v>
      </c>
      <c r="N52" s="1051"/>
      <c r="O52" s="1095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3"/>
      <c r="EP52" s="23"/>
      <c r="EQ52" s="23"/>
      <c r="ER52" s="23"/>
      <c r="ES52" s="23"/>
      <c r="ET52" s="23"/>
      <c r="EU52" s="23"/>
      <c r="EV52" s="23"/>
      <c r="EW52" s="23"/>
      <c r="EX52" s="23"/>
      <c r="EY52" s="23"/>
      <c r="EZ52" s="23"/>
      <c r="FA52" s="23"/>
      <c r="FB52" s="23"/>
      <c r="FC52" s="23"/>
      <c r="FD52" s="23"/>
      <c r="FE52" s="23"/>
      <c r="FF52" s="23"/>
      <c r="FG52" s="23"/>
      <c r="FH52" s="23"/>
      <c r="FI52" s="23"/>
      <c r="FJ52" s="23"/>
      <c r="FK52" s="23"/>
      <c r="FL52" s="23"/>
      <c r="FM52" s="23"/>
      <c r="FN52" s="23"/>
      <c r="FO52" s="23"/>
      <c r="FP52" s="23"/>
      <c r="FQ52" s="23"/>
      <c r="FR52" s="23"/>
      <c r="FS52" s="23"/>
      <c r="FT52" s="23"/>
      <c r="FU52" s="23"/>
      <c r="FV52" s="23"/>
      <c r="FW52" s="23"/>
      <c r="FX52" s="23"/>
      <c r="FY52" s="23"/>
      <c r="FZ52" s="23"/>
      <c r="GA52" s="23"/>
      <c r="GB52" s="23"/>
      <c r="GC52" s="23"/>
      <c r="GD52" s="23"/>
      <c r="GE52" s="23"/>
      <c r="GF52" s="23"/>
      <c r="GG52" s="23"/>
      <c r="GH52" s="23"/>
      <c r="GI52" s="23"/>
      <c r="GJ52" s="23"/>
      <c r="GK52" s="23"/>
      <c r="GL52" s="23"/>
    </row>
    <row r="53" spans="1:194" ht="24.75" customHeight="1">
      <c r="A53" s="1143"/>
      <c r="B53" s="1052"/>
      <c r="C53" s="1051"/>
      <c r="D53" s="1096"/>
      <c r="E53" s="1052"/>
      <c r="F53" s="81"/>
      <c r="G53" s="81"/>
      <c r="H53" s="24"/>
      <c r="I53" s="1052"/>
      <c r="J53" s="1052"/>
      <c r="K53" s="1052"/>
      <c r="L53" s="10"/>
      <c r="M53" s="170">
        <f>SUM(M49:M52)</f>
        <v>175976352</v>
      </c>
      <c r="N53" s="1052"/>
      <c r="O53" s="1095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3"/>
      <c r="EO53" s="23"/>
      <c r="EP53" s="23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  <c r="FL53" s="23"/>
      <c r="FM53" s="23"/>
      <c r="FN53" s="23"/>
      <c r="FO53" s="23"/>
      <c r="FP53" s="23"/>
      <c r="FQ53" s="23"/>
      <c r="FR53" s="23"/>
      <c r="FS53" s="23"/>
      <c r="FT53" s="23"/>
      <c r="FU53" s="23"/>
      <c r="FV53" s="23"/>
      <c r="FW53" s="23"/>
      <c r="FX53" s="23"/>
      <c r="FY53" s="23"/>
      <c r="FZ53" s="23"/>
      <c r="GA53" s="23"/>
      <c r="GB53" s="23"/>
      <c r="GC53" s="23"/>
      <c r="GD53" s="23"/>
      <c r="GE53" s="23"/>
      <c r="GF53" s="23"/>
      <c r="GG53" s="23"/>
      <c r="GH53" s="23"/>
      <c r="GI53" s="23"/>
      <c r="GJ53" s="23"/>
      <c r="GK53" s="23"/>
      <c r="GL53" s="23"/>
    </row>
    <row r="54" spans="1:194" ht="39" customHeight="1">
      <c r="A54" s="460"/>
      <c r="B54" s="462" t="s">
        <v>70</v>
      </c>
      <c r="C54" s="1051"/>
      <c r="D54" s="463" t="s">
        <v>907</v>
      </c>
      <c r="E54" s="81" t="s">
        <v>1012</v>
      </c>
      <c r="F54" s="24" t="s">
        <v>79</v>
      </c>
      <c r="G54" s="24" t="s">
        <v>241</v>
      </c>
      <c r="H54" s="24" t="s">
        <v>242</v>
      </c>
      <c r="I54" s="27">
        <v>45292</v>
      </c>
      <c r="J54" s="27">
        <v>45657</v>
      </c>
      <c r="K54" s="51" t="s">
        <v>1013</v>
      </c>
      <c r="L54" s="10"/>
      <c r="M54" s="170">
        <v>3041028</v>
      </c>
      <c r="N54" s="81" t="s">
        <v>1014</v>
      </c>
      <c r="O54" s="1095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N54" s="23"/>
      <c r="EO54" s="23"/>
      <c r="EP54" s="2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3"/>
      <c r="FE54" s="23"/>
      <c r="FF54" s="23"/>
      <c r="FG54" s="23"/>
      <c r="FH54" s="23"/>
      <c r="FI54" s="23"/>
      <c r="FJ54" s="23"/>
      <c r="FK54" s="23"/>
      <c r="FL54" s="23"/>
      <c r="FM54" s="23"/>
      <c r="FN54" s="23"/>
      <c r="FO54" s="23"/>
      <c r="FP54" s="23"/>
      <c r="FQ54" s="23"/>
      <c r="FR54" s="23"/>
      <c r="FS54" s="23"/>
      <c r="FT54" s="23"/>
      <c r="FU54" s="23"/>
      <c r="FV54" s="23"/>
      <c r="FW54" s="23"/>
      <c r="FX54" s="23"/>
      <c r="FY54" s="23"/>
      <c r="FZ54" s="23"/>
      <c r="GA54" s="23"/>
      <c r="GB54" s="23"/>
      <c r="GC54" s="23"/>
      <c r="GD54" s="23"/>
      <c r="GE54" s="23"/>
      <c r="GF54" s="23"/>
      <c r="GG54" s="23"/>
      <c r="GH54" s="23"/>
      <c r="GI54" s="23"/>
      <c r="GJ54" s="23"/>
      <c r="GK54" s="23"/>
      <c r="GL54" s="23"/>
    </row>
    <row r="55" spans="1:194" ht="39" customHeight="1">
      <c r="A55" s="460"/>
      <c r="B55" s="462" t="s">
        <v>70</v>
      </c>
      <c r="C55" s="1051"/>
      <c r="D55" s="463" t="s">
        <v>907</v>
      </c>
      <c r="E55" s="81" t="s">
        <v>1015</v>
      </c>
      <c r="F55" s="24" t="s">
        <v>79</v>
      </c>
      <c r="G55" s="24" t="s">
        <v>197</v>
      </c>
      <c r="H55" s="24" t="s">
        <v>240</v>
      </c>
      <c r="I55" s="27">
        <v>45292</v>
      </c>
      <c r="J55" s="27">
        <v>45657</v>
      </c>
      <c r="K55" s="51" t="s">
        <v>1016</v>
      </c>
      <c r="L55" s="10"/>
      <c r="M55" s="170">
        <v>8360067</v>
      </c>
      <c r="N55" s="81" t="s">
        <v>1014</v>
      </c>
      <c r="O55" s="1096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/>
      <c r="EM55" s="23"/>
      <c r="EN55" s="23"/>
      <c r="EO55" s="23"/>
      <c r="EP55" s="23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3"/>
      <c r="FD55" s="23"/>
      <c r="FE55" s="23"/>
      <c r="FF55" s="23"/>
      <c r="FG55" s="23"/>
      <c r="FH55" s="23"/>
      <c r="FI55" s="23"/>
      <c r="FJ55" s="23"/>
      <c r="FK55" s="23"/>
      <c r="FL55" s="23"/>
      <c r="FM55" s="23"/>
      <c r="FN55" s="23"/>
      <c r="FO55" s="23"/>
      <c r="FP55" s="23"/>
      <c r="FQ55" s="23"/>
      <c r="FR55" s="23"/>
      <c r="FS55" s="23"/>
      <c r="FT55" s="23"/>
      <c r="FU55" s="23"/>
      <c r="FV55" s="23"/>
      <c r="FW55" s="23"/>
      <c r="FX55" s="23"/>
      <c r="FY55" s="23"/>
      <c r="FZ55" s="23"/>
      <c r="GA55" s="23"/>
      <c r="GB55" s="23"/>
      <c r="GC55" s="23"/>
      <c r="GD55" s="23"/>
      <c r="GE55" s="23"/>
      <c r="GF55" s="23"/>
      <c r="GG55" s="23"/>
      <c r="GH55" s="23"/>
      <c r="GI55" s="23"/>
      <c r="GJ55" s="23"/>
      <c r="GK55" s="23"/>
      <c r="GL55" s="23"/>
    </row>
    <row r="56" spans="1:194" ht="21.75" customHeight="1">
      <c r="A56" s="1142"/>
      <c r="B56" s="1144" t="s">
        <v>70</v>
      </c>
      <c r="C56" s="1051"/>
      <c r="D56" s="1145" t="s">
        <v>1017</v>
      </c>
      <c r="E56" s="1075" t="s">
        <v>1018</v>
      </c>
      <c r="F56" s="24" t="s">
        <v>248</v>
      </c>
      <c r="G56" s="24" t="s">
        <v>249</v>
      </c>
      <c r="H56" s="24" t="s">
        <v>250</v>
      </c>
      <c r="I56" s="27">
        <f>VLOOKUP(H56,'(참고)PJT목록'!A:D,4,0)</f>
        <v>45292</v>
      </c>
      <c r="J56" s="27">
        <f>VLOOKUP(H56,'(참고)PJT목록'!A:E,5,0)</f>
        <v>45657</v>
      </c>
      <c r="K56" s="1079" t="s">
        <v>1019</v>
      </c>
      <c r="L56" s="1058"/>
      <c r="M56" s="34">
        <v>16228768</v>
      </c>
      <c r="N56" s="1075" t="s">
        <v>1020</v>
      </c>
      <c r="O56" s="1059" t="s">
        <v>1021</v>
      </c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3"/>
      <c r="FE56" s="23"/>
      <c r="FF56" s="23"/>
      <c r="FG56" s="23"/>
      <c r="FH56" s="23"/>
      <c r="FI56" s="23"/>
      <c r="FJ56" s="23"/>
      <c r="FK56" s="23"/>
      <c r="FL56" s="23"/>
      <c r="FM56" s="23"/>
      <c r="FN56" s="23"/>
      <c r="FO56" s="23"/>
      <c r="FP56" s="23"/>
      <c r="FQ56" s="23"/>
      <c r="FR56" s="23"/>
      <c r="FS56" s="23"/>
      <c r="FT56" s="23"/>
      <c r="FU56" s="23"/>
      <c r="FV56" s="23"/>
      <c r="FW56" s="23"/>
      <c r="FX56" s="23"/>
      <c r="FY56" s="23"/>
      <c r="FZ56" s="23"/>
      <c r="GA56" s="23"/>
      <c r="GB56" s="23"/>
      <c r="GC56" s="23"/>
      <c r="GD56" s="23"/>
      <c r="GE56" s="23"/>
      <c r="GF56" s="23"/>
      <c r="GG56" s="23"/>
      <c r="GH56" s="23"/>
      <c r="GI56" s="23"/>
      <c r="GJ56" s="23"/>
      <c r="GK56" s="23"/>
      <c r="GL56" s="23"/>
    </row>
    <row r="57" spans="1:194" ht="21.75" customHeight="1">
      <c r="A57" s="1143"/>
      <c r="B57" s="1051"/>
      <c r="C57" s="1051"/>
      <c r="D57" s="1095"/>
      <c r="E57" s="1051"/>
      <c r="F57" s="51" t="s">
        <v>138</v>
      </c>
      <c r="G57" s="24" t="s">
        <v>251</v>
      </c>
      <c r="H57" s="24" t="s">
        <v>252</v>
      </c>
      <c r="I57" s="27">
        <f>VLOOKUP(H57,'(참고)PJT목록'!A:D,4,0)</f>
        <v>45292</v>
      </c>
      <c r="J57" s="27">
        <f>VLOOKUP(H57,'(참고)PJT목록'!A:E,5,0)</f>
        <v>45657</v>
      </c>
      <c r="K57" s="1051"/>
      <c r="L57" s="1051"/>
      <c r="M57" s="34">
        <v>966000</v>
      </c>
      <c r="N57" s="1051"/>
      <c r="O57" s="1051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3"/>
      <c r="EP57" s="23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23"/>
      <c r="FE57" s="23"/>
      <c r="FF57" s="23"/>
      <c r="FG57" s="23"/>
      <c r="FH57" s="23"/>
      <c r="FI57" s="23"/>
      <c r="FJ57" s="23"/>
      <c r="FK57" s="23"/>
      <c r="FL57" s="23"/>
      <c r="FM57" s="23"/>
      <c r="FN57" s="23"/>
      <c r="FO57" s="23"/>
      <c r="FP57" s="23"/>
      <c r="FQ57" s="23"/>
      <c r="FR57" s="23"/>
      <c r="FS57" s="23"/>
      <c r="FT57" s="23"/>
      <c r="FU57" s="23"/>
      <c r="FV57" s="23"/>
      <c r="FW57" s="23"/>
      <c r="FX57" s="23"/>
      <c r="FY57" s="23"/>
      <c r="FZ57" s="23"/>
      <c r="GA57" s="23"/>
      <c r="GB57" s="23"/>
      <c r="GC57" s="23"/>
      <c r="GD57" s="23"/>
      <c r="GE57" s="23"/>
      <c r="GF57" s="23"/>
      <c r="GG57" s="23"/>
      <c r="GH57" s="23"/>
      <c r="GI57" s="23"/>
      <c r="GJ57" s="23"/>
      <c r="GK57" s="23"/>
      <c r="GL57" s="23"/>
    </row>
    <row r="58" spans="1:194" ht="21.75" customHeight="1">
      <c r="A58" s="1143"/>
      <c r="B58" s="1051"/>
      <c r="C58" s="1051"/>
      <c r="D58" s="1095"/>
      <c r="E58" s="1051"/>
      <c r="F58" s="24" t="s">
        <v>253</v>
      </c>
      <c r="G58" s="24" t="s">
        <v>254</v>
      </c>
      <c r="H58" s="24" t="s">
        <v>255</v>
      </c>
      <c r="I58" s="27">
        <f>VLOOKUP(H58,'(참고)PJT목록'!A:D,4,0)</f>
        <v>45292</v>
      </c>
      <c r="J58" s="27">
        <f>VLOOKUP(H58,'(참고)PJT목록'!A:E,5,0)</f>
        <v>45657</v>
      </c>
      <c r="K58" s="1051"/>
      <c r="L58" s="1051"/>
      <c r="M58" s="34">
        <v>2670000</v>
      </c>
      <c r="N58" s="1051"/>
      <c r="O58" s="1051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3"/>
      <c r="EP58" s="23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3"/>
      <c r="FD58" s="23"/>
      <c r="FE58" s="23"/>
      <c r="FF58" s="23"/>
      <c r="FG58" s="23"/>
      <c r="FH58" s="23"/>
      <c r="FI58" s="23"/>
      <c r="FJ58" s="23"/>
      <c r="FK58" s="23"/>
      <c r="FL58" s="23"/>
      <c r="FM58" s="23"/>
      <c r="FN58" s="23"/>
      <c r="FO58" s="23"/>
      <c r="FP58" s="23"/>
      <c r="FQ58" s="23"/>
      <c r="FR58" s="23"/>
      <c r="FS58" s="23"/>
      <c r="FT58" s="23"/>
      <c r="FU58" s="23"/>
      <c r="FV58" s="23"/>
      <c r="FW58" s="23"/>
      <c r="FX58" s="23"/>
      <c r="FY58" s="23"/>
      <c r="FZ58" s="23"/>
      <c r="GA58" s="23"/>
      <c r="GB58" s="23"/>
      <c r="GC58" s="23"/>
      <c r="GD58" s="23"/>
      <c r="GE58" s="23"/>
      <c r="GF58" s="23"/>
      <c r="GG58" s="23"/>
      <c r="GH58" s="23"/>
      <c r="GI58" s="23"/>
      <c r="GJ58" s="23"/>
      <c r="GK58" s="23"/>
      <c r="GL58" s="23"/>
    </row>
    <row r="59" spans="1:194" ht="21.75" customHeight="1">
      <c r="A59" s="1143"/>
      <c r="B59" s="1051"/>
      <c r="C59" s="1051"/>
      <c r="D59" s="1095"/>
      <c r="E59" s="1051"/>
      <c r="F59" s="24" t="s">
        <v>79</v>
      </c>
      <c r="G59" s="24" t="s">
        <v>197</v>
      </c>
      <c r="H59" s="24" t="s">
        <v>256</v>
      </c>
      <c r="I59" s="27">
        <f>VLOOKUP(H59,'(참고)PJT목록'!A:D,4,0)</f>
        <v>45292</v>
      </c>
      <c r="J59" s="27">
        <f>VLOOKUP(H59,'(참고)PJT목록'!A:E,5,0)</f>
        <v>45657</v>
      </c>
      <c r="K59" s="1051"/>
      <c r="L59" s="1051"/>
      <c r="M59" s="34">
        <v>300000</v>
      </c>
      <c r="N59" s="1051"/>
      <c r="O59" s="1051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  <c r="DN59" s="23"/>
      <c r="DO59" s="23"/>
      <c r="DP59" s="23"/>
      <c r="DQ59" s="23"/>
      <c r="DR59" s="23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3"/>
      <c r="EF59" s="23"/>
      <c r="EG59" s="23"/>
      <c r="EH59" s="23"/>
      <c r="EI59" s="23"/>
      <c r="EJ59" s="23"/>
      <c r="EK59" s="23"/>
      <c r="EL59" s="23"/>
      <c r="EM59" s="23"/>
      <c r="EN59" s="23"/>
      <c r="EO59" s="23"/>
      <c r="EP59" s="23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3"/>
      <c r="FD59" s="23"/>
      <c r="FE59" s="23"/>
      <c r="FF59" s="23"/>
      <c r="FG59" s="23"/>
      <c r="FH59" s="23"/>
      <c r="FI59" s="23"/>
      <c r="FJ59" s="23"/>
      <c r="FK59" s="23"/>
      <c r="FL59" s="23"/>
      <c r="FM59" s="23"/>
      <c r="FN59" s="23"/>
      <c r="FO59" s="23"/>
      <c r="FP59" s="23"/>
      <c r="FQ59" s="23"/>
      <c r="FR59" s="23"/>
      <c r="FS59" s="23"/>
      <c r="FT59" s="23"/>
      <c r="FU59" s="23"/>
      <c r="FV59" s="23"/>
      <c r="FW59" s="23"/>
      <c r="FX59" s="23"/>
      <c r="FY59" s="23"/>
      <c r="FZ59" s="23"/>
      <c r="GA59" s="23"/>
      <c r="GB59" s="23"/>
      <c r="GC59" s="23"/>
      <c r="GD59" s="23"/>
      <c r="GE59" s="23"/>
      <c r="GF59" s="23"/>
      <c r="GG59" s="23"/>
      <c r="GH59" s="23"/>
      <c r="GI59" s="23"/>
      <c r="GJ59" s="23"/>
      <c r="GK59" s="23"/>
      <c r="GL59" s="23"/>
    </row>
    <row r="60" spans="1:194" ht="21.75" customHeight="1">
      <c r="A60" s="1143"/>
      <c r="B60" s="1052"/>
      <c r="C60" s="1052"/>
      <c r="D60" s="1096"/>
      <c r="E60" s="1052"/>
      <c r="F60" s="11"/>
      <c r="G60" s="11"/>
      <c r="H60" s="10"/>
      <c r="I60" s="10"/>
      <c r="J60" s="27"/>
      <c r="K60" s="1052"/>
      <c r="L60" s="1052"/>
      <c r="M60" s="34">
        <f>SUM(M56:M59)</f>
        <v>20164768</v>
      </c>
      <c r="N60" s="1052"/>
      <c r="O60" s="1052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N60" s="23"/>
      <c r="EO60" s="23"/>
      <c r="EP60" s="23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  <c r="FL60" s="23"/>
      <c r="FM60" s="23"/>
      <c r="FN60" s="23"/>
      <c r="FO60" s="23"/>
      <c r="FP60" s="23"/>
      <c r="FQ60" s="23"/>
      <c r="FR60" s="23"/>
      <c r="FS60" s="23"/>
      <c r="FT60" s="23"/>
      <c r="FU60" s="23"/>
      <c r="FV60" s="23"/>
      <c r="FW60" s="23"/>
      <c r="FX60" s="23"/>
      <c r="FY60" s="23"/>
      <c r="FZ60" s="23"/>
      <c r="GA60" s="23"/>
      <c r="GB60" s="23"/>
      <c r="GC60" s="23"/>
      <c r="GD60" s="23"/>
      <c r="GE60" s="23"/>
      <c r="GF60" s="23"/>
      <c r="GG60" s="23"/>
      <c r="GH60" s="23"/>
      <c r="GI60" s="23"/>
      <c r="GJ60" s="23"/>
      <c r="GK60" s="23"/>
      <c r="GL60" s="23"/>
    </row>
    <row r="61" spans="1:194" ht="13">
      <c r="A61" s="1135"/>
      <c r="B61" s="1139" t="s">
        <v>257</v>
      </c>
      <c r="C61" s="1059" t="s">
        <v>142</v>
      </c>
      <c r="D61" s="24"/>
      <c r="E61" s="1050" t="s">
        <v>1022</v>
      </c>
      <c r="F61" s="24" t="s">
        <v>86</v>
      </c>
      <c r="G61" s="24" t="s">
        <v>259</v>
      </c>
      <c r="H61" s="24" t="s">
        <v>106</v>
      </c>
      <c r="I61" s="27">
        <v>44562</v>
      </c>
      <c r="J61" s="27">
        <v>46387</v>
      </c>
      <c r="K61" s="1079" t="s">
        <v>1023</v>
      </c>
      <c r="L61" s="1058"/>
      <c r="M61" s="464">
        <v>1650000</v>
      </c>
      <c r="N61" s="81" t="s">
        <v>1024</v>
      </c>
      <c r="O61" s="11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P61" s="23"/>
      <c r="DQ61" s="23"/>
      <c r="DR61" s="23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N61" s="23"/>
      <c r="EO61" s="23"/>
      <c r="EP61" s="23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  <c r="FL61" s="23"/>
      <c r="FM61" s="23"/>
      <c r="FN61" s="23"/>
      <c r="FO61" s="23"/>
      <c r="FP61" s="23"/>
      <c r="FQ61" s="23"/>
      <c r="FR61" s="23"/>
      <c r="FS61" s="23"/>
      <c r="FT61" s="23"/>
      <c r="FU61" s="23"/>
      <c r="FV61" s="23"/>
      <c r="FW61" s="23"/>
      <c r="FX61" s="23"/>
      <c r="FY61" s="23"/>
      <c r="FZ61" s="23"/>
      <c r="GA61" s="23"/>
      <c r="GB61" s="23"/>
      <c r="GC61" s="23"/>
      <c r="GD61" s="23"/>
      <c r="GE61" s="23"/>
      <c r="GF61" s="23"/>
      <c r="GG61" s="23"/>
      <c r="GH61" s="23"/>
      <c r="GI61" s="23"/>
      <c r="GJ61" s="23"/>
      <c r="GK61" s="23"/>
      <c r="GL61" s="23"/>
    </row>
    <row r="62" spans="1:194" ht="13">
      <c r="A62" s="1106"/>
      <c r="B62" s="1051"/>
      <c r="C62" s="1051"/>
      <c r="D62" s="24" t="s">
        <v>1025</v>
      </c>
      <c r="E62" s="1051"/>
      <c r="F62" s="24" t="s">
        <v>260</v>
      </c>
      <c r="G62" s="24" t="s">
        <v>261</v>
      </c>
      <c r="H62" s="24" t="s">
        <v>262</v>
      </c>
      <c r="I62" s="27">
        <f>VLOOKUP(H62,'(참고)PJT목록'!A:D,4,0)</f>
        <v>44682</v>
      </c>
      <c r="J62" s="27">
        <f>VLOOKUP(H62,'(참고)PJT목록'!A:E,5,0)</f>
        <v>46507</v>
      </c>
      <c r="K62" s="1051"/>
      <c r="L62" s="1051"/>
      <c r="M62" s="464">
        <v>9620000</v>
      </c>
      <c r="N62" s="81" t="s">
        <v>1026</v>
      </c>
      <c r="O62" s="11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23"/>
      <c r="EN62" s="23"/>
      <c r="EO62" s="23"/>
      <c r="EP62" s="23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3"/>
      <c r="FD62" s="23"/>
      <c r="FE62" s="23"/>
      <c r="FF62" s="23"/>
      <c r="FG62" s="23"/>
      <c r="FH62" s="23"/>
      <c r="FI62" s="23"/>
      <c r="FJ62" s="23"/>
      <c r="FK62" s="23"/>
      <c r="FL62" s="23"/>
      <c r="FM62" s="23"/>
      <c r="FN62" s="23"/>
      <c r="FO62" s="23"/>
      <c r="FP62" s="23"/>
      <c r="FQ62" s="23"/>
      <c r="FR62" s="23"/>
      <c r="FS62" s="23"/>
      <c r="FT62" s="23"/>
      <c r="FU62" s="23"/>
      <c r="FV62" s="23"/>
      <c r="FW62" s="23"/>
      <c r="FX62" s="23"/>
      <c r="FY62" s="23"/>
      <c r="FZ62" s="23"/>
      <c r="GA62" s="23"/>
      <c r="GB62" s="23"/>
      <c r="GC62" s="23"/>
      <c r="GD62" s="23"/>
      <c r="GE62" s="23"/>
      <c r="GF62" s="23"/>
      <c r="GG62" s="23"/>
      <c r="GH62" s="23"/>
      <c r="GI62" s="23"/>
      <c r="GJ62" s="23"/>
      <c r="GK62" s="23"/>
      <c r="GL62" s="23"/>
    </row>
    <row r="63" spans="1:194" ht="13">
      <c r="A63" s="1106"/>
      <c r="B63" s="1051"/>
      <c r="C63" s="1051"/>
      <c r="D63" s="24" t="s">
        <v>1027</v>
      </c>
      <c r="E63" s="1051"/>
      <c r="F63" s="24" t="s">
        <v>79</v>
      </c>
      <c r="G63" s="24" t="s">
        <v>153</v>
      </c>
      <c r="H63" s="24" t="s">
        <v>263</v>
      </c>
      <c r="I63" s="27">
        <f>VLOOKUP(H63,'(참고)PJT목록'!A:D,4,0)</f>
        <v>44743</v>
      </c>
      <c r="J63" s="27">
        <f>VLOOKUP(H63,'(참고)PJT목록'!A:E,5,0)</f>
        <v>45838</v>
      </c>
      <c r="K63" s="1051"/>
      <c r="L63" s="1051"/>
      <c r="M63" s="464">
        <v>20577500</v>
      </c>
      <c r="N63" s="81" t="s">
        <v>1028</v>
      </c>
      <c r="O63" s="11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  <c r="DN63" s="23"/>
      <c r="DO63" s="23"/>
      <c r="DP63" s="23"/>
      <c r="DQ63" s="23"/>
      <c r="DR63" s="23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3"/>
      <c r="EF63" s="23"/>
      <c r="EG63" s="23"/>
      <c r="EH63" s="23"/>
      <c r="EI63" s="23"/>
      <c r="EJ63" s="23"/>
      <c r="EK63" s="23"/>
      <c r="EL63" s="23"/>
      <c r="EM63" s="23"/>
      <c r="EN63" s="23"/>
      <c r="EO63" s="23"/>
      <c r="EP63" s="23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3"/>
      <c r="FD63" s="23"/>
      <c r="FE63" s="23"/>
      <c r="FF63" s="23"/>
      <c r="FG63" s="23"/>
      <c r="FH63" s="23"/>
      <c r="FI63" s="23"/>
      <c r="FJ63" s="23"/>
      <c r="FK63" s="23"/>
      <c r="FL63" s="23"/>
      <c r="FM63" s="23"/>
      <c r="FN63" s="23"/>
      <c r="FO63" s="23"/>
      <c r="FP63" s="23"/>
      <c r="FQ63" s="23"/>
      <c r="FR63" s="23"/>
      <c r="FS63" s="23"/>
      <c r="FT63" s="23"/>
      <c r="FU63" s="23"/>
      <c r="FV63" s="23"/>
      <c r="FW63" s="23"/>
      <c r="FX63" s="23"/>
      <c r="FY63" s="23"/>
      <c r="FZ63" s="23"/>
      <c r="GA63" s="23"/>
      <c r="GB63" s="23"/>
      <c r="GC63" s="23"/>
      <c r="GD63" s="23"/>
      <c r="GE63" s="23"/>
      <c r="GF63" s="23"/>
      <c r="GG63" s="23"/>
      <c r="GH63" s="23"/>
      <c r="GI63" s="23"/>
      <c r="GJ63" s="23"/>
      <c r="GK63" s="23"/>
      <c r="GL63" s="23"/>
    </row>
    <row r="64" spans="1:194" ht="13">
      <c r="A64" s="1106"/>
      <c r="B64" s="1051"/>
      <c r="C64" s="1051"/>
      <c r="D64" s="24" t="s">
        <v>1029</v>
      </c>
      <c r="E64" s="1051"/>
      <c r="F64" s="24" t="s">
        <v>79</v>
      </c>
      <c r="G64" s="24" t="s">
        <v>228</v>
      </c>
      <c r="H64" s="24" t="s">
        <v>264</v>
      </c>
      <c r="I64" s="27">
        <f>VLOOKUP(H64,'(참고)PJT목록'!A:D,4,0)</f>
        <v>44743</v>
      </c>
      <c r="J64" s="27">
        <f>VLOOKUP(H64,'(참고)PJT목록'!A:E,5,0)</f>
        <v>45838</v>
      </c>
      <c r="K64" s="1051"/>
      <c r="L64" s="1051"/>
      <c r="M64" s="464">
        <v>428000</v>
      </c>
      <c r="N64" s="81" t="s">
        <v>1030</v>
      </c>
      <c r="O64" s="11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3"/>
      <c r="EO64" s="23"/>
      <c r="EP64" s="23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3"/>
      <c r="FD64" s="23"/>
      <c r="FE64" s="23"/>
      <c r="FF64" s="23"/>
      <c r="FG64" s="23"/>
      <c r="FH64" s="23"/>
      <c r="FI64" s="23"/>
      <c r="FJ64" s="23"/>
      <c r="FK64" s="23"/>
      <c r="FL64" s="23"/>
      <c r="FM64" s="23"/>
      <c r="FN64" s="23"/>
      <c r="FO64" s="23"/>
      <c r="FP64" s="23"/>
      <c r="FQ64" s="23"/>
      <c r="FR64" s="23"/>
      <c r="FS64" s="23"/>
      <c r="FT64" s="23"/>
      <c r="FU64" s="23"/>
      <c r="FV64" s="23"/>
      <c r="FW64" s="23"/>
      <c r="FX64" s="23"/>
      <c r="FY64" s="23"/>
      <c r="FZ64" s="23"/>
      <c r="GA64" s="23"/>
      <c r="GB64" s="23"/>
      <c r="GC64" s="23"/>
      <c r="GD64" s="23"/>
      <c r="GE64" s="23"/>
      <c r="GF64" s="23"/>
      <c r="GG64" s="23"/>
      <c r="GH64" s="23"/>
      <c r="GI64" s="23"/>
      <c r="GJ64" s="23"/>
      <c r="GK64" s="23"/>
      <c r="GL64" s="23"/>
    </row>
    <row r="65" spans="1:194" ht="13">
      <c r="A65" s="1106"/>
      <c r="B65" s="1051"/>
      <c r="C65" s="1051"/>
      <c r="D65" s="24" t="s">
        <v>1029</v>
      </c>
      <c r="E65" s="1051"/>
      <c r="F65" s="24" t="s">
        <v>79</v>
      </c>
      <c r="G65" s="24" t="s">
        <v>265</v>
      </c>
      <c r="H65" s="24" t="s">
        <v>266</v>
      </c>
      <c r="I65" s="27">
        <f>VLOOKUP(H65,'(참고)PJT목록'!A:D,4,0)</f>
        <v>45292</v>
      </c>
      <c r="J65" s="27">
        <f>VLOOKUP(H65,'(참고)PJT목록'!A:E,5,0)</f>
        <v>47483</v>
      </c>
      <c r="K65" s="1051"/>
      <c r="L65" s="1051"/>
      <c r="M65" s="464">
        <v>19245500</v>
      </c>
      <c r="N65" s="81" t="s">
        <v>1031</v>
      </c>
      <c r="O65" s="11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  <c r="DL65" s="23"/>
      <c r="DM65" s="23"/>
      <c r="DN65" s="23"/>
      <c r="DO65" s="23"/>
      <c r="DP65" s="23"/>
      <c r="DQ65" s="23"/>
      <c r="DR65" s="23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3"/>
      <c r="EF65" s="23"/>
      <c r="EG65" s="23"/>
      <c r="EH65" s="23"/>
      <c r="EI65" s="23"/>
      <c r="EJ65" s="23"/>
      <c r="EK65" s="23"/>
      <c r="EL65" s="23"/>
      <c r="EM65" s="23"/>
      <c r="EN65" s="23"/>
      <c r="EO65" s="23"/>
      <c r="EP65" s="23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3"/>
      <c r="FD65" s="23"/>
      <c r="FE65" s="23"/>
      <c r="FF65" s="23"/>
      <c r="FG65" s="23"/>
      <c r="FH65" s="23"/>
      <c r="FI65" s="23"/>
      <c r="FJ65" s="23"/>
      <c r="FK65" s="23"/>
      <c r="FL65" s="23"/>
      <c r="FM65" s="23"/>
      <c r="FN65" s="23"/>
      <c r="FO65" s="23"/>
      <c r="FP65" s="23"/>
      <c r="FQ65" s="23"/>
      <c r="FR65" s="23"/>
      <c r="FS65" s="23"/>
      <c r="FT65" s="23"/>
      <c r="FU65" s="23"/>
      <c r="FV65" s="23"/>
      <c r="FW65" s="23"/>
      <c r="FX65" s="23"/>
      <c r="FY65" s="23"/>
      <c r="FZ65" s="23"/>
      <c r="GA65" s="23"/>
      <c r="GB65" s="23"/>
      <c r="GC65" s="23"/>
      <c r="GD65" s="23"/>
      <c r="GE65" s="23"/>
      <c r="GF65" s="23"/>
      <c r="GG65" s="23"/>
      <c r="GH65" s="23"/>
      <c r="GI65" s="23"/>
      <c r="GJ65" s="23"/>
      <c r="GK65" s="23"/>
      <c r="GL65" s="23"/>
    </row>
    <row r="66" spans="1:194" ht="23.25" customHeight="1">
      <c r="A66" s="1106"/>
      <c r="B66" s="1052"/>
      <c r="C66" s="1052"/>
      <c r="D66" s="24" t="s">
        <v>1032</v>
      </c>
      <c r="E66" s="1052"/>
      <c r="F66" s="11"/>
      <c r="G66" s="11"/>
      <c r="H66" s="10"/>
      <c r="I66" s="10"/>
      <c r="J66" s="27"/>
      <c r="K66" s="1052"/>
      <c r="L66" s="1052"/>
      <c r="M66" s="423">
        <f>SUM(M61:M65)</f>
        <v>51521000</v>
      </c>
      <c r="N66" s="11"/>
      <c r="O66" s="11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23"/>
      <c r="EN66" s="23"/>
      <c r="EO66" s="23"/>
      <c r="EP66" s="23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3"/>
      <c r="FD66" s="23"/>
      <c r="FE66" s="23"/>
      <c r="FF66" s="23"/>
      <c r="FG66" s="23"/>
      <c r="FH66" s="23"/>
      <c r="FI66" s="23"/>
      <c r="FJ66" s="23"/>
      <c r="FK66" s="23"/>
      <c r="FL66" s="23"/>
      <c r="FM66" s="23"/>
      <c r="FN66" s="23"/>
      <c r="FO66" s="23"/>
      <c r="FP66" s="23"/>
      <c r="FQ66" s="23"/>
      <c r="FR66" s="23"/>
      <c r="FS66" s="23"/>
      <c r="FT66" s="23"/>
      <c r="FU66" s="23"/>
      <c r="FV66" s="23"/>
      <c r="FW66" s="23"/>
      <c r="FX66" s="23"/>
      <c r="FY66" s="23"/>
      <c r="FZ66" s="23"/>
      <c r="GA66" s="23"/>
      <c r="GB66" s="23"/>
      <c r="GC66" s="23"/>
      <c r="GD66" s="23"/>
      <c r="GE66" s="23"/>
      <c r="GF66" s="23"/>
      <c r="GG66" s="23"/>
      <c r="GH66" s="23"/>
      <c r="GI66" s="23"/>
      <c r="GJ66" s="23"/>
      <c r="GK66" s="23"/>
      <c r="GL66" s="23"/>
    </row>
    <row r="67" spans="1:194" ht="23.25" customHeight="1">
      <c r="A67" s="1135"/>
      <c r="B67" s="1139" t="s">
        <v>257</v>
      </c>
      <c r="C67" s="1059" t="s">
        <v>142</v>
      </c>
      <c r="D67" s="24" t="s">
        <v>1029</v>
      </c>
      <c r="E67" s="1050" t="s">
        <v>1033</v>
      </c>
      <c r="F67" s="10" t="s">
        <v>79</v>
      </c>
      <c r="G67" s="24" t="s">
        <v>153</v>
      </c>
      <c r="H67" s="10" t="s">
        <v>263</v>
      </c>
      <c r="I67" s="27">
        <f>VLOOKUP(H67,'(참고)PJT목록'!A:D,4,0)</f>
        <v>44743</v>
      </c>
      <c r="J67" s="27">
        <f>VLOOKUP(H67,'(참고)PJT목록'!A:E,5,0)</f>
        <v>45838</v>
      </c>
      <c r="K67" s="1079" t="s">
        <v>1034</v>
      </c>
      <c r="L67" s="1058"/>
      <c r="M67" s="464">
        <v>2167000</v>
      </c>
      <c r="N67" s="81" t="s">
        <v>1035</v>
      </c>
      <c r="O67" s="11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  <c r="DL67" s="23"/>
      <c r="DM67" s="23"/>
      <c r="DN67" s="23"/>
      <c r="DO67" s="23"/>
      <c r="DP67" s="23"/>
      <c r="DQ67" s="23"/>
      <c r="DR67" s="23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3"/>
      <c r="EF67" s="23"/>
      <c r="EG67" s="23"/>
      <c r="EH67" s="23"/>
      <c r="EI67" s="23"/>
      <c r="EJ67" s="23"/>
      <c r="EK67" s="23"/>
      <c r="EL67" s="23"/>
      <c r="EM67" s="23"/>
      <c r="EN67" s="23"/>
      <c r="EO67" s="23"/>
      <c r="EP67" s="23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3"/>
      <c r="FD67" s="23"/>
      <c r="FE67" s="23"/>
      <c r="FF67" s="23"/>
      <c r="FG67" s="23"/>
      <c r="FH67" s="23"/>
      <c r="FI67" s="23"/>
      <c r="FJ67" s="23"/>
      <c r="FK67" s="23"/>
      <c r="FL67" s="23"/>
      <c r="FM67" s="23"/>
      <c r="FN67" s="23"/>
      <c r="FO67" s="23"/>
      <c r="FP67" s="23"/>
      <c r="FQ67" s="23"/>
      <c r="FR67" s="23"/>
      <c r="FS67" s="23"/>
      <c r="FT67" s="23"/>
      <c r="FU67" s="23"/>
      <c r="FV67" s="23"/>
      <c r="FW67" s="23"/>
      <c r="FX67" s="23"/>
      <c r="FY67" s="23"/>
      <c r="FZ67" s="23"/>
      <c r="GA67" s="23"/>
      <c r="GB67" s="23"/>
      <c r="GC67" s="23"/>
      <c r="GD67" s="23"/>
      <c r="GE67" s="23"/>
      <c r="GF67" s="23"/>
      <c r="GG67" s="23"/>
      <c r="GH67" s="23"/>
      <c r="GI67" s="23"/>
      <c r="GJ67" s="23"/>
      <c r="GK67" s="23"/>
      <c r="GL67" s="23"/>
    </row>
    <row r="68" spans="1:194" ht="23.25" customHeight="1">
      <c r="A68" s="1106"/>
      <c r="B68" s="1051"/>
      <c r="C68" s="1051"/>
      <c r="D68" s="24" t="s">
        <v>1036</v>
      </c>
      <c r="E68" s="1051"/>
      <c r="F68" s="10" t="s">
        <v>138</v>
      </c>
      <c r="G68" s="24" t="s">
        <v>173</v>
      </c>
      <c r="H68" s="10" t="s">
        <v>175</v>
      </c>
      <c r="I68" s="27">
        <f>VLOOKUP(H68,'(참고)PJT목록'!A:D,4,0)</f>
        <v>44927</v>
      </c>
      <c r="J68" s="27">
        <f>VLOOKUP(H68,'(참고)PJT목록'!A:E,5,0)</f>
        <v>46022</v>
      </c>
      <c r="K68" s="1051"/>
      <c r="L68" s="1051"/>
      <c r="M68" s="464">
        <v>495000</v>
      </c>
      <c r="N68" s="81" t="s">
        <v>1037</v>
      </c>
      <c r="O68" s="11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P68" s="23"/>
      <c r="DQ68" s="23"/>
      <c r="DR68" s="23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N68" s="23"/>
      <c r="EO68" s="23"/>
      <c r="EP68" s="23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  <c r="FL68" s="23"/>
      <c r="FM68" s="23"/>
      <c r="FN68" s="23"/>
      <c r="FO68" s="23"/>
      <c r="FP68" s="23"/>
      <c r="FQ68" s="23"/>
      <c r="FR68" s="23"/>
      <c r="FS68" s="23"/>
      <c r="FT68" s="23"/>
      <c r="FU68" s="23"/>
      <c r="FV68" s="23"/>
      <c r="FW68" s="23"/>
      <c r="FX68" s="23"/>
      <c r="FY68" s="23"/>
      <c r="FZ68" s="23"/>
      <c r="GA68" s="23"/>
      <c r="GB68" s="23"/>
      <c r="GC68" s="23"/>
      <c r="GD68" s="23"/>
      <c r="GE68" s="23"/>
      <c r="GF68" s="23"/>
      <c r="GG68" s="23"/>
      <c r="GH68" s="23"/>
      <c r="GI68" s="23"/>
      <c r="GJ68" s="23"/>
      <c r="GK68" s="23"/>
      <c r="GL68" s="23"/>
    </row>
    <row r="69" spans="1:194" ht="23.25" customHeight="1">
      <c r="A69" s="1106"/>
      <c r="B69" s="1051"/>
      <c r="C69" s="1051"/>
      <c r="D69" s="24"/>
      <c r="E69" s="1051"/>
      <c r="F69" s="10" t="s">
        <v>138</v>
      </c>
      <c r="G69" s="101" t="s">
        <v>201</v>
      </c>
      <c r="H69" s="10" t="s">
        <v>268</v>
      </c>
      <c r="I69" s="27">
        <f>VLOOKUP(H69,'(참고)PJT목록'!A:D,4,0)</f>
        <v>44866</v>
      </c>
      <c r="J69" s="27">
        <f>VLOOKUP(H69,'(참고)PJT목록'!A:E,5,0)</f>
        <v>46295</v>
      </c>
      <c r="K69" s="1051"/>
      <c r="L69" s="1051"/>
      <c r="M69" s="464">
        <v>3376800</v>
      </c>
      <c r="N69" s="81"/>
      <c r="O69" s="11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P69" s="23"/>
      <c r="DQ69" s="23"/>
      <c r="DR69" s="23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N69" s="23"/>
      <c r="EO69" s="23"/>
      <c r="EP69" s="23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  <c r="FL69" s="23"/>
      <c r="FM69" s="23"/>
      <c r="FN69" s="23"/>
      <c r="FO69" s="23"/>
      <c r="FP69" s="23"/>
      <c r="FQ69" s="23"/>
      <c r="FR69" s="23"/>
      <c r="FS69" s="23"/>
      <c r="FT69" s="23"/>
      <c r="FU69" s="23"/>
      <c r="FV69" s="23"/>
      <c r="FW69" s="23"/>
      <c r="FX69" s="23"/>
      <c r="FY69" s="23"/>
      <c r="FZ69" s="23"/>
      <c r="GA69" s="23"/>
      <c r="GB69" s="23"/>
      <c r="GC69" s="23"/>
      <c r="GD69" s="23"/>
      <c r="GE69" s="23"/>
      <c r="GF69" s="23"/>
      <c r="GG69" s="23"/>
      <c r="GH69" s="23"/>
      <c r="GI69" s="23"/>
      <c r="GJ69" s="23"/>
      <c r="GK69" s="23"/>
      <c r="GL69" s="23"/>
    </row>
    <row r="70" spans="1:194" ht="23.25" customHeight="1">
      <c r="A70" s="1106"/>
      <c r="B70" s="1051"/>
      <c r="C70" s="1051"/>
      <c r="D70" s="24"/>
      <c r="E70" s="1051"/>
      <c r="F70" s="10" t="s">
        <v>79</v>
      </c>
      <c r="G70" s="101" t="s">
        <v>201</v>
      </c>
      <c r="H70" s="10" t="s">
        <v>269</v>
      </c>
      <c r="I70" s="27">
        <f>VLOOKUP(H70,'(참고)PJT목록'!A:D,4,0)</f>
        <v>44866</v>
      </c>
      <c r="J70" s="27">
        <f>VLOOKUP(H70,'(참고)PJT목록'!A:E,5,0)</f>
        <v>46295</v>
      </c>
      <c r="K70" s="1051"/>
      <c r="L70" s="1051"/>
      <c r="M70" s="464">
        <v>700000</v>
      </c>
      <c r="N70" s="475"/>
      <c r="O70" s="11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23"/>
      <c r="DO70" s="23"/>
      <c r="DP70" s="23"/>
      <c r="DQ70" s="23"/>
      <c r="DR70" s="23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  <c r="EF70" s="23"/>
      <c r="EG70" s="23"/>
      <c r="EH70" s="23"/>
      <c r="EI70" s="23"/>
      <c r="EJ70" s="23"/>
      <c r="EK70" s="23"/>
      <c r="EL70" s="23"/>
      <c r="EM70" s="23"/>
      <c r="EN70" s="23"/>
      <c r="EO70" s="23"/>
      <c r="EP70" s="23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3"/>
      <c r="FD70" s="23"/>
      <c r="FE70" s="23"/>
      <c r="FF70" s="23"/>
      <c r="FG70" s="23"/>
      <c r="FH70" s="23"/>
      <c r="FI70" s="23"/>
      <c r="FJ70" s="23"/>
      <c r="FK70" s="23"/>
      <c r="FL70" s="23"/>
      <c r="FM70" s="23"/>
      <c r="FN70" s="23"/>
      <c r="FO70" s="23"/>
      <c r="FP70" s="23"/>
      <c r="FQ70" s="23"/>
      <c r="FR70" s="23"/>
      <c r="FS70" s="23"/>
      <c r="FT70" s="23"/>
      <c r="FU70" s="23"/>
      <c r="FV70" s="23"/>
      <c r="FW70" s="23"/>
      <c r="FX70" s="23"/>
      <c r="FY70" s="23"/>
      <c r="FZ70" s="23"/>
      <c r="GA70" s="23"/>
      <c r="GB70" s="23"/>
      <c r="GC70" s="23"/>
      <c r="GD70" s="23"/>
      <c r="GE70" s="23"/>
      <c r="GF70" s="23"/>
      <c r="GG70" s="23"/>
      <c r="GH70" s="23"/>
      <c r="GI70" s="23"/>
      <c r="GJ70" s="23"/>
      <c r="GK70" s="23"/>
      <c r="GL70" s="23"/>
    </row>
    <row r="71" spans="1:194" ht="23.25" customHeight="1">
      <c r="A71" s="1106"/>
      <c r="B71" s="1052"/>
      <c r="C71" s="1052"/>
      <c r="D71" s="24"/>
      <c r="E71" s="1052"/>
      <c r="F71" s="10"/>
      <c r="G71" s="11"/>
      <c r="H71" s="10"/>
      <c r="I71" s="10"/>
      <c r="J71" s="27"/>
      <c r="K71" s="1052"/>
      <c r="L71" s="1052"/>
      <c r="M71" s="423">
        <f>SUM(M67:M70)</f>
        <v>6738800</v>
      </c>
      <c r="N71" s="11"/>
      <c r="O71" s="11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P71" s="23"/>
      <c r="DQ71" s="23"/>
      <c r="DR71" s="23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N71" s="23"/>
      <c r="EO71" s="23"/>
      <c r="EP71" s="23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  <c r="FL71" s="23"/>
      <c r="FM71" s="23"/>
      <c r="FN71" s="23"/>
      <c r="FO71" s="23"/>
      <c r="FP71" s="23"/>
      <c r="FQ71" s="23"/>
      <c r="FR71" s="23"/>
      <c r="FS71" s="23"/>
      <c r="FT71" s="23"/>
      <c r="FU71" s="23"/>
      <c r="FV71" s="23"/>
      <c r="FW71" s="23"/>
      <c r="FX71" s="23"/>
      <c r="FY71" s="23"/>
      <c r="FZ71" s="23"/>
      <c r="GA71" s="23"/>
      <c r="GB71" s="23"/>
      <c r="GC71" s="23"/>
      <c r="GD71" s="23"/>
      <c r="GE71" s="23"/>
      <c r="GF71" s="23"/>
      <c r="GG71" s="23"/>
      <c r="GH71" s="23"/>
      <c r="GI71" s="23"/>
      <c r="GJ71" s="23"/>
      <c r="GK71" s="23"/>
      <c r="GL71" s="23"/>
    </row>
    <row r="72" spans="1:194" ht="23.25" customHeight="1">
      <c r="A72" s="23"/>
      <c r="B72" s="1139" t="s">
        <v>257</v>
      </c>
      <c r="C72" s="1059" t="s">
        <v>142</v>
      </c>
      <c r="D72" s="24" t="s">
        <v>1027</v>
      </c>
      <c r="E72" s="1050" t="s">
        <v>1038</v>
      </c>
      <c r="F72" s="10" t="s">
        <v>248</v>
      </c>
      <c r="G72" s="24" t="s">
        <v>271</v>
      </c>
      <c r="H72" s="10" t="s">
        <v>272</v>
      </c>
      <c r="I72" s="27">
        <f>VLOOKUP(H72,'(참고)PJT목록'!A:D,4,0)</f>
        <v>45292</v>
      </c>
      <c r="J72" s="27">
        <f>VLOOKUP(H72,'(참고)PJT목록'!A:E,5,0)</f>
        <v>45657</v>
      </c>
      <c r="K72" s="1079" t="s">
        <v>1039</v>
      </c>
      <c r="L72" s="1058"/>
      <c r="M72" s="476">
        <v>21215000</v>
      </c>
      <c r="N72" s="26" t="s">
        <v>1035</v>
      </c>
      <c r="O72" s="11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  <c r="DL72" s="23"/>
      <c r="DM72" s="23"/>
      <c r="DN72" s="23"/>
      <c r="DO72" s="23"/>
      <c r="DP72" s="23"/>
      <c r="DQ72" s="23"/>
      <c r="DR72" s="23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  <c r="EF72" s="23"/>
      <c r="EG72" s="23"/>
      <c r="EH72" s="23"/>
      <c r="EI72" s="23"/>
      <c r="EJ72" s="23"/>
      <c r="EK72" s="23"/>
      <c r="EL72" s="23"/>
      <c r="EM72" s="23"/>
      <c r="EN72" s="23"/>
      <c r="EO72" s="23"/>
      <c r="EP72" s="23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3"/>
      <c r="FD72" s="23"/>
      <c r="FE72" s="23"/>
      <c r="FF72" s="23"/>
      <c r="FG72" s="23"/>
      <c r="FH72" s="23"/>
      <c r="FI72" s="23"/>
      <c r="FJ72" s="23"/>
      <c r="FK72" s="23"/>
      <c r="FL72" s="23"/>
      <c r="FM72" s="23"/>
      <c r="FN72" s="23"/>
      <c r="FO72" s="23"/>
      <c r="FP72" s="23"/>
      <c r="FQ72" s="23"/>
      <c r="FR72" s="23"/>
      <c r="FS72" s="23"/>
      <c r="FT72" s="23"/>
      <c r="FU72" s="23"/>
      <c r="FV72" s="23"/>
      <c r="FW72" s="23"/>
      <c r="FX72" s="23"/>
      <c r="FY72" s="23"/>
      <c r="FZ72" s="23"/>
      <c r="GA72" s="23"/>
      <c r="GB72" s="23"/>
      <c r="GC72" s="23"/>
      <c r="GD72" s="23"/>
      <c r="GE72" s="23"/>
      <c r="GF72" s="23"/>
      <c r="GG72" s="23"/>
      <c r="GH72" s="23"/>
      <c r="GI72" s="23"/>
      <c r="GJ72" s="23"/>
      <c r="GK72" s="23"/>
      <c r="GL72" s="23"/>
    </row>
    <row r="73" spans="1:194" ht="23.25" customHeight="1">
      <c r="A73" s="23"/>
      <c r="B73" s="1051"/>
      <c r="C73" s="1051"/>
      <c r="D73" s="24" t="s">
        <v>1040</v>
      </c>
      <c r="E73" s="1051"/>
      <c r="F73" s="10" t="s">
        <v>273</v>
      </c>
      <c r="G73" s="24" t="s">
        <v>274</v>
      </c>
      <c r="H73" s="10" t="s">
        <v>275</v>
      </c>
      <c r="I73" s="27">
        <f>VLOOKUP(H73,'(참고)PJT목록'!A:D,4,0)</f>
        <v>45292</v>
      </c>
      <c r="J73" s="27">
        <f>VLOOKUP(H73,'(참고)PJT목록'!A:E,5,0)</f>
        <v>45657</v>
      </c>
      <c r="K73" s="1051"/>
      <c r="L73" s="1051"/>
      <c r="M73" s="476">
        <v>45984000</v>
      </c>
      <c r="N73" s="11"/>
      <c r="O73" s="11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  <c r="DL73" s="23"/>
      <c r="DM73" s="23"/>
      <c r="DN73" s="23"/>
      <c r="DO73" s="23"/>
      <c r="DP73" s="23"/>
      <c r="DQ73" s="23"/>
      <c r="DR73" s="23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  <c r="EF73" s="23"/>
      <c r="EG73" s="23"/>
      <c r="EH73" s="23"/>
      <c r="EI73" s="23"/>
      <c r="EJ73" s="23"/>
      <c r="EK73" s="23"/>
      <c r="EL73" s="23"/>
      <c r="EM73" s="23"/>
      <c r="EN73" s="23"/>
      <c r="EO73" s="23"/>
      <c r="EP73" s="23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3"/>
      <c r="FD73" s="23"/>
      <c r="FE73" s="23"/>
      <c r="FF73" s="23"/>
      <c r="FG73" s="23"/>
      <c r="FH73" s="23"/>
      <c r="FI73" s="23"/>
      <c r="FJ73" s="23"/>
      <c r="FK73" s="23"/>
      <c r="FL73" s="23"/>
      <c r="FM73" s="23"/>
      <c r="FN73" s="23"/>
      <c r="FO73" s="23"/>
      <c r="FP73" s="23"/>
      <c r="FQ73" s="23"/>
      <c r="FR73" s="23"/>
      <c r="FS73" s="23"/>
      <c r="FT73" s="23"/>
      <c r="FU73" s="23"/>
      <c r="FV73" s="23"/>
      <c r="FW73" s="23"/>
      <c r="FX73" s="23"/>
      <c r="FY73" s="23"/>
      <c r="FZ73" s="23"/>
      <c r="GA73" s="23"/>
      <c r="GB73" s="23"/>
      <c r="GC73" s="23"/>
      <c r="GD73" s="23"/>
      <c r="GE73" s="23"/>
      <c r="GF73" s="23"/>
      <c r="GG73" s="23"/>
      <c r="GH73" s="23"/>
      <c r="GI73" s="23"/>
      <c r="GJ73" s="23"/>
      <c r="GK73" s="23"/>
      <c r="GL73" s="23"/>
    </row>
    <row r="74" spans="1:194" ht="23.25" customHeight="1">
      <c r="A74" s="23"/>
      <c r="B74" s="1052"/>
      <c r="C74" s="1052"/>
      <c r="D74" s="24"/>
      <c r="E74" s="1052"/>
      <c r="F74" s="11"/>
      <c r="G74" s="11"/>
      <c r="H74" s="10"/>
      <c r="I74" s="10"/>
      <c r="J74" s="27"/>
      <c r="K74" s="1052"/>
      <c r="L74" s="1052"/>
      <c r="M74" s="423">
        <f>SUM(M72:M73)</f>
        <v>67199000</v>
      </c>
      <c r="N74" s="11"/>
      <c r="O74" s="11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  <c r="DL74" s="23"/>
      <c r="DM74" s="23"/>
      <c r="DN74" s="23"/>
      <c r="DO74" s="23"/>
      <c r="DP74" s="23"/>
      <c r="DQ74" s="23"/>
      <c r="DR74" s="23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  <c r="EF74" s="23"/>
      <c r="EG74" s="23"/>
      <c r="EH74" s="23"/>
      <c r="EI74" s="23"/>
      <c r="EJ74" s="23"/>
      <c r="EK74" s="23"/>
      <c r="EL74" s="23"/>
      <c r="EM74" s="23"/>
      <c r="EN74" s="23"/>
      <c r="EO74" s="23"/>
      <c r="EP74" s="23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3"/>
      <c r="FD74" s="23"/>
      <c r="FE74" s="23"/>
      <c r="FF74" s="23"/>
      <c r="FG74" s="23"/>
      <c r="FH74" s="23"/>
      <c r="FI74" s="23"/>
      <c r="FJ74" s="23"/>
      <c r="FK74" s="23"/>
      <c r="FL74" s="23"/>
      <c r="FM74" s="23"/>
      <c r="FN74" s="23"/>
      <c r="FO74" s="23"/>
      <c r="FP74" s="23"/>
      <c r="FQ74" s="23"/>
      <c r="FR74" s="23"/>
      <c r="FS74" s="23"/>
      <c r="FT74" s="23"/>
      <c r="FU74" s="23"/>
      <c r="FV74" s="23"/>
      <c r="FW74" s="23"/>
      <c r="FX74" s="23"/>
      <c r="FY74" s="23"/>
      <c r="FZ74" s="23"/>
      <c r="GA74" s="23"/>
      <c r="GB74" s="23"/>
      <c r="GC74" s="23"/>
      <c r="GD74" s="23"/>
      <c r="GE74" s="23"/>
      <c r="GF74" s="23"/>
      <c r="GG74" s="23"/>
      <c r="GH74" s="23"/>
      <c r="GI74" s="23"/>
      <c r="GJ74" s="23"/>
      <c r="GK74" s="23"/>
      <c r="GL74" s="23"/>
    </row>
    <row r="75" spans="1:194" ht="13">
      <c r="A75" s="23"/>
      <c r="B75" s="23"/>
      <c r="C75" s="417"/>
      <c r="D75" s="417"/>
      <c r="E75" s="417"/>
      <c r="F75" s="417"/>
      <c r="G75" s="417"/>
      <c r="H75" s="477"/>
      <c r="I75" s="477"/>
      <c r="J75" s="477"/>
      <c r="K75" s="477"/>
      <c r="L75" s="477"/>
      <c r="M75" s="478"/>
      <c r="N75" s="417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  <c r="DL75" s="23"/>
      <c r="DM75" s="23"/>
      <c r="DN75" s="23"/>
      <c r="DO75" s="23"/>
      <c r="DP75" s="23"/>
      <c r="DQ75" s="23"/>
      <c r="DR75" s="2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  <c r="EF75" s="23"/>
      <c r="EG75" s="23"/>
      <c r="EH75" s="23"/>
      <c r="EI75" s="23"/>
      <c r="EJ75" s="23"/>
      <c r="EK75" s="23"/>
      <c r="EL75" s="23"/>
      <c r="EM75" s="23"/>
      <c r="EN75" s="23"/>
      <c r="EO75" s="23"/>
      <c r="EP75" s="2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3"/>
      <c r="FD75" s="23"/>
      <c r="FE75" s="23"/>
      <c r="FF75" s="23"/>
      <c r="FG75" s="23"/>
      <c r="FH75" s="23"/>
      <c r="FI75" s="23"/>
      <c r="FJ75" s="23"/>
      <c r="FK75" s="23"/>
      <c r="FL75" s="23"/>
      <c r="FM75" s="23"/>
      <c r="FN75" s="23"/>
      <c r="FO75" s="23"/>
      <c r="FP75" s="23"/>
      <c r="FQ75" s="23"/>
      <c r="FR75" s="23"/>
      <c r="FS75" s="23"/>
      <c r="FT75" s="23"/>
      <c r="FU75" s="23"/>
      <c r="FV75" s="23"/>
      <c r="FW75" s="23"/>
      <c r="FX75" s="23"/>
      <c r="FY75" s="23"/>
      <c r="FZ75" s="23"/>
      <c r="GA75" s="23"/>
      <c r="GB75" s="23"/>
      <c r="GC75" s="23"/>
      <c r="GD75" s="23"/>
      <c r="GE75" s="23"/>
      <c r="GF75" s="23"/>
      <c r="GG75" s="23"/>
      <c r="GH75" s="23"/>
      <c r="GI75" s="23"/>
      <c r="GJ75" s="23"/>
      <c r="GK75" s="23"/>
      <c r="GL75" s="23"/>
    </row>
    <row r="76" spans="1:194" ht="13">
      <c r="A76" s="23"/>
      <c r="B76" s="23"/>
      <c r="C76" s="417"/>
      <c r="D76" s="417"/>
      <c r="E76" s="417"/>
      <c r="F76" s="479"/>
      <c r="G76" s="480" t="s">
        <v>1041</v>
      </c>
      <c r="H76" s="481" t="s">
        <v>1042</v>
      </c>
      <c r="I76" s="1136" t="s">
        <v>1043</v>
      </c>
      <c r="J76" s="1064"/>
      <c r="K76" s="1065"/>
      <c r="L76" s="479"/>
      <c r="M76" s="482"/>
      <c r="N76" s="479"/>
      <c r="O76" s="479"/>
      <c r="P76" s="479"/>
      <c r="Q76" s="479"/>
      <c r="R76" s="479"/>
      <c r="S76" s="479"/>
      <c r="T76" s="479"/>
      <c r="U76" s="479"/>
      <c r="V76" s="479"/>
      <c r="W76" s="479"/>
      <c r="X76" s="479"/>
      <c r="Y76" s="479"/>
      <c r="Z76" s="479"/>
      <c r="AA76" s="479"/>
      <c r="AB76" s="479"/>
      <c r="AC76" s="479"/>
      <c r="AD76" s="479"/>
      <c r="AE76" s="479"/>
      <c r="AF76" s="479"/>
      <c r="AG76" s="479"/>
      <c r="AH76" s="479"/>
      <c r="AI76" s="479"/>
      <c r="AJ76" s="479"/>
      <c r="AK76" s="479"/>
      <c r="AL76" s="479"/>
      <c r="AM76" s="479"/>
      <c r="AN76" s="479"/>
      <c r="AO76" s="479"/>
      <c r="AP76" s="479"/>
      <c r="AQ76" s="479"/>
      <c r="AR76" s="479"/>
      <c r="AS76" s="479"/>
      <c r="AT76" s="479"/>
      <c r="AU76" s="479"/>
      <c r="AV76" s="479"/>
      <c r="AW76" s="479"/>
      <c r="AX76" s="479"/>
      <c r="AY76" s="479"/>
      <c r="AZ76" s="479"/>
      <c r="BA76" s="479"/>
      <c r="BB76" s="479"/>
      <c r="BC76" s="479"/>
      <c r="BD76" s="479"/>
      <c r="BE76" s="479"/>
      <c r="BF76" s="479"/>
      <c r="BG76" s="479"/>
      <c r="BH76" s="479"/>
      <c r="BI76" s="479"/>
      <c r="BJ76" s="479"/>
      <c r="BK76" s="479"/>
      <c r="BL76" s="479"/>
      <c r="BM76" s="479"/>
      <c r="BN76" s="479"/>
      <c r="BO76" s="479"/>
      <c r="BP76" s="479"/>
      <c r="BQ76" s="479"/>
      <c r="BR76" s="479"/>
      <c r="BS76" s="479"/>
      <c r="BT76" s="479"/>
      <c r="BU76" s="479"/>
      <c r="BV76" s="479"/>
      <c r="BW76" s="479"/>
      <c r="BX76" s="479"/>
      <c r="BY76" s="479"/>
      <c r="BZ76" s="479"/>
      <c r="CA76" s="479"/>
      <c r="CB76" s="479"/>
      <c r="CC76" s="479"/>
      <c r="CD76" s="479"/>
      <c r="CE76" s="479"/>
      <c r="CF76" s="479"/>
      <c r="CG76" s="479"/>
      <c r="CH76" s="479"/>
      <c r="CI76" s="479"/>
      <c r="CJ76" s="479"/>
      <c r="CK76" s="479"/>
      <c r="CL76" s="479"/>
      <c r="CM76" s="479"/>
      <c r="CN76" s="479"/>
      <c r="CO76" s="479"/>
      <c r="CP76" s="479"/>
      <c r="CQ76" s="479"/>
      <c r="CR76" s="479"/>
      <c r="CS76" s="479"/>
      <c r="CT76" s="479"/>
      <c r="CU76" s="479"/>
      <c r="CV76" s="479"/>
      <c r="CW76" s="479"/>
      <c r="CX76" s="479"/>
      <c r="CY76" s="479"/>
      <c r="CZ76" s="479"/>
      <c r="DA76" s="479"/>
      <c r="DB76" s="479"/>
      <c r="DC76" s="479"/>
      <c r="DD76" s="479"/>
      <c r="DE76" s="479"/>
      <c r="DF76" s="479"/>
      <c r="DG76" s="479"/>
      <c r="DH76" s="479"/>
      <c r="DI76" s="479"/>
      <c r="DJ76" s="479"/>
      <c r="DK76" s="479"/>
      <c r="DL76" s="479"/>
      <c r="DM76" s="479"/>
      <c r="DN76" s="479"/>
      <c r="DO76" s="479"/>
      <c r="DP76" s="479"/>
      <c r="DQ76" s="479"/>
      <c r="DR76" s="479"/>
      <c r="DS76" s="479"/>
      <c r="DT76" s="479"/>
      <c r="DU76" s="479"/>
      <c r="DV76" s="479"/>
      <c r="DW76" s="479"/>
      <c r="DX76" s="479"/>
      <c r="DY76" s="479"/>
      <c r="DZ76" s="479"/>
      <c r="EA76" s="479"/>
      <c r="EB76" s="479"/>
      <c r="EC76" s="479"/>
      <c r="ED76" s="479"/>
      <c r="EE76" s="479"/>
      <c r="EF76" s="479"/>
      <c r="EG76" s="479"/>
      <c r="EH76" s="479"/>
      <c r="EI76" s="479"/>
      <c r="EJ76" s="479"/>
      <c r="EK76" s="479"/>
      <c r="EL76" s="479"/>
      <c r="EM76" s="479"/>
      <c r="EN76" s="479"/>
      <c r="EO76" s="479"/>
      <c r="EP76" s="479"/>
      <c r="EQ76" s="479"/>
      <c r="ER76" s="479"/>
      <c r="ES76" s="479"/>
      <c r="ET76" s="479"/>
      <c r="EU76" s="479"/>
      <c r="EV76" s="479"/>
      <c r="EW76" s="479"/>
      <c r="EX76" s="479"/>
      <c r="EY76" s="479"/>
      <c r="EZ76" s="479"/>
      <c r="FA76" s="479"/>
      <c r="FB76" s="479"/>
      <c r="FC76" s="479"/>
      <c r="FD76" s="479"/>
      <c r="FE76" s="479"/>
      <c r="FF76" s="479"/>
      <c r="FG76" s="479"/>
      <c r="FH76" s="479"/>
      <c r="FI76" s="479"/>
      <c r="FJ76" s="479"/>
      <c r="FK76" s="479"/>
      <c r="FL76" s="479"/>
      <c r="FM76" s="479"/>
      <c r="FN76" s="479"/>
      <c r="FO76" s="479"/>
      <c r="FP76" s="479"/>
      <c r="FQ76" s="479"/>
      <c r="FR76" s="479"/>
      <c r="FS76" s="479"/>
      <c r="FT76" s="479"/>
      <c r="FU76" s="479"/>
      <c r="FV76" s="479"/>
      <c r="FW76" s="479"/>
      <c r="FX76" s="479"/>
      <c r="FY76" s="479"/>
      <c r="FZ76" s="479"/>
      <c r="GA76" s="479"/>
      <c r="GB76" s="479"/>
      <c r="GC76" s="479"/>
      <c r="GD76" s="479"/>
      <c r="GE76" s="479"/>
      <c r="GF76" s="479"/>
      <c r="GG76" s="479"/>
      <c r="GH76" s="479"/>
      <c r="GI76" s="479"/>
      <c r="GJ76" s="479"/>
      <c r="GK76" s="479"/>
      <c r="GL76" s="479"/>
    </row>
    <row r="77" spans="1:194" ht="13">
      <c r="A77" s="23"/>
      <c r="B77" s="23"/>
      <c r="C77" s="417"/>
      <c r="D77" s="417"/>
      <c r="E77" s="417"/>
      <c r="F77" s="483"/>
      <c r="G77" s="484" t="s">
        <v>1044</v>
      </c>
      <c r="H77" s="485" t="s">
        <v>1045</v>
      </c>
      <c r="I77" s="1137" t="s">
        <v>1046</v>
      </c>
      <c r="J77" s="1138"/>
      <c r="K77" s="1096"/>
      <c r="L77" s="479"/>
      <c r="M77" s="482"/>
      <c r="N77" s="479"/>
      <c r="O77" s="479"/>
      <c r="P77" s="479"/>
      <c r="Q77" s="479"/>
      <c r="R77" s="479"/>
      <c r="S77" s="479"/>
      <c r="T77" s="479"/>
      <c r="U77" s="479"/>
      <c r="V77" s="479"/>
      <c r="W77" s="479"/>
      <c r="X77" s="479"/>
      <c r="Y77" s="479"/>
      <c r="Z77" s="479"/>
      <c r="AA77" s="479"/>
      <c r="AB77" s="479"/>
      <c r="AC77" s="479"/>
      <c r="AD77" s="479"/>
      <c r="AE77" s="479"/>
      <c r="AF77" s="479"/>
      <c r="AG77" s="479"/>
      <c r="AH77" s="479"/>
      <c r="AI77" s="479"/>
      <c r="AJ77" s="479"/>
      <c r="AK77" s="479"/>
      <c r="AL77" s="479"/>
      <c r="AM77" s="479"/>
      <c r="AN77" s="479"/>
      <c r="AO77" s="479"/>
      <c r="AP77" s="479"/>
      <c r="AQ77" s="479"/>
      <c r="AR77" s="479"/>
      <c r="AS77" s="479"/>
      <c r="AT77" s="479"/>
      <c r="AU77" s="479"/>
      <c r="AV77" s="479"/>
      <c r="AW77" s="479"/>
      <c r="AX77" s="479"/>
      <c r="AY77" s="479"/>
      <c r="AZ77" s="479"/>
      <c r="BA77" s="479"/>
      <c r="BB77" s="479"/>
      <c r="BC77" s="479"/>
      <c r="BD77" s="479"/>
      <c r="BE77" s="479"/>
      <c r="BF77" s="479"/>
      <c r="BG77" s="479"/>
      <c r="BH77" s="479"/>
      <c r="BI77" s="479"/>
      <c r="BJ77" s="479"/>
      <c r="BK77" s="479"/>
      <c r="BL77" s="479"/>
      <c r="BM77" s="479"/>
      <c r="BN77" s="479"/>
      <c r="BO77" s="479"/>
      <c r="BP77" s="479"/>
      <c r="BQ77" s="479"/>
      <c r="BR77" s="479"/>
      <c r="BS77" s="479"/>
      <c r="BT77" s="479"/>
      <c r="BU77" s="479"/>
      <c r="BV77" s="479"/>
      <c r="BW77" s="479"/>
      <c r="BX77" s="479"/>
      <c r="BY77" s="479"/>
      <c r="BZ77" s="479"/>
      <c r="CA77" s="479"/>
      <c r="CB77" s="479"/>
      <c r="CC77" s="479"/>
      <c r="CD77" s="479"/>
      <c r="CE77" s="479"/>
      <c r="CF77" s="479"/>
      <c r="CG77" s="479"/>
      <c r="CH77" s="479"/>
      <c r="CI77" s="479"/>
      <c r="CJ77" s="479"/>
      <c r="CK77" s="479"/>
      <c r="CL77" s="479"/>
      <c r="CM77" s="479"/>
      <c r="CN77" s="479"/>
      <c r="CO77" s="479"/>
      <c r="CP77" s="479"/>
      <c r="CQ77" s="479"/>
      <c r="CR77" s="479"/>
      <c r="CS77" s="479"/>
      <c r="CT77" s="479"/>
      <c r="CU77" s="479"/>
      <c r="CV77" s="479"/>
      <c r="CW77" s="479"/>
      <c r="CX77" s="479"/>
      <c r="CY77" s="479"/>
      <c r="CZ77" s="479"/>
      <c r="DA77" s="479"/>
      <c r="DB77" s="479"/>
      <c r="DC77" s="479"/>
      <c r="DD77" s="479"/>
      <c r="DE77" s="479"/>
      <c r="DF77" s="479"/>
      <c r="DG77" s="479"/>
      <c r="DH77" s="479"/>
      <c r="DI77" s="479"/>
      <c r="DJ77" s="479"/>
      <c r="DK77" s="479"/>
      <c r="DL77" s="479"/>
      <c r="DM77" s="479"/>
      <c r="DN77" s="479"/>
      <c r="DO77" s="479"/>
      <c r="DP77" s="479"/>
      <c r="DQ77" s="479"/>
      <c r="DR77" s="479"/>
      <c r="DS77" s="479"/>
      <c r="DT77" s="479"/>
      <c r="DU77" s="479"/>
      <c r="DV77" s="479"/>
      <c r="DW77" s="479"/>
      <c r="DX77" s="479"/>
      <c r="DY77" s="479"/>
      <c r="DZ77" s="479"/>
      <c r="EA77" s="479"/>
      <c r="EB77" s="479"/>
      <c r="EC77" s="479"/>
      <c r="ED77" s="479"/>
      <c r="EE77" s="479"/>
      <c r="EF77" s="479"/>
      <c r="EG77" s="479"/>
      <c r="EH77" s="479"/>
      <c r="EI77" s="479"/>
      <c r="EJ77" s="479"/>
      <c r="EK77" s="479"/>
      <c r="EL77" s="479"/>
      <c r="EM77" s="479"/>
      <c r="EN77" s="479"/>
      <c r="EO77" s="479"/>
      <c r="EP77" s="479"/>
      <c r="EQ77" s="479"/>
      <c r="ER77" s="479"/>
      <c r="ES77" s="479"/>
      <c r="ET77" s="479"/>
      <c r="EU77" s="479"/>
      <c r="EV77" s="479"/>
      <c r="EW77" s="479"/>
      <c r="EX77" s="479"/>
      <c r="EY77" s="479"/>
      <c r="EZ77" s="479"/>
      <c r="FA77" s="479"/>
      <c r="FB77" s="479"/>
      <c r="FC77" s="479"/>
      <c r="FD77" s="479"/>
      <c r="FE77" s="479"/>
      <c r="FF77" s="479"/>
      <c r="FG77" s="479"/>
      <c r="FH77" s="479"/>
      <c r="FI77" s="479"/>
      <c r="FJ77" s="479"/>
      <c r="FK77" s="479"/>
      <c r="FL77" s="479"/>
      <c r="FM77" s="479"/>
      <c r="FN77" s="479"/>
      <c r="FO77" s="479"/>
      <c r="FP77" s="479"/>
      <c r="FQ77" s="479"/>
      <c r="FR77" s="479"/>
      <c r="FS77" s="479"/>
      <c r="FT77" s="479"/>
      <c r="FU77" s="479"/>
      <c r="FV77" s="479"/>
      <c r="FW77" s="479"/>
      <c r="FX77" s="479"/>
      <c r="FY77" s="479"/>
      <c r="FZ77" s="479"/>
      <c r="GA77" s="479"/>
      <c r="GB77" s="479"/>
      <c r="GC77" s="479"/>
      <c r="GD77" s="479"/>
      <c r="GE77" s="479"/>
      <c r="GF77" s="479"/>
      <c r="GG77" s="479"/>
      <c r="GH77" s="479"/>
      <c r="GI77" s="479"/>
      <c r="GJ77" s="479"/>
      <c r="GK77" s="479"/>
      <c r="GL77" s="479"/>
    </row>
    <row r="78" spans="1:194" ht="13">
      <c r="A78" s="23"/>
      <c r="B78" s="23"/>
      <c r="C78" s="417"/>
      <c r="D78" s="417"/>
      <c r="E78" s="417"/>
      <c r="F78" s="479"/>
      <c r="G78" s="480" t="s">
        <v>1047</v>
      </c>
      <c r="H78" s="486" t="s">
        <v>1048</v>
      </c>
      <c r="I78" s="480">
        <v>1</v>
      </c>
      <c r="J78" s="479"/>
      <c r="K78" s="479"/>
      <c r="L78" s="479"/>
      <c r="M78" s="482"/>
      <c r="N78" s="479"/>
      <c r="O78" s="479"/>
      <c r="P78" s="479"/>
      <c r="Q78" s="479"/>
      <c r="R78" s="479"/>
      <c r="S78" s="479"/>
      <c r="T78" s="479"/>
      <c r="U78" s="479"/>
      <c r="V78" s="479"/>
      <c r="W78" s="479"/>
      <c r="X78" s="479"/>
      <c r="Y78" s="479"/>
      <c r="Z78" s="479"/>
      <c r="AA78" s="479"/>
      <c r="AB78" s="479"/>
      <c r="AC78" s="479"/>
      <c r="AD78" s="479"/>
      <c r="AE78" s="479"/>
      <c r="AF78" s="479"/>
      <c r="AG78" s="479"/>
      <c r="AH78" s="479"/>
      <c r="AI78" s="479"/>
      <c r="AJ78" s="479"/>
      <c r="AK78" s="479"/>
      <c r="AL78" s="479"/>
      <c r="AM78" s="479"/>
      <c r="AN78" s="479"/>
      <c r="AO78" s="479"/>
      <c r="AP78" s="479"/>
      <c r="AQ78" s="479"/>
      <c r="AR78" s="479"/>
      <c r="AS78" s="479"/>
      <c r="AT78" s="479"/>
      <c r="AU78" s="479"/>
      <c r="AV78" s="479"/>
      <c r="AW78" s="479"/>
      <c r="AX78" s="479"/>
      <c r="AY78" s="479"/>
      <c r="AZ78" s="479"/>
      <c r="BA78" s="479"/>
      <c r="BB78" s="479"/>
      <c r="BC78" s="479"/>
      <c r="BD78" s="479"/>
      <c r="BE78" s="479"/>
      <c r="BF78" s="479"/>
      <c r="BG78" s="479"/>
      <c r="BH78" s="479"/>
      <c r="BI78" s="479"/>
      <c r="BJ78" s="479"/>
      <c r="BK78" s="479"/>
      <c r="BL78" s="479"/>
      <c r="BM78" s="479"/>
      <c r="BN78" s="479"/>
      <c r="BO78" s="479"/>
      <c r="BP78" s="479"/>
      <c r="BQ78" s="479"/>
      <c r="BR78" s="479"/>
      <c r="BS78" s="479"/>
      <c r="BT78" s="479"/>
      <c r="BU78" s="479"/>
      <c r="BV78" s="479"/>
      <c r="BW78" s="479"/>
      <c r="BX78" s="479"/>
      <c r="BY78" s="479"/>
      <c r="BZ78" s="479"/>
      <c r="CA78" s="479"/>
      <c r="CB78" s="479"/>
      <c r="CC78" s="479"/>
      <c r="CD78" s="479"/>
      <c r="CE78" s="479"/>
      <c r="CF78" s="479"/>
      <c r="CG78" s="479"/>
      <c r="CH78" s="479"/>
      <c r="CI78" s="479"/>
      <c r="CJ78" s="479"/>
      <c r="CK78" s="479"/>
      <c r="CL78" s="479"/>
      <c r="CM78" s="479"/>
      <c r="CN78" s="479"/>
      <c r="CO78" s="479"/>
      <c r="CP78" s="479"/>
      <c r="CQ78" s="479"/>
      <c r="CR78" s="479"/>
      <c r="CS78" s="479"/>
      <c r="CT78" s="479"/>
      <c r="CU78" s="479"/>
      <c r="CV78" s="479"/>
      <c r="CW78" s="479"/>
      <c r="CX78" s="479"/>
      <c r="CY78" s="479"/>
      <c r="CZ78" s="479"/>
      <c r="DA78" s="479"/>
      <c r="DB78" s="479"/>
      <c r="DC78" s="479"/>
      <c r="DD78" s="479"/>
      <c r="DE78" s="479"/>
      <c r="DF78" s="479"/>
      <c r="DG78" s="479"/>
      <c r="DH78" s="479"/>
      <c r="DI78" s="479"/>
      <c r="DJ78" s="479"/>
      <c r="DK78" s="479"/>
      <c r="DL78" s="479"/>
      <c r="DM78" s="479"/>
      <c r="DN78" s="479"/>
      <c r="DO78" s="479"/>
      <c r="DP78" s="479"/>
      <c r="DQ78" s="479"/>
      <c r="DR78" s="479"/>
      <c r="DS78" s="479"/>
      <c r="DT78" s="479"/>
      <c r="DU78" s="479"/>
      <c r="DV78" s="479"/>
      <c r="DW78" s="479"/>
      <c r="DX78" s="479"/>
      <c r="DY78" s="479"/>
      <c r="DZ78" s="479"/>
      <c r="EA78" s="479"/>
      <c r="EB78" s="479"/>
      <c r="EC78" s="479"/>
      <c r="ED78" s="479"/>
      <c r="EE78" s="479"/>
      <c r="EF78" s="479"/>
      <c r="EG78" s="479"/>
      <c r="EH78" s="479"/>
      <c r="EI78" s="479"/>
      <c r="EJ78" s="479"/>
      <c r="EK78" s="479"/>
      <c r="EL78" s="479"/>
      <c r="EM78" s="479"/>
      <c r="EN78" s="479"/>
      <c r="EO78" s="479"/>
      <c r="EP78" s="479"/>
      <c r="EQ78" s="479"/>
      <c r="ER78" s="479"/>
      <c r="ES78" s="479"/>
      <c r="ET78" s="479"/>
      <c r="EU78" s="479"/>
      <c r="EV78" s="479"/>
      <c r="EW78" s="479"/>
      <c r="EX78" s="479"/>
      <c r="EY78" s="479"/>
      <c r="EZ78" s="479"/>
      <c r="FA78" s="479"/>
      <c r="FB78" s="479"/>
      <c r="FC78" s="479"/>
      <c r="FD78" s="479"/>
      <c r="FE78" s="479"/>
      <c r="FF78" s="479"/>
      <c r="FG78" s="479"/>
      <c r="FH78" s="479"/>
      <c r="FI78" s="479"/>
      <c r="FJ78" s="479"/>
      <c r="FK78" s="479"/>
      <c r="FL78" s="479"/>
      <c r="FM78" s="479"/>
      <c r="FN78" s="479"/>
      <c r="FO78" s="479"/>
      <c r="FP78" s="479"/>
      <c r="FQ78" s="479"/>
      <c r="FR78" s="479"/>
      <c r="FS78" s="479"/>
      <c r="FT78" s="479"/>
      <c r="FU78" s="479"/>
      <c r="FV78" s="479"/>
      <c r="FW78" s="479"/>
      <c r="FX78" s="479"/>
      <c r="FY78" s="479"/>
      <c r="FZ78" s="479"/>
      <c r="GA78" s="479"/>
      <c r="GB78" s="479"/>
      <c r="GC78" s="479"/>
      <c r="GD78" s="479"/>
      <c r="GE78" s="479"/>
      <c r="GF78" s="479"/>
      <c r="GG78" s="479"/>
      <c r="GH78" s="479"/>
      <c r="GI78" s="479"/>
      <c r="GJ78" s="479"/>
      <c r="GK78" s="479"/>
      <c r="GL78" s="479"/>
    </row>
    <row r="79" spans="1:194" ht="13">
      <c r="A79" s="23"/>
      <c r="B79" s="23"/>
      <c r="C79" s="417"/>
      <c r="D79" s="417"/>
      <c r="E79" s="417"/>
      <c r="F79" s="417"/>
      <c r="G79" s="417"/>
      <c r="H79" s="477"/>
      <c r="I79" s="477"/>
      <c r="J79" s="477"/>
      <c r="K79" s="477"/>
      <c r="L79" s="477"/>
      <c r="M79" s="478"/>
      <c r="N79" s="417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  <c r="DL79" s="23"/>
      <c r="DM79" s="23"/>
      <c r="DN79" s="23"/>
      <c r="DO79" s="23"/>
      <c r="DP79" s="23"/>
      <c r="DQ79" s="23"/>
      <c r="DR79" s="23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  <c r="EF79" s="23"/>
      <c r="EG79" s="23"/>
      <c r="EH79" s="23"/>
      <c r="EI79" s="23"/>
      <c r="EJ79" s="23"/>
      <c r="EK79" s="23"/>
      <c r="EL79" s="23"/>
      <c r="EM79" s="23"/>
      <c r="EN79" s="23"/>
      <c r="EO79" s="23"/>
      <c r="EP79" s="23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3"/>
      <c r="FD79" s="23"/>
      <c r="FE79" s="23"/>
      <c r="FF79" s="23"/>
      <c r="FG79" s="23"/>
      <c r="FH79" s="23"/>
      <c r="FI79" s="23"/>
      <c r="FJ79" s="23"/>
      <c r="FK79" s="23"/>
      <c r="FL79" s="23"/>
      <c r="FM79" s="23"/>
      <c r="FN79" s="23"/>
      <c r="FO79" s="23"/>
      <c r="FP79" s="23"/>
      <c r="FQ79" s="23"/>
      <c r="FR79" s="23"/>
      <c r="FS79" s="23"/>
      <c r="FT79" s="23"/>
      <c r="FU79" s="23"/>
      <c r="FV79" s="23"/>
      <c r="FW79" s="23"/>
      <c r="FX79" s="23"/>
      <c r="FY79" s="23"/>
      <c r="FZ79" s="23"/>
      <c r="GA79" s="23"/>
      <c r="GB79" s="23"/>
      <c r="GC79" s="23"/>
      <c r="GD79" s="23"/>
      <c r="GE79" s="23"/>
      <c r="GF79" s="23"/>
      <c r="GG79" s="23"/>
      <c r="GH79" s="23"/>
      <c r="GI79" s="23"/>
      <c r="GJ79" s="23"/>
      <c r="GK79" s="23"/>
      <c r="GL79" s="23"/>
    </row>
    <row r="80" spans="1:194" ht="13">
      <c r="A80" s="23"/>
      <c r="B80" s="23"/>
      <c r="C80" s="417"/>
      <c r="D80" s="417"/>
      <c r="E80" s="417"/>
      <c r="F80" s="417"/>
      <c r="G80" s="417"/>
      <c r="H80" s="477"/>
      <c r="I80" s="477"/>
      <c r="J80" s="477"/>
      <c r="K80" s="477"/>
      <c r="L80" s="477"/>
      <c r="M80" s="478"/>
      <c r="N80" s="417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  <c r="DL80" s="23"/>
      <c r="DM80" s="23"/>
      <c r="DN80" s="23"/>
      <c r="DO80" s="23"/>
      <c r="DP80" s="23"/>
      <c r="DQ80" s="23"/>
      <c r="DR80" s="23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  <c r="EF80" s="23"/>
      <c r="EG80" s="23"/>
      <c r="EH80" s="23"/>
      <c r="EI80" s="23"/>
      <c r="EJ80" s="23"/>
      <c r="EK80" s="23"/>
      <c r="EL80" s="23"/>
      <c r="EM80" s="23"/>
      <c r="EN80" s="23"/>
      <c r="EO80" s="23"/>
      <c r="EP80" s="23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3"/>
      <c r="FD80" s="23"/>
      <c r="FE80" s="23"/>
      <c r="FF80" s="23"/>
      <c r="FG80" s="23"/>
      <c r="FH80" s="23"/>
      <c r="FI80" s="23"/>
      <c r="FJ80" s="23"/>
      <c r="FK80" s="23"/>
      <c r="FL80" s="23"/>
      <c r="FM80" s="23"/>
      <c r="FN80" s="23"/>
      <c r="FO80" s="23"/>
      <c r="FP80" s="23"/>
      <c r="FQ80" s="23"/>
      <c r="FR80" s="23"/>
      <c r="FS80" s="23"/>
      <c r="FT80" s="23"/>
      <c r="FU80" s="23"/>
      <c r="FV80" s="23"/>
      <c r="FW80" s="23"/>
      <c r="FX80" s="23"/>
      <c r="FY80" s="23"/>
      <c r="FZ80" s="23"/>
      <c r="GA80" s="23"/>
      <c r="GB80" s="23"/>
      <c r="GC80" s="23"/>
      <c r="GD80" s="23"/>
      <c r="GE80" s="23"/>
      <c r="GF80" s="23"/>
      <c r="GG80" s="23"/>
      <c r="GH80" s="23"/>
      <c r="GI80" s="23"/>
      <c r="GJ80" s="23"/>
      <c r="GK80" s="23"/>
      <c r="GL80" s="23"/>
    </row>
    <row r="81" spans="1:194" ht="13">
      <c r="A81" s="23"/>
      <c r="B81" s="23"/>
      <c r="C81" s="417"/>
      <c r="D81" s="417"/>
      <c r="E81" s="417"/>
      <c r="F81" s="417"/>
      <c r="G81" s="417"/>
      <c r="H81" s="477"/>
      <c r="I81" s="477"/>
      <c r="J81" s="477"/>
      <c r="K81" s="477"/>
      <c r="L81" s="477"/>
      <c r="M81" s="478"/>
      <c r="N81" s="417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  <c r="DL81" s="23"/>
      <c r="DM81" s="23"/>
      <c r="DN81" s="23"/>
      <c r="DO81" s="23"/>
      <c r="DP81" s="23"/>
      <c r="DQ81" s="23"/>
      <c r="DR81" s="23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  <c r="EF81" s="23"/>
      <c r="EG81" s="23"/>
      <c r="EH81" s="23"/>
      <c r="EI81" s="23"/>
      <c r="EJ81" s="23"/>
      <c r="EK81" s="23"/>
      <c r="EL81" s="23"/>
      <c r="EM81" s="23"/>
      <c r="EN81" s="23"/>
      <c r="EO81" s="23"/>
      <c r="EP81" s="23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3"/>
      <c r="FD81" s="23"/>
      <c r="FE81" s="23"/>
      <c r="FF81" s="23"/>
      <c r="FG81" s="23"/>
      <c r="FH81" s="23"/>
      <c r="FI81" s="23"/>
      <c r="FJ81" s="23"/>
      <c r="FK81" s="23"/>
      <c r="FL81" s="23"/>
      <c r="FM81" s="23"/>
      <c r="FN81" s="23"/>
      <c r="FO81" s="23"/>
      <c r="FP81" s="23"/>
      <c r="FQ81" s="23"/>
      <c r="FR81" s="23"/>
      <c r="FS81" s="23"/>
      <c r="FT81" s="23"/>
      <c r="FU81" s="23"/>
      <c r="FV81" s="23"/>
      <c r="FW81" s="23"/>
      <c r="FX81" s="23"/>
      <c r="FY81" s="23"/>
      <c r="FZ81" s="23"/>
      <c r="GA81" s="23"/>
      <c r="GB81" s="23"/>
      <c r="GC81" s="23"/>
      <c r="GD81" s="23"/>
      <c r="GE81" s="23"/>
      <c r="GF81" s="23"/>
      <c r="GG81" s="23"/>
      <c r="GH81" s="23"/>
      <c r="GI81" s="23"/>
      <c r="GJ81" s="23"/>
      <c r="GK81" s="23"/>
      <c r="GL81" s="23"/>
    </row>
    <row r="82" spans="1:194" ht="13">
      <c r="A82" s="23"/>
      <c r="B82" s="23"/>
      <c r="C82" s="417"/>
      <c r="D82" s="417"/>
      <c r="E82" s="417"/>
      <c r="F82" s="417"/>
      <c r="G82" s="417"/>
      <c r="H82" s="477"/>
      <c r="I82" s="477"/>
      <c r="J82" s="477"/>
      <c r="K82" s="477"/>
      <c r="L82" s="477"/>
      <c r="M82" s="478"/>
      <c r="N82" s="417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  <c r="DN82" s="23"/>
      <c r="DO82" s="23"/>
      <c r="DP82" s="23"/>
      <c r="DQ82" s="23"/>
      <c r="DR82" s="23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  <c r="EF82" s="23"/>
      <c r="EG82" s="23"/>
      <c r="EH82" s="23"/>
      <c r="EI82" s="23"/>
      <c r="EJ82" s="23"/>
      <c r="EK82" s="23"/>
      <c r="EL82" s="23"/>
      <c r="EM82" s="23"/>
      <c r="EN82" s="23"/>
      <c r="EO82" s="23"/>
      <c r="EP82" s="23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3"/>
      <c r="FC82" s="23"/>
      <c r="FD82" s="23"/>
      <c r="FE82" s="23"/>
      <c r="FF82" s="23"/>
      <c r="FG82" s="23"/>
      <c r="FH82" s="23"/>
      <c r="FI82" s="23"/>
      <c r="FJ82" s="23"/>
      <c r="FK82" s="23"/>
      <c r="FL82" s="23"/>
      <c r="FM82" s="23"/>
      <c r="FN82" s="23"/>
      <c r="FO82" s="23"/>
      <c r="FP82" s="23"/>
      <c r="FQ82" s="23"/>
      <c r="FR82" s="23"/>
      <c r="FS82" s="23"/>
      <c r="FT82" s="23"/>
      <c r="FU82" s="23"/>
      <c r="FV82" s="23"/>
      <c r="FW82" s="23"/>
      <c r="FX82" s="23"/>
      <c r="FY82" s="23"/>
      <c r="FZ82" s="23"/>
      <c r="GA82" s="23"/>
      <c r="GB82" s="23"/>
      <c r="GC82" s="23"/>
      <c r="GD82" s="23"/>
      <c r="GE82" s="23"/>
      <c r="GF82" s="23"/>
      <c r="GG82" s="23"/>
      <c r="GH82" s="23"/>
      <c r="GI82" s="23"/>
      <c r="GJ82" s="23"/>
      <c r="GK82" s="23"/>
      <c r="GL82" s="23"/>
    </row>
    <row r="83" spans="1:194" ht="13">
      <c r="A83" s="23"/>
      <c r="B83" s="23"/>
      <c r="C83" s="417"/>
      <c r="D83" s="417"/>
      <c r="E83" s="417"/>
      <c r="F83" s="417"/>
      <c r="G83" s="417"/>
      <c r="H83" s="477"/>
      <c r="I83" s="477"/>
      <c r="J83" s="477"/>
      <c r="K83" s="477"/>
      <c r="L83" s="477"/>
      <c r="M83" s="478"/>
      <c r="N83" s="417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  <c r="DL83" s="23"/>
      <c r="DM83" s="23"/>
      <c r="DN83" s="23"/>
      <c r="DO83" s="23"/>
      <c r="DP83" s="23"/>
      <c r="DQ83" s="23"/>
      <c r="DR83" s="23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  <c r="EF83" s="23"/>
      <c r="EG83" s="23"/>
      <c r="EH83" s="23"/>
      <c r="EI83" s="23"/>
      <c r="EJ83" s="23"/>
      <c r="EK83" s="23"/>
      <c r="EL83" s="23"/>
      <c r="EM83" s="23"/>
      <c r="EN83" s="23"/>
      <c r="EO83" s="23"/>
      <c r="EP83" s="23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3"/>
      <c r="FC83" s="23"/>
      <c r="FD83" s="23"/>
      <c r="FE83" s="23"/>
      <c r="FF83" s="23"/>
      <c r="FG83" s="23"/>
      <c r="FH83" s="23"/>
      <c r="FI83" s="23"/>
      <c r="FJ83" s="23"/>
      <c r="FK83" s="23"/>
      <c r="FL83" s="23"/>
      <c r="FM83" s="23"/>
      <c r="FN83" s="23"/>
      <c r="FO83" s="23"/>
      <c r="FP83" s="23"/>
      <c r="FQ83" s="23"/>
      <c r="FR83" s="23"/>
      <c r="FS83" s="23"/>
      <c r="FT83" s="23"/>
      <c r="FU83" s="23"/>
      <c r="FV83" s="23"/>
      <c r="FW83" s="23"/>
      <c r="FX83" s="23"/>
      <c r="FY83" s="23"/>
      <c r="FZ83" s="23"/>
      <c r="GA83" s="23"/>
      <c r="GB83" s="23"/>
      <c r="GC83" s="23"/>
      <c r="GD83" s="23"/>
      <c r="GE83" s="23"/>
      <c r="GF83" s="23"/>
      <c r="GG83" s="23"/>
      <c r="GH83" s="23"/>
      <c r="GI83" s="23"/>
      <c r="GJ83" s="23"/>
      <c r="GK83" s="23"/>
      <c r="GL83" s="23"/>
    </row>
    <row r="84" spans="1:194" ht="13">
      <c r="A84" s="23"/>
      <c r="B84" s="23"/>
      <c r="C84" s="417"/>
      <c r="D84" s="417"/>
      <c r="E84" s="417"/>
      <c r="F84" s="417"/>
      <c r="G84" s="417"/>
      <c r="H84" s="477"/>
      <c r="I84" s="477"/>
      <c r="J84" s="477"/>
      <c r="K84" s="477"/>
      <c r="L84" s="477"/>
      <c r="M84" s="478"/>
      <c r="N84" s="417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  <c r="DN84" s="23"/>
      <c r="DO84" s="23"/>
      <c r="DP84" s="23"/>
      <c r="DQ84" s="23"/>
      <c r="DR84" s="23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  <c r="EF84" s="23"/>
      <c r="EG84" s="23"/>
      <c r="EH84" s="23"/>
      <c r="EI84" s="23"/>
      <c r="EJ84" s="23"/>
      <c r="EK84" s="23"/>
      <c r="EL84" s="23"/>
      <c r="EM84" s="23"/>
      <c r="EN84" s="23"/>
      <c r="EO84" s="23"/>
      <c r="EP84" s="23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3"/>
      <c r="FC84" s="23"/>
      <c r="FD84" s="23"/>
      <c r="FE84" s="23"/>
      <c r="FF84" s="23"/>
      <c r="FG84" s="23"/>
      <c r="FH84" s="23"/>
      <c r="FI84" s="23"/>
      <c r="FJ84" s="23"/>
      <c r="FK84" s="23"/>
      <c r="FL84" s="23"/>
      <c r="FM84" s="23"/>
      <c r="FN84" s="23"/>
      <c r="FO84" s="23"/>
      <c r="FP84" s="23"/>
      <c r="FQ84" s="23"/>
      <c r="FR84" s="23"/>
      <c r="FS84" s="23"/>
      <c r="FT84" s="23"/>
      <c r="FU84" s="23"/>
      <c r="FV84" s="23"/>
      <c r="FW84" s="23"/>
      <c r="FX84" s="23"/>
      <c r="FY84" s="23"/>
      <c r="FZ84" s="23"/>
      <c r="GA84" s="23"/>
      <c r="GB84" s="23"/>
      <c r="GC84" s="23"/>
      <c r="GD84" s="23"/>
      <c r="GE84" s="23"/>
      <c r="GF84" s="23"/>
      <c r="GG84" s="23"/>
      <c r="GH84" s="23"/>
      <c r="GI84" s="23"/>
      <c r="GJ84" s="23"/>
      <c r="GK84" s="23"/>
      <c r="GL84" s="23"/>
    </row>
    <row r="85" spans="1:194" ht="13">
      <c r="A85" s="23"/>
      <c r="B85" s="23"/>
      <c r="C85" s="417"/>
      <c r="D85" s="417"/>
      <c r="E85" s="417"/>
      <c r="F85" s="417"/>
      <c r="G85" s="417"/>
      <c r="H85" s="477"/>
      <c r="I85" s="477"/>
      <c r="J85" s="477"/>
      <c r="K85" s="477"/>
      <c r="L85" s="477"/>
      <c r="M85" s="478"/>
      <c r="N85" s="417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  <c r="DL85" s="23"/>
      <c r="DM85" s="23"/>
      <c r="DN85" s="23"/>
      <c r="DO85" s="23"/>
      <c r="DP85" s="23"/>
      <c r="DQ85" s="23"/>
      <c r="DR85" s="23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  <c r="EF85" s="23"/>
      <c r="EG85" s="23"/>
      <c r="EH85" s="23"/>
      <c r="EI85" s="23"/>
      <c r="EJ85" s="23"/>
      <c r="EK85" s="23"/>
      <c r="EL85" s="23"/>
      <c r="EM85" s="23"/>
      <c r="EN85" s="23"/>
      <c r="EO85" s="23"/>
      <c r="EP85" s="23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3"/>
      <c r="FC85" s="23"/>
      <c r="FD85" s="23"/>
      <c r="FE85" s="23"/>
      <c r="FF85" s="23"/>
      <c r="FG85" s="23"/>
      <c r="FH85" s="23"/>
      <c r="FI85" s="23"/>
      <c r="FJ85" s="23"/>
      <c r="FK85" s="23"/>
      <c r="FL85" s="23"/>
      <c r="FM85" s="23"/>
      <c r="FN85" s="23"/>
      <c r="FO85" s="23"/>
      <c r="FP85" s="23"/>
      <c r="FQ85" s="23"/>
      <c r="FR85" s="23"/>
      <c r="FS85" s="23"/>
      <c r="FT85" s="23"/>
      <c r="FU85" s="23"/>
      <c r="FV85" s="23"/>
      <c r="FW85" s="23"/>
      <c r="FX85" s="23"/>
      <c r="FY85" s="23"/>
      <c r="FZ85" s="23"/>
      <c r="GA85" s="23"/>
      <c r="GB85" s="23"/>
      <c r="GC85" s="23"/>
      <c r="GD85" s="23"/>
      <c r="GE85" s="23"/>
      <c r="GF85" s="23"/>
      <c r="GG85" s="23"/>
      <c r="GH85" s="23"/>
      <c r="GI85" s="23"/>
      <c r="GJ85" s="23"/>
      <c r="GK85" s="23"/>
      <c r="GL85" s="23"/>
    </row>
    <row r="86" spans="1:194" ht="13">
      <c r="A86" s="23"/>
      <c r="B86" s="23"/>
      <c r="C86" s="417"/>
      <c r="D86" s="417"/>
      <c r="E86" s="417"/>
      <c r="F86" s="417"/>
      <c r="G86" s="417"/>
      <c r="H86" s="477"/>
      <c r="I86" s="477"/>
      <c r="J86" s="477"/>
      <c r="K86" s="477"/>
      <c r="L86" s="477"/>
      <c r="M86" s="478"/>
      <c r="N86" s="417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  <c r="DL86" s="23"/>
      <c r="DM86" s="23"/>
      <c r="DN86" s="23"/>
      <c r="DO86" s="23"/>
      <c r="DP86" s="23"/>
      <c r="DQ86" s="23"/>
      <c r="DR86" s="23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  <c r="EF86" s="23"/>
      <c r="EG86" s="23"/>
      <c r="EH86" s="23"/>
      <c r="EI86" s="23"/>
      <c r="EJ86" s="23"/>
      <c r="EK86" s="23"/>
      <c r="EL86" s="23"/>
      <c r="EM86" s="23"/>
      <c r="EN86" s="23"/>
      <c r="EO86" s="23"/>
      <c r="EP86" s="23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3"/>
      <c r="FC86" s="23"/>
      <c r="FD86" s="23"/>
      <c r="FE86" s="23"/>
      <c r="FF86" s="23"/>
      <c r="FG86" s="23"/>
      <c r="FH86" s="23"/>
      <c r="FI86" s="23"/>
      <c r="FJ86" s="23"/>
      <c r="FK86" s="23"/>
      <c r="FL86" s="23"/>
      <c r="FM86" s="23"/>
      <c r="FN86" s="23"/>
      <c r="FO86" s="23"/>
      <c r="FP86" s="23"/>
      <c r="FQ86" s="23"/>
      <c r="FR86" s="23"/>
      <c r="FS86" s="23"/>
      <c r="FT86" s="23"/>
      <c r="FU86" s="23"/>
      <c r="FV86" s="23"/>
      <c r="FW86" s="23"/>
      <c r="FX86" s="23"/>
      <c r="FY86" s="23"/>
      <c r="FZ86" s="23"/>
      <c r="GA86" s="23"/>
      <c r="GB86" s="23"/>
      <c r="GC86" s="23"/>
      <c r="GD86" s="23"/>
      <c r="GE86" s="23"/>
      <c r="GF86" s="23"/>
      <c r="GG86" s="23"/>
      <c r="GH86" s="23"/>
      <c r="GI86" s="23"/>
      <c r="GJ86" s="23"/>
      <c r="GK86" s="23"/>
      <c r="GL86" s="23"/>
    </row>
    <row r="87" spans="1:194" ht="13">
      <c r="A87" s="23"/>
      <c r="B87" s="23"/>
      <c r="C87" s="417"/>
      <c r="D87" s="417"/>
      <c r="E87" s="417"/>
      <c r="F87" s="417"/>
      <c r="G87" s="417"/>
      <c r="H87" s="477"/>
      <c r="I87" s="477"/>
      <c r="J87" s="477"/>
      <c r="K87" s="477"/>
      <c r="L87" s="477"/>
      <c r="M87" s="478"/>
      <c r="N87" s="417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/>
      <c r="DI87" s="23"/>
      <c r="DJ87" s="23"/>
      <c r="DK87" s="23"/>
      <c r="DL87" s="23"/>
      <c r="DM87" s="23"/>
      <c r="DN87" s="23"/>
      <c r="DO87" s="23"/>
      <c r="DP87" s="23"/>
      <c r="DQ87" s="23"/>
      <c r="DR87" s="23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  <c r="EF87" s="23"/>
      <c r="EG87" s="23"/>
      <c r="EH87" s="23"/>
      <c r="EI87" s="23"/>
      <c r="EJ87" s="23"/>
      <c r="EK87" s="23"/>
      <c r="EL87" s="23"/>
      <c r="EM87" s="23"/>
      <c r="EN87" s="23"/>
      <c r="EO87" s="23"/>
      <c r="EP87" s="23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3"/>
      <c r="FC87" s="23"/>
      <c r="FD87" s="23"/>
      <c r="FE87" s="23"/>
      <c r="FF87" s="23"/>
      <c r="FG87" s="23"/>
      <c r="FH87" s="23"/>
      <c r="FI87" s="23"/>
      <c r="FJ87" s="23"/>
      <c r="FK87" s="23"/>
      <c r="FL87" s="23"/>
      <c r="FM87" s="23"/>
      <c r="FN87" s="23"/>
      <c r="FO87" s="23"/>
      <c r="FP87" s="23"/>
      <c r="FQ87" s="23"/>
      <c r="FR87" s="23"/>
      <c r="FS87" s="23"/>
      <c r="FT87" s="23"/>
      <c r="FU87" s="23"/>
      <c r="FV87" s="23"/>
      <c r="FW87" s="23"/>
      <c r="FX87" s="23"/>
      <c r="FY87" s="23"/>
      <c r="FZ87" s="23"/>
      <c r="GA87" s="23"/>
      <c r="GB87" s="23"/>
      <c r="GC87" s="23"/>
      <c r="GD87" s="23"/>
      <c r="GE87" s="23"/>
      <c r="GF87" s="23"/>
      <c r="GG87" s="23"/>
      <c r="GH87" s="23"/>
      <c r="GI87" s="23"/>
      <c r="GJ87" s="23"/>
      <c r="GK87" s="23"/>
      <c r="GL87" s="23"/>
    </row>
    <row r="88" spans="1:194" ht="13">
      <c r="A88" s="23"/>
      <c r="B88" s="23"/>
      <c r="C88" s="417"/>
      <c r="D88" s="417"/>
      <c r="E88" s="417"/>
      <c r="F88" s="417"/>
      <c r="G88" s="417"/>
      <c r="H88" s="477"/>
      <c r="I88" s="477"/>
      <c r="J88" s="477"/>
      <c r="K88" s="477"/>
      <c r="L88" s="477"/>
      <c r="M88" s="478"/>
      <c r="N88" s="417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  <c r="DL88" s="23"/>
      <c r="DM88" s="23"/>
      <c r="DN88" s="23"/>
      <c r="DO88" s="23"/>
      <c r="DP88" s="23"/>
      <c r="DQ88" s="23"/>
      <c r="DR88" s="23"/>
      <c r="DS88" s="23"/>
      <c r="DT88" s="23"/>
      <c r="DU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  <c r="EF88" s="23"/>
      <c r="EG88" s="23"/>
      <c r="EH88" s="23"/>
      <c r="EI88" s="23"/>
      <c r="EJ88" s="23"/>
      <c r="EK88" s="23"/>
      <c r="EL88" s="23"/>
      <c r="EM88" s="23"/>
      <c r="EN88" s="23"/>
      <c r="EO88" s="23"/>
      <c r="EP88" s="23"/>
      <c r="EQ88" s="23"/>
      <c r="ER88" s="23"/>
      <c r="ES88" s="23"/>
      <c r="ET88" s="23"/>
      <c r="EU88" s="23"/>
      <c r="EV88" s="23"/>
      <c r="EW88" s="23"/>
      <c r="EX88" s="23"/>
      <c r="EY88" s="23"/>
      <c r="EZ88" s="23"/>
      <c r="FA88" s="23"/>
      <c r="FB88" s="23"/>
      <c r="FC88" s="23"/>
      <c r="FD88" s="23"/>
      <c r="FE88" s="23"/>
      <c r="FF88" s="23"/>
      <c r="FG88" s="23"/>
      <c r="FH88" s="23"/>
      <c r="FI88" s="23"/>
      <c r="FJ88" s="23"/>
      <c r="FK88" s="23"/>
      <c r="FL88" s="23"/>
      <c r="FM88" s="23"/>
      <c r="FN88" s="23"/>
      <c r="FO88" s="23"/>
      <c r="FP88" s="23"/>
      <c r="FQ88" s="23"/>
      <c r="FR88" s="23"/>
      <c r="FS88" s="23"/>
      <c r="FT88" s="23"/>
      <c r="FU88" s="23"/>
      <c r="FV88" s="23"/>
      <c r="FW88" s="23"/>
      <c r="FX88" s="23"/>
      <c r="FY88" s="23"/>
      <c r="FZ88" s="23"/>
      <c r="GA88" s="23"/>
      <c r="GB88" s="23"/>
      <c r="GC88" s="23"/>
      <c r="GD88" s="23"/>
      <c r="GE88" s="23"/>
      <c r="GF88" s="23"/>
      <c r="GG88" s="23"/>
      <c r="GH88" s="23"/>
      <c r="GI88" s="23"/>
      <c r="GJ88" s="23"/>
      <c r="GK88" s="23"/>
      <c r="GL88" s="23"/>
    </row>
    <row r="89" spans="1:194" ht="13">
      <c r="A89" s="23"/>
      <c r="B89" s="23"/>
      <c r="C89" s="417"/>
      <c r="D89" s="417"/>
      <c r="E89" s="417"/>
      <c r="F89" s="417"/>
      <c r="G89" s="417"/>
      <c r="H89" s="477"/>
      <c r="I89" s="477"/>
      <c r="J89" s="477"/>
      <c r="K89" s="477"/>
      <c r="L89" s="477"/>
      <c r="M89" s="478"/>
      <c r="N89" s="417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  <c r="DL89" s="23"/>
      <c r="DM89" s="23"/>
      <c r="DN89" s="23"/>
      <c r="DO89" s="23"/>
      <c r="DP89" s="23"/>
      <c r="DQ89" s="23"/>
      <c r="DR89" s="23"/>
      <c r="DS89" s="23"/>
      <c r="DT89" s="23"/>
      <c r="DU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  <c r="EF89" s="23"/>
      <c r="EG89" s="23"/>
      <c r="EH89" s="23"/>
      <c r="EI89" s="23"/>
      <c r="EJ89" s="23"/>
      <c r="EK89" s="23"/>
      <c r="EL89" s="23"/>
      <c r="EM89" s="23"/>
      <c r="EN89" s="23"/>
      <c r="EO89" s="23"/>
      <c r="EP89" s="23"/>
      <c r="EQ89" s="23"/>
      <c r="ER89" s="23"/>
      <c r="ES89" s="23"/>
      <c r="ET89" s="23"/>
      <c r="EU89" s="23"/>
      <c r="EV89" s="23"/>
      <c r="EW89" s="23"/>
      <c r="EX89" s="23"/>
      <c r="EY89" s="23"/>
      <c r="EZ89" s="23"/>
      <c r="FA89" s="23"/>
      <c r="FB89" s="23"/>
      <c r="FC89" s="23"/>
      <c r="FD89" s="23"/>
      <c r="FE89" s="23"/>
      <c r="FF89" s="23"/>
      <c r="FG89" s="23"/>
      <c r="FH89" s="23"/>
      <c r="FI89" s="23"/>
      <c r="FJ89" s="23"/>
      <c r="FK89" s="23"/>
      <c r="FL89" s="23"/>
      <c r="FM89" s="23"/>
      <c r="FN89" s="23"/>
      <c r="FO89" s="23"/>
      <c r="FP89" s="23"/>
      <c r="FQ89" s="23"/>
      <c r="FR89" s="23"/>
      <c r="FS89" s="23"/>
      <c r="FT89" s="23"/>
      <c r="FU89" s="23"/>
      <c r="FV89" s="23"/>
      <c r="FW89" s="23"/>
      <c r="FX89" s="23"/>
      <c r="FY89" s="23"/>
      <c r="FZ89" s="23"/>
      <c r="GA89" s="23"/>
      <c r="GB89" s="23"/>
      <c r="GC89" s="23"/>
      <c r="GD89" s="23"/>
      <c r="GE89" s="23"/>
      <c r="GF89" s="23"/>
      <c r="GG89" s="23"/>
      <c r="GH89" s="23"/>
      <c r="GI89" s="23"/>
      <c r="GJ89" s="23"/>
      <c r="GK89" s="23"/>
      <c r="GL89" s="23"/>
    </row>
    <row r="90" spans="1:194" ht="13">
      <c r="A90" s="23"/>
      <c r="B90" s="23"/>
      <c r="C90" s="417"/>
      <c r="D90" s="417"/>
      <c r="E90" s="417"/>
      <c r="F90" s="417"/>
      <c r="G90" s="417"/>
      <c r="H90" s="477"/>
      <c r="I90" s="477"/>
      <c r="J90" s="477"/>
      <c r="K90" s="477"/>
      <c r="L90" s="477"/>
      <c r="M90" s="478"/>
      <c r="N90" s="417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H90" s="23"/>
      <c r="DI90" s="23"/>
      <c r="DJ90" s="23"/>
      <c r="DK90" s="23"/>
      <c r="DL90" s="23"/>
      <c r="DM90" s="23"/>
      <c r="DN90" s="23"/>
      <c r="DO90" s="23"/>
      <c r="DP90" s="23"/>
      <c r="DQ90" s="23"/>
      <c r="DR90" s="23"/>
      <c r="DS90" s="23"/>
      <c r="DT90" s="23"/>
      <c r="DU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  <c r="EF90" s="23"/>
      <c r="EG90" s="23"/>
      <c r="EH90" s="23"/>
      <c r="EI90" s="23"/>
      <c r="EJ90" s="23"/>
      <c r="EK90" s="23"/>
      <c r="EL90" s="23"/>
      <c r="EM90" s="23"/>
      <c r="EN90" s="23"/>
      <c r="EO90" s="23"/>
      <c r="EP90" s="23"/>
      <c r="EQ90" s="23"/>
      <c r="ER90" s="23"/>
      <c r="ES90" s="23"/>
      <c r="ET90" s="23"/>
      <c r="EU90" s="23"/>
      <c r="EV90" s="23"/>
      <c r="EW90" s="23"/>
      <c r="EX90" s="23"/>
      <c r="EY90" s="23"/>
      <c r="EZ90" s="23"/>
      <c r="FA90" s="23"/>
      <c r="FB90" s="23"/>
      <c r="FC90" s="23"/>
      <c r="FD90" s="23"/>
      <c r="FE90" s="23"/>
      <c r="FF90" s="23"/>
      <c r="FG90" s="23"/>
      <c r="FH90" s="23"/>
      <c r="FI90" s="23"/>
      <c r="FJ90" s="23"/>
      <c r="FK90" s="23"/>
      <c r="FL90" s="23"/>
      <c r="FM90" s="23"/>
      <c r="FN90" s="23"/>
      <c r="FO90" s="23"/>
      <c r="FP90" s="23"/>
      <c r="FQ90" s="23"/>
      <c r="FR90" s="23"/>
      <c r="FS90" s="23"/>
      <c r="FT90" s="23"/>
      <c r="FU90" s="23"/>
      <c r="FV90" s="23"/>
      <c r="FW90" s="23"/>
      <c r="FX90" s="23"/>
      <c r="FY90" s="23"/>
      <c r="FZ90" s="23"/>
      <c r="GA90" s="23"/>
      <c r="GB90" s="23"/>
      <c r="GC90" s="23"/>
      <c r="GD90" s="23"/>
      <c r="GE90" s="23"/>
      <c r="GF90" s="23"/>
      <c r="GG90" s="23"/>
      <c r="GH90" s="23"/>
      <c r="GI90" s="23"/>
      <c r="GJ90" s="23"/>
      <c r="GK90" s="23"/>
      <c r="GL90" s="23"/>
    </row>
    <row r="91" spans="1:194" ht="13">
      <c r="A91" s="23"/>
      <c r="B91" s="23"/>
      <c r="C91" s="417"/>
      <c r="D91" s="417"/>
      <c r="E91" s="417"/>
      <c r="F91" s="417"/>
      <c r="G91" s="417"/>
      <c r="H91" s="477"/>
      <c r="I91" s="477"/>
      <c r="J91" s="477"/>
      <c r="K91" s="477"/>
      <c r="L91" s="477"/>
      <c r="M91" s="478"/>
      <c r="N91" s="417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  <c r="DL91" s="23"/>
      <c r="DM91" s="23"/>
      <c r="DN91" s="23"/>
      <c r="DO91" s="23"/>
      <c r="DP91" s="23"/>
      <c r="DQ91" s="23"/>
      <c r="DR91" s="23"/>
      <c r="DS91" s="23"/>
      <c r="DT91" s="23"/>
      <c r="DU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  <c r="EF91" s="23"/>
      <c r="EG91" s="23"/>
      <c r="EH91" s="23"/>
      <c r="EI91" s="23"/>
      <c r="EJ91" s="23"/>
      <c r="EK91" s="23"/>
      <c r="EL91" s="23"/>
      <c r="EM91" s="23"/>
      <c r="EN91" s="23"/>
      <c r="EO91" s="23"/>
      <c r="EP91" s="23"/>
      <c r="EQ91" s="23"/>
      <c r="ER91" s="23"/>
      <c r="ES91" s="23"/>
      <c r="ET91" s="23"/>
      <c r="EU91" s="23"/>
      <c r="EV91" s="23"/>
      <c r="EW91" s="23"/>
      <c r="EX91" s="23"/>
      <c r="EY91" s="23"/>
      <c r="EZ91" s="23"/>
      <c r="FA91" s="23"/>
      <c r="FB91" s="23"/>
      <c r="FC91" s="23"/>
      <c r="FD91" s="23"/>
      <c r="FE91" s="23"/>
      <c r="FF91" s="23"/>
      <c r="FG91" s="23"/>
      <c r="FH91" s="23"/>
      <c r="FI91" s="23"/>
      <c r="FJ91" s="23"/>
      <c r="FK91" s="23"/>
      <c r="FL91" s="23"/>
      <c r="FM91" s="23"/>
      <c r="FN91" s="23"/>
      <c r="FO91" s="23"/>
      <c r="FP91" s="23"/>
      <c r="FQ91" s="23"/>
      <c r="FR91" s="23"/>
      <c r="FS91" s="23"/>
      <c r="FT91" s="23"/>
      <c r="FU91" s="23"/>
      <c r="FV91" s="23"/>
      <c r="FW91" s="23"/>
      <c r="FX91" s="23"/>
      <c r="FY91" s="23"/>
      <c r="FZ91" s="23"/>
      <c r="GA91" s="23"/>
      <c r="GB91" s="23"/>
      <c r="GC91" s="23"/>
      <c r="GD91" s="23"/>
      <c r="GE91" s="23"/>
      <c r="GF91" s="23"/>
      <c r="GG91" s="23"/>
      <c r="GH91" s="23"/>
      <c r="GI91" s="23"/>
      <c r="GJ91" s="23"/>
      <c r="GK91" s="23"/>
      <c r="GL91" s="23"/>
    </row>
    <row r="92" spans="1:194" ht="13">
      <c r="A92" s="23"/>
      <c r="B92" s="23"/>
      <c r="C92" s="417"/>
      <c r="D92" s="417"/>
      <c r="E92" s="417"/>
      <c r="F92" s="417"/>
      <c r="G92" s="417"/>
      <c r="H92" s="477"/>
      <c r="I92" s="477"/>
      <c r="J92" s="477"/>
      <c r="K92" s="477"/>
      <c r="L92" s="477"/>
      <c r="M92" s="478"/>
      <c r="N92" s="417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  <c r="DL92" s="23"/>
      <c r="DM92" s="23"/>
      <c r="DN92" s="23"/>
      <c r="DO92" s="23"/>
      <c r="DP92" s="23"/>
      <c r="DQ92" s="23"/>
      <c r="DR92" s="23"/>
      <c r="DS92" s="23"/>
      <c r="DT92" s="23"/>
      <c r="DU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  <c r="EF92" s="23"/>
      <c r="EG92" s="23"/>
      <c r="EH92" s="23"/>
      <c r="EI92" s="23"/>
      <c r="EJ92" s="23"/>
      <c r="EK92" s="23"/>
      <c r="EL92" s="23"/>
      <c r="EM92" s="23"/>
      <c r="EN92" s="23"/>
      <c r="EO92" s="23"/>
      <c r="EP92" s="23"/>
      <c r="EQ92" s="23"/>
      <c r="ER92" s="23"/>
      <c r="ES92" s="23"/>
      <c r="ET92" s="23"/>
      <c r="EU92" s="23"/>
      <c r="EV92" s="23"/>
      <c r="EW92" s="23"/>
      <c r="EX92" s="23"/>
      <c r="EY92" s="23"/>
      <c r="EZ92" s="23"/>
      <c r="FA92" s="23"/>
      <c r="FB92" s="23"/>
      <c r="FC92" s="23"/>
      <c r="FD92" s="23"/>
      <c r="FE92" s="23"/>
      <c r="FF92" s="23"/>
      <c r="FG92" s="23"/>
      <c r="FH92" s="23"/>
      <c r="FI92" s="23"/>
      <c r="FJ92" s="23"/>
      <c r="FK92" s="23"/>
      <c r="FL92" s="23"/>
      <c r="FM92" s="23"/>
      <c r="FN92" s="23"/>
      <c r="FO92" s="23"/>
      <c r="FP92" s="23"/>
      <c r="FQ92" s="23"/>
      <c r="FR92" s="23"/>
      <c r="FS92" s="23"/>
      <c r="FT92" s="23"/>
      <c r="FU92" s="23"/>
      <c r="FV92" s="23"/>
      <c r="FW92" s="23"/>
      <c r="FX92" s="23"/>
      <c r="FY92" s="23"/>
      <c r="FZ92" s="23"/>
      <c r="GA92" s="23"/>
      <c r="GB92" s="23"/>
      <c r="GC92" s="23"/>
      <c r="GD92" s="23"/>
      <c r="GE92" s="23"/>
      <c r="GF92" s="23"/>
      <c r="GG92" s="23"/>
      <c r="GH92" s="23"/>
      <c r="GI92" s="23"/>
      <c r="GJ92" s="23"/>
      <c r="GK92" s="23"/>
      <c r="GL92" s="23"/>
    </row>
    <row r="93" spans="1:194" ht="13">
      <c r="A93" s="23"/>
      <c r="B93" s="23"/>
      <c r="C93" s="417"/>
      <c r="D93" s="417"/>
      <c r="E93" s="417"/>
      <c r="F93" s="417"/>
      <c r="G93" s="417"/>
      <c r="H93" s="477"/>
      <c r="I93" s="477"/>
      <c r="J93" s="477"/>
      <c r="K93" s="477"/>
      <c r="L93" s="477"/>
      <c r="M93" s="478"/>
      <c r="N93" s="417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H93" s="23"/>
      <c r="DI93" s="23"/>
      <c r="DJ93" s="23"/>
      <c r="DK93" s="23"/>
      <c r="DL93" s="23"/>
      <c r="DM93" s="23"/>
      <c r="DN93" s="23"/>
      <c r="DO93" s="23"/>
      <c r="DP93" s="23"/>
      <c r="DQ93" s="23"/>
      <c r="DR93" s="23"/>
      <c r="DS93" s="23"/>
      <c r="DT93" s="23"/>
      <c r="DU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  <c r="EF93" s="23"/>
      <c r="EG93" s="23"/>
      <c r="EH93" s="23"/>
      <c r="EI93" s="23"/>
      <c r="EJ93" s="23"/>
      <c r="EK93" s="23"/>
      <c r="EL93" s="23"/>
      <c r="EM93" s="23"/>
      <c r="EN93" s="23"/>
      <c r="EO93" s="23"/>
      <c r="EP93" s="23"/>
      <c r="EQ93" s="23"/>
      <c r="ER93" s="23"/>
      <c r="ES93" s="23"/>
      <c r="ET93" s="23"/>
      <c r="EU93" s="23"/>
      <c r="EV93" s="23"/>
      <c r="EW93" s="23"/>
      <c r="EX93" s="23"/>
      <c r="EY93" s="23"/>
      <c r="EZ93" s="23"/>
      <c r="FA93" s="23"/>
      <c r="FB93" s="23"/>
      <c r="FC93" s="23"/>
      <c r="FD93" s="23"/>
      <c r="FE93" s="23"/>
      <c r="FF93" s="23"/>
      <c r="FG93" s="23"/>
      <c r="FH93" s="23"/>
      <c r="FI93" s="23"/>
      <c r="FJ93" s="23"/>
      <c r="FK93" s="23"/>
      <c r="FL93" s="23"/>
      <c r="FM93" s="23"/>
      <c r="FN93" s="23"/>
      <c r="FO93" s="23"/>
      <c r="FP93" s="23"/>
      <c r="FQ93" s="23"/>
      <c r="FR93" s="23"/>
      <c r="FS93" s="23"/>
      <c r="FT93" s="23"/>
      <c r="FU93" s="23"/>
      <c r="FV93" s="23"/>
      <c r="FW93" s="23"/>
      <c r="FX93" s="23"/>
      <c r="FY93" s="23"/>
      <c r="FZ93" s="23"/>
      <c r="GA93" s="23"/>
      <c r="GB93" s="23"/>
      <c r="GC93" s="23"/>
      <c r="GD93" s="23"/>
      <c r="GE93" s="23"/>
      <c r="GF93" s="23"/>
      <c r="GG93" s="23"/>
      <c r="GH93" s="23"/>
      <c r="GI93" s="23"/>
      <c r="GJ93" s="23"/>
      <c r="GK93" s="23"/>
      <c r="GL93" s="23"/>
    </row>
    <row r="94" spans="1:194" ht="13">
      <c r="A94" s="23"/>
      <c r="B94" s="23"/>
      <c r="C94" s="417"/>
      <c r="D94" s="417"/>
      <c r="E94" s="417"/>
      <c r="F94" s="417"/>
      <c r="G94" s="417"/>
      <c r="H94" s="477"/>
      <c r="I94" s="477"/>
      <c r="J94" s="477"/>
      <c r="K94" s="477"/>
      <c r="L94" s="477"/>
      <c r="M94" s="478"/>
      <c r="N94" s="417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  <c r="BS94" s="23"/>
      <c r="BT94" s="23"/>
      <c r="BU94" s="23"/>
      <c r="BV94" s="23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  <c r="CN94" s="23"/>
      <c r="CO94" s="23"/>
      <c r="CP94" s="23"/>
      <c r="CQ94" s="23"/>
      <c r="CR94" s="23"/>
      <c r="CS94" s="23"/>
      <c r="CT94" s="23"/>
      <c r="CU94" s="23"/>
      <c r="CV94" s="23"/>
      <c r="CW94" s="23"/>
      <c r="CX94" s="23"/>
      <c r="CY94" s="23"/>
      <c r="CZ94" s="23"/>
      <c r="DA94" s="23"/>
      <c r="DB94" s="23"/>
      <c r="DC94" s="23"/>
      <c r="DD94" s="23"/>
      <c r="DE94" s="23"/>
      <c r="DF94" s="23"/>
      <c r="DG94" s="23"/>
      <c r="DH94" s="23"/>
      <c r="DI94" s="23"/>
      <c r="DJ94" s="23"/>
      <c r="DK94" s="23"/>
      <c r="DL94" s="23"/>
      <c r="DM94" s="23"/>
      <c r="DN94" s="23"/>
      <c r="DO94" s="23"/>
      <c r="DP94" s="23"/>
      <c r="DQ94" s="23"/>
      <c r="DR94" s="23"/>
      <c r="DS94" s="23"/>
      <c r="DT94" s="23"/>
      <c r="DU94" s="23"/>
      <c r="DV94" s="23"/>
      <c r="DW94" s="23"/>
      <c r="DX94" s="23"/>
      <c r="DY94" s="23"/>
      <c r="DZ94" s="23"/>
      <c r="EA94" s="23"/>
      <c r="EB94" s="23"/>
      <c r="EC94" s="23"/>
      <c r="ED94" s="23"/>
      <c r="EE94" s="23"/>
      <c r="EF94" s="23"/>
      <c r="EG94" s="23"/>
      <c r="EH94" s="23"/>
      <c r="EI94" s="23"/>
      <c r="EJ94" s="23"/>
      <c r="EK94" s="23"/>
      <c r="EL94" s="23"/>
      <c r="EM94" s="23"/>
      <c r="EN94" s="23"/>
      <c r="EO94" s="23"/>
      <c r="EP94" s="23"/>
      <c r="EQ94" s="23"/>
      <c r="ER94" s="23"/>
      <c r="ES94" s="23"/>
      <c r="ET94" s="23"/>
      <c r="EU94" s="23"/>
      <c r="EV94" s="23"/>
      <c r="EW94" s="23"/>
      <c r="EX94" s="23"/>
      <c r="EY94" s="23"/>
      <c r="EZ94" s="23"/>
      <c r="FA94" s="23"/>
      <c r="FB94" s="23"/>
      <c r="FC94" s="23"/>
      <c r="FD94" s="23"/>
      <c r="FE94" s="23"/>
      <c r="FF94" s="23"/>
      <c r="FG94" s="23"/>
      <c r="FH94" s="23"/>
      <c r="FI94" s="23"/>
      <c r="FJ94" s="23"/>
      <c r="FK94" s="23"/>
      <c r="FL94" s="23"/>
      <c r="FM94" s="23"/>
      <c r="FN94" s="23"/>
      <c r="FO94" s="23"/>
      <c r="FP94" s="23"/>
      <c r="FQ94" s="23"/>
      <c r="FR94" s="23"/>
      <c r="FS94" s="23"/>
      <c r="FT94" s="23"/>
      <c r="FU94" s="23"/>
      <c r="FV94" s="23"/>
      <c r="FW94" s="23"/>
      <c r="FX94" s="23"/>
      <c r="FY94" s="23"/>
      <c r="FZ94" s="23"/>
      <c r="GA94" s="23"/>
      <c r="GB94" s="23"/>
      <c r="GC94" s="23"/>
      <c r="GD94" s="23"/>
      <c r="GE94" s="23"/>
      <c r="GF94" s="23"/>
      <c r="GG94" s="23"/>
      <c r="GH94" s="23"/>
      <c r="GI94" s="23"/>
      <c r="GJ94" s="23"/>
      <c r="GK94" s="23"/>
      <c r="GL94" s="23"/>
    </row>
    <row r="95" spans="1:194" ht="13">
      <c r="A95" s="23"/>
      <c r="B95" s="23"/>
      <c r="C95" s="417"/>
      <c r="D95" s="417"/>
      <c r="E95" s="417"/>
      <c r="F95" s="417"/>
      <c r="G95" s="417"/>
      <c r="H95" s="477"/>
      <c r="I95" s="477"/>
      <c r="J95" s="477"/>
      <c r="K95" s="477"/>
      <c r="L95" s="477"/>
      <c r="M95" s="478"/>
      <c r="N95" s="417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  <c r="DL95" s="23"/>
      <c r="DM95" s="23"/>
      <c r="DN95" s="23"/>
      <c r="DO95" s="23"/>
      <c r="DP95" s="23"/>
      <c r="DQ95" s="23"/>
      <c r="DR95" s="23"/>
      <c r="DS95" s="23"/>
      <c r="DT95" s="23"/>
      <c r="DU95" s="23"/>
      <c r="DV95" s="23"/>
      <c r="DW95" s="23"/>
      <c r="DX95" s="23"/>
      <c r="DY95" s="23"/>
      <c r="DZ95" s="23"/>
      <c r="EA95" s="23"/>
      <c r="EB95" s="23"/>
      <c r="EC95" s="23"/>
      <c r="ED95" s="23"/>
      <c r="EE95" s="23"/>
      <c r="EF95" s="23"/>
      <c r="EG95" s="23"/>
      <c r="EH95" s="23"/>
      <c r="EI95" s="23"/>
      <c r="EJ95" s="23"/>
      <c r="EK95" s="23"/>
      <c r="EL95" s="23"/>
      <c r="EM95" s="23"/>
      <c r="EN95" s="23"/>
      <c r="EO95" s="23"/>
      <c r="EP95" s="23"/>
      <c r="EQ95" s="23"/>
      <c r="ER95" s="23"/>
      <c r="ES95" s="23"/>
      <c r="ET95" s="23"/>
      <c r="EU95" s="23"/>
      <c r="EV95" s="23"/>
      <c r="EW95" s="23"/>
      <c r="EX95" s="23"/>
      <c r="EY95" s="23"/>
      <c r="EZ95" s="23"/>
      <c r="FA95" s="23"/>
      <c r="FB95" s="23"/>
      <c r="FC95" s="23"/>
      <c r="FD95" s="23"/>
      <c r="FE95" s="23"/>
      <c r="FF95" s="23"/>
      <c r="FG95" s="23"/>
      <c r="FH95" s="23"/>
      <c r="FI95" s="23"/>
      <c r="FJ95" s="23"/>
      <c r="FK95" s="23"/>
      <c r="FL95" s="23"/>
      <c r="FM95" s="23"/>
      <c r="FN95" s="23"/>
      <c r="FO95" s="23"/>
      <c r="FP95" s="23"/>
      <c r="FQ95" s="23"/>
      <c r="FR95" s="23"/>
      <c r="FS95" s="23"/>
      <c r="FT95" s="23"/>
      <c r="FU95" s="23"/>
      <c r="FV95" s="23"/>
      <c r="FW95" s="23"/>
      <c r="FX95" s="23"/>
      <c r="FY95" s="23"/>
      <c r="FZ95" s="23"/>
      <c r="GA95" s="23"/>
      <c r="GB95" s="23"/>
      <c r="GC95" s="23"/>
      <c r="GD95" s="23"/>
      <c r="GE95" s="23"/>
      <c r="GF95" s="23"/>
      <c r="GG95" s="23"/>
      <c r="GH95" s="23"/>
      <c r="GI95" s="23"/>
      <c r="GJ95" s="23"/>
      <c r="GK95" s="23"/>
      <c r="GL95" s="23"/>
    </row>
    <row r="96" spans="1:194" ht="13">
      <c r="A96" s="23"/>
      <c r="B96" s="23"/>
      <c r="C96" s="417"/>
      <c r="D96" s="417"/>
      <c r="E96" s="417"/>
      <c r="F96" s="417"/>
      <c r="G96" s="417"/>
      <c r="H96" s="477"/>
      <c r="I96" s="477"/>
      <c r="J96" s="477"/>
      <c r="K96" s="477"/>
      <c r="L96" s="477"/>
      <c r="M96" s="478"/>
      <c r="N96" s="417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  <c r="DB96" s="23"/>
      <c r="DC96" s="23"/>
      <c r="DD96" s="23"/>
      <c r="DE96" s="23"/>
      <c r="DF96" s="23"/>
      <c r="DG96" s="23"/>
      <c r="DH96" s="23"/>
      <c r="DI96" s="23"/>
      <c r="DJ96" s="23"/>
      <c r="DK96" s="23"/>
      <c r="DL96" s="23"/>
      <c r="DM96" s="23"/>
      <c r="DN96" s="23"/>
      <c r="DO96" s="23"/>
      <c r="DP96" s="23"/>
      <c r="DQ96" s="23"/>
      <c r="DR96" s="23"/>
      <c r="DS96" s="23"/>
      <c r="DT96" s="23"/>
      <c r="DU96" s="23"/>
      <c r="DV96" s="23"/>
      <c r="DW96" s="23"/>
      <c r="DX96" s="23"/>
      <c r="DY96" s="23"/>
      <c r="DZ96" s="23"/>
      <c r="EA96" s="23"/>
      <c r="EB96" s="23"/>
      <c r="EC96" s="23"/>
      <c r="ED96" s="23"/>
      <c r="EE96" s="23"/>
      <c r="EF96" s="23"/>
      <c r="EG96" s="23"/>
      <c r="EH96" s="23"/>
      <c r="EI96" s="23"/>
      <c r="EJ96" s="23"/>
      <c r="EK96" s="23"/>
      <c r="EL96" s="23"/>
      <c r="EM96" s="23"/>
      <c r="EN96" s="23"/>
      <c r="EO96" s="23"/>
      <c r="EP96" s="23"/>
      <c r="EQ96" s="23"/>
      <c r="ER96" s="23"/>
      <c r="ES96" s="23"/>
      <c r="ET96" s="23"/>
      <c r="EU96" s="23"/>
      <c r="EV96" s="23"/>
      <c r="EW96" s="23"/>
      <c r="EX96" s="23"/>
      <c r="EY96" s="23"/>
      <c r="EZ96" s="23"/>
      <c r="FA96" s="23"/>
      <c r="FB96" s="23"/>
      <c r="FC96" s="23"/>
      <c r="FD96" s="23"/>
      <c r="FE96" s="23"/>
      <c r="FF96" s="23"/>
      <c r="FG96" s="23"/>
      <c r="FH96" s="23"/>
      <c r="FI96" s="23"/>
      <c r="FJ96" s="23"/>
      <c r="FK96" s="23"/>
      <c r="FL96" s="23"/>
      <c r="FM96" s="23"/>
      <c r="FN96" s="23"/>
      <c r="FO96" s="23"/>
      <c r="FP96" s="23"/>
      <c r="FQ96" s="23"/>
      <c r="FR96" s="23"/>
      <c r="FS96" s="23"/>
      <c r="FT96" s="23"/>
      <c r="FU96" s="23"/>
      <c r="FV96" s="23"/>
      <c r="FW96" s="23"/>
      <c r="FX96" s="23"/>
      <c r="FY96" s="23"/>
      <c r="FZ96" s="23"/>
      <c r="GA96" s="23"/>
      <c r="GB96" s="23"/>
      <c r="GC96" s="23"/>
      <c r="GD96" s="23"/>
      <c r="GE96" s="23"/>
      <c r="GF96" s="23"/>
      <c r="GG96" s="23"/>
      <c r="GH96" s="23"/>
      <c r="GI96" s="23"/>
      <c r="GJ96" s="23"/>
      <c r="GK96" s="23"/>
      <c r="GL96" s="23"/>
    </row>
    <row r="97" spans="1:194" ht="13">
      <c r="A97" s="23"/>
      <c r="B97" s="23"/>
      <c r="C97" s="23"/>
      <c r="D97" s="23"/>
      <c r="E97" s="23"/>
      <c r="F97" s="23"/>
      <c r="G97" s="23"/>
      <c r="H97" s="401"/>
      <c r="I97" s="401"/>
      <c r="J97" s="401"/>
      <c r="K97" s="401"/>
      <c r="L97" s="401"/>
      <c r="M97" s="438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  <c r="DB97" s="23"/>
      <c r="DC97" s="23"/>
      <c r="DD97" s="23"/>
      <c r="DE97" s="23"/>
      <c r="DF97" s="23"/>
      <c r="DG97" s="23"/>
      <c r="DH97" s="23"/>
      <c r="DI97" s="23"/>
      <c r="DJ97" s="23"/>
      <c r="DK97" s="23"/>
      <c r="DL97" s="23"/>
      <c r="DM97" s="23"/>
      <c r="DN97" s="23"/>
      <c r="DO97" s="23"/>
      <c r="DP97" s="23"/>
      <c r="DQ97" s="23"/>
      <c r="DR97" s="23"/>
      <c r="DS97" s="23"/>
      <c r="DT97" s="23"/>
      <c r="DU97" s="23"/>
      <c r="DV97" s="23"/>
      <c r="DW97" s="23"/>
      <c r="DX97" s="23"/>
      <c r="DY97" s="23"/>
      <c r="DZ97" s="23"/>
      <c r="EA97" s="23"/>
      <c r="EB97" s="23"/>
      <c r="EC97" s="23"/>
      <c r="ED97" s="23"/>
      <c r="EE97" s="23"/>
      <c r="EF97" s="23"/>
      <c r="EG97" s="23"/>
      <c r="EH97" s="23"/>
      <c r="EI97" s="23"/>
      <c r="EJ97" s="23"/>
      <c r="EK97" s="23"/>
      <c r="EL97" s="23"/>
      <c r="EM97" s="23"/>
      <c r="EN97" s="23"/>
      <c r="EO97" s="23"/>
      <c r="EP97" s="23"/>
      <c r="EQ97" s="23"/>
      <c r="ER97" s="23"/>
      <c r="ES97" s="23"/>
      <c r="ET97" s="23"/>
      <c r="EU97" s="23"/>
      <c r="EV97" s="23"/>
      <c r="EW97" s="23"/>
      <c r="EX97" s="23"/>
      <c r="EY97" s="23"/>
      <c r="EZ97" s="23"/>
      <c r="FA97" s="23"/>
      <c r="FB97" s="23"/>
      <c r="FC97" s="23"/>
      <c r="FD97" s="23"/>
      <c r="FE97" s="23"/>
      <c r="FF97" s="23"/>
      <c r="FG97" s="23"/>
      <c r="FH97" s="23"/>
      <c r="FI97" s="23"/>
      <c r="FJ97" s="23"/>
      <c r="FK97" s="23"/>
      <c r="FL97" s="23"/>
      <c r="FM97" s="23"/>
      <c r="FN97" s="23"/>
      <c r="FO97" s="23"/>
      <c r="FP97" s="23"/>
      <c r="FQ97" s="23"/>
      <c r="FR97" s="23"/>
      <c r="FS97" s="23"/>
      <c r="FT97" s="23"/>
      <c r="FU97" s="23"/>
      <c r="FV97" s="23"/>
      <c r="FW97" s="23"/>
      <c r="FX97" s="23"/>
      <c r="FY97" s="23"/>
      <c r="FZ97" s="23"/>
      <c r="GA97" s="23"/>
      <c r="GB97" s="23"/>
      <c r="GC97" s="23"/>
      <c r="GD97" s="23"/>
      <c r="GE97" s="23"/>
      <c r="GF97" s="23"/>
      <c r="GG97" s="23"/>
      <c r="GH97" s="23"/>
      <c r="GI97" s="23"/>
      <c r="GJ97" s="23"/>
      <c r="GK97" s="23"/>
      <c r="GL97" s="23"/>
    </row>
    <row r="98" spans="1:194" ht="13">
      <c r="A98" s="23"/>
      <c r="B98" s="23"/>
      <c r="C98" s="23"/>
      <c r="D98" s="23"/>
      <c r="E98" s="23"/>
      <c r="F98" s="23"/>
      <c r="G98" s="23"/>
      <c r="H98" s="401"/>
      <c r="I98" s="401"/>
      <c r="J98" s="401"/>
      <c r="K98" s="401"/>
      <c r="L98" s="401"/>
      <c r="M98" s="438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  <c r="DB98" s="23"/>
      <c r="DC98" s="23"/>
      <c r="DD98" s="23"/>
      <c r="DE98" s="23"/>
      <c r="DF98" s="23"/>
      <c r="DG98" s="23"/>
      <c r="DH98" s="23"/>
      <c r="DI98" s="23"/>
      <c r="DJ98" s="23"/>
      <c r="DK98" s="23"/>
      <c r="DL98" s="23"/>
      <c r="DM98" s="23"/>
      <c r="DN98" s="23"/>
      <c r="DO98" s="23"/>
      <c r="DP98" s="23"/>
      <c r="DQ98" s="23"/>
      <c r="DR98" s="23"/>
      <c r="DS98" s="23"/>
      <c r="DT98" s="23"/>
      <c r="DU98" s="23"/>
      <c r="DV98" s="23"/>
      <c r="DW98" s="23"/>
      <c r="DX98" s="23"/>
      <c r="DY98" s="23"/>
      <c r="DZ98" s="23"/>
      <c r="EA98" s="23"/>
      <c r="EB98" s="23"/>
      <c r="EC98" s="23"/>
      <c r="ED98" s="23"/>
      <c r="EE98" s="23"/>
      <c r="EF98" s="23"/>
      <c r="EG98" s="23"/>
      <c r="EH98" s="23"/>
      <c r="EI98" s="23"/>
      <c r="EJ98" s="23"/>
      <c r="EK98" s="23"/>
      <c r="EL98" s="23"/>
      <c r="EM98" s="23"/>
      <c r="EN98" s="23"/>
      <c r="EO98" s="23"/>
      <c r="EP98" s="23"/>
      <c r="EQ98" s="23"/>
      <c r="ER98" s="23"/>
      <c r="ES98" s="23"/>
      <c r="ET98" s="23"/>
      <c r="EU98" s="23"/>
      <c r="EV98" s="23"/>
      <c r="EW98" s="23"/>
      <c r="EX98" s="23"/>
      <c r="EY98" s="23"/>
      <c r="EZ98" s="23"/>
      <c r="FA98" s="23"/>
      <c r="FB98" s="23"/>
      <c r="FC98" s="23"/>
      <c r="FD98" s="23"/>
      <c r="FE98" s="23"/>
      <c r="FF98" s="23"/>
      <c r="FG98" s="23"/>
      <c r="FH98" s="23"/>
      <c r="FI98" s="23"/>
      <c r="FJ98" s="23"/>
      <c r="FK98" s="23"/>
      <c r="FL98" s="23"/>
      <c r="FM98" s="23"/>
      <c r="FN98" s="23"/>
      <c r="FO98" s="23"/>
      <c r="FP98" s="23"/>
      <c r="FQ98" s="23"/>
      <c r="FR98" s="23"/>
      <c r="FS98" s="23"/>
      <c r="FT98" s="23"/>
      <c r="FU98" s="23"/>
      <c r="FV98" s="23"/>
      <c r="FW98" s="23"/>
      <c r="FX98" s="23"/>
      <c r="FY98" s="23"/>
      <c r="FZ98" s="23"/>
      <c r="GA98" s="23"/>
      <c r="GB98" s="23"/>
      <c r="GC98" s="23"/>
      <c r="GD98" s="23"/>
      <c r="GE98" s="23"/>
      <c r="GF98" s="23"/>
      <c r="GG98" s="23"/>
      <c r="GH98" s="23"/>
      <c r="GI98" s="23"/>
      <c r="GJ98" s="23"/>
      <c r="GK98" s="23"/>
      <c r="GL98" s="23"/>
    </row>
    <row r="99" spans="1:194" ht="13">
      <c r="A99" s="23"/>
      <c r="B99" s="23"/>
      <c r="C99" s="23"/>
      <c r="D99" s="23"/>
      <c r="E99" s="23"/>
      <c r="F99" s="23"/>
      <c r="G99" s="23"/>
      <c r="H99" s="401"/>
      <c r="I99" s="401"/>
      <c r="J99" s="401"/>
      <c r="K99" s="401"/>
      <c r="L99" s="401"/>
      <c r="M99" s="438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  <c r="DB99" s="23"/>
      <c r="DC99" s="23"/>
      <c r="DD99" s="23"/>
      <c r="DE99" s="23"/>
      <c r="DF99" s="23"/>
      <c r="DG99" s="23"/>
      <c r="DH99" s="23"/>
      <c r="DI99" s="23"/>
      <c r="DJ99" s="23"/>
      <c r="DK99" s="23"/>
      <c r="DL99" s="23"/>
      <c r="DM99" s="23"/>
      <c r="DN99" s="23"/>
      <c r="DO99" s="23"/>
      <c r="DP99" s="23"/>
      <c r="DQ99" s="23"/>
      <c r="DR99" s="23"/>
      <c r="DS99" s="23"/>
      <c r="DT99" s="23"/>
      <c r="DU99" s="23"/>
      <c r="DV99" s="23"/>
      <c r="DW99" s="23"/>
      <c r="DX99" s="23"/>
      <c r="DY99" s="23"/>
      <c r="DZ99" s="23"/>
      <c r="EA99" s="23"/>
      <c r="EB99" s="23"/>
      <c r="EC99" s="23"/>
      <c r="ED99" s="23"/>
      <c r="EE99" s="23"/>
      <c r="EF99" s="23"/>
      <c r="EG99" s="23"/>
      <c r="EH99" s="23"/>
      <c r="EI99" s="23"/>
      <c r="EJ99" s="23"/>
      <c r="EK99" s="23"/>
      <c r="EL99" s="23"/>
      <c r="EM99" s="23"/>
      <c r="EN99" s="23"/>
      <c r="EO99" s="23"/>
      <c r="EP99" s="23"/>
      <c r="EQ99" s="23"/>
      <c r="ER99" s="23"/>
      <c r="ES99" s="23"/>
      <c r="ET99" s="23"/>
      <c r="EU99" s="23"/>
      <c r="EV99" s="23"/>
      <c r="EW99" s="23"/>
      <c r="EX99" s="23"/>
      <c r="EY99" s="23"/>
      <c r="EZ99" s="23"/>
      <c r="FA99" s="23"/>
      <c r="FB99" s="23"/>
      <c r="FC99" s="23"/>
      <c r="FD99" s="23"/>
      <c r="FE99" s="23"/>
      <c r="FF99" s="23"/>
      <c r="FG99" s="23"/>
      <c r="FH99" s="23"/>
      <c r="FI99" s="23"/>
      <c r="FJ99" s="23"/>
      <c r="FK99" s="23"/>
      <c r="FL99" s="23"/>
      <c r="FM99" s="23"/>
      <c r="FN99" s="23"/>
      <c r="FO99" s="23"/>
      <c r="FP99" s="23"/>
      <c r="FQ99" s="23"/>
      <c r="FR99" s="23"/>
      <c r="FS99" s="23"/>
      <c r="FT99" s="23"/>
      <c r="FU99" s="23"/>
      <c r="FV99" s="23"/>
      <c r="FW99" s="23"/>
      <c r="FX99" s="23"/>
      <c r="FY99" s="23"/>
      <c r="FZ99" s="23"/>
      <c r="GA99" s="23"/>
      <c r="GB99" s="23"/>
      <c r="GC99" s="23"/>
      <c r="GD99" s="23"/>
      <c r="GE99" s="23"/>
      <c r="GF99" s="23"/>
      <c r="GG99" s="23"/>
      <c r="GH99" s="23"/>
      <c r="GI99" s="23"/>
      <c r="GJ99" s="23"/>
      <c r="GK99" s="23"/>
      <c r="GL99" s="23"/>
    </row>
    <row r="100" spans="1:194" ht="13">
      <c r="A100" s="23"/>
      <c r="B100" s="23"/>
      <c r="C100" s="23"/>
      <c r="D100" s="23"/>
      <c r="E100" s="23"/>
      <c r="F100" s="23"/>
      <c r="G100" s="23"/>
      <c r="H100" s="401"/>
      <c r="I100" s="401"/>
      <c r="J100" s="401"/>
      <c r="K100" s="401"/>
      <c r="L100" s="401"/>
      <c r="M100" s="438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  <c r="DL100" s="23"/>
      <c r="DM100" s="23"/>
      <c r="DN100" s="23"/>
      <c r="DO100" s="23"/>
      <c r="DP100" s="23"/>
      <c r="DQ100" s="23"/>
      <c r="DR100" s="23"/>
      <c r="DS100" s="23"/>
      <c r="DT100" s="23"/>
      <c r="DU100" s="23"/>
      <c r="DV100" s="23"/>
      <c r="DW100" s="23"/>
      <c r="DX100" s="23"/>
      <c r="DY100" s="23"/>
      <c r="DZ100" s="23"/>
      <c r="EA100" s="23"/>
      <c r="EB100" s="23"/>
      <c r="EC100" s="23"/>
      <c r="ED100" s="23"/>
      <c r="EE100" s="23"/>
      <c r="EF100" s="23"/>
      <c r="EG100" s="23"/>
      <c r="EH100" s="23"/>
      <c r="EI100" s="23"/>
      <c r="EJ100" s="23"/>
      <c r="EK100" s="23"/>
      <c r="EL100" s="23"/>
      <c r="EM100" s="23"/>
      <c r="EN100" s="23"/>
      <c r="EO100" s="23"/>
      <c r="EP100" s="23"/>
      <c r="EQ100" s="23"/>
      <c r="ER100" s="23"/>
      <c r="ES100" s="23"/>
      <c r="ET100" s="23"/>
      <c r="EU100" s="23"/>
      <c r="EV100" s="23"/>
      <c r="EW100" s="23"/>
      <c r="EX100" s="23"/>
      <c r="EY100" s="23"/>
      <c r="EZ100" s="23"/>
      <c r="FA100" s="23"/>
      <c r="FB100" s="23"/>
      <c r="FC100" s="23"/>
      <c r="FD100" s="23"/>
      <c r="FE100" s="23"/>
      <c r="FF100" s="23"/>
      <c r="FG100" s="23"/>
      <c r="FH100" s="23"/>
      <c r="FI100" s="23"/>
      <c r="FJ100" s="23"/>
      <c r="FK100" s="23"/>
      <c r="FL100" s="23"/>
      <c r="FM100" s="23"/>
      <c r="FN100" s="23"/>
      <c r="FO100" s="23"/>
      <c r="FP100" s="23"/>
      <c r="FQ100" s="23"/>
      <c r="FR100" s="23"/>
      <c r="FS100" s="23"/>
      <c r="FT100" s="23"/>
      <c r="FU100" s="23"/>
      <c r="FV100" s="23"/>
      <c r="FW100" s="23"/>
      <c r="FX100" s="23"/>
      <c r="FY100" s="23"/>
      <c r="FZ100" s="23"/>
      <c r="GA100" s="23"/>
      <c r="GB100" s="23"/>
      <c r="GC100" s="23"/>
      <c r="GD100" s="23"/>
      <c r="GE100" s="23"/>
      <c r="GF100" s="23"/>
      <c r="GG100" s="23"/>
      <c r="GH100" s="23"/>
      <c r="GI100" s="23"/>
      <c r="GJ100" s="23"/>
      <c r="GK100" s="23"/>
      <c r="GL100" s="23"/>
    </row>
    <row r="101" spans="1:194" ht="13">
      <c r="A101" s="23"/>
      <c r="B101" s="23"/>
      <c r="C101" s="23"/>
      <c r="D101" s="23"/>
      <c r="E101" s="23"/>
      <c r="F101" s="23"/>
      <c r="G101" s="23"/>
      <c r="H101" s="401"/>
      <c r="I101" s="401"/>
      <c r="J101" s="401"/>
      <c r="K101" s="401"/>
      <c r="L101" s="401"/>
      <c r="M101" s="438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  <c r="DB101" s="23"/>
      <c r="DC101" s="23"/>
      <c r="DD101" s="23"/>
      <c r="DE101" s="23"/>
      <c r="DF101" s="23"/>
      <c r="DG101" s="23"/>
      <c r="DH101" s="23"/>
      <c r="DI101" s="23"/>
      <c r="DJ101" s="23"/>
      <c r="DK101" s="23"/>
      <c r="DL101" s="23"/>
      <c r="DM101" s="23"/>
      <c r="DN101" s="23"/>
      <c r="DO101" s="23"/>
      <c r="DP101" s="23"/>
      <c r="DQ101" s="23"/>
      <c r="DR101" s="23"/>
      <c r="DS101" s="23"/>
      <c r="DT101" s="23"/>
      <c r="DU101" s="23"/>
      <c r="DV101" s="23"/>
      <c r="DW101" s="23"/>
      <c r="DX101" s="23"/>
      <c r="DY101" s="23"/>
      <c r="DZ101" s="23"/>
      <c r="EA101" s="23"/>
      <c r="EB101" s="23"/>
      <c r="EC101" s="23"/>
      <c r="ED101" s="23"/>
      <c r="EE101" s="23"/>
      <c r="EF101" s="23"/>
      <c r="EG101" s="23"/>
      <c r="EH101" s="23"/>
      <c r="EI101" s="23"/>
      <c r="EJ101" s="23"/>
      <c r="EK101" s="23"/>
      <c r="EL101" s="23"/>
      <c r="EM101" s="23"/>
      <c r="EN101" s="23"/>
      <c r="EO101" s="23"/>
      <c r="EP101" s="23"/>
      <c r="EQ101" s="23"/>
      <c r="ER101" s="23"/>
      <c r="ES101" s="23"/>
      <c r="ET101" s="23"/>
      <c r="EU101" s="23"/>
      <c r="EV101" s="23"/>
      <c r="EW101" s="23"/>
      <c r="EX101" s="23"/>
      <c r="EY101" s="23"/>
      <c r="EZ101" s="23"/>
      <c r="FA101" s="23"/>
      <c r="FB101" s="23"/>
      <c r="FC101" s="23"/>
      <c r="FD101" s="23"/>
      <c r="FE101" s="23"/>
      <c r="FF101" s="23"/>
      <c r="FG101" s="23"/>
      <c r="FH101" s="23"/>
      <c r="FI101" s="23"/>
      <c r="FJ101" s="23"/>
      <c r="FK101" s="23"/>
      <c r="FL101" s="23"/>
      <c r="FM101" s="23"/>
      <c r="FN101" s="23"/>
      <c r="FO101" s="23"/>
      <c r="FP101" s="23"/>
      <c r="FQ101" s="23"/>
      <c r="FR101" s="23"/>
      <c r="FS101" s="23"/>
      <c r="FT101" s="23"/>
      <c r="FU101" s="23"/>
      <c r="FV101" s="23"/>
      <c r="FW101" s="23"/>
      <c r="FX101" s="23"/>
      <c r="FY101" s="23"/>
      <c r="FZ101" s="23"/>
      <c r="GA101" s="23"/>
      <c r="GB101" s="23"/>
      <c r="GC101" s="23"/>
      <c r="GD101" s="23"/>
      <c r="GE101" s="23"/>
      <c r="GF101" s="23"/>
      <c r="GG101" s="23"/>
      <c r="GH101" s="23"/>
      <c r="GI101" s="23"/>
      <c r="GJ101" s="23"/>
      <c r="GK101" s="23"/>
      <c r="GL101" s="23"/>
    </row>
    <row r="102" spans="1:194" ht="13">
      <c r="A102" s="23"/>
      <c r="B102" s="23"/>
      <c r="C102" s="23"/>
      <c r="D102" s="23"/>
      <c r="E102" s="23"/>
      <c r="F102" s="23"/>
      <c r="G102" s="23"/>
      <c r="H102" s="401"/>
      <c r="I102" s="401"/>
      <c r="J102" s="401"/>
      <c r="K102" s="401"/>
      <c r="L102" s="401"/>
      <c r="M102" s="438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H102" s="23"/>
      <c r="DI102" s="23"/>
      <c r="DJ102" s="23"/>
      <c r="DK102" s="23"/>
      <c r="DL102" s="23"/>
      <c r="DM102" s="23"/>
      <c r="DN102" s="23"/>
      <c r="DO102" s="23"/>
      <c r="DP102" s="23"/>
      <c r="DQ102" s="23"/>
      <c r="DR102" s="23"/>
      <c r="DS102" s="23"/>
      <c r="DT102" s="23"/>
      <c r="DU102" s="23"/>
      <c r="DV102" s="23"/>
      <c r="DW102" s="23"/>
      <c r="DX102" s="23"/>
      <c r="DY102" s="23"/>
      <c r="DZ102" s="23"/>
      <c r="EA102" s="23"/>
      <c r="EB102" s="23"/>
      <c r="EC102" s="23"/>
      <c r="ED102" s="23"/>
      <c r="EE102" s="23"/>
      <c r="EF102" s="23"/>
      <c r="EG102" s="23"/>
      <c r="EH102" s="23"/>
      <c r="EI102" s="23"/>
      <c r="EJ102" s="23"/>
      <c r="EK102" s="23"/>
      <c r="EL102" s="23"/>
      <c r="EM102" s="23"/>
      <c r="EN102" s="23"/>
      <c r="EO102" s="23"/>
      <c r="EP102" s="23"/>
      <c r="EQ102" s="23"/>
      <c r="ER102" s="23"/>
      <c r="ES102" s="23"/>
      <c r="ET102" s="23"/>
      <c r="EU102" s="23"/>
      <c r="EV102" s="23"/>
      <c r="EW102" s="23"/>
      <c r="EX102" s="23"/>
      <c r="EY102" s="23"/>
      <c r="EZ102" s="23"/>
      <c r="FA102" s="23"/>
      <c r="FB102" s="23"/>
      <c r="FC102" s="23"/>
      <c r="FD102" s="23"/>
      <c r="FE102" s="23"/>
      <c r="FF102" s="23"/>
      <c r="FG102" s="23"/>
      <c r="FH102" s="23"/>
      <c r="FI102" s="23"/>
      <c r="FJ102" s="23"/>
      <c r="FK102" s="23"/>
      <c r="FL102" s="23"/>
      <c r="FM102" s="23"/>
      <c r="FN102" s="23"/>
      <c r="FO102" s="23"/>
      <c r="FP102" s="23"/>
      <c r="FQ102" s="23"/>
      <c r="FR102" s="23"/>
      <c r="FS102" s="23"/>
      <c r="FT102" s="23"/>
      <c r="FU102" s="23"/>
      <c r="FV102" s="23"/>
      <c r="FW102" s="23"/>
      <c r="FX102" s="23"/>
      <c r="FY102" s="23"/>
      <c r="FZ102" s="23"/>
      <c r="GA102" s="23"/>
      <c r="GB102" s="23"/>
      <c r="GC102" s="23"/>
      <c r="GD102" s="23"/>
      <c r="GE102" s="23"/>
      <c r="GF102" s="23"/>
      <c r="GG102" s="23"/>
      <c r="GH102" s="23"/>
      <c r="GI102" s="23"/>
      <c r="GJ102" s="23"/>
      <c r="GK102" s="23"/>
      <c r="GL102" s="23"/>
    </row>
    <row r="103" spans="1:194" ht="13">
      <c r="A103" s="23"/>
      <c r="B103" s="23"/>
      <c r="C103" s="23"/>
      <c r="D103" s="23"/>
      <c r="E103" s="23"/>
      <c r="F103" s="23"/>
      <c r="G103" s="23"/>
      <c r="H103" s="401"/>
      <c r="I103" s="401"/>
      <c r="J103" s="401"/>
      <c r="K103" s="401"/>
      <c r="L103" s="401"/>
      <c r="M103" s="438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/>
      <c r="DJ103" s="23"/>
      <c r="DK103" s="23"/>
      <c r="DL103" s="23"/>
      <c r="DM103" s="23"/>
      <c r="DN103" s="23"/>
      <c r="DO103" s="23"/>
      <c r="DP103" s="23"/>
      <c r="DQ103" s="23"/>
      <c r="DR103" s="23"/>
      <c r="DS103" s="23"/>
      <c r="DT103" s="23"/>
      <c r="DU103" s="23"/>
      <c r="DV103" s="23"/>
      <c r="DW103" s="23"/>
      <c r="DX103" s="23"/>
      <c r="DY103" s="23"/>
      <c r="DZ103" s="23"/>
      <c r="EA103" s="23"/>
      <c r="EB103" s="23"/>
      <c r="EC103" s="23"/>
      <c r="ED103" s="23"/>
      <c r="EE103" s="23"/>
      <c r="EF103" s="23"/>
      <c r="EG103" s="23"/>
      <c r="EH103" s="23"/>
      <c r="EI103" s="23"/>
      <c r="EJ103" s="23"/>
      <c r="EK103" s="23"/>
      <c r="EL103" s="23"/>
      <c r="EM103" s="23"/>
      <c r="EN103" s="23"/>
      <c r="EO103" s="23"/>
      <c r="EP103" s="23"/>
      <c r="EQ103" s="23"/>
      <c r="ER103" s="23"/>
      <c r="ES103" s="23"/>
      <c r="ET103" s="23"/>
      <c r="EU103" s="23"/>
      <c r="EV103" s="23"/>
      <c r="EW103" s="23"/>
      <c r="EX103" s="23"/>
      <c r="EY103" s="23"/>
      <c r="EZ103" s="23"/>
      <c r="FA103" s="23"/>
      <c r="FB103" s="23"/>
      <c r="FC103" s="23"/>
      <c r="FD103" s="23"/>
      <c r="FE103" s="23"/>
      <c r="FF103" s="23"/>
      <c r="FG103" s="23"/>
      <c r="FH103" s="23"/>
      <c r="FI103" s="23"/>
      <c r="FJ103" s="23"/>
      <c r="FK103" s="23"/>
      <c r="FL103" s="23"/>
      <c r="FM103" s="23"/>
      <c r="FN103" s="23"/>
      <c r="FO103" s="23"/>
      <c r="FP103" s="23"/>
      <c r="FQ103" s="23"/>
      <c r="FR103" s="23"/>
      <c r="FS103" s="23"/>
      <c r="FT103" s="23"/>
      <c r="FU103" s="23"/>
      <c r="FV103" s="23"/>
      <c r="FW103" s="23"/>
      <c r="FX103" s="23"/>
      <c r="FY103" s="23"/>
      <c r="FZ103" s="23"/>
      <c r="GA103" s="23"/>
      <c r="GB103" s="23"/>
      <c r="GC103" s="23"/>
      <c r="GD103" s="23"/>
      <c r="GE103" s="23"/>
      <c r="GF103" s="23"/>
      <c r="GG103" s="23"/>
      <c r="GH103" s="23"/>
      <c r="GI103" s="23"/>
      <c r="GJ103" s="23"/>
      <c r="GK103" s="23"/>
      <c r="GL103" s="23"/>
    </row>
    <row r="104" spans="1:194" ht="13">
      <c r="A104" s="23"/>
      <c r="B104" s="23"/>
      <c r="C104" s="23"/>
      <c r="D104" s="23"/>
      <c r="E104" s="23"/>
      <c r="F104" s="23"/>
      <c r="G104" s="23"/>
      <c r="H104" s="401"/>
      <c r="I104" s="401"/>
      <c r="J104" s="401"/>
      <c r="K104" s="401"/>
      <c r="L104" s="401"/>
      <c r="M104" s="438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H104" s="23"/>
      <c r="DI104" s="23"/>
      <c r="DJ104" s="23"/>
      <c r="DK104" s="23"/>
      <c r="DL104" s="23"/>
      <c r="DM104" s="23"/>
      <c r="DN104" s="23"/>
      <c r="DO104" s="23"/>
      <c r="DP104" s="23"/>
      <c r="DQ104" s="23"/>
      <c r="DR104" s="23"/>
      <c r="DS104" s="23"/>
      <c r="DT104" s="23"/>
      <c r="DU104" s="23"/>
      <c r="DV104" s="23"/>
      <c r="DW104" s="23"/>
      <c r="DX104" s="23"/>
      <c r="DY104" s="23"/>
      <c r="DZ104" s="23"/>
      <c r="EA104" s="23"/>
      <c r="EB104" s="23"/>
      <c r="EC104" s="23"/>
      <c r="ED104" s="23"/>
      <c r="EE104" s="23"/>
      <c r="EF104" s="23"/>
      <c r="EG104" s="23"/>
      <c r="EH104" s="23"/>
      <c r="EI104" s="23"/>
      <c r="EJ104" s="23"/>
      <c r="EK104" s="23"/>
      <c r="EL104" s="23"/>
      <c r="EM104" s="23"/>
      <c r="EN104" s="23"/>
      <c r="EO104" s="23"/>
      <c r="EP104" s="23"/>
      <c r="EQ104" s="23"/>
      <c r="ER104" s="23"/>
      <c r="ES104" s="23"/>
      <c r="ET104" s="23"/>
      <c r="EU104" s="23"/>
      <c r="EV104" s="23"/>
      <c r="EW104" s="23"/>
      <c r="EX104" s="23"/>
      <c r="EY104" s="23"/>
      <c r="EZ104" s="23"/>
      <c r="FA104" s="23"/>
      <c r="FB104" s="23"/>
      <c r="FC104" s="23"/>
      <c r="FD104" s="23"/>
      <c r="FE104" s="23"/>
      <c r="FF104" s="23"/>
      <c r="FG104" s="23"/>
      <c r="FH104" s="23"/>
      <c r="FI104" s="23"/>
      <c r="FJ104" s="23"/>
      <c r="FK104" s="23"/>
      <c r="FL104" s="23"/>
      <c r="FM104" s="23"/>
      <c r="FN104" s="23"/>
      <c r="FO104" s="23"/>
      <c r="FP104" s="23"/>
      <c r="FQ104" s="23"/>
      <c r="FR104" s="23"/>
      <c r="FS104" s="23"/>
      <c r="FT104" s="23"/>
      <c r="FU104" s="23"/>
      <c r="FV104" s="23"/>
      <c r="FW104" s="23"/>
      <c r="FX104" s="23"/>
      <c r="FY104" s="23"/>
      <c r="FZ104" s="23"/>
      <c r="GA104" s="23"/>
      <c r="GB104" s="23"/>
      <c r="GC104" s="23"/>
      <c r="GD104" s="23"/>
      <c r="GE104" s="23"/>
      <c r="GF104" s="23"/>
      <c r="GG104" s="23"/>
      <c r="GH104" s="23"/>
      <c r="GI104" s="23"/>
      <c r="GJ104" s="23"/>
      <c r="GK104" s="23"/>
      <c r="GL104" s="23"/>
    </row>
    <row r="105" spans="1:194" ht="13">
      <c r="A105" s="23"/>
      <c r="B105" s="23"/>
      <c r="C105" s="23"/>
      <c r="D105" s="23"/>
      <c r="E105" s="23"/>
      <c r="F105" s="23"/>
      <c r="G105" s="23"/>
      <c r="H105" s="401"/>
      <c r="I105" s="401"/>
      <c r="J105" s="401"/>
      <c r="K105" s="401"/>
      <c r="L105" s="401"/>
      <c r="M105" s="438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  <c r="DL105" s="23"/>
      <c r="DM105" s="23"/>
      <c r="DN105" s="23"/>
      <c r="DO105" s="23"/>
      <c r="DP105" s="23"/>
      <c r="DQ105" s="23"/>
      <c r="DR105" s="23"/>
      <c r="DS105" s="23"/>
      <c r="DT105" s="23"/>
      <c r="DU105" s="23"/>
      <c r="DV105" s="23"/>
      <c r="DW105" s="23"/>
      <c r="DX105" s="23"/>
      <c r="DY105" s="23"/>
      <c r="DZ105" s="23"/>
      <c r="EA105" s="23"/>
      <c r="EB105" s="23"/>
      <c r="EC105" s="23"/>
      <c r="ED105" s="23"/>
      <c r="EE105" s="23"/>
      <c r="EF105" s="23"/>
      <c r="EG105" s="23"/>
      <c r="EH105" s="23"/>
      <c r="EI105" s="23"/>
      <c r="EJ105" s="23"/>
      <c r="EK105" s="23"/>
      <c r="EL105" s="23"/>
      <c r="EM105" s="23"/>
      <c r="EN105" s="23"/>
      <c r="EO105" s="23"/>
      <c r="EP105" s="23"/>
      <c r="EQ105" s="23"/>
      <c r="ER105" s="23"/>
      <c r="ES105" s="23"/>
      <c r="ET105" s="23"/>
      <c r="EU105" s="23"/>
      <c r="EV105" s="23"/>
      <c r="EW105" s="23"/>
      <c r="EX105" s="23"/>
      <c r="EY105" s="23"/>
      <c r="EZ105" s="23"/>
      <c r="FA105" s="23"/>
      <c r="FB105" s="23"/>
      <c r="FC105" s="23"/>
      <c r="FD105" s="23"/>
      <c r="FE105" s="23"/>
      <c r="FF105" s="23"/>
      <c r="FG105" s="23"/>
      <c r="FH105" s="23"/>
      <c r="FI105" s="23"/>
      <c r="FJ105" s="23"/>
      <c r="FK105" s="23"/>
      <c r="FL105" s="23"/>
      <c r="FM105" s="23"/>
      <c r="FN105" s="23"/>
      <c r="FO105" s="23"/>
      <c r="FP105" s="23"/>
      <c r="FQ105" s="23"/>
      <c r="FR105" s="23"/>
      <c r="FS105" s="23"/>
      <c r="FT105" s="23"/>
      <c r="FU105" s="23"/>
      <c r="FV105" s="23"/>
      <c r="FW105" s="23"/>
      <c r="FX105" s="23"/>
      <c r="FY105" s="23"/>
      <c r="FZ105" s="23"/>
      <c r="GA105" s="23"/>
      <c r="GB105" s="23"/>
      <c r="GC105" s="23"/>
      <c r="GD105" s="23"/>
      <c r="GE105" s="23"/>
      <c r="GF105" s="23"/>
      <c r="GG105" s="23"/>
      <c r="GH105" s="23"/>
      <c r="GI105" s="23"/>
      <c r="GJ105" s="23"/>
      <c r="GK105" s="23"/>
      <c r="GL105" s="23"/>
    </row>
    <row r="106" spans="1:194" ht="13">
      <c r="A106" s="23"/>
      <c r="B106" s="23"/>
      <c r="C106" s="23"/>
      <c r="D106" s="23"/>
      <c r="E106" s="23"/>
      <c r="F106" s="23"/>
      <c r="G106" s="23"/>
      <c r="H106" s="401"/>
      <c r="I106" s="401"/>
      <c r="J106" s="401"/>
      <c r="K106" s="401"/>
      <c r="L106" s="401"/>
      <c r="M106" s="438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  <c r="DB106" s="23"/>
      <c r="DC106" s="23"/>
      <c r="DD106" s="23"/>
      <c r="DE106" s="23"/>
      <c r="DF106" s="23"/>
      <c r="DG106" s="23"/>
      <c r="DH106" s="23"/>
      <c r="DI106" s="23"/>
      <c r="DJ106" s="23"/>
      <c r="DK106" s="23"/>
      <c r="DL106" s="23"/>
      <c r="DM106" s="23"/>
      <c r="DN106" s="23"/>
      <c r="DO106" s="23"/>
      <c r="DP106" s="23"/>
      <c r="DQ106" s="23"/>
      <c r="DR106" s="23"/>
      <c r="DS106" s="23"/>
      <c r="DT106" s="23"/>
      <c r="DU106" s="23"/>
      <c r="DV106" s="23"/>
      <c r="DW106" s="23"/>
      <c r="DX106" s="23"/>
      <c r="DY106" s="23"/>
      <c r="DZ106" s="23"/>
      <c r="EA106" s="23"/>
      <c r="EB106" s="23"/>
      <c r="EC106" s="23"/>
      <c r="ED106" s="23"/>
      <c r="EE106" s="23"/>
      <c r="EF106" s="23"/>
      <c r="EG106" s="23"/>
      <c r="EH106" s="23"/>
      <c r="EI106" s="23"/>
      <c r="EJ106" s="23"/>
      <c r="EK106" s="23"/>
      <c r="EL106" s="23"/>
      <c r="EM106" s="23"/>
      <c r="EN106" s="23"/>
      <c r="EO106" s="23"/>
      <c r="EP106" s="23"/>
      <c r="EQ106" s="23"/>
      <c r="ER106" s="23"/>
      <c r="ES106" s="23"/>
      <c r="ET106" s="23"/>
      <c r="EU106" s="23"/>
      <c r="EV106" s="23"/>
      <c r="EW106" s="23"/>
      <c r="EX106" s="23"/>
      <c r="EY106" s="23"/>
      <c r="EZ106" s="23"/>
      <c r="FA106" s="23"/>
      <c r="FB106" s="23"/>
      <c r="FC106" s="23"/>
      <c r="FD106" s="23"/>
      <c r="FE106" s="23"/>
      <c r="FF106" s="23"/>
      <c r="FG106" s="23"/>
      <c r="FH106" s="23"/>
      <c r="FI106" s="23"/>
      <c r="FJ106" s="23"/>
      <c r="FK106" s="23"/>
      <c r="FL106" s="23"/>
      <c r="FM106" s="23"/>
      <c r="FN106" s="23"/>
      <c r="FO106" s="23"/>
      <c r="FP106" s="23"/>
      <c r="FQ106" s="23"/>
      <c r="FR106" s="23"/>
      <c r="FS106" s="23"/>
      <c r="FT106" s="23"/>
      <c r="FU106" s="23"/>
      <c r="FV106" s="23"/>
      <c r="FW106" s="23"/>
      <c r="FX106" s="23"/>
      <c r="FY106" s="23"/>
      <c r="FZ106" s="23"/>
      <c r="GA106" s="23"/>
      <c r="GB106" s="23"/>
      <c r="GC106" s="23"/>
      <c r="GD106" s="23"/>
      <c r="GE106" s="23"/>
      <c r="GF106" s="23"/>
      <c r="GG106" s="23"/>
      <c r="GH106" s="23"/>
      <c r="GI106" s="23"/>
      <c r="GJ106" s="23"/>
      <c r="GK106" s="23"/>
      <c r="GL106" s="23"/>
    </row>
    <row r="107" spans="1:194" ht="13">
      <c r="A107" s="23"/>
      <c r="B107" s="23"/>
      <c r="C107" s="23"/>
      <c r="D107" s="23"/>
      <c r="E107" s="23"/>
      <c r="F107" s="23"/>
      <c r="G107" s="23"/>
      <c r="H107" s="401"/>
      <c r="I107" s="401"/>
      <c r="J107" s="401"/>
      <c r="K107" s="401"/>
      <c r="L107" s="401"/>
      <c r="M107" s="438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H107" s="23"/>
      <c r="DI107" s="23"/>
      <c r="DJ107" s="23"/>
      <c r="DK107" s="23"/>
      <c r="DL107" s="23"/>
      <c r="DM107" s="23"/>
      <c r="DN107" s="23"/>
      <c r="DO107" s="23"/>
      <c r="DP107" s="23"/>
      <c r="DQ107" s="23"/>
      <c r="DR107" s="23"/>
      <c r="DS107" s="23"/>
      <c r="DT107" s="23"/>
      <c r="DU107" s="23"/>
      <c r="DV107" s="23"/>
      <c r="DW107" s="23"/>
      <c r="DX107" s="23"/>
      <c r="DY107" s="23"/>
      <c r="DZ107" s="23"/>
      <c r="EA107" s="23"/>
      <c r="EB107" s="23"/>
      <c r="EC107" s="23"/>
      <c r="ED107" s="23"/>
      <c r="EE107" s="23"/>
      <c r="EF107" s="23"/>
      <c r="EG107" s="23"/>
      <c r="EH107" s="23"/>
      <c r="EI107" s="23"/>
      <c r="EJ107" s="23"/>
      <c r="EK107" s="23"/>
      <c r="EL107" s="23"/>
      <c r="EM107" s="23"/>
      <c r="EN107" s="23"/>
      <c r="EO107" s="23"/>
      <c r="EP107" s="23"/>
      <c r="EQ107" s="23"/>
      <c r="ER107" s="23"/>
      <c r="ES107" s="23"/>
      <c r="ET107" s="23"/>
      <c r="EU107" s="23"/>
      <c r="EV107" s="23"/>
      <c r="EW107" s="23"/>
      <c r="EX107" s="23"/>
      <c r="EY107" s="23"/>
      <c r="EZ107" s="23"/>
      <c r="FA107" s="23"/>
      <c r="FB107" s="23"/>
      <c r="FC107" s="23"/>
      <c r="FD107" s="23"/>
      <c r="FE107" s="23"/>
      <c r="FF107" s="23"/>
      <c r="FG107" s="23"/>
      <c r="FH107" s="23"/>
      <c r="FI107" s="23"/>
      <c r="FJ107" s="23"/>
      <c r="FK107" s="23"/>
      <c r="FL107" s="23"/>
      <c r="FM107" s="23"/>
      <c r="FN107" s="23"/>
      <c r="FO107" s="23"/>
      <c r="FP107" s="23"/>
      <c r="FQ107" s="23"/>
      <c r="FR107" s="23"/>
      <c r="FS107" s="23"/>
      <c r="FT107" s="23"/>
      <c r="FU107" s="23"/>
      <c r="FV107" s="23"/>
      <c r="FW107" s="23"/>
      <c r="FX107" s="23"/>
      <c r="FY107" s="23"/>
      <c r="FZ107" s="23"/>
      <c r="GA107" s="23"/>
      <c r="GB107" s="23"/>
      <c r="GC107" s="23"/>
      <c r="GD107" s="23"/>
      <c r="GE107" s="23"/>
      <c r="GF107" s="23"/>
      <c r="GG107" s="23"/>
      <c r="GH107" s="23"/>
      <c r="GI107" s="23"/>
      <c r="GJ107" s="23"/>
      <c r="GK107" s="23"/>
      <c r="GL107" s="23"/>
    </row>
    <row r="108" spans="1:194" ht="13">
      <c r="A108" s="23"/>
      <c r="B108" s="23"/>
      <c r="C108" s="23"/>
      <c r="D108" s="23"/>
      <c r="E108" s="23"/>
      <c r="F108" s="23"/>
      <c r="G108" s="23"/>
      <c r="H108" s="401"/>
      <c r="I108" s="401"/>
      <c r="J108" s="401"/>
      <c r="K108" s="401"/>
      <c r="L108" s="401"/>
      <c r="M108" s="438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  <c r="DL108" s="23"/>
      <c r="DM108" s="23"/>
      <c r="DN108" s="23"/>
      <c r="DO108" s="23"/>
      <c r="DP108" s="23"/>
      <c r="DQ108" s="23"/>
      <c r="DR108" s="23"/>
      <c r="DS108" s="23"/>
      <c r="DT108" s="23"/>
      <c r="DU108" s="23"/>
      <c r="DV108" s="23"/>
      <c r="DW108" s="23"/>
      <c r="DX108" s="23"/>
      <c r="DY108" s="23"/>
      <c r="DZ108" s="23"/>
      <c r="EA108" s="23"/>
      <c r="EB108" s="23"/>
      <c r="EC108" s="23"/>
      <c r="ED108" s="23"/>
      <c r="EE108" s="23"/>
      <c r="EF108" s="23"/>
      <c r="EG108" s="23"/>
      <c r="EH108" s="23"/>
      <c r="EI108" s="23"/>
      <c r="EJ108" s="23"/>
      <c r="EK108" s="23"/>
      <c r="EL108" s="23"/>
      <c r="EM108" s="23"/>
      <c r="EN108" s="23"/>
      <c r="EO108" s="23"/>
      <c r="EP108" s="23"/>
      <c r="EQ108" s="23"/>
      <c r="ER108" s="23"/>
      <c r="ES108" s="23"/>
      <c r="ET108" s="23"/>
      <c r="EU108" s="23"/>
      <c r="EV108" s="23"/>
      <c r="EW108" s="23"/>
      <c r="EX108" s="23"/>
      <c r="EY108" s="23"/>
      <c r="EZ108" s="23"/>
      <c r="FA108" s="23"/>
      <c r="FB108" s="23"/>
      <c r="FC108" s="23"/>
      <c r="FD108" s="23"/>
      <c r="FE108" s="23"/>
      <c r="FF108" s="23"/>
      <c r="FG108" s="23"/>
      <c r="FH108" s="23"/>
      <c r="FI108" s="23"/>
      <c r="FJ108" s="23"/>
      <c r="FK108" s="23"/>
      <c r="FL108" s="23"/>
      <c r="FM108" s="23"/>
      <c r="FN108" s="23"/>
      <c r="FO108" s="23"/>
      <c r="FP108" s="23"/>
      <c r="FQ108" s="23"/>
      <c r="FR108" s="23"/>
      <c r="FS108" s="23"/>
      <c r="FT108" s="23"/>
      <c r="FU108" s="23"/>
      <c r="FV108" s="23"/>
      <c r="FW108" s="23"/>
      <c r="FX108" s="23"/>
      <c r="FY108" s="23"/>
      <c r="FZ108" s="23"/>
      <c r="GA108" s="23"/>
      <c r="GB108" s="23"/>
      <c r="GC108" s="23"/>
      <c r="GD108" s="23"/>
      <c r="GE108" s="23"/>
      <c r="GF108" s="23"/>
      <c r="GG108" s="23"/>
      <c r="GH108" s="23"/>
      <c r="GI108" s="23"/>
      <c r="GJ108" s="23"/>
      <c r="GK108" s="23"/>
      <c r="GL108" s="23"/>
    </row>
    <row r="109" spans="1:194" ht="13">
      <c r="A109" s="23"/>
      <c r="B109" s="23"/>
      <c r="C109" s="23"/>
      <c r="D109" s="23"/>
      <c r="E109" s="23"/>
      <c r="F109" s="23"/>
      <c r="G109" s="23"/>
      <c r="H109" s="401"/>
      <c r="I109" s="401"/>
      <c r="J109" s="401"/>
      <c r="K109" s="401"/>
      <c r="L109" s="401"/>
      <c r="M109" s="438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  <c r="DB109" s="23"/>
      <c r="DC109" s="23"/>
      <c r="DD109" s="23"/>
      <c r="DE109" s="23"/>
      <c r="DF109" s="23"/>
      <c r="DG109" s="23"/>
      <c r="DH109" s="23"/>
      <c r="DI109" s="23"/>
      <c r="DJ109" s="23"/>
      <c r="DK109" s="23"/>
      <c r="DL109" s="23"/>
      <c r="DM109" s="23"/>
      <c r="DN109" s="23"/>
      <c r="DO109" s="23"/>
      <c r="DP109" s="23"/>
      <c r="DQ109" s="23"/>
      <c r="DR109" s="23"/>
      <c r="DS109" s="23"/>
      <c r="DT109" s="23"/>
      <c r="DU109" s="23"/>
      <c r="DV109" s="23"/>
      <c r="DW109" s="23"/>
      <c r="DX109" s="23"/>
      <c r="DY109" s="23"/>
      <c r="DZ109" s="23"/>
      <c r="EA109" s="23"/>
      <c r="EB109" s="23"/>
      <c r="EC109" s="23"/>
      <c r="ED109" s="23"/>
      <c r="EE109" s="23"/>
      <c r="EF109" s="23"/>
      <c r="EG109" s="23"/>
      <c r="EH109" s="23"/>
      <c r="EI109" s="23"/>
      <c r="EJ109" s="23"/>
      <c r="EK109" s="23"/>
      <c r="EL109" s="23"/>
      <c r="EM109" s="23"/>
      <c r="EN109" s="23"/>
      <c r="EO109" s="23"/>
      <c r="EP109" s="23"/>
      <c r="EQ109" s="23"/>
      <c r="ER109" s="23"/>
      <c r="ES109" s="23"/>
      <c r="ET109" s="23"/>
      <c r="EU109" s="23"/>
      <c r="EV109" s="23"/>
      <c r="EW109" s="23"/>
      <c r="EX109" s="23"/>
      <c r="EY109" s="23"/>
      <c r="EZ109" s="23"/>
      <c r="FA109" s="23"/>
      <c r="FB109" s="23"/>
      <c r="FC109" s="23"/>
      <c r="FD109" s="23"/>
      <c r="FE109" s="23"/>
      <c r="FF109" s="23"/>
      <c r="FG109" s="23"/>
      <c r="FH109" s="23"/>
      <c r="FI109" s="23"/>
      <c r="FJ109" s="23"/>
      <c r="FK109" s="23"/>
      <c r="FL109" s="23"/>
      <c r="FM109" s="23"/>
      <c r="FN109" s="23"/>
      <c r="FO109" s="23"/>
      <c r="FP109" s="23"/>
      <c r="FQ109" s="23"/>
      <c r="FR109" s="23"/>
      <c r="FS109" s="23"/>
      <c r="FT109" s="23"/>
      <c r="FU109" s="23"/>
      <c r="FV109" s="23"/>
      <c r="FW109" s="23"/>
      <c r="FX109" s="23"/>
      <c r="FY109" s="23"/>
      <c r="FZ109" s="23"/>
      <c r="GA109" s="23"/>
      <c r="GB109" s="23"/>
      <c r="GC109" s="23"/>
      <c r="GD109" s="23"/>
      <c r="GE109" s="23"/>
      <c r="GF109" s="23"/>
      <c r="GG109" s="23"/>
      <c r="GH109" s="23"/>
      <c r="GI109" s="23"/>
      <c r="GJ109" s="23"/>
      <c r="GK109" s="23"/>
      <c r="GL109" s="23"/>
    </row>
    <row r="110" spans="1:194" ht="13">
      <c r="A110" s="23"/>
      <c r="B110" s="23"/>
      <c r="C110" s="23"/>
      <c r="D110" s="23"/>
      <c r="E110" s="23"/>
      <c r="F110" s="23"/>
      <c r="G110" s="23"/>
      <c r="H110" s="401"/>
      <c r="I110" s="401"/>
      <c r="J110" s="401"/>
      <c r="K110" s="401"/>
      <c r="L110" s="401"/>
      <c r="M110" s="438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  <c r="DB110" s="23"/>
      <c r="DC110" s="23"/>
      <c r="DD110" s="23"/>
      <c r="DE110" s="23"/>
      <c r="DF110" s="23"/>
      <c r="DG110" s="23"/>
      <c r="DH110" s="23"/>
      <c r="DI110" s="23"/>
      <c r="DJ110" s="23"/>
      <c r="DK110" s="23"/>
      <c r="DL110" s="23"/>
      <c r="DM110" s="23"/>
      <c r="DN110" s="23"/>
      <c r="DO110" s="23"/>
      <c r="DP110" s="23"/>
      <c r="DQ110" s="23"/>
      <c r="DR110" s="23"/>
      <c r="DS110" s="23"/>
      <c r="DT110" s="23"/>
      <c r="DU110" s="23"/>
      <c r="DV110" s="23"/>
      <c r="DW110" s="23"/>
      <c r="DX110" s="23"/>
      <c r="DY110" s="23"/>
      <c r="DZ110" s="23"/>
      <c r="EA110" s="23"/>
      <c r="EB110" s="23"/>
      <c r="EC110" s="23"/>
      <c r="ED110" s="23"/>
      <c r="EE110" s="23"/>
      <c r="EF110" s="23"/>
      <c r="EG110" s="23"/>
      <c r="EH110" s="23"/>
      <c r="EI110" s="23"/>
      <c r="EJ110" s="23"/>
      <c r="EK110" s="23"/>
      <c r="EL110" s="23"/>
      <c r="EM110" s="23"/>
      <c r="EN110" s="23"/>
      <c r="EO110" s="23"/>
      <c r="EP110" s="23"/>
      <c r="EQ110" s="23"/>
      <c r="ER110" s="23"/>
      <c r="ES110" s="23"/>
      <c r="ET110" s="23"/>
      <c r="EU110" s="23"/>
      <c r="EV110" s="23"/>
      <c r="EW110" s="23"/>
      <c r="EX110" s="23"/>
      <c r="EY110" s="23"/>
      <c r="EZ110" s="23"/>
      <c r="FA110" s="23"/>
      <c r="FB110" s="23"/>
      <c r="FC110" s="23"/>
      <c r="FD110" s="23"/>
      <c r="FE110" s="23"/>
      <c r="FF110" s="23"/>
      <c r="FG110" s="23"/>
      <c r="FH110" s="23"/>
      <c r="FI110" s="23"/>
      <c r="FJ110" s="23"/>
      <c r="FK110" s="23"/>
      <c r="FL110" s="23"/>
      <c r="FM110" s="23"/>
      <c r="FN110" s="23"/>
      <c r="FO110" s="23"/>
      <c r="FP110" s="23"/>
      <c r="FQ110" s="23"/>
      <c r="FR110" s="23"/>
      <c r="FS110" s="23"/>
      <c r="FT110" s="23"/>
      <c r="FU110" s="23"/>
      <c r="FV110" s="23"/>
      <c r="FW110" s="23"/>
      <c r="FX110" s="23"/>
      <c r="FY110" s="23"/>
      <c r="FZ110" s="23"/>
      <c r="GA110" s="23"/>
      <c r="GB110" s="23"/>
      <c r="GC110" s="23"/>
      <c r="GD110" s="23"/>
      <c r="GE110" s="23"/>
      <c r="GF110" s="23"/>
      <c r="GG110" s="23"/>
      <c r="GH110" s="23"/>
      <c r="GI110" s="23"/>
      <c r="GJ110" s="23"/>
      <c r="GK110" s="23"/>
      <c r="GL110" s="23"/>
    </row>
    <row r="111" spans="1:194" ht="13">
      <c r="A111" s="23"/>
      <c r="B111" s="23"/>
      <c r="C111" s="23"/>
      <c r="D111" s="23"/>
      <c r="E111" s="23"/>
      <c r="F111" s="23"/>
      <c r="G111" s="23"/>
      <c r="H111" s="401"/>
      <c r="I111" s="401"/>
      <c r="J111" s="401"/>
      <c r="K111" s="401"/>
      <c r="L111" s="401"/>
      <c r="M111" s="438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  <c r="DB111" s="23"/>
      <c r="DC111" s="23"/>
      <c r="DD111" s="23"/>
      <c r="DE111" s="23"/>
      <c r="DF111" s="23"/>
      <c r="DG111" s="23"/>
      <c r="DH111" s="23"/>
      <c r="DI111" s="23"/>
      <c r="DJ111" s="23"/>
      <c r="DK111" s="23"/>
      <c r="DL111" s="23"/>
      <c r="DM111" s="23"/>
      <c r="DN111" s="23"/>
      <c r="DO111" s="23"/>
      <c r="DP111" s="23"/>
      <c r="DQ111" s="23"/>
      <c r="DR111" s="23"/>
      <c r="DS111" s="23"/>
      <c r="DT111" s="23"/>
      <c r="DU111" s="23"/>
      <c r="DV111" s="23"/>
      <c r="DW111" s="23"/>
      <c r="DX111" s="23"/>
      <c r="DY111" s="23"/>
      <c r="DZ111" s="23"/>
      <c r="EA111" s="23"/>
      <c r="EB111" s="23"/>
      <c r="EC111" s="23"/>
      <c r="ED111" s="23"/>
      <c r="EE111" s="23"/>
      <c r="EF111" s="23"/>
      <c r="EG111" s="23"/>
      <c r="EH111" s="23"/>
      <c r="EI111" s="23"/>
      <c r="EJ111" s="23"/>
      <c r="EK111" s="23"/>
      <c r="EL111" s="23"/>
      <c r="EM111" s="23"/>
      <c r="EN111" s="23"/>
      <c r="EO111" s="23"/>
      <c r="EP111" s="23"/>
      <c r="EQ111" s="23"/>
      <c r="ER111" s="23"/>
      <c r="ES111" s="23"/>
      <c r="ET111" s="23"/>
      <c r="EU111" s="23"/>
      <c r="EV111" s="23"/>
      <c r="EW111" s="23"/>
      <c r="EX111" s="23"/>
      <c r="EY111" s="23"/>
      <c r="EZ111" s="23"/>
      <c r="FA111" s="23"/>
      <c r="FB111" s="23"/>
      <c r="FC111" s="23"/>
      <c r="FD111" s="23"/>
      <c r="FE111" s="23"/>
      <c r="FF111" s="23"/>
      <c r="FG111" s="23"/>
      <c r="FH111" s="23"/>
      <c r="FI111" s="23"/>
      <c r="FJ111" s="23"/>
      <c r="FK111" s="23"/>
      <c r="FL111" s="23"/>
      <c r="FM111" s="23"/>
      <c r="FN111" s="23"/>
      <c r="FO111" s="23"/>
      <c r="FP111" s="23"/>
      <c r="FQ111" s="23"/>
      <c r="FR111" s="23"/>
      <c r="FS111" s="23"/>
      <c r="FT111" s="23"/>
      <c r="FU111" s="23"/>
      <c r="FV111" s="23"/>
      <c r="FW111" s="23"/>
      <c r="FX111" s="23"/>
      <c r="FY111" s="23"/>
      <c r="FZ111" s="23"/>
      <c r="GA111" s="23"/>
      <c r="GB111" s="23"/>
      <c r="GC111" s="23"/>
      <c r="GD111" s="23"/>
      <c r="GE111" s="23"/>
      <c r="GF111" s="23"/>
      <c r="GG111" s="23"/>
      <c r="GH111" s="23"/>
      <c r="GI111" s="23"/>
      <c r="GJ111" s="23"/>
      <c r="GK111" s="23"/>
      <c r="GL111" s="23"/>
    </row>
    <row r="112" spans="1:194" ht="13">
      <c r="A112" s="23"/>
      <c r="B112" s="23"/>
      <c r="C112" s="23"/>
      <c r="D112" s="23"/>
      <c r="E112" s="23"/>
      <c r="F112" s="23"/>
      <c r="G112" s="23"/>
      <c r="H112" s="401"/>
      <c r="I112" s="401"/>
      <c r="J112" s="401"/>
      <c r="K112" s="401"/>
      <c r="L112" s="401"/>
      <c r="M112" s="438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3"/>
      <c r="BQ112" s="23"/>
      <c r="BR112" s="23"/>
      <c r="BS112" s="23"/>
      <c r="BT112" s="23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  <c r="DB112" s="23"/>
      <c r="DC112" s="23"/>
      <c r="DD112" s="23"/>
      <c r="DE112" s="23"/>
      <c r="DF112" s="23"/>
      <c r="DG112" s="23"/>
      <c r="DH112" s="23"/>
      <c r="DI112" s="23"/>
      <c r="DJ112" s="23"/>
      <c r="DK112" s="23"/>
      <c r="DL112" s="23"/>
      <c r="DM112" s="23"/>
      <c r="DN112" s="23"/>
      <c r="DO112" s="23"/>
      <c r="DP112" s="23"/>
      <c r="DQ112" s="23"/>
      <c r="DR112" s="23"/>
      <c r="DS112" s="23"/>
      <c r="DT112" s="23"/>
      <c r="DU112" s="23"/>
      <c r="DV112" s="23"/>
      <c r="DW112" s="23"/>
      <c r="DX112" s="23"/>
      <c r="DY112" s="23"/>
      <c r="DZ112" s="23"/>
      <c r="EA112" s="23"/>
      <c r="EB112" s="23"/>
      <c r="EC112" s="23"/>
      <c r="ED112" s="23"/>
      <c r="EE112" s="23"/>
      <c r="EF112" s="23"/>
      <c r="EG112" s="23"/>
      <c r="EH112" s="23"/>
      <c r="EI112" s="23"/>
      <c r="EJ112" s="23"/>
      <c r="EK112" s="23"/>
      <c r="EL112" s="23"/>
      <c r="EM112" s="23"/>
      <c r="EN112" s="23"/>
      <c r="EO112" s="23"/>
      <c r="EP112" s="23"/>
      <c r="EQ112" s="23"/>
      <c r="ER112" s="23"/>
      <c r="ES112" s="23"/>
      <c r="ET112" s="23"/>
      <c r="EU112" s="23"/>
      <c r="EV112" s="23"/>
      <c r="EW112" s="23"/>
      <c r="EX112" s="23"/>
      <c r="EY112" s="23"/>
      <c r="EZ112" s="23"/>
      <c r="FA112" s="23"/>
      <c r="FB112" s="23"/>
      <c r="FC112" s="23"/>
      <c r="FD112" s="23"/>
      <c r="FE112" s="23"/>
      <c r="FF112" s="23"/>
      <c r="FG112" s="23"/>
      <c r="FH112" s="23"/>
      <c r="FI112" s="23"/>
      <c r="FJ112" s="23"/>
      <c r="FK112" s="23"/>
      <c r="FL112" s="23"/>
      <c r="FM112" s="23"/>
      <c r="FN112" s="23"/>
      <c r="FO112" s="23"/>
      <c r="FP112" s="23"/>
      <c r="FQ112" s="23"/>
      <c r="FR112" s="23"/>
      <c r="FS112" s="23"/>
      <c r="FT112" s="23"/>
      <c r="FU112" s="23"/>
      <c r="FV112" s="23"/>
      <c r="FW112" s="23"/>
      <c r="FX112" s="23"/>
      <c r="FY112" s="23"/>
      <c r="FZ112" s="23"/>
      <c r="GA112" s="23"/>
      <c r="GB112" s="23"/>
      <c r="GC112" s="23"/>
      <c r="GD112" s="23"/>
      <c r="GE112" s="23"/>
      <c r="GF112" s="23"/>
      <c r="GG112" s="23"/>
      <c r="GH112" s="23"/>
      <c r="GI112" s="23"/>
      <c r="GJ112" s="23"/>
      <c r="GK112" s="23"/>
      <c r="GL112" s="23"/>
    </row>
    <row r="113" spans="1:194" ht="13">
      <c r="A113" s="23"/>
      <c r="B113" s="23"/>
      <c r="C113" s="23"/>
      <c r="D113" s="23"/>
      <c r="E113" s="23"/>
      <c r="F113" s="23"/>
      <c r="G113" s="23"/>
      <c r="H113" s="401"/>
      <c r="I113" s="401"/>
      <c r="J113" s="401"/>
      <c r="K113" s="401"/>
      <c r="L113" s="401"/>
      <c r="M113" s="438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  <c r="DL113" s="23"/>
      <c r="DM113" s="23"/>
      <c r="DN113" s="23"/>
      <c r="DO113" s="23"/>
      <c r="DP113" s="23"/>
      <c r="DQ113" s="23"/>
      <c r="DR113" s="23"/>
      <c r="DS113" s="23"/>
      <c r="DT113" s="23"/>
      <c r="DU113" s="23"/>
      <c r="DV113" s="23"/>
      <c r="DW113" s="23"/>
      <c r="DX113" s="23"/>
      <c r="DY113" s="23"/>
      <c r="DZ113" s="23"/>
      <c r="EA113" s="23"/>
      <c r="EB113" s="23"/>
      <c r="EC113" s="23"/>
      <c r="ED113" s="23"/>
      <c r="EE113" s="23"/>
      <c r="EF113" s="23"/>
      <c r="EG113" s="23"/>
      <c r="EH113" s="23"/>
      <c r="EI113" s="23"/>
      <c r="EJ113" s="23"/>
      <c r="EK113" s="23"/>
      <c r="EL113" s="23"/>
      <c r="EM113" s="23"/>
      <c r="EN113" s="23"/>
      <c r="EO113" s="23"/>
      <c r="EP113" s="23"/>
      <c r="EQ113" s="23"/>
      <c r="ER113" s="23"/>
      <c r="ES113" s="23"/>
      <c r="ET113" s="23"/>
      <c r="EU113" s="23"/>
      <c r="EV113" s="23"/>
      <c r="EW113" s="23"/>
      <c r="EX113" s="23"/>
      <c r="EY113" s="23"/>
      <c r="EZ113" s="23"/>
      <c r="FA113" s="23"/>
      <c r="FB113" s="23"/>
      <c r="FC113" s="23"/>
      <c r="FD113" s="23"/>
      <c r="FE113" s="23"/>
      <c r="FF113" s="23"/>
      <c r="FG113" s="23"/>
      <c r="FH113" s="23"/>
      <c r="FI113" s="23"/>
      <c r="FJ113" s="23"/>
      <c r="FK113" s="23"/>
      <c r="FL113" s="23"/>
      <c r="FM113" s="23"/>
      <c r="FN113" s="23"/>
      <c r="FO113" s="23"/>
      <c r="FP113" s="23"/>
      <c r="FQ113" s="23"/>
      <c r="FR113" s="23"/>
      <c r="FS113" s="23"/>
      <c r="FT113" s="23"/>
      <c r="FU113" s="23"/>
      <c r="FV113" s="23"/>
      <c r="FW113" s="23"/>
      <c r="FX113" s="23"/>
      <c r="FY113" s="23"/>
      <c r="FZ113" s="23"/>
      <c r="GA113" s="23"/>
      <c r="GB113" s="23"/>
      <c r="GC113" s="23"/>
      <c r="GD113" s="23"/>
      <c r="GE113" s="23"/>
      <c r="GF113" s="23"/>
      <c r="GG113" s="23"/>
      <c r="GH113" s="23"/>
      <c r="GI113" s="23"/>
      <c r="GJ113" s="23"/>
      <c r="GK113" s="23"/>
      <c r="GL113" s="23"/>
    </row>
    <row r="114" spans="1:194" ht="13">
      <c r="A114" s="23"/>
      <c r="B114" s="23"/>
      <c r="C114" s="23"/>
      <c r="D114" s="23"/>
      <c r="E114" s="23"/>
      <c r="F114" s="23"/>
      <c r="G114" s="23"/>
      <c r="H114" s="401"/>
      <c r="I114" s="401"/>
      <c r="J114" s="401"/>
      <c r="K114" s="401"/>
      <c r="L114" s="401"/>
      <c r="M114" s="438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  <c r="DL114" s="23"/>
      <c r="DM114" s="23"/>
      <c r="DN114" s="23"/>
      <c r="DO114" s="23"/>
      <c r="DP114" s="23"/>
      <c r="DQ114" s="23"/>
      <c r="DR114" s="23"/>
      <c r="DS114" s="23"/>
      <c r="DT114" s="23"/>
      <c r="DU114" s="23"/>
      <c r="DV114" s="23"/>
      <c r="DW114" s="23"/>
      <c r="DX114" s="23"/>
      <c r="DY114" s="23"/>
      <c r="DZ114" s="23"/>
      <c r="EA114" s="23"/>
      <c r="EB114" s="23"/>
      <c r="EC114" s="23"/>
      <c r="ED114" s="23"/>
      <c r="EE114" s="23"/>
      <c r="EF114" s="23"/>
      <c r="EG114" s="23"/>
      <c r="EH114" s="23"/>
      <c r="EI114" s="23"/>
      <c r="EJ114" s="23"/>
      <c r="EK114" s="23"/>
      <c r="EL114" s="23"/>
      <c r="EM114" s="23"/>
      <c r="EN114" s="23"/>
      <c r="EO114" s="23"/>
      <c r="EP114" s="23"/>
      <c r="EQ114" s="23"/>
      <c r="ER114" s="23"/>
      <c r="ES114" s="23"/>
      <c r="ET114" s="23"/>
      <c r="EU114" s="23"/>
      <c r="EV114" s="23"/>
      <c r="EW114" s="23"/>
      <c r="EX114" s="23"/>
      <c r="EY114" s="23"/>
      <c r="EZ114" s="23"/>
      <c r="FA114" s="23"/>
      <c r="FB114" s="23"/>
      <c r="FC114" s="23"/>
      <c r="FD114" s="23"/>
      <c r="FE114" s="23"/>
      <c r="FF114" s="23"/>
      <c r="FG114" s="23"/>
      <c r="FH114" s="23"/>
      <c r="FI114" s="23"/>
      <c r="FJ114" s="23"/>
      <c r="FK114" s="23"/>
      <c r="FL114" s="23"/>
      <c r="FM114" s="23"/>
      <c r="FN114" s="23"/>
      <c r="FO114" s="23"/>
      <c r="FP114" s="23"/>
      <c r="FQ114" s="23"/>
      <c r="FR114" s="23"/>
      <c r="FS114" s="23"/>
      <c r="FT114" s="23"/>
      <c r="FU114" s="23"/>
      <c r="FV114" s="23"/>
      <c r="FW114" s="23"/>
      <c r="FX114" s="23"/>
      <c r="FY114" s="23"/>
      <c r="FZ114" s="23"/>
      <c r="GA114" s="23"/>
      <c r="GB114" s="23"/>
      <c r="GC114" s="23"/>
      <c r="GD114" s="23"/>
      <c r="GE114" s="23"/>
      <c r="GF114" s="23"/>
      <c r="GG114" s="23"/>
      <c r="GH114" s="23"/>
      <c r="GI114" s="23"/>
      <c r="GJ114" s="23"/>
      <c r="GK114" s="23"/>
      <c r="GL114" s="23"/>
    </row>
    <row r="115" spans="1:194" ht="13">
      <c r="A115" s="23"/>
      <c r="B115" s="23"/>
      <c r="C115" s="23"/>
      <c r="D115" s="23"/>
      <c r="E115" s="23"/>
      <c r="F115" s="23"/>
      <c r="G115" s="23"/>
      <c r="H115" s="401"/>
      <c r="I115" s="401"/>
      <c r="J115" s="401"/>
      <c r="K115" s="401"/>
      <c r="L115" s="401"/>
      <c r="M115" s="438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H115" s="23"/>
      <c r="DI115" s="23"/>
      <c r="DJ115" s="23"/>
      <c r="DK115" s="23"/>
      <c r="DL115" s="23"/>
      <c r="DM115" s="23"/>
      <c r="DN115" s="23"/>
      <c r="DO115" s="23"/>
      <c r="DP115" s="23"/>
      <c r="DQ115" s="23"/>
      <c r="DR115" s="23"/>
      <c r="DS115" s="23"/>
      <c r="DT115" s="23"/>
      <c r="DU115" s="23"/>
      <c r="DV115" s="23"/>
      <c r="DW115" s="23"/>
      <c r="DX115" s="23"/>
      <c r="DY115" s="23"/>
      <c r="DZ115" s="23"/>
      <c r="EA115" s="23"/>
      <c r="EB115" s="23"/>
      <c r="EC115" s="23"/>
      <c r="ED115" s="23"/>
      <c r="EE115" s="23"/>
      <c r="EF115" s="23"/>
      <c r="EG115" s="23"/>
      <c r="EH115" s="23"/>
      <c r="EI115" s="23"/>
      <c r="EJ115" s="23"/>
      <c r="EK115" s="23"/>
      <c r="EL115" s="23"/>
      <c r="EM115" s="23"/>
      <c r="EN115" s="23"/>
      <c r="EO115" s="23"/>
      <c r="EP115" s="23"/>
      <c r="EQ115" s="23"/>
      <c r="ER115" s="23"/>
      <c r="ES115" s="23"/>
      <c r="ET115" s="23"/>
      <c r="EU115" s="23"/>
      <c r="EV115" s="23"/>
      <c r="EW115" s="23"/>
      <c r="EX115" s="23"/>
      <c r="EY115" s="23"/>
      <c r="EZ115" s="23"/>
      <c r="FA115" s="23"/>
      <c r="FB115" s="23"/>
      <c r="FC115" s="23"/>
      <c r="FD115" s="23"/>
      <c r="FE115" s="23"/>
      <c r="FF115" s="23"/>
      <c r="FG115" s="23"/>
      <c r="FH115" s="23"/>
      <c r="FI115" s="23"/>
      <c r="FJ115" s="23"/>
      <c r="FK115" s="23"/>
      <c r="FL115" s="23"/>
      <c r="FM115" s="23"/>
      <c r="FN115" s="23"/>
      <c r="FO115" s="23"/>
      <c r="FP115" s="23"/>
      <c r="FQ115" s="23"/>
      <c r="FR115" s="23"/>
      <c r="FS115" s="23"/>
      <c r="FT115" s="23"/>
      <c r="FU115" s="23"/>
      <c r="FV115" s="23"/>
      <c r="FW115" s="23"/>
      <c r="FX115" s="23"/>
      <c r="FY115" s="23"/>
      <c r="FZ115" s="23"/>
      <c r="GA115" s="23"/>
      <c r="GB115" s="23"/>
      <c r="GC115" s="23"/>
      <c r="GD115" s="23"/>
      <c r="GE115" s="23"/>
      <c r="GF115" s="23"/>
      <c r="GG115" s="23"/>
      <c r="GH115" s="23"/>
      <c r="GI115" s="23"/>
      <c r="GJ115" s="23"/>
      <c r="GK115" s="23"/>
      <c r="GL115" s="23"/>
    </row>
    <row r="116" spans="1:194" ht="13">
      <c r="A116" s="23"/>
      <c r="B116" s="23"/>
      <c r="C116" s="23"/>
      <c r="D116" s="23"/>
      <c r="E116" s="23"/>
      <c r="F116" s="23"/>
      <c r="G116" s="23"/>
      <c r="H116" s="401"/>
      <c r="I116" s="401"/>
      <c r="J116" s="401"/>
      <c r="K116" s="401"/>
      <c r="L116" s="401"/>
      <c r="M116" s="438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H116" s="23"/>
      <c r="DI116" s="23"/>
      <c r="DJ116" s="23"/>
      <c r="DK116" s="23"/>
      <c r="DL116" s="23"/>
      <c r="DM116" s="23"/>
      <c r="DN116" s="23"/>
      <c r="DO116" s="23"/>
      <c r="DP116" s="23"/>
      <c r="DQ116" s="23"/>
      <c r="DR116" s="23"/>
      <c r="DS116" s="23"/>
      <c r="DT116" s="23"/>
      <c r="DU116" s="23"/>
      <c r="DV116" s="23"/>
      <c r="DW116" s="23"/>
      <c r="DX116" s="23"/>
      <c r="DY116" s="23"/>
      <c r="DZ116" s="23"/>
      <c r="EA116" s="23"/>
      <c r="EB116" s="23"/>
      <c r="EC116" s="23"/>
      <c r="ED116" s="23"/>
      <c r="EE116" s="23"/>
      <c r="EF116" s="23"/>
      <c r="EG116" s="23"/>
      <c r="EH116" s="23"/>
      <c r="EI116" s="23"/>
      <c r="EJ116" s="23"/>
      <c r="EK116" s="23"/>
      <c r="EL116" s="23"/>
      <c r="EM116" s="23"/>
      <c r="EN116" s="23"/>
      <c r="EO116" s="23"/>
      <c r="EP116" s="23"/>
      <c r="EQ116" s="23"/>
      <c r="ER116" s="23"/>
      <c r="ES116" s="23"/>
      <c r="ET116" s="23"/>
      <c r="EU116" s="23"/>
      <c r="EV116" s="23"/>
      <c r="EW116" s="23"/>
      <c r="EX116" s="23"/>
      <c r="EY116" s="23"/>
      <c r="EZ116" s="23"/>
      <c r="FA116" s="23"/>
      <c r="FB116" s="23"/>
      <c r="FC116" s="23"/>
      <c r="FD116" s="23"/>
      <c r="FE116" s="23"/>
      <c r="FF116" s="23"/>
      <c r="FG116" s="23"/>
      <c r="FH116" s="23"/>
      <c r="FI116" s="23"/>
      <c r="FJ116" s="23"/>
      <c r="FK116" s="23"/>
      <c r="FL116" s="23"/>
      <c r="FM116" s="23"/>
      <c r="FN116" s="23"/>
      <c r="FO116" s="23"/>
      <c r="FP116" s="23"/>
      <c r="FQ116" s="23"/>
      <c r="FR116" s="23"/>
      <c r="FS116" s="23"/>
      <c r="FT116" s="23"/>
      <c r="FU116" s="23"/>
      <c r="FV116" s="23"/>
      <c r="FW116" s="23"/>
      <c r="FX116" s="23"/>
      <c r="FY116" s="23"/>
      <c r="FZ116" s="23"/>
      <c r="GA116" s="23"/>
      <c r="GB116" s="23"/>
      <c r="GC116" s="23"/>
      <c r="GD116" s="23"/>
      <c r="GE116" s="23"/>
      <c r="GF116" s="23"/>
      <c r="GG116" s="23"/>
      <c r="GH116" s="23"/>
      <c r="GI116" s="23"/>
      <c r="GJ116" s="23"/>
      <c r="GK116" s="23"/>
      <c r="GL116" s="23"/>
    </row>
    <row r="117" spans="1:194" ht="13">
      <c r="A117" s="23"/>
      <c r="B117" s="23"/>
      <c r="C117" s="23"/>
      <c r="D117" s="23"/>
      <c r="E117" s="23"/>
      <c r="F117" s="23"/>
      <c r="G117" s="23"/>
      <c r="H117" s="401"/>
      <c r="I117" s="401"/>
      <c r="J117" s="401"/>
      <c r="K117" s="401"/>
      <c r="L117" s="401"/>
      <c r="M117" s="438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H117" s="23"/>
      <c r="DI117" s="23"/>
      <c r="DJ117" s="23"/>
      <c r="DK117" s="23"/>
      <c r="DL117" s="23"/>
      <c r="DM117" s="23"/>
      <c r="DN117" s="23"/>
      <c r="DO117" s="23"/>
      <c r="DP117" s="23"/>
      <c r="DQ117" s="23"/>
      <c r="DR117" s="23"/>
      <c r="DS117" s="23"/>
      <c r="DT117" s="23"/>
      <c r="DU117" s="23"/>
      <c r="DV117" s="23"/>
      <c r="DW117" s="23"/>
      <c r="DX117" s="23"/>
      <c r="DY117" s="23"/>
      <c r="DZ117" s="23"/>
      <c r="EA117" s="23"/>
      <c r="EB117" s="23"/>
      <c r="EC117" s="23"/>
      <c r="ED117" s="23"/>
      <c r="EE117" s="23"/>
      <c r="EF117" s="23"/>
      <c r="EG117" s="23"/>
      <c r="EH117" s="23"/>
      <c r="EI117" s="23"/>
      <c r="EJ117" s="23"/>
      <c r="EK117" s="23"/>
      <c r="EL117" s="23"/>
      <c r="EM117" s="23"/>
      <c r="EN117" s="23"/>
      <c r="EO117" s="23"/>
      <c r="EP117" s="23"/>
      <c r="EQ117" s="23"/>
      <c r="ER117" s="23"/>
      <c r="ES117" s="23"/>
      <c r="ET117" s="23"/>
      <c r="EU117" s="23"/>
      <c r="EV117" s="23"/>
      <c r="EW117" s="23"/>
      <c r="EX117" s="23"/>
      <c r="EY117" s="23"/>
      <c r="EZ117" s="23"/>
      <c r="FA117" s="23"/>
      <c r="FB117" s="23"/>
      <c r="FC117" s="23"/>
      <c r="FD117" s="23"/>
      <c r="FE117" s="23"/>
      <c r="FF117" s="23"/>
      <c r="FG117" s="23"/>
      <c r="FH117" s="23"/>
      <c r="FI117" s="23"/>
      <c r="FJ117" s="23"/>
      <c r="FK117" s="23"/>
      <c r="FL117" s="23"/>
      <c r="FM117" s="23"/>
      <c r="FN117" s="23"/>
      <c r="FO117" s="23"/>
      <c r="FP117" s="23"/>
      <c r="FQ117" s="23"/>
      <c r="FR117" s="23"/>
      <c r="FS117" s="23"/>
      <c r="FT117" s="23"/>
      <c r="FU117" s="23"/>
      <c r="FV117" s="23"/>
      <c r="FW117" s="23"/>
      <c r="FX117" s="23"/>
      <c r="FY117" s="23"/>
      <c r="FZ117" s="23"/>
      <c r="GA117" s="23"/>
      <c r="GB117" s="23"/>
      <c r="GC117" s="23"/>
      <c r="GD117" s="23"/>
      <c r="GE117" s="23"/>
      <c r="GF117" s="23"/>
      <c r="GG117" s="23"/>
      <c r="GH117" s="23"/>
      <c r="GI117" s="23"/>
      <c r="GJ117" s="23"/>
      <c r="GK117" s="23"/>
      <c r="GL117" s="23"/>
    </row>
    <row r="118" spans="1:194" ht="13">
      <c r="A118" s="23"/>
      <c r="B118" s="23"/>
      <c r="C118" s="23"/>
      <c r="D118" s="23"/>
      <c r="E118" s="23"/>
      <c r="F118" s="23"/>
      <c r="G118" s="23"/>
      <c r="H118" s="401"/>
      <c r="I118" s="401"/>
      <c r="J118" s="401"/>
      <c r="K118" s="401"/>
      <c r="L118" s="401"/>
      <c r="M118" s="438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  <c r="DL118" s="23"/>
      <c r="DM118" s="23"/>
      <c r="DN118" s="23"/>
      <c r="DO118" s="23"/>
      <c r="DP118" s="23"/>
      <c r="DQ118" s="23"/>
      <c r="DR118" s="23"/>
      <c r="DS118" s="23"/>
      <c r="DT118" s="23"/>
      <c r="DU118" s="23"/>
      <c r="DV118" s="23"/>
      <c r="DW118" s="23"/>
      <c r="DX118" s="23"/>
      <c r="DY118" s="23"/>
      <c r="DZ118" s="23"/>
      <c r="EA118" s="23"/>
      <c r="EB118" s="23"/>
      <c r="EC118" s="23"/>
      <c r="ED118" s="23"/>
      <c r="EE118" s="23"/>
      <c r="EF118" s="23"/>
      <c r="EG118" s="23"/>
      <c r="EH118" s="23"/>
      <c r="EI118" s="23"/>
      <c r="EJ118" s="23"/>
      <c r="EK118" s="23"/>
      <c r="EL118" s="23"/>
      <c r="EM118" s="23"/>
      <c r="EN118" s="23"/>
      <c r="EO118" s="23"/>
      <c r="EP118" s="23"/>
      <c r="EQ118" s="23"/>
      <c r="ER118" s="23"/>
      <c r="ES118" s="23"/>
      <c r="ET118" s="23"/>
      <c r="EU118" s="23"/>
      <c r="EV118" s="23"/>
      <c r="EW118" s="23"/>
      <c r="EX118" s="23"/>
      <c r="EY118" s="23"/>
      <c r="EZ118" s="23"/>
      <c r="FA118" s="23"/>
      <c r="FB118" s="23"/>
      <c r="FC118" s="23"/>
      <c r="FD118" s="23"/>
      <c r="FE118" s="23"/>
      <c r="FF118" s="23"/>
      <c r="FG118" s="23"/>
      <c r="FH118" s="23"/>
      <c r="FI118" s="23"/>
      <c r="FJ118" s="23"/>
      <c r="FK118" s="23"/>
      <c r="FL118" s="23"/>
      <c r="FM118" s="23"/>
      <c r="FN118" s="23"/>
      <c r="FO118" s="23"/>
      <c r="FP118" s="23"/>
      <c r="FQ118" s="23"/>
      <c r="FR118" s="23"/>
      <c r="FS118" s="23"/>
      <c r="FT118" s="23"/>
      <c r="FU118" s="23"/>
      <c r="FV118" s="23"/>
      <c r="FW118" s="23"/>
      <c r="FX118" s="23"/>
      <c r="FY118" s="23"/>
      <c r="FZ118" s="23"/>
      <c r="GA118" s="23"/>
      <c r="GB118" s="23"/>
      <c r="GC118" s="23"/>
      <c r="GD118" s="23"/>
      <c r="GE118" s="23"/>
      <c r="GF118" s="23"/>
      <c r="GG118" s="23"/>
      <c r="GH118" s="23"/>
      <c r="GI118" s="23"/>
      <c r="GJ118" s="23"/>
      <c r="GK118" s="23"/>
      <c r="GL118" s="23"/>
    </row>
    <row r="119" spans="1:194" ht="13">
      <c r="A119" s="23"/>
      <c r="B119" s="23"/>
      <c r="C119" s="23"/>
      <c r="D119" s="23"/>
      <c r="E119" s="23"/>
      <c r="F119" s="23"/>
      <c r="G119" s="23"/>
      <c r="H119" s="401"/>
      <c r="I119" s="401"/>
      <c r="J119" s="401"/>
      <c r="K119" s="401"/>
      <c r="L119" s="401"/>
      <c r="M119" s="438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  <c r="DL119" s="23"/>
      <c r="DM119" s="23"/>
      <c r="DN119" s="23"/>
      <c r="DO119" s="23"/>
      <c r="DP119" s="23"/>
      <c r="DQ119" s="23"/>
      <c r="DR119" s="23"/>
      <c r="DS119" s="23"/>
      <c r="DT119" s="23"/>
      <c r="DU119" s="23"/>
      <c r="DV119" s="23"/>
      <c r="DW119" s="23"/>
      <c r="DX119" s="23"/>
      <c r="DY119" s="23"/>
      <c r="DZ119" s="23"/>
      <c r="EA119" s="23"/>
      <c r="EB119" s="23"/>
      <c r="EC119" s="23"/>
      <c r="ED119" s="23"/>
      <c r="EE119" s="23"/>
      <c r="EF119" s="23"/>
      <c r="EG119" s="23"/>
      <c r="EH119" s="23"/>
      <c r="EI119" s="23"/>
      <c r="EJ119" s="23"/>
      <c r="EK119" s="23"/>
      <c r="EL119" s="23"/>
      <c r="EM119" s="23"/>
      <c r="EN119" s="23"/>
      <c r="EO119" s="23"/>
      <c r="EP119" s="23"/>
      <c r="EQ119" s="23"/>
      <c r="ER119" s="23"/>
      <c r="ES119" s="23"/>
      <c r="ET119" s="23"/>
      <c r="EU119" s="23"/>
      <c r="EV119" s="23"/>
      <c r="EW119" s="23"/>
      <c r="EX119" s="23"/>
      <c r="EY119" s="23"/>
      <c r="EZ119" s="23"/>
      <c r="FA119" s="23"/>
      <c r="FB119" s="23"/>
      <c r="FC119" s="23"/>
      <c r="FD119" s="23"/>
      <c r="FE119" s="23"/>
      <c r="FF119" s="23"/>
      <c r="FG119" s="23"/>
      <c r="FH119" s="23"/>
      <c r="FI119" s="23"/>
      <c r="FJ119" s="23"/>
      <c r="FK119" s="23"/>
      <c r="FL119" s="23"/>
      <c r="FM119" s="23"/>
      <c r="FN119" s="23"/>
      <c r="FO119" s="23"/>
      <c r="FP119" s="23"/>
      <c r="FQ119" s="23"/>
      <c r="FR119" s="23"/>
      <c r="FS119" s="23"/>
      <c r="FT119" s="23"/>
      <c r="FU119" s="23"/>
      <c r="FV119" s="23"/>
      <c r="FW119" s="23"/>
      <c r="FX119" s="23"/>
      <c r="FY119" s="23"/>
      <c r="FZ119" s="23"/>
      <c r="GA119" s="23"/>
      <c r="GB119" s="23"/>
      <c r="GC119" s="23"/>
      <c r="GD119" s="23"/>
      <c r="GE119" s="23"/>
      <c r="GF119" s="23"/>
      <c r="GG119" s="23"/>
      <c r="GH119" s="23"/>
      <c r="GI119" s="23"/>
      <c r="GJ119" s="23"/>
      <c r="GK119" s="23"/>
      <c r="GL119" s="23"/>
    </row>
    <row r="120" spans="1:194" ht="13">
      <c r="A120" s="23"/>
      <c r="B120" s="23"/>
      <c r="C120" s="23"/>
      <c r="D120" s="23"/>
      <c r="E120" s="23"/>
      <c r="F120" s="23"/>
      <c r="G120" s="23"/>
      <c r="H120" s="401"/>
      <c r="I120" s="401"/>
      <c r="J120" s="401"/>
      <c r="K120" s="401"/>
      <c r="L120" s="401"/>
      <c r="M120" s="438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  <c r="DL120" s="23"/>
      <c r="DM120" s="23"/>
      <c r="DN120" s="23"/>
      <c r="DO120" s="23"/>
      <c r="DP120" s="23"/>
      <c r="DQ120" s="23"/>
      <c r="DR120" s="23"/>
      <c r="DS120" s="23"/>
      <c r="DT120" s="23"/>
      <c r="DU120" s="23"/>
      <c r="DV120" s="23"/>
      <c r="DW120" s="23"/>
      <c r="DX120" s="23"/>
      <c r="DY120" s="23"/>
      <c r="DZ120" s="23"/>
      <c r="EA120" s="23"/>
      <c r="EB120" s="23"/>
      <c r="EC120" s="23"/>
      <c r="ED120" s="23"/>
      <c r="EE120" s="23"/>
      <c r="EF120" s="23"/>
      <c r="EG120" s="23"/>
      <c r="EH120" s="23"/>
      <c r="EI120" s="23"/>
      <c r="EJ120" s="23"/>
      <c r="EK120" s="23"/>
      <c r="EL120" s="23"/>
      <c r="EM120" s="23"/>
      <c r="EN120" s="23"/>
      <c r="EO120" s="23"/>
      <c r="EP120" s="23"/>
      <c r="EQ120" s="23"/>
      <c r="ER120" s="23"/>
      <c r="ES120" s="23"/>
      <c r="ET120" s="23"/>
      <c r="EU120" s="23"/>
      <c r="EV120" s="23"/>
      <c r="EW120" s="23"/>
      <c r="EX120" s="23"/>
      <c r="EY120" s="23"/>
      <c r="EZ120" s="23"/>
      <c r="FA120" s="23"/>
      <c r="FB120" s="23"/>
      <c r="FC120" s="23"/>
      <c r="FD120" s="23"/>
      <c r="FE120" s="23"/>
      <c r="FF120" s="23"/>
      <c r="FG120" s="23"/>
      <c r="FH120" s="23"/>
      <c r="FI120" s="23"/>
      <c r="FJ120" s="23"/>
      <c r="FK120" s="23"/>
      <c r="FL120" s="23"/>
      <c r="FM120" s="23"/>
      <c r="FN120" s="23"/>
      <c r="FO120" s="23"/>
      <c r="FP120" s="23"/>
      <c r="FQ120" s="23"/>
      <c r="FR120" s="23"/>
      <c r="FS120" s="23"/>
      <c r="FT120" s="23"/>
      <c r="FU120" s="23"/>
      <c r="FV120" s="23"/>
      <c r="FW120" s="23"/>
      <c r="FX120" s="23"/>
      <c r="FY120" s="23"/>
      <c r="FZ120" s="23"/>
      <c r="GA120" s="23"/>
      <c r="GB120" s="23"/>
      <c r="GC120" s="23"/>
      <c r="GD120" s="23"/>
      <c r="GE120" s="23"/>
      <c r="GF120" s="23"/>
      <c r="GG120" s="23"/>
      <c r="GH120" s="23"/>
      <c r="GI120" s="23"/>
      <c r="GJ120" s="23"/>
      <c r="GK120" s="23"/>
      <c r="GL120" s="23"/>
    </row>
    <row r="121" spans="1:194" ht="13">
      <c r="A121" s="23"/>
      <c r="B121" s="23"/>
      <c r="C121" s="23"/>
      <c r="D121" s="23"/>
      <c r="E121" s="23"/>
      <c r="F121" s="23"/>
      <c r="G121" s="23"/>
      <c r="H121" s="401"/>
      <c r="I121" s="401"/>
      <c r="J121" s="401"/>
      <c r="K121" s="401"/>
      <c r="L121" s="401"/>
      <c r="M121" s="438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/>
      <c r="CW121" s="23"/>
      <c r="CX121" s="23"/>
      <c r="CY121" s="23"/>
      <c r="CZ121" s="23"/>
      <c r="DA121" s="23"/>
      <c r="DB121" s="23"/>
      <c r="DC121" s="23"/>
      <c r="DD121" s="23"/>
      <c r="DE121" s="23"/>
      <c r="DF121" s="23"/>
      <c r="DG121" s="23"/>
      <c r="DH121" s="23"/>
      <c r="DI121" s="23"/>
      <c r="DJ121" s="23"/>
      <c r="DK121" s="23"/>
      <c r="DL121" s="23"/>
      <c r="DM121" s="23"/>
      <c r="DN121" s="23"/>
      <c r="DO121" s="23"/>
      <c r="DP121" s="23"/>
      <c r="DQ121" s="23"/>
      <c r="DR121" s="23"/>
      <c r="DS121" s="23"/>
      <c r="DT121" s="23"/>
      <c r="DU121" s="23"/>
      <c r="DV121" s="23"/>
      <c r="DW121" s="23"/>
      <c r="DX121" s="23"/>
      <c r="DY121" s="23"/>
      <c r="DZ121" s="23"/>
      <c r="EA121" s="23"/>
      <c r="EB121" s="23"/>
      <c r="EC121" s="23"/>
      <c r="ED121" s="23"/>
      <c r="EE121" s="23"/>
      <c r="EF121" s="23"/>
      <c r="EG121" s="23"/>
      <c r="EH121" s="23"/>
      <c r="EI121" s="23"/>
      <c r="EJ121" s="23"/>
      <c r="EK121" s="23"/>
      <c r="EL121" s="23"/>
      <c r="EM121" s="23"/>
      <c r="EN121" s="23"/>
      <c r="EO121" s="23"/>
      <c r="EP121" s="23"/>
      <c r="EQ121" s="23"/>
      <c r="ER121" s="23"/>
      <c r="ES121" s="23"/>
      <c r="ET121" s="23"/>
      <c r="EU121" s="23"/>
      <c r="EV121" s="23"/>
      <c r="EW121" s="23"/>
      <c r="EX121" s="23"/>
      <c r="EY121" s="23"/>
      <c r="EZ121" s="23"/>
      <c r="FA121" s="23"/>
      <c r="FB121" s="23"/>
      <c r="FC121" s="23"/>
      <c r="FD121" s="23"/>
      <c r="FE121" s="23"/>
      <c r="FF121" s="23"/>
      <c r="FG121" s="23"/>
      <c r="FH121" s="23"/>
      <c r="FI121" s="23"/>
      <c r="FJ121" s="23"/>
      <c r="FK121" s="23"/>
      <c r="FL121" s="23"/>
      <c r="FM121" s="23"/>
      <c r="FN121" s="23"/>
      <c r="FO121" s="23"/>
      <c r="FP121" s="23"/>
      <c r="FQ121" s="23"/>
      <c r="FR121" s="23"/>
      <c r="FS121" s="23"/>
      <c r="FT121" s="23"/>
      <c r="FU121" s="23"/>
      <c r="FV121" s="23"/>
      <c r="FW121" s="23"/>
      <c r="FX121" s="23"/>
      <c r="FY121" s="23"/>
      <c r="FZ121" s="23"/>
      <c r="GA121" s="23"/>
      <c r="GB121" s="23"/>
      <c r="GC121" s="23"/>
      <c r="GD121" s="23"/>
      <c r="GE121" s="23"/>
      <c r="GF121" s="23"/>
      <c r="GG121" s="23"/>
      <c r="GH121" s="23"/>
      <c r="GI121" s="23"/>
      <c r="GJ121" s="23"/>
      <c r="GK121" s="23"/>
      <c r="GL121" s="23"/>
    </row>
    <row r="122" spans="1:194" ht="13">
      <c r="A122" s="23"/>
      <c r="B122" s="23"/>
      <c r="C122" s="23"/>
      <c r="D122" s="23"/>
      <c r="E122" s="23"/>
      <c r="F122" s="23"/>
      <c r="G122" s="23"/>
      <c r="H122" s="401"/>
      <c r="I122" s="401"/>
      <c r="J122" s="401"/>
      <c r="K122" s="401"/>
      <c r="L122" s="401"/>
      <c r="M122" s="438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H122" s="23"/>
      <c r="DI122" s="23"/>
      <c r="DJ122" s="23"/>
      <c r="DK122" s="23"/>
      <c r="DL122" s="23"/>
      <c r="DM122" s="23"/>
      <c r="DN122" s="23"/>
      <c r="DO122" s="23"/>
      <c r="DP122" s="23"/>
      <c r="DQ122" s="23"/>
      <c r="DR122" s="23"/>
      <c r="DS122" s="23"/>
      <c r="DT122" s="23"/>
      <c r="DU122" s="23"/>
      <c r="DV122" s="23"/>
      <c r="DW122" s="23"/>
      <c r="DX122" s="23"/>
      <c r="DY122" s="23"/>
      <c r="DZ122" s="23"/>
      <c r="EA122" s="23"/>
      <c r="EB122" s="23"/>
      <c r="EC122" s="23"/>
      <c r="ED122" s="23"/>
      <c r="EE122" s="23"/>
      <c r="EF122" s="23"/>
      <c r="EG122" s="23"/>
      <c r="EH122" s="23"/>
      <c r="EI122" s="23"/>
      <c r="EJ122" s="23"/>
      <c r="EK122" s="23"/>
      <c r="EL122" s="23"/>
      <c r="EM122" s="23"/>
      <c r="EN122" s="23"/>
      <c r="EO122" s="23"/>
      <c r="EP122" s="23"/>
      <c r="EQ122" s="23"/>
      <c r="ER122" s="23"/>
      <c r="ES122" s="23"/>
      <c r="ET122" s="23"/>
      <c r="EU122" s="23"/>
      <c r="EV122" s="23"/>
      <c r="EW122" s="23"/>
      <c r="EX122" s="23"/>
      <c r="EY122" s="23"/>
      <c r="EZ122" s="23"/>
      <c r="FA122" s="23"/>
      <c r="FB122" s="23"/>
      <c r="FC122" s="23"/>
      <c r="FD122" s="23"/>
      <c r="FE122" s="23"/>
      <c r="FF122" s="23"/>
      <c r="FG122" s="23"/>
      <c r="FH122" s="23"/>
      <c r="FI122" s="23"/>
      <c r="FJ122" s="23"/>
      <c r="FK122" s="23"/>
      <c r="FL122" s="23"/>
      <c r="FM122" s="23"/>
      <c r="FN122" s="23"/>
      <c r="FO122" s="23"/>
      <c r="FP122" s="23"/>
      <c r="FQ122" s="23"/>
      <c r="FR122" s="23"/>
      <c r="FS122" s="23"/>
      <c r="FT122" s="23"/>
      <c r="FU122" s="23"/>
      <c r="FV122" s="23"/>
      <c r="FW122" s="23"/>
      <c r="FX122" s="23"/>
      <c r="FY122" s="23"/>
      <c r="FZ122" s="23"/>
      <c r="GA122" s="23"/>
      <c r="GB122" s="23"/>
      <c r="GC122" s="23"/>
      <c r="GD122" s="23"/>
      <c r="GE122" s="23"/>
      <c r="GF122" s="23"/>
      <c r="GG122" s="23"/>
      <c r="GH122" s="23"/>
      <c r="GI122" s="23"/>
      <c r="GJ122" s="23"/>
      <c r="GK122" s="23"/>
      <c r="GL122" s="23"/>
    </row>
    <row r="123" spans="1:194" ht="13">
      <c r="A123" s="23"/>
      <c r="B123" s="23"/>
      <c r="C123" s="23"/>
      <c r="D123" s="23"/>
      <c r="E123" s="23"/>
      <c r="F123" s="23"/>
      <c r="G123" s="23"/>
      <c r="H123" s="401"/>
      <c r="I123" s="401"/>
      <c r="J123" s="401"/>
      <c r="K123" s="401"/>
      <c r="L123" s="401"/>
      <c r="M123" s="438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  <c r="DL123" s="23"/>
      <c r="DM123" s="23"/>
      <c r="DN123" s="23"/>
      <c r="DO123" s="23"/>
      <c r="DP123" s="23"/>
      <c r="DQ123" s="23"/>
      <c r="DR123" s="23"/>
      <c r="DS123" s="23"/>
      <c r="DT123" s="23"/>
      <c r="DU123" s="23"/>
      <c r="DV123" s="23"/>
      <c r="DW123" s="23"/>
      <c r="DX123" s="23"/>
      <c r="DY123" s="23"/>
      <c r="DZ123" s="23"/>
      <c r="EA123" s="23"/>
      <c r="EB123" s="23"/>
      <c r="EC123" s="23"/>
      <c r="ED123" s="23"/>
      <c r="EE123" s="23"/>
      <c r="EF123" s="23"/>
      <c r="EG123" s="23"/>
      <c r="EH123" s="23"/>
      <c r="EI123" s="23"/>
      <c r="EJ123" s="23"/>
      <c r="EK123" s="23"/>
      <c r="EL123" s="23"/>
      <c r="EM123" s="23"/>
      <c r="EN123" s="23"/>
      <c r="EO123" s="23"/>
      <c r="EP123" s="23"/>
      <c r="EQ123" s="23"/>
      <c r="ER123" s="23"/>
      <c r="ES123" s="23"/>
      <c r="ET123" s="23"/>
      <c r="EU123" s="23"/>
      <c r="EV123" s="23"/>
      <c r="EW123" s="23"/>
      <c r="EX123" s="23"/>
      <c r="EY123" s="23"/>
      <c r="EZ123" s="23"/>
      <c r="FA123" s="23"/>
      <c r="FB123" s="23"/>
      <c r="FC123" s="23"/>
      <c r="FD123" s="23"/>
      <c r="FE123" s="23"/>
      <c r="FF123" s="23"/>
      <c r="FG123" s="23"/>
      <c r="FH123" s="23"/>
      <c r="FI123" s="23"/>
      <c r="FJ123" s="23"/>
      <c r="FK123" s="23"/>
      <c r="FL123" s="23"/>
      <c r="FM123" s="23"/>
      <c r="FN123" s="23"/>
      <c r="FO123" s="23"/>
      <c r="FP123" s="23"/>
      <c r="FQ123" s="23"/>
      <c r="FR123" s="23"/>
      <c r="FS123" s="23"/>
      <c r="FT123" s="23"/>
      <c r="FU123" s="23"/>
      <c r="FV123" s="23"/>
      <c r="FW123" s="23"/>
      <c r="FX123" s="23"/>
      <c r="FY123" s="23"/>
      <c r="FZ123" s="23"/>
      <c r="GA123" s="23"/>
      <c r="GB123" s="23"/>
      <c r="GC123" s="23"/>
      <c r="GD123" s="23"/>
      <c r="GE123" s="23"/>
      <c r="GF123" s="23"/>
      <c r="GG123" s="23"/>
      <c r="GH123" s="23"/>
      <c r="GI123" s="23"/>
      <c r="GJ123" s="23"/>
      <c r="GK123" s="23"/>
      <c r="GL123" s="23"/>
    </row>
    <row r="124" spans="1:194" ht="13">
      <c r="A124" s="23"/>
      <c r="B124" s="23"/>
      <c r="C124" s="23"/>
      <c r="D124" s="23"/>
      <c r="E124" s="23"/>
      <c r="F124" s="23"/>
      <c r="G124" s="23"/>
      <c r="H124" s="401"/>
      <c r="I124" s="401"/>
      <c r="J124" s="401"/>
      <c r="K124" s="401"/>
      <c r="L124" s="401"/>
      <c r="M124" s="438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  <c r="DL124" s="23"/>
      <c r="DM124" s="23"/>
      <c r="DN124" s="23"/>
      <c r="DO124" s="23"/>
      <c r="DP124" s="23"/>
      <c r="DQ124" s="23"/>
      <c r="DR124" s="23"/>
      <c r="DS124" s="23"/>
      <c r="DT124" s="23"/>
      <c r="DU124" s="23"/>
      <c r="DV124" s="23"/>
      <c r="DW124" s="23"/>
      <c r="DX124" s="23"/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/>
      <c r="EM124" s="23"/>
      <c r="EN124" s="23"/>
      <c r="EO124" s="23"/>
      <c r="EP124" s="23"/>
      <c r="EQ124" s="23"/>
      <c r="ER124" s="23"/>
      <c r="ES124" s="23"/>
      <c r="ET124" s="23"/>
      <c r="EU124" s="23"/>
      <c r="EV124" s="23"/>
      <c r="EW124" s="23"/>
      <c r="EX124" s="23"/>
      <c r="EY124" s="23"/>
      <c r="EZ124" s="23"/>
      <c r="FA124" s="23"/>
      <c r="FB124" s="23"/>
      <c r="FC124" s="23"/>
      <c r="FD124" s="23"/>
      <c r="FE124" s="23"/>
      <c r="FF124" s="23"/>
      <c r="FG124" s="23"/>
      <c r="FH124" s="23"/>
      <c r="FI124" s="23"/>
      <c r="FJ124" s="23"/>
      <c r="FK124" s="23"/>
      <c r="FL124" s="23"/>
      <c r="FM124" s="23"/>
      <c r="FN124" s="23"/>
      <c r="FO124" s="23"/>
      <c r="FP124" s="23"/>
      <c r="FQ124" s="23"/>
      <c r="FR124" s="23"/>
      <c r="FS124" s="23"/>
      <c r="FT124" s="23"/>
      <c r="FU124" s="23"/>
      <c r="FV124" s="23"/>
      <c r="FW124" s="23"/>
      <c r="FX124" s="23"/>
      <c r="FY124" s="23"/>
      <c r="FZ124" s="23"/>
      <c r="GA124" s="23"/>
      <c r="GB124" s="23"/>
      <c r="GC124" s="23"/>
      <c r="GD124" s="23"/>
      <c r="GE124" s="23"/>
      <c r="GF124" s="23"/>
      <c r="GG124" s="23"/>
      <c r="GH124" s="23"/>
      <c r="GI124" s="23"/>
      <c r="GJ124" s="23"/>
      <c r="GK124" s="23"/>
      <c r="GL124" s="23"/>
    </row>
    <row r="125" spans="1:194" ht="13">
      <c r="A125" s="23"/>
      <c r="B125" s="23"/>
      <c r="C125" s="23"/>
      <c r="D125" s="23"/>
      <c r="E125" s="23"/>
      <c r="F125" s="23"/>
      <c r="G125" s="23"/>
      <c r="H125" s="401"/>
      <c r="I125" s="401"/>
      <c r="J125" s="401"/>
      <c r="K125" s="401"/>
      <c r="L125" s="401"/>
      <c r="M125" s="438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  <c r="DL125" s="23"/>
      <c r="DM125" s="23"/>
      <c r="DN125" s="23"/>
      <c r="DO125" s="23"/>
      <c r="DP125" s="23"/>
      <c r="DQ125" s="23"/>
      <c r="DR125" s="23"/>
      <c r="DS125" s="23"/>
      <c r="DT125" s="23"/>
      <c r="DU125" s="23"/>
      <c r="DV125" s="23"/>
      <c r="DW125" s="23"/>
      <c r="DX125" s="23"/>
      <c r="DY125" s="23"/>
      <c r="DZ125" s="23"/>
      <c r="EA125" s="23"/>
      <c r="EB125" s="23"/>
      <c r="EC125" s="23"/>
      <c r="ED125" s="23"/>
      <c r="EE125" s="23"/>
      <c r="EF125" s="23"/>
      <c r="EG125" s="23"/>
      <c r="EH125" s="23"/>
      <c r="EI125" s="23"/>
      <c r="EJ125" s="23"/>
      <c r="EK125" s="23"/>
      <c r="EL125" s="23"/>
      <c r="EM125" s="23"/>
      <c r="EN125" s="23"/>
      <c r="EO125" s="23"/>
      <c r="EP125" s="23"/>
      <c r="EQ125" s="23"/>
      <c r="ER125" s="23"/>
      <c r="ES125" s="23"/>
      <c r="ET125" s="23"/>
      <c r="EU125" s="23"/>
      <c r="EV125" s="23"/>
      <c r="EW125" s="23"/>
      <c r="EX125" s="23"/>
      <c r="EY125" s="23"/>
      <c r="EZ125" s="23"/>
      <c r="FA125" s="23"/>
      <c r="FB125" s="23"/>
      <c r="FC125" s="23"/>
      <c r="FD125" s="23"/>
      <c r="FE125" s="23"/>
      <c r="FF125" s="23"/>
      <c r="FG125" s="23"/>
      <c r="FH125" s="23"/>
      <c r="FI125" s="23"/>
      <c r="FJ125" s="23"/>
      <c r="FK125" s="23"/>
      <c r="FL125" s="23"/>
      <c r="FM125" s="23"/>
      <c r="FN125" s="23"/>
      <c r="FO125" s="23"/>
      <c r="FP125" s="23"/>
      <c r="FQ125" s="23"/>
      <c r="FR125" s="23"/>
      <c r="FS125" s="23"/>
      <c r="FT125" s="23"/>
      <c r="FU125" s="23"/>
      <c r="FV125" s="23"/>
      <c r="FW125" s="23"/>
      <c r="FX125" s="23"/>
      <c r="FY125" s="23"/>
      <c r="FZ125" s="23"/>
      <c r="GA125" s="23"/>
      <c r="GB125" s="23"/>
      <c r="GC125" s="23"/>
      <c r="GD125" s="23"/>
      <c r="GE125" s="23"/>
      <c r="GF125" s="23"/>
      <c r="GG125" s="23"/>
      <c r="GH125" s="23"/>
      <c r="GI125" s="23"/>
      <c r="GJ125" s="23"/>
      <c r="GK125" s="23"/>
      <c r="GL125" s="23"/>
    </row>
    <row r="126" spans="1:194" ht="13">
      <c r="A126" s="23"/>
      <c r="B126" s="23"/>
      <c r="C126" s="23"/>
      <c r="D126" s="23"/>
      <c r="E126" s="23"/>
      <c r="F126" s="23"/>
      <c r="G126" s="23"/>
      <c r="H126" s="401"/>
      <c r="I126" s="401"/>
      <c r="J126" s="401"/>
      <c r="K126" s="401"/>
      <c r="L126" s="401"/>
      <c r="M126" s="438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  <c r="DL126" s="23"/>
      <c r="DM126" s="23"/>
      <c r="DN126" s="23"/>
      <c r="DO126" s="23"/>
      <c r="DP126" s="23"/>
      <c r="DQ126" s="23"/>
      <c r="DR126" s="23"/>
      <c r="DS126" s="23"/>
      <c r="DT126" s="23"/>
      <c r="DU126" s="23"/>
      <c r="DV126" s="23"/>
      <c r="DW126" s="23"/>
      <c r="DX126" s="23"/>
      <c r="DY126" s="23"/>
      <c r="DZ126" s="23"/>
      <c r="EA126" s="23"/>
      <c r="EB126" s="23"/>
      <c r="EC126" s="23"/>
      <c r="ED126" s="23"/>
      <c r="EE126" s="23"/>
      <c r="EF126" s="23"/>
      <c r="EG126" s="23"/>
      <c r="EH126" s="23"/>
      <c r="EI126" s="23"/>
      <c r="EJ126" s="23"/>
      <c r="EK126" s="23"/>
      <c r="EL126" s="23"/>
      <c r="EM126" s="23"/>
      <c r="EN126" s="23"/>
      <c r="EO126" s="23"/>
      <c r="EP126" s="23"/>
      <c r="EQ126" s="23"/>
      <c r="ER126" s="23"/>
      <c r="ES126" s="23"/>
      <c r="ET126" s="23"/>
      <c r="EU126" s="23"/>
      <c r="EV126" s="23"/>
      <c r="EW126" s="23"/>
      <c r="EX126" s="23"/>
      <c r="EY126" s="23"/>
      <c r="EZ126" s="23"/>
      <c r="FA126" s="23"/>
      <c r="FB126" s="23"/>
      <c r="FC126" s="23"/>
      <c r="FD126" s="23"/>
      <c r="FE126" s="23"/>
      <c r="FF126" s="23"/>
      <c r="FG126" s="23"/>
      <c r="FH126" s="23"/>
      <c r="FI126" s="23"/>
      <c r="FJ126" s="23"/>
      <c r="FK126" s="23"/>
      <c r="FL126" s="23"/>
      <c r="FM126" s="23"/>
      <c r="FN126" s="23"/>
      <c r="FO126" s="23"/>
      <c r="FP126" s="23"/>
      <c r="FQ126" s="23"/>
      <c r="FR126" s="23"/>
      <c r="FS126" s="23"/>
      <c r="FT126" s="23"/>
      <c r="FU126" s="23"/>
      <c r="FV126" s="23"/>
      <c r="FW126" s="23"/>
      <c r="FX126" s="23"/>
      <c r="FY126" s="23"/>
      <c r="FZ126" s="23"/>
      <c r="GA126" s="23"/>
      <c r="GB126" s="23"/>
      <c r="GC126" s="23"/>
      <c r="GD126" s="23"/>
      <c r="GE126" s="23"/>
      <c r="GF126" s="23"/>
      <c r="GG126" s="23"/>
      <c r="GH126" s="23"/>
      <c r="GI126" s="23"/>
      <c r="GJ126" s="23"/>
      <c r="GK126" s="23"/>
      <c r="GL126" s="23"/>
    </row>
    <row r="127" spans="1:194" ht="13">
      <c r="A127" s="23"/>
      <c r="B127" s="23"/>
      <c r="C127" s="23"/>
      <c r="D127" s="23"/>
      <c r="E127" s="23"/>
      <c r="F127" s="23"/>
      <c r="G127" s="23"/>
      <c r="H127" s="401"/>
      <c r="I127" s="401"/>
      <c r="J127" s="401"/>
      <c r="K127" s="401"/>
      <c r="L127" s="401"/>
      <c r="M127" s="438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3"/>
      <c r="FE127" s="23"/>
      <c r="FF127" s="23"/>
      <c r="FG127" s="23"/>
      <c r="FH127" s="23"/>
      <c r="FI127" s="23"/>
      <c r="FJ127" s="23"/>
      <c r="FK127" s="23"/>
      <c r="FL127" s="23"/>
      <c r="FM127" s="23"/>
      <c r="FN127" s="23"/>
      <c r="FO127" s="23"/>
      <c r="FP127" s="23"/>
      <c r="FQ127" s="23"/>
      <c r="FR127" s="23"/>
      <c r="FS127" s="23"/>
      <c r="FT127" s="23"/>
      <c r="FU127" s="23"/>
      <c r="FV127" s="23"/>
      <c r="FW127" s="23"/>
      <c r="FX127" s="23"/>
      <c r="FY127" s="23"/>
      <c r="FZ127" s="23"/>
      <c r="GA127" s="23"/>
      <c r="GB127" s="23"/>
      <c r="GC127" s="23"/>
      <c r="GD127" s="23"/>
      <c r="GE127" s="23"/>
      <c r="GF127" s="23"/>
      <c r="GG127" s="23"/>
      <c r="GH127" s="23"/>
      <c r="GI127" s="23"/>
      <c r="GJ127" s="23"/>
      <c r="GK127" s="23"/>
      <c r="GL127" s="23"/>
    </row>
    <row r="128" spans="1:194" ht="13">
      <c r="A128" s="23"/>
      <c r="B128" s="23"/>
      <c r="C128" s="23"/>
      <c r="D128" s="23"/>
      <c r="E128" s="23"/>
      <c r="F128" s="23"/>
      <c r="G128" s="23"/>
      <c r="H128" s="401"/>
      <c r="I128" s="401"/>
      <c r="J128" s="401"/>
      <c r="K128" s="401"/>
      <c r="L128" s="401"/>
      <c r="M128" s="438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/>
      <c r="EB128" s="23"/>
      <c r="EC128" s="23"/>
      <c r="ED128" s="23"/>
      <c r="EE128" s="23"/>
      <c r="EF128" s="23"/>
      <c r="EG128" s="23"/>
      <c r="EH128" s="23"/>
      <c r="EI128" s="23"/>
      <c r="EJ128" s="23"/>
      <c r="EK128" s="23"/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3"/>
      <c r="FE128" s="23"/>
      <c r="FF128" s="23"/>
      <c r="FG128" s="23"/>
      <c r="FH128" s="23"/>
      <c r="FI128" s="23"/>
      <c r="FJ128" s="23"/>
      <c r="FK128" s="23"/>
      <c r="FL128" s="23"/>
      <c r="FM128" s="23"/>
      <c r="FN128" s="23"/>
      <c r="FO128" s="23"/>
      <c r="FP128" s="23"/>
      <c r="FQ128" s="23"/>
      <c r="FR128" s="23"/>
      <c r="FS128" s="23"/>
      <c r="FT128" s="23"/>
      <c r="FU128" s="23"/>
      <c r="FV128" s="23"/>
      <c r="FW128" s="23"/>
      <c r="FX128" s="23"/>
      <c r="FY128" s="23"/>
      <c r="FZ128" s="23"/>
      <c r="GA128" s="23"/>
      <c r="GB128" s="23"/>
      <c r="GC128" s="23"/>
      <c r="GD128" s="23"/>
      <c r="GE128" s="23"/>
      <c r="GF128" s="23"/>
      <c r="GG128" s="23"/>
      <c r="GH128" s="23"/>
      <c r="GI128" s="23"/>
      <c r="GJ128" s="23"/>
      <c r="GK128" s="23"/>
      <c r="GL128" s="23"/>
    </row>
    <row r="129" spans="1:194" ht="13">
      <c r="A129" s="23"/>
      <c r="B129" s="23"/>
      <c r="C129" s="23"/>
      <c r="D129" s="23"/>
      <c r="E129" s="23"/>
      <c r="F129" s="23"/>
      <c r="G129" s="23"/>
      <c r="H129" s="401"/>
      <c r="I129" s="401"/>
      <c r="J129" s="401"/>
      <c r="K129" s="401"/>
      <c r="L129" s="401"/>
      <c r="M129" s="438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  <c r="BO129" s="23"/>
      <c r="BP129" s="23"/>
      <c r="BQ129" s="23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/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3"/>
      <c r="DF129" s="23"/>
      <c r="DG129" s="23"/>
      <c r="DH129" s="23"/>
      <c r="DI129" s="23"/>
      <c r="DJ129" s="23"/>
      <c r="DK129" s="23"/>
      <c r="DL129" s="23"/>
      <c r="DM129" s="23"/>
      <c r="DN129" s="23"/>
      <c r="DO129" s="23"/>
      <c r="DP129" s="23"/>
      <c r="DQ129" s="23"/>
      <c r="DR129" s="23"/>
      <c r="DS129" s="23"/>
      <c r="DT129" s="23"/>
      <c r="DU129" s="23"/>
      <c r="DV129" s="23"/>
      <c r="DW129" s="23"/>
      <c r="DX129" s="23"/>
      <c r="DY129" s="23"/>
      <c r="DZ129" s="23"/>
      <c r="EA129" s="23"/>
      <c r="EB129" s="23"/>
      <c r="EC129" s="23"/>
      <c r="ED129" s="23"/>
      <c r="EE129" s="23"/>
      <c r="EF129" s="23"/>
      <c r="EG129" s="23"/>
      <c r="EH129" s="23"/>
      <c r="EI129" s="23"/>
      <c r="EJ129" s="23"/>
      <c r="EK129" s="23"/>
      <c r="EL129" s="23"/>
      <c r="EM129" s="23"/>
      <c r="EN129" s="23"/>
      <c r="EO129" s="23"/>
      <c r="EP129" s="23"/>
      <c r="EQ129" s="23"/>
      <c r="ER129" s="23"/>
      <c r="ES129" s="23"/>
      <c r="ET129" s="23"/>
      <c r="EU129" s="23"/>
      <c r="EV129" s="23"/>
      <c r="EW129" s="23"/>
      <c r="EX129" s="23"/>
      <c r="EY129" s="23"/>
      <c r="EZ129" s="23"/>
      <c r="FA129" s="23"/>
      <c r="FB129" s="23"/>
      <c r="FC129" s="23"/>
      <c r="FD129" s="23"/>
      <c r="FE129" s="23"/>
      <c r="FF129" s="23"/>
      <c r="FG129" s="23"/>
      <c r="FH129" s="23"/>
      <c r="FI129" s="23"/>
      <c r="FJ129" s="23"/>
      <c r="FK129" s="23"/>
      <c r="FL129" s="23"/>
      <c r="FM129" s="23"/>
      <c r="FN129" s="23"/>
      <c r="FO129" s="23"/>
      <c r="FP129" s="23"/>
      <c r="FQ129" s="23"/>
      <c r="FR129" s="23"/>
      <c r="FS129" s="23"/>
      <c r="FT129" s="23"/>
      <c r="FU129" s="23"/>
      <c r="FV129" s="23"/>
      <c r="FW129" s="23"/>
      <c r="FX129" s="23"/>
      <c r="FY129" s="23"/>
      <c r="FZ129" s="23"/>
      <c r="GA129" s="23"/>
      <c r="GB129" s="23"/>
      <c r="GC129" s="23"/>
      <c r="GD129" s="23"/>
      <c r="GE129" s="23"/>
      <c r="GF129" s="23"/>
      <c r="GG129" s="23"/>
      <c r="GH129" s="23"/>
      <c r="GI129" s="23"/>
      <c r="GJ129" s="23"/>
      <c r="GK129" s="23"/>
      <c r="GL129" s="23"/>
    </row>
    <row r="130" spans="1:194" ht="13">
      <c r="A130" s="23"/>
      <c r="B130" s="23"/>
      <c r="C130" s="23"/>
      <c r="D130" s="23"/>
      <c r="E130" s="23"/>
      <c r="F130" s="23"/>
      <c r="G130" s="23"/>
      <c r="H130" s="401"/>
      <c r="I130" s="401"/>
      <c r="J130" s="401"/>
      <c r="K130" s="401"/>
      <c r="L130" s="401"/>
      <c r="M130" s="438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3"/>
      <c r="DF130" s="23"/>
      <c r="DG130" s="23"/>
      <c r="DH130" s="23"/>
      <c r="DI130" s="23"/>
      <c r="DJ130" s="23"/>
      <c r="DK130" s="23"/>
      <c r="DL130" s="23"/>
      <c r="DM130" s="23"/>
      <c r="DN130" s="23"/>
      <c r="DO130" s="23"/>
      <c r="DP130" s="23"/>
      <c r="DQ130" s="23"/>
      <c r="DR130" s="23"/>
      <c r="DS130" s="23"/>
      <c r="DT130" s="23"/>
      <c r="DU130" s="23"/>
      <c r="DV130" s="23"/>
      <c r="DW130" s="23"/>
      <c r="DX130" s="23"/>
      <c r="DY130" s="23"/>
      <c r="DZ130" s="23"/>
      <c r="EA130" s="23"/>
      <c r="EB130" s="23"/>
      <c r="EC130" s="23"/>
      <c r="ED130" s="23"/>
      <c r="EE130" s="23"/>
      <c r="EF130" s="23"/>
      <c r="EG130" s="23"/>
      <c r="EH130" s="23"/>
      <c r="EI130" s="23"/>
      <c r="EJ130" s="23"/>
      <c r="EK130" s="23"/>
      <c r="EL130" s="23"/>
      <c r="EM130" s="23"/>
      <c r="EN130" s="23"/>
      <c r="EO130" s="23"/>
      <c r="EP130" s="23"/>
      <c r="EQ130" s="23"/>
      <c r="ER130" s="23"/>
      <c r="ES130" s="23"/>
      <c r="ET130" s="23"/>
      <c r="EU130" s="23"/>
      <c r="EV130" s="23"/>
      <c r="EW130" s="23"/>
      <c r="EX130" s="23"/>
      <c r="EY130" s="23"/>
      <c r="EZ130" s="23"/>
      <c r="FA130" s="23"/>
      <c r="FB130" s="23"/>
      <c r="FC130" s="23"/>
      <c r="FD130" s="23"/>
      <c r="FE130" s="23"/>
      <c r="FF130" s="23"/>
      <c r="FG130" s="23"/>
      <c r="FH130" s="23"/>
      <c r="FI130" s="23"/>
      <c r="FJ130" s="23"/>
      <c r="FK130" s="23"/>
      <c r="FL130" s="23"/>
      <c r="FM130" s="23"/>
      <c r="FN130" s="23"/>
      <c r="FO130" s="23"/>
      <c r="FP130" s="23"/>
      <c r="FQ130" s="23"/>
      <c r="FR130" s="23"/>
      <c r="FS130" s="23"/>
      <c r="FT130" s="23"/>
      <c r="FU130" s="23"/>
      <c r="FV130" s="23"/>
      <c r="FW130" s="23"/>
      <c r="FX130" s="23"/>
      <c r="FY130" s="23"/>
      <c r="FZ130" s="23"/>
      <c r="GA130" s="23"/>
      <c r="GB130" s="23"/>
      <c r="GC130" s="23"/>
      <c r="GD130" s="23"/>
      <c r="GE130" s="23"/>
      <c r="GF130" s="23"/>
      <c r="GG130" s="23"/>
      <c r="GH130" s="23"/>
      <c r="GI130" s="23"/>
      <c r="GJ130" s="23"/>
      <c r="GK130" s="23"/>
      <c r="GL130" s="23"/>
    </row>
    <row r="131" spans="1:194" ht="13">
      <c r="A131" s="23"/>
      <c r="B131" s="23"/>
      <c r="C131" s="23"/>
      <c r="D131" s="23"/>
      <c r="E131" s="23"/>
      <c r="F131" s="23"/>
      <c r="G131" s="23"/>
      <c r="H131" s="401"/>
      <c r="I131" s="401"/>
      <c r="J131" s="401"/>
      <c r="K131" s="401"/>
      <c r="L131" s="401"/>
      <c r="M131" s="438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  <c r="BP131" s="23"/>
      <c r="BQ131" s="23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  <c r="CH131" s="23"/>
      <c r="CI131" s="23"/>
      <c r="CJ131" s="23"/>
      <c r="CK131" s="23"/>
      <c r="CL131" s="23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3"/>
      <c r="DF131" s="23"/>
      <c r="DG131" s="23"/>
      <c r="DH131" s="23"/>
      <c r="DI131" s="23"/>
      <c r="DJ131" s="23"/>
      <c r="DK131" s="23"/>
      <c r="DL131" s="23"/>
      <c r="DM131" s="23"/>
      <c r="DN131" s="23"/>
      <c r="DO131" s="23"/>
      <c r="DP131" s="23"/>
      <c r="DQ131" s="23"/>
      <c r="DR131" s="23"/>
      <c r="DS131" s="23"/>
      <c r="DT131" s="23"/>
      <c r="DU131" s="23"/>
      <c r="DV131" s="23"/>
      <c r="DW131" s="23"/>
      <c r="DX131" s="23"/>
      <c r="DY131" s="23"/>
      <c r="DZ131" s="23"/>
      <c r="EA131" s="23"/>
      <c r="EB131" s="23"/>
      <c r="EC131" s="23"/>
      <c r="ED131" s="23"/>
      <c r="EE131" s="23"/>
      <c r="EF131" s="23"/>
      <c r="EG131" s="23"/>
      <c r="EH131" s="23"/>
      <c r="EI131" s="23"/>
      <c r="EJ131" s="23"/>
      <c r="EK131" s="23"/>
      <c r="EL131" s="23"/>
      <c r="EM131" s="23"/>
      <c r="EN131" s="23"/>
      <c r="EO131" s="23"/>
      <c r="EP131" s="23"/>
      <c r="EQ131" s="23"/>
      <c r="ER131" s="23"/>
      <c r="ES131" s="23"/>
      <c r="ET131" s="23"/>
      <c r="EU131" s="23"/>
      <c r="EV131" s="23"/>
      <c r="EW131" s="23"/>
      <c r="EX131" s="23"/>
      <c r="EY131" s="23"/>
      <c r="EZ131" s="23"/>
      <c r="FA131" s="23"/>
      <c r="FB131" s="23"/>
      <c r="FC131" s="23"/>
      <c r="FD131" s="23"/>
      <c r="FE131" s="23"/>
      <c r="FF131" s="23"/>
      <c r="FG131" s="23"/>
      <c r="FH131" s="23"/>
      <c r="FI131" s="23"/>
      <c r="FJ131" s="23"/>
      <c r="FK131" s="23"/>
      <c r="FL131" s="23"/>
      <c r="FM131" s="23"/>
      <c r="FN131" s="23"/>
      <c r="FO131" s="23"/>
      <c r="FP131" s="23"/>
      <c r="FQ131" s="23"/>
      <c r="FR131" s="23"/>
      <c r="FS131" s="23"/>
      <c r="FT131" s="23"/>
      <c r="FU131" s="23"/>
      <c r="FV131" s="23"/>
      <c r="FW131" s="23"/>
      <c r="FX131" s="23"/>
      <c r="FY131" s="23"/>
      <c r="FZ131" s="23"/>
      <c r="GA131" s="23"/>
      <c r="GB131" s="23"/>
      <c r="GC131" s="23"/>
      <c r="GD131" s="23"/>
      <c r="GE131" s="23"/>
      <c r="GF131" s="23"/>
      <c r="GG131" s="23"/>
      <c r="GH131" s="23"/>
      <c r="GI131" s="23"/>
      <c r="GJ131" s="23"/>
      <c r="GK131" s="23"/>
      <c r="GL131" s="23"/>
    </row>
    <row r="132" spans="1:194" ht="13">
      <c r="A132" s="23"/>
      <c r="B132" s="23"/>
      <c r="C132" s="23"/>
      <c r="D132" s="23"/>
      <c r="E132" s="23"/>
      <c r="F132" s="23"/>
      <c r="G132" s="23"/>
      <c r="H132" s="401"/>
      <c r="I132" s="401"/>
      <c r="J132" s="401"/>
      <c r="K132" s="401"/>
      <c r="L132" s="401"/>
      <c r="M132" s="438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H132" s="23"/>
      <c r="DI132" s="23"/>
      <c r="DJ132" s="23"/>
      <c r="DK132" s="23"/>
      <c r="DL132" s="23"/>
      <c r="DM132" s="23"/>
      <c r="DN132" s="23"/>
      <c r="DO132" s="23"/>
      <c r="DP132" s="23"/>
      <c r="DQ132" s="23"/>
      <c r="DR132" s="23"/>
      <c r="DS132" s="23"/>
      <c r="DT132" s="23"/>
      <c r="DU132" s="23"/>
      <c r="DV132" s="23"/>
      <c r="DW132" s="23"/>
      <c r="DX132" s="23"/>
      <c r="DY132" s="23"/>
      <c r="DZ132" s="23"/>
      <c r="EA132" s="23"/>
      <c r="EB132" s="23"/>
      <c r="EC132" s="23"/>
      <c r="ED132" s="23"/>
      <c r="EE132" s="23"/>
      <c r="EF132" s="23"/>
      <c r="EG132" s="23"/>
      <c r="EH132" s="23"/>
      <c r="EI132" s="23"/>
      <c r="EJ132" s="23"/>
      <c r="EK132" s="23"/>
      <c r="EL132" s="23"/>
      <c r="EM132" s="23"/>
      <c r="EN132" s="23"/>
      <c r="EO132" s="23"/>
      <c r="EP132" s="23"/>
      <c r="EQ132" s="23"/>
      <c r="ER132" s="23"/>
      <c r="ES132" s="23"/>
      <c r="ET132" s="23"/>
      <c r="EU132" s="23"/>
      <c r="EV132" s="23"/>
      <c r="EW132" s="23"/>
      <c r="EX132" s="23"/>
      <c r="EY132" s="23"/>
      <c r="EZ132" s="23"/>
      <c r="FA132" s="23"/>
      <c r="FB132" s="23"/>
      <c r="FC132" s="23"/>
      <c r="FD132" s="23"/>
      <c r="FE132" s="23"/>
      <c r="FF132" s="23"/>
      <c r="FG132" s="23"/>
      <c r="FH132" s="23"/>
      <c r="FI132" s="23"/>
      <c r="FJ132" s="23"/>
      <c r="FK132" s="23"/>
      <c r="FL132" s="23"/>
      <c r="FM132" s="23"/>
      <c r="FN132" s="23"/>
      <c r="FO132" s="23"/>
      <c r="FP132" s="23"/>
      <c r="FQ132" s="23"/>
      <c r="FR132" s="23"/>
      <c r="FS132" s="23"/>
      <c r="FT132" s="23"/>
      <c r="FU132" s="23"/>
      <c r="FV132" s="23"/>
      <c r="FW132" s="23"/>
      <c r="FX132" s="23"/>
      <c r="FY132" s="23"/>
      <c r="FZ132" s="23"/>
      <c r="GA132" s="23"/>
      <c r="GB132" s="23"/>
      <c r="GC132" s="23"/>
      <c r="GD132" s="23"/>
      <c r="GE132" s="23"/>
      <c r="GF132" s="23"/>
      <c r="GG132" s="23"/>
      <c r="GH132" s="23"/>
      <c r="GI132" s="23"/>
      <c r="GJ132" s="23"/>
      <c r="GK132" s="23"/>
      <c r="GL132" s="23"/>
    </row>
    <row r="133" spans="1:194" ht="13">
      <c r="A133" s="23"/>
      <c r="B133" s="23"/>
      <c r="C133" s="23"/>
      <c r="D133" s="23"/>
      <c r="E133" s="23"/>
      <c r="F133" s="23"/>
      <c r="G133" s="23"/>
      <c r="H133" s="401"/>
      <c r="I133" s="401"/>
      <c r="J133" s="401"/>
      <c r="K133" s="401"/>
      <c r="L133" s="401"/>
      <c r="M133" s="438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23"/>
      <c r="DD133" s="23"/>
      <c r="DE133" s="23"/>
      <c r="DF133" s="23"/>
      <c r="DG133" s="23"/>
      <c r="DH133" s="23"/>
      <c r="DI133" s="23"/>
      <c r="DJ133" s="23"/>
      <c r="DK133" s="23"/>
      <c r="DL133" s="23"/>
      <c r="DM133" s="23"/>
      <c r="DN133" s="23"/>
      <c r="DO133" s="23"/>
      <c r="DP133" s="23"/>
      <c r="DQ133" s="23"/>
      <c r="DR133" s="23"/>
      <c r="DS133" s="23"/>
      <c r="DT133" s="23"/>
      <c r="DU133" s="23"/>
      <c r="DV133" s="23"/>
      <c r="DW133" s="23"/>
      <c r="DX133" s="23"/>
      <c r="DY133" s="23"/>
      <c r="DZ133" s="23"/>
      <c r="EA133" s="23"/>
      <c r="EB133" s="23"/>
      <c r="EC133" s="23"/>
      <c r="ED133" s="23"/>
      <c r="EE133" s="23"/>
      <c r="EF133" s="23"/>
      <c r="EG133" s="23"/>
      <c r="EH133" s="23"/>
      <c r="EI133" s="23"/>
      <c r="EJ133" s="23"/>
      <c r="EK133" s="23"/>
      <c r="EL133" s="23"/>
      <c r="EM133" s="23"/>
      <c r="EN133" s="23"/>
      <c r="EO133" s="23"/>
      <c r="EP133" s="23"/>
      <c r="EQ133" s="23"/>
      <c r="ER133" s="23"/>
      <c r="ES133" s="23"/>
      <c r="ET133" s="23"/>
      <c r="EU133" s="23"/>
      <c r="EV133" s="23"/>
      <c r="EW133" s="23"/>
      <c r="EX133" s="23"/>
      <c r="EY133" s="23"/>
      <c r="EZ133" s="23"/>
      <c r="FA133" s="23"/>
      <c r="FB133" s="23"/>
      <c r="FC133" s="23"/>
      <c r="FD133" s="23"/>
      <c r="FE133" s="23"/>
      <c r="FF133" s="23"/>
      <c r="FG133" s="23"/>
      <c r="FH133" s="23"/>
      <c r="FI133" s="23"/>
      <c r="FJ133" s="23"/>
      <c r="FK133" s="23"/>
      <c r="FL133" s="23"/>
      <c r="FM133" s="23"/>
      <c r="FN133" s="23"/>
      <c r="FO133" s="23"/>
      <c r="FP133" s="23"/>
      <c r="FQ133" s="23"/>
      <c r="FR133" s="23"/>
      <c r="FS133" s="23"/>
      <c r="FT133" s="23"/>
      <c r="FU133" s="23"/>
      <c r="FV133" s="23"/>
      <c r="FW133" s="23"/>
      <c r="FX133" s="23"/>
      <c r="FY133" s="23"/>
      <c r="FZ133" s="23"/>
      <c r="GA133" s="23"/>
      <c r="GB133" s="23"/>
      <c r="GC133" s="23"/>
      <c r="GD133" s="23"/>
      <c r="GE133" s="23"/>
      <c r="GF133" s="23"/>
      <c r="GG133" s="23"/>
      <c r="GH133" s="23"/>
      <c r="GI133" s="23"/>
      <c r="GJ133" s="23"/>
      <c r="GK133" s="23"/>
      <c r="GL133" s="23"/>
    </row>
    <row r="134" spans="1:194" ht="13">
      <c r="A134" s="23"/>
      <c r="B134" s="23"/>
      <c r="C134" s="23"/>
      <c r="D134" s="23"/>
      <c r="E134" s="23"/>
      <c r="F134" s="23"/>
      <c r="G134" s="23"/>
      <c r="H134" s="401"/>
      <c r="I134" s="401"/>
      <c r="J134" s="401"/>
      <c r="K134" s="401"/>
      <c r="L134" s="401"/>
      <c r="M134" s="438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  <c r="BN134" s="23"/>
      <c r="BO134" s="23"/>
      <c r="BP134" s="23"/>
      <c r="BQ134" s="23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/>
      <c r="DB134" s="23"/>
      <c r="DC134" s="23"/>
      <c r="DD134" s="23"/>
      <c r="DE134" s="23"/>
      <c r="DF134" s="23"/>
      <c r="DG134" s="23"/>
      <c r="DH134" s="23"/>
      <c r="DI134" s="23"/>
      <c r="DJ134" s="23"/>
      <c r="DK134" s="23"/>
      <c r="DL134" s="23"/>
      <c r="DM134" s="23"/>
      <c r="DN134" s="23"/>
      <c r="DO134" s="23"/>
      <c r="DP134" s="23"/>
      <c r="DQ134" s="23"/>
      <c r="DR134" s="23"/>
      <c r="DS134" s="23"/>
      <c r="DT134" s="23"/>
      <c r="DU134" s="23"/>
      <c r="DV134" s="23"/>
      <c r="DW134" s="23"/>
      <c r="DX134" s="23"/>
      <c r="DY134" s="23"/>
      <c r="DZ134" s="23"/>
      <c r="EA134" s="23"/>
      <c r="EB134" s="23"/>
      <c r="EC134" s="23"/>
      <c r="ED134" s="23"/>
      <c r="EE134" s="23"/>
      <c r="EF134" s="23"/>
      <c r="EG134" s="23"/>
      <c r="EH134" s="23"/>
      <c r="EI134" s="23"/>
      <c r="EJ134" s="23"/>
      <c r="EK134" s="23"/>
      <c r="EL134" s="23"/>
      <c r="EM134" s="23"/>
      <c r="EN134" s="23"/>
      <c r="EO134" s="23"/>
      <c r="EP134" s="23"/>
      <c r="EQ134" s="23"/>
      <c r="ER134" s="23"/>
      <c r="ES134" s="23"/>
      <c r="ET134" s="23"/>
      <c r="EU134" s="23"/>
      <c r="EV134" s="23"/>
      <c r="EW134" s="23"/>
      <c r="EX134" s="23"/>
      <c r="EY134" s="23"/>
      <c r="EZ134" s="23"/>
      <c r="FA134" s="23"/>
      <c r="FB134" s="23"/>
      <c r="FC134" s="23"/>
      <c r="FD134" s="23"/>
      <c r="FE134" s="23"/>
      <c r="FF134" s="23"/>
      <c r="FG134" s="23"/>
      <c r="FH134" s="23"/>
      <c r="FI134" s="23"/>
      <c r="FJ134" s="23"/>
      <c r="FK134" s="23"/>
      <c r="FL134" s="23"/>
      <c r="FM134" s="23"/>
      <c r="FN134" s="23"/>
      <c r="FO134" s="23"/>
      <c r="FP134" s="23"/>
      <c r="FQ134" s="23"/>
      <c r="FR134" s="23"/>
      <c r="FS134" s="23"/>
      <c r="FT134" s="23"/>
      <c r="FU134" s="23"/>
      <c r="FV134" s="23"/>
      <c r="FW134" s="23"/>
      <c r="FX134" s="23"/>
      <c r="FY134" s="23"/>
      <c r="FZ134" s="23"/>
      <c r="GA134" s="23"/>
      <c r="GB134" s="23"/>
      <c r="GC134" s="23"/>
      <c r="GD134" s="23"/>
      <c r="GE134" s="23"/>
      <c r="GF134" s="23"/>
      <c r="GG134" s="23"/>
      <c r="GH134" s="23"/>
      <c r="GI134" s="23"/>
      <c r="GJ134" s="23"/>
      <c r="GK134" s="23"/>
      <c r="GL134" s="23"/>
    </row>
    <row r="135" spans="1:194" ht="13">
      <c r="A135" s="23"/>
      <c r="B135" s="23"/>
      <c r="C135" s="23"/>
      <c r="D135" s="23"/>
      <c r="E135" s="23"/>
      <c r="F135" s="23"/>
      <c r="G135" s="23"/>
      <c r="H135" s="401"/>
      <c r="I135" s="401"/>
      <c r="J135" s="401"/>
      <c r="K135" s="401"/>
      <c r="L135" s="401"/>
      <c r="M135" s="438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  <c r="BP135" s="23"/>
      <c r="BQ135" s="23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/>
      <c r="CX135" s="23"/>
      <c r="CY135" s="23"/>
      <c r="CZ135" s="23"/>
      <c r="DA135" s="23"/>
      <c r="DB135" s="23"/>
      <c r="DC135" s="23"/>
      <c r="DD135" s="23"/>
      <c r="DE135" s="23"/>
      <c r="DF135" s="23"/>
      <c r="DG135" s="23"/>
      <c r="DH135" s="23"/>
      <c r="DI135" s="23"/>
      <c r="DJ135" s="23"/>
      <c r="DK135" s="23"/>
      <c r="DL135" s="23"/>
      <c r="DM135" s="23"/>
      <c r="DN135" s="23"/>
      <c r="DO135" s="23"/>
      <c r="DP135" s="23"/>
      <c r="DQ135" s="23"/>
      <c r="DR135" s="23"/>
      <c r="DS135" s="23"/>
      <c r="DT135" s="23"/>
      <c r="DU135" s="23"/>
      <c r="DV135" s="23"/>
      <c r="DW135" s="23"/>
      <c r="DX135" s="23"/>
      <c r="DY135" s="23"/>
      <c r="DZ135" s="23"/>
      <c r="EA135" s="23"/>
      <c r="EB135" s="23"/>
      <c r="EC135" s="23"/>
      <c r="ED135" s="23"/>
      <c r="EE135" s="23"/>
      <c r="EF135" s="23"/>
      <c r="EG135" s="23"/>
      <c r="EH135" s="23"/>
      <c r="EI135" s="23"/>
      <c r="EJ135" s="23"/>
      <c r="EK135" s="23"/>
      <c r="EL135" s="23"/>
      <c r="EM135" s="23"/>
      <c r="EN135" s="23"/>
      <c r="EO135" s="23"/>
      <c r="EP135" s="23"/>
      <c r="EQ135" s="23"/>
      <c r="ER135" s="23"/>
      <c r="ES135" s="23"/>
      <c r="ET135" s="23"/>
      <c r="EU135" s="23"/>
      <c r="EV135" s="23"/>
      <c r="EW135" s="23"/>
      <c r="EX135" s="23"/>
      <c r="EY135" s="23"/>
      <c r="EZ135" s="23"/>
      <c r="FA135" s="23"/>
      <c r="FB135" s="23"/>
      <c r="FC135" s="23"/>
      <c r="FD135" s="23"/>
      <c r="FE135" s="23"/>
      <c r="FF135" s="23"/>
      <c r="FG135" s="23"/>
      <c r="FH135" s="23"/>
      <c r="FI135" s="23"/>
      <c r="FJ135" s="23"/>
      <c r="FK135" s="23"/>
      <c r="FL135" s="23"/>
      <c r="FM135" s="23"/>
      <c r="FN135" s="23"/>
      <c r="FO135" s="23"/>
      <c r="FP135" s="23"/>
      <c r="FQ135" s="23"/>
      <c r="FR135" s="23"/>
      <c r="FS135" s="23"/>
      <c r="FT135" s="23"/>
      <c r="FU135" s="23"/>
      <c r="FV135" s="23"/>
      <c r="FW135" s="23"/>
      <c r="FX135" s="23"/>
      <c r="FY135" s="23"/>
      <c r="FZ135" s="23"/>
      <c r="GA135" s="23"/>
      <c r="GB135" s="23"/>
      <c r="GC135" s="23"/>
      <c r="GD135" s="23"/>
      <c r="GE135" s="23"/>
      <c r="GF135" s="23"/>
      <c r="GG135" s="23"/>
      <c r="GH135" s="23"/>
      <c r="GI135" s="23"/>
      <c r="GJ135" s="23"/>
      <c r="GK135" s="23"/>
      <c r="GL135" s="23"/>
    </row>
    <row r="136" spans="1:194" ht="13">
      <c r="A136" s="23"/>
      <c r="B136" s="23"/>
      <c r="C136" s="23"/>
      <c r="D136" s="23"/>
      <c r="E136" s="23"/>
      <c r="F136" s="23"/>
      <c r="G136" s="23"/>
      <c r="H136" s="401"/>
      <c r="I136" s="401"/>
      <c r="J136" s="401"/>
      <c r="K136" s="401"/>
      <c r="L136" s="401"/>
      <c r="M136" s="438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  <c r="BP136" s="23"/>
      <c r="BQ136" s="23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3"/>
      <c r="DF136" s="23"/>
      <c r="DG136" s="23"/>
      <c r="DH136" s="23"/>
      <c r="DI136" s="23"/>
      <c r="DJ136" s="23"/>
      <c r="DK136" s="23"/>
      <c r="DL136" s="23"/>
      <c r="DM136" s="23"/>
      <c r="DN136" s="23"/>
      <c r="DO136" s="23"/>
      <c r="DP136" s="23"/>
      <c r="DQ136" s="23"/>
      <c r="DR136" s="23"/>
      <c r="DS136" s="23"/>
      <c r="DT136" s="23"/>
      <c r="DU136" s="23"/>
      <c r="DV136" s="23"/>
      <c r="DW136" s="23"/>
      <c r="DX136" s="23"/>
      <c r="DY136" s="23"/>
      <c r="DZ136" s="23"/>
      <c r="EA136" s="23"/>
      <c r="EB136" s="23"/>
      <c r="EC136" s="23"/>
      <c r="ED136" s="23"/>
      <c r="EE136" s="23"/>
      <c r="EF136" s="23"/>
      <c r="EG136" s="23"/>
      <c r="EH136" s="23"/>
      <c r="EI136" s="23"/>
      <c r="EJ136" s="23"/>
      <c r="EK136" s="23"/>
      <c r="EL136" s="23"/>
      <c r="EM136" s="23"/>
      <c r="EN136" s="23"/>
      <c r="EO136" s="23"/>
      <c r="EP136" s="23"/>
      <c r="EQ136" s="23"/>
      <c r="ER136" s="23"/>
      <c r="ES136" s="23"/>
      <c r="ET136" s="23"/>
      <c r="EU136" s="23"/>
      <c r="EV136" s="23"/>
      <c r="EW136" s="23"/>
      <c r="EX136" s="23"/>
      <c r="EY136" s="23"/>
      <c r="EZ136" s="23"/>
      <c r="FA136" s="23"/>
      <c r="FB136" s="23"/>
      <c r="FC136" s="23"/>
      <c r="FD136" s="23"/>
      <c r="FE136" s="23"/>
      <c r="FF136" s="23"/>
      <c r="FG136" s="23"/>
      <c r="FH136" s="23"/>
      <c r="FI136" s="23"/>
      <c r="FJ136" s="23"/>
      <c r="FK136" s="23"/>
      <c r="FL136" s="23"/>
      <c r="FM136" s="23"/>
      <c r="FN136" s="23"/>
      <c r="FO136" s="23"/>
      <c r="FP136" s="23"/>
      <c r="FQ136" s="23"/>
      <c r="FR136" s="23"/>
      <c r="FS136" s="23"/>
      <c r="FT136" s="23"/>
      <c r="FU136" s="23"/>
      <c r="FV136" s="23"/>
      <c r="FW136" s="23"/>
      <c r="FX136" s="23"/>
      <c r="FY136" s="23"/>
      <c r="FZ136" s="23"/>
      <c r="GA136" s="23"/>
      <c r="GB136" s="23"/>
      <c r="GC136" s="23"/>
      <c r="GD136" s="23"/>
      <c r="GE136" s="23"/>
      <c r="GF136" s="23"/>
      <c r="GG136" s="23"/>
      <c r="GH136" s="23"/>
      <c r="GI136" s="23"/>
      <c r="GJ136" s="23"/>
      <c r="GK136" s="23"/>
      <c r="GL136" s="23"/>
    </row>
    <row r="137" spans="1:194" ht="13">
      <c r="A137" s="23"/>
      <c r="B137" s="23"/>
      <c r="C137" s="23"/>
      <c r="D137" s="23"/>
      <c r="E137" s="23"/>
      <c r="F137" s="23"/>
      <c r="G137" s="23"/>
      <c r="H137" s="401"/>
      <c r="I137" s="401"/>
      <c r="J137" s="401"/>
      <c r="K137" s="401"/>
      <c r="L137" s="401"/>
      <c r="M137" s="438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  <c r="BM137" s="23"/>
      <c r="BN137" s="23"/>
      <c r="BO137" s="23"/>
      <c r="BP137" s="23"/>
      <c r="BQ137" s="23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/>
      <c r="DB137" s="23"/>
      <c r="DC137" s="23"/>
      <c r="DD137" s="23"/>
      <c r="DE137" s="23"/>
      <c r="DF137" s="23"/>
      <c r="DG137" s="23"/>
      <c r="DH137" s="23"/>
      <c r="DI137" s="23"/>
      <c r="DJ137" s="23"/>
      <c r="DK137" s="23"/>
      <c r="DL137" s="23"/>
      <c r="DM137" s="23"/>
      <c r="DN137" s="23"/>
      <c r="DO137" s="23"/>
      <c r="DP137" s="23"/>
      <c r="DQ137" s="23"/>
      <c r="DR137" s="23"/>
      <c r="DS137" s="23"/>
      <c r="DT137" s="23"/>
      <c r="DU137" s="23"/>
      <c r="DV137" s="23"/>
      <c r="DW137" s="23"/>
      <c r="DX137" s="23"/>
      <c r="DY137" s="23"/>
      <c r="DZ137" s="23"/>
      <c r="EA137" s="23"/>
      <c r="EB137" s="23"/>
      <c r="EC137" s="23"/>
      <c r="ED137" s="23"/>
      <c r="EE137" s="23"/>
      <c r="EF137" s="23"/>
      <c r="EG137" s="23"/>
      <c r="EH137" s="23"/>
      <c r="EI137" s="23"/>
      <c r="EJ137" s="23"/>
      <c r="EK137" s="23"/>
      <c r="EL137" s="23"/>
      <c r="EM137" s="23"/>
      <c r="EN137" s="23"/>
      <c r="EO137" s="23"/>
      <c r="EP137" s="23"/>
      <c r="EQ137" s="23"/>
      <c r="ER137" s="23"/>
      <c r="ES137" s="23"/>
      <c r="ET137" s="23"/>
      <c r="EU137" s="23"/>
      <c r="EV137" s="23"/>
      <c r="EW137" s="23"/>
      <c r="EX137" s="23"/>
      <c r="EY137" s="23"/>
      <c r="EZ137" s="23"/>
      <c r="FA137" s="23"/>
      <c r="FB137" s="23"/>
      <c r="FC137" s="23"/>
      <c r="FD137" s="23"/>
      <c r="FE137" s="23"/>
      <c r="FF137" s="23"/>
      <c r="FG137" s="23"/>
      <c r="FH137" s="23"/>
      <c r="FI137" s="23"/>
      <c r="FJ137" s="23"/>
      <c r="FK137" s="23"/>
      <c r="FL137" s="23"/>
      <c r="FM137" s="23"/>
      <c r="FN137" s="23"/>
      <c r="FO137" s="23"/>
      <c r="FP137" s="23"/>
      <c r="FQ137" s="23"/>
      <c r="FR137" s="23"/>
      <c r="FS137" s="23"/>
      <c r="FT137" s="23"/>
      <c r="FU137" s="23"/>
      <c r="FV137" s="23"/>
      <c r="FW137" s="23"/>
      <c r="FX137" s="23"/>
      <c r="FY137" s="23"/>
      <c r="FZ137" s="23"/>
      <c r="GA137" s="23"/>
      <c r="GB137" s="23"/>
      <c r="GC137" s="23"/>
      <c r="GD137" s="23"/>
      <c r="GE137" s="23"/>
      <c r="GF137" s="23"/>
      <c r="GG137" s="23"/>
      <c r="GH137" s="23"/>
      <c r="GI137" s="23"/>
      <c r="GJ137" s="23"/>
      <c r="GK137" s="23"/>
      <c r="GL137" s="23"/>
    </row>
    <row r="138" spans="1:194" ht="13">
      <c r="A138" s="23"/>
      <c r="B138" s="23"/>
      <c r="C138" s="23"/>
      <c r="D138" s="23"/>
      <c r="E138" s="23"/>
      <c r="F138" s="23"/>
      <c r="G138" s="23"/>
      <c r="H138" s="401"/>
      <c r="I138" s="401"/>
      <c r="J138" s="401"/>
      <c r="K138" s="401"/>
      <c r="L138" s="401"/>
      <c r="M138" s="438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  <c r="BM138" s="23"/>
      <c r="BN138" s="23"/>
      <c r="BO138" s="23"/>
      <c r="BP138" s="23"/>
      <c r="BQ138" s="23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  <c r="CH138" s="23"/>
      <c r="CI138" s="23"/>
      <c r="CJ138" s="23"/>
      <c r="CK138" s="23"/>
      <c r="CL138" s="23"/>
      <c r="CM138" s="23"/>
      <c r="CN138" s="23"/>
      <c r="CO138" s="23"/>
      <c r="CP138" s="23"/>
      <c r="CQ138" s="23"/>
      <c r="CR138" s="23"/>
      <c r="CS138" s="23"/>
      <c r="CT138" s="23"/>
      <c r="CU138" s="23"/>
      <c r="CV138" s="23"/>
      <c r="CW138" s="23"/>
      <c r="CX138" s="23"/>
      <c r="CY138" s="23"/>
      <c r="CZ138" s="23"/>
      <c r="DA138" s="23"/>
      <c r="DB138" s="23"/>
      <c r="DC138" s="23"/>
      <c r="DD138" s="23"/>
      <c r="DE138" s="23"/>
      <c r="DF138" s="23"/>
      <c r="DG138" s="23"/>
      <c r="DH138" s="23"/>
      <c r="DI138" s="23"/>
      <c r="DJ138" s="23"/>
      <c r="DK138" s="23"/>
      <c r="DL138" s="23"/>
      <c r="DM138" s="23"/>
      <c r="DN138" s="23"/>
      <c r="DO138" s="23"/>
      <c r="DP138" s="23"/>
      <c r="DQ138" s="23"/>
      <c r="DR138" s="23"/>
      <c r="DS138" s="23"/>
      <c r="DT138" s="23"/>
      <c r="DU138" s="23"/>
      <c r="DV138" s="23"/>
      <c r="DW138" s="23"/>
      <c r="DX138" s="23"/>
      <c r="DY138" s="23"/>
      <c r="DZ138" s="23"/>
      <c r="EA138" s="23"/>
      <c r="EB138" s="23"/>
      <c r="EC138" s="23"/>
      <c r="ED138" s="23"/>
      <c r="EE138" s="23"/>
      <c r="EF138" s="23"/>
      <c r="EG138" s="23"/>
      <c r="EH138" s="23"/>
      <c r="EI138" s="23"/>
      <c r="EJ138" s="23"/>
      <c r="EK138" s="23"/>
      <c r="EL138" s="23"/>
      <c r="EM138" s="23"/>
      <c r="EN138" s="23"/>
      <c r="EO138" s="23"/>
      <c r="EP138" s="23"/>
      <c r="EQ138" s="23"/>
      <c r="ER138" s="23"/>
      <c r="ES138" s="23"/>
      <c r="ET138" s="23"/>
      <c r="EU138" s="23"/>
      <c r="EV138" s="23"/>
      <c r="EW138" s="23"/>
      <c r="EX138" s="23"/>
      <c r="EY138" s="23"/>
      <c r="EZ138" s="23"/>
      <c r="FA138" s="23"/>
      <c r="FB138" s="23"/>
      <c r="FC138" s="23"/>
      <c r="FD138" s="23"/>
      <c r="FE138" s="23"/>
      <c r="FF138" s="23"/>
      <c r="FG138" s="23"/>
      <c r="FH138" s="23"/>
      <c r="FI138" s="23"/>
      <c r="FJ138" s="23"/>
      <c r="FK138" s="23"/>
      <c r="FL138" s="23"/>
      <c r="FM138" s="23"/>
      <c r="FN138" s="23"/>
      <c r="FO138" s="23"/>
      <c r="FP138" s="23"/>
      <c r="FQ138" s="23"/>
      <c r="FR138" s="23"/>
      <c r="FS138" s="23"/>
      <c r="FT138" s="23"/>
      <c r="FU138" s="23"/>
      <c r="FV138" s="23"/>
      <c r="FW138" s="23"/>
      <c r="FX138" s="23"/>
      <c r="FY138" s="23"/>
      <c r="FZ138" s="23"/>
      <c r="GA138" s="23"/>
      <c r="GB138" s="23"/>
      <c r="GC138" s="23"/>
      <c r="GD138" s="23"/>
      <c r="GE138" s="23"/>
      <c r="GF138" s="23"/>
      <c r="GG138" s="23"/>
      <c r="GH138" s="23"/>
      <c r="GI138" s="23"/>
      <c r="GJ138" s="23"/>
      <c r="GK138" s="23"/>
      <c r="GL138" s="23"/>
    </row>
    <row r="139" spans="1:194" ht="13">
      <c r="A139" s="23"/>
      <c r="B139" s="23"/>
      <c r="C139" s="23"/>
      <c r="D139" s="23"/>
      <c r="E139" s="23"/>
      <c r="F139" s="23"/>
      <c r="G139" s="23"/>
      <c r="H139" s="401"/>
      <c r="I139" s="401"/>
      <c r="J139" s="401"/>
      <c r="K139" s="401"/>
      <c r="L139" s="401"/>
      <c r="M139" s="438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  <c r="BL139" s="23"/>
      <c r="BM139" s="23"/>
      <c r="BN139" s="23"/>
      <c r="BO139" s="23"/>
      <c r="BP139" s="23"/>
      <c r="BQ139" s="23"/>
      <c r="BR139" s="23"/>
      <c r="BS139" s="23"/>
      <c r="BT139" s="23"/>
      <c r="BU139" s="23"/>
      <c r="BV139" s="23"/>
      <c r="BW139" s="23"/>
      <c r="BX139" s="23"/>
      <c r="BY139" s="23"/>
      <c r="BZ139" s="23"/>
      <c r="CA139" s="23"/>
      <c r="CB139" s="23"/>
      <c r="CC139" s="23"/>
      <c r="CD139" s="23"/>
      <c r="CE139" s="23"/>
      <c r="CF139" s="23"/>
      <c r="CG139" s="23"/>
      <c r="CH139" s="23"/>
      <c r="CI139" s="23"/>
      <c r="CJ139" s="23"/>
      <c r="CK139" s="23"/>
      <c r="CL139" s="23"/>
      <c r="CM139" s="23"/>
      <c r="CN139" s="23"/>
      <c r="CO139" s="23"/>
      <c r="CP139" s="23"/>
      <c r="CQ139" s="23"/>
      <c r="CR139" s="23"/>
      <c r="CS139" s="23"/>
      <c r="CT139" s="23"/>
      <c r="CU139" s="23"/>
      <c r="CV139" s="23"/>
      <c r="CW139" s="23"/>
      <c r="CX139" s="23"/>
      <c r="CY139" s="23"/>
      <c r="CZ139" s="23"/>
      <c r="DA139" s="23"/>
      <c r="DB139" s="23"/>
      <c r="DC139" s="23"/>
      <c r="DD139" s="23"/>
      <c r="DE139" s="23"/>
      <c r="DF139" s="23"/>
      <c r="DG139" s="23"/>
      <c r="DH139" s="23"/>
      <c r="DI139" s="23"/>
      <c r="DJ139" s="23"/>
      <c r="DK139" s="23"/>
      <c r="DL139" s="23"/>
      <c r="DM139" s="23"/>
      <c r="DN139" s="23"/>
      <c r="DO139" s="23"/>
      <c r="DP139" s="23"/>
      <c r="DQ139" s="23"/>
      <c r="DR139" s="23"/>
      <c r="DS139" s="23"/>
      <c r="DT139" s="23"/>
      <c r="DU139" s="23"/>
      <c r="DV139" s="23"/>
      <c r="DW139" s="23"/>
      <c r="DX139" s="23"/>
      <c r="DY139" s="23"/>
      <c r="DZ139" s="23"/>
      <c r="EA139" s="23"/>
      <c r="EB139" s="23"/>
      <c r="EC139" s="23"/>
      <c r="ED139" s="23"/>
      <c r="EE139" s="23"/>
      <c r="EF139" s="23"/>
      <c r="EG139" s="23"/>
      <c r="EH139" s="23"/>
      <c r="EI139" s="23"/>
      <c r="EJ139" s="23"/>
      <c r="EK139" s="23"/>
      <c r="EL139" s="23"/>
      <c r="EM139" s="23"/>
      <c r="EN139" s="23"/>
      <c r="EO139" s="23"/>
      <c r="EP139" s="23"/>
      <c r="EQ139" s="23"/>
      <c r="ER139" s="23"/>
      <c r="ES139" s="23"/>
      <c r="ET139" s="23"/>
      <c r="EU139" s="23"/>
      <c r="EV139" s="23"/>
      <c r="EW139" s="23"/>
      <c r="EX139" s="23"/>
      <c r="EY139" s="23"/>
      <c r="EZ139" s="23"/>
      <c r="FA139" s="23"/>
      <c r="FB139" s="23"/>
      <c r="FC139" s="23"/>
      <c r="FD139" s="23"/>
      <c r="FE139" s="23"/>
      <c r="FF139" s="23"/>
      <c r="FG139" s="23"/>
      <c r="FH139" s="23"/>
      <c r="FI139" s="23"/>
      <c r="FJ139" s="23"/>
      <c r="FK139" s="23"/>
      <c r="FL139" s="23"/>
      <c r="FM139" s="23"/>
      <c r="FN139" s="23"/>
      <c r="FO139" s="23"/>
      <c r="FP139" s="23"/>
      <c r="FQ139" s="23"/>
      <c r="FR139" s="23"/>
      <c r="FS139" s="23"/>
      <c r="FT139" s="23"/>
      <c r="FU139" s="23"/>
      <c r="FV139" s="23"/>
      <c r="FW139" s="23"/>
      <c r="FX139" s="23"/>
      <c r="FY139" s="23"/>
      <c r="FZ139" s="23"/>
      <c r="GA139" s="23"/>
      <c r="GB139" s="23"/>
      <c r="GC139" s="23"/>
      <c r="GD139" s="23"/>
      <c r="GE139" s="23"/>
      <c r="GF139" s="23"/>
      <c r="GG139" s="23"/>
      <c r="GH139" s="23"/>
      <c r="GI139" s="23"/>
      <c r="GJ139" s="23"/>
      <c r="GK139" s="23"/>
      <c r="GL139" s="23"/>
    </row>
    <row r="140" spans="1:194" ht="13">
      <c r="A140" s="23"/>
      <c r="B140" s="23"/>
      <c r="C140" s="23"/>
      <c r="D140" s="23"/>
      <c r="E140" s="23"/>
      <c r="F140" s="23"/>
      <c r="G140" s="23"/>
      <c r="H140" s="401"/>
      <c r="I140" s="401"/>
      <c r="J140" s="401"/>
      <c r="K140" s="401"/>
      <c r="L140" s="401"/>
      <c r="M140" s="438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  <c r="BO140" s="23"/>
      <c r="BP140" s="23"/>
      <c r="BQ140" s="23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23"/>
      <c r="CO140" s="23"/>
      <c r="CP140" s="23"/>
      <c r="CQ140" s="23"/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3"/>
      <c r="DF140" s="23"/>
      <c r="DG140" s="23"/>
      <c r="DH140" s="23"/>
      <c r="DI140" s="23"/>
      <c r="DJ140" s="23"/>
      <c r="DK140" s="23"/>
      <c r="DL140" s="23"/>
      <c r="DM140" s="23"/>
      <c r="DN140" s="23"/>
      <c r="DO140" s="23"/>
      <c r="DP140" s="23"/>
      <c r="DQ140" s="23"/>
      <c r="DR140" s="23"/>
      <c r="DS140" s="23"/>
      <c r="DT140" s="23"/>
      <c r="DU140" s="23"/>
      <c r="DV140" s="23"/>
      <c r="DW140" s="23"/>
      <c r="DX140" s="23"/>
      <c r="DY140" s="23"/>
      <c r="DZ140" s="23"/>
      <c r="EA140" s="23"/>
      <c r="EB140" s="23"/>
      <c r="EC140" s="23"/>
      <c r="ED140" s="23"/>
      <c r="EE140" s="23"/>
      <c r="EF140" s="23"/>
      <c r="EG140" s="23"/>
      <c r="EH140" s="23"/>
      <c r="EI140" s="23"/>
      <c r="EJ140" s="23"/>
      <c r="EK140" s="23"/>
      <c r="EL140" s="23"/>
      <c r="EM140" s="23"/>
      <c r="EN140" s="23"/>
      <c r="EO140" s="23"/>
      <c r="EP140" s="23"/>
      <c r="EQ140" s="23"/>
      <c r="ER140" s="23"/>
      <c r="ES140" s="23"/>
      <c r="ET140" s="23"/>
      <c r="EU140" s="23"/>
      <c r="EV140" s="23"/>
      <c r="EW140" s="23"/>
      <c r="EX140" s="23"/>
      <c r="EY140" s="23"/>
      <c r="EZ140" s="23"/>
      <c r="FA140" s="23"/>
      <c r="FB140" s="23"/>
      <c r="FC140" s="23"/>
      <c r="FD140" s="23"/>
      <c r="FE140" s="23"/>
      <c r="FF140" s="23"/>
      <c r="FG140" s="23"/>
      <c r="FH140" s="23"/>
      <c r="FI140" s="23"/>
      <c r="FJ140" s="23"/>
      <c r="FK140" s="23"/>
      <c r="FL140" s="23"/>
      <c r="FM140" s="23"/>
      <c r="FN140" s="23"/>
      <c r="FO140" s="23"/>
      <c r="FP140" s="23"/>
      <c r="FQ140" s="23"/>
      <c r="FR140" s="23"/>
      <c r="FS140" s="23"/>
      <c r="FT140" s="23"/>
      <c r="FU140" s="23"/>
      <c r="FV140" s="23"/>
      <c r="FW140" s="23"/>
      <c r="FX140" s="23"/>
      <c r="FY140" s="23"/>
      <c r="FZ140" s="23"/>
      <c r="GA140" s="23"/>
      <c r="GB140" s="23"/>
      <c r="GC140" s="23"/>
      <c r="GD140" s="23"/>
      <c r="GE140" s="23"/>
      <c r="GF140" s="23"/>
      <c r="GG140" s="23"/>
      <c r="GH140" s="23"/>
      <c r="GI140" s="23"/>
      <c r="GJ140" s="23"/>
      <c r="GK140" s="23"/>
      <c r="GL140" s="23"/>
    </row>
    <row r="141" spans="1:194" ht="13">
      <c r="A141" s="23"/>
      <c r="B141" s="23"/>
      <c r="C141" s="23"/>
      <c r="D141" s="23"/>
      <c r="E141" s="23"/>
      <c r="F141" s="23"/>
      <c r="G141" s="23"/>
      <c r="H141" s="401"/>
      <c r="I141" s="401"/>
      <c r="J141" s="401"/>
      <c r="K141" s="401"/>
      <c r="L141" s="401"/>
      <c r="M141" s="438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  <c r="BL141" s="23"/>
      <c r="BM141" s="23"/>
      <c r="BN141" s="23"/>
      <c r="BO141" s="23"/>
      <c r="BP141" s="23"/>
      <c r="BQ141" s="23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  <c r="CH141" s="23"/>
      <c r="CI141" s="23"/>
      <c r="CJ141" s="23"/>
      <c r="CK141" s="23"/>
      <c r="CL141" s="23"/>
      <c r="CM141" s="23"/>
      <c r="CN141" s="23"/>
      <c r="CO141" s="23"/>
      <c r="CP141" s="23"/>
      <c r="CQ141" s="23"/>
      <c r="CR141" s="23"/>
      <c r="CS141" s="23"/>
      <c r="CT141" s="23"/>
      <c r="CU141" s="23"/>
      <c r="CV141" s="23"/>
      <c r="CW141" s="23"/>
      <c r="CX141" s="23"/>
      <c r="CY141" s="23"/>
      <c r="CZ141" s="23"/>
      <c r="DA141" s="23"/>
      <c r="DB141" s="23"/>
      <c r="DC141" s="23"/>
      <c r="DD141" s="23"/>
      <c r="DE141" s="23"/>
      <c r="DF141" s="23"/>
      <c r="DG141" s="23"/>
      <c r="DH141" s="23"/>
      <c r="DI141" s="23"/>
      <c r="DJ141" s="23"/>
      <c r="DK141" s="23"/>
      <c r="DL141" s="23"/>
      <c r="DM141" s="23"/>
      <c r="DN141" s="23"/>
      <c r="DO141" s="23"/>
      <c r="DP141" s="23"/>
      <c r="DQ141" s="23"/>
      <c r="DR141" s="23"/>
      <c r="DS141" s="23"/>
      <c r="DT141" s="23"/>
      <c r="DU141" s="23"/>
      <c r="DV141" s="23"/>
      <c r="DW141" s="23"/>
      <c r="DX141" s="23"/>
      <c r="DY141" s="23"/>
      <c r="DZ141" s="23"/>
      <c r="EA141" s="23"/>
      <c r="EB141" s="23"/>
      <c r="EC141" s="23"/>
      <c r="ED141" s="23"/>
      <c r="EE141" s="23"/>
      <c r="EF141" s="23"/>
      <c r="EG141" s="23"/>
      <c r="EH141" s="23"/>
      <c r="EI141" s="23"/>
      <c r="EJ141" s="23"/>
      <c r="EK141" s="23"/>
      <c r="EL141" s="23"/>
      <c r="EM141" s="23"/>
      <c r="EN141" s="23"/>
      <c r="EO141" s="23"/>
      <c r="EP141" s="23"/>
      <c r="EQ141" s="23"/>
      <c r="ER141" s="23"/>
      <c r="ES141" s="23"/>
      <c r="ET141" s="23"/>
      <c r="EU141" s="23"/>
      <c r="EV141" s="23"/>
      <c r="EW141" s="23"/>
      <c r="EX141" s="23"/>
      <c r="EY141" s="23"/>
      <c r="EZ141" s="23"/>
      <c r="FA141" s="23"/>
      <c r="FB141" s="23"/>
      <c r="FC141" s="23"/>
      <c r="FD141" s="23"/>
      <c r="FE141" s="23"/>
      <c r="FF141" s="23"/>
      <c r="FG141" s="23"/>
      <c r="FH141" s="23"/>
      <c r="FI141" s="23"/>
      <c r="FJ141" s="23"/>
      <c r="FK141" s="23"/>
      <c r="FL141" s="23"/>
      <c r="FM141" s="23"/>
      <c r="FN141" s="23"/>
      <c r="FO141" s="23"/>
      <c r="FP141" s="23"/>
      <c r="FQ141" s="23"/>
      <c r="FR141" s="23"/>
      <c r="FS141" s="23"/>
      <c r="FT141" s="23"/>
      <c r="FU141" s="23"/>
      <c r="FV141" s="23"/>
      <c r="FW141" s="23"/>
      <c r="FX141" s="23"/>
      <c r="FY141" s="23"/>
      <c r="FZ141" s="23"/>
      <c r="GA141" s="23"/>
      <c r="GB141" s="23"/>
      <c r="GC141" s="23"/>
      <c r="GD141" s="23"/>
      <c r="GE141" s="23"/>
      <c r="GF141" s="23"/>
      <c r="GG141" s="23"/>
      <c r="GH141" s="23"/>
      <c r="GI141" s="23"/>
      <c r="GJ141" s="23"/>
      <c r="GK141" s="23"/>
      <c r="GL141" s="23"/>
    </row>
    <row r="142" spans="1:194" ht="13">
      <c r="A142" s="23"/>
      <c r="B142" s="23"/>
      <c r="C142" s="23"/>
      <c r="D142" s="23"/>
      <c r="E142" s="23"/>
      <c r="F142" s="23"/>
      <c r="G142" s="23"/>
      <c r="H142" s="401"/>
      <c r="I142" s="401"/>
      <c r="J142" s="401"/>
      <c r="K142" s="401"/>
      <c r="L142" s="401"/>
      <c r="M142" s="438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  <c r="BO142" s="23"/>
      <c r="BP142" s="23"/>
      <c r="BQ142" s="23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3"/>
      <c r="DF142" s="23"/>
      <c r="DG142" s="23"/>
      <c r="DH142" s="23"/>
      <c r="DI142" s="23"/>
      <c r="DJ142" s="23"/>
      <c r="DK142" s="23"/>
      <c r="DL142" s="23"/>
      <c r="DM142" s="23"/>
      <c r="DN142" s="23"/>
      <c r="DO142" s="23"/>
      <c r="DP142" s="23"/>
      <c r="DQ142" s="23"/>
      <c r="DR142" s="23"/>
      <c r="DS142" s="23"/>
      <c r="DT142" s="23"/>
      <c r="DU142" s="23"/>
      <c r="DV142" s="23"/>
      <c r="DW142" s="23"/>
      <c r="DX142" s="23"/>
      <c r="DY142" s="23"/>
      <c r="DZ142" s="23"/>
      <c r="EA142" s="23"/>
      <c r="EB142" s="23"/>
      <c r="EC142" s="23"/>
      <c r="ED142" s="23"/>
      <c r="EE142" s="23"/>
      <c r="EF142" s="23"/>
      <c r="EG142" s="23"/>
      <c r="EH142" s="23"/>
      <c r="EI142" s="23"/>
      <c r="EJ142" s="23"/>
      <c r="EK142" s="23"/>
      <c r="EL142" s="23"/>
      <c r="EM142" s="23"/>
      <c r="EN142" s="23"/>
      <c r="EO142" s="23"/>
      <c r="EP142" s="23"/>
      <c r="EQ142" s="23"/>
      <c r="ER142" s="23"/>
      <c r="ES142" s="23"/>
      <c r="ET142" s="23"/>
      <c r="EU142" s="23"/>
      <c r="EV142" s="23"/>
      <c r="EW142" s="23"/>
      <c r="EX142" s="23"/>
      <c r="EY142" s="23"/>
      <c r="EZ142" s="23"/>
      <c r="FA142" s="23"/>
      <c r="FB142" s="23"/>
      <c r="FC142" s="23"/>
      <c r="FD142" s="23"/>
      <c r="FE142" s="23"/>
      <c r="FF142" s="23"/>
      <c r="FG142" s="23"/>
      <c r="FH142" s="23"/>
      <c r="FI142" s="23"/>
      <c r="FJ142" s="23"/>
      <c r="FK142" s="23"/>
      <c r="FL142" s="23"/>
      <c r="FM142" s="23"/>
      <c r="FN142" s="23"/>
      <c r="FO142" s="23"/>
      <c r="FP142" s="23"/>
      <c r="FQ142" s="23"/>
      <c r="FR142" s="23"/>
      <c r="FS142" s="23"/>
      <c r="FT142" s="23"/>
      <c r="FU142" s="23"/>
      <c r="FV142" s="23"/>
      <c r="FW142" s="23"/>
      <c r="FX142" s="23"/>
      <c r="FY142" s="23"/>
      <c r="FZ142" s="23"/>
      <c r="GA142" s="23"/>
      <c r="GB142" s="23"/>
      <c r="GC142" s="23"/>
      <c r="GD142" s="23"/>
      <c r="GE142" s="23"/>
      <c r="GF142" s="23"/>
      <c r="GG142" s="23"/>
      <c r="GH142" s="23"/>
      <c r="GI142" s="23"/>
      <c r="GJ142" s="23"/>
      <c r="GK142" s="23"/>
      <c r="GL142" s="23"/>
    </row>
    <row r="143" spans="1:194" ht="13">
      <c r="A143" s="23"/>
      <c r="B143" s="23"/>
      <c r="C143" s="23"/>
      <c r="D143" s="23"/>
      <c r="E143" s="23"/>
      <c r="F143" s="23"/>
      <c r="G143" s="23"/>
      <c r="H143" s="401"/>
      <c r="I143" s="401"/>
      <c r="J143" s="401"/>
      <c r="K143" s="401"/>
      <c r="L143" s="401"/>
      <c r="M143" s="438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  <c r="BN143" s="23"/>
      <c r="BO143" s="23"/>
      <c r="BP143" s="23"/>
      <c r="BQ143" s="23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23"/>
      <c r="CP143" s="23"/>
      <c r="CQ143" s="23"/>
      <c r="CR143" s="23"/>
      <c r="CS143" s="23"/>
      <c r="CT143" s="23"/>
      <c r="CU143" s="23"/>
      <c r="CV143" s="23"/>
      <c r="CW143" s="23"/>
      <c r="CX143" s="23"/>
      <c r="CY143" s="23"/>
      <c r="CZ143" s="23"/>
      <c r="DA143" s="23"/>
      <c r="DB143" s="23"/>
      <c r="DC143" s="23"/>
      <c r="DD143" s="23"/>
      <c r="DE143" s="23"/>
      <c r="DF143" s="23"/>
      <c r="DG143" s="23"/>
      <c r="DH143" s="23"/>
      <c r="DI143" s="23"/>
      <c r="DJ143" s="23"/>
      <c r="DK143" s="23"/>
      <c r="DL143" s="23"/>
      <c r="DM143" s="23"/>
      <c r="DN143" s="23"/>
      <c r="DO143" s="23"/>
      <c r="DP143" s="23"/>
      <c r="DQ143" s="23"/>
      <c r="DR143" s="23"/>
      <c r="DS143" s="23"/>
      <c r="DT143" s="23"/>
      <c r="DU143" s="23"/>
      <c r="DV143" s="23"/>
      <c r="DW143" s="23"/>
      <c r="DX143" s="23"/>
      <c r="DY143" s="23"/>
      <c r="DZ143" s="23"/>
      <c r="EA143" s="23"/>
      <c r="EB143" s="23"/>
      <c r="EC143" s="23"/>
      <c r="ED143" s="23"/>
      <c r="EE143" s="23"/>
      <c r="EF143" s="23"/>
      <c r="EG143" s="23"/>
      <c r="EH143" s="23"/>
      <c r="EI143" s="23"/>
      <c r="EJ143" s="23"/>
      <c r="EK143" s="23"/>
      <c r="EL143" s="23"/>
      <c r="EM143" s="23"/>
      <c r="EN143" s="23"/>
      <c r="EO143" s="23"/>
      <c r="EP143" s="23"/>
      <c r="EQ143" s="23"/>
      <c r="ER143" s="23"/>
      <c r="ES143" s="23"/>
      <c r="ET143" s="23"/>
      <c r="EU143" s="23"/>
      <c r="EV143" s="23"/>
      <c r="EW143" s="23"/>
      <c r="EX143" s="23"/>
      <c r="EY143" s="23"/>
      <c r="EZ143" s="23"/>
      <c r="FA143" s="23"/>
      <c r="FB143" s="23"/>
      <c r="FC143" s="23"/>
      <c r="FD143" s="23"/>
      <c r="FE143" s="23"/>
      <c r="FF143" s="23"/>
      <c r="FG143" s="23"/>
      <c r="FH143" s="23"/>
      <c r="FI143" s="23"/>
      <c r="FJ143" s="23"/>
      <c r="FK143" s="23"/>
      <c r="FL143" s="23"/>
      <c r="FM143" s="23"/>
      <c r="FN143" s="23"/>
      <c r="FO143" s="23"/>
      <c r="FP143" s="23"/>
      <c r="FQ143" s="23"/>
      <c r="FR143" s="23"/>
      <c r="FS143" s="23"/>
      <c r="FT143" s="23"/>
      <c r="FU143" s="23"/>
      <c r="FV143" s="23"/>
      <c r="FW143" s="23"/>
      <c r="FX143" s="23"/>
      <c r="FY143" s="23"/>
      <c r="FZ143" s="23"/>
      <c r="GA143" s="23"/>
      <c r="GB143" s="23"/>
      <c r="GC143" s="23"/>
      <c r="GD143" s="23"/>
      <c r="GE143" s="23"/>
      <c r="GF143" s="23"/>
      <c r="GG143" s="23"/>
      <c r="GH143" s="23"/>
      <c r="GI143" s="23"/>
      <c r="GJ143" s="23"/>
      <c r="GK143" s="23"/>
      <c r="GL143" s="23"/>
    </row>
    <row r="144" spans="1:194" ht="13">
      <c r="A144" s="23"/>
      <c r="B144" s="23"/>
      <c r="C144" s="23"/>
      <c r="D144" s="23"/>
      <c r="E144" s="23"/>
      <c r="F144" s="23"/>
      <c r="G144" s="23"/>
      <c r="H144" s="401"/>
      <c r="I144" s="401"/>
      <c r="J144" s="401"/>
      <c r="K144" s="401"/>
      <c r="L144" s="401"/>
      <c r="M144" s="438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3"/>
      <c r="BQ144" s="23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3"/>
      <c r="DF144" s="23"/>
      <c r="DG144" s="23"/>
      <c r="DH144" s="23"/>
      <c r="DI144" s="23"/>
      <c r="DJ144" s="23"/>
      <c r="DK144" s="23"/>
      <c r="DL144" s="23"/>
      <c r="DM144" s="23"/>
      <c r="DN144" s="23"/>
      <c r="DO144" s="23"/>
      <c r="DP144" s="23"/>
      <c r="DQ144" s="23"/>
      <c r="DR144" s="23"/>
      <c r="DS144" s="23"/>
      <c r="DT144" s="23"/>
      <c r="DU144" s="23"/>
      <c r="DV144" s="23"/>
      <c r="DW144" s="23"/>
      <c r="DX144" s="23"/>
      <c r="DY144" s="23"/>
      <c r="DZ144" s="23"/>
      <c r="EA144" s="23"/>
      <c r="EB144" s="23"/>
      <c r="EC144" s="23"/>
      <c r="ED144" s="23"/>
      <c r="EE144" s="23"/>
      <c r="EF144" s="23"/>
      <c r="EG144" s="23"/>
      <c r="EH144" s="23"/>
      <c r="EI144" s="23"/>
      <c r="EJ144" s="23"/>
      <c r="EK144" s="23"/>
      <c r="EL144" s="23"/>
      <c r="EM144" s="23"/>
      <c r="EN144" s="23"/>
      <c r="EO144" s="23"/>
      <c r="EP144" s="23"/>
      <c r="EQ144" s="23"/>
      <c r="ER144" s="23"/>
      <c r="ES144" s="23"/>
      <c r="ET144" s="23"/>
      <c r="EU144" s="23"/>
      <c r="EV144" s="23"/>
      <c r="EW144" s="23"/>
      <c r="EX144" s="23"/>
      <c r="EY144" s="23"/>
      <c r="EZ144" s="23"/>
      <c r="FA144" s="23"/>
      <c r="FB144" s="23"/>
      <c r="FC144" s="23"/>
      <c r="FD144" s="23"/>
      <c r="FE144" s="23"/>
      <c r="FF144" s="23"/>
      <c r="FG144" s="23"/>
      <c r="FH144" s="23"/>
      <c r="FI144" s="23"/>
      <c r="FJ144" s="23"/>
      <c r="FK144" s="23"/>
      <c r="FL144" s="23"/>
      <c r="FM144" s="23"/>
      <c r="FN144" s="23"/>
      <c r="FO144" s="23"/>
      <c r="FP144" s="23"/>
      <c r="FQ144" s="23"/>
      <c r="FR144" s="23"/>
      <c r="FS144" s="23"/>
      <c r="FT144" s="23"/>
      <c r="FU144" s="23"/>
      <c r="FV144" s="23"/>
      <c r="FW144" s="23"/>
      <c r="FX144" s="23"/>
      <c r="FY144" s="23"/>
      <c r="FZ144" s="23"/>
      <c r="GA144" s="23"/>
      <c r="GB144" s="23"/>
      <c r="GC144" s="23"/>
      <c r="GD144" s="23"/>
      <c r="GE144" s="23"/>
      <c r="GF144" s="23"/>
      <c r="GG144" s="23"/>
      <c r="GH144" s="23"/>
      <c r="GI144" s="23"/>
      <c r="GJ144" s="23"/>
      <c r="GK144" s="23"/>
      <c r="GL144" s="23"/>
    </row>
    <row r="145" spans="1:194" ht="13">
      <c r="A145" s="23"/>
      <c r="B145" s="23"/>
      <c r="C145" s="23"/>
      <c r="D145" s="23"/>
      <c r="E145" s="23"/>
      <c r="F145" s="23"/>
      <c r="G145" s="23"/>
      <c r="H145" s="401"/>
      <c r="I145" s="401"/>
      <c r="J145" s="401"/>
      <c r="K145" s="401"/>
      <c r="L145" s="401"/>
      <c r="M145" s="438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3"/>
      <c r="BQ145" s="23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H145" s="23"/>
      <c r="DI145" s="23"/>
      <c r="DJ145" s="23"/>
      <c r="DK145" s="23"/>
      <c r="DL145" s="23"/>
      <c r="DM145" s="23"/>
      <c r="DN145" s="23"/>
      <c r="DO145" s="23"/>
      <c r="DP145" s="23"/>
      <c r="DQ145" s="23"/>
      <c r="DR145" s="23"/>
      <c r="DS145" s="23"/>
      <c r="DT145" s="23"/>
      <c r="DU145" s="23"/>
      <c r="DV145" s="23"/>
      <c r="DW145" s="23"/>
      <c r="DX145" s="23"/>
      <c r="DY145" s="23"/>
      <c r="DZ145" s="23"/>
      <c r="EA145" s="23"/>
      <c r="EB145" s="23"/>
      <c r="EC145" s="23"/>
      <c r="ED145" s="23"/>
      <c r="EE145" s="23"/>
      <c r="EF145" s="23"/>
      <c r="EG145" s="23"/>
      <c r="EH145" s="23"/>
      <c r="EI145" s="23"/>
      <c r="EJ145" s="23"/>
      <c r="EK145" s="23"/>
      <c r="EL145" s="23"/>
      <c r="EM145" s="23"/>
      <c r="EN145" s="23"/>
      <c r="EO145" s="23"/>
      <c r="EP145" s="23"/>
      <c r="EQ145" s="23"/>
      <c r="ER145" s="23"/>
      <c r="ES145" s="23"/>
      <c r="ET145" s="23"/>
      <c r="EU145" s="23"/>
      <c r="EV145" s="23"/>
      <c r="EW145" s="23"/>
      <c r="EX145" s="23"/>
      <c r="EY145" s="23"/>
      <c r="EZ145" s="23"/>
      <c r="FA145" s="23"/>
      <c r="FB145" s="23"/>
      <c r="FC145" s="23"/>
      <c r="FD145" s="23"/>
      <c r="FE145" s="23"/>
      <c r="FF145" s="23"/>
      <c r="FG145" s="23"/>
      <c r="FH145" s="23"/>
      <c r="FI145" s="23"/>
      <c r="FJ145" s="23"/>
      <c r="FK145" s="23"/>
      <c r="FL145" s="23"/>
      <c r="FM145" s="23"/>
      <c r="FN145" s="23"/>
      <c r="FO145" s="23"/>
      <c r="FP145" s="23"/>
      <c r="FQ145" s="23"/>
      <c r="FR145" s="23"/>
      <c r="FS145" s="23"/>
      <c r="FT145" s="23"/>
      <c r="FU145" s="23"/>
      <c r="FV145" s="23"/>
      <c r="FW145" s="23"/>
      <c r="FX145" s="23"/>
      <c r="FY145" s="23"/>
      <c r="FZ145" s="23"/>
      <c r="GA145" s="23"/>
      <c r="GB145" s="23"/>
      <c r="GC145" s="23"/>
      <c r="GD145" s="23"/>
      <c r="GE145" s="23"/>
      <c r="GF145" s="23"/>
      <c r="GG145" s="23"/>
      <c r="GH145" s="23"/>
      <c r="GI145" s="23"/>
      <c r="GJ145" s="23"/>
      <c r="GK145" s="23"/>
      <c r="GL145" s="23"/>
    </row>
    <row r="146" spans="1:194" ht="13">
      <c r="A146" s="23"/>
      <c r="B146" s="23"/>
      <c r="C146" s="23"/>
      <c r="D146" s="23"/>
      <c r="E146" s="23"/>
      <c r="F146" s="23"/>
      <c r="G146" s="23"/>
      <c r="H146" s="401"/>
      <c r="I146" s="401"/>
      <c r="J146" s="401"/>
      <c r="K146" s="401"/>
      <c r="L146" s="401"/>
      <c r="M146" s="438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  <c r="BM146" s="23"/>
      <c r="BN146" s="23"/>
      <c r="BO146" s="23"/>
      <c r="BP146" s="23"/>
      <c r="BQ146" s="23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23"/>
      <c r="DD146" s="23"/>
      <c r="DE146" s="23"/>
      <c r="DF146" s="23"/>
      <c r="DG146" s="23"/>
      <c r="DH146" s="23"/>
      <c r="DI146" s="23"/>
      <c r="DJ146" s="23"/>
      <c r="DK146" s="23"/>
      <c r="DL146" s="23"/>
      <c r="DM146" s="23"/>
      <c r="DN146" s="23"/>
      <c r="DO146" s="23"/>
      <c r="DP146" s="23"/>
      <c r="DQ146" s="23"/>
      <c r="DR146" s="23"/>
      <c r="DS146" s="23"/>
      <c r="DT146" s="23"/>
      <c r="DU146" s="23"/>
      <c r="DV146" s="23"/>
      <c r="DW146" s="23"/>
      <c r="DX146" s="23"/>
      <c r="DY146" s="23"/>
      <c r="DZ146" s="23"/>
      <c r="EA146" s="23"/>
      <c r="EB146" s="23"/>
      <c r="EC146" s="23"/>
      <c r="ED146" s="23"/>
      <c r="EE146" s="23"/>
      <c r="EF146" s="23"/>
      <c r="EG146" s="23"/>
      <c r="EH146" s="23"/>
      <c r="EI146" s="23"/>
      <c r="EJ146" s="23"/>
      <c r="EK146" s="23"/>
      <c r="EL146" s="23"/>
      <c r="EM146" s="23"/>
      <c r="EN146" s="23"/>
      <c r="EO146" s="23"/>
      <c r="EP146" s="23"/>
      <c r="EQ146" s="23"/>
      <c r="ER146" s="23"/>
      <c r="ES146" s="23"/>
      <c r="ET146" s="23"/>
      <c r="EU146" s="23"/>
      <c r="EV146" s="23"/>
      <c r="EW146" s="23"/>
      <c r="EX146" s="23"/>
      <c r="EY146" s="23"/>
      <c r="EZ146" s="23"/>
      <c r="FA146" s="23"/>
      <c r="FB146" s="23"/>
      <c r="FC146" s="23"/>
      <c r="FD146" s="23"/>
      <c r="FE146" s="23"/>
      <c r="FF146" s="23"/>
      <c r="FG146" s="23"/>
      <c r="FH146" s="23"/>
      <c r="FI146" s="23"/>
      <c r="FJ146" s="23"/>
      <c r="FK146" s="23"/>
      <c r="FL146" s="23"/>
      <c r="FM146" s="23"/>
      <c r="FN146" s="23"/>
      <c r="FO146" s="23"/>
      <c r="FP146" s="23"/>
      <c r="FQ146" s="23"/>
      <c r="FR146" s="23"/>
      <c r="FS146" s="23"/>
      <c r="FT146" s="23"/>
      <c r="FU146" s="23"/>
      <c r="FV146" s="23"/>
      <c r="FW146" s="23"/>
      <c r="FX146" s="23"/>
      <c r="FY146" s="23"/>
      <c r="FZ146" s="23"/>
      <c r="GA146" s="23"/>
      <c r="GB146" s="23"/>
      <c r="GC146" s="23"/>
      <c r="GD146" s="23"/>
      <c r="GE146" s="23"/>
      <c r="GF146" s="23"/>
      <c r="GG146" s="23"/>
      <c r="GH146" s="23"/>
      <c r="GI146" s="23"/>
      <c r="GJ146" s="23"/>
      <c r="GK146" s="23"/>
      <c r="GL146" s="23"/>
    </row>
    <row r="147" spans="1:194" ht="13">
      <c r="A147" s="23"/>
      <c r="B147" s="23"/>
      <c r="C147" s="23"/>
      <c r="D147" s="23"/>
      <c r="E147" s="23"/>
      <c r="F147" s="23"/>
      <c r="G147" s="23"/>
      <c r="H147" s="401"/>
      <c r="I147" s="401"/>
      <c r="J147" s="401"/>
      <c r="K147" s="401"/>
      <c r="L147" s="401"/>
      <c r="M147" s="438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  <c r="BM147" s="23"/>
      <c r="BN147" s="23"/>
      <c r="BO147" s="23"/>
      <c r="BP147" s="23"/>
      <c r="BQ147" s="23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3"/>
      <c r="DF147" s="23"/>
      <c r="DG147" s="23"/>
      <c r="DH147" s="23"/>
      <c r="DI147" s="23"/>
      <c r="DJ147" s="23"/>
      <c r="DK147" s="23"/>
      <c r="DL147" s="23"/>
      <c r="DM147" s="23"/>
      <c r="DN147" s="23"/>
      <c r="DO147" s="23"/>
      <c r="DP147" s="23"/>
      <c r="DQ147" s="23"/>
      <c r="DR147" s="23"/>
      <c r="DS147" s="23"/>
      <c r="DT147" s="23"/>
      <c r="DU147" s="23"/>
      <c r="DV147" s="23"/>
      <c r="DW147" s="23"/>
      <c r="DX147" s="23"/>
      <c r="DY147" s="23"/>
      <c r="DZ147" s="23"/>
      <c r="EA147" s="23"/>
      <c r="EB147" s="23"/>
      <c r="EC147" s="23"/>
      <c r="ED147" s="23"/>
      <c r="EE147" s="23"/>
      <c r="EF147" s="23"/>
      <c r="EG147" s="23"/>
      <c r="EH147" s="23"/>
      <c r="EI147" s="23"/>
      <c r="EJ147" s="23"/>
      <c r="EK147" s="23"/>
      <c r="EL147" s="23"/>
      <c r="EM147" s="23"/>
      <c r="EN147" s="23"/>
      <c r="EO147" s="23"/>
      <c r="EP147" s="23"/>
      <c r="EQ147" s="23"/>
      <c r="ER147" s="23"/>
      <c r="ES147" s="23"/>
      <c r="ET147" s="23"/>
      <c r="EU147" s="23"/>
      <c r="EV147" s="23"/>
      <c r="EW147" s="23"/>
      <c r="EX147" s="23"/>
      <c r="EY147" s="23"/>
      <c r="EZ147" s="23"/>
      <c r="FA147" s="23"/>
      <c r="FB147" s="23"/>
      <c r="FC147" s="23"/>
      <c r="FD147" s="23"/>
      <c r="FE147" s="23"/>
      <c r="FF147" s="23"/>
      <c r="FG147" s="23"/>
      <c r="FH147" s="23"/>
      <c r="FI147" s="23"/>
      <c r="FJ147" s="23"/>
      <c r="FK147" s="23"/>
      <c r="FL147" s="23"/>
      <c r="FM147" s="23"/>
      <c r="FN147" s="23"/>
      <c r="FO147" s="23"/>
      <c r="FP147" s="23"/>
      <c r="FQ147" s="23"/>
      <c r="FR147" s="23"/>
      <c r="FS147" s="23"/>
      <c r="FT147" s="23"/>
      <c r="FU147" s="23"/>
      <c r="FV147" s="23"/>
      <c r="FW147" s="23"/>
      <c r="FX147" s="23"/>
      <c r="FY147" s="23"/>
      <c r="FZ147" s="23"/>
      <c r="GA147" s="23"/>
      <c r="GB147" s="23"/>
      <c r="GC147" s="23"/>
      <c r="GD147" s="23"/>
      <c r="GE147" s="23"/>
      <c r="GF147" s="23"/>
      <c r="GG147" s="23"/>
      <c r="GH147" s="23"/>
      <c r="GI147" s="23"/>
      <c r="GJ147" s="23"/>
      <c r="GK147" s="23"/>
      <c r="GL147" s="23"/>
    </row>
    <row r="148" spans="1:194" ht="13">
      <c r="A148" s="23"/>
      <c r="B148" s="23"/>
      <c r="C148" s="23"/>
      <c r="D148" s="23"/>
      <c r="E148" s="23"/>
      <c r="F148" s="23"/>
      <c r="G148" s="23"/>
      <c r="H148" s="401"/>
      <c r="I148" s="401"/>
      <c r="J148" s="401"/>
      <c r="K148" s="401"/>
      <c r="L148" s="401"/>
      <c r="M148" s="438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  <c r="BN148" s="23"/>
      <c r="BO148" s="23"/>
      <c r="BP148" s="23"/>
      <c r="BQ148" s="23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3"/>
      <c r="DF148" s="23"/>
      <c r="DG148" s="23"/>
      <c r="DH148" s="23"/>
      <c r="DI148" s="23"/>
      <c r="DJ148" s="23"/>
      <c r="DK148" s="23"/>
      <c r="DL148" s="23"/>
      <c r="DM148" s="23"/>
      <c r="DN148" s="23"/>
      <c r="DO148" s="23"/>
      <c r="DP148" s="23"/>
      <c r="DQ148" s="23"/>
      <c r="DR148" s="23"/>
      <c r="DS148" s="23"/>
      <c r="DT148" s="23"/>
      <c r="DU148" s="23"/>
      <c r="DV148" s="23"/>
      <c r="DW148" s="23"/>
      <c r="DX148" s="23"/>
      <c r="DY148" s="23"/>
      <c r="DZ148" s="23"/>
      <c r="EA148" s="23"/>
      <c r="EB148" s="23"/>
      <c r="EC148" s="23"/>
      <c r="ED148" s="23"/>
      <c r="EE148" s="23"/>
      <c r="EF148" s="23"/>
      <c r="EG148" s="23"/>
      <c r="EH148" s="23"/>
      <c r="EI148" s="23"/>
      <c r="EJ148" s="23"/>
      <c r="EK148" s="23"/>
      <c r="EL148" s="23"/>
      <c r="EM148" s="23"/>
      <c r="EN148" s="23"/>
      <c r="EO148" s="23"/>
      <c r="EP148" s="23"/>
      <c r="EQ148" s="23"/>
      <c r="ER148" s="23"/>
      <c r="ES148" s="23"/>
      <c r="ET148" s="23"/>
      <c r="EU148" s="23"/>
      <c r="EV148" s="23"/>
      <c r="EW148" s="23"/>
      <c r="EX148" s="23"/>
      <c r="EY148" s="23"/>
      <c r="EZ148" s="23"/>
      <c r="FA148" s="23"/>
      <c r="FB148" s="23"/>
      <c r="FC148" s="23"/>
      <c r="FD148" s="23"/>
      <c r="FE148" s="23"/>
      <c r="FF148" s="23"/>
      <c r="FG148" s="23"/>
      <c r="FH148" s="23"/>
      <c r="FI148" s="23"/>
      <c r="FJ148" s="23"/>
      <c r="FK148" s="23"/>
      <c r="FL148" s="23"/>
      <c r="FM148" s="23"/>
      <c r="FN148" s="23"/>
      <c r="FO148" s="23"/>
      <c r="FP148" s="23"/>
      <c r="FQ148" s="23"/>
      <c r="FR148" s="23"/>
      <c r="FS148" s="23"/>
      <c r="FT148" s="23"/>
      <c r="FU148" s="23"/>
      <c r="FV148" s="23"/>
      <c r="FW148" s="23"/>
      <c r="FX148" s="23"/>
      <c r="FY148" s="23"/>
      <c r="FZ148" s="23"/>
      <c r="GA148" s="23"/>
      <c r="GB148" s="23"/>
      <c r="GC148" s="23"/>
      <c r="GD148" s="23"/>
      <c r="GE148" s="23"/>
      <c r="GF148" s="23"/>
      <c r="GG148" s="23"/>
      <c r="GH148" s="23"/>
      <c r="GI148" s="23"/>
      <c r="GJ148" s="23"/>
      <c r="GK148" s="23"/>
      <c r="GL148" s="23"/>
    </row>
    <row r="149" spans="1:194" ht="13">
      <c r="A149" s="23"/>
      <c r="B149" s="23"/>
      <c r="C149" s="23"/>
      <c r="D149" s="23"/>
      <c r="E149" s="23"/>
      <c r="F149" s="23"/>
      <c r="G149" s="23"/>
      <c r="H149" s="401"/>
      <c r="I149" s="401"/>
      <c r="J149" s="401"/>
      <c r="K149" s="401"/>
      <c r="L149" s="401"/>
      <c r="M149" s="438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  <c r="BO149" s="23"/>
      <c r="BP149" s="23"/>
      <c r="BQ149" s="23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3"/>
      <c r="DF149" s="23"/>
      <c r="DG149" s="23"/>
      <c r="DH149" s="23"/>
      <c r="DI149" s="23"/>
      <c r="DJ149" s="23"/>
      <c r="DK149" s="23"/>
      <c r="DL149" s="23"/>
      <c r="DM149" s="23"/>
      <c r="DN149" s="23"/>
      <c r="DO149" s="23"/>
      <c r="DP149" s="23"/>
      <c r="DQ149" s="23"/>
      <c r="DR149" s="23"/>
      <c r="DS149" s="23"/>
      <c r="DT149" s="23"/>
      <c r="DU149" s="23"/>
      <c r="DV149" s="23"/>
      <c r="DW149" s="23"/>
      <c r="DX149" s="23"/>
      <c r="DY149" s="23"/>
      <c r="DZ149" s="23"/>
      <c r="EA149" s="23"/>
      <c r="EB149" s="23"/>
      <c r="EC149" s="23"/>
      <c r="ED149" s="23"/>
      <c r="EE149" s="23"/>
      <c r="EF149" s="23"/>
      <c r="EG149" s="23"/>
      <c r="EH149" s="23"/>
      <c r="EI149" s="23"/>
      <c r="EJ149" s="23"/>
      <c r="EK149" s="23"/>
      <c r="EL149" s="23"/>
      <c r="EM149" s="23"/>
      <c r="EN149" s="23"/>
      <c r="EO149" s="23"/>
      <c r="EP149" s="23"/>
      <c r="EQ149" s="23"/>
      <c r="ER149" s="23"/>
      <c r="ES149" s="23"/>
      <c r="ET149" s="23"/>
      <c r="EU149" s="23"/>
      <c r="EV149" s="23"/>
      <c r="EW149" s="23"/>
      <c r="EX149" s="23"/>
      <c r="EY149" s="23"/>
      <c r="EZ149" s="23"/>
      <c r="FA149" s="23"/>
      <c r="FB149" s="23"/>
      <c r="FC149" s="23"/>
      <c r="FD149" s="23"/>
      <c r="FE149" s="23"/>
      <c r="FF149" s="23"/>
      <c r="FG149" s="23"/>
      <c r="FH149" s="23"/>
      <c r="FI149" s="23"/>
      <c r="FJ149" s="23"/>
      <c r="FK149" s="23"/>
      <c r="FL149" s="23"/>
      <c r="FM149" s="23"/>
      <c r="FN149" s="23"/>
      <c r="FO149" s="23"/>
      <c r="FP149" s="23"/>
      <c r="FQ149" s="23"/>
      <c r="FR149" s="23"/>
      <c r="FS149" s="23"/>
      <c r="FT149" s="23"/>
      <c r="FU149" s="23"/>
      <c r="FV149" s="23"/>
      <c r="FW149" s="23"/>
      <c r="FX149" s="23"/>
      <c r="FY149" s="23"/>
      <c r="FZ149" s="23"/>
      <c r="GA149" s="23"/>
      <c r="GB149" s="23"/>
      <c r="GC149" s="23"/>
      <c r="GD149" s="23"/>
      <c r="GE149" s="23"/>
      <c r="GF149" s="23"/>
      <c r="GG149" s="23"/>
      <c r="GH149" s="23"/>
      <c r="GI149" s="23"/>
      <c r="GJ149" s="23"/>
      <c r="GK149" s="23"/>
      <c r="GL149" s="23"/>
    </row>
    <row r="150" spans="1:194" ht="13">
      <c r="A150" s="23"/>
      <c r="B150" s="23"/>
      <c r="C150" s="23"/>
      <c r="D150" s="23"/>
      <c r="E150" s="23"/>
      <c r="F150" s="23"/>
      <c r="G150" s="23"/>
      <c r="H150" s="401"/>
      <c r="I150" s="401"/>
      <c r="J150" s="401"/>
      <c r="K150" s="401"/>
      <c r="L150" s="401"/>
      <c r="M150" s="438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H150" s="23"/>
      <c r="DI150" s="23"/>
      <c r="DJ150" s="23"/>
      <c r="DK150" s="23"/>
      <c r="DL150" s="23"/>
      <c r="DM150" s="23"/>
      <c r="DN150" s="23"/>
      <c r="DO150" s="23"/>
      <c r="DP150" s="23"/>
      <c r="DQ150" s="23"/>
      <c r="DR150" s="23"/>
      <c r="DS150" s="23"/>
      <c r="DT150" s="23"/>
      <c r="DU150" s="23"/>
      <c r="DV150" s="23"/>
      <c r="DW150" s="23"/>
      <c r="DX150" s="23"/>
      <c r="DY150" s="23"/>
      <c r="DZ150" s="23"/>
      <c r="EA150" s="23"/>
      <c r="EB150" s="23"/>
      <c r="EC150" s="23"/>
      <c r="ED150" s="23"/>
      <c r="EE150" s="23"/>
      <c r="EF150" s="23"/>
      <c r="EG150" s="23"/>
      <c r="EH150" s="23"/>
      <c r="EI150" s="23"/>
      <c r="EJ150" s="23"/>
      <c r="EK150" s="23"/>
      <c r="EL150" s="23"/>
      <c r="EM150" s="23"/>
      <c r="EN150" s="23"/>
      <c r="EO150" s="23"/>
      <c r="EP150" s="23"/>
      <c r="EQ150" s="23"/>
      <c r="ER150" s="23"/>
      <c r="ES150" s="23"/>
      <c r="ET150" s="23"/>
      <c r="EU150" s="23"/>
      <c r="EV150" s="23"/>
      <c r="EW150" s="23"/>
      <c r="EX150" s="23"/>
      <c r="EY150" s="23"/>
      <c r="EZ150" s="23"/>
      <c r="FA150" s="23"/>
      <c r="FB150" s="23"/>
      <c r="FC150" s="23"/>
      <c r="FD150" s="23"/>
      <c r="FE150" s="23"/>
      <c r="FF150" s="23"/>
      <c r="FG150" s="23"/>
      <c r="FH150" s="23"/>
      <c r="FI150" s="23"/>
      <c r="FJ150" s="23"/>
      <c r="FK150" s="23"/>
      <c r="FL150" s="23"/>
      <c r="FM150" s="23"/>
      <c r="FN150" s="23"/>
      <c r="FO150" s="23"/>
      <c r="FP150" s="23"/>
      <c r="FQ150" s="23"/>
      <c r="FR150" s="23"/>
      <c r="FS150" s="23"/>
      <c r="FT150" s="23"/>
      <c r="FU150" s="23"/>
      <c r="FV150" s="23"/>
      <c r="FW150" s="23"/>
      <c r="FX150" s="23"/>
      <c r="FY150" s="23"/>
      <c r="FZ150" s="23"/>
      <c r="GA150" s="23"/>
      <c r="GB150" s="23"/>
      <c r="GC150" s="23"/>
      <c r="GD150" s="23"/>
      <c r="GE150" s="23"/>
      <c r="GF150" s="23"/>
      <c r="GG150" s="23"/>
      <c r="GH150" s="23"/>
      <c r="GI150" s="23"/>
      <c r="GJ150" s="23"/>
      <c r="GK150" s="23"/>
      <c r="GL150" s="23"/>
    </row>
    <row r="151" spans="1:194" ht="13">
      <c r="A151" s="23"/>
      <c r="B151" s="23"/>
      <c r="C151" s="23"/>
      <c r="D151" s="23"/>
      <c r="E151" s="23"/>
      <c r="F151" s="23"/>
      <c r="G151" s="23"/>
      <c r="H151" s="401"/>
      <c r="I151" s="401"/>
      <c r="J151" s="401"/>
      <c r="K151" s="401"/>
      <c r="L151" s="401"/>
      <c r="M151" s="438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3"/>
      <c r="DF151" s="23"/>
      <c r="DG151" s="23"/>
      <c r="DH151" s="23"/>
      <c r="DI151" s="23"/>
      <c r="DJ151" s="23"/>
      <c r="DK151" s="23"/>
      <c r="DL151" s="23"/>
      <c r="DM151" s="23"/>
      <c r="DN151" s="23"/>
      <c r="DO151" s="23"/>
      <c r="DP151" s="23"/>
      <c r="DQ151" s="23"/>
      <c r="DR151" s="23"/>
      <c r="DS151" s="23"/>
      <c r="DT151" s="23"/>
      <c r="DU151" s="23"/>
      <c r="DV151" s="23"/>
      <c r="DW151" s="23"/>
      <c r="DX151" s="23"/>
      <c r="DY151" s="23"/>
      <c r="DZ151" s="23"/>
      <c r="EA151" s="23"/>
      <c r="EB151" s="23"/>
      <c r="EC151" s="23"/>
      <c r="ED151" s="23"/>
      <c r="EE151" s="23"/>
      <c r="EF151" s="23"/>
      <c r="EG151" s="23"/>
      <c r="EH151" s="23"/>
      <c r="EI151" s="23"/>
      <c r="EJ151" s="23"/>
      <c r="EK151" s="23"/>
      <c r="EL151" s="23"/>
      <c r="EM151" s="23"/>
      <c r="EN151" s="23"/>
      <c r="EO151" s="23"/>
      <c r="EP151" s="23"/>
      <c r="EQ151" s="23"/>
      <c r="ER151" s="23"/>
      <c r="ES151" s="23"/>
      <c r="ET151" s="23"/>
      <c r="EU151" s="23"/>
      <c r="EV151" s="23"/>
      <c r="EW151" s="23"/>
      <c r="EX151" s="23"/>
      <c r="EY151" s="23"/>
      <c r="EZ151" s="23"/>
      <c r="FA151" s="23"/>
      <c r="FB151" s="23"/>
      <c r="FC151" s="23"/>
      <c r="FD151" s="23"/>
      <c r="FE151" s="23"/>
      <c r="FF151" s="23"/>
      <c r="FG151" s="23"/>
      <c r="FH151" s="23"/>
      <c r="FI151" s="23"/>
      <c r="FJ151" s="23"/>
      <c r="FK151" s="23"/>
      <c r="FL151" s="23"/>
      <c r="FM151" s="23"/>
      <c r="FN151" s="23"/>
      <c r="FO151" s="23"/>
      <c r="FP151" s="23"/>
      <c r="FQ151" s="23"/>
      <c r="FR151" s="23"/>
      <c r="FS151" s="23"/>
      <c r="FT151" s="23"/>
      <c r="FU151" s="23"/>
      <c r="FV151" s="23"/>
      <c r="FW151" s="23"/>
      <c r="FX151" s="23"/>
      <c r="FY151" s="23"/>
      <c r="FZ151" s="23"/>
      <c r="GA151" s="23"/>
      <c r="GB151" s="23"/>
      <c r="GC151" s="23"/>
      <c r="GD151" s="23"/>
      <c r="GE151" s="23"/>
      <c r="GF151" s="23"/>
      <c r="GG151" s="23"/>
      <c r="GH151" s="23"/>
      <c r="GI151" s="23"/>
      <c r="GJ151" s="23"/>
      <c r="GK151" s="23"/>
      <c r="GL151" s="23"/>
    </row>
    <row r="152" spans="1:194" ht="13">
      <c r="A152" s="23"/>
      <c r="B152" s="23"/>
      <c r="C152" s="23"/>
      <c r="D152" s="23"/>
      <c r="E152" s="23"/>
      <c r="F152" s="23"/>
      <c r="G152" s="23"/>
      <c r="H152" s="401"/>
      <c r="I152" s="401"/>
      <c r="J152" s="401"/>
      <c r="K152" s="401"/>
      <c r="L152" s="401"/>
      <c r="M152" s="438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3"/>
      <c r="DF152" s="23"/>
      <c r="DG152" s="23"/>
      <c r="DH152" s="23"/>
      <c r="DI152" s="23"/>
      <c r="DJ152" s="23"/>
      <c r="DK152" s="23"/>
      <c r="DL152" s="23"/>
      <c r="DM152" s="23"/>
      <c r="DN152" s="23"/>
      <c r="DO152" s="23"/>
      <c r="DP152" s="23"/>
      <c r="DQ152" s="23"/>
      <c r="DR152" s="23"/>
      <c r="DS152" s="23"/>
      <c r="DT152" s="23"/>
      <c r="DU152" s="23"/>
      <c r="DV152" s="23"/>
      <c r="DW152" s="23"/>
      <c r="DX152" s="23"/>
      <c r="DY152" s="23"/>
      <c r="DZ152" s="23"/>
      <c r="EA152" s="23"/>
      <c r="EB152" s="23"/>
      <c r="EC152" s="23"/>
      <c r="ED152" s="23"/>
      <c r="EE152" s="23"/>
      <c r="EF152" s="23"/>
      <c r="EG152" s="23"/>
      <c r="EH152" s="23"/>
      <c r="EI152" s="23"/>
      <c r="EJ152" s="23"/>
      <c r="EK152" s="23"/>
      <c r="EL152" s="23"/>
      <c r="EM152" s="23"/>
      <c r="EN152" s="23"/>
      <c r="EO152" s="23"/>
      <c r="EP152" s="23"/>
      <c r="EQ152" s="23"/>
      <c r="ER152" s="23"/>
      <c r="ES152" s="23"/>
      <c r="ET152" s="23"/>
      <c r="EU152" s="23"/>
      <c r="EV152" s="23"/>
      <c r="EW152" s="23"/>
      <c r="EX152" s="23"/>
      <c r="EY152" s="23"/>
      <c r="EZ152" s="23"/>
      <c r="FA152" s="23"/>
      <c r="FB152" s="23"/>
      <c r="FC152" s="23"/>
      <c r="FD152" s="23"/>
      <c r="FE152" s="23"/>
      <c r="FF152" s="23"/>
      <c r="FG152" s="23"/>
      <c r="FH152" s="23"/>
      <c r="FI152" s="23"/>
      <c r="FJ152" s="23"/>
      <c r="FK152" s="23"/>
      <c r="FL152" s="23"/>
      <c r="FM152" s="23"/>
      <c r="FN152" s="23"/>
      <c r="FO152" s="23"/>
      <c r="FP152" s="23"/>
      <c r="FQ152" s="23"/>
      <c r="FR152" s="23"/>
      <c r="FS152" s="23"/>
      <c r="FT152" s="23"/>
      <c r="FU152" s="23"/>
      <c r="FV152" s="23"/>
      <c r="FW152" s="23"/>
      <c r="FX152" s="23"/>
      <c r="FY152" s="23"/>
      <c r="FZ152" s="23"/>
      <c r="GA152" s="23"/>
      <c r="GB152" s="23"/>
      <c r="GC152" s="23"/>
      <c r="GD152" s="23"/>
      <c r="GE152" s="23"/>
      <c r="GF152" s="23"/>
      <c r="GG152" s="23"/>
      <c r="GH152" s="23"/>
      <c r="GI152" s="23"/>
      <c r="GJ152" s="23"/>
      <c r="GK152" s="23"/>
      <c r="GL152" s="23"/>
    </row>
    <row r="153" spans="1:194" ht="13">
      <c r="A153" s="23"/>
      <c r="B153" s="23"/>
      <c r="C153" s="23"/>
      <c r="D153" s="23"/>
      <c r="E153" s="23"/>
      <c r="F153" s="23"/>
      <c r="G153" s="23"/>
      <c r="H153" s="401"/>
      <c r="I153" s="401"/>
      <c r="J153" s="401"/>
      <c r="K153" s="401"/>
      <c r="L153" s="401"/>
      <c r="M153" s="438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  <c r="DL153" s="23"/>
      <c r="DM153" s="23"/>
      <c r="DN153" s="23"/>
      <c r="DO153" s="23"/>
      <c r="DP153" s="23"/>
      <c r="DQ153" s="23"/>
      <c r="DR153" s="23"/>
      <c r="DS153" s="23"/>
      <c r="DT153" s="23"/>
      <c r="DU153" s="23"/>
      <c r="DV153" s="23"/>
      <c r="DW153" s="23"/>
      <c r="DX153" s="23"/>
      <c r="DY153" s="23"/>
      <c r="DZ153" s="23"/>
      <c r="EA153" s="23"/>
      <c r="EB153" s="23"/>
      <c r="EC153" s="23"/>
      <c r="ED153" s="23"/>
      <c r="EE153" s="23"/>
      <c r="EF153" s="23"/>
      <c r="EG153" s="23"/>
      <c r="EH153" s="23"/>
      <c r="EI153" s="23"/>
      <c r="EJ153" s="23"/>
      <c r="EK153" s="23"/>
      <c r="EL153" s="23"/>
      <c r="EM153" s="23"/>
      <c r="EN153" s="23"/>
      <c r="EO153" s="23"/>
      <c r="EP153" s="23"/>
      <c r="EQ153" s="23"/>
      <c r="ER153" s="23"/>
      <c r="ES153" s="23"/>
      <c r="ET153" s="23"/>
      <c r="EU153" s="23"/>
      <c r="EV153" s="23"/>
      <c r="EW153" s="23"/>
      <c r="EX153" s="23"/>
      <c r="EY153" s="23"/>
      <c r="EZ153" s="23"/>
      <c r="FA153" s="23"/>
      <c r="FB153" s="23"/>
      <c r="FC153" s="23"/>
      <c r="FD153" s="23"/>
      <c r="FE153" s="23"/>
      <c r="FF153" s="23"/>
      <c r="FG153" s="23"/>
      <c r="FH153" s="23"/>
      <c r="FI153" s="23"/>
      <c r="FJ153" s="23"/>
      <c r="FK153" s="23"/>
      <c r="FL153" s="23"/>
      <c r="FM153" s="23"/>
      <c r="FN153" s="23"/>
      <c r="FO153" s="23"/>
      <c r="FP153" s="23"/>
      <c r="FQ153" s="23"/>
      <c r="FR153" s="23"/>
      <c r="FS153" s="23"/>
      <c r="FT153" s="23"/>
      <c r="FU153" s="23"/>
      <c r="FV153" s="23"/>
      <c r="FW153" s="23"/>
      <c r="FX153" s="23"/>
      <c r="FY153" s="23"/>
      <c r="FZ153" s="23"/>
      <c r="GA153" s="23"/>
      <c r="GB153" s="23"/>
      <c r="GC153" s="23"/>
      <c r="GD153" s="23"/>
      <c r="GE153" s="23"/>
      <c r="GF153" s="23"/>
      <c r="GG153" s="23"/>
      <c r="GH153" s="23"/>
      <c r="GI153" s="23"/>
      <c r="GJ153" s="23"/>
      <c r="GK153" s="23"/>
      <c r="GL153" s="23"/>
    </row>
    <row r="154" spans="1:194" ht="13">
      <c r="A154" s="23"/>
      <c r="B154" s="23"/>
      <c r="C154" s="23"/>
      <c r="D154" s="23"/>
      <c r="E154" s="23"/>
      <c r="F154" s="23"/>
      <c r="G154" s="23"/>
      <c r="H154" s="401"/>
      <c r="I154" s="401"/>
      <c r="J154" s="401"/>
      <c r="K154" s="401"/>
      <c r="L154" s="401"/>
      <c r="M154" s="438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H154" s="23"/>
      <c r="DI154" s="23"/>
      <c r="DJ154" s="23"/>
      <c r="DK154" s="23"/>
      <c r="DL154" s="23"/>
      <c r="DM154" s="23"/>
      <c r="DN154" s="23"/>
      <c r="DO154" s="23"/>
      <c r="DP154" s="23"/>
      <c r="DQ154" s="23"/>
      <c r="DR154" s="23"/>
      <c r="DS154" s="23"/>
      <c r="DT154" s="23"/>
      <c r="DU154" s="23"/>
      <c r="DV154" s="23"/>
      <c r="DW154" s="23"/>
      <c r="DX154" s="23"/>
      <c r="DY154" s="23"/>
      <c r="DZ154" s="23"/>
      <c r="EA154" s="23"/>
      <c r="EB154" s="23"/>
      <c r="EC154" s="23"/>
      <c r="ED154" s="23"/>
      <c r="EE154" s="23"/>
      <c r="EF154" s="23"/>
      <c r="EG154" s="23"/>
      <c r="EH154" s="23"/>
      <c r="EI154" s="23"/>
      <c r="EJ154" s="23"/>
      <c r="EK154" s="23"/>
      <c r="EL154" s="23"/>
      <c r="EM154" s="23"/>
      <c r="EN154" s="23"/>
      <c r="EO154" s="23"/>
      <c r="EP154" s="23"/>
      <c r="EQ154" s="23"/>
      <c r="ER154" s="23"/>
      <c r="ES154" s="23"/>
      <c r="ET154" s="23"/>
      <c r="EU154" s="23"/>
      <c r="EV154" s="23"/>
      <c r="EW154" s="23"/>
      <c r="EX154" s="23"/>
      <c r="EY154" s="23"/>
      <c r="EZ154" s="23"/>
      <c r="FA154" s="23"/>
      <c r="FB154" s="23"/>
      <c r="FC154" s="23"/>
      <c r="FD154" s="23"/>
      <c r="FE154" s="23"/>
      <c r="FF154" s="23"/>
      <c r="FG154" s="23"/>
      <c r="FH154" s="23"/>
      <c r="FI154" s="23"/>
      <c r="FJ154" s="23"/>
      <c r="FK154" s="23"/>
      <c r="FL154" s="23"/>
      <c r="FM154" s="23"/>
      <c r="FN154" s="23"/>
      <c r="FO154" s="23"/>
      <c r="FP154" s="23"/>
      <c r="FQ154" s="23"/>
      <c r="FR154" s="23"/>
      <c r="FS154" s="23"/>
      <c r="FT154" s="23"/>
      <c r="FU154" s="23"/>
      <c r="FV154" s="23"/>
      <c r="FW154" s="23"/>
      <c r="FX154" s="23"/>
      <c r="FY154" s="23"/>
      <c r="FZ154" s="23"/>
      <c r="GA154" s="23"/>
      <c r="GB154" s="23"/>
      <c r="GC154" s="23"/>
      <c r="GD154" s="23"/>
      <c r="GE154" s="23"/>
      <c r="GF154" s="23"/>
      <c r="GG154" s="23"/>
      <c r="GH154" s="23"/>
      <c r="GI154" s="23"/>
      <c r="GJ154" s="23"/>
      <c r="GK154" s="23"/>
      <c r="GL154" s="23"/>
    </row>
    <row r="155" spans="1:194" ht="13">
      <c r="A155" s="23"/>
      <c r="B155" s="23"/>
      <c r="C155" s="23"/>
      <c r="D155" s="23"/>
      <c r="E155" s="23"/>
      <c r="F155" s="23"/>
      <c r="G155" s="23"/>
      <c r="H155" s="401"/>
      <c r="I155" s="401"/>
      <c r="J155" s="401"/>
      <c r="K155" s="401"/>
      <c r="L155" s="401"/>
      <c r="M155" s="438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  <c r="BL155" s="23"/>
      <c r="BM155" s="23"/>
      <c r="BN155" s="23"/>
      <c r="BO155" s="23"/>
      <c r="BP155" s="23"/>
      <c r="BQ155" s="23"/>
      <c r="BR155" s="23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  <c r="CH155" s="23"/>
      <c r="CI155" s="23"/>
      <c r="CJ155" s="23"/>
      <c r="CK155" s="23"/>
      <c r="CL155" s="23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/>
      <c r="DB155" s="23"/>
      <c r="DC155" s="23"/>
      <c r="DD155" s="23"/>
      <c r="DE155" s="23"/>
      <c r="DF155" s="23"/>
      <c r="DG155" s="23"/>
      <c r="DH155" s="23"/>
      <c r="DI155" s="23"/>
      <c r="DJ155" s="23"/>
      <c r="DK155" s="23"/>
      <c r="DL155" s="23"/>
      <c r="DM155" s="23"/>
      <c r="DN155" s="23"/>
      <c r="DO155" s="23"/>
      <c r="DP155" s="23"/>
      <c r="DQ155" s="23"/>
      <c r="DR155" s="23"/>
      <c r="DS155" s="23"/>
      <c r="DT155" s="23"/>
      <c r="DU155" s="23"/>
      <c r="DV155" s="23"/>
      <c r="DW155" s="23"/>
      <c r="DX155" s="23"/>
      <c r="DY155" s="23"/>
      <c r="DZ155" s="23"/>
      <c r="EA155" s="23"/>
      <c r="EB155" s="23"/>
      <c r="EC155" s="23"/>
      <c r="ED155" s="23"/>
      <c r="EE155" s="23"/>
      <c r="EF155" s="23"/>
      <c r="EG155" s="23"/>
      <c r="EH155" s="23"/>
      <c r="EI155" s="23"/>
      <c r="EJ155" s="23"/>
      <c r="EK155" s="23"/>
      <c r="EL155" s="23"/>
      <c r="EM155" s="23"/>
      <c r="EN155" s="23"/>
      <c r="EO155" s="23"/>
      <c r="EP155" s="23"/>
      <c r="EQ155" s="23"/>
      <c r="ER155" s="23"/>
      <c r="ES155" s="23"/>
      <c r="ET155" s="23"/>
      <c r="EU155" s="23"/>
      <c r="EV155" s="23"/>
      <c r="EW155" s="23"/>
      <c r="EX155" s="23"/>
      <c r="EY155" s="23"/>
      <c r="EZ155" s="23"/>
      <c r="FA155" s="23"/>
      <c r="FB155" s="23"/>
      <c r="FC155" s="23"/>
      <c r="FD155" s="23"/>
      <c r="FE155" s="23"/>
      <c r="FF155" s="23"/>
      <c r="FG155" s="23"/>
      <c r="FH155" s="23"/>
      <c r="FI155" s="23"/>
      <c r="FJ155" s="23"/>
      <c r="FK155" s="23"/>
      <c r="FL155" s="23"/>
      <c r="FM155" s="23"/>
      <c r="FN155" s="23"/>
      <c r="FO155" s="23"/>
      <c r="FP155" s="23"/>
      <c r="FQ155" s="23"/>
      <c r="FR155" s="23"/>
      <c r="FS155" s="23"/>
      <c r="FT155" s="23"/>
      <c r="FU155" s="23"/>
      <c r="FV155" s="23"/>
      <c r="FW155" s="23"/>
      <c r="FX155" s="23"/>
      <c r="FY155" s="23"/>
      <c r="FZ155" s="23"/>
      <c r="GA155" s="23"/>
      <c r="GB155" s="23"/>
      <c r="GC155" s="23"/>
      <c r="GD155" s="23"/>
      <c r="GE155" s="23"/>
      <c r="GF155" s="23"/>
      <c r="GG155" s="23"/>
      <c r="GH155" s="23"/>
      <c r="GI155" s="23"/>
      <c r="GJ155" s="23"/>
      <c r="GK155" s="23"/>
      <c r="GL155" s="23"/>
    </row>
    <row r="156" spans="1:194" ht="13">
      <c r="A156" s="23"/>
      <c r="B156" s="23"/>
      <c r="C156" s="23"/>
      <c r="D156" s="23"/>
      <c r="E156" s="23"/>
      <c r="F156" s="23"/>
      <c r="G156" s="23"/>
      <c r="H156" s="401"/>
      <c r="I156" s="401"/>
      <c r="J156" s="401"/>
      <c r="K156" s="401"/>
      <c r="L156" s="401"/>
      <c r="M156" s="438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/>
      <c r="EM156" s="23"/>
      <c r="EN156" s="23"/>
      <c r="EO156" s="23"/>
      <c r="EP156" s="23"/>
      <c r="EQ156" s="23"/>
      <c r="ER156" s="23"/>
      <c r="ES156" s="23"/>
      <c r="ET156" s="23"/>
      <c r="EU156" s="23"/>
      <c r="EV156" s="23"/>
      <c r="EW156" s="23"/>
      <c r="EX156" s="23"/>
      <c r="EY156" s="23"/>
      <c r="EZ156" s="23"/>
      <c r="FA156" s="23"/>
      <c r="FB156" s="23"/>
      <c r="FC156" s="23"/>
      <c r="FD156" s="23"/>
      <c r="FE156" s="23"/>
      <c r="FF156" s="23"/>
      <c r="FG156" s="23"/>
      <c r="FH156" s="23"/>
      <c r="FI156" s="23"/>
      <c r="FJ156" s="23"/>
      <c r="FK156" s="23"/>
      <c r="FL156" s="23"/>
      <c r="FM156" s="23"/>
      <c r="FN156" s="23"/>
      <c r="FO156" s="23"/>
      <c r="FP156" s="23"/>
      <c r="FQ156" s="23"/>
      <c r="FR156" s="23"/>
      <c r="FS156" s="23"/>
      <c r="FT156" s="23"/>
      <c r="FU156" s="23"/>
      <c r="FV156" s="23"/>
      <c r="FW156" s="23"/>
      <c r="FX156" s="23"/>
      <c r="FY156" s="23"/>
      <c r="FZ156" s="23"/>
      <c r="GA156" s="23"/>
      <c r="GB156" s="23"/>
      <c r="GC156" s="23"/>
      <c r="GD156" s="23"/>
      <c r="GE156" s="23"/>
      <c r="GF156" s="23"/>
      <c r="GG156" s="23"/>
      <c r="GH156" s="23"/>
      <c r="GI156" s="23"/>
      <c r="GJ156" s="23"/>
      <c r="GK156" s="23"/>
      <c r="GL156" s="23"/>
    </row>
    <row r="157" spans="1:194" ht="13">
      <c r="A157" s="23"/>
      <c r="B157" s="23"/>
      <c r="C157" s="23"/>
      <c r="D157" s="23"/>
      <c r="E157" s="23"/>
      <c r="F157" s="23"/>
      <c r="G157" s="23"/>
      <c r="H157" s="401"/>
      <c r="I157" s="401"/>
      <c r="J157" s="401"/>
      <c r="K157" s="401"/>
      <c r="L157" s="401"/>
      <c r="M157" s="438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H157" s="23"/>
      <c r="DI157" s="23"/>
      <c r="DJ157" s="23"/>
      <c r="DK157" s="23"/>
      <c r="DL157" s="23"/>
      <c r="DM157" s="23"/>
      <c r="DN157" s="23"/>
      <c r="DO157" s="23"/>
      <c r="DP157" s="23"/>
      <c r="DQ157" s="23"/>
      <c r="DR157" s="23"/>
      <c r="DS157" s="23"/>
      <c r="DT157" s="23"/>
      <c r="DU157" s="23"/>
      <c r="DV157" s="23"/>
      <c r="DW157" s="23"/>
      <c r="DX157" s="23"/>
      <c r="DY157" s="23"/>
      <c r="DZ157" s="23"/>
      <c r="EA157" s="23"/>
      <c r="EB157" s="23"/>
      <c r="EC157" s="23"/>
      <c r="ED157" s="23"/>
      <c r="EE157" s="23"/>
      <c r="EF157" s="23"/>
      <c r="EG157" s="23"/>
      <c r="EH157" s="23"/>
      <c r="EI157" s="23"/>
      <c r="EJ157" s="23"/>
      <c r="EK157" s="23"/>
      <c r="EL157" s="23"/>
      <c r="EM157" s="23"/>
      <c r="EN157" s="23"/>
      <c r="EO157" s="23"/>
      <c r="EP157" s="23"/>
      <c r="EQ157" s="23"/>
      <c r="ER157" s="23"/>
      <c r="ES157" s="23"/>
      <c r="ET157" s="23"/>
      <c r="EU157" s="23"/>
      <c r="EV157" s="23"/>
      <c r="EW157" s="23"/>
      <c r="EX157" s="23"/>
      <c r="EY157" s="23"/>
      <c r="EZ157" s="23"/>
      <c r="FA157" s="23"/>
      <c r="FB157" s="23"/>
      <c r="FC157" s="23"/>
      <c r="FD157" s="23"/>
      <c r="FE157" s="23"/>
      <c r="FF157" s="23"/>
      <c r="FG157" s="23"/>
      <c r="FH157" s="23"/>
      <c r="FI157" s="23"/>
      <c r="FJ157" s="23"/>
      <c r="FK157" s="23"/>
      <c r="FL157" s="23"/>
      <c r="FM157" s="23"/>
      <c r="FN157" s="23"/>
      <c r="FO157" s="23"/>
      <c r="FP157" s="23"/>
      <c r="FQ157" s="23"/>
      <c r="FR157" s="23"/>
      <c r="FS157" s="23"/>
      <c r="FT157" s="23"/>
      <c r="FU157" s="23"/>
      <c r="FV157" s="23"/>
      <c r="FW157" s="23"/>
      <c r="FX157" s="23"/>
      <c r="FY157" s="23"/>
      <c r="FZ157" s="23"/>
      <c r="GA157" s="23"/>
      <c r="GB157" s="23"/>
      <c r="GC157" s="23"/>
      <c r="GD157" s="23"/>
      <c r="GE157" s="23"/>
      <c r="GF157" s="23"/>
      <c r="GG157" s="23"/>
      <c r="GH157" s="23"/>
      <c r="GI157" s="23"/>
      <c r="GJ157" s="23"/>
      <c r="GK157" s="23"/>
      <c r="GL157" s="23"/>
    </row>
    <row r="158" spans="1:194" ht="13">
      <c r="A158" s="23"/>
      <c r="B158" s="23"/>
      <c r="C158" s="23"/>
      <c r="D158" s="23"/>
      <c r="E158" s="23"/>
      <c r="F158" s="23"/>
      <c r="G158" s="23"/>
      <c r="H158" s="401"/>
      <c r="I158" s="401"/>
      <c r="J158" s="401"/>
      <c r="K158" s="401"/>
      <c r="L158" s="401"/>
      <c r="M158" s="438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23"/>
      <c r="DA158" s="23"/>
      <c r="DB158" s="23"/>
      <c r="DC158" s="23"/>
      <c r="DD158" s="23"/>
      <c r="DE158" s="23"/>
      <c r="DF158" s="23"/>
      <c r="DG158" s="23"/>
      <c r="DH158" s="23"/>
      <c r="DI158" s="23"/>
      <c r="DJ158" s="23"/>
      <c r="DK158" s="23"/>
      <c r="DL158" s="23"/>
      <c r="DM158" s="23"/>
      <c r="DN158" s="23"/>
      <c r="DO158" s="23"/>
      <c r="DP158" s="23"/>
      <c r="DQ158" s="23"/>
      <c r="DR158" s="23"/>
      <c r="DS158" s="23"/>
      <c r="DT158" s="23"/>
      <c r="DU158" s="23"/>
      <c r="DV158" s="23"/>
      <c r="DW158" s="23"/>
      <c r="DX158" s="23"/>
      <c r="DY158" s="23"/>
      <c r="DZ158" s="23"/>
      <c r="EA158" s="23"/>
      <c r="EB158" s="23"/>
      <c r="EC158" s="23"/>
      <c r="ED158" s="23"/>
      <c r="EE158" s="23"/>
      <c r="EF158" s="23"/>
      <c r="EG158" s="23"/>
      <c r="EH158" s="23"/>
      <c r="EI158" s="23"/>
      <c r="EJ158" s="23"/>
      <c r="EK158" s="23"/>
      <c r="EL158" s="23"/>
      <c r="EM158" s="23"/>
      <c r="EN158" s="23"/>
      <c r="EO158" s="23"/>
      <c r="EP158" s="23"/>
      <c r="EQ158" s="23"/>
      <c r="ER158" s="23"/>
      <c r="ES158" s="23"/>
      <c r="ET158" s="23"/>
      <c r="EU158" s="23"/>
      <c r="EV158" s="23"/>
      <c r="EW158" s="23"/>
      <c r="EX158" s="23"/>
      <c r="EY158" s="23"/>
      <c r="EZ158" s="23"/>
      <c r="FA158" s="23"/>
      <c r="FB158" s="23"/>
      <c r="FC158" s="23"/>
      <c r="FD158" s="23"/>
      <c r="FE158" s="23"/>
      <c r="FF158" s="23"/>
      <c r="FG158" s="23"/>
      <c r="FH158" s="23"/>
      <c r="FI158" s="23"/>
      <c r="FJ158" s="23"/>
      <c r="FK158" s="23"/>
      <c r="FL158" s="23"/>
      <c r="FM158" s="23"/>
      <c r="FN158" s="23"/>
      <c r="FO158" s="23"/>
      <c r="FP158" s="23"/>
      <c r="FQ158" s="23"/>
      <c r="FR158" s="23"/>
      <c r="FS158" s="23"/>
      <c r="FT158" s="23"/>
      <c r="FU158" s="23"/>
      <c r="FV158" s="23"/>
      <c r="FW158" s="23"/>
      <c r="FX158" s="23"/>
      <c r="FY158" s="23"/>
      <c r="FZ158" s="23"/>
      <c r="GA158" s="23"/>
      <c r="GB158" s="23"/>
      <c r="GC158" s="23"/>
      <c r="GD158" s="23"/>
      <c r="GE158" s="23"/>
      <c r="GF158" s="23"/>
      <c r="GG158" s="23"/>
      <c r="GH158" s="23"/>
      <c r="GI158" s="23"/>
      <c r="GJ158" s="23"/>
      <c r="GK158" s="23"/>
      <c r="GL158" s="23"/>
    </row>
    <row r="159" spans="1:194" ht="13">
      <c r="A159" s="23"/>
      <c r="B159" s="23"/>
      <c r="C159" s="23"/>
      <c r="D159" s="23"/>
      <c r="E159" s="23"/>
      <c r="F159" s="23"/>
      <c r="G159" s="23"/>
      <c r="H159" s="401"/>
      <c r="I159" s="401"/>
      <c r="J159" s="401"/>
      <c r="K159" s="401"/>
      <c r="L159" s="401"/>
      <c r="M159" s="438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  <c r="CH159" s="23"/>
      <c r="CI159" s="23"/>
      <c r="CJ159" s="23"/>
      <c r="CK159" s="23"/>
      <c r="CL159" s="23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23"/>
      <c r="DD159" s="23"/>
      <c r="DE159" s="23"/>
      <c r="DF159" s="23"/>
      <c r="DG159" s="23"/>
      <c r="DH159" s="23"/>
      <c r="DI159" s="23"/>
      <c r="DJ159" s="23"/>
      <c r="DK159" s="23"/>
      <c r="DL159" s="23"/>
      <c r="DM159" s="23"/>
      <c r="DN159" s="23"/>
      <c r="DO159" s="23"/>
      <c r="DP159" s="23"/>
      <c r="DQ159" s="23"/>
      <c r="DR159" s="23"/>
      <c r="DS159" s="23"/>
      <c r="DT159" s="23"/>
      <c r="DU159" s="23"/>
      <c r="DV159" s="23"/>
      <c r="DW159" s="23"/>
      <c r="DX159" s="23"/>
      <c r="DY159" s="23"/>
      <c r="DZ159" s="23"/>
      <c r="EA159" s="23"/>
      <c r="EB159" s="23"/>
      <c r="EC159" s="23"/>
      <c r="ED159" s="23"/>
      <c r="EE159" s="23"/>
      <c r="EF159" s="23"/>
      <c r="EG159" s="23"/>
      <c r="EH159" s="23"/>
      <c r="EI159" s="23"/>
      <c r="EJ159" s="23"/>
      <c r="EK159" s="23"/>
      <c r="EL159" s="23"/>
      <c r="EM159" s="23"/>
      <c r="EN159" s="23"/>
      <c r="EO159" s="23"/>
      <c r="EP159" s="23"/>
      <c r="EQ159" s="23"/>
      <c r="ER159" s="23"/>
      <c r="ES159" s="23"/>
      <c r="ET159" s="23"/>
      <c r="EU159" s="23"/>
      <c r="EV159" s="23"/>
      <c r="EW159" s="23"/>
      <c r="EX159" s="23"/>
      <c r="EY159" s="23"/>
      <c r="EZ159" s="23"/>
      <c r="FA159" s="23"/>
      <c r="FB159" s="23"/>
      <c r="FC159" s="23"/>
      <c r="FD159" s="23"/>
      <c r="FE159" s="23"/>
      <c r="FF159" s="23"/>
      <c r="FG159" s="23"/>
      <c r="FH159" s="23"/>
      <c r="FI159" s="23"/>
      <c r="FJ159" s="23"/>
      <c r="FK159" s="23"/>
      <c r="FL159" s="23"/>
      <c r="FM159" s="23"/>
      <c r="FN159" s="23"/>
      <c r="FO159" s="23"/>
      <c r="FP159" s="23"/>
      <c r="FQ159" s="23"/>
      <c r="FR159" s="23"/>
      <c r="FS159" s="23"/>
      <c r="FT159" s="23"/>
      <c r="FU159" s="23"/>
      <c r="FV159" s="23"/>
      <c r="FW159" s="23"/>
      <c r="FX159" s="23"/>
      <c r="FY159" s="23"/>
      <c r="FZ159" s="23"/>
      <c r="GA159" s="23"/>
      <c r="GB159" s="23"/>
      <c r="GC159" s="23"/>
      <c r="GD159" s="23"/>
      <c r="GE159" s="23"/>
      <c r="GF159" s="23"/>
      <c r="GG159" s="23"/>
      <c r="GH159" s="23"/>
      <c r="GI159" s="23"/>
      <c r="GJ159" s="23"/>
      <c r="GK159" s="23"/>
      <c r="GL159" s="23"/>
    </row>
    <row r="160" spans="1:194" ht="13">
      <c r="A160" s="23"/>
      <c r="B160" s="23"/>
      <c r="C160" s="23"/>
      <c r="D160" s="23"/>
      <c r="E160" s="23"/>
      <c r="F160" s="23"/>
      <c r="G160" s="23"/>
      <c r="H160" s="401"/>
      <c r="I160" s="401"/>
      <c r="J160" s="401"/>
      <c r="K160" s="401"/>
      <c r="L160" s="401"/>
      <c r="M160" s="438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  <c r="BP160" s="23"/>
      <c r="BQ160" s="23"/>
      <c r="BR160" s="23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  <c r="CH160" s="23"/>
      <c r="CI160" s="23"/>
      <c r="CJ160" s="23"/>
      <c r="CK160" s="23"/>
      <c r="CL160" s="23"/>
      <c r="CM160" s="23"/>
      <c r="CN160" s="23"/>
      <c r="CO160" s="23"/>
      <c r="CP160" s="23"/>
      <c r="CQ160" s="23"/>
      <c r="CR160" s="23"/>
      <c r="CS160" s="23"/>
      <c r="CT160" s="23"/>
      <c r="CU160" s="23"/>
      <c r="CV160" s="23"/>
      <c r="CW160" s="23"/>
      <c r="CX160" s="23"/>
      <c r="CY160" s="23"/>
      <c r="CZ160" s="23"/>
      <c r="DA160" s="23"/>
      <c r="DB160" s="23"/>
      <c r="DC160" s="23"/>
      <c r="DD160" s="23"/>
      <c r="DE160" s="23"/>
      <c r="DF160" s="23"/>
      <c r="DG160" s="23"/>
      <c r="DH160" s="23"/>
      <c r="DI160" s="23"/>
      <c r="DJ160" s="23"/>
      <c r="DK160" s="23"/>
      <c r="DL160" s="23"/>
      <c r="DM160" s="23"/>
      <c r="DN160" s="23"/>
      <c r="DO160" s="23"/>
      <c r="DP160" s="23"/>
      <c r="DQ160" s="23"/>
      <c r="DR160" s="23"/>
      <c r="DS160" s="23"/>
      <c r="DT160" s="23"/>
      <c r="DU160" s="23"/>
      <c r="DV160" s="23"/>
      <c r="DW160" s="23"/>
      <c r="DX160" s="23"/>
      <c r="DY160" s="23"/>
      <c r="DZ160" s="23"/>
      <c r="EA160" s="23"/>
      <c r="EB160" s="23"/>
      <c r="EC160" s="23"/>
      <c r="ED160" s="23"/>
      <c r="EE160" s="23"/>
      <c r="EF160" s="23"/>
      <c r="EG160" s="23"/>
      <c r="EH160" s="23"/>
      <c r="EI160" s="23"/>
      <c r="EJ160" s="23"/>
      <c r="EK160" s="23"/>
      <c r="EL160" s="23"/>
      <c r="EM160" s="23"/>
      <c r="EN160" s="23"/>
      <c r="EO160" s="23"/>
      <c r="EP160" s="23"/>
      <c r="EQ160" s="23"/>
      <c r="ER160" s="23"/>
      <c r="ES160" s="23"/>
      <c r="ET160" s="23"/>
      <c r="EU160" s="23"/>
      <c r="EV160" s="23"/>
      <c r="EW160" s="23"/>
      <c r="EX160" s="23"/>
      <c r="EY160" s="23"/>
      <c r="EZ160" s="23"/>
      <c r="FA160" s="23"/>
      <c r="FB160" s="23"/>
      <c r="FC160" s="23"/>
      <c r="FD160" s="23"/>
      <c r="FE160" s="23"/>
      <c r="FF160" s="23"/>
      <c r="FG160" s="23"/>
      <c r="FH160" s="23"/>
      <c r="FI160" s="23"/>
      <c r="FJ160" s="23"/>
      <c r="FK160" s="23"/>
      <c r="FL160" s="23"/>
      <c r="FM160" s="23"/>
      <c r="FN160" s="23"/>
      <c r="FO160" s="23"/>
      <c r="FP160" s="23"/>
      <c r="FQ160" s="23"/>
      <c r="FR160" s="23"/>
      <c r="FS160" s="23"/>
      <c r="FT160" s="23"/>
      <c r="FU160" s="23"/>
      <c r="FV160" s="23"/>
      <c r="FW160" s="23"/>
      <c r="FX160" s="23"/>
      <c r="FY160" s="23"/>
      <c r="FZ160" s="23"/>
      <c r="GA160" s="23"/>
      <c r="GB160" s="23"/>
      <c r="GC160" s="23"/>
      <c r="GD160" s="23"/>
      <c r="GE160" s="23"/>
      <c r="GF160" s="23"/>
      <c r="GG160" s="23"/>
      <c r="GH160" s="23"/>
      <c r="GI160" s="23"/>
      <c r="GJ160" s="23"/>
      <c r="GK160" s="23"/>
      <c r="GL160" s="23"/>
    </row>
    <row r="161" spans="1:194" ht="13">
      <c r="A161" s="23"/>
      <c r="B161" s="23"/>
      <c r="C161" s="23"/>
      <c r="D161" s="23"/>
      <c r="E161" s="23"/>
      <c r="F161" s="23"/>
      <c r="G161" s="23"/>
      <c r="H161" s="401"/>
      <c r="I161" s="401"/>
      <c r="J161" s="401"/>
      <c r="K161" s="401"/>
      <c r="L161" s="401"/>
      <c r="M161" s="438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  <c r="BL161" s="23"/>
      <c r="BM161" s="23"/>
      <c r="BN161" s="23"/>
      <c r="BO161" s="23"/>
      <c r="BP161" s="23"/>
      <c r="BQ161" s="23"/>
      <c r="BR161" s="23"/>
      <c r="BS161" s="23"/>
      <c r="BT161" s="23"/>
      <c r="BU161" s="23"/>
      <c r="BV161" s="23"/>
      <c r="BW161" s="23"/>
      <c r="BX161" s="23"/>
      <c r="BY161" s="23"/>
      <c r="BZ161" s="23"/>
      <c r="CA161" s="23"/>
      <c r="CB161" s="23"/>
      <c r="CC161" s="23"/>
      <c r="CD161" s="23"/>
      <c r="CE161" s="23"/>
      <c r="CF161" s="23"/>
      <c r="CG161" s="23"/>
      <c r="CH161" s="23"/>
      <c r="CI161" s="23"/>
      <c r="CJ161" s="23"/>
      <c r="CK161" s="23"/>
      <c r="CL161" s="23"/>
      <c r="CM161" s="23"/>
      <c r="CN161" s="23"/>
      <c r="CO161" s="23"/>
      <c r="CP161" s="23"/>
      <c r="CQ161" s="23"/>
      <c r="CR161" s="23"/>
      <c r="CS161" s="23"/>
      <c r="CT161" s="23"/>
      <c r="CU161" s="23"/>
      <c r="CV161" s="23"/>
      <c r="CW161" s="23"/>
      <c r="CX161" s="23"/>
      <c r="CY161" s="23"/>
      <c r="CZ161" s="23"/>
      <c r="DA161" s="23"/>
      <c r="DB161" s="23"/>
      <c r="DC161" s="23"/>
      <c r="DD161" s="23"/>
      <c r="DE161" s="23"/>
      <c r="DF161" s="23"/>
      <c r="DG161" s="23"/>
      <c r="DH161" s="23"/>
      <c r="DI161" s="23"/>
      <c r="DJ161" s="23"/>
      <c r="DK161" s="23"/>
      <c r="DL161" s="23"/>
      <c r="DM161" s="23"/>
      <c r="DN161" s="23"/>
      <c r="DO161" s="23"/>
      <c r="DP161" s="23"/>
      <c r="DQ161" s="23"/>
      <c r="DR161" s="23"/>
      <c r="DS161" s="23"/>
      <c r="DT161" s="23"/>
      <c r="DU161" s="23"/>
      <c r="DV161" s="23"/>
      <c r="DW161" s="23"/>
      <c r="DX161" s="23"/>
      <c r="DY161" s="23"/>
      <c r="DZ161" s="23"/>
      <c r="EA161" s="23"/>
      <c r="EB161" s="23"/>
      <c r="EC161" s="23"/>
      <c r="ED161" s="23"/>
      <c r="EE161" s="23"/>
      <c r="EF161" s="23"/>
      <c r="EG161" s="23"/>
      <c r="EH161" s="23"/>
      <c r="EI161" s="23"/>
      <c r="EJ161" s="23"/>
      <c r="EK161" s="23"/>
      <c r="EL161" s="23"/>
      <c r="EM161" s="23"/>
      <c r="EN161" s="23"/>
      <c r="EO161" s="23"/>
      <c r="EP161" s="23"/>
      <c r="EQ161" s="23"/>
      <c r="ER161" s="23"/>
      <c r="ES161" s="23"/>
      <c r="ET161" s="23"/>
      <c r="EU161" s="23"/>
      <c r="EV161" s="23"/>
      <c r="EW161" s="23"/>
      <c r="EX161" s="23"/>
      <c r="EY161" s="23"/>
      <c r="EZ161" s="23"/>
      <c r="FA161" s="23"/>
      <c r="FB161" s="23"/>
      <c r="FC161" s="23"/>
      <c r="FD161" s="23"/>
      <c r="FE161" s="23"/>
      <c r="FF161" s="23"/>
      <c r="FG161" s="23"/>
      <c r="FH161" s="23"/>
      <c r="FI161" s="23"/>
      <c r="FJ161" s="23"/>
      <c r="FK161" s="23"/>
      <c r="FL161" s="23"/>
      <c r="FM161" s="23"/>
      <c r="FN161" s="23"/>
      <c r="FO161" s="23"/>
      <c r="FP161" s="23"/>
      <c r="FQ161" s="23"/>
      <c r="FR161" s="23"/>
      <c r="FS161" s="23"/>
      <c r="FT161" s="23"/>
      <c r="FU161" s="23"/>
      <c r="FV161" s="23"/>
      <c r="FW161" s="23"/>
      <c r="FX161" s="23"/>
      <c r="FY161" s="23"/>
      <c r="FZ161" s="23"/>
      <c r="GA161" s="23"/>
      <c r="GB161" s="23"/>
      <c r="GC161" s="23"/>
      <c r="GD161" s="23"/>
      <c r="GE161" s="23"/>
      <c r="GF161" s="23"/>
      <c r="GG161" s="23"/>
      <c r="GH161" s="23"/>
      <c r="GI161" s="23"/>
      <c r="GJ161" s="23"/>
      <c r="GK161" s="23"/>
      <c r="GL161" s="23"/>
    </row>
    <row r="162" spans="1:194" ht="13">
      <c r="A162" s="23"/>
      <c r="B162" s="23"/>
      <c r="C162" s="23"/>
      <c r="D162" s="23"/>
      <c r="E162" s="23"/>
      <c r="F162" s="23"/>
      <c r="G162" s="23"/>
      <c r="H162" s="401"/>
      <c r="I162" s="401"/>
      <c r="J162" s="401"/>
      <c r="K162" s="401"/>
      <c r="L162" s="401"/>
      <c r="M162" s="438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  <c r="BL162" s="23"/>
      <c r="BM162" s="23"/>
      <c r="BN162" s="23"/>
      <c r="BO162" s="23"/>
      <c r="BP162" s="23"/>
      <c r="BQ162" s="23"/>
      <c r="BR162" s="23"/>
      <c r="BS162" s="23"/>
      <c r="BT162" s="23"/>
      <c r="BU162" s="23"/>
      <c r="BV162" s="23"/>
      <c r="BW162" s="23"/>
      <c r="BX162" s="23"/>
      <c r="BY162" s="23"/>
      <c r="BZ162" s="23"/>
      <c r="CA162" s="23"/>
      <c r="CB162" s="23"/>
      <c r="CC162" s="23"/>
      <c r="CD162" s="23"/>
      <c r="CE162" s="23"/>
      <c r="CF162" s="23"/>
      <c r="CG162" s="23"/>
      <c r="CH162" s="23"/>
      <c r="CI162" s="23"/>
      <c r="CJ162" s="23"/>
      <c r="CK162" s="23"/>
      <c r="CL162" s="23"/>
      <c r="CM162" s="23"/>
      <c r="CN162" s="23"/>
      <c r="CO162" s="23"/>
      <c r="CP162" s="23"/>
      <c r="CQ162" s="23"/>
      <c r="CR162" s="23"/>
      <c r="CS162" s="23"/>
      <c r="CT162" s="23"/>
      <c r="CU162" s="23"/>
      <c r="CV162" s="23"/>
      <c r="CW162" s="23"/>
      <c r="CX162" s="23"/>
      <c r="CY162" s="23"/>
      <c r="CZ162" s="23"/>
      <c r="DA162" s="23"/>
      <c r="DB162" s="23"/>
      <c r="DC162" s="23"/>
      <c r="DD162" s="23"/>
      <c r="DE162" s="23"/>
      <c r="DF162" s="23"/>
      <c r="DG162" s="23"/>
      <c r="DH162" s="23"/>
      <c r="DI162" s="23"/>
      <c r="DJ162" s="23"/>
      <c r="DK162" s="23"/>
      <c r="DL162" s="23"/>
      <c r="DM162" s="23"/>
      <c r="DN162" s="23"/>
      <c r="DO162" s="23"/>
      <c r="DP162" s="23"/>
      <c r="DQ162" s="23"/>
      <c r="DR162" s="23"/>
      <c r="DS162" s="23"/>
      <c r="DT162" s="23"/>
      <c r="DU162" s="23"/>
      <c r="DV162" s="23"/>
      <c r="DW162" s="23"/>
      <c r="DX162" s="23"/>
      <c r="DY162" s="23"/>
      <c r="DZ162" s="23"/>
      <c r="EA162" s="23"/>
      <c r="EB162" s="23"/>
      <c r="EC162" s="23"/>
      <c r="ED162" s="23"/>
      <c r="EE162" s="23"/>
      <c r="EF162" s="23"/>
      <c r="EG162" s="23"/>
      <c r="EH162" s="23"/>
      <c r="EI162" s="23"/>
      <c r="EJ162" s="23"/>
      <c r="EK162" s="23"/>
      <c r="EL162" s="23"/>
      <c r="EM162" s="23"/>
      <c r="EN162" s="23"/>
      <c r="EO162" s="23"/>
      <c r="EP162" s="23"/>
      <c r="EQ162" s="23"/>
      <c r="ER162" s="23"/>
      <c r="ES162" s="23"/>
      <c r="ET162" s="23"/>
      <c r="EU162" s="23"/>
      <c r="EV162" s="23"/>
      <c r="EW162" s="23"/>
      <c r="EX162" s="23"/>
      <c r="EY162" s="23"/>
      <c r="EZ162" s="23"/>
      <c r="FA162" s="23"/>
      <c r="FB162" s="23"/>
      <c r="FC162" s="23"/>
      <c r="FD162" s="23"/>
      <c r="FE162" s="23"/>
      <c r="FF162" s="23"/>
      <c r="FG162" s="23"/>
      <c r="FH162" s="23"/>
      <c r="FI162" s="23"/>
      <c r="FJ162" s="23"/>
      <c r="FK162" s="23"/>
      <c r="FL162" s="23"/>
      <c r="FM162" s="23"/>
      <c r="FN162" s="23"/>
      <c r="FO162" s="23"/>
      <c r="FP162" s="23"/>
      <c r="FQ162" s="23"/>
      <c r="FR162" s="23"/>
      <c r="FS162" s="23"/>
      <c r="FT162" s="23"/>
      <c r="FU162" s="23"/>
      <c r="FV162" s="23"/>
      <c r="FW162" s="23"/>
      <c r="FX162" s="23"/>
      <c r="FY162" s="23"/>
      <c r="FZ162" s="23"/>
      <c r="GA162" s="23"/>
      <c r="GB162" s="23"/>
      <c r="GC162" s="23"/>
      <c r="GD162" s="23"/>
      <c r="GE162" s="23"/>
      <c r="GF162" s="23"/>
      <c r="GG162" s="23"/>
      <c r="GH162" s="23"/>
      <c r="GI162" s="23"/>
      <c r="GJ162" s="23"/>
      <c r="GK162" s="23"/>
      <c r="GL162" s="23"/>
    </row>
    <row r="163" spans="1:194" ht="13">
      <c r="A163" s="23"/>
      <c r="B163" s="23"/>
      <c r="C163" s="23"/>
      <c r="D163" s="23"/>
      <c r="E163" s="23"/>
      <c r="F163" s="23"/>
      <c r="G163" s="23"/>
      <c r="H163" s="401"/>
      <c r="I163" s="401"/>
      <c r="J163" s="401"/>
      <c r="K163" s="401"/>
      <c r="L163" s="401"/>
      <c r="M163" s="438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  <c r="BN163" s="23"/>
      <c r="BO163" s="23"/>
      <c r="BP163" s="23"/>
      <c r="BQ163" s="23"/>
      <c r="BR163" s="23"/>
      <c r="BS163" s="23"/>
      <c r="BT163" s="23"/>
      <c r="BU163" s="23"/>
      <c r="BV163" s="23"/>
      <c r="BW163" s="23"/>
      <c r="BX163" s="23"/>
      <c r="BY163" s="23"/>
      <c r="BZ163" s="23"/>
      <c r="CA163" s="23"/>
      <c r="CB163" s="23"/>
      <c r="CC163" s="23"/>
      <c r="CD163" s="23"/>
      <c r="CE163" s="23"/>
      <c r="CF163" s="23"/>
      <c r="CG163" s="23"/>
      <c r="CH163" s="23"/>
      <c r="CI163" s="23"/>
      <c r="CJ163" s="23"/>
      <c r="CK163" s="23"/>
      <c r="CL163" s="23"/>
      <c r="CM163" s="23"/>
      <c r="CN163" s="23"/>
      <c r="CO163" s="23"/>
      <c r="CP163" s="23"/>
      <c r="CQ163" s="23"/>
      <c r="CR163" s="23"/>
      <c r="CS163" s="23"/>
      <c r="CT163" s="23"/>
      <c r="CU163" s="23"/>
      <c r="CV163" s="23"/>
      <c r="CW163" s="23"/>
      <c r="CX163" s="23"/>
      <c r="CY163" s="23"/>
      <c r="CZ163" s="23"/>
      <c r="DA163" s="23"/>
      <c r="DB163" s="23"/>
      <c r="DC163" s="23"/>
      <c r="DD163" s="23"/>
      <c r="DE163" s="23"/>
      <c r="DF163" s="23"/>
      <c r="DG163" s="23"/>
      <c r="DH163" s="23"/>
      <c r="DI163" s="23"/>
      <c r="DJ163" s="23"/>
      <c r="DK163" s="23"/>
      <c r="DL163" s="23"/>
      <c r="DM163" s="23"/>
      <c r="DN163" s="23"/>
      <c r="DO163" s="23"/>
      <c r="DP163" s="23"/>
      <c r="DQ163" s="23"/>
      <c r="DR163" s="23"/>
      <c r="DS163" s="23"/>
      <c r="DT163" s="23"/>
      <c r="DU163" s="23"/>
      <c r="DV163" s="23"/>
      <c r="DW163" s="23"/>
      <c r="DX163" s="23"/>
      <c r="DY163" s="23"/>
      <c r="DZ163" s="23"/>
      <c r="EA163" s="23"/>
      <c r="EB163" s="23"/>
      <c r="EC163" s="23"/>
      <c r="ED163" s="23"/>
      <c r="EE163" s="23"/>
      <c r="EF163" s="23"/>
      <c r="EG163" s="23"/>
      <c r="EH163" s="23"/>
      <c r="EI163" s="23"/>
      <c r="EJ163" s="23"/>
      <c r="EK163" s="23"/>
      <c r="EL163" s="23"/>
      <c r="EM163" s="23"/>
      <c r="EN163" s="23"/>
      <c r="EO163" s="23"/>
      <c r="EP163" s="23"/>
      <c r="EQ163" s="23"/>
      <c r="ER163" s="23"/>
      <c r="ES163" s="23"/>
      <c r="ET163" s="23"/>
      <c r="EU163" s="23"/>
      <c r="EV163" s="23"/>
      <c r="EW163" s="23"/>
      <c r="EX163" s="23"/>
      <c r="EY163" s="23"/>
      <c r="EZ163" s="23"/>
      <c r="FA163" s="23"/>
      <c r="FB163" s="23"/>
      <c r="FC163" s="23"/>
      <c r="FD163" s="23"/>
      <c r="FE163" s="23"/>
      <c r="FF163" s="23"/>
      <c r="FG163" s="23"/>
      <c r="FH163" s="23"/>
      <c r="FI163" s="23"/>
      <c r="FJ163" s="23"/>
      <c r="FK163" s="23"/>
      <c r="FL163" s="23"/>
      <c r="FM163" s="23"/>
      <c r="FN163" s="23"/>
      <c r="FO163" s="23"/>
      <c r="FP163" s="23"/>
      <c r="FQ163" s="23"/>
      <c r="FR163" s="23"/>
      <c r="FS163" s="23"/>
      <c r="FT163" s="23"/>
      <c r="FU163" s="23"/>
      <c r="FV163" s="23"/>
      <c r="FW163" s="23"/>
      <c r="FX163" s="23"/>
      <c r="FY163" s="23"/>
      <c r="FZ163" s="23"/>
      <c r="GA163" s="23"/>
      <c r="GB163" s="23"/>
      <c r="GC163" s="23"/>
      <c r="GD163" s="23"/>
      <c r="GE163" s="23"/>
      <c r="GF163" s="23"/>
      <c r="GG163" s="23"/>
      <c r="GH163" s="23"/>
      <c r="GI163" s="23"/>
      <c r="GJ163" s="23"/>
      <c r="GK163" s="23"/>
      <c r="GL163" s="23"/>
    </row>
    <row r="164" spans="1:194" ht="13">
      <c r="A164" s="23"/>
      <c r="B164" s="23"/>
      <c r="C164" s="23"/>
      <c r="D164" s="23"/>
      <c r="E164" s="23"/>
      <c r="F164" s="23"/>
      <c r="G164" s="23"/>
      <c r="H164" s="401"/>
      <c r="I164" s="401"/>
      <c r="J164" s="401"/>
      <c r="K164" s="401"/>
      <c r="L164" s="401"/>
      <c r="M164" s="438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3"/>
      <c r="BQ164" s="23"/>
      <c r="BR164" s="23"/>
      <c r="BS164" s="23"/>
      <c r="BT164" s="23"/>
      <c r="BU164" s="23"/>
      <c r="BV164" s="23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  <c r="CH164" s="23"/>
      <c r="CI164" s="23"/>
      <c r="CJ164" s="23"/>
      <c r="CK164" s="23"/>
      <c r="CL164" s="23"/>
      <c r="CM164" s="23"/>
      <c r="CN164" s="23"/>
      <c r="CO164" s="23"/>
      <c r="CP164" s="23"/>
      <c r="CQ164" s="23"/>
      <c r="CR164" s="23"/>
      <c r="CS164" s="23"/>
      <c r="CT164" s="23"/>
      <c r="CU164" s="23"/>
      <c r="CV164" s="23"/>
      <c r="CW164" s="23"/>
      <c r="CX164" s="23"/>
      <c r="CY164" s="23"/>
      <c r="CZ164" s="23"/>
      <c r="DA164" s="23"/>
      <c r="DB164" s="23"/>
      <c r="DC164" s="23"/>
      <c r="DD164" s="23"/>
      <c r="DE164" s="23"/>
      <c r="DF164" s="23"/>
      <c r="DG164" s="23"/>
      <c r="DH164" s="23"/>
      <c r="DI164" s="23"/>
      <c r="DJ164" s="23"/>
      <c r="DK164" s="23"/>
      <c r="DL164" s="23"/>
      <c r="DM164" s="23"/>
      <c r="DN164" s="23"/>
      <c r="DO164" s="23"/>
      <c r="DP164" s="23"/>
      <c r="DQ164" s="23"/>
      <c r="DR164" s="23"/>
      <c r="DS164" s="23"/>
      <c r="DT164" s="23"/>
      <c r="DU164" s="23"/>
      <c r="DV164" s="23"/>
      <c r="DW164" s="23"/>
      <c r="DX164" s="23"/>
      <c r="DY164" s="23"/>
      <c r="DZ164" s="23"/>
      <c r="EA164" s="23"/>
      <c r="EB164" s="23"/>
      <c r="EC164" s="23"/>
      <c r="ED164" s="23"/>
      <c r="EE164" s="23"/>
      <c r="EF164" s="23"/>
      <c r="EG164" s="23"/>
      <c r="EH164" s="23"/>
      <c r="EI164" s="23"/>
      <c r="EJ164" s="23"/>
      <c r="EK164" s="23"/>
      <c r="EL164" s="23"/>
      <c r="EM164" s="23"/>
      <c r="EN164" s="23"/>
      <c r="EO164" s="23"/>
      <c r="EP164" s="23"/>
      <c r="EQ164" s="23"/>
      <c r="ER164" s="23"/>
      <c r="ES164" s="23"/>
      <c r="ET164" s="23"/>
      <c r="EU164" s="23"/>
      <c r="EV164" s="23"/>
      <c r="EW164" s="23"/>
      <c r="EX164" s="23"/>
      <c r="EY164" s="23"/>
      <c r="EZ164" s="23"/>
      <c r="FA164" s="23"/>
      <c r="FB164" s="23"/>
      <c r="FC164" s="23"/>
      <c r="FD164" s="23"/>
      <c r="FE164" s="23"/>
      <c r="FF164" s="23"/>
      <c r="FG164" s="23"/>
      <c r="FH164" s="23"/>
      <c r="FI164" s="23"/>
      <c r="FJ164" s="23"/>
      <c r="FK164" s="23"/>
      <c r="FL164" s="23"/>
      <c r="FM164" s="23"/>
      <c r="FN164" s="23"/>
      <c r="FO164" s="23"/>
      <c r="FP164" s="23"/>
      <c r="FQ164" s="23"/>
      <c r="FR164" s="23"/>
      <c r="FS164" s="23"/>
      <c r="FT164" s="23"/>
      <c r="FU164" s="23"/>
      <c r="FV164" s="23"/>
      <c r="FW164" s="23"/>
      <c r="FX164" s="23"/>
      <c r="FY164" s="23"/>
      <c r="FZ164" s="23"/>
      <c r="GA164" s="23"/>
      <c r="GB164" s="23"/>
      <c r="GC164" s="23"/>
      <c r="GD164" s="23"/>
      <c r="GE164" s="23"/>
      <c r="GF164" s="23"/>
      <c r="GG164" s="23"/>
      <c r="GH164" s="23"/>
      <c r="GI164" s="23"/>
      <c r="GJ164" s="23"/>
      <c r="GK164" s="23"/>
      <c r="GL164" s="23"/>
    </row>
    <row r="165" spans="1:194" ht="13">
      <c r="A165" s="23"/>
      <c r="B165" s="23"/>
      <c r="C165" s="23"/>
      <c r="D165" s="23"/>
      <c r="E165" s="23"/>
      <c r="F165" s="23"/>
      <c r="G165" s="23"/>
      <c r="H165" s="401"/>
      <c r="I165" s="401"/>
      <c r="J165" s="401"/>
      <c r="K165" s="401"/>
      <c r="L165" s="401"/>
      <c r="M165" s="438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  <c r="BN165" s="23"/>
      <c r="BO165" s="23"/>
      <c r="BP165" s="23"/>
      <c r="BQ165" s="23"/>
      <c r="BR165" s="23"/>
      <c r="BS165" s="23"/>
      <c r="BT165" s="23"/>
      <c r="BU165" s="23"/>
      <c r="BV165" s="23"/>
      <c r="BW165" s="23"/>
      <c r="BX165" s="23"/>
      <c r="BY165" s="23"/>
      <c r="BZ165" s="23"/>
      <c r="CA165" s="23"/>
      <c r="CB165" s="23"/>
      <c r="CC165" s="23"/>
      <c r="CD165" s="23"/>
      <c r="CE165" s="23"/>
      <c r="CF165" s="23"/>
      <c r="CG165" s="23"/>
      <c r="CH165" s="23"/>
      <c r="CI165" s="23"/>
      <c r="CJ165" s="23"/>
      <c r="CK165" s="23"/>
      <c r="CL165" s="23"/>
      <c r="CM165" s="23"/>
      <c r="CN165" s="23"/>
      <c r="CO165" s="23"/>
      <c r="CP165" s="23"/>
      <c r="CQ165" s="23"/>
      <c r="CR165" s="23"/>
      <c r="CS165" s="23"/>
      <c r="CT165" s="23"/>
      <c r="CU165" s="23"/>
      <c r="CV165" s="23"/>
      <c r="CW165" s="23"/>
      <c r="CX165" s="23"/>
      <c r="CY165" s="23"/>
      <c r="CZ165" s="23"/>
      <c r="DA165" s="23"/>
      <c r="DB165" s="23"/>
      <c r="DC165" s="23"/>
      <c r="DD165" s="23"/>
      <c r="DE165" s="23"/>
      <c r="DF165" s="23"/>
      <c r="DG165" s="23"/>
      <c r="DH165" s="23"/>
      <c r="DI165" s="23"/>
      <c r="DJ165" s="23"/>
      <c r="DK165" s="23"/>
      <c r="DL165" s="23"/>
      <c r="DM165" s="23"/>
      <c r="DN165" s="23"/>
      <c r="DO165" s="23"/>
      <c r="DP165" s="23"/>
      <c r="DQ165" s="23"/>
      <c r="DR165" s="23"/>
      <c r="DS165" s="23"/>
      <c r="DT165" s="23"/>
      <c r="DU165" s="23"/>
      <c r="DV165" s="23"/>
      <c r="DW165" s="23"/>
      <c r="DX165" s="23"/>
      <c r="DY165" s="23"/>
      <c r="DZ165" s="23"/>
      <c r="EA165" s="23"/>
      <c r="EB165" s="23"/>
      <c r="EC165" s="23"/>
      <c r="ED165" s="23"/>
      <c r="EE165" s="23"/>
      <c r="EF165" s="23"/>
      <c r="EG165" s="23"/>
      <c r="EH165" s="23"/>
      <c r="EI165" s="23"/>
      <c r="EJ165" s="23"/>
      <c r="EK165" s="23"/>
      <c r="EL165" s="23"/>
      <c r="EM165" s="23"/>
      <c r="EN165" s="23"/>
      <c r="EO165" s="23"/>
      <c r="EP165" s="23"/>
      <c r="EQ165" s="23"/>
      <c r="ER165" s="23"/>
      <c r="ES165" s="23"/>
      <c r="ET165" s="23"/>
      <c r="EU165" s="23"/>
      <c r="EV165" s="23"/>
      <c r="EW165" s="23"/>
      <c r="EX165" s="23"/>
      <c r="EY165" s="23"/>
      <c r="EZ165" s="23"/>
      <c r="FA165" s="23"/>
      <c r="FB165" s="23"/>
      <c r="FC165" s="23"/>
      <c r="FD165" s="23"/>
      <c r="FE165" s="23"/>
      <c r="FF165" s="23"/>
      <c r="FG165" s="23"/>
      <c r="FH165" s="23"/>
      <c r="FI165" s="23"/>
      <c r="FJ165" s="23"/>
      <c r="FK165" s="23"/>
      <c r="FL165" s="23"/>
      <c r="FM165" s="23"/>
      <c r="FN165" s="23"/>
      <c r="FO165" s="23"/>
      <c r="FP165" s="23"/>
      <c r="FQ165" s="23"/>
      <c r="FR165" s="23"/>
      <c r="FS165" s="23"/>
      <c r="FT165" s="23"/>
      <c r="FU165" s="23"/>
      <c r="FV165" s="23"/>
      <c r="FW165" s="23"/>
      <c r="FX165" s="23"/>
      <c r="FY165" s="23"/>
      <c r="FZ165" s="23"/>
      <c r="GA165" s="23"/>
      <c r="GB165" s="23"/>
      <c r="GC165" s="23"/>
      <c r="GD165" s="23"/>
      <c r="GE165" s="23"/>
      <c r="GF165" s="23"/>
      <c r="GG165" s="23"/>
      <c r="GH165" s="23"/>
      <c r="GI165" s="23"/>
      <c r="GJ165" s="23"/>
      <c r="GK165" s="23"/>
      <c r="GL165" s="23"/>
    </row>
    <row r="166" spans="1:194" ht="13">
      <c r="A166" s="23"/>
      <c r="B166" s="23"/>
      <c r="C166" s="23"/>
      <c r="D166" s="23"/>
      <c r="E166" s="23"/>
      <c r="F166" s="23"/>
      <c r="G166" s="23"/>
      <c r="H166" s="401"/>
      <c r="I166" s="401"/>
      <c r="J166" s="401"/>
      <c r="K166" s="401"/>
      <c r="L166" s="401"/>
      <c r="M166" s="438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3"/>
      <c r="BQ166" s="23"/>
      <c r="BR166" s="23"/>
      <c r="BS166" s="23"/>
      <c r="BT166" s="23"/>
      <c r="BU166" s="23"/>
      <c r="BV166" s="23"/>
      <c r="BW166" s="23"/>
      <c r="BX166" s="23"/>
      <c r="BY166" s="23"/>
      <c r="BZ166" s="23"/>
      <c r="CA166" s="23"/>
      <c r="CB166" s="23"/>
      <c r="CC166" s="23"/>
      <c r="CD166" s="23"/>
      <c r="CE166" s="23"/>
      <c r="CF166" s="23"/>
      <c r="CG166" s="23"/>
      <c r="CH166" s="23"/>
      <c r="CI166" s="23"/>
      <c r="CJ166" s="23"/>
      <c r="CK166" s="23"/>
      <c r="CL166" s="23"/>
      <c r="CM166" s="23"/>
      <c r="CN166" s="23"/>
      <c r="CO166" s="23"/>
      <c r="CP166" s="23"/>
      <c r="CQ166" s="23"/>
      <c r="CR166" s="23"/>
      <c r="CS166" s="23"/>
      <c r="CT166" s="23"/>
      <c r="CU166" s="23"/>
      <c r="CV166" s="23"/>
      <c r="CW166" s="23"/>
      <c r="CX166" s="23"/>
      <c r="CY166" s="23"/>
      <c r="CZ166" s="23"/>
      <c r="DA166" s="23"/>
      <c r="DB166" s="23"/>
      <c r="DC166" s="23"/>
      <c r="DD166" s="23"/>
      <c r="DE166" s="23"/>
      <c r="DF166" s="23"/>
      <c r="DG166" s="23"/>
      <c r="DH166" s="23"/>
      <c r="DI166" s="23"/>
      <c r="DJ166" s="23"/>
      <c r="DK166" s="23"/>
      <c r="DL166" s="23"/>
      <c r="DM166" s="23"/>
      <c r="DN166" s="23"/>
      <c r="DO166" s="23"/>
      <c r="DP166" s="23"/>
      <c r="DQ166" s="23"/>
      <c r="DR166" s="23"/>
      <c r="DS166" s="23"/>
      <c r="DT166" s="23"/>
      <c r="DU166" s="23"/>
      <c r="DV166" s="23"/>
      <c r="DW166" s="23"/>
      <c r="DX166" s="23"/>
      <c r="DY166" s="23"/>
      <c r="DZ166" s="23"/>
      <c r="EA166" s="23"/>
      <c r="EB166" s="23"/>
      <c r="EC166" s="23"/>
      <c r="ED166" s="23"/>
      <c r="EE166" s="23"/>
      <c r="EF166" s="23"/>
      <c r="EG166" s="23"/>
      <c r="EH166" s="23"/>
      <c r="EI166" s="23"/>
      <c r="EJ166" s="23"/>
      <c r="EK166" s="23"/>
      <c r="EL166" s="23"/>
      <c r="EM166" s="23"/>
      <c r="EN166" s="23"/>
      <c r="EO166" s="23"/>
      <c r="EP166" s="23"/>
      <c r="EQ166" s="23"/>
      <c r="ER166" s="23"/>
      <c r="ES166" s="23"/>
      <c r="ET166" s="23"/>
      <c r="EU166" s="23"/>
      <c r="EV166" s="23"/>
      <c r="EW166" s="23"/>
      <c r="EX166" s="23"/>
      <c r="EY166" s="23"/>
      <c r="EZ166" s="23"/>
      <c r="FA166" s="23"/>
      <c r="FB166" s="23"/>
      <c r="FC166" s="23"/>
      <c r="FD166" s="23"/>
      <c r="FE166" s="23"/>
      <c r="FF166" s="23"/>
      <c r="FG166" s="23"/>
      <c r="FH166" s="23"/>
      <c r="FI166" s="23"/>
      <c r="FJ166" s="23"/>
      <c r="FK166" s="23"/>
      <c r="FL166" s="23"/>
      <c r="FM166" s="23"/>
      <c r="FN166" s="23"/>
      <c r="FO166" s="23"/>
      <c r="FP166" s="23"/>
      <c r="FQ166" s="23"/>
      <c r="FR166" s="23"/>
      <c r="FS166" s="23"/>
      <c r="FT166" s="23"/>
      <c r="FU166" s="23"/>
      <c r="FV166" s="23"/>
      <c r="FW166" s="23"/>
      <c r="FX166" s="23"/>
      <c r="FY166" s="23"/>
      <c r="FZ166" s="23"/>
      <c r="GA166" s="23"/>
      <c r="GB166" s="23"/>
      <c r="GC166" s="23"/>
      <c r="GD166" s="23"/>
      <c r="GE166" s="23"/>
      <c r="GF166" s="23"/>
      <c r="GG166" s="23"/>
      <c r="GH166" s="23"/>
      <c r="GI166" s="23"/>
      <c r="GJ166" s="23"/>
      <c r="GK166" s="23"/>
      <c r="GL166" s="23"/>
    </row>
    <row r="167" spans="1:194" ht="13">
      <c r="A167" s="23"/>
      <c r="B167" s="23"/>
      <c r="C167" s="23"/>
      <c r="D167" s="23"/>
      <c r="E167" s="23"/>
      <c r="F167" s="23"/>
      <c r="G167" s="23"/>
      <c r="H167" s="401"/>
      <c r="I167" s="401"/>
      <c r="J167" s="401"/>
      <c r="K167" s="401"/>
      <c r="L167" s="401"/>
      <c r="M167" s="438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  <c r="BL167" s="23"/>
      <c r="BM167" s="23"/>
      <c r="BN167" s="23"/>
      <c r="BO167" s="23"/>
      <c r="BP167" s="23"/>
      <c r="BQ167" s="23"/>
      <c r="BR167" s="23"/>
      <c r="BS167" s="23"/>
      <c r="BT167" s="23"/>
      <c r="BU167" s="23"/>
      <c r="BV167" s="23"/>
      <c r="BW167" s="23"/>
      <c r="BX167" s="23"/>
      <c r="BY167" s="23"/>
      <c r="BZ167" s="23"/>
      <c r="CA167" s="23"/>
      <c r="CB167" s="23"/>
      <c r="CC167" s="23"/>
      <c r="CD167" s="23"/>
      <c r="CE167" s="23"/>
      <c r="CF167" s="23"/>
      <c r="CG167" s="23"/>
      <c r="CH167" s="23"/>
      <c r="CI167" s="23"/>
      <c r="CJ167" s="23"/>
      <c r="CK167" s="23"/>
      <c r="CL167" s="23"/>
      <c r="CM167" s="23"/>
      <c r="CN167" s="23"/>
      <c r="CO167" s="23"/>
      <c r="CP167" s="23"/>
      <c r="CQ167" s="23"/>
      <c r="CR167" s="23"/>
      <c r="CS167" s="23"/>
      <c r="CT167" s="23"/>
      <c r="CU167" s="23"/>
      <c r="CV167" s="23"/>
      <c r="CW167" s="23"/>
      <c r="CX167" s="23"/>
      <c r="CY167" s="23"/>
      <c r="CZ167" s="23"/>
      <c r="DA167" s="23"/>
      <c r="DB167" s="23"/>
      <c r="DC167" s="23"/>
      <c r="DD167" s="23"/>
      <c r="DE167" s="23"/>
      <c r="DF167" s="23"/>
      <c r="DG167" s="23"/>
      <c r="DH167" s="23"/>
      <c r="DI167" s="23"/>
      <c r="DJ167" s="23"/>
      <c r="DK167" s="23"/>
      <c r="DL167" s="23"/>
      <c r="DM167" s="23"/>
      <c r="DN167" s="23"/>
      <c r="DO167" s="23"/>
      <c r="DP167" s="23"/>
      <c r="DQ167" s="23"/>
      <c r="DR167" s="23"/>
      <c r="DS167" s="23"/>
      <c r="DT167" s="23"/>
      <c r="DU167" s="23"/>
      <c r="DV167" s="23"/>
      <c r="DW167" s="23"/>
      <c r="DX167" s="23"/>
      <c r="DY167" s="23"/>
      <c r="DZ167" s="23"/>
      <c r="EA167" s="23"/>
      <c r="EB167" s="23"/>
      <c r="EC167" s="23"/>
      <c r="ED167" s="23"/>
      <c r="EE167" s="23"/>
      <c r="EF167" s="23"/>
      <c r="EG167" s="23"/>
      <c r="EH167" s="23"/>
      <c r="EI167" s="23"/>
      <c r="EJ167" s="23"/>
      <c r="EK167" s="23"/>
      <c r="EL167" s="23"/>
      <c r="EM167" s="23"/>
      <c r="EN167" s="23"/>
      <c r="EO167" s="23"/>
      <c r="EP167" s="23"/>
      <c r="EQ167" s="23"/>
      <c r="ER167" s="23"/>
      <c r="ES167" s="23"/>
      <c r="ET167" s="23"/>
      <c r="EU167" s="23"/>
      <c r="EV167" s="23"/>
      <c r="EW167" s="23"/>
      <c r="EX167" s="23"/>
      <c r="EY167" s="23"/>
      <c r="EZ167" s="23"/>
      <c r="FA167" s="23"/>
      <c r="FB167" s="23"/>
      <c r="FC167" s="23"/>
      <c r="FD167" s="23"/>
      <c r="FE167" s="23"/>
      <c r="FF167" s="23"/>
      <c r="FG167" s="23"/>
      <c r="FH167" s="23"/>
      <c r="FI167" s="23"/>
      <c r="FJ167" s="23"/>
      <c r="FK167" s="23"/>
      <c r="FL167" s="23"/>
      <c r="FM167" s="23"/>
      <c r="FN167" s="23"/>
      <c r="FO167" s="23"/>
      <c r="FP167" s="23"/>
      <c r="FQ167" s="23"/>
      <c r="FR167" s="23"/>
      <c r="FS167" s="23"/>
      <c r="FT167" s="23"/>
      <c r="FU167" s="23"/>
      <c r="FV167" s="23"/>
      <c r="FW167" s="23"/>
      <c r="FX167" s="23"/>
      <c r="FY167" s="23"/>
      <c r="FZ167" s="23"/>
      <c r="GA167" s="23"/>
      <c r="GB167" s="23"/>
      <c r="GC167" s="23"/>
      <c r="GD167" s="23"/>
      <c r="GE167" s="23"/>
      <c r="GF167" s="23"/>
      <c r="GG167" s="23"/>
      <c r="GH167" s="23"/>
      <c r="GI167" s="23"/>
      <c r="GJ167" s="23"/>
      <c r="GK167" s="23"/>
      <c r="GL167" s="23"/>
    </row>
    <row r="168" spans="1:194" ht="13">
      <c r="A168" s="23"/>
      <c r="B168" s="23"/>
      <c r="C168" s="23"/>
      <c r="D168" s="23"/>
      <c r="E168" s="23"/>
      <c r="F168" s="23"/>
      <c r="G168" s="23"/>
      <c r="H168" s="401"/>
      <c r="I168" s="401"/>
      <c r="J168" s="401"/>
      <c r="K168" s="401"/>
      <c r="L168" s="401"/>
      <c r="M168" s="438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  <c r="DL168" s="23"/>
      <c r="DM168" s="23"/>
      <c r="DN168" s="23"/>
      <c r="DO168" s="23"/>
      <c r="DP168" s="23"/>
      <c r="DQ168" s="23"/>
      <c r="DR168" s="23"/>
      <c r="DS168" s="23"/>
      <c r="DT168" s="23"/>
      <c r="DU168" s="23"/>
      <c r="DV168" s="23"/>
      <c r="DW168" s="23"/>
      <c r="DX168" s="23"/>
      <c r="DY168" s="23"/>
      <c r="DZ168" s="23"/>
      <c r="EA168" s="23"/>
      <c r="EB168" s="23"/>
      <c r="EC168" s="23"/>
      <c r="ED168" s="23"/>
      <c r="EE168" s="23"/>
      <c r="EF168" s="23"/>
      <c r="EG168" s="23"/>
      <c r="EH168" s="23"/>
      <c r="EI168" s="23"/>
      <c r="EJ168" s="23"/>
      <c r="EK168" s="23"/>
      <c r="EL168" s="23"/>
      <c r="EM168" s="23"/>
      <c r="EN168" s="23"/>
      <c r="EO168" s="23"/>
      <c r="EP168" s="23"/>
      <c r="EQ168" s="23"/>
      <c r="ER168" s="23"/>
      <c r="ES168" s="23"/>
      <c r="ET168" s="23"/>
      <c r="EU168" s="23"/>
      <c r="EV168" s="23"/>
      <c r="EW168" s="23"/>
      <c r="EX168" s="23"/>
      <c r="EY168" s="23"/>
      <c r="EZ168" s="23"/>
      <c r="FA168" s="23"/>
      <c r="FB168" s="23"/>
      <c r="FC168" s="23"/>
      <c r="FD168" s="23"/>
      <c r="FE168" s="23"/>
      <c r="FF168" s="23"/>
      <c r="FG168" s="23"/>
      <c r="FH168" s="23"/>
      <c r="FI168" s="23"/>
      <c r="FJ168" s="23"/>
      <c r="FK168" s="23"/>
      <c r="FL168" s="23"/>
      <c r="FM168" s="23"/>
      <c r="FN168" s="23"/>
      <c r="FO168" s="23"/>
      <c r="FP168" s="23"/>
      <c r="FQ168" s="23"/>
      <c r="FR168" s="23"/>
      <c r="FS168" s="23"/>
      <c r="FT168" s="23"/>
      <c r="FU168" s="23"/>
      <c r="FV168" s="23"/>
      <c r="FW168" s="23"/>
      <c r="FX168" s="23"/>
      <c r="FY168" s="23"/>
      <c r="FZ168" s="23"/>
      <c r="GA168" s="23"/>
      <c r="GB168" s="23"/>
      <c r="GC168" s="23"/>
      <c r="GD168" s="23"/>
      <c r="GE168" s="23"/>
      <c r="GF168" s="23"/>
      <c r="GG168" s="23"/>
      <c r="GH168" s="23"/>
      <c r="GI168" s="23"/>
      <c r="GJ168" s="23"/>
      <c r="GK168" s="23"/>
      <c r="GL168" s="23"/>
    </row>
    <row r="169" spans="1:194" ht="13">
      <c r="A169" s="23"/>
      <c r="B169" s="23"/>
      <c r="C169" s="23"/>
      <c r="D169" s="23"/>
      <c r="E169" s="23"/>
      <c r="F169" s="23"/>
      <c r="G169" s="23"/>
      <c r="H169" s="401"/>
      <c r="I169" s="401"/>
      <c r="J169" s="401"/>
      <c r="K169" s="401"/>
      <c r="L169" s="401"/>
      <c r="M169" s="438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  <c r="BL169" s="23"/>
      <c r="BM169" s="23"/>
      <c r="BN169" s="23"/>
      <c r="BO169" s="23"/>
      <c r="BP169" s="23"/>
      <c r="BQ169" s="23"/>
      <c r="BR169" s="23"/>
      <c r="BS169" s="23"/>
      <c r="BT169" s="23"/>
      <c r="BU169" s="23"/>
      <c r="BV169" s="23"/>
      <c r="BW169" s="23"/>
      <c r="BX169" s="23"/>
      <c r="BY169" s="23"/>
      <c r="BZ169" s="23"/>
      <c r="CA169" s="23"/>
      <c r="CB169" s="23"/>
      <c r="CC169" s="23"/>
      <c r="CD169" s="23"/>
      <c r="CE169" s="23"/>
      <c r="CF169" s="23"/>
      <c r="CG169" s="23"/>
      <c r="CH169" s="23"/>
      <c r="CI169" s="23"/>
      <c r="CJ169" s="23"/>
      <c r="CK169" s="23"/>
      <c r="CL169" s="23"/>
      <c r="CM169" s="23"/>
      <c r="CN169" s="23"/>
      <c r="CO169" s="23"/>
      <c r="CP169" s="23"/>
      <c r="CQ169" s="23"/>
      <c r="CR169" s="23"/>
      <c r="CS169" s="23"/>
      <c r="CT169" s="23"/>
      <c r="CU169" s="23"/>
      <c r="CV169" s="23"/>
      <c r="CW169" s="23"/>
      <c r="CX169" s="23"/>
      <c r="CY169" s="23"/>
      <c r="CZ169" s="23"/>
      <c r="DA169" s="23"/>
      <c r="DB169" s="23"/>
      <c r="DC169" s="23"/>
      <c r="DD169" s="23"/>
      <c r="DE169" s="23"/>
      <c r="DF169" s="23"/>
      <c r="DG169" s="23"/>
      <c r="DH169" s="23"/>
      <c r="DI169" s="23"/>
      <c r="DJ169" s="23"/>
      <c r="DK169" s="23"/>
      <c r="DL169" s="23"/>
      <c r="DM169" s="23"/>
      <c r="DN169" s="23"/>
      <c r="DO169" s="23"/>
      <c r="DP169" s="23"/>
      <c r="DQ169" s="23"/>
      <c r="DR169" s="23"/>
      <c r="DS169" s="23"/>
      <c r="DT169" s="23"/>
      <c r="DU169" s="23"/>
      <c r="DV169" s="23"/>
      <c r="DW169" s="23"/>
      <c r="DX169" s="23"/>
      <c r="DY169" s="23"/>
      <c r="DZ169" s="23"/>
      <c r="EA169" s="23"/>
      <c r="EB169" s="23"/>
      <c r="EC169" s="23"/>
      <c r="ED169" s="23"/>
      <c r="EE169" s="23"/>
      <c r="EF169" s="23"/>
      <c r="EG169" s="23"/>
      <c r="EH169" s="23"/>
      <c r="EI169" s="23"/>
      <c r="EJ169" s="23"/>
      <c r="EK169" s="23"/>
      <c r="EL169" s="23"/>
      <c r="EM169" s="23"/>
      <c r="EN169" s="23"/>
      <c r="EO169" s="23"/>
      <c r="EP169" s="23"/>
      <c r="EQ169" s="23"/>
      <c r="ER169" s="23"/>
      <c r="ES169" s="23"/>
      <c r="ET169" s="23"/>
      <c r="EU169" s="23"/>
      <c r="EV169" s="23"/>
      <c r="EW169" s="23"/>
      <c r="EX169" s="23"/>
      <c r="EY169" s="23"/>
      <c r="EZ169" s="23"/>
      <c r="FA169" s="23"/>
      <c r="FB169" s="23"/>
      <c r="FC169" s="23"/>
      <c r="FD169" s="23"/>
      <c r="FE169" s="23"/>
      <c r="FF169" s="23"/>
      <c r="FG169" s="23"/>
      <c r="FH169" s="23"/>
      <c r="FI169" s="23"/>
      <c r="FJ169" s="23"/>
      <c r="FK169" s="23"/>
      <c r="FL169" s="23"/>
      <c r="FM169" s="23"/>
      <c r="FN169" s="23"/>
      <c r="FO169" s="23"/>
      <c r="FP169" s="23"/>
      <c r="FQ169" s="23"/>
      <c r="FR169" s="23"/>
      <c r="FS169" s="23"/>
      <c r="FT169" s="23"/>
      <c r="FU169" s="23"/>
      <c r="FV169" s="23"/>
      <c r="FW169" s="23"/>
      <c r="FX169" s="23"/>
      <c r="FY169" s="23"/>
      <c r="FZ169" s="23"/>
      <c r="GA169" s="23"/>
      <c r="GB169" s="23"/>
      <c r="GC169" s="23"/>
      <c r="GD169" s="23"/>
      <c r="GE169" s="23"/>
      <c r="GF169" s="23"/>
      <c r="GG169" s="23"/>
      <c r="GH169" s="23"/>
      <c r="GI169" s="23"/>
      <c r="GJ169" s="23"/>
      <c r="GK169" s="23"/>
      <c r="GL169" s="23"/>
    </row>
    <row r="170" spans="1:194" ht="13">
      <c r="A170" s="23"/>
      <c r="B170" s="23"/>
      <c r="C170" s="23"/>
      <c r="D170" s="23"/>
      <c r="E170" s="23"/>
      <c r="F170" s="23"/>
      <c r="G170" s="23"/>
      <c r="H170" s="401"/>
      <c r="I170" s="401"/>
      <c r="J170" s="401"/>
      <c r="K170" s="401"/>
      <c r="L170" s="401"/>
      <c r="M170" s="438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  <c r="BN170" s="23"/>
      <c r="BO170" s="23"/>
      <c r="BP170" s="23"/>
      <c r="BQ170" s="23"/>
      <c r="BR170" s="23"/>
      <c r="BS170" s="23"/>
      <c r="BT170" s="23"/>
      <c r="BU170" s="23"/>
      <c r="BV170" s="23"/>
      <c r="BW170" s="23"/>
      <c r="BX170" s="23"/>
      <c r="BY170" s="23"/>
      <c r="BZ170" s="23"/>
      <c r="CA170" s="23"/>
      <c r="CB170" s="23"/>
      <c r="CC170" s="23"/>
      <c r="CD170" s="23"/>
      <c r="CE170" s="23"/>
      <c r="CF170" s="23"/>
      <c r="CG170" s="23"/>
      <c r="CH170" s="23"/>
      <c r="CI170" s="23"/>
      <c r="CJ170" s="23"/>
      <c r="CK170" s="23"/>
      <c r="CL170" s="23"/>
      <c r="CM170" s="23"/>
      <c r="CN170" s="23"/>
      <c r="CO170" s="23"/>
      <c r="CP170" s="23"/>
      <c r="CQ170" s="23"/>
      <c r="CR170" s="23"/>
      <c r="CS170" s="23"/>
      <c r="CT170" s="23"/>
      <c r="CU170" s="23"/>
      <c r="CV170" s="23"/>
      <c r="CW170" s="23"/>
      <c r="CX170" s="23"/>
      <c r="CY170" s="23"/>
      <c r="CZ170" s="23"/>
      <c r="DA170" s="23"/>
      <c r="DB170" s="23"/>
      <c r="DC170" s="23"/>
      <c r="DD170" s="23"/>
      <c r="DE170" s="23"/>
      <c r="DF170" s="23"/>
      <c r="DG170" s="23"/>
      <c r="DH170" s="23"/>
      <c r="DI170" s="23"/>
      <c r="DJ170" s="23"/>
      <c r="DK170" s="23"/>
      <c r="DL170" s="23"/>
      <c r="DM170" s="23"/>
      <c r="DN170" s="23"/>
      <c r="DO170" s="23"/>
      <c r="DP170" s="23"/>
      <c r="DQ170" s="23"/>
      <c r="DR170" s="23"/>
      <c r="DS170" s="23"/>
      <c r="DT170" s="23"/>
      <c r="DU170" s="23"/>
      <c r="DV170" s="23"/>
      <c r="DW170" s="23"/>
      <c r="DX170" s="23"/>
      <c r="DY170" s="23"/>
      <c r="DZ170" s="23"/>
      <c r="EA170" s="23"/>
      <c r="EB170" s="23"/>
      <c r="EC170" s="23"/>
      <c r="ED170" s="23"/>
      <c r="EE170" s="23"/>
      <c r="EF170" s="23"/>
      <c r="EG170" s="23"/>
      <c r="EH170" s="23"/>
      <c r="EI170" s="23"/>
      <c r="EJ170" s="23"/>
      <c r="EK170" s="23"/>
      <c r="EL170" s="23"/>
      <c r="EM170" s="23"/>
      <c r="EN170" s="23"/>
      <c r="EO170" s="23"/>
      <c r="EP170" s="23"/>
      <c r="EQ170" s="23"/>
      <c r="ER170" s="23"/>
      <c r="ES170" s="23"/>
      <c r="ET170" s="23"/>
      <c r="EU170" s="23"/>
      <c r="EV170" s="23"/>
      <c r="EW170" s="23"/>
      <c r="EX170" s="23"/>
      <c r="EY170" s="23"/>
      <c r="EZ170" s="23"/>
      <c r="FA170" s="23"/>
      <c r="FB170" s="23"/>
      <c r="FC170" s="23"/>
      <c r="FD170" s="23"/>
      <c r="FE170" s="23"/>
      <c r="FF170" s="23"/>
      <c r="FG170" s="23"/>
      <c r="FH170" s="23"/>
      <c r="FI170" s="23"/>
      <c r="FJ170" s="23"/>
      <c r="FK170" s="23"/>
      <c r="FL170" s="23"/>
      <c r="FM170" s="23"/>
      <c r="FN170" s="23"/>
      <c r="FO170" s="23"/>
      <c r="FP170" s="23"/>
      <c r="FQ170" s="23"/>
      <c r="FR170" s="23"/>
      <c r="FS170" s="23"/>
      <c r="FT170" s="23"/>
      <c r="FU170" s="23"/>
      <c r="FV170" s="23"/>
      <c r="FW170" s="23"/>
      <c r="FX170" s="23"/>
      <c r="FY170" s="23"/>
      <c r="FZ170" s="23"/>
      <c r="GA170" s="23"/>
      <c r="GB170" s="23"/>
      <c r="GC170" s="23"/>
      <c r="GD170" s="23"/>
      <c r="GE170" s="23"/>
      <c r="GF170" s="23"/>
      <c r="GG170" s="23"/>
      <c r="GH170" s="23"/>
      <c r="GI170" s="23"/>
      <c r="GJ170" s="23"/>
      <c r="GK170" s="23"/>
      <c r="GL170" s="23"/>
    </row>
    <row r="171" spans="1:194" ht="13">
      <c r="A171" s="23"/>
      <c r="B171" s="23"/>
      <c r="C171" s="23"/>
      <c r="D171" s="23"/>
      <c r="E171" s="23"/>
      <c r="F171" s="23"/>
      <c r="G171" s="23"/>
      <c r="H171" s="401"/>
      <c r="I171" s="401"/>
      <c r="J171" s="401"/>
      <c r="K171" s="401"/>
      <c r="L171" s="401"/>
      <c r="M171" s="438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  <c r="BN171" s="23"/>
      <c r="BO171" s="23"/>
      <c r="BP171" s="23"/>
      <c r="BQ171" s="23"/>
      <c r="BR171" s="23"/>
      <c r="BS171" s="23"/>
      <c r="BT171" s="23"/>
      <c r="BU171" s="23"/>
      <c r="BV171" s="23"/>
      <c r="BW171" s="23"/>
      <c r="BX171" s="23"/>
      <c r="BY171" s="23"/>
      <c r="BZ171" s="23"/>
      <c r="CA171" s="23"/>
      <c r="CB171" s="23"/>
      <c r="CC171" s="23"/>
      <c r="CD171" s="23"/>
      <c r="CE171" s="23"/>
      <c r="CF171" s="23"/>
      <c r="CG171" s="23"/>
      <c r="CH171" s="23"/>
      <c r="CI171" s="23"/>
      <c r="CJ171" s="23"/>
      <c r="CK171" s="23"/>
      <c r="CL171" s="23"/>
      <c r="CM171" s="23"/>
      <c r="CN171" s="23"/>
      <c r="CO171" s="23"/>
      <c r="CP171" s="23"/>
      <c r="CQ171" s="23"/>
      <c r="CR171" s="23"/>
      <c r="CS171" s="23"/>
      <c r="CT171" s="23"/>
      <c r="CU171" s="23"/>
      <c r="CV171" s="23"/>
      <c r="CW171" s="23"/>
      <c r="CX171" s="23"/>
      <c r="CY171" s="23"/>
      <c r="CZ171" s="23"/>
      <c r="DA171" s="23"/>
      <c r="DB171" s="23"/>
      <c r="DC171" s="23"/>
      <c r="DD171" s="23"/>
      <c r="DE171" s="23"/>
      <c r="DF171" s="23"/>
      <c r="DG171" s="23"/>
      <c r="DH171" s="23"/>
      <c r="DI171" s="23"/>
      <c r="DJ171" s="23"/>
      <c r="DK171" s="23"/>
      <c r="DL171" s="23"/>
      <c r="DM171" s="23"/>
      <c r="DN171" s="23"/>
      <c r="DO171" s="23"/>
      <c r="DP171" s="23"/>
      <c r="DQ171" s="23"/>
      <c r="DR171" s="23"/>
      <c r="DS171" s="23"/>
      <c r="DT171" s="23"/>
      <c r="DU171" s="23"/>
      <c r="DV171" s="23"/>
      <c r="DW171" s="23"/>
      <c r="DX171" s="23"/>
      <c r="DY171" s="23"/>
      <c r="DZ171" s="23"/>
      <c r="EA171" s="23"/>
      <c r="EB171" s="23"/>
      <c r="EC171" s="23"/>
      <c r="ED171" s="23"/>
      <c r="EE171" s="23"/>
      <c r="EF171" s="23"/>
      <c r="EG171" s="23"/>
      <c r="EH171" s="23"/>
      <c r="EI171" s="23"/>
      <c r="EJ171" s="23"/>
      <c r="EK171" s="23"/>
      <c r="EL171" s="23"/>
      <c r="EM171" s="23"/>
      <c r="EN171" s="23"/>
      <c r="EO171" s="23"/>
      <c r="EP171" s="23"/>
      <c r="EQ171" s="23"/>
      <c r="ER171" s="23"/>
      <c r="ES171" s="23"/>
      <c r="ET171" s="23"/>
      <c r="EU171" s="23"/>
      <c r="EV171" s="23"/>
      <c r="EW171" s="23"/>
      <c r="EX171" s="23"/>
      <c r="EY171" s="23"/>
      <c r="EZ171" s="23"/>
      <c r="FA171" s="23"/>
      <c r="FB171" s="23"/>
      <c r="FC171" s="23"/>
      <c r="FD171" s="23"/>
      <c r="FE171" s="23"/>
      <c r="FF171" s="23"/>
      <c r="FG171" s="23"/>
      <c r="FH171" s="23"/>
      <c r="FI171" s="23"/>
      <c r="FJ171" s="23"/>
      <c r="FK171" s="23"/>
      <c r="FL171" s="23"/>
      <c r="FM171" s="23"/>
      <c r="FN171" s="23"/>
      <c r="FO171" s="23"/>
      <c r="FP171" s="23"/>
      <c r="FQ171" s="23"/>
      <c r="FR171" s="23"/>
      <c r="FS171" s="23"/>
      <c r="FT171" s="23"/>
      <c r="FU171" s="23"/>
      <c r="FV171" s="23"/>
      <c r="FW171" s="23"/>
      <c r="FX171" s="23"/>
      <c r="FY171" s="23"/>
      <c r="FZ171" s="23"/>
      <c r="GA171" s="23"/>
      <c r="GB171" s="23"/>
      <c r="GC171" s="23"/>
      <c r="GD171" s="23"/>
      <c r="GE171" s="23"/>
      <c r="GF171" s="23"/>
      <c r="GG171" s="23"/>
      <c r="GH171" s="23"/>
      <c r="GI171" s="23"/>
      <c r="GJ171" s="23"/>
      <c r="GK171" s="23"/>
      <c r="GL171" s="23"/>
    </row>
    <row r="172" spans="1:194" ht="13">
      <c r="A172" s="23"/>
      <c r="B172" s="23"/>
      <c r="C172" s="23"/>
      <c r="D172" s="23"/>
      <c r="E172" s="23"/>
      <c r="F172" s="23"/>
      <c r="G172" s="23"/>
      <c r="H172" s="401"/>
      <c r="I172" s="401"/>
      <c r="J172" s="401"/>
      <c r="K172" s="401"/>
      <c r="L172" s="401"/>
      <c r="M172" s="438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  <c r="BL172" s="23"/>
      <c r="BM172" s="23"/>
      <c r="BN172" s="23"/>
      <c r="BO172" s="23"/>
      <c r="BP172" s="23"/>
      <c r="BQ172" s="23"/>
      <c r="BR172" s="23"/>
      <c r="BS172" s="23"/>
      <c r="BT172" s="23"/>
      <c r="BU172" s="23"/>
      <c r="BV172" s="23"/>
      <c r="BW172" s="23"/>
      <c r="BX172" s="23"/>
      <c r="BY172" s="23"/>
      <c r="BZ172" s="23"/>
      <c r="CA172" s="23"/>
      <c r="CB172" s="23"/>
      <c r="CC172" s="23"/>
      <c r="CD172" s="23"/>
      <c r="CE172" s="23"/>
      <c r="CF172" s="23"/>
      <c r="CG172" s="23"/>
      <c r="CH172" s="23"/>
      <c r="CI172" s="23"/>
      <c r="CJ172" s="23"/>
      <c r="CK172" s="23"/>
      <c r="CL172" s="23"/>
      <c r="CM172" s="23"/>
      <c r="CN172" s="23"/>
      <c r="CO172" s="23"/>
      <c r="CP172" s="23"/>
      <c r="CQ172" s="23"/>
      <c r="CR172" s="23"/>
      <c r="CS172" s="23"/>
      <c r="CT172" s="23"/>
      <c r="CU172" s="23"/>
      <c r="CV172" s="23"/>
      <c r="CW172" s="23"/>
      <c r="CX172" s="23"/>
      <c r="CY172" s="23"/>
      <c r="CZ172" s="23"/>
      <c r="DA172" s="23"/>
      <c r="DB172" s="23"/>
      <c r="DC172" s="23"/>
      <c r="DD172" s="23"/>
      <c r="DE172" s="23"/>
      <c r="DF172" s="23"/>
      <c r="DG172" s="23"/>
      <c r="DH172" s="23"/>
      <c r="DI172" s="23"/>
      <c r="DJ172" s="23"/>
      <c r="DK172" s="23"/>
      <c r="DL172" s="23"/>
      <c r="DM172" s="23"/>
      <c r="DN172" s="23"/>
      <c r="DO172" s="23"/>
      <c r="DP172" s="23"/>
      <c r="DQ172" s="23"/>
      <c r="DR172" s="23"/>
      <c r="DS172" s="23"/>
      <c r="DT172" s="23"/>
      <c r="DU172" s="23"/>
      <c r="DV172" s="23"/>
      <c r="DW172" s="23"/>
      <c r="DX172" s="23"/>
      <c r="DY172" s="23"/>
      <c r="DZ172" s="23"/>
      <c r="EA172" s="23"/>
      <c r="EB172" s="23"/>
      <c r="EC172" s="23"/>
      <c r="ED172" s="23"/>
      <c r="EE172" s="23"/>
      <c r="EF172" s="23"/>
      <c r="EG172" s="23"/>
      <c r="EH172" s="23"/>
      <c r="EI172" s="23"/>
      <c r="EJ172" s="23"/>
      <c r="EK172" s="23"/>
      <c r="EL172" s="23"/>
      <c r="EM172" s="23"/>
      <c r="EN172" s="23"/>
      <c r="EO172" s="23"/>
      <c r="EP172" s="23"/>
      <c r="EQ172" s="23"/>
      <c r="ER172" s="23"/>
      <c r="ES172" s="23"/>
      <c r="ET172" s="23"/>
      <c r="EU172" s="23"/>
      <c r="EV172" s="23"/>
      <c r="EW172" s="23"/>
      <c r="EX172" s="23"/>
      <c r="EY172" s="23"/>
      <c r="EZ172" s="23"/>
      <c r="FA172" s="23"/>
      <c r="FB172" s="23"/>
      <c r="FC172" s="23"/>
      <c r="FD172" s="23"/>
      <c r="FE172" s="23"/>
      <c r="FF172" s="23"/>
      <c r="FG172" s="23"/>
      <c r="FH172" s="23"/>
      <c r="FI172" s="23"/>
      <c r="FJ172" s="23"/>
      <c r="FK172" s="23"/>
      <c r="FL172" s="23"/>
      <c r="FM172" s="23"/>
      <c r="FN172" s="23"/>
      <c r="FO172" s="23"/>
      <c r="FP172" s="23"/>
      <c r="FQ172" s="23"/>
      <c r="FR172" s="23"/>
      <c r="FS172" s="23"/>
      <c r="FT172" s="23"/>
      <c r="FU172" s="23"/>
      <c r="FV172" s="23"/>
      <c r="FW172" s="23"/>
      <c r="FX172" s="23"/>
      <c r="FY172" s="23"/>
      <c r="FZ172" s="23"/>
      <c r="GA172" s="23"/>
      <c r="GB172" s="23"/>
      <c r="GC172" s="23"/>
      <c r="GD172" s="23"/>
      <c r="GE172" s="23"/>
      <c r="GF172" s="23"/>
      <c r="GG172" s="23"/>
      <c r="GH172" s="23"/>
      <c r="GI172" s="23"/>
      <c r="GJ172" s="23"/>
      <c r="GK172" s="23"/>
      <c r="GL172" s="23"/>
    </row>
    <row r="173" spans="1:194" ht="13">
      <c r="A173" s="23"/>
      <c r="B173" s="23"/>
      <c r="C173" s="23"/>
      <c r="D173" s="23"/>
      <c r="E173" s="23"/>
      <c r="F173" s="23"/>
      <c r="G173" s="23"/>
      <c r="H173" s="401"/>
      <c r="I173" s="401"/>
      <c r="J173" s="401"/>
      <c r="K173" s="401"/>
      <c r="L173" s="401"/>
      <c r="M173" s="438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  <c r="BL173" s="23"/>
      <c r="BM173" s="23"/>
      <c r="BN173" s="23"/>
      <c r="BO173" s="23"/>
      <c r="BP173" s="23"/>
      <c r="BQ173" s="23"/>
      <c r="BR173" s="23"/>
      <c r="BS173" s="23"/>
      <c r="BT173" s="23"/>
      <c r="BU173" s="23"/>
      <c r="BV173" s="23"/>
      <c r="BW173" s="23"/>
      <c r="BX173" s="23"/>
      <c r="BY173" s="23"/>
      <c r="BZ173" s="23"/>
      <c r="CA173" s="23"/>
      <c r="CB173" s="23"/>
      <c r="CC173" s="23"/>
      <c r="CD173" s="23"/>
      <c r="CE173" s="23"/>
      <c r="CF173" s="23"/>
      <c r="CG173" s="23"/>
      <c r="CH173" s="23"/>
      <c r="CI173" s="23"/>
      <c r="CJ173" s="23"/>
      <c r="CK173" s="23"/>
      <c r="CL173" s="23"/>
      <c r="CM173" s="23"/>
      <c r="CN173" s="23"/>
      <c r="CO173" s="23"/>
      <c r="CP173" s="23"/>
      <c r="CQ173" s="23"/>
      <c r="CR173" s="23"/>
      <c r="CS173" s="23"/>
      <c r="CT173" s="23"/>
      <c r="CU173" s="23"/>
      <c r="CV173" s="23"/>
      <c r="CW173" s="23"/>
      <c r="CX173" s="23"/>
      <c r="CY173" s="23"/>
      <c r="CZ173" s="23"/>
      <c r="DA173" s="23"/>
      <c r="DB173" s="23"/>
      <c r="DC173" s="23"/>
      <c r="DD173" s="23"/>
      <c r="DE173" s="23"/>
      <c r="DF173" s="23"/>
      <c r="DG173" s="23"/>
      <c r="DH173" s="23"/>
      <c r="DI173" s="23"/>
      <c r="DJ173" s="23"/>
      <c r="DK173" s="23"/>
      <c r="DL173" s="23"/>
      <c r="DM173" s="23"/>
      <c r="DN173" s="23"/>
      <c r="DO173" s="23"/>
      <c r="DP173" s="23"/>
      <c r="DQ173" s="23"/>
      <c r="DR173" s="23"/>
      <c r="DS173" s="23"/>
      <c r="DT173" s="23"/>
      <c r="DU173" s="23"/>
      <c r="DV173" s="23"/>
      <c r="DW173" s="23"/>
      <c r="DX173" s="23"/>
      <c r="DY173" s="23"/>
      <c r="DZ173" s="23"/>
      <c r="EA173" s="23"/>
      <c r="EB173" s="23"/>
      <c r="EC173" s="23"/>
      <c r="ED173" s="23"/>
      <c r="EE173" s="23"/>
      <c r="EF173" s="23"/>
      <c r="EG173" s="23"/>
      <c r="EH173" s="23"/>
      <c r="EI173" s="23"/>
      <c r="EJ173" s="23"/>
      <c r="EK173" s="23"/>
      <c r="EL173" s="23"/>
      <c r="EM173" s="23"/>
      <c r="EN173" s="23"/>
      <c r="EO173" s="23"/>
      <c r="EP173" s="23"/>
      <c r="EQ173" s="23"/>
      <c r="ER173" s="23"/>
      <c r="ES173" s="23"/>
      <c r="ET173" s="23"/>
      <c r="EU173" s="23"/>
      <c r="EV173" s="23"/>
      <c r="EW173" s="23"/>
      <c r="EX173" s="23"/>
      <c r="EY173" s="23"/>
      <c r="EZ173" s="23"/>
      <c r="FA173" s="23"/>
      <c r="FB173" s="23"/>
      <c r="FC173" s="23"/>
      <c r="FD173" s="23"/>
      <c r="FE173" s="23"/>
      <c r="FF173" s="23"/>
      <c r="FG173" s="23"/>
      <c r="FH173" s="23"/>
      <c r="FI173" s="23"/>
      <c r="FJ173" s="23"/>
      <c r="FK173" s="23"/>
      <c r="FL173" s="23"/>
      <c r="FM173" s="23"/>
      <c r="FN173" s="23"/>
      <c r="FO173" s="23"/>
      <c r="FP173" s="23"/>
      <c r="FQ173" s="23"/>
      <c r="FR173" s="23"/>
      <c r="FS173" s="23"/>
      <c r="FT173" s="23"/>
      <c r="FU173" s="23"/>
      <c r="FV173" s="23"/>
      <c r="FW173" s="23"/>
      <c r="FX173" s="23"/>
      <c r="FY173" s="23"/>
      <c r="FZ173" s="23"/>
      <c r="GA173" s="23"/>
      <c r="GB173" s="23"/>
      <c r="GC173" s="23"/>
      <c r="GD173" s="23"/>
      <c r="GE173" s="23"/>
      <c r="GF173" s="23"/>
      <c r="GG173" s="23"/>
      <c r="GH173" s="23"/>
      <c r="GI173" s="23"/>
      <c r="GJ173" s="23"/>
      <c r="GK173" s="23"/>
      <c r="GL173" s="23"/>
    </row>
    <row r="174" spans="1:194" ht="13">
      <c r="A174" s="23"/>
      <c r="B174" s="23"/>
      <c r="C174" s="23"/>
      <c r="D174" s="23"/>
      <c r="E174" s="23"/>
      <c r="F174" s="23"/>
      <c r="G174" s="23"/>
      <c r="H174" s="401"/>
      <c r="I174" s="401"/>
      <c r="J174" s="401"/>
      <c r="K174" s="401"/>
      <c r="L174" s="401"/>
      <c r="M174" s="438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  <c r="BL174" s="23"/>
      <c r="BM174" s="23"/>
      <c r="BN174" s="23"/>
      <c r="BO174" s="23"/>
      <c r="BP174" s="23"/>
      <c r="BQ174" s="23"/>
      <c r="BR174" s="23"/>
      <c r="BS174" s="23"/>
      <c r="BT174" s="23"/>
      <c r="BU174" s="23"/>
      <c r="BV174" s="23"/>
      <c r="BW174" s="23"/>
      <c r="BX174" s="23"/>
      <c r="BY174" s="23"/>
      <c r="BZ174" s="23"/>
      <c r="CA174" s="23"/>
      <c r="CB174" s="23"/>
      <c r="CC174" s="23"/>
      <c r="CD174" s="23"/>
      <c r="CE174" s="23"/>
      <c r="CF174" s="23"/>
      <c r="CG174" s="23"/>
      <c r="CH174" s="23"/>
      <c r="CI174" s="23"/>
      <c r="CJ174" s="23"/>
      <c r="CK174" s="23"/>
      <c r="CL174" s="23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3"/>
      <c r="CY174" s="23"/>
      <c r="CZ174" s="23"/>
      <c r="DA174" s="23"/>
      <c r="DB174" s="23"/>
      <c r="DC174" s="23"/>
      <c r="DD174" s="23"/>
      <c r="DE174" s="23"/>
      <c r="DF174" s="23"/>
      <c r="DG174" s="23"/>
      <c r="DH174" s="23"/>
      <c r="DI174" s="23"/>
      <c r="DJ174" s="23"/>
      <c r="DK174" s="23"/>
      <c r="DL174" s="23"/>
      <c r="DM174" s="23"/>
      <c r="DN174" s="23"/>
      <c r="DO174" s="23"/>
      <c r="DP174" s="23"/>
      <c r="DQ174" s="23"/>
      <c r="DR174" s="23"/>
      <c r="DS174" s="23"/>
      <c r="DT174" s="23"/>
      <c r="DU174" s="23"/>
      <c r="DV174" s="23"/>
      <c r="DW174" s="23"/>
      <c r="DX174" s="23"/>
      <c r="DY174" s="23"/>
      <c r="DZ174" s="23"/>
      <c r="EA174" s="23"/>
      <c r="EB174" s="23"/>
      <c r="EC174" s="23"/>
      <c r="ED174" s="23"/>
      <c r="EE174" s="23"/>
      <c r="EF174" s="23"/>
      <c r="EG174" s="23"/>
      <c r="EH174" s="23"/>
      <c r="EI174" s="23"/>
      <c r="EJ174" s="23"/>
      <c r="EK174" s="23"/>
      <c r="EL174" s="23"/>
      <c r="EM174" s="23"/>
      <c r="EN174" s="23"/>
      <c r="EO174" s="23"/>
      <c r="EP174" s="23"/>
      <c r="EQ174" s="23"/>
      <c r="ER174" s="23"/>
      <c r="ES174" s="23"/>
      <c r="ET174" s="23"/>
      <c r="EU174" s="23"/>
      <c r="EV174" s="23"/>
      <c r="EW174" s="23"/>
      <c r="EX174" s="23"/>
      <c r="EY174" s="23"/>
      <c r="EZ174" s="23"/>
      <c r="FA174" s="23"/>
      <c r="FB174" s="23"/>
      <c r="FC174" s="23"/>
      <c r="FD174" s="23"/>
      <c r="FE174" s="23"/>
      <c r="FF174" s="23"/>
      <c r="FG174" s="23"/>
      <c r="FH174" s="23"/>
      <c r="FI174" s="23"/>
      <c r="FJ174" s="23"/>
      <c r="FK174" s="23"/>
      <c r="FL174" s="23"/>
      <c r="FM174" s="23"/>
      <c r="FN174" s="23"/>
      <c r="FO174" s="23"/>
      <c r="FP174" s="23"/>
      <c r="FQ174" s="23"/>
      <c r="FR174" s="23"/>
      <c r="FS174" s="23"/>
      <c r="FT174" s="23"/>
      <c r="FU174" s="23"/>
      <c r="FV174" s="23"/>
      <c r="FW174" s="23"/>
      <c r="FX174" s="23"/>
      <c r="FY174" s="23"/>
      <c r="FZ174" s="23"/>
      <c r="GA174" s="23"/>
      <c r="GB174" s="23"/>
      <c r="GC174" s="23"/>
      <c r="GD174" s="23"/>
      <c r="GE174" s="23"/>
      <c r="GF174" s="23"/>
      <c r="GG174" s="23"/>
      <c r="GH174" s="23"/>
      <c r="GI174" s="23"/>
      <c r="GJ174" s="23"/>
      <c r="GK174" s="23"/>
      <c r="GL174" s="23"/>
    </row>
    <row r="175" spans="1:194" ht="13">
      <c r="A175" s="23"/>
      <c r="B175" s="23"/>
      <c r="C175" s="23"/>
      <c r="D175" s="23"/>
      <c r="E175" s="23"/>
      <c r="F175" s="23"/>
      <c r="G175" s="23"/>
      <c r="H175" s="401"/>
      <c r="I175" s="401"/>
      <c r="J175" s="401"/>
      <c r="K175" s="401"/>
      <c r="L175" s="401"/>
      <c r="M175" s="438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  <c r="BN175" s="23"/>
      <c r="BO175" s="23"/>
      <c r="BP175" s="23"/>
      <c r="BQ175" s="23"/>
      <c r="BR175" s="23"/>
      <c r="BS175" s="23"/>
      <c r="BT175" s="23"/>
      <c r="BU175" s="23"/>
      <c r="BV175" s="23"/>
      <c r="BW175" s="23"/>
      <c r="BX175" s="23"/>
      <c r="BY175" s="23"/>
      <c r="BZ175" s="23"/>
      <c r="CA175" s="23"/>
      <c r="CB175" s="23"/>
      <c r="CC175" s="23"/>
      <c r="CD175" s="23"/>
      <c r="CE175" s="23"/>
      <c r="CF175" s="23"/>
      <c r="CG175" s="23"/>
      <c r="CH175" s="23"/>
      <c r="CI175" s="23"/>
      <c r="CJ175" s="23"/>
      <c r="CK175" s="23"/>
      <c r="CL175" s="23"/>
      <c r="CM175" s="23"/>
      <c r="CN175" s="23"/>
      <c r="CO175" s="23"/>
      <c r="CP175" s="23"/>
      <c r="CQ175" s="23"/>
      <c r="CR175" s="23"/>
      <c r="CS175" s="23"/>
      <c r="CT175" s="23"/>
      <c r="CU175" s="23"/>
      <c r="CV175" s="23"/>
      <c r="CW175" s="23"/>
      <c r="CX175" s="23"/>
      <c r="CY175" s="23"/>
      <c r="CZ175" s="23"/>
      <c r="DA175" s="23"/>
      <c r="DB175" s="23"/>
      <c r="DC175" s="23"/>
      <c r="DD175" s="23"/>
      <c r="DE175" s="23"/>
      <c r="DF175" s="23"/>
      <c r="DG175" s="23"/>
      <c r="DH175" s="23"/>
      <c r="DI175" s="23"/>
      <c r="DJ175" s="23"/>
      <c r="DK175" s="23"/>
      <c r="DL175" s="23"/>
      <c r="DM175" s="23"/>
      <c r="DN175" s="23"/>
      <c r="DO175" s="23"/>
      <c r="DP175" s="23"/>
      <c r="DQ175" s="23"/>
      <c r="DR175" s="23"/>
      <c r="DS175" s="23"/>
      <c r="DT175" s="23"/>
      <c r="DU175" s="23"/>
      <c r="DV175" s="23"/>
      <c r="DW175" s="23"/>
      <c r="DX175" s="23"/>
      <c r="DY175" s="23"/>
      <c r="DZ175" s="23"/>
      <c r="EA175" s="23"/>
      <c r="EB175" s="23"/>
      <c r="EC175" s="23"/>
      <c r="ED175" s="23"/>
      <c r="EE175" s="23"/>
      <c r="EF175" s="23"/>
      <c r="EG175" s="23"/>
      <c r="EH175" s="23"/>
      <c r="EI175" s="23"/>
      <c r="EJ175" s="23"/>
      <c r="EK175" s="23"/>
      <c r="EL175" s="23"/>
      <c r="EM175" s="23"/>
      <c r="EN175" s="23"/>
      <c r="EO175" s="23"/>
      <c r="EP175" s="23"/>
      <c r="EQ175" s="23"/>
      <c r="ER175" s="23"/>
      <c r="ES175" s="23"/>
      <c r="ET175" s="23"/>
      <c r="EU175" s="23"/>
      <c r="EV175" s="23"/>
      <c r="EW175" s="23"/>
      <c r="EX175" s="23"/>
      <c r="EY175" s="23"/>
      <c r="EZ175" s="23"/>
      <c r="FA175" s="23"/>
      <c r="FB175" s="23"/>
      <c r="FC175" s="23"/>
      <c r="FD175" s="23"/>
      <c r="FE175" s="23"/>
      <c r="FF175" s="23"/>
      <c r="FG175" s="23"/>
      <c r="FH175" s="23"/>
      <c r="FI175" s="23"/>
      <c r="FJ175" s="23"/>
      <c r="FK175" s="23"/>
      <c r="FL175" s="23"/>
      <c r="FM175" s="23"/>
      <c r="FN175" s="23"/>
      <c r="FO175" s="23"/>
      <c r="FP175" s="23"/>
      <c r="FQ175" s="23"/>
      <c r="FR175" s="23"/>
      <c r="FS175" s="23"/>
      <c r="FT175" s="23"/>
      <c r="FU175" s="23"/>
      <c r="FV175" s="23"/>
      <c r="FW175" s="23"/>
      <c r="FX175" s="23"/>
      <c r="FY175" s="23"/>
      <c r="FZ175" s="23"/>
      <c r="GA175" s="23"/>
      <c r="GB175" s="23"/>
      <c r="GC175" s="23"/>
      <c r="GD175" s="23"/>
      <c r="GE175" s="23"/>
      <c r="GF175" s="23"/>
      <c r="GG175" s="23"/>
      <c r="GH175" s="23"/>
      <c r="GI175" s="23"/>
      <c r="GJ175" s="23"/>
      <c r="GK175" s="23"/>
      <c r="GL175" s="23"/>
    </row>
    <row r="176" spans="1:194" ht="13">
      <c r="A176" s="23"/>
      <c r="B176" s="23"/>
      <c r="C176" s="23"/>
      <c r="D176" s="23"/>
      <c r="E176" s="23"/>
      <c r="F176" s="23"/>
      <c r="G176" s="23"/>
      <c r="H176" s="401"/>
      <c r="I176" s="401"/>
      <c r="J176" s="401"/>
      <c r="K176" s="401"/>
      <c r="L176" s="401"/>
      <c r="M176" s="438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  <c r="CH176" s="23"/>
      <c r="CI176" s="23"/>
      <c r="CJ176" s="23"/>
      <c r="CK176" s="23"/>
      <c r="CL176" s="23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/>
      <c r="DB176" s="23"/>
      <c r="DC176" s="23"/>
      <c r="DD176" s="23"/>
      <c r="DE176" s="23"/>
      <c r="DF176" s="23"/>
      <c r="DG176" s="23"/>
      <c r="DH176" s="23"/>
      <c r="DI176" s="23"/>
      <c r="DJ176" s="23"/>
      <c r="DK176" s="23"/>
      <c r="DL176" s="23"/>
      <c r="DM176" s="23"/>
      <c r="DN176" s="23"/>
      <c r="DO176" s="23"/>
      <c r="DP176" s="23"/>
      <c r="DQ176" s="23"/>
      <c r="DR176" s="23"/>
      <c r="DS176" s="23"/>
      <c r="DT176" s="23"/>
      <c r="DU176" s="23"/>
      <c r="DV176" s="23"/>
      <c r="DW176" s="23"/>
      <c r="DX176" s="23"/>
      <c r="DY176" s="23"/>
      <c r="DZ176" s="23"/>
      <c r="EA176" s="23"/>
      <c r="EB176" s="23"/>
      <c r="EC176" s="23"/>
      <c r="ED176" s="23"/>
      <c r="EE176" s="23"/>
      <c r="EF176" s="23"/>
      <c r="EG176" s="23"/>
      <c r="EH176" s="23"/>
      <c r="EI176" s="23"/>
      <c r="EJ176" s="23"/>
      <c r="EK176" s="23"/>
      <c r="EL176" s="23"/>
      <c r="EM176" s="23"/>
      <c r="EN176" s="23"/>
      <c r="EO176" s="23"/>
      <c r="EP176" s="23"/>
      <c r="EQ176" s="23"/>
      <c r="ER176" s="23"/>
      <c r="ES176" s="23"/>
      <c r="ET176" s="23"/>
      <c r="EU176" s="23"/>
      <c r="EV176" s="23"/>
      <c r="EW176" s="23"/>
      <c r="EX176" s="23"/>
      <c r="EY176" s="23"/>
      <c r="EZ176" s="23"/>
      <c r="FA176" s="23"/>
      <c r="FB176" s="23"/>
      <c r="FC176" s="23"/>
      <c r="FD176" s="23"/>
      <c r="FE176" s="23"/>
      <c r="FF176" s="23"/>
      <c r="FG176" s="23"/>
      <c r="FH176" s="23"/>
      <c r="FI176" s="23"/>
      <c r="FJ176" s="23"/>
      <c r="FK176" s="23"/>
      <c r="FL176" s="23"/>
      <c r="FM176" s="23"/>
      <c r="FN176" s="23"/>
      <c r="FO176" s="23"/>
      <c r="FP176" s="23"/>
      <c r="FQ176" s="23"/>
      <c r="FR176" s="23"/>
      <c r="FS176" s="23"/>
      <c r="FT176" s="23"/>
      <c r="FU176" s="23"/>
      <c r="FV176" s="23"/>
      <c r="FW176" s="23"/>
      <c r="FX176" s="23"/>
      <c r="FY176" s="23"/>
      <c r="FZ176" s="23"/>
      <c r="GA176" s="23"/>
      <c r="GB176" s="23"/>
      <c r="GC176" s="23"/>
      <c r="GD176" s="23"/>
      <c r="GE176" s="23"/>
      <c r="GF176" s="23"/>
      <c r="GG176" s="23"/>
      <c r="GH176" s="23"/>
      <c r="GI176" s="23"/>
      <c r="GJ176" s="23"/>
      <c r="GK176" s="23"/>
      <c r="GL176" s="23"/>
    </row>
    <row r="177" spans="1:194" ht="13">
      <c r="A177" s="23"/>
      <c r="B177" s="23"/>
      <c r="C177" s="23"/>
      <c r="D177" s="23"/>
      <c r="E177" s="23"/>
      <c r="F177" s="23"/>
      <c r="G177" s="23"/>
      <c r="H177" s="401"/>
      <c r="I177" s="401"/>
      <c r="J177" s="401"/>
      <c r="K177" s="401"/>
      <c r="L177" s="401"/>
      <c r="M177" s="438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  <c r="DL177" s="23"/>
      <c r="DM177" s="23"/>
      <c r="DN177" s="23"/>
      <c r="DO177" s="23"/>
      <c r="DP177" s="23"/>
      <c r="DQ177" s="23"/>
      <c r="DR177" s="23"/>
      <c r="DS177" s="23"/>
      <c r="DT177" s="23"/>
      <c r="DU177" s="23"/>
      <c r="DV177" s="23"/>
      <c r="DW177" s="23"/>
      <c r="DX177" s="23"/>
      <c r="DY177" s="23"/>
      <c r="DZ177" s="23"/>
      <c r="EA177" s="23"/>
      <c r="EB177" s="23"/>
      <c r="EC177" s="23"/>
      <c r="ED177" s="23"/>
      <c r="EE177" s="23"/>
      <c r="EF177" s="23"/>
      <c r="EG177" s="23"/>
      <c r="EH177" s="23"/>
      <c r="EI177" s="23"/>
      <c r="EJ177" s="23"/>
      <c r="EK177" s="23"/>
      <c r="EL177" s="23"/>
      <c r="EM177" s="23"/>
      <c r="EN177" s="23"/>
      <c r="EO177" s="23"/>
      <c r="EP177" s="23"/>
      <c r="EQ177" s="23"/>
      <c r="ER177" s="23"/>
      <c r="ES177" s="23"/>
      <c r="ET177" s="23"/>
      <c r="EU177" s="23"/>
      <c r="EV177" s="23"/>
      <c r="EW177" s="23"/>
      <c r="EX177" s="23"/>
      <c r="EY177" s="23"/>
      <c r="EZ177" s="23"/>
      <c r="FA177" s="23"/>
      <c r="FB177" s="23"/>
      <c r="FC177" s="23"/>
      <c r="FD177" s="23"/>
      <c r="FE177" s="23"/>
      <c r="FF177" s="23"/>
      <c r="FG177" s="23"/>
      <c r="FH177" s="23"/>
      <c r="FI177" s="23"/>
      <c r="FJ177" s="23"/>
      <c r="FK177" s="23"/>
      <c r="FL177" s="23"/>
      <c r="FM177" s="23"/>
      <c r="FN177" s="23"/>
      <c r="FO177" s="23"/>
      <c r="FP177" s="23"/>
      <c r="FQ177" s="23"/>
      <c r="FR177" s="23"/>
      <c r="FS177" s="23"/>
      <c r="FT177" s="23"/>
      <c r="FU177" s="23"/>
      <c r="FV177" s="23"/>
      <c r="FW177" s="23"/>
      <c r="FX177" s="23"/>
      <c r="FY177" s="23"/>
      <c r="FZ177" s="23"/>
      <c r="GA177" s="23"/>
      <c r="GB177" s="23"/>
      <c r="GC177" s="23"/>
      <c r="GD177" s="23"/>
      <c r="GE177" s="23"/>
      <c r="GF177" s="23"/>
      <c r="GG177" s="23"/>
      <c r="GH177" s="23"/>
      <c r="GI177" s="23"/>
      <c r="GJ177" s="23"/>
      <c r="GK177" s="23"/>
      <c r="GL177" s="23"/>
    </row>
    <row r="178" spans="1:194" ht="13">
      <c r="A178" s="23"/>
      <c r="B178" s="23"/>
      <c r="C178" s="23"/>
      <c r="D178" s="23"/>
      <c r="E178" s="23"/>
      <c r="F178" s="23"/>
      <c r="G178" s="23"/>
      <c r="H178" s="401"/>
      <c r="I178" s="401"/>
      <c r="J178" s="401"/>
      <c r="K178" s="401"/>
      <c r="L178" s="401"/>
      <c r="M178" s="438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/>
      <c r="CW178" s="23"/>
      <c r="CX178" s="23"/>
      <c r="CY178" s="23"/>
      <c r="CZ178" s="23"/>
      <c r="DA178" s="23"/>
      <c r="DB178" s="23"/>
      <c r="DC178" s="23"/>
      <c r="DD178" s="23"/>
      <c r="DE178" s="23"/>
      <c r="DF178" s="23"/>
      <c r="DG178" s="23"/>
      <c r="DH178" s="23"/>
      <c r="DI178" s="23"/>
      <c r="DJ178" s="23"/>
      <c r="DK178" s="23"/>
      <c r="DL178" s="23"/>
      <c r="DM178" s="23"/>
      <c r="DN178" s="23"/>
      <c r="DO178" s="23"/>
      <c r="DP178" s="23"/>
      <c r="DQ178" s="23"/>
      <c r="DR178" s="23"/>
      <c r="DS178" s="23"/>
      <c r="DT178" s="23"/>
      <c r="DU178" s="23"/>
      <c r="DV178" s="23"/>
      <c r="DW178" s="23"/>
      <c r="DX178" s="23"/>
      <c r="DY178" s="23"/>
      <c r="DZ178" s="23"/>
      <c r="EA178" s="23"/>
      <c r="EB178" s="23"/>
      <c r="EC178" s="23"/>
      <c r="ED178" s="23"/>
      <c r="EE178" s="23"/>
      <c r="EF178" s="23"/>
      <c r="EG178" s="23"/>
      <c r="EH178" s="23"/>
      <c r="EI178" s="23"/>
      <c r="EJ178" s="23"/>
      <c r="EK178" s="23"/>
      <c r="EL178" s="23"/>
      <c r="EM178" s="23"/>
      <c r="EN178" s="23"/>
      <c r="EO178" s="23"/>
      <c r="EP178" s="23"/>
      <c r="EQ178" s="23"/>
      <c r="ER178" s="23"/>
      <c r="ES178" s="23"/>
      <c r="ET178" s="23"/>
      <c r="EU178" s="23"/>
      <c r="EV178" s="23"/>
      <c r="EW178" s="23"/>
      <c r="EX178" s="23"/>
      <c r="EY178" s="23"/>
      <c r="EZ178" s="23"/>
      <c r="FA178" s="23"/>
      <c r="FB178" s="23"/>
      <c r="FC178" s="23"/>
      <c r="FD178" s="23"/>
      <c r="FE178" s="23"/>
      <c r="FF178" s="23"/>
      <c r="FG178" s="23"/>
      <c r="FH178" s="23"/>
      <c r="FI178" s="23"/>
      <c r="FJ178" s="23"/>
      <c r="FK178" s="23"/>
      <c r="FL178" s="23"/>
      <c r="FM178" s="23"/>
      <c r="FN178" s="23"/>
      <c r="FO178" s="23"/>
      <c r="FP178" s="23"/>
      <c r="FQ178" s="23"/>
      <c r="FR178" s="23"/>
      <c r="FS178" s="23"/>
      <c r="FT178" s="23"/>
      <c r="FU178" s="23"/>
      <c r="FV178" s="23"/>
      <c r="FW178" s="23"/>
      <c r="FX178" s="23"/>
      <c r="FY178" s="23"/>
      <c r="FZ178" s="23"/>
      <c r="GA178" s="23"/>
      <c r="GB178" s="23"/>
      <c r="GC178" s="23"/>
      <c r="GD178" s="23"/>
      <c r="GE178" s="23"/>
      <c r="GF178" s="23"/>
      <c r="GG178" s="23"/>
      <c r="GH178" s="23"/>
      <c r="GI178" s="23"/>
      <c r="GJ178" s="23"/>
      <c r="GK178" s="23"/>
      <c r="GL178" s="23"/>
    </row>
    <row r="179" spans="1:194" ht="13">
      <c r="A179" s="23"/>
      <c r="B179" s="23"/>
      <c r="C179" s="23"/>
      <c r="D179" s="23"/>
      <c r="E179" s="23"/>
      <c r="F179" s="23"/>
      <c r="G179" s="23"/>
      <c r="H179" s="401"/>
      <c r="I179" s="401"/>
      <c r="J179" s="401"/>
      <c r="K179" s="401"/>
      <c r="L179" s="401"/>
      <c r="M179" s="438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  <c r="CH179" s="23"/>
      <c r="CI179" s="23"/>
      <c r="CJ179" s="23"/>
      <c r="CK179" s="23"/>
      <c r="CL179" s="23"/>
      <c r="CM179" s="23"/>
      <c r="CN179" s="23"/>
      <c r="CO179" s="23"/>
      <c r="CP179" s="23"/>
      <c r="CQ179" s="23"/>
      <c r="CR179" s="23"/>
      <c r="CS179" s="23"/>
      <c r="CT179" s="23"/>
      <c r="CU179" s="23"/>
      <c r="CV179" s="23"/>
      <c r="CW179" s="23"/>
      <c r="CX179" s="23"/>
      <c r="CY179" s="23"/>
      <c r="CZ179" s="23"/>
      <c r="DA179" s="23"/>
      <c r="DB179" s="23"/>
      <c r="DC179" s="23"/>
      <c r="DD179" s="23"/>
      <c r="DE179" s="23"/>
      <c r="DF179" s="23"/>
      <c r="DG179" s="23"/>
      <c r="DH179" s="23"/>
      <c r="DI179" s="23"/>
      <c r="DJ179" s="23"/>
      <c r="DK179" s="23"/>
      <c r="DL179" s="23"/>
      <c r="DM179" s="23"/>
      <c r="DN179" s="23"/>
      <c r="DO179" s="23"/>
      <c r="DP179" s="23"/>
      <c r="DQ179" s="23"/>
      <c r="DR179" s="23"/>
      <c r="DS179" s="23"/>
      <c r="DT179" s="23"/>
      <c r="DU179" s="23"/>
      <c r="DV179" s="23"/>
      <c r="DW179" s="23"/>
      <c r="DX179" s="23"/>
      <c r="DY179" s="23"/>
      <c r="DZ179" s="23"/>
      <c r="EA179" s="23"/>
      <c r="EB179" s="23"/>
      <c r="EC179" s="23"/>
      <c r="ED179" s="23"/>
      <c r="EE179" s="23"/>
      <c r="EF179" s="23"/>
      <c r="EG179" s="23"/>
      <c r="EH179" s="23"/>
      <c r="EI179" s="23"/>
      <c r="EJ179" s="23"/>
      <c r="EK179" s="23"/>
      <c r="EL179" s="23"/>
      <c r="EM179" s="23"/>
      <c r="EN179" s="23"/>
      <c r="EO179" s="23"/>
      <c r="EP179" s="23"/>
      <c r="EQ179" s="23"/>
      <c r="ER179" s="23"/>
      <c r="ES179" s="23"/>
      <c r="ET179" s="23"/>
      <c r="EU179" s="23"/>
      <c r="EV179" s="23"/>
      <c r="EW179" s="23"/>
      <c r="EX179" s="23"/>
      <c r="EY179" s="23"/>
      <c r="EZ179" s="23"/>
      <c r="FA179" s="23"/>
      <c r="FB179" s="23"/>
      <c r="FC179" s="23"/>
      <c r="FD179" s="23"/>
      <c r="FE179" s="23"/>
      <c r="FF179" s="23"/>
      <c r="FG179" s="23"/>
      <c r="FH179" s="23"/>
      <c r="FI179" s="23"/>
      <c r="FJ179" s="23"/>
      <c r="FK179" s="23"/>
      <c r="FL179" s="23"/>
      <c r="FM179" s="23"/>
      <c r="FN179" s="23"/>
      <c r="FO179" s="23"/>
      <c r="FP179" s="23"/>
      <c r="FQ179" s="23"/>
      <c r="FR179" s="23"/>
      <c r="FS179" s="23"/>
      <c r="FT179" s="23"/>
      <c r="FU179" s="23"/>
      <c r="FV179" s="23"/>
      <c r="FW179" s="23"/>
      <c r="FX179" s="23"/>
      <c r="FY179" s="23"/>
      <c r="FZ179" s="23"/>
      <c r="GA179" s="23"/>
      <c r="GB179" s="23"/>
      <c r="GC179" s="23"/>
      <c r="GD179" s="23"/>
      <c r="GE179" s="23"/>
      <c r="GF179" s="23"/>
      <c r="GG179" s="23"/>
      <c r="GH179" s="23"/>
      <c r="GI179" s="23"/>
      <c r="GJ179" s="23"/>
      <c r="GK179" s="23"/>
      <c r="GL179" s="23"/>
    </row>
    <row r="180" spans="1:194" ht="13">
      <c r="A180" s="23"/>
      <c r="B180" s="23"/>
      <c r="C180" s="23"/>
      <c r="D180" s="23"/>
      <c r="E180" s="23"/>
      <c r="F180" s="23"/>
      <c r="G180" s="23"/>
      <c r="H180" s="401"/>
      <c r="I180" s="401"/>
      <c r="J180" s="401"/>
      <c r="K180" s="401"/>
      <c r="L180" s="401"/>
      <c r="M180" s="438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  <c r="BN180" s="23"/>
      <c r="BO180" s="23"/>
      <c r="BP180" s="23"/>
      <c r="BQ180" s="23"/>
      <c r="BR180" s="23"/>
      <c r="BS180" s="23"/>
      <c r="BT180" s="23"/>
      <c r="BU180" s="23"/>
      <c r="BV180" s="23"/>
      <c r="BW180" s="23"/>
      <c r="BX180" s="23"/>
      <c r="BY180" s="23"/>
      <c r="BZ180" s="23"/>
      <c r="CA180" s="23"/>
      <c r="CB180" s="23"/>
      <c r="CC180" s="23"/>
      <c r="CD180" s="23"/>
      <c r="CE180" s="23"/>
      <c r="CF180" s="23"/>
      <c r="CG180" s="23"/>
      <c r="CH180" s="23"/>
      <c r="CI180" s="23"/>
      <c r="CJ180" s="23"/>
      <c r="CK180" s="23"/>
      <c r="CL180" s="23"/>
      <c r="CM180" s="23"/>
      <c r="CN180" s="23"/>
      <c r="CO180" s="23"/>
      <c r="CP180" s="23"/>
      <c r="CQ180" s="23"/>
      <c r="CR180" s="23"/>
      <c r="CS180" s="23"/>
      <c r="CT180" s="23"/>
      <c r="CU180" s="23"/>
      <c r="CV180" s="23"/>
      <c r="CW180" s="23"/>
      <c r="CX180" s="23"/>
      <c r="CY180" s="23"/>
      <c r="CZ180" s="23"/>
      <c r="DA180" s="23"/>
      <c r="DB180" s="23"/>
      <c r="DC180" s="23"/>
      <c r="DD180" s="23"/>
      <c r="DE180" s="23"/>
      <c r="DF180" s="23"/>
      <c r="DG180" s="23"/>
      <c r="DH180" s="23"/>
      <c r="DI180" s="23"/>
      <c r="DJ180" s="23"/>
      <c r="DK180" s="23"/>
      <c r="DL180" s="23"/>
      <c r="DM180" s="23"/>
      <c r="DN180" s="23"/>
      <c r="DO180" s="23"/>
      <c r="DP180" s="23"/>
      <c r="DQ180" s="23"/>
      <c r="DR180" s="23"/>
      <c r="DS180" s="23"/>
      <c r="DT180" s="23"/>
      <c r="DU180" s="23"/>
      <c r="DV180" s="23"/>
      <c r="DW180" s="23"/>
      <c r="DX180" s="23"/>
      <c r="DY180" s="23"/>
      <c r="DZ180" s="23"/>
      <c r="EA180" s="23"/>
      <c r="EB180" s="23"/>
      <c r="EC180" s="23"/>
      <c r="ED180" s="23"/>
      <c r="EE180" s="23"/>
      <c r="EF180" s="23"/>
      <c r="EG180" s="23"/>
      <c r="EH180" s="23"/>
      <c r="EI180" s="23"/>
      <c r="EJ180" s="23"/>
      <c r="EK180" s="23"/>
      <c r="EL180" s="23"/>
      <c r="EM180" s="23"/>
      <c r="EN180" s="23"/>
      <c r="EO180" s="23"/>
      <c r="EP180" s="23"/>
      <c r="EQ180" s="23"/>
      <c r="ER180" s="23"/>
      <c r="ES180" s="23"/>
      <c r="ET180" s="23"/>
      <c r="EU180" s="23"/>
      <c r="EV180" s="23"/>
      <c r="EW180" s="23"/>
      <c r="EX180" s="23"/>
      <c r="EY180" s="23"/>
      <c r="EZ180" s="23"/>
      <c r="FA180" s="23"/>
      <c r="FB180" s="23"/>
      <c r="FC180" s="23"/>
      <c r="FD180" s="23"/>
      <c r="FE180" s="23"/>
      <c r="FF180" s="23"/>
      <c r="FG180" s="23"/>
      <c r="FH180" s="23"/>
      <c r="FI180" s="23"/>
      <c r="FJ180" s="23"/>
      <c r="FK180" s="23"/>
      <c r="FL180" s="23"/>
      <c r="FM180" s="23"/>
      <c r="FN180" s="23"/>
      <c r="FO180" s="23"/>
      <c r="FP180" s="23"/>
      <c r="FQ180" s="23"/>
      <c r="FR180" s="23"/>
      <c r="FS180" s="23"/>
      <c r="FT180" s="23"/>
      <c r="FU180" s="23"/>
      <c r="FV180" s="23"/>
      <c r="FW180" s="23"/>
      <c r="FX180" s="23"/>
      <c r="FY180" s="23"/>
      <c r="FZ180" s="23"/>
      <c r="GA180" s="23"/>
      <c r="GB180" s="23"/>
      <c r="GC180" s="23"/>
      <c r="GD180" s="23"/>
      <c r="GE180" s="23"/>
      <c r="GF180" s="23"/>
      <c r="GG180" s="23"/>
      <c r="GH180" s="23"/>
      <c r="GI180" s="23"/>
      <c r="GJ180" s="23"/>
      <c r="GK180" s="23"/>
      <c r="GL180" s="23"/>
    </row>
    <row r="181" spans="1:194" ht="13">
      <c r="A181" s="23"/>
      <c r="B181" s="23"/>
      <c r="C181" s="23"/>
      <c r="D181" s="23"/>
      <c r="E181" s="23"/>
      <c r="F181" s="23"/>
      <c r="G181" s="23"/>
      <c r="H181" s="401"/>
      <c r="I181" s="401"/>
      <c r="J181" s="401"/>
      <c r="K181" s="401"/>
      <c r="L181" s="401"/>
      <c r="M181" s="438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H181" s="23"/>
      <c r="DI181" s="23"/>
      <c r="DJ181" s="23"/>
      <c r="DK181" s="23"/>
      <c r="DL181" s="23"/>
      <c r="DM181" s="23"/>
      <c r="DN181" s="23"/>
      <c r="DO181" s="23"/>
      <c r="DP181" s="23"/>
      <c r="DQ181" s="23"/>
      <c r="DR181" s="23"/>
      <c r="DS181" s="23"/>
      <c r="DT181" s="23"/>
      <c r="DU181" s="23"/>
      <c r="DV181" s="23"/>
      <c r="DW181" s="23"/>
      <c r="DX181" s="23"/>
      <c r="DY181" s="23"/>
      <c r="DZ181" s="23"/>
      <c r="EA181" s="23"/>
      <c r="EB181" s="23"/>
      <c r="EC181" s="23"/>
      <c r="ED181" s="23"/>
      <c r="EE181" s="23"/>
      <c r="EF181" s="23"/>
      <c r="EG181" s="23"/>
      <c r="EH181" s="23"/>
      <c r="EI181" s="23"/>
      <c r="EJ181" s="23"/>
      <c r="EK181" s="23"/>
      <c r="EL181" s="23"/>
      <c r="EM181" s="23"/>
      <c r="EN181" s="23"/>
      <c r="EO181" s="23"/>
      <c r="EP181" s="23"/>
      <c r="EQ181" s="23"/>
      <c r="ER181" s="23"/>
      <c r="ES181" s="23"/>
      <c r="ET181" s="23"/>
      <c r="EU181" s="23"/>
      <c r="EV181" s="23"/>
      <c r="EW181" s="23"/>
      <c r="EX181" s="23"/>
      <c r="EY181" s="23"/>
      <c r="EZ181" s="23"/>
      <c r="FA181" s="23"/>
      <c r="FB181" s="23"/>
      <c r="FC181" s="23"/>
      <c r="FD181" s="23"/>
      <c r="FE181" s="23"/>
      <c r="FF181" s="23"/>
      <c r="FG181" s="23"/>
      <c r="FH181" s="23"/>
      <c r="FI181" s="23"/>
      <c r="FJ181" s="23"/>
      <c r="FK181" s="23"/>
      <c r="FL181" s="23"/>
      <c r="FM181" s="23"/>
      <c r="FN181" s="23"/>
      <c r="FO181" s="23"/>
      <c r="FP181" s="23"/>
      <c r="FQ181" s="23"/>
      <c r="FR181" s="23"/>
      <c r="FS181" s="23"/>
      <c r="FT181" s="23"/>
      <c r="FU181" s="23"/>
      <c r="FV181" s="23"/>
      <c r="FW181" s="23"/>
      <c r="FX181" s="23"/>
      <c r="FY181" s="23"/>
      <c r="FZ181" s="23"/>
      <c r="GA181" s="23"/>
      <c r="GB181" s="23"/>
      <c r="GC181" s="23"/>
      <c r="GD181" s="23"/>
      <c r="GE181" s="23"/>
      <c r="GF181" s="23"/>
      <c r="GG181" s="23"/>
      <c r="GH181" s="23"/>
      <c r="GI181" s="23"/>
      <c r="GJ181" s="23"/>
      <c r="GK181" s="23"/>
      <c r="GL181" s="23"/>
    </row>
    <row r="182" spans="1:194" ht="13">
      <c r="A182" s="23"/>
      <c r="B182" s="23"/>
      <c r="C182" s="23"/>
      <c r="D182" s="23"/>
      <c r="E182" s="23"/>
      <c r="F182" s="23"/>
      <c r="G182" s="23"/>
      <c r="H182" s="401"/>
      <c r="I182" s="401"/>
      <c r="J182" s="401"/>
      <c r="K182" s="401"/>
      <c r="L182" s="401"/>
      <c r="M182" s="438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  <c r="BL182" s="23"/>
      <c r="BM182" s="23"/>
      <c r="BN182" s="23"/>
      <c r="BO182" s="23"/>
      <c r="BP182" s="23"/>
      <c r="BQ182" s="23"/>
      <c r="BR182" s="23"/>
      <c r="BS182" s="23"/>
      <c r="BT182" s="23"/>
      <c r="BU182" s="23"/>
      <c r="BV182" s="23"/>
      <c r="BW182" s="23"/>
      <c r="BX182" s="23"/>
      <c r="BY182" s="23"/>
      <c r="BZ182" s="23"/>
      <c r="CA182" s="23"/>
      <c r="CB182" s="23"/>
      <c r="CC182" s="23"/>
      <c r="CD182" s="23"/>
      <c r="CE182" s="23"/>
      <c r="CF182" s="23"/>
      <c r="CG182" s="23"/>
      <c r="CH182" s="23"/>
      <c r="CI182" s="23"/>
      <c r="CJ182" s="23"/>
      <c r="CK182" s="23"/>
      <c r="CL182" s="23"/>
      <c r="CM182" s="23"/>
      <c r="CN182" s="23"/>
      <c r="CO182" s="23"/>
      <c r="CP182" s="23"/>
      <c r="CQ182" s="23"/>
      <c r="CR182" s="23"/>
      <c r="CS182" s="23"/>
      <c r="CT182" s="23"/>
      <c r="CU182" s="23"/>
      <c r="CV182" s="23"/>
      <c r="CW182" s="23"/>
      <c r="CX182" s="23"/>
      <c r="CY182" s="23"/>
      <c r="CZ182" s="23"/>
      <c r="DA182" s="23"/>
      <c r="DB182" s="23"/>
      <c r="DC182" s="23"/>
      <c r="DD182" s="23"/>
      <c r="DE182" s="23"/>
      <c r="DF182" s="23"/>
      <c r="DG182" s="23"/>
      <c r="DH182" s="23"/>
      <c r="DI182" s="23"/>
      <c r="DJ182" s="23"/>
      <c r="DK182" s="23"/>
      <c r="DL182" s="23"/>
      <c r="DM182" s="23"/>
      <c r="DN182" s="23"/>
      <c r="DO182" s="23"/>
      <c r="DP182" s="23"/>
      <c r="DQ182" s="23"/>
      <c r="DR182" s="23"/>
      <c r="DS182" s="23"/>
      <c r="DT182" s="23"/>
      <c r="DU182" s="23"/>
      <c r="DV182" s="23"/>
      <c r="DW182" s="23"/>
      <c r="DX182" s="23"/>
      <c r="DY182" s="23"/>
      <c r="DZ182" s="23"/>
      <c r="EA182" s="23"/>
      <c r="EB182" s="23"/>
      <c r="EC182" s="23"/>
      <c r="ED182" s="23"/>
      <c r="EE182" s="23"/>
      <c r="EF182" s="23"/>
      <c r="EG182" s="23"/>
      <c r="EH182" s="23"/>
      <c r="EI182" s="23"/>
      <c r="EJ182" s="23"/>
      <c r="EK182" s="23"/>
      <c r="EL182" s="23"/>
      <c r="EM182" s="23"/>
      <c r="EN182" s="23"/>
      <c r="EO182" s="23"/>
      <c r="EP182" s="23"/>
      <c r="EQ182" s="23"/>
      <c r="ER182" s="23"/>
      <c r="ES182" s="23"/>
      <c r="ET182" s="23"/>
      <c r="EU182" s="23"/>
      <c r="EV182" s="23"/>
      <c r="EW182" s="23"/>
      <c r="EX182" s="23"/>
      <c r="EY182" s="23"/>
      <c r="EZ182" s="23"/>
      <c r="FA182" s="23"/>
      <c r="FB182" s="23"/>
      <c r="FC182" s="23"/>
      <c r="FD182" s="23"/>
      <c r="FE182" s="23"/>
      <c r="FF182" s="23"/>
      <c r="FG182" s="23"/>
      <c r="FH182" s="23"/>
      <c r="FI182" s="23"/>
      <c r="FJ182" s="23"/>
      <c r="FK182" s="23"/>
      <c r="FL182" s="23"/>
      <c r="FM182" s="23"/>
      <c r="FN182" s="23"/>
      <c r="FO182" s="23"/>
      <c r="FP182" s="23"/>
      <c r="FQ182" s="23"/>
      <c r="FR182" s="23"/>
      <c r="FS182" s="23"/>
      <c r="FT182" s="23"/>
      <c r="FU182" s="23"/>
      <c r="FV182" s="23"/>
      <c r="FW182" s="23"/>
      <c r="FX182" s="23"/>
      <c r="FY182" s="23"/>
      <c r="FZ182" s="23"/>
      <c r="GA182" s="23"/>
      <c r="GB182" s="23"/>
      <c r="GC182" s="23"/>
      <c r="GD182" s="23"/>
      <c r="GE182" s="23"/>
      <c r="GF182" s="23"/>
      <c r="GG182" s="23"/>
      <c r="GH182" s="23"/>
      <c r="GI182" s="23"/>
      <c r="GJ182" s="23"/>
      <c r="GK182" s="23"/>
      <c r="GL182" s="23"/>
    </row>
    <row r="183" spans="1:194" ht="13">
      <c r="A183" s="23"/>
      <c r="B183" s="23"/>
      <c r="C183" s="23"/>
      <c r="D183" s="23"/>
      <c r="E183" s="23"/>
      <c r="F183" s="23"/>
      <c r="G183" s="23"/>
      <c r="H183" s="401"/>
      <c r="I183" s="401"/>
      <c r="J183" s="401"/>
      <c r="K183" s="401"/>
      <c r="L183" s="401"/>
      <c r="M183" s="438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  <c r="BL183" s="23"/>
      <c r="BM183" s="23"/>
      <c r="BN183" s="23"/>
      <c r="BO183" s="23"/>
      <c r="BP183" s="23"/>
      <c r="BQ183" s="23"/>
      <c r="BR183" s="23"/>
      <c r="BS183" s="23"/>
      <c r="BT183" s="23"/>
      <c r="BU183" s="23"/>
      <c r="BV183" s="23"/>
      <c r="BW183" s="23"/>
      <c r="BX183" s="23"/>
      <c r="BY183" s="23"/>
      <c r="BZ183" s="23"/>
      <c r="CA183" s="23"/>
      <c r="CB183" s="23"/>
      <c r="CC183" s="23"/>
      <c r="CD183" s="23"/>
      <c r="CE183" s="23"/>
      <c r="CF183" s="23"/>
      <c r="CG183" s="23"/>
      <c r="CH183" s="23"/>
      <c r="CI183" s="23"/>
      <c r="CJ183" s="23"/>
      <c r="CK183" s="23"/>
      <c r="CL183" s="23"/>
      <c r="CM183" s="23"/>
      <c r="CN183" s="23"/>
      <c r="CO183" s="23"/>
      <c r="CP183" s="23"/>
      <c r="CQ183" s="23"/>
      <c r="CR183" s="23"/>
      <c r="CS183" s="23"/>
      <c r="CT183" s="23"/>
      <c r="CU183" s="23"/>
      <c r="CV183" s="23"/>
      <c r="CW183" s="23"/>
      <c r="CX183" s="23"/>
      <c r="CY183" s="23"/>
      <c r="CZ183" s="23"/>
      <c r="DA183" s="23"/>
      <c r="DB183" s="23"/>
      <c r="DC183" s="23"/>
      <c r="DD183" s="23"/>
      <c r="DE183" s="23"/>
      <c r="DF183" s="23"/>
      <c r="DG183" s="23"/>
      <c r="DH183" s="23"/>
      <c r="DI183" s="23"/>
      <c r="DJ183" s="23"/>
      <c r="DK183" s="23"/>
      <c r="DL183" s="23"/>
      <c r="DM183" s="23"/>
      <c r="DN183" s="23"/>
      <c r="DO183" s="23"/>
      <c r="DP183" s="23"/>
      <c r="DQ183" s="23"/>
      <c r="DR183" s="23"/>
      <c r="DS183" s="23"/>
      <c r="DT183" s="23"/>
      <c r="DU183" s="23"/>
      <c r="DV183" s="23"/>
      <c r="DW183" s="23"/>
      <c r="DX183" s="23"/>
      <c r="DY183" s="23"/>
      <c r="DZ183" s="23"/>
      <c r="EA183" s="23"/>
      <c r="EB183" s="23"/>
      <c r="EC183" s="23"/>
      <c r="ED183" s="23"/>
      <c r="EE183" s="23"/>
      <c r="EF183" s="23"/>
      <c r="EG183" s="23"/>
      <c r="EH183" s="23"/>
      <c r="EI183" s="23"/>
      <c r="EJ183" s="23"/>
      <c r="EK183" s="23"/>
      <c r="EL183" s="23"/>
      <c r="EM183" s="23"/>
      <c r="EN183" s="23"/>
      <c r="EO183" s="23"/>
      <c r="EP183" s="23"/>
      <c r="EQ183" s="23"/>
      <c r="ER183" s="23"/>
      <c r="ES183" s="23"/>
      <c r="ET183" s="23"/>
      <c r="EU183" s="23"/>
      <c r="EV183" s="23"/>
      <c r="EW183" s="23"/>
      <c r="EX183" s="23"/>
      <c r="EY183" s="23"/>
      <c r="EZ183" s="23"/>
      <c r="FA183" s="23"/>
      <c r="FB183" s="23"/>
      <c r="FC183" s="23"/>
      <c r="FD183" s="23"/>
      <c r="FE183" s="23"/>
      <c r="FF183" s="23"/>
      <c r="FG183" s="23"/>
      <c r="FH183" s="23"/>
      <c r="FI183" s="23"/>
      <c r="FJ183" s="23"/>
      <c r="FK183" s="23"/>
      <c r="FL183" s="23"/>
      <c r="FM183" s="23"/>
      <c r="FN183" s="23"/>
      <c r="FO183" s="23"/>
      <c r="FP183" s="23"/>
      <c r="FQ183" s="23"/>
      <c r="FR183" s="23"/>
      <c r="FS183" s="23"/>
      <c r="FT183" s="23"/>
      <c r="FU183" s="23"/>
      <c r="FV183" s="23"/>
      <c r="FW183" s="23"/>
      <c r="FX183" s="23"/>
      <c r="FY183" s="23"/>
      <c r="FZ183" s="23"/>
      <c r="GA183" s="23"/>
      <c r="GB183" s="23"/>
      <c r="GC183" s="23"/>
      <c r="GD183" s="23"/>
      <c r="GE183" s="23"/>
      <c r="GF183" s="23"/>
      <c r="GG183" s="23"/>
      <c r="GH183" s="23"/>
      <c r="GI183" s="23"/>
      <c r="GJ183" s="23"/>
      <c r="GK183" s="23"/>
      <c r="GL183" s="23"/>
    </row>
    <row r="184" spans="1:194" ht="13">
      <c r="A184" s="23"/>
      <c r="B184" s="23"/>
      <c r="C184" s="23"/>
      <c r="D184" s="23"/>
      <c r="E184" s="23"/>
      <c r="F184" s="23"/>
      <c r="G184" s="23"/>
      <c r="H184" s="401"/>
      <c r="I184" s="401"/>
      <c r="J184" s="401"/>
      <c r="K184" s="401"/>
      <c r="L184" s="401"/>
      <c r="M184" s="438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  <c r="BL184" s="23"/>
      <c r="BM184" s="23"/>
      <c r="BN184" s="23"/>
      <c r="BO184" s="23"/>
      <c r="BP184" s="23"/>
      <c r="BQ184" s="23"/>
      <c r="BR184" s="23"/>
      <c r="BS184" s="23"/>
      <c r="BT184" s="23"/>
      <c r="BU184" s="23"/>
      <c r="BV184" s="23"/>
      <c r="BW184" s="23"/>
      <c r="BX184" s="23"/>
      <c r="BY184" s="23"/>
      <c r="BZ184" s="23"/>
      <c r="CA184" s="23"/>
      <c r="CB184" s="23"/>
      <c r="CC184" s="23"/>
      <c r="CD184" s="23"/>
      <c r="CE184" s="23"/>
      <c r="CF184" s="23"/>
      <c r="CG184" s="23"/>
      <c r="CH184" s="23"/>
      <c r="CI184" s="23"/>
      <c r="CJ184" s="23"/>
      <c r="CK184" s="23"/>
      <c r="CL184" s="23"/>
      <c r="CM184" s="23"/>
      <c r="CN184" s="23"/>
      <c r="CO184" s="23"/>
      <c r="CP184" s="23"/>
      <c r="CQ184" s="23"/>
      <c r="CR184" s="23"/>
      <c r="CS184" s="23"/>
      <c r="CT184" s="23"/>
      <c r="CU184" s="23"/>
      <c r="CV184" s="23"/>
      <c r="CW184" s="23"/>
      <c r="CX184" s="23"/>
      <c r="CY184" s="23"/>
      <c r="CZ184" s="23"/>
      <c r="DA184" s="23"/>
      <c r="DB184" s="23"/>
      <c r="DC184" s="23"/>
      <c r="DD184" s="23"/>
      <c r="DE184" s="23"/>
      <c r="DF184" s="23"/>
      <c r="DG184" s="23"/>
      <c r="DH184" s="23"/>
      <c r="DI184" s="23"/>
      <c r="DJ184" s="23"/>
      <c r="DK184" s="23"/>
      <c r="DL184" s="23"/>
      <c r="DM184" s="23"/>
      <c r="DN184" s="23"/>
      <c r="DO184" s="23"/>
      <c r="DP184" s="23"/>
      <c r="DQ184" s="23"/>
      <c r="DR184" s="23"/>
      <c r="DS184" s="23"/>
      <c r="DT184" s="23"/>
      <c r="DU184" s="23"/>
      <c r="DV184" s="23"/>
      <c r="DW184" s="23"/>
      <c r="DX184" s="23"/>
      <c r="DY184" s="23"/>
      <c r="DZ184" s="23"/>
      <c r="EA184" s="23"/>
      <c r="EB184" s="23"/>
      <c r="EC184" s="23"/>
      <c r="ED184" s="23"/>
      <c r="EE184" s="23"/>
      <c r="EF184" s="23"/>
      <c r="EG184" s="23"/>
      <c r="EH184" s="23"/>
      <c r="EI184" s="23"/>
      <c r="EJ184" s="23"/>
      <c r="EK184" s="23"/>
      <c r="EL184" s="23"/>
      <c r="EM184" s="23"/>
      <c r="EN184" s="23"/>
      <c r="EO184" s="23"/>
      <c r="EP184" s="23"/>
      <c r="EQ184" s="23"/>
      <c r="ER184" s="23"/>
      <c r="ES184" s="23"/>
      <c r="ET184" s="23"/>
      <c r="EU184" s="23"/>
      <c r="EV184" s="23"/>
      <c r="EW184" s="23"/>
      <c r="EX184" s="23"/>
      <c r="EY184" s="23"/>
      <c r="EZ184" s="23"/>
      <c r="FA184" s="23"/>
      <c r="FB184" s="23"/>
      <c r="FC184" s="23"/>
      <c r="FD184" s="23"/>
      <c r="FE184" s="23"/>
      <c r="FF184" s="23"/>
      <c r="FG184" s="23"/>
      <c r="FH184" s="23"/>
      <c r="FI184" s="23"/>
      <c r="FJ184" s="23"/>
      <c r="FK184" s="23"/>
      <c r="FL184" s="23"/>
      <c r="FM184" s="23"/>
      <c r="FN184" s="23"/>
      <c r="FO184" s="23"/>
      <c r="FP184" s="23"/>
      <c r="FQ184" s="23"/>
      <c r="FR184" s="23"/>
      <c r="FS184" s="23"/>
      <c r="FT184" s="23"/>
      <c r="FU184" s="23"/>
      <c r="FV184" s="23"/>
      <c r="FW184" s="23"/>
      <c r="FX184" s="23"/>
      <c r="FY184" s="23"/>
      <c r="FZ184" s="23"/>
      <c r="GA184" s="23"/>
      <c r="GB184" s="23"/>
      <c r="GC184" s="23"/>
      <c r="GD184" s="23"/>
      <c r="GE184" s="23"/>
      <c r="GF184" s="23"/>
      <c r="GG184" s="23"/>
      <c r="GH184" s="23"/>
      <c r="GI184" s="23"/>
      <c r="GJ184" s="23"/>
      <c r="GK184" s="23"/>
      <c r="GL184" s="23"/>
    </row>
    <row r="185" spans="1:194" ht="13">
      <c r="A185" s="23"/>
      <c r="B185" s="23"/>
      <c r="C185" s="23"/>
      <c r="D185" s="23"/>
      <c r="E185" s="23"/>
      <c r="F185" s="23"/>
      <c r="G185" s="23"/>
      <c r="H185" s="401"/>
      <c r="I185" s="401"/>
      <c r="J185" s="401"/>
      <c r="K185" s="401"/>
      <c r="L185" s="401"/>
      <c r="M185" s="438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23"/>
      <c r="DD185" s="23"/>
      <c r="DE185" s="23"/>
      <c r="DF185" s="23"/>
      <c r="DG185" s="23"/>
      <c r="DH185" s="23"/>
      <c r="DI185" s="23"/>
      <c r="DJ185" s="23"/>
      <c r="DK185" s="23"/>
      <c r="DL185" s="23"/>
      <c r="DM185" s="23"/>
      <c r="DN185" s="23"/>
      <c r="DO185" s="23"/>
      <c r="DP185" s="23"/>
      <c r="DQ185" s="23"/>
      <c r="DR185" s="23"/>
      <c r="DS185" s="23"/>
      <c r="DT185" s="23"/>
      <c r="DU185" s="23"/>
      <c r="DV185" s="23"/>
      <c r="DW185" s="23"/>
      <c r="DX185" s="23"/>
      <c r="DY185" s="23"/>
      <c r="DZ185" s="23"/>
      <c r="EA185" s="23"/>
      <c r="EB185" s="23"/>
      <c r="EC185" s="23"/>
      <c r="ED185" s="23"/>
      <c r="EE185" s="23"/>
      <c r="EF185" s="23"/>
      <c r="EG185" s="23"/>
      <c r="EH185" s="23"/>
      <c r="EI185" s="23"/>
      <c r="EJ185" s="23"/>
      <c r="EK185" s="23"/>
      <c r="EL185" s="23"/>
      <c r="EM185" s="23"/>
      <c r="EN185" s="23"/>
      <c r="EO185" s="23"/>
      <c r="EP185" s="23"/>
      <c r="EQ185" s="23"/>
      <c r="ER185" s="23"/>
      <c r="ES185" s="23"/>
      <c r="ET185" s="23"/>
      <c r="EU185" s="23"/>
      <c r="EV185" s="23"/>
      <c r="EW185" s="23"/>
      <c r="EX185" s="23"/>
      <c r="EY185" s="23"/>
      <c r="EZ185" s="23"/>
      <c r="FA185" s="23"/>
      <c r="FB185" s="23"/>
      <c r="FC185" s="23"/>
      <c r="FD185" s="23"/>
      <c r="FE185" s="23"/>
      <c r="FF185" s="23"/>
      <c r="FG185" s="23"/>
      <c r="FH185" s="23"/>
      <c r="FI185" s="23"/>
      <c r="FJ185" s="23"/>
      <c r="FK185" s="23"/>
      <c r="FL185" s="23"/>
      <c r="FM185" s="23"/>
      <c r="FN185" s="23"/>
      <c r="FO185" s="23"/>
      <c r="FP185" s="23"/>
      <c r="FQ185" s="23"/>
      <c r="FR185" s="23"/>
      <c r="FS185" s="23"/>
      <c r="FT185" s="23"/>
      <c r="FU185" s="23"/>
      <c r="FV185" s="23"/>
      <c r="FW185" s="23"/>
      <c r="FX185" s="23"/>
      <c r="FY185" s="23"/>
      <c r="FZ185" s="23"/>
      <c r="GA185" s="23"/>
      <c r="GB185" s="23"/>
      <c r="GC185" s="23"/>
      <c r="GD185" s="23"/>
      <c r="GE185" s="23"/>
      <c r="GF185" s="23"/>
      <c r="GG185" s="23"/>
      <c r="GH185" s="23"/>
      <c r="GI185" s="23"/>
      <c r="GJ185" s="23"/>
      <c r="GK185" s="23"/>
      <c r="GL185" s="23"/>
    </row>
    <row r="186" spans="1:194" ht="13">
      <c r="A186" s="23"/>
      <c r="B186" s="23"/>
      <c r="C186" s="23"/>
      <c r="D186" s="23"/>
      <c r="E186" s="23"/>
      <c r="F186" s="23"/>
      <c r="G186" s="23"/>
      <c r="H186" s="401"/>
      <c r="I186" s="401"/>
      <c r="J186" s="401"/>
      <c r="K186" s="401"/>
      <c r="L186" s="401"/>
      <c r="M186" s="438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H186" s="23"/>
      <c r="DI186" s="23"/>
      <c r="DJ186" s="23"/>
      <c r="DK186" s="23"/>
      <c r="DL186" s="23"/>
      <c r="DM186" s="23"/>
      <c r="DN186" s="23"/>
      <c r="DO186" s="23"/>
      <c r="DP186" s="23"/>
      <c r="DQ186" s="23"/>
      <c r="DR186" s="23"/>
      <c r="DS186" s="23"/>
      <c r="DT186" s="23"/>
      <c r="DU186" s="23"/>
      <c r="DV186" s="23"/>
      <c r="DW186" s="23"/>
      <c r="DX186" s="23"/>
      <c r="DY186" s="23"/>
      <c r="DZ186" s="23"/>
      <c r="EA186" s="23"/>
      <c r="EB186" s="23"/>
      <c r="EC186" s="23"/>
      <c r="ED186" s="23"/>
      <c r="EE186" s="23"/>
      <c r="EF186" s="23"/>
      <c r="EG186" s="23"/>
      <c r="EH186" s="23"/>
      <c r="EI186" s="23"/>
      <c r="EJ186" s="23"/>
      <c r="EK186" s="23"/>
      <c r="EL186" s="23"/>
      <c r="EM186" s="23"/>
      <c r="EN186" s="23"/>
      <c r="EO186" s="23"/>
      <c r="EP186" s="23"/>
      <c r="EQ186" s="23"/>
      <c r="ER186" s="23"/>
      <c r="ES186" s="23"/>
      <c r="ET186" s="23"/>
      <c r="EU186" s="23"/>
      <c r="EV186" s="23"/>
      <c r="EW186" s="23"/>
      <c r="EX186" s="23"/>
      <c r="EY186" s="23"/>
      <c r="EZ186" s="23"/>
      <c r="FA186" s="23"/>
      <c r="FB186" s="23"/>
      <c r="FC186" s="23"/>
      <c r="FD186" s="23"/>
      <c r="FE186" s="23"/>
      <c r="FF186" s="23"/>
      <c r="FG186" s="23"/>
      <c r="FH186" s="23"/>
      <c r="FI186" s="23"/>
      <c r="FJ186" s="23"/>
      <c r="FK186" s="23"/>
      <c r="FL186" s="23"/>
      <c r="FM186" s="23"/>
      <c r="FN186" s="23"/>
      <c r="FO186" s="23"/>
      <c r="FP186" s="23"/>
      <c r="FQ186" s="23"/>
      <c r="FR186" s="23"/>
      <c r="FS186" s="23"/>
      <c r="FT186" s="23"/>
      <c r="FU186" s="23"/>
      <c r="FV186" s="23"/>
      <c r="FW186" s="23"/>
      <c r="FX186" s="23"/>
      <c r="FY186" s="23"/>
      <c r="FZ186" s="23"/>
      <c r="GA186" s="23"/>
      <c r="GB186" s="23"/>
      <c r="GC186" s="23"/>
      <c r="GD186" s="23"/>
      <c r="GE186" s="23"/>
      <c r="GF186" s="23"/>
      <c r="GG186" s="23"/>
      <c r="GH186" s="23"/>
      <c r="GI186" s="23"/>
      <c r="GJ186" s="23"/>
      <c r="GK186" s="23"/>
      <c r="GL186" s="23"/>
    </row>
    <row r="187" spans="1:194" ht="13">
      <c r="A187" s="23"/>
      <c r="B187" s="23"/>
      <c r="C187" s="23"/>
      <c r="D187" s="23"/>
      <c r="E187" s="23"/>
      <c r="F187" s="23"/>
      <c r="G187" s="23"/>
      <c r="H187" s="401"/>
      <c r="I187" s="401"/>
      <c r="J187" s="401"/>
      <c r="K187" s="401"/>
      <c r="L187" s="401"/>
      <c r="M187" s="438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  <c r="DC187" s="23"/>
      <c r="DD187" s="23"/>
      <c r="DE187" s="23"/>
      <c r="DF187" s="23"/>
      <c r="DG187" s="23"/>
      <c r="DH187" s="23"/>
      <c r="DI187" s="23"/>
      <c r="DJ187" s="23"/>
      <c r="DK187" s="23"/>
      <c r="DL187" s="23"/>
      <c r="DM187" s="23"/>
      <c r="DN187" s="23"/>
      <c r="DO187" s="23"/>
      <c r="DP187" s="23"/>
      <c r="DQ187" s="23"/>
      <c r="DR187" s="23"/>
      <c r="DS187" s="23"/>
      <c r="DT187" s="23"/>
      <c r="DU187" s="23"/>
      <c r="DV187" s="23"/>
      <c r="DW187" s="23"/>
      <c r="DX187" s="23"/>
      <c r="DY187" s="23"/>
      <c r="DZ187" s="23"/>
      <c r="EA187" s="23"/>
      <c r="EB187" s="23"/>
      <c r="EC187" s="23"/>
      <c r="ED187" s="23"/>
      <c r="EE187" s="23"/>
      <c r="EF187" s="23"/>
      <c r="EG187" s="23"/>
      <c r="EH187" s="23"/>
      <c r="EI187" s="23"/>
      <c r="EJ187" s="23"/>
      <c r="EK187" s="23"/>
      <c r="EL187" s="23"/>
      <c r="EM187" s="23"/>
      <c r="EN187" s="23"/>
      <c r="EO187" s="23"/>
      <c r="EP187" s="23"/>
      <c r="EQ187" s="23"/>
      <c r="ER187" s="23"/>
      <c r="ES187" s="23"/>
      <c r="ET187" s="23"/>
      <c r="EU187" s="23"/>
      <c r="EV187" s="23"/>
      <c r="EW187" s="23"/>
      <c r="EX187" s="23"/>
      <c r="EY187" s="23"/>
      <c r="EZ187" s="23"/>
      <c r="FA187" s="23"/>
      <c r="FB187" s="23"/>
      <c r="FC187" s="23"/>
      <c r="FD187" s="23"/>
      <c r="FE187" s="23"/>
      <c r="FF187" s="23"/>
      <c r="FG187" s="23"/>
      <c r="FH187" s="23"/>
      <c r="FI187" s="23"/>
      <c r="FJ187" s="23"/>
      <c r="FK187" s="23"/>
      <c r="FL187" s="23"/>
      <c r="FM187" s="23"/>
      <c r="FN187" s="23"/>
      <c r="FO187" s="23"/>
      <c r="FP187" s="23"/>
      <c r="FQ187" s="23"/>
      <c r="FR187" s="23"/>
      <c r="FS187" s="23"/>
      <c r="FT187" s="23"/>
      <c r="FU187" s="23"/>
      <c r="FV187" s="23"/>
      <c r="FW187" s="23"/>
      <c r="FX187" s="23"/>
      <c r="FY187" s="23"/>
      <c r="FZ187" s="23"/>
      <c r="GA187" s="23"/>
      <c r="GB187" s="23"/>
      <c r="GC187" s="23"/>
      <c r="GD187" s="23"/>
      <c r="GE187" s="23"/>
      <c r="GF187" s="23"/>
      <c r="GG187" s="23"/>
      <c r="GH187" s="23"/>
      <c r="GI187" s="23"/>
      <c r="GJ187" s="23"/>
      <c r="GK187" s="23"/>
      <c r="GL187" s="23"/>
    </row>
    <row r="188" spans="1:194" ht="13">
      <c r="A188" s="23"/>
      <c r="B188" s="23"/>
      <c r="C188" s="23"/>
      <c r="D188" s="23"/>
      <c r="E188" s="23"/>
      <c r="F188" s="23"/>
      <c r="G188" s="23"/>
      <c r="H188" s="401"/>
      <c r="I188" s="401"/>
      <c r="J188" s="401"/>
      <c r="K188" s="401"/>
      <c r="L188" s="401"/>
      <c r="M188" s="438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/>
      <c r="DB188" s="23"/>
      <c r="DC188" s="23"/>
      <c r="DD188" s="23"/>
      <c r="DE188" s="23"/>
      <c r="DF188" s="23"/>
      <c r="DG188" s="23"/>
      <c r="DH188" s="23"/>
      <c r="DI188" s="23"/>
      <c r="DJ188" s="23"/>
      <c r="DK188" s="23"/>
      <c r="DL188" s="23"/>
      <c r="DM188" s="23"/>
      <c r="DN188" s="23"/>
      <c r="DO188" s="23"/>
      <c r="DP188" s="23"/>
      <c r="DQ188" s="23"/>
      <c r="DR188" s="23"/>
      <c r="DS188" s="23"/>
      <c r="DT188" s="23"/>
      <c r="DU188" s="23"/>
      <c r="DV188" s="23"/>
      <c r="DW188" s="23"/>
      <c r="DX188" s="23"/>
      <c r="DY188" s="23"/>
      <c r="DZ188" s="23"/>
      <c r="EA188" s="23"/>
      <c r="EB188" s="23"/>
      <c r="EC188" s="23"/>
      <c r="ED188" s="23"/>
      <c r="EE188" s="23"/>
      <c r="EF188" s="23"/>
      <c r="EG188" s="23"/>
      <c r="EH188" s="23"/>
      <c r="EI188" s="23"/>
      <c r="EJ188" s="23"/>
      <c r="EK188" s="23"/>
      <c r="EL188" s="23"/>
      <c r="EM188" s="23"/>
      <c r="EN188" s="23"/>
      <c r="EO188" s="23"/>
      <c r="EP188" s="23"/>
      <c r="EQ188" s="23"/>
      <c r="ER188" s="23"/>
      <c r="ES188" s="23"/>
      <c r="ET188" s="23"/>
      <c r="EU188" s="23"/>
      <c r="EV188" s="23"/>
      <c r="EW188" s="23"/>
      <c r="EX188" s="23"/>
      <c r="EY188" s="23"/>
      <c r="EZ188" s="23"/>
      <c r="FA188" s="23"/>
      <c r="FB188" s="23"/>
      <c r="FC188" s="23"/>
      <c r="FD188" s="23"/>
      <c r="FE188" s="23"/>
      <c r="FF188" s="23"/>
      <c r="FG188" s="23"/>
      <c r="FH188" s="23"/>
      <c r="FI188" s="23"/>
      <c r="FJ188" s="23"/>
      <c r="FK188" s="23"/>
      <c r="FL188" s="23"/>
      <c r="FM188" s="23"/>
      <c r="FN188" s="23"/>
      <c r="FO188" s="23"/>
      <c r="FP188" s="23"/>
      <c r="FQ188" s="23"/>
      <c r="FR188" s="23"/>
      <c r="FS188" s="23"/>
      <c r="FT188" s="23"/>
      <c r="FU188" s="23"/>
      <c r="FV188" s="23"/>
      <c r="FW188" s="23"/>
      <c r="FX188" s="23"/>
      <c r="FY188" s="23"/>
      <c r="FZ188" s="23"/>
      <c r="GA188" s="23"/>
      <c r="GB188" s="23"/>
      <c r="GC188" s="23"/>
      <c r="GD188" s="23"/>
      <c r="GE188" s="23"/>
      <c r="GF188" s="23"/>
      <c r="GG188" s="23"/>
      <c r="GH188" s="23"/>
      <c r="GI188" s="23"/>
      <c r="GJ188" s="23"/>
      <c r="GK188" s="23"/>
      <c r="GL188" s="23"/>
    </row>
    <row r="189" spans="1:194" ht="13">
      <c r="A189" s="23"/>
      <c r="B189" s="23"/>
      <c r="C189" s="23"/>
      <c r="D189" s="23"/>
      <c r="E189" s="23"/>
      <c r="F189" s="23"/>
      <c r="G189" s="23"/>
      <c r="H189" s="401"/>
      <c r="I189" s="401"/>
      <c r="J189" s="401"/>
      <c r="K189" s="401"/>
      <c r="L189" s="401"/>
      <c r="M189" s="438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H189" s="23"/>
      <c r="DI189" s="23"/>
      <c r="DJ189" s="23"/>
      <c r="DK189" s="23"/>
      <c r="DL189" s="23"/>
      <c r="DM189" s="23"/>
      <c r="DN189" s="23"/>
      <c r="DO189" s="23"/>
      <c r="DP189" s="23"/>
      <c r="DQ189" s="23"/>
      <c r="DR189" s="23"/>
      <c r="DS189" s="23"/>
      <c r="DT189" s="23"/>
      <c r="DU189" s="23"/>
      <c r="DV189" s="23"/>
      <c r="DW189" s="23"/>
      <c r="DX189" s="23"/>
      <c r="DY189" s="23"/>
      <c r="DZ189" s="23"/>
      <c r="EA189" s="23"/>
      <c r="EB189" s="23"/>
      <c r="EC189" s="23"/>
      <c r="ED189" s="23"/>
      <c r="EE189" s="23"/>
      <c r="EF189" s="23"/>
      <c r="EG189" s="23"/>
      <c r="EH189" s="23"/>
      <c r="EI189" s="23"/>
      <c r="EJ189" s="23"/>
      <c r="EK189" s="23"/>
      <c r="EL189" s="23"/>
      <c r="EM189" s="23"/>
      <c r="EN189" s="23"/>
      <c r="EO189" s="23"/>
      <c r="EP189" s="23"/>
      <c r="EQ189" s="23"/>
      <c r="ER189" s="23"/>
      <c r="ES189" s="23"/>
      <c r="ET189" s="23"/>
      <c r="EU189" s="23"/>
      <c r="EV189" s="23"/>
      <c r="EW189" s="23"/>
      <c r="EX189" s="23"/>
      <c r="EY189" s="23"/>
      <c r="EZ189" s="23"/>
      <c r="FA189" s="23"/>
      <c r="FB189" s="23"/>
      <c r="FC189" s="23"/>
      <c r="FD189" s="23"/>
      <c r="FE189" s="23"/>
      <c r="FF189" s="23"/>
      <c r="FG189" s="23"/>
      <c r="FH189" s="23"/>
      <c r="FI189" s="23"/>
      <c r="FJ189" s="23"/>
      <c r="FK189" s="23"/>
      <c r="FL189" s="23"/>
      <c r="FM189" s="23"/>
      <c r="FN189" s="23"/>
      <c r="FO189" s="23"/>
      <c r="FP189" s="23"/>
      <c r="FQ189" s="23"/>
      <c r="FR189" s="23"/>
      <c r="FS189" s="23"/>
      <c r="FT189" s="23"/>
      <c r="FU189" s="23"/>
      <c r="FV189" s="23"/>
      <c r="FW189" s="23"/>
      <c r="FX189" s="23"/>
      <c r="FY189" s="23"/>
      <c r="FZ189" s="23"/>
      <c r="GA189" s="23"/>
      <c r="GB189" s="23"/>
      <c r="GC189" s="23"/>
      <c r="GD189" s="23"/>
      <c r="GE189" s="23"/>
      <c r="GF189" s="23"/>
      <c r="GG189" s="23"/>
      <c r="GH189" s="23"/>
      <c r="GI189" s="23"/>
      <c r="GJ189" s="23"/>
      <c r="GK189" s="23"/>
      <c r="GL189" s="23"/>
    </row>
    <row r="190" spans="1:194" ht="13">
      <c r="A190" s="23"/>
      <c r="B190" s="23"/>
      <c r="C190" s="23"/>
      <c r="D190" s="23"/>
      <c r="E190" s="23"/>
      <c r="F190" s="23"/>
      <c r="G190" s="23"/>
      <c r="H190" s="401"/>
      <c r="I190" s="401"/>
      <c r="J190" s="401"/>
      <c r="K190" s="401"/>
      <c r="L190" s="401"/>
      <c r="M190" s="438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  <c r="DC190" s="23"/>
      <c r="DD190" s="23"/>
      <c r="DE190" s="23"/>
      <c r="DF190" s="23"/>
      <c r="DG190" s="23"/>
      <c r="DH190" s="23"/>
      <c r="DI190" s="23"/>
      <c r="DJ190" s="23"/>
      <c r="DK190" s="23"/>
      <c r="DL190" s="23"/>
      <c r="DM190" s="23"/>
      <c r="DN190" s="23"/>
      <c r="DO190" s="23"/>
      <c r="DP190" s="23"/>
      <c r="DQ190" s="23"/>
      <c r="DR190" s="23"/>
      <c r="DS190" s="23"/>
      <c r="DT190" s="23"/>
      <c r="DU190" s="23"/>
      <c r="DV190" s="23"/>
      <c r="DW190" s="23"/>
      <c r="DX190" s="23"/>
      <c r="DY190" s="23"/>
      <c r="DZ190" s="23"/>
      <c r="EA190" s="23"/>
      <c r="EB190" s="23"/>
      <c r="EC190" s="23"/>
      <c r="ED190" s="23"/>
      <c r="EE190" s="23"/>
      <c r="EF190" s="23"/>
      <c r="EG190" s="23"/>
      <c r="EH190" s="23"/>
      <c r="EI190" s="23"/>
      <c r="EJ190" s="23"/>
      <c r="EK190" s="23"/>
      <c r="EL190" s="23"/>
      <c r="EM190" s="23"/>
      <c r="EN190" s="23"/>
      <c r="EO190" s="23"/>
      <c r="EP190" s="23"/>
      <c r="EQ190" s="23"/>
      <c r="ER190" s="23"/>
      <c r="ES190" s="23"/>
      <c r="ET190" s="23"/>
      <c r="EU190" s="23"/>
      <c r="EV190" s="23"/>
      <c r="EW190" s="23"/>
      <c r="EX190" s="23"/>
      <c r="EY190" s="23"/>
      <c r="EZ190" s="23"/>
      <c r="FA190" s="23"/>
      <c r="FB190" s="23"/>
      <c r="FC190" s="23"/>
      <c r="FD190" s="23"/>
      <c r="FE190" s="23"/>
      <c r="FF190" s="23"/>
      <c r="FG190" s="23"/>
      <c r="FH190" s="23"/>
      <c r="FI190" s="23"/>
      <c r="FJ190" s="23"/>
      <c r="FK190" s="23"/>
      <c r="FL190" s="23"/>
      <c r="FM190" s="23"/>
      <c r="FN190" s="23"/>
      <c r="FO190" s="23"/>
      <c r="FP190" s="23"/>
      <c r="FQ190" s="23"/>
      <c r="FR190" s="23"/>
      <c r="FS190" s="23"/>
      <c r="FT190" s="23"/>
      <c r="FU190" s="23"/>
      <c r="FV190" s="23"/>
      <c r="FW190" s="23"/>
      <c r="FX190" s="23"/>
      <c r="FY190" s="23"/>
      <c r="FZ190" s="23"/>
      <c r="GA190" s="23"/>
      <c r="GB190" s="23"/>
      <c r="GC190" s="23"/>
      <c r="GD190" s="23"/>
      <c r="GE190" s="23"/>
      <c r="GF190" s="23"/>
      <c r="GG190" s="23"/>
      <c r="GH190" s="23"/>
      <c r="GI190" s="23"/>
      <c r="GJ190" s="23"/>
      <c r="GK190" s="23"/>
      <c r="GL190" s="23"/>
    </row>
    <row r="191" spans="1:194" ht="13">
      <c r="A191" s="23"/>
      <c r="B191" s="23"/>
      <c r="C191" s="23"/>
      <c r="D191" s="23"/>
      <c r="E191" s="23"/>
      <c r="F191" s="23"/>
      <c r="G191" s="23"/>
      <c r="H191" s="401"/>
      <c r="I191" s="401"/>
      <c r="J191" s="401"/>
      <c r="K191" s="401"/>
      <c r="L191" s="401"/>
      <c r="M191" s="438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  <c r="BL191" s="23"/>
      <c r="BM191" s="23"/>
      <c r="BN191" s="23"/>
      <c r="BO191" s="23"/>
      <c r="BP191" s="23"/>
      <c r="BQ191" s="23"/>
      <c r="BR191" s="23"/>
      <c r="BS191" s="23"/>
      <c r="BT191" s="23"/>
      <c r="BU191" s="23"/>
      <c r="BV191" s="23"/>
      <c r="BW191" s="23"/>
      <c r="BX191" s="23"/>
      <c r="BY191" s="23"/>
      <c r="BZ191" s="23"/>
      <c r="CA191" s="23"/>
      <c r="CB191" s="23"/>
      <c r="CC191" s="23"/>
      <c r="CD191" s="23"/>
      <c r="CE191" s="23"/>
      <c r="CF191" s="23"/>
      <c r="CG191" s="23"/>
      <c r="CH191" s="23"/>
      <c r="CI191" s="23"/>
      <c r="CJ191" s="23"/>
      <c r="CK191" s="23"/>
      <c r="CL191" s="23"/>
      <c r="CM191" s="23"/>
      <c r="CN191" s="23"/>
      <c r="CO191" s="23"/>
      <c r="CP191" s="23"/>
      <c r="CQ191" s="23"/>
      <c r="CR191" s="23"/>
      <c r="CS191" s="23"/>
      <c r="CT191" s="23"/>
      <c r="CU191" s="23"/>
      <c r="CV191" s="23"/>
      <c r="CW191" s="23"/>
      <c r="CX191" s="23"/>
      <c r="CY191" s="23"/>
      <c r="CZ191" s="23"/>
      <c r="DA191" s="23"/>
      <c r="DB191" s="23"/>
      <c r="DC191" s="23"/>
      <c r="DD191" s="23"/>
      <c r="DE191" s="23"/>
      <c r="DF191" s="23"/>
      <c r="DG191" s="23"/>
      <c r="DH191" s="23"/>
      <c r="DI191" s="23"/>
      <c r="DJ191" s="23"/>
      <c r="DK191" s="23"/>
      <c r="DL191" s="23"/>
      <c r="DM191" s="23"/>
      <c r="DN191" s="23"/>
      <c r="DO191" s="23"/>
      <c r="DP191" s="23"/>
      <c r="DQ191" s="23"/>
      <c r="DR191" s="23"/>
      <c r="DS191" s="23"/>
      <c r="DT191" s="23"/>
      <c r="DU191" s="23"/>
      <c r="DV191" s="23"/>
      <c r="DW191" s="23"/>
      <c r="DX191" s="23"/>
      <c r="DY191" s="23"/>
      <c r="DZ191" s="23"/>
      <c r="EA191" s="23"/>
      <c r="EB191" s="23"/>
      <c r="EC191" s="23"/>
      <c r="ED191" s="23"/>
      <c r="EE191" s="23"/>
      <c r="EF191" s="23"/>
      <c r="EG191" s="23"/>
      <c r="EH191" s="23"/>
      <c r="EI191" s="23"/>
      <c r="EJ191" s="23"/>
      <c r="EK191" s="23"/>
      <c r="EL191" s="23"/>
      <c r="EM191" s="23"/>
      <c r="EN191" s="23"/>
      <c r="EO191" s="23"/>
      <c r="EP191" s="23"/>
      <c r="EQ191" s="23"/>
      <c r="ER191" s="23"/>
      <c r="ES191" s="23"/>
      <c r="ET191" s="23"/>
      <c r="EU191" s="23"/>
      <c r="EV191" s="23"/>
      <c r="EW191" s="23"/>
      <c r="EX191" s="23"/>
      <c r="EY191" s="23"/>
      <c r="EZ191" s="23"/>
      <c r="FA191" s="23"/>
      <c r="FB191" s="23"/>
      <c r="FC191" s="23"/>
      <c r="FD191" s="23"/>
      <c r="FE191" s="23"/>
      <c r="FF191" s="23"/>
      <c r="FG191" s="23"/>
      <c r="FH191" s="23"/>
      <c r="FI191" s="23"/>
      <c r="FJ191" s="23"/>
      <c r="FK191" s="23"/>
      <c r="FL191" s="23"/>
      <c r="FM191" s="23"/>
      <c r="FN191" s="23"/>
      <c r="FO191" s="23"/>
      <c r="FP191" s="23"/>
      <c r="FQ191" s="23"/>
      <c r="FR191" s="23"/>
      <c r="FS191" s="23"/>
      <c r="FT191" s="23"/>
      <c r="FU191" s="23"/>
      <c r="FV191" s="23"/>
      <c r="FW191" s="23"/>
      <c r="FX191" s="23"/>
      <c r="FY191" s="23"/>
      <c r="FZ191" s="23"/>
      <c r="GA191" s="23"/>
      <c r="GB191" s="23"/>
      <c r="GC191" s="23"/>
      <c r="GD191" s="23"/>
      <c r="GE191" s="23"/>
      <c r="GF191" s="23"/>
      <c r="GG191" s="23"/>
      <c r="GH191" s="23"/>
      <c r="GI191" s="23"/>
      <c r="GJ191" s="23"/>
      <c r="GK191" s="23"/>
      <c r="GL191" s="23"/>
    </row>
    <row r="192" spans="1:194" ht="13">
      <c r="A192" s="23"/>
      <c r="B192" s="23"/>
      <c r="C192" s="23"/>
      <c r="D192" s="23"/>
      <c r="E192" s="23"/>
      <c r="F192" s="23"/>
      <c r="G192" s="23"/>
      <c r="H192" s="401"/>
      <c r="I192" s="401"/>
      <c r="J192" s="401"/>
      <c r="K192" s="401"/>
      <c r="L192" s="401"/>
      <c r="M192" s="438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  <c r="BF192" s="23"/>
      <c r="BG192" s="23"/>
      <c r="BH192" s="23"/>
      <c r="BI192" s="23"/>
      <c r="BJ192" s="23"/>
      <c r="BK192" s="23"/>
      <c r="BL192" s="23"/>
      <c r="BM192" s="23"/>
      <c r="BN192" s="23"/>
      <c r="BO192" s="23"/>
      <c r="BP192" s="23"/>
      <c r="BQ192" s="23"/>
      <c r="BR192" s="23"/>
      <c r="BS192" s="23"/>
      <c r="BT192" s="23"/>
      <c r="BU192" s="23"/>
      <c r="BV192" s="23"/>
      <c r="BW192" s="23"/>
      <c r="BX192" s="23"/>
      <c r="BY192" s="23"/>
      <c r="BZ192" s="23"/>
      <c r="CA192" s="23"/>
      <c r="CB192" s="23"/>
      <c r="CC192" s="23"/>
      <c r="CD192" s="23"/>
      <c r="CE192" s="23"/>
      <c r="CF192" s="23"/>
      <c r="CG192" s="23"/>
      <c r="CH192" s="23"/>
      <c r="CI192" s="23"/>
      <c r="CJ192" s="23"/>
      <c r="CK192" s="23"/>
      <c r="CL192" s="23"/>
      <c r="CM192" s="23"/>
      <c r="CN192" s="23"/>
      <c r="CO192" s="23"/>
      <c r="CP192" s="23"/>
      <c r="CQ192" s="23"/>
      <c r="CR192" s="23"/>
      <c r="CS192" s="23"/>
      <c r="CT192" s="23"/>
      <c r="CU192" s="23"/>
      <c r="CV192" s="23"/>
      <c r="CW192" s="23"/>
      <c r="CX192" s="23"/>
      <c r="CY192" s="23"/>
      <c r="CZ192" s="23"/>
      <c r="DA192" s="23"/>
      <c r="DB192" s="23"/>
      <c r="DC192" s="23"/>
      <c r="DD192" s="23"/>
      <c r="DE192" s="23"/>
      <c r="DF192" s="23"/>
      <c r="DG192" s="23"/>
      <c r="DH192" s="23"/>
      <c r="DI192" s="23"/>
      <c r="DJ192" s="23"/>
      <c r="DK192" s="23"/>
      <c r="DL192" s="23"/>
      <c r="DM192" s="23"/>
      <c r="DN192" s="23"/>
      <c r="DO192" s="23"/>
      <c r="DP192" s="23"/>
      <c r="DQ192" s="23"/>
      <c r="DR192" s="23"/>
      <c r="DS192" s="23"/>
      <c r="DT192" s="23"/>
      <c r="DU192" s="23"/>
      <c r="DV192" s="23"/>
      <c r="DW192" s="23"/>
      <c r="DX192" s="23"/>
      <c r="DY192" s="23"/>
      <c r="DZ192" s="23"/>
      <c r="EA192" s="23"/>
      <c r="EB192" s="23"/>
      <c r="EC192" s="23"/>
      <c r="ED192" s="23"/>
      <c r="EE192" s="23"/>
      <c r="EF192" s="23"/>
      <c r="EG192" s="23"/>
      <c r="EH192" s="23"/>
      <c r="EI192" s="23"/>
      <c r="EJ192" s="23"/>
      <c r="EK192" s="23"/>
      <c r="EL192" s="23"/>
      <c r="EM192" s="23"/>
      <c r="EN192" s="23"/>
      <c r="EO192" s="23"/>
      <c r="EP192" s="23"/>
      <c r="EQ192" s="23"/>
      <c r="ER192" s="23"/>
      <c r="ES192" s="23"/>
      <c r="ET192" s="23"/>
      <c r="EU192" s="23"/>
      <c r="EV192" s="23"/>
      <c r="EW192" s="23"/>
      <c r="EX192" s="23"/>
      <c r="EY192" s="23"/>
      <c r="EZ192" s="23"/>
      <c r="FA192" s="23"/>
      <c r="FB192" s="23"/>
      <c r="FC192" s="23"/>
      <c r="FD192" s="23"/>
      <c r="FE192" s="23"/>
      <c r="FF192" s="23"/>
      <c r="FG192" s="23"/>
      <c r="FH192" s="23"/>
      <c r="FI192" s="23"/>
      <c r="FJ192" s="23"/>
      <c r="FK192" s="23"/>
      <c r="FL192" s="23"/>
      <c r="FM192" s="23"/>
      <c r="FN192" s="23"/>
      <c r="FO192" s="23"/>
      <c r="FP192" s="23"/>
      <c r="FQ192" s="23"/>
      <c r="FR192" s="23"/>
      <c r="FS192" s="23"/>
      <c r="FT192" s="23"/>
      <c r="FU192" s="23"/>
      <c r="FV192" s="23"/>
      <c r="FW192" s="23"/>
      <c r="FX192" s="23"/>
      <c r="FY192" s="23"/>
      <c r="FZ192" s="23"/>
      <c r="GA192" s="23"/>
      <c r="GB192" s="23"/>
      <c r="GC192" s="23"/>
      <c r="GD192" s="23"/>
      <c r="GE192" s="23"/>
      <c r="GF192" s="23"/>
      <c r="GG192" s="23"/>
      <c r="GH192" s="23"/>
      <c r="GI192" s="23"/>
      <c r="GJ192" s="23"/>
      <c r="GK192" s="23"/>
      <c r="GL192" s="23"/>
    </row>
    <row r="193" spans="1:194" ht="13">
      <c r="A193" s="23"/>
      <c r="B193" s="23"/>
      <c r="C193" s="23"/>
      <c r="D193" s="23"/>
      <c r="E193" s="23"/>
      <c r="F193" s="23"/>
      <c r="G193" s="23"/>
      <c r="H193" s="401"/>
      <c r="I193" s="401"/>
      <c r="J193" s="401"/>
      <c r="K193" s="401"/>
      <c r="L193" s="401"/>
      <c r="M193" s="438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  <c r="BL193" s="23"/>
      <c r="BM193" s="23"/>
      <c r="BN193" s="23"/>
      <c r="BO193" s="23"/>
      <c r="BP193" s="23"/>
      <c r="BQ193" s="23"/>
      <c r="BR193" s="23"/>
      <c r="BS193" s="23"/>
      <c r="BT193" s="23"/>
      <c r="BU193" s="23"/>
      <c r="BV193" s="23"/>
      <c r="BW193" s="23"/>
      <c r="BX193" s="23"/>
      <c r="BY193" s="23"/>
      <c r="BZ193" s="23"/>
      <c r="CA193" s="23"/>
      <c r="CB193" s="23"/>
      <c r="CC193" s="23"/>
      <c r="CD193" s="23"/>
      <c r="CE193" s="23"/>
      <c r="CF193" s="23"/>
      <c r="CG193" s="23"/>
      <c r="CH193" s="23"/>
      <c r="CI193" s="23"/>
      <c r="CJ193" s="23"/>
      <c r="CK193" s="23"/>
      <c r="CL193" s="23"/>
      <c r="CM193" s="23"/>
      <c r="CN193" s="23"/>
      <c r="CO193" s="23"/>
      <c r="CP193" s="23"/>
      <c r="CQ193" s="23"/>
      <c r="CR193" s="23"/>
      <c r="CS193" s="23"/>
      <c r="CT193" s="23"/>
      <c r="CU193" s="23"/>
      <c r="CV193" s="23"/>
      <c r="CW193" s="23"/>
      <c r="CX193" s="23"/>
      <c r="CY193" s="23"/>
      <c r="CZ193" s="23"/>
      <c r="DA193" s="23"/>
      <c r="DB193" s="23"/>
      <c r="DC193" s="23"/>
      <c r="DD193" s="23"/>
      <c r="DE193" s="23"/>
      <c r="DF193" s="23"/>
      <c r="DG193" s="23"/>
      <c r="DH193" s="23"/>
      <c r="DI193" s="23"/>
      <c r="DJ193" s="23"/>
      <c r="DK193" s="23"/>
      <c r="DL193" s="23"/>
      <c r="DM193" s="23"/>
      <c r="DN193" s="23"/>
      <c r="DO193" s="23"/>
      <c r="DP193" s="23"/>
      <c r="DQ193" s="23"/>
      <c r="DR193" s="23"/>
      <c r="DS193" s="23"/>
      <c r="DT193" s="23"/>
      <c r="DU193" s="23"/>
      <c r="DV193" s="23"/>
      <c r="DW193" s="23"/>
      <c r="DX193" s="23"/>
      <c r="DY193" s="23"/>
      <c r="DZ193" s="23"/>
      <c r="EA193" s="23"/>
      <c r="EB193" s="23"/>
      <c r="EC193" s="23"/>
      <c r="ED193" s="23"/>
      <c r="EE193" s="23"/>
      <c r="EF193" s="23"/>
      <c r="EG193" s="23"/>
      <c r="EH193" s="23"/>
      <c r="EI193" s="23"/>
      <c r="EJ193" s="23"/>
      <c r="EK193" s="23"/>
      <c r="EL193" s="23"/>
      <c r="EM193" s="23"/>
      <c r="EN193" s="23"/>
      <c r="EO193" s="23"/>
      <c r="EP193" s="23"/>
      <c r="EQ193" s="23"/>
      <c r="ER193" s="23"/>
      <c r="ES193" s="23"/>
      <c r="ET193" s="23"/>
      <c r="EU193" s="23"/>
      <c r="EV193" s="23"/>
      <c r="EW193" s="23"/>
      <c r="EX193" s="23"/>
      <c r="EY193" s="23"/>
      <c r="EZ193" s="23"/>
      <c r="FA193" s="23"/>
      <c r="FB193" s="23"/>
      <c r="FC193" s="23"/>
      <c r="FD193" s="23"/>
      <c r="FE193" s="23"/>
      <c r="FF193" s="23"/>
      <c r="FG193" s="23"/>
      <c r="FH193" s="23"/>
      <c r="FI193" s="23"/>
      <c r="FJ193" s="23"/>
      <c r="FK193" s="23"/>
      <c r="FL193" s="23"/>
      <c r="FM193" s="23"/>
      <c r="FN193" s="23"/>
      <c r="FO193" s="23"/>
      <c r="FP193" s="23"/>
      <c r="FQ193" s="23"/>
      <c r="FR193" s="23"/>
      <c r="FS193" s="23"/>
      <c r="FT193" s="23"/>
      <c r="FU193" s="23"/>
      <c r="FV193" s="23"/>
      <c r="FW193" s="23"/>
      <c r="FX193" s="23"/>
      <c r="FY193" s="23"/>
      <c r="FZ193" s="23"/>
      <c r="GA193" s="23"/>
      <c r="GB193" s="23"/>
      <c r="GC193" s="23"/>
      <c r="GD193" s="23"/>
      <c r="GE193" s="23"/>
      <c r="GF193" s="23"/>
      <c r="GG193" s="23"/>
      <c r="GH193" s="23"/>
      <c r="GI193" s="23"/>
      <c r="GJ193" s="23"/>
      <c r="GK193" s="23"/>
      <c r="GL193" s="23"/>
    </row>
    <row r="194" spans="1:194" ht="13">
      <c r="A194" s="23"/>
      <c r="B194" s="23"/>
      <c r="C194" s="23"/>
      <c r="D194" s="23"/>
      <c r="E194" s="23"/>
      <c r="F194" s="23"/>
      <c r="G194" s="23"/>
      <c r="H194" s="401"/>
      <c r="I194" s="401"/>
      <c r="J194" s="401"/>
      <c r="K194" s="401"/>
      <c r="L194" s="401"/>
      <c r="M194" s="438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  <c r="BC194" s="23"/>
      <c r="BD194" s="23"/>
      <c r="BE194" s="23"/>
      <c r="BF194" s="23"/>
      <c r="BG194" s="23"/>
      <c r="BH194" s="23"/>
      <c r="BI194" s="23"/>
      <c r="BJ194" s="23"/>
      <c r="BK194" s="23"/>
      <c r="BL194" s="23"/>
      <c r="BM194" s="23"/>
      <c r="BN194" s="23"/>
      <c r="BO194" s="23"/>
      <c r="BP194" s="23"/>
      <c r="BQ194" s="23"/>
      <c r="BR194" s="23"/>
      <c r="BS194" s="23"/>
      <c r="BT194" s="23"/>
      <c r="BU194" s="23"/>
      <c r="BV194" s="23"/>
      <c r="BW194" s="23"/>
      <c r="BX194" s="23"/>
      <c r="BY194" s="23"/>
      <c r="BZ194" s="23"/>
      <c r="CA194" s="23"/>
      <c r="CB194" s="23"/>
      <c r="CC194" s="23"/>
      <c r="CD194" s="23"/>
      <c r="CE194" s="23"/>
      <c r="CF194" s="23"/>
      <c r="CG194" s="23"/>
      <c r="CH194" s="23"/>
      <c r="CI194" s="23"/>
      <c r="CJ194" s="23"/>
      <c r="CK194" s="23"/>
      <c r="CL194" s="23"/>
      <c r="CM194" s="23"/>
      <c r="CN194" s="23"/>
      <c r="CO194" s="23"/>
      <c r="CP194" s="23"/>
      <c r="CQ194" s="23"/>
      <c r="CR194" s="23"/>
      <c r="CS194" s="23"/>
      <c r="CT194" s="23"/>
      <c r="CU194" s="23"/>
      <c r="CV194" s="23"/>
      <c r="CW194" s="23"/>
      <c r="CX194" s="23"/>
      <c r="CY194" s="23"/>
      <c r="CZ194" s="23"/>
      <c r="DA194" s="23"/>
      <c r="DB194" s="23"/>
      <c r="DC194" s="23"/>
      <c r="DD194" s="23"/>
      <c r="DE194" s="23"/>
      <c r="DF194" s="23"/>
      <c r="DG194" s="23"/>
      <c r="DH194" s="23"/>
      <c r="DI194" s="23"/>
      <c r="DJ194" s="23"/>
      <c r="DK194" s="23"/>
      <c r="DL194" s="23"/>
      <c r="DM194" s="23"/>
      <c r="DN194" s="23"/>
      <c r="DO194" s="23"/>
      <c r="DP194" s="23"/>
      <c r="DQ194" s="23"/>
      <c r="DR194" s="23"/>
      <c r="DS194" s="23"/>
      <c r="DT194" s="23"/>
      <c r="DU194" s="23"/>
      <c r="DV194" s="23"/>
      <c r="DW194" s="23"/>
      <c r="DX194" s="23"/>
      <c r="DY194" s="23"/>
      <c r="DZ194" s="23"/>
      <c r="EA194" s="23"/>
      <c r="EB194" s="23"/>
      <c r="EC194" s="23"/>
      <c r="ED194" s="23"/>
      <c r="EE194" s="23"/>
      <c r="EF194" s="23"/>
      <c r="EG194" s="23"/>
      <c r="EH194" s="23"/>
      <c r="EI194" s="23"/>
      <c r="EJ194" s="23"/>
      <c r="EK194" s="23"/>
      <c r="EL194" s="23"/>
      <c r="EM194" s="23"/>
      <c r="EN194" s="23"/>
      <c r="EO194" s="23"/>
      <c r="EP194" s="23"/>
      <c r="EQ194" s="23"/>
      <c r="ER194" s="23"/>
      <c r="ES194" s="23"/>
      <c r="ET194" s="23"/>
      <c r="EU194" s="23"/>
      <c r="EV194" s="23"/>
      <c r="EW194" s="23"/>
      <c r="EX194" s="23"/>
      <c r="EY194" s="23"/>
      <c r="EZ194" s="23"/>
      <c r="FA194" s="23"/>
      <c r="FB194" s="23"/>
      <c r="FC194" s="23"/>
      <c r="FD194" s="23"/>
      <c r="FE194" s="23"/>
      <c r="FF194" s="23"/>
      <c r="FG194" s="23"/>
      <c r="FH194" s="23"/>
      <c r="FI194" s="23"/>
      <c r="FJ194" s="23"/>
      <c r="FK194" s="23"/>
      <c r="FL194" s="23"/>
      <c r="FM194" s="23"/>
      <c r="FN194" s="23"/>
      <c r="FO194" s="23"/>
      <c r="FP194" s="23"/>
      <c r="FQ194" s="23"/>
      <c r="FR194" s="23"/>
      <c r="FS194" s="23"/>
      <c r="FT194" s="23"/>
      <c r="FU194" s="23"/>
      <c r="FV194" s="23"/>
      <c r="FW194" s="23"/>
      <c r="FX194" s="23"/>
      <c r="FY194" s="23"/>
      <c r="FZ194" s="23"/>
      <c r="GA194" s="23"/>
      <c r="GB194" s="23"/>
      <c r="GC194" s="23"/>
      <c r="GD194" s="23"/>
      <c r="GE194" s="23"/>
      <c r="GF194" s="23"/>
      <c r="GG194" s="23"/>
      <c r="GH194" s="23"/>
      <c r="GI194" s="23"/>
      <c r="GJ194" s="23"/>
      <c r="GK194" s="23"/>
      <c r="GL194" s="23"/>
    </row>
    <row r="195" spans="1:194" ht="13">
      <c r="A195" s="23"/>
      <c r="B195" s="23"/>
      <c r="C195" s="23"/>
      <c r="D195" s="23"/>
      <c r="E195" s="23"/>
      <c r="F195" s="23"/>
      <c r="G195" s="23"/>
      <c r="H195" s="401"/>
      <c r="I195" s="401"/>
      <c r="J195" s="401"/>
      <c r="K195" s="401"/>
      <c r="L195" s="401"/>
      <c r="M195" s="438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  <c r="BF195" s="23"/>
      <c r="BG195" s="23"/>
      <c r="BH195" s="23"/>
      <c r="BI195" s="23"/>
      <c r="BJ195" s="23"/>
      <c r="BK195" s="23"/>
      <c r="BL195" s="23"/>
      <c r="BM195" s="23"/>
      <c r="BN195" s="23"/>
      <c r="BO195" s="23"/>
      <c r="BP195" s="23"/>
      <c r="BQ195" s="23"/>
      <c r="BR195" s="23"/>
      <c r="BS195" s="23"/>
      <c r="BT195" s="23"/>
      <c r="BU195" s="23"/>
      <c r="BV195" s="23"/>
      <c r="BW195" s="23"/>
      <c r="BX195" s="23"/>
      <c r="BY195" s="23"/>
      <c r="BZ195" s="23"/>
      <c r="CA195" s="23"/>
      <c r="CB195" s="23"/>
      <c r="CC195" s="23"/>
      <c r="CD195" s="23"/>
      <c r="CE195" s="23"/>
      <c r="CF195" s="23"/>
      <c r="CG195" s="23"/>
      <c r="CH195" s="23"/>
      <c r="CI195" s="23"/>
      <c r="CJ195" s="23"/>
      <c r="CK195" s="23"/>
      <c r="CL195" s="23"/>
      <c r="CM195" s="23"/>
      <c r="CN195" s="23"/>
      <c r="CO195" s="23"/>
      <c r="CP195" s="23"/>
      <c r="CQ195" s="23"/>
      <c r="CR195" s="23"/>
      <c r="CS195" s="23"/>
      <c r="CT195" s="23"/>
      <c r="CU195" s="23"/>
      <c r="CV195" s="23"/>
      <c r="CW195" s="23"/>
      <c r="CX195" s="23"/>
      <c r="CY195" s="23"/>
      <c r="CZ195" s="23"/>
      <c r="DA195" s="23"/>
      <c r="DB195" s="23"/>
      <c r="DC195" s="23"/>
      <c r="DD195" s="23"/>
      <c r="DE195" s="23"/>
      <c r="DF195" s="23"/>
      <c r="DG195" s="23"/>
      <c r="DH195" s="23"/>
      <c r="DI195" s="23"/>
      <c r="DJ195" s="23"/>
      <c r="DK195" s="23"/>
      <c r="DL195" s="23"/>
      <c r="DM195" s="23"/>
      <c r="DN195" s="23"/>
      <c r="DO195" s="23"/>
      <c r="DP195" s="23"/>
      <c r="DQ195" s="23"/>
      <c r="DR195" s="23"/>
      <c r="DS195" s="23"/>
      <c r="DT195" s="23"/>
      <c r="DU195" s="23"/>
      <c r="DV195" s="23"/>
      <c r="DW195" s="23"/>
      <c r="DX195" s="23"/>
      <c r="DY195" s="23"/>
      <c r="DZ195" s="23"/>
      <c r="EA195" s="23"/>
      <c r="EB195" s="23"/>
      <c r="EC195" s="23"/>
      <c r="ED195" s="23"/>
      <c r="EE195" s="23"/>
      <c r="EF195" s="23"/>
      <c r="EG195" s="23"/>
      <c r="EH195" s="23"/>
      <c r="EI195" s="23"/>
      <c r="EJ195" s="23"/>
      <c r="EK195" s="23"/>
      <c r="EL195" s="23"/>
      <c r="EM195" s="23"/>
      <c r="EN195" s="23"/>
      <c r="EO195" s="23"/>
      <c r="EP195" s="23"/>
      <c r="EQ195" s="23"/>
      <c r="ER195" s="23"/>
      <c r="ES195" s="23"/>
      <c r="ET195" s="23"/>
      <c r="EU195" s="23"/>
      <c r="EV195" s="23"/>
      <c r="EW195" s="23"/>
      <c r="EX195" s="23"/>
      <c r="EY195" s="23"/>
      <c r="EZ195" s="23"/>
      <c r="FA195" s="23"/>
      <c r="FB195" s="23"/>
      <c r="FC195" s="23"/>
      <c r="FD195" s="23"/>
      <c r="FE195" s="23"/>
      <c r="FF195" s="23"/>
      <c r="FG195" s="23"/>
      <c r="FH195" s="23"/>
      <c r="FI195" s="23"/>
      <c r="FJ195" s="23"/>
      <c r="FK195" s="23"/>
      <c r="FL195" s="23"/>
      <c r="FM195" s="23"/>
      <c r="FN195" s="23"/>
      <c r="FO195" s="23"/>
      <c r="FP195" s="23"/>
      <c r="FQ195" s="23"/>
      <c r="FR195" s="23"/>
      <c r="FS195" s="23"/>
      <c r="FT195" s="23"/>
      <c r="FU195" s="23"/>
      <c r="FV195" s="23"/>
      <c r="FW195" s="23"/>
      <c r="FX195" s="23"/>
      <c r="FY195" s="23"/>
      <c r="FZ195" s="23"/>
      <c r="GA195" s="23"/>
      <c r="GB195" s="23"/>
      <c r="GC195" s="23"/>
      <c r="GD195" s="23"/>
      <c r="GE195" s="23"/>
      <c r="GF195" s="23"/>
      <c r="GG195" s="23"/>
      <c r="GH195" s="23"/>
      <c r="GI195" s="23"/>
      <c r="GJ195" s="23"/>
      <c r="GK195" s="23"/>
      <c r="GL195" s="23"/>
    </row>
    <row r="196" spans="1:194" ht="13">
      <c r="A196" s="23"/>
      <c r="B196" s="23"/>
      <c r="C196" s="23"/>
      <c r="D196" s="23"/>
      <c r="E196" s="23"/>
      <c r="F196" s="23"/>
      <c r="G196" s="23"/>
      <c r="H196" s="401"/>
      <c r="I196" s="401"/>
      <c r="J196" s="401"/>
      <c r="K196" s="401"/>
      <c r="L196" s="401"/>
      <c r="M196" s="438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  <c r="BF196" s="23"/>
      <c r="BG196" s="23"/>
      <c r="BH196" s="23"/>
      <c r="BI196" s="23"/>
      <c r="BJ196" s="23"/>
      <c r="BK196" s="23"/>
      <c r="BL196" s="23"/>
      <c r="BM196" s="23"/>
      <c r="BN196" s="23"/>
      <c r="BO196" s="23"/>
      <c r="BP196" s="23"/>
      <c r="BQ196" s="23"/>
      <c r="BR196" s="23"/>
      <c r="BS196" s="23"/>
      <c r="BT196" s="23"/>
      <c r="BU196" s="23"/>
      <c r="BV196" s="23"/>
      <c r="BW196" s="23"/>
      <c r="BX196" s="23"/>
      <c r="BY196" s="23"/>
      <c r="BZ196" s="23"/>
      <c r="CA196" s="23"/>
      <c r="CB196" s="23"/>
      <c r="CC196" s="23"/>
      <c r="CD196" s="23"/>
      <c r="CE196" s="23"/>
      <c r="CF196" s="23"/>
      <c r="CG196" s="23"/>
      <c r="CH196" s="23"/>
      <c r="CI196" s="23"/>
      <c r="CJ196" s="23"/>
      <c r="CK196" s="23"/>
      <c r="CL196" s="23"/>
      <c r="CM196" s="23"/>
      <c r="CN196" s="23"/>
      <c r="CO196" s="23"/>
      <c r="CP196" s="23"/>
      <c r="CQ196" s="23"/>
      <c r="CR196" s="23"/>
      <c r="CS196" s="23"/>
      <c r="CT196" s="23"/>
      <c r="CU196" s="23"/>
      <c r="CV196" s="23"/>
      <c r="CW196" s="23"/>
      <c r="CX196" s="23"/>
      <c r="CY196" s="23"/>
      <c r="CZ196" s="23"/>
      <c r="DA196" s="23"/>
      <c r="DB196" s="23"/>
      <c r="DC196" s="23"/>
      <c r="DD196" s="23"/>
      <c r="DE196" s="23"/>
      <c r="DF196" s="23"/>
      <c r="DG196" s="23"/>
      <c r="DH196" s="23"/>
      <c r="DI196" s="23"/>
      <c r="DJ196" s="23"/>
      <c r="DK196" s="23"/>
      <c r="DL196" s="23"/>
      <c r="DM196" s="23"/>
      <c r="DN196" s="23"/>
      <c r="DO196" s="23"/>
      <c r="DP196" s="23"/>
      <c r="DQ196" s="23"/>
      <c r="DR196" s="23"/>
      <c r="DS196" s="23"/>
      <c r="DT196" s="23"/>
      <c r="DU196" s="23"/>
      <c r="DV196" s="23"/>
      <c r="DW196" s="23"/>
      <c r="DX196" s="23"/>
      <c r="DY196" s="23"/>
      <c r="DZ196" s="23"/>
      <c r="EA196" s="23"/>
      <c r="EB196" s="23"/>
      <c r="EC196" s="23"/>
      <c r="ED196" s="23"/>
      <c r="EE196" s="23"/>
      <c r="EF196" s="23"/>
      <c r="EG196" s="23"/>
      <c r="EH196" s="23"/>
      <c r="EI196" s="23"/>
      <c r="EJ196" s="23"/>
      <c r="EK196" s="23"/>
      <c r="EL196" s="23"/>
      <c r="EM196" s="23"/>
      <c r="EN196" s="23"/>
      <c r="EO196" s="23"/>
      <c r="EP196" s="23"/>
      <c r="EQ196" s="23"/>
      <c r="ER196" s="23"/>
      <c r="ES196" s="23"/>
      <c r="ET196" s="23"/>
      <c r="EU196" s="23"/>
      <c r="EV196" s="23"/>
      <c r="EW196" s="23"/>
      <c r="EX196" s="23"/>
      <c r="EY196" s="23"/>
      <c r="EZ196" s="23"/>
      <c r="FA196" s="23"/>
      <c r="FB196" s="23"/>
      <c r="FC196" s="23"/>
      <c r="FD196" s="23"/>
      <c r="FE196" s="23"/>
      <c r="FF196" s="23"/>
      <c r="FG196" s="23"/>
      <c r="FH196" s="23"/>
      <c r="FI196" s="23"/>
      <c r="FJ196" s="23"/>
      <c r="FK196" s="23"/>
      <c r="FL196" s="23"/>
      <c r="FM196" s="23"/>
      <c r="FN196" s="23"/>
      <c r="FO196" s="23"/>
      <c r="FP196" s="23"/>
      <c r="FQ196" s="23"/>
      <c r="FR196" s="23"/>
      <c r="FS196" s="23"/>
      <c r="FT196" s="23"/>
      <c r="FU196" s="23"/>
      <c r="FV196" s="23"/>
      <c r="FW196" s="23"/>
      <c r="FX196" s="23"/>
      <c r="FY196" s="23"/>
      <c r="FZ196" s="23"/>
      <c r="GA196" s="23"/>
      <c r="GB196" s="23"/>
      <c r="GC196" s="23"/>
      <c r="GD196" s="23"/>
      <c r="GE196" s="23"/>
      <c r="GF196" s="23"/>
      <c r="GG196" s="23"/>
      <c r="GH196" s="23"/>
      <c r="GI196" s="23"/>
      <c r="GJ196" s="23"/>
      <c r="GK196" s="23"/>
      <c r="GL196" s="23"/>
    </row>
    <row r="197" spans="1:194" ht="13">
      <c r="A197" s="23"/>
      <c r="B197" s="23"/>
      <c r="C197" s="23"/>
      <c r="D197" s="23"/>
      <c r="E197" s="23"/>
      <c r="F197" s="23"/>
      <c r="G197" s="23"/>
      <c r="H197" s="401"/>
      <c r="I197" s="401"/>
      <c r="J197" s="401"/>
      <c r="K197" s="401"/>
      <c r="L197" s="401"/>
      <c r="M197" s="438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  <c r="BN197" s="23"/>
      <c r="BO197" s="23"/>
      <c r="BP197" s="23"/>
      <c r="BQ197" s="23"/>
      <c r="BR197" s="23"/>
      <c r="BS197" s="23"/>
      <c r="BT197" s="23"/>
      <c r="BU197" s="23"/>
      <c r="BV197" s="23"/>
      <c r="BW197" s="23"/>
      <c r="BX197" s="23"/>
      <c r="BY197" s="23"/>
      <c r="BZ197" s="23"/>
      <c r="CA197" s="23"/>
      <c r="CB197" s="23"/>
      <c r="CC197" s="23"/>
      <c r="CD197" s="23"/>
      <c r="CE197" s="23"/>
      <c r="CF197" s="23"/>
      <c r="CG197" s="23"/>
      <c r="CH197" s="23"/>
      <c r="CI197" s="23"/>
      <c r="CJ197" s="23"/>
      <c r="CK197" s="23"/>
      <c r="CL197" s="23"/>
      <c r="CM197" s="23"/>
      <c r="CN197" s="23"/>
      <c r="CO197" s="23"/>
      <c r="CP197" s="23"/>
      <c r="CQ197" s="23"/>
      <c r="CR197" s="23"/>
      <c r="CS197" s="23"/>
      <c r="CT197" s="23"/>
      <c r="CU197" s="23"/>
      <c r="CV197" s="23"/>
      <c r="CW197" s="23"/>
      <c r="CX197" s="23"/>
      <c r="CY197" s="23"/>
      <c r="CZ197" s="23"/>
      <c r="DA197" s="23"/>
      <c r="DB197" s="23"/>
      <c r="DC197" s="23"/>
      <c r="DD197" s="23"/>
      <c r="DE197" s="23"/>
      <c r="DF197" s="23"/>
      <c r="DG197" s="23"/>
      <c r="DH197" s="23"/>
      <c r="DI197" s="23"/>
      <c r="DJ197" s="23"/>
      <c r="DK197" s="23"/>
      <c r="DL197" s="23"/>
      <c r="DM197" s="23"/>
      <c r="DN197" s="23"/>
      <c r="DO197" s="23"/>
      <c r="DP197" s="23"/>
      <c r="DQ197" s="23"/>
      <c r="DR197" s="23"/>
      <c r="DS197" s="23"/>
      <c r="DT197" s="23"/>
      <c r="DU197" s="23"/>
      <c r="DV197" s="23"/>
      <c r="DW197" s="23"/>
      <c r="DX197" s="23"/>
      <c r="DY197" s="23"/>
      <c r="DZ197" s="23"/>
      <c r="EA197" s="23"/>
      <c r="EB197" s="23"/>
      <c r="EC197" s="23"/>
      <c r="ED197" s="23"/>
      <c r="EE197" s="23"/>
      <c r="EF197" s="23"/>
      <c r="EG197" s="23"/>
      <c r="EH197" s="23"/>
      <c r="EI197" s="23"/>
      <c r="EJ197" s="23"/>
      <c r="EK197" s="23"/>
      <c r="EL197" s="23"/>
      <c r="EM197" s="23"/>
      <c r="EN197" s="23"/>
      <c r="EO197" s="23"/>
      <c r="EP197" s="23"/>
      <c r="EQ197" s="23"/>
      <c r="ER197" s="23"/>
      <c r="ES197" s="23"/>
      <c r="ET197" s="23"/>
      <c r="EU197" s="23"/>
      <c r="EV197" s="23"/>
      <c r="EW197" s="23"/>
      <c r="EX197" s="23"/>
      <c r="EY197" s="23"/>
      <c r="EZ197" s="23"/>
      <c r="FA197" s="23"/>
      <c r="FB197" s="23"/>
      <c r="FC197" s="23"/>
      <c r="FD197" s="23"/>
      <c r="FE197" s="23"/>
      <c r="FF197" s="23"/>
      <c r="FG197" s="23"/>
      <c r="FH197" s="23"/>
      <c r="FI197" s="23"/>
      <c r="FJ197" s="23"/>
      <c r="FK197" s="23"/>
      <c r="FL197" s="23"/>
      <c r="FM197" s="23"/>
      <c r="FN197" s="23"/>
      <c r="FO197" s="23"/>
      <c r="FP197" s="23"/>
      <c r="FQ197" s="23"/>
      <c r="FR197" s="23"/>
      <c r="FS197" s="23"/>
      <c r="FT197" s="23"/>
      <c r="FU197" s="23"/>
      <c r="FV197" s="23"/>
      <c r="FW197" s="23"/>
      <c r="FX197" s="23"/>
      <c r="FY197" s="23"/>
      <c r="FZ197" s="23"/>
      <c r="GA197" s="23"/>
      <c r="GB197" s="23"/>
      <c r="GC197" s="23"/>
      <c r="GD197" s="23"/>
      <c r="GE197" s="23"/>
      <c r="GF197" s="23"/>
      <c r="GG197" s="23"/>
      <c r="GH197" s="23"/>
      <c r="GI197" s="23"/>
      <c r="GJ197" s="23"/>
      <c r="GK197" s="23"/>
      <c r="GL197" s="23"/>
    </row>
    <row r="198" spans="1:194" ht="13">
      <c r="A198" s="23"/>
      <c r="B198" s="23"/>
      <c r="C198" s="23"/>
      <c r="D198" s="23"/>
      <c r="E198" s="23"/>
      <c r="F198" s="23"/>
      <c r="G198" s="23"/>
      <c r="H198" s="401"/>
      <c r="I198" s="401"/>
      <c r="J198" s="401"/>
      <c r="K198" s="401"/>
      <c r="L198" s="401"/>
      <c r="M198" s="438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BG198" s="23"/>
      <c r="BH198" s="23"/>
      <c r="BI198" s="23"/>
      <c r="BJ198" s="23"/>
      <c r="BK198" s="23"/>
      <c r="BL198" s="23"/>
      <c r="BM198" s="23"/>
      <c r="BN198" s="23"/>
      <c r="BO198" s="23"/>
      <c r="BP198" s="23"/>
      <c r="BQ198" s="23"/>
      <c r="BR198" s="23"/>
      <c r="BS198" s="23"/>
      <c r="BT198" s="23"/>
      <c r="BU198" s="23"/>
      <c r="BV198" s="23"/>
      <c r="BW198" s="23"/>
      <c r="BX198" s="23"/>
      <c r="BY198" s="23"/>
      <c r="BZ198" s="23"/>
      <c r="CA198" s="23"/>
      <c r="CB198" s="23"/>
      <c r="CC198" s="23"/>
      <c r="CD198" s="23"/>
      <c r="CE198" s="23"/>
      <c r="CF198" s="23"/>
      <c r="CG198" s="23"/>
      <c r="CH198" s="23"/>
      <c r="CI198" s="23"/>
      <c r="CJ198" s="23"/>
      <c r="CK198" s="23"/>
      <c r="CL198" s="23"/>
      <c r="CM198" s="23"/>
      <c r="CN198" s="23"/>
      <c r="CO198" s="23"/>
      <c r="CP198" s="23"/>
      <c r="CQ198" s="23"/>
      <c r="CR198" s="23"/>
      <c r="CS198" s="23"/>
      <c r="CT198" s="23"/>
      <c r="CU198" s="23"/>
      <c r="CV198" s="23"/>
      <c r="CW198" s="23"/>
      <c r="CX198" s="23"/>
      <c r="CY198" s="23"/>
      <c r="CZ198" s="23"/>
      <c r="DA198" s="23"/>
      <c r="DB198" s="23"/>
      <c r="DC198" s="23"/>
      <c r="DD198" s="23"/>
      <c r="DE198" s="23"/>
      <c r="DF198" s="23"/>
      <c r="DG198" s="23"/>
      <c r="DH198" s="23"/>
      <c r="DI198" s="23"/>
      <c r="DJ198" s="23"/>
      <c r="DK198" s="23"/>
      <c r="DL198" s="23"/>
      <c r="DM198" s="23"/>
      <c r="DN198" s="23"/>
      <c r="DO198" s="23"/>
      <c r="DP198" s="23"/>
      <c r="DQ198" s="23"/>
      <c r="DR198" s="23"/>
      <c r="DS198" s="23"/>
      <c r="DT198" s="23"/>
      <c r="DU198" s="23"/>
      <c r="DV198" s="23"/>
      <c r="DW198" s="23"/>
      <c r="DX198" s="23"/>
      <c r="DY198" s="23"/>
      <c r="DZ198" s="23"/>
      <c r="EA198" s="23"/>
      <c r="EB198" s="23"/>
      <c r="EC198" s="23"/>
      <c r="ED198" s="23"/>
      <c r="EE198" s="23"/>
      <c r="EF198" s="23"/>
      <c r="EG198" s="23"/>
      <c r="EH198" s="23"/>
      <c r="EI198" s="23"/>
      <c r="EJ198" s="23"/>
      <c r="EK198" s="23"/>
      <c r="EL198" s="23"/>
      <c r="EM198" s="23"/>
      <c r="EN198" s="23"/>
      <c r="EO198" s="23"/>
      <c r="EP198" s="23"/>
      <c r="EQ198" s="23"/>
      <c r="ER198" s="23"/>
      <c r="ES198" s="23"/>
      <c r="ET198" s="23"/>
      <c r="EU198" s="23"/>
      <c r="EV198" s="23"/>
      <c r="EW198" s="23"/>
      <c r="EX198" s="23"/>
      <c r="EY198" s="23"/>
      <c r="EZ198" s="23"/>
      <c r="FA198" s="23"/>
      <c r="FB198" s="23"/>
      <c r="FC198" s="23"/>
      <c r="FD198" s="23"/>
      <c r="FE198" s="23"/>
      <c r="FF198" s="23"/>
      <c r="FG198" s="23"/>
      <c r="FH198" s="23"/>
      <c r="FI198" s="23"/>
      <c r="FJ198" s="23"/>
      <c r="FK198" s="23"/>
      <c r="FL198" s="23"/>
      <c r="FM198" s="23"/>
      <c r="FN198" s="23"/>
      <c r="FO198" s="23"/>
      <c r="FP198" s="23"/>
      <c r="FQ198" s="23"/>
      <c r="FR198" s="23"/>
      <c r="FS198" s="23"/>
      <c r="FT198" s="23"/>
      <c r="FU198" s="23"/>
      <c r="FV198" s="23"/>
      <c r="FW198" s="23"/>
      <c r="FX198" s="23"/>
      <c r="FY198" s="23"/>
      <c r="FZ198" s="23"/>
      <c r="GA198" s="23"/>
      <c r="GB198" s="23"/>
      <c r="GC198" s="23"/>
      <c r="GD198" s="23"/>
      <c r="GE198" s="23"/>
      <c r="GF198" s="23"/>
      <c r="GG198" s="23"/>
      <c r="GH198" s="23"/>
      <c r="GI198" s="23"/>
      <c r="GJ198" s="23"/>
      <c r="GK198" s="23"/>
      <c r="GL198" s="23"/>
    </row>
    <row r="199" spans="1:194" ht="13">
      <c r="A199" s="23"/>
      <c r="B199" s="23"/>
      <c r="C199" s="23"/>
      <c r="D199" s="23"/>
      <c r="E199" s="23"/>
      <c r="F199" s="23"/>
      <c r="G199" s="23"/>
      <c r="H199" s="401"/>
      <c r="I199" s="401"/>
      <c r="J199" s="401"/>
      <c r="K199" s="401"/>
      <c r="L199" s="401"/>
      <c r="M199" s="438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  <c r="BN199" s="23"/>
      <c r="BO199" s="23"/>
      <c r="BP199" s="23"/>
      <c r="BQ199" s="23"/>
      <c r="BR199" s="23"/>
      <c r="BS199" s="23"/>
      <c r="BT199" s="23"/>
      <c r="BU199" s="23"/>
      <c r="BV199" s="23"/>
      <c r="BW199" s="23"/>
      <c r="BX199" s="23"/>
      <c r="BY199" s="23"/>
      <c r="BZ199" s="23"/>
      <c r="CA199" s="23"/>
      <c r="CB199" s="23"/>
      <c r="CC199" s="23"/>
      <c r="CD199" s="23"/>
      <c r="CE199" s="23"/>
      <c r="CF199" s="23"/>
      <c r="CG199" s="23"/>
      <c r="CH199" s="23"/>
      <c r="CI199" s="23"/>
      <c r="CJ199" s="23"/>
      <c r="CK199" s="23"/>
      <c r="CL199" s="23"/>
      <c r="CM199" s="23"/>
      <c r="CN199" s="23"/>
      <c r="CO199" s="23"/>
      <c r="CP199" s="23"/>
      <c r="CQ199" s="23"/>
      <c r="CR199" s="23"/>
      <c r="CS199" s="23"/>
      <c r="CT199" s="23"/>
      <c r="CU199" s="23"/>
      <c r="CV199" s="23"/>
      <c r="CW199" s="23"/>
      <c r="CX199" s="23"/>
      <c r="CY199" s="23"/>
      <c r="CZ199" s="23"/>
      <c r="DA199" s="23"/>
      <c r="DB199" s="23"/>
      <c r="DC199" s="23"/>
      <c r="DD199" s="23"/>
      <c r="DE199" s="23"/>
      <c r="DF199" s="23"/>
      <c r="DG199" s="23"/>
      <c r="DH199" s="23"/>
      <c r="DI199" s="23"/>
      <c r="DJ199" s="23"/>
      <c r="DK199" s="23"/>
      <c r="DL199" s="23"/>
      <c r="DM199" s="23"/>
      <c r="DN199" s="23"/>
      <c r="DO199" s="23"/>
      <c r="DP199" s="23"/>
      <c r="DQ199" s="23"/>
      <c r="DR199" s="23"/>
      <c r="DS199" s="23"/>
      <c r="DT199" s="23"/>
      <c r="DU199" s="23"/>
      <c r="DV199" s="23"/>
      <c r="DW199" s="23"/>
      <c r="DX199" s="23"/>
      <c r="DY199" s="23"/>
      <c r="DZ199" s="23"/>
      <c r="EA199" s="23"/>
      <c r="EB199" s="23"/>
      <c r="EC199" s="23"/>
      <c r="ED199" s="23"/>
      <c r="EE199" s="23"/>
      <c r="EF199" s="23"/>
      <c r="EG199" s="23"/>
      <c r="EH199" s="23"/>
      <c r="EI199" s="23"/>
      <c r="EJ199" s="23"/>
      <c r="EK199" s="23"/>
      <c r="EL199" s="23"/>
      <c r="EM199" s="23"/>
      <c r="EN199" s="23"/>
      <c r="EO199" s="23"/>
      <c r="EP199" s="23"/>
      <c r="EQ199" s="23"/>
      <c r="ER199" s="23"/>
      <c r="ES199" s="23"/>
      <c r="ET199" s="23"/>
      <c r="EU199" s="23"/>
      <c r="EV199" s="23"/>
      <c r="EW199" s="23"/>
      <c r="EX199" s="23"/>
      <c r="EY199" s="23"/>
      <c r="EZ199" s="23"/>
      <c r="FA199" s="23"/>
      <c r="FB199" s="23"/>
      <c r="FC199" s="23"/>
      <c r="FD199" s="23"/>
      <c r="FE199" s="23"/>
      <c r="FF199" s="23"/>
      <c r="FG199" s="23"/>
      <c r="FH199" s="23"/>
      <c r="FI199" s="23"/>
      <c r="FJ199" s="23"/>
      <c r="FK199" s="23"/>
      <c r="FL199" s="23"/>
      <c r="FM199" s="23"/>
      <c r="FN199" s="23"/>
      <c r="FO199" s="23"/>
      <c r="FP199" s="23"/>
      <c r="FQ199" s="23"/>
      <c r="FR199" s="23"/>
      <c r="FS199" s="23"/>
      <c r="FT199" s="23"/>
      <c r="FU199" s="23"/>
      <c r="FV199" s="23"/>
      <c r="FW199" s="23"/>
      <c r="FX199" s="23"/>
      <c r="FY199" s="23"/>
      <c r="FZ199" s="23"/>
      <c r="GA199" s="23"/>
      <c r="GB199" s="23"/>
      <c r="GC199" s="23"/>
      <c r="GD199" s="23"/>
      <c r="GE199" s="23"/>
      <c r="GF199" s="23"/>
      <c r="GG199" s="23"/>
      <c r="GH199" s="23"/>
      <c r="GI199" s="23"/>
      <c r="GJ199" s="23"/>
      <c r="GK199" s="23"/>
      <c r="GL199" s="23"/>
    </row>
    <row r="200" spans="1:194" ht="13">
      <c r="A200" s="23"/>
      <c r="B200" s="23"/>
      <c r="C200" s="23"/>
      <c r="D200" s="23"/>
      <c r="E200" s="23"/>
      <c r="F200" s="23"/>
      <c r="G200" s="23"/>
      <c r="H200" s="401"/>
      <c r="I200" s="401"/>
      <c r="J200" s="401"/>
      <c r="K200" s="401"/>
      <c r="L200" s="401"/>
      <c r="M200" s="438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3"/>
      <c r="BG200" s="23"/>
      <c r="BH200" s="23"/>
      <c r="BI200" s="23"/>
      <c r="BJ200" s="23"/>
      <c r="BK200" s="23"/>
      <c r="BL200" s="23"/>
      <c r="BM200" s="23"/>
      <c r="BN200" s="23"/>
      <c r="BO200" s="23"/>
      <c r="BP200" s="23"/>
      <c r="BQ200" s="23"/>
      <c r="BR200" s="23"/>
      <c r="BS200" s="23"/>
      <c r="BT200" s="23"/>
      <c r="BU200" s="23"/>
      <c r="BV200" s="23"/>
      <c r="BW200" s="23"/>
      <c r="BX200" s="23"/>
      <c r="BY200" s="23"/>
      <c r="BZ200" s="23"/>
      <c r="CA200" s="23"/>
      <c r="CB200" s="23"/>
      <c r="CC200" s="23"/>
      <c r="CD200" s="23"/>
      <c r="CE200" s="23"/>
      <c r="CF200" s="23"/>
      <c r="CG200" s="23"/>
      <c r="CH200" s="23"/>
      <c r="CI200" s="23"/>
      <c r="CJ200" s="23"/>
      <c r="CK200" s="23"/>
      <c r="CL200" s="23"/>
      <c r="CM200" s="23"/>
      <c r="CN200" s="23"/>
      <c r="CO200" s="23"/>
      <c r="CP200" s="23"/>
      <c r="CQ200" s="23"/>
      <c r="CR200" s="23"/>
      <c r="CS200" s="23"/>
      <c r="CT200" s="23"/>
      <c r="CU200" s="23"/>
      <c r="CV200" s="23"/>
      <c r="CW200" s="23"/>
      <c r="CX200" s="23"/>
      <c r="CY200" s="23"/>
      <c r="CZ200" s="23"/>
      <c r="DA200" s="23"/>
      <c r="DB200" s="23"/>
      <c r="DC200" s="23"/>
      <c r="DD200" s="23"/>
      <c r="DE200" s="23"/>
      <c r="DF200" s="23"/>
      <c r="DG200" s="23"/>
      <c r="DH200" s="23"/>
      <c r="DI200" s="23"/>
      <c r="DJ200" s="23"/>
      <c r="DK200" s="23"/>
      <c r="DL200" s="23"/>
      <c r="DM200" s="23"/>
      <c r="DN200" s="23"/>
      <c r="DO200" s="23"/>
      <c r="DP200" s="23"/>
      <c r="DQ200" s="23"/>
      <c r="DR200" s="23"/>
      <c r="DS200" s="23"/>
      <c r="DT200" s="23"/>
      <c r="DU200" s="23"/>
      <c r="DV200" s="23"/>
      <c r="DW200" s="23"/>
      <c r="DX200" s="23"/>
      <c r="DY200" s="23"/>
      <c r="DZ200" s="23"/>
      <c r="EA200" s="23"/>
      <c r="EB200" s="23"/>
      <c r="EC200" s="23"/>
      <c r="ED200" s="23"/>
      <c r="EE200" s="23"/>
      <c r="EF200" s="23"/>
      <c r="EG200" s="23"/>
      <c r="EH200" s="23"/>
      <c r="EI200" s="23"/>
      <c r="EJ200" s="23"/>
      <c r="EK200" s="23"/>
      <c r="EL200" s="23"/>
      <c r="EM200" s="23"/>
      <c r="EN200" s="23"/>
      <c r="EO200" s="23"/>
      <c r="EP200" s="23"/>
      <c r="EQ200" s="23"/>
      <c r="ER200" s="23"/>
      <c r="ES200" s="23"/>
      <c r="ET200" s="23"/>
      <c r="EU200" s="23"/>
      <c r="EV200" s="23"/>
      <c r="EW200" s="23"/>
      <c r="EX200" s="23"/>
      <c r="EY200" s="23"/>
      <c r="EZ200" s="23"/>
      <c r="FA200" s="23"/>
      <c r="FB200" s="23"/>
      <c r="FC200" s="23"/>
      <c r="FD200" s="23"/>
      <c r="FE200" s="23"/>
      <c r="FF200" s="23"/>
      <c r="FG200" s="23"/>
      <c r="FH200" s="23"/>
      <c r="FI200" s="23"/>
      <c r="FJ200" s="23"/>
      <c r="FK200" s="23"/>
      <c r="FL200" s="23"/>
      <c r="FM200" s="23"/>
      <c r="FN200" s="23"/>
      <c r="FO200" s="23"/>
      <c r="FP200" s="23"/>
      <c r="FQ200" s="23"/>
      <c r="FR200" s="23"/>
      <c r="FS200" s="23"/>
      <c r="FT200" s="23"/>
      <c r="FU200" s="23"/>
      <c r="FV200" s="23"/>
      <c r="FW200" s="23"/>
      <c r="FX200" s="23"/>
      <c r="FY200" s="23"/>
      <c r="FZ200" s="23"/>
      <c r="GA200" s="23"/>
      <c r="GB200" s="23"/>
      <c r="GC200" s="23"/>
      <c r="GD200" s="23"/>
      <c r="GE200" s="23"/>
      <c r="GF200" s="23"/>
      <c r="GG200" s="23"/>
      <c r="GH200" s="23"/>
      <c r="GI200" s="23"/>
      <c r="GJ200" s="23"/>
      <c r="GK200" s="23"/>
      <c r="GL200" s="23"/>
    </row>
    <row r="201" spans="1:194" ht="13">
      <c r="A201" s="23"/>
      <c r="B201" s="23"/>
      <c r="C201" s="23"/>
      <c r="D201" s="23"/>
      <c r="E201" s="23"/>
      <c r="F201" s="23"/>
      <c r="G201" s="23"/>
      <c r="H201" s="401"/>
      <c r="I201" s="401"/>
      <c r="J201" s="401"/>
      <c r="K201" s="401"/>
      <c r="L201" s="401"/>
      <c r="M201" s="438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  <c r="BL201" s="23"/>
      <c r="BM201" s="23"/>
      <c r="BN201" s="23"/>
      <c r="BO201" s="23"/>
      <c r="BP201" s="23"/>
      <c r="BQ201" s="23"/>
      <c r="BR201" s="23"/>
      <c r="BS201" s="23"/>
      <c r="BT201" s="23"/>
      <c r="BU201" s="23"/>
      <c r="BV201" s="23"/>
      <c r="BW201" s="23"/>
      <c r="BX201" s="23"/>
      <c r="BY201" s="23"/>
      <c r="BZ201" s="23"/>
      <c r="CA201" s="23"/>
      <c r="CB201" s="23"/>
      <c r="CC201" s="23"/>
      <c r="CD201" s="23"/>
      <c r="CE201" s="23"/>
      <c r="CF201" s="23"/>
      <c r="CG201" s="23"/>
      <c r="CH201" s="23"/>
      <c r="CI201" s="23"/>
      <c r="CJ201" s="23"/>
      <c r="CK201" s="23"/>
      <c r="CL201" s="23"/>
      <c r="CM201" s="23"/>
      <c r="CN201" s="23"/>
      <c r="CO201" s="23"/>
      <c r="CP201" s="23"/>
      <c r="CQ201" s="23"/>
      <c r="CR201" s="23"/>
      <c r="CS201" s="23"/>
      <c r="CT201" s="23"/>
      <c r="CU201" s="23"/>
      <c r="CV201" s="23"/>
      <c r="CW201" s="23"/>
      <c r="CX201" s="23"/>
      <c r="CY201" s="23"/>
      <c r="CZ201" s="23"/>
      <c r="DA201" s="23"/>
      <c r="DB201" s="23"/>
      <c r="DC201" s="23"/>
      <c r="DD201" s="23"/>
      <c r="DE201" s="23"/>
      <c r="DF201" s="23"/>
      <c r="DG201" s="23"/>
      <c r="DH201" s="23"/>
      <c r="DI201" s="23"/>
      <c r="DJ201" s="23"/>
      <c r="DK201" s="23"/>
      <c r="DL201" s="23"/>
      <c r="DM201" s="23"/>
      <c r="DN201" s="23"/>
      <c r="DO201" s="23"/>
      <c r="DP201" s="23"/>
      <c r="DQ201" s="23"/>
      <c r="DR201" s="23"/>
      <c r="DS201" s="23"/>
      <c r="DT201" s="23"/>
      <c r="DU201" s="23"/>
      <c r="DV201" s="23"/>
      <c r="DW201" s="23"/>
      <c r="DX201" s="23"/>
      <c r="DY201" s="23"/>
      <c r="DZ201" s="23"/>
      <c r="EA201" s="23"/>
      <c r="EB201" s="23"/>
      <c r="EC201" s="23"/>
      <c r="ED201" s="23"/>
      <c r="EE201" s="23"/>
      <c r="EF201" s="23"/>
      <c r="EG201" s="23"/>
      <c r="EH201" s="23"/>
      <c r="EI201" s="23"/>
      <c r="EJ201" s="23"/>
      <c r="EK201" s="23"/>
      <c r="EL201" s="23"/>
      <c r="EM201" s="23"/>
      <c r="EN201" s="23"/>
      <c r="EO201" s="23"/>
      <c r="EP201" s="23"/>
      <c r="EQ201" s="23"/>
      <c r="ER201" s="23"/>
      <c r="ES201" s="23"/>
      <c r="ET201" s="23"/>
      <c r="EU201" s="23"/>
      <c r="EV201" s="23"/>
      <c r="EW201" s="23"/>
      <c r="EX201" s="23"/>
      <c r="EY201" s="23"/>
      <c r="EZ201" s="23"/>
      <c r="FA201" s="23"/>
      <c r="FB201" s="23"/>
      <c r="FC201" s="23"/>
      <c r="FD201" s="23"/>
      <c r="FE201" s="23"/>
      <c r="FF201" s="23"/>
      <c r="FG201" s="23"/>
      <c r="FH201" s="23"/>
      <c r="FI201" s="23"/>
      <c r="FJ201" s="23"/>
      <c r="FK201" s="23"/>
      <c r="FL201" s="23"/>
      <c r="FM201" s="23"/>
      <c r="FN201" s="23"/>
      <c r="FO201" s="23"/>
      <c r="FP201" s="23"/>
      <c r="FQ201" s="23"/>
      <c r="FR201" s="23"/>
      <c r="FS201" s="23"/>
      <c r="FT201" s="23"/>
      <c r="FU201" s="23"/>
      <c r="FV201" s="23"/>
      <c r="FW201" s="23"/>
      <c r="FX201" s="23"/>
      <c r="FY201" s="23"/>
      <c r="FZ201" s="23"/>
      <c r="GA201" s="23"/>
      <c r="GB201" s="23"/>
      <c r="GC201" s="23"/>
      <c r="GD201" s="23"/>
      <c r="GE201" s="23"/>
      <c r="GF201" s="23"/>
      <c r="GG201" s="23"/>
      <c r="GH201" s="23"/>
      <c r="GI201" s="23"/>
      <c r="GJ201" s="23"/>
      <c r="GK201" s="23"/>
      <c r="GL201" s="23"/>
    </row>
    <row r="202" spans="1:194" ht="13">
      <c r="A202" s="23"/>
      <c r="B202" s="23"/>
      <c r="C202" s="23"/>
      <c r="D202" s="23"/>
      <c r="E202" s="23"/>
      <c r="F202" s="23"/>
      <c r="G202" s="23"/>
      <c r="H202" s="401"/>
      <c r="I202" s="401"/>
      <c r="J202" s="401"/>
      <c r="K202" s="401"/>
      <c r="L202" s="401"/>
      <c r="M202" s="438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  <c r="BL202" s="23"/>
      <c r="BM202" s="23"/>
      <c r="BN202" s="23"/>
      <c r="BO202" s="23"/>
      <c r="BP202" s="23"/>
      <c r="BQ202" s="23"/>
      <c r="BR202" s="23"/>
      <c r="BS202" s="23"/>
      <c r="BT202" s="23"/>
      <c r="BU202" s="23"/>
      <c r="BV202" s="23"/>
      <c r="BW202" s="23"/>
      <c r="BX202" s="23"/>
      <c r="BY202" s="23"/>
      <c r="BZ202" s="23"/>
      <c r="CA202" s="23"/>
      <c r="CB202" s="23"/>
      <c r="CC202" s="23"/>
      <c r="CD202" s="23"/>
      <c r="CE202" s="23"/>
      <c r="CF202" s="23"/>
      <c r="CG202" s="23"/>
      <c r="CH202" s="23"/>
      <c r="CI202" s="23"/>
      <c r="CJ202" s="23"/>
      <c r="CK202" s="23"/>
      <c r="CL202" s="23"/>
      <c r="CM202" s="23"/>
      <c r="CN202" s="23"/>
      <c r="CO202" s="23"/>
      <c r="CP202" s="23"/>
      <c r="CQ202" s="23"/>
      <c r="CR202" s="23"/>
      <c r="CS202" s="23"/>
      <c r="CT202" s="23"/>
      <c r="CU202" s="23"/>
      <c r="CV202" s="23"/>
      <c r="CW202" s="23"/>
      <c r="CX202" s="23"/>
      <c r="CY202" s="23"/>
      <c r="CZ202" s="23"/>
      <c r="DA202" s="23"/>
      <c r="DB202" s="23"/>
      <c r="DC202" s="23"/>
      <c r="DD202" s="23"/>
      <c r="DE202" s="23"/>
      <c r="DF202" s="23"/>
      <c r="DG202" s="23"/>
      <c r="DH202" s="23"/>
      <c r="DI202" s="23"/>
      <c r="DJ202" s="23"/>
      <c r="DK202" s="23"/>
      <c r="DL202" s="23"/>
      <c r="DM202" s="23"/>
      <c r="DN202" s="23"/>
      <c r="DO202" s="23"/>
      <c r="DP202" s="23"/>
      <c r="DQ202" s="23"/>
      <c r="DR202" s="23"/>
      <c r="DS202" s="23"/>
      <c r="DT202" s="23"/>
      <c r="DU202" s="23"/>
      <c r="DV202" s="23"/>
      <c r="DW202" s="23"/>
      <c r="DX202" s="23"/>
      <c r="DY202" s="23"/>
      <c r="DZ202" s="23"/>
      <c r="EA202" s="23"/>
      <c r="EB202" s="23"/>
      <c r="EC202" s="23"/>
      <c r="ED202" s="23"/>
      <c r="EE202" s="23"/>
      <c r="EF202" s="23"/>
      <c r="EG202" s="23"/>
      <c r="EH202" s="23"/>
      <c r="EI202" s="23"/>
      <c r="EJ202" s="23"/>
      <c r="EK202" s="23"/>
      <c r="EL202" s="23"/>
      <c r="EM202" s="23"/>
      <c r="EN202" s="23"/>
      <c r="EO202" s="23"/>
      <c r="EP202" s="23"/>
      <c r="EQ202" s="23"/>
      <c r="ER202" s="23"/>
      <c r="ES202" s="23"/>
      <c r="ET202" s="23"/>
      <c r="EU202" s="23"/>
      <c r="EV202" s="23"/>
      <c r="EW202" s="23"/>
      <c r="EX202" s="23"/>
      <c r="EY202" s="23"/>
      <c r="EZ202" s="23"/>
      <c r="FA202" s="23"/>
      <c r="FB202" s="23"/>
      <c r="FC202" s="23"/>
      <c r="FD202" s="23"/>
      <c r="FE202" s="23"/>
      <c r="FF202" s="23"/>
      <c r="FG202" s="23"/>
      <c r="FH202" s="23"/>
      <c r="FI202" s="23"/>
      <c r="FJ202" s="23"/>
      <c r="FK202" s="23"/>
      <c r="FL202" s="23"/>
      <c r="FM202" s="23"/>
      <c r="FN202" s="23"/>
      <c r="FO202" s="23"/>
      <c r="FP202" s="23"/>
      <c r="FQ202" s="23"/>
      <c r="FR202" s="23"/>
      <c r="FS202" s="23"/>
      <c r="FT202" s="23"/>
      <c r="FU202" s="23"/>
      <c r="FV202" s="23"/>
      <c r="FW202" s="23"/>
      <c r="FX202" s="23"/>
      <c r="FY202" s="23"/>
      <c r="FZ202" s="23"/>
      <c r="GA202" s="23"/>
      <c r="GB202" s="23"/>
      <c r="GC202" s="23"/>
      <c r="GD202" s="23"/>
      <c r="GE202" s="23"/>
      <c r="GF202" s="23"/>
      <c r="GG202" s="23"/>
      <c r="GH202" s="23"/>
      <c r="GI202" s="23"/>
      <c r="GJ202" s="23"/>
      <c r="GK202" s="23"/>
      <c r="GL202" s="23"/>
    </row>
    <row r="203" spans="1:194" ht="13">
      <c r="A203" s="23"/>
      <c r="B203" s="23"/>
      <c r="C203" s="23"/>
      <c r="D203" s="23"/>
      <c r="E203" s="23"/>
      <c r="F203" s="23"/>
      <c r="G203" s="23"/>
      <c r="H203" s="401"/>
      <c r="I203" s="401"/>
      <c r="J203" s="401"/>
      <c r="K203" s="401"/>
      <c r="L203" s="401"/>
      <c r="M203" s="438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23"/>
      <c r="BD203" s="23"/>
      <c r="BE203" s="23"/>
      <c r="BF203" s="23"/>
      <c r="BG203" s="23"/>
      <c r="BH203" s="23"/>
      <c r="BI203" s="23"/>
      <c r="BJ203" s="23"/>
      <c r="BK203" s="23"/>
      <c r="BL203" s="23"/>
      <c r="BM203" s="23"/>
      <c r="BN203" s="23"/>
      <c r="BO203" s="23"/>
      <c r="BP203" s="23"/>
      <c r="BQ203" s="23"/>
      <c r="BR203" s="23"/>
      <c r="BS203" s="23"/>
      <c r="BT203" s="23"/>
      <c r="BU203" s="23"/>
      <c r="BV203" s="23"/>
      <c r="BW203" s="23"/>
      <c r="BX203" s="23"/>
      <c r="BY203" s="23"/>
      <c r="BZ203" s="23"/>
      <c r="CA203" s="23"/>
      <c r="CB203" s="23"/>
      <c r="CC203" s="23"/>
      <c r="CD203" s="23"/>
      <c r="CE203" s="23"/>
      <c r="CF203" s="23"/>
      <c r="CG203" s="23"/>
      <c r="CH203" s="23"/>
      <c r="CI203" s="23"/>
      <c r="CJ203" s="23"/>
      <c r="CK203" s="23"/>
      <c r="CL203" s="23"/>
      <c r="CM203" s="23"/>
      <c r="CN203" s="23"/>
      <c r="CO203" s="23"/>
      <c r="CP203" s="23"/>
      <c r="CQ203" s="23"/>
      <c r="CR203" s="23"/>
      <c r="CS203" s="23"/>
      <c r="CT203" s="23"/>
      <c r="CU203" s="23"/>
      <c r="CV203" s="23"/>
      <c r="CW203" s="23"/>
      <c r="CX203" s="23"/>
      <c r="CY203" s="23"/>
      <c r="CZ203" s="23"/>
      <c r="DA203" s="23"/>
      <c r="DB203" s="23"/>
      <c r="DC203" s="23"/>
      <c r="DD203" s="23"/>
      <c r="DE203" s="23"/>
      <c r="DF203" s="23"/>
      <c r="DG203" s="23"/>
      <c r="DH203" s="23"/>
      <c r="DI203" s="23"/>
      <c r="DJ203" s="23"/>
      <c r="DK203" s="23"/>
      <c r="DL203" s="23"/>
      <c r="DM203" s="23"/>
      <c r="DN203" s="23"/>
      <c r="DO203" s="23"/>
      <c r="DP203" s="23"/>
      <c r="DQ203" s="23"/>
      <c r="DR203" s="23"/>
      <c r="DS203" s="23"/>
      <c r="DT203" s="23"/>
      <c r="DU203" s="23"/>
      <c r="DV203" s="23"/>
      <c r="DW203" s="23"/>
      <c r="DX203" s="23"/>
      <c r="DY203" s="23"/>
      <c r="DZ203" s="23"/>
      <c r="EA203" s="23"/>
      <c r="EB203" s="23"/>
      <c r="EC203" s="23"/>
      <c r="ED203" s="23"/>
      <c r="EE203" s="23"/>
      <c r="EF203" s="23"/>
      <c r="EG203" s="23"/>
      <c r="EH203" s="23"/>
      <c r="EI203" s="23"/>
      <c r="EJ203" s="23"/>
      <c r="EK203" s="23"/>
      <c r="EL203" s="23"/>
      <c r="EM203" s="23"/>
      <c r="EN203" s="23"/>
      <c r="EO203" s="23"/>
      <c r="EP203" s="23"/>
      <c r="EQ203" s="23"/>
      <c r="ER203" s="23"/>
      <c r="ES203" s="23"/>
      <c r="ET203" s="23"/>
      <c r="EU203" s="23"/>
      <c r="EV203" s="23"/>
      <c r="EW203" s="23"/>
      <c r="EX203" s="23"/>
      <c r="EY203" s="23"/>
      <c r="EZ203" s="23"/>
      <c r="FA203" s="23"/>
      <c r="FB203" s="23"/>
      <c r="FC203" s="23"/>
      <c r="FD203" s="23"/>
      <c r="FE203" s="23"/>
      <c r="FF203" s="23"/>
      <c r="FG203" s="23"/>
      <c r="FH203" s="23"/>
      <c r="FI203" s="23"/>
      <c r="FJ203" s="23"/>
      <c r="FK203" s="23"/>
      <c r="FL203" s="23"/>
      <c r="FM203" s="23"/>
      <c r="FN203" s="23"/>
      <c r="FO203" s="23"/>
      <c r="FP203" s="23"/>
      <c r="FQ203" s="23"/>
      <c r="FR203" s="23"/>
      <c r="FS203" s="23"/>
      <c r="FT203" s="23"/>
      <c r="FU203" s="23"/>
      <c r="FV203" s="23"/>
      <c r="FW203" s="23"/>
      <c r="FX203" s="23"/>
      <c r="FY203" s="23"/>
      <c r="FZ203" s="23"/>
      <c r="GA203" s="23"/>
      <c r="GB203" s="23"/>
      <c r="GC203" s="23"/>
      <c r="GD203" s="23"/>
      <c r="GE203" s="23"/>
      <c r="GF203" s="23"/>
      <c r="GG203" s="23"/>
      <c r="GH203" s="23"/>
      <c r="GI203" s="23"/>
      <c r="GJ203" s="23"/>
      <c r="GK203" s="23"/>
      <c r="GL203" s="23"/>
    </row>
    <row r="204" spans="1:194" ht="13">
      <c r="A204" s="23"/>
      <c r="B204" s="23"/>
      <c r="C204" s="23"/>
      <c r="D204" s="23"/>
      <c r="E204" s="23"/>
      <c r="F204" s="23"/>
      <c r="G204" s="23"/>
      <c r="H204" s="401"/>
      <c r="I204" s="401"/>
      <c r="J204" s="401"/>
      <c r="K204" s="401"/>
      <c r="L204" s="401"/>
      <c r="M204" s="438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23"/>
      <c r="BH204" s="23"/>
      <c r="BI204" s="23"/>
      <c r="BJ204" s="23"/>
      <c r="BK204" s="23"/>
      <c r="BL204" s="23"/>
      <c r="BM204" s="23"/>
      <c r="BN204" s="23"/>
      <c r="BO204" s="23"/>
      <c r="BP204" s="23"/>
      <c r="BQ204" s="23"/>
      <c r="BR204" s="23"/>
      <c r="BS204" s="23"/>
      <c r="BT204" s="23"/>
      <c r="BU204" s="23"/>
      <c r="BV204" s="23"/>
      <c r="BW204" s="23"/>
      <c r="BX204" s="23"/>
      <c r="BY204" s="23"/>
      <c r="BZ204" s="23"/>
      <c r="CA204" s="23"/>
      <c r="CB204" s="23"/>
      <c r="CC204" s="23"/>
      <c r="CD204" s="23"/>
      <c r="CE204" s="23"/>
      <c r="CF204" s="23"/>
      <c r="CG204" s="23"/>
      <c r="CH204" s="23"/>
      <c r="CI204" s="23"/>
      <c r="CJ204" s="23"/>
      <c r="CK204" s="23"/>
      <c r="CL204" s="23"/>
      <c r="CM204" s="23"/>
      <c r="CN204" s="23"/>
      <c r="CO204" s="23"/>
      <c r="CP204" s="23"/>
      <c r="CQ204" s="23"/>
      <c r="CR204" s="23"/>
      <c r="CS204" s="23"/>
      <c r="CT204" s="23"/>
      <c r="CU204" s="23"/>
      <c r="CV204" s="23"/>
      <c r="CW204" s="23"/>
      <c r="CX204" s="23"/>
      <c r="CY204" s="23"/>
      <c r="CZ204" s="23"/>
      <c r="DA204" s="23"/>
      <c r="DB204" s="23"/>
      <c r="DC204" s="23"/>
      <c r="DD204" s="23"/>
      <c r="DE204" s="23"/>
      <c r="DF204" s="23"/>
      <c r="DG204" s="23"/>
      <c r="DH204" s="23"/>
      <c r="DI204" s="23"/>
      <c r="DJ204" s="23"/>
      <c r="DK204" s="23"/>
      <c r="DL204" s="23"/>
      <c r="DM204" s="23"/>
      <c r="DN204" s="23"/>
      <c r="DO204" s="23"/>
      <c r="DP204" s="23"/>
      <c r="DQ204" s="23"/>
      <c r="DR204" s="23"/>
      <c r="DS204" s="23"/>
      <c r="DT204" s="23"/>
      <c r="DU204" s="23"/>
      <c r="DV204" s="23"/>
      <c r="DW204" s="23"/>
      <c r="DX204" s="23"/>
      <c r="DY204" s="23"/>
      <c r="DZ204" s="23"/>
      <c r="EA204" s="23"/>
      <c r="EB204" s="23"/>
      <c r="EC204" s="23"/>
      <c r="ED204" s="23"/>
      <c r="EE204" s="23"/>
      <c r="EF204" s="23"/>
      <c r="EG204" s="23"/>
      <c r="EH204" s="23"/>
      <c r="EI204" s="23"/>
      <c r="EJ204" s="23"/>
      <c r="EK204" s="23"/>
      <c r="EL204" s="23"/>
      <c r="EM204" s="23"/>
      <c r="EN204" s="23"/>
      <c r="EO204" s="23"/>
      <c r="EP204" s="23"/>
      <c r="EQ204" s="23"/>
      <c r="ER204" s="23"/>
      <c r="ES204" s="23"/>
      <c r="ET204" s="23"/>
      <c r="EU204" s="23"/>
      <c r="EV204" s="23"/>
      <c r="EW204" s="23"/>
      <c r="EX204" s="23"/>
      <c r="EY204" s="23"/>
      <c r="EZ204" s="23"/>
      <c r="FA204" s="23"/>
      <c r="FB204" s="23"/>
      <c r="FC204" s="23"/>
      <c r="FD204" s="23"/>
      <c r="FE204" s="23"/>
      <c r="FF204" s="23"/>
      <c r="FG204" s="23"/>
      <c r="FH204" s="23"/>
      <c r="FI204" s="23"/>
      <c r="FJ204" s="23"/>
      <c r="FK204" s="23"/>
      <c r="FL204" s="23"/>
      <c r="FM204" s="23"/>
      <c r="FN204" s="23"/>
      <c r="FO204" s="23"/>
      <c r="FP204" s="23"/>
      <c r="FQ204" s="23"/>
      <c r="FR204" s="23"/>
      <c r="FS204" s="23"/>
      <c r="FT204" s="23"/>
      <c r="FU204" s="23"/>
      <c r="FV204" s="23"/>
      <c r="FW204" s="23"/>
      <c r="FX204" s="23"/>
      <c r="FY204" s="23"/>
      <c r="FZ204" s="23"/>
      <c r="GA204" s="23"/>
      <c r="GB204" s="23"/>
      <c r="GC204" s="23"/>
      <c r="GD204" s="23"/>
      <c r="GE204" s="23"/>
      <c r="GF204" s="23"/>
      <c r="GG204" s="23"/>
      <c r="GH204" s="23"/>
      <c r="GI204" s="23"/>
      <c r="GJ204" s="23"/>
      <c r="GK204" s="23"/>
      <c r="GL204" s="23"/>
    </row>
    <row r="205" spans="1:194" ht="13">
      <c r="A205" s="23"/>
      <c r="B205" s="23"/>
      <c r="C205" s="23"/>
      <c r="D205" s="23"/>
      <c r="E205" s="23"/>
      <c r="F205" s="23"/>
      <c r="G205" s="23"/>
      <c r="H205" s="401"/>
      <c r="I205" s="401"/>
      <c r="J205" s="401"/>
      <c r="K205" s="401"/>
      <c r="L205" s="401"/>
      <c r="M205" s="438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  <c r="BF205" s="23"/>
      <c r="BG205" s="23"/>
      <c r="BH205" s="23"/>
      <c r="BI205" s="23"/>
      <c r="BJ205" s="23"/>
      <c r="BK205" s="23"/>
      <c r="BL205" s="23"/>
      <c r="BM205" s="23"/>
      <c r="BN205" s="23"/>
      <c r="BO205" s="23"/>
      <c r="BP205" s="23"/>
      <c r="BQ205" s="23"/>
      <c r="BR205" s="23"/>
      <c r="BS205" s="23"/>
      <c r="BT205" s="23"/>
      <c r="BU205" s="23"/>
      <c r="BV205" s="23"/>
      <c r="BW205" s="23"/>
      <c r="BX205" s="23"/>
      <c r="BY205" s="23"/>
      <c r="BZ205" s="23"/>
      <c r="CA205" s="23"/>
      <c r="CB205" s="23"/>
      <c r="CC205" s="23"/>
      <c r="CD205" s="23"/>
      <c r="CE205" s="23"/>
      <c r="CF205" s="23"/>
      <c r="CG205" s="23"/>
      <c r="CH205" s="23"/>
      <c r="CI205" s="23"/>
      <c r="CJ205" s="23"/>
      <c r="CK205" s="23"/>
      <c r="CL205" s="23"/>
      <c r="CM205" s="23"/>
      <c r="CN205" s="23"/>
      <c r="CO205" s="23"/>
      <c r="CP205" s="23"/>
      <c r="CQ205" s="23"/>
      <c r="CR205" s="23"/>
      <c r="CS205" s="23"/>
      <c r="CT205" s="23"/>
      <c r="CU205" s="23"/>
      <c r="CV205" s="23"/>
      <c r="CW205" s="23"/>
      <c r="CX205" s="23"/>
      <c r="CY205" s="23"/>
      <c r="CZ205" s="23"/>
      <c r="DA205" s="23"/>
      <c r="DB205" s="23"/>
      <c r="DC205" s="23"/>
      <c r="DD205" s="23"/>
      <c r="DE205" s="23"/>
      <c r="DF205" s="23"/>
      <c r="DG205" s="23"/>
      <c r="DH205" s="23"/>
      <c r="DI205" s="23"/>
      <c r="DJ205" s="23"/>
      <c r="DK205" s="23"/>
      <c r="DL205" s="23"/>
      <c r="DM205" s="23"/>
      <c r="DN205" s="23"/>
      <c r="DO205" s="23"/>
      <c r="DP205" s="23"/>
      <c r="DQ205" s="23"/>
      <c r="DR205" s="23"/>
      <c r="DS205" s="23"/>
      <c r="DT205" s="23"/>
      <c r="DU205" s="23"/>
      <c r="DV205" s="23"/>
      <c r="DW205" s="23"/>
      <c r="DX205" s="23"/>
      <c r="DY205" s="23"/>
      <c r="DZ205" s="23"/>
      <c r="EA205" s="23"/>
      <c r="EB205" s="23"/>
      <c r="EC205" s="23"/>
      <c r="ED205" s="23"/>
      <c r="EE205" s="23"/>
      <c r="EF205" s="23"/>
      <c r="EG205" s="23"/>
      <c r="EH205" s="23"/>
      <c r="EI205" s="23"/>
      <c r="EJ205" s="23"/>
      <c r="EK205" s="23"/>
      <c r="EL205" s="23"/>
      <c r="EM205" s="23"/>
      <c r="EN205" s="23"/>
      <c r="EO205" s="23"/>
      <c r="EP205" s="23"/>
      <c r="EQ205" s="23"/>
      <c r="ER205" s="23"/>
      <c r="ES205" s="23"/>
      <c r="ET205" s="23"/>
      <c r="EU205" s="23"/>
      <c r="EV205" s="23"/>
      <c r="EW205" s="23"/>
      <c r="EX205" s="23"/>
      <c r="EY205" s="23"/>
      <c r="EZ205" s="23"/>
      <c r="FA205" s="23"/>
      <c r="FB205" s="23"/>
      <c r="FC205" s="23"/>
      <c r="FD205" s="23"/>
      <c r="FE205" s="23"/>
      <c r="FF205" s="23"/>
      <c r="FG205" s="23"/>
      <c r="FH205" s="23"/>
      <c r="FI205" s="23"/>
      <c r="FJ205" s="23"/>
      <c r="FK205" s="23"/>
      <c r="FL205" s="23"/>
      <c r="FM205" s="23"/>
      <c r="FN205" s="23"/>
      <c r="FO205" s="23"/>
      <c r="FP205" s="23"/>
      <c r="FQ205" s="23"/>
      <c r="FR205" s="23"/>
      <c r="FS205" s="23"/>
      <c r="FT205" s="23"/>
      <c r="FU205" s="23"/>
      <c r="FV205" s="23"/>
      <c r="FW205" s="23"/>
      <c r="FX205" s="23"/>
      <c r="FY205" s="23"/>
      <c r="FZ205" s="23"/>
      <c r="GA205" s="23"/>
      <c r="GB205" s="23"/>
      <c r="GC205" s="23"/>
      <c r="GD205" s="23"/>
      <c r="GE205" s="23"/>
      <c r="GF205" s="23"/>
      <c r="GG205" s="23"/>
      <c r="GH205" s="23"/>
      <c r="GI205" s="23"/>
      <c r="GJ205" s="23"/>
      <c r="GK205" s="23"/>
      <c r="GL205" s="23"/>
    </row>
    <row r="206" spans="1:194" ht="13">
      <c r="A206" s="23"/>
      <c r="B206" s="23"/>
      <c r="C206" s="23"/>
      <c r="D206" s="23"/>
      <c r="E206" s="23"/>
      <c r="F206" s="23"/>
      <c r="G206" s="23"/>
      <c r="H206" s="401"/>
      <c r="I206" s="401"/>
      <c r="J206" s="401"/>
      <c r="K206" s="401"/>
      <c r="L206" s="401"/>
      <c r="M206" s="438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23"/>
      <c r="BD206" s="23"/>
      <c r="BE206" s="23"/>
      <c r="BF206" s="23"/>
      <c r="BG206" s="23"/>
      <c r="BH206" s="23"/>
      <c r="BI206" s="23"/>
      <c r="BJ206" s="23"/>
      <c r="BK206" s="23"/>
      <c r="BL206" s="23"/>
      <c r="BM206" s="23"/>
      <c r="BN206" s="23"/>
      <c r="BO206" s="23"/>
      <c r="BP206" s="23"/>
      <c r="BQ206" s="23"/>
      <c r="BR206" s="23"/>
      <c r="BS206" s="23"/>
      <c r="BT206" s="23"/>
      <c r="BU206" s="23"/>
      <c r="BV206" s="23"/>
      <c r="BW206" s="23"/>
      <c r="BX206" s="23"/>
      <c r="BY206" s="23"/>
      <c r="BZ206" s="23"/>
      <c r="CA206" s="23"/>
      <c r="CB206" s="23"/>
      <c r="CC206" s="23"/>
      <c r="CD206" s="23"/>
      <c r="CE206" s="23"/>
      <c r="CF206" s="23"/>
      <c r="CG206" s="23"/>
      <c r="CH206" s="23"/>
      <c r="CI206" s="23"/>
      <c r="CJ206" s="23"/>
      <c r="CK206" s="23"/>
      <c r="CL206" s="23"/>
      <c r="CM206" s="23"/>
      <c r="CN206" s="23"/>
      <c r="CO206" s="23"/>
      <c r="CP206" s="23"/>
      <c r="CQ206" s="23"/>
      <c r="CR206" s="23"/>
      <c r="CS206" s="23"/>
      <c r="CT206" s="23"/>
      <c r="CU206" s="23"/>
      <c r="CV206" s="23"/>
      <c r="CW206" s="23"/>
      <c r="CX206" s="23"/>
      <c r="CY206" s="23"/>
      <c r="CZ206" s="23"/>
      <c r="DA206" s="23"/>
      <c r="DB206" s="23"/>
      <c r="DC206" s="23"/>
      <c r="DD206" s="23"/>
      <c r="DE206" s="23"/>
      <c r="DF206" s="23"/>
      <c r="DG206" s="23"/>
      <c r="DH206" s="23"/>
      <c r="DI206" s="23"/>
      <c r="DJ206" s="23"/>
      <c r="DK206" s="23"/>
      <c r="DL206" s="23"/>
      <c r="DM206" s="23"/>
      <c r="DN206" s="23"/>
      <c r="DO206" s="23"/>
      <c r="DP206" s="23"/>
      <c r="DQ206" s="23"/>
      <c r="DR206" s="23"/>
      <c r="DS206" s="23"/>
      <c r="DT206" s="23"/>
      <c r="DU206" s="23"/>
      <c r="DV206" s="23"/>
      <c r="DW206" s="23"/>
      <c r="DX206" s="23"/>
      <c r="DY206" s="23"/>
      <c r="DZ206" s="23"/>
      <c r="EA206" s="23"/>
      <c r="EB206" s="23"/>
      <c r="EC206" s="23"/>
      <c r="ED206" s="23"/>
      <c r="EE206" s="23"/>
      <c r="EF206" s="23"/>
      <c r="EG206" s="23"/>
      <c r="EH206" s="23"/>
      <c r="EI206" s="23"/>
      <c r="EJ206" s="23"/>
      <c r="EK206" s="23"/>
      <c r="EL206" s="23"/>
      <c r="EM206" s="23"/>
      <c r="EN206" s="23"/>
      <c r="EO206" s="23"/>
      <c r="EP206" s="23"/>
      <c r="EQ206" s="23"/>
      <c r="ER206" s="23"/>
      <c r="ES206" s="23"/>
      <c r="ET206" s="23"/>
      <c r="EU206" s="23"/>
      <c r="EV206" s="23"/>
      <c r="EW206" s="23"/>
      <c r="EX206" s="23"/>
      <c r="EY206" s="23"/>
      <c r="EZ206" s="23"/>
      <c r="FA206" s="23"/>
      <c r="FB206" s="23"/>
      <c r="FC206" s="23"/>
      <c r="FD206" s="23"/>
      <c r="FE206" s="23"/>
      <c r="FF206" s="23"/>
      <c r="FG206" s="23"/>
      <c r="FH206" s="23"/>
      <c r="FI206" s="23"/>
      <c r="FJ206" s="23"/>
      <c r="FK206" s="23"/>
      <c r="FL206" s="23"/>
      <c r="FM206" s="23"/>
      <c r="FN206" s="23"/>
      <c r="FO206" s="23"/>
      <c r="FP206" s="23"/>
      <c r="FQ206" s="23"/>
      <c r="FR206" s="23"/>
      <c r="FS206" s="23"/>
      <c r="FT206" s="23"/>
      <c r="FU206" s="23"/>
      <c r="FV206" s="23"/>
      <c r="FW206" s="23"/>
      <c r="FX206" s="23"/>
      <c r="FY206" s="23"/>
      <c r="FZ206" s="23"/>
      <c r="GA206" s="23"/>
      <c r="GB206" s="23"/>
      <c r="GC206" s="23"/>
      <c r="GD206" s="23"/>
      <c r="GE206" s="23"/>
      <c r="GF206" s="23"/>
      <c r="GG206" s="23"/>
      <c r="GH206" s="23"/>
      <c r="GI206" s="23"/>
      <c r="GJ206" s="23"/>
      <c r="GK206" s="23"/>
      <c r="GL206" s="23"/>
    </row>
    <row r="207" spans="1:194" ht="13">
      <c r="A207" s="23"/>
      <c r="B207" s="23"/>
      <c r="C207" s="23"/>
      <c r="D207" s="23"/>
      <c r="E207" s="23"/>
      <c r="F207" s="23"/>
      <c r="G207" s="23"/>
      <c r="H207" s="401"/>
      <c r="I207" s="401"/>
      <c r="J207" s="401"/>
      <c r="K207" s="401"/>
      <c r="L207" s="401"/>
      <c r="M207" s="438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23"/>
      <c r="BD207" s="23"/>
      <c r="BE207" s="23"/>
      <c r="BF207" s="23"/>
      <c r="BG207" s="23"/>
      <c r="BH207" s="23"/>
      <c r="BI207" s="23"/>
      <c r="BJ207" s="23"/>
      <c r="BK207" s="23"/>
      <c r="BL207" s="23"/>
      <c r="BM207" s="23"/>
      <c r="BN207" s="23"/>
      <c r="BO207" s="23"/>
      <c r="BP207" s="23"/>
      <c r="BQ207" s="23"/>
      <c r="BR207" s="23"/>
      <c r="BS207" s="23"/>
      <c r="BT207" s="23"/>
      <c r="BU207" s="23"/>
      <c r="BV207" s="23"/>
      <c r="BW207" s="23"/>
      <c r="BX207" s="23"/>
      <c r="BY207" s="23"/>
      <c r="BZ207" s="23"/>
      <c r="CA207" s="23"/>
      <c r="CB207" s="23"/>
      <c r="CC207" s="23"/>
      <c r="CD207" s="23"/>
      <c r="CE207" s="23"/>
      <c r="CF207" s="23"/>
      <c r="CG207" s="23"/>
      <c r="CH207" s="23"/>
      <c r="CI207" s="23"/>
      <c r="CJ207" s="23"/>
      <c r="CK207" s="23"/>
      <c r="CL207" s="23"/>
      <c r="CM207" s="23"/>
      <c r="CN207" s="23"/>
      <c r="CO207" s="23"/>
      <c r="CP207" s="23"/>
      <c r="CQ207" s="23"/>
      <c r="CR207" s="23"/>
      <c r="CS207" s="23"/>
      <c r="CT207" s="23"/>
      <c r="CU207" s="23"/>
      <c r="CV207" s="23"/>
      <c r="CW207" s="23"/>
      <c r="CX207" s="23"/>
      <c r="CY207" s="23"/>
      <c r="CZ207" s="23"/>
      <c r="DA207" s="23"/>
      <c r="DB207" s="23"/>
      <c r="DC207" s="23"/>
      <c r="DD207" s="23"/>
      <c r="DE207" s="23"/>
      <c r="DF207" s="23"/>
      <c r="DG207" s="23"/>
      <c r="DH207" s="23"/>
      <c r="DI207" s="23"/>
      <c r="DJ207" s="23"/>
      <c r="DK207" s="23"/>
      <c r="DL207" s="23"/>
      <c r="DM207" s="23"/>
      <c r="DN207" s="23"/>
      <c r="DO207" s="23"/>
      <c r="DP207" s="23"/>
      <c r="DQ207" s="23"/>
      <c r="DR207" s="23"/>
      <c r="DS207" s="23"/>
      <c r="DT207" s="23"/>
      <c r="DU207" s="23"/>
      <c r="DV207" s="23"/>
      <c r="DW207" s="23"/>
      <c r="DX207" s="23"/>
      <c r="DY207" s="23"/>
      <c r="DZ207" s="23"/>
      <c r="EA207" s="23"/>
      <c r="EB207" s="23"/>
      <c r="EC207" s="23"/>
      <c r="ED207" s="23"/>
      <c r="EE207" s="23"/>
      <c r="EF207" s="23"/>
      <c r="EG207" s="23"/>
      <c r="EH207" s="23"/>
      <c r="EI207" s="23"/>
      <c r="EJ207" s="23"/>
      <c r="EK207" s="23"/>
      <c r="EL207" s="23"/>
      <c r="EM207" s="23"/>
      <c r="EN207" s="23"/>
      <c r="EO207" s="23"/>
      <c r="EP207" s="23"/>
      <c r="EQ207" s="23"/>
      <c r="ER207" s="23"/>
      <c r="ES207" s="23"/>
      <c r="ET207" s="23"/>
      <c r="EU207" s="23"/>
      <c r="EV207" s="23"/>
      <c r="EW207" s="23"/>
      <c r="EX207" s="23"/>
      <c r="EY207" s="23"/>
      <c r="EZ207" s="23"/>
      <c r="FA207" s="23"/>
      <c r="FB207" s="23"/>
      <c r="FC207" s="23"/>
      <c r="FD207" s="23"/>
      <c r="FE207" s="23"/>
      <c r="FF207" s="23"/>
      <c r="FG207" s="23"/>
      <c r="FH207" s="23"/>
      <c r="FI207" s="23"/>
      <c r="FJ207" s="23"/>
      <c r="FK207" s="23"/>
      <c r="FL207" s="23"/>
      <c r="FM207" s="23"/>
      <c r="FN207" s="23"/>
      <c r="FO207" s="23"/>
      <c r="FP207" s="23"/>
      <c r="FQ207" s="23"/>
      <c r="FR207" s="23"/>
      <c r="FS207" s="23"/>
      <c r="FT207" s="23"/>
      <c r="FU207" s="23"/>
      <c r="FV207" s="23"/>
      <c r="FW207" s="23"/>
      <c r="FX207" s="23"/>
      <c r="FY207" s="23"/>
      <c r="FZ207" s="23"/>
      <c r="GA207" s="23"/>
      <c r="GB207" s="23"/>
      <c r="GC207" s="23"/>
      <c r="GD207" s="23"/>
      <c r="GE207" s="23"/>
      <c r="GF207" s="23"/>
      <c r="GG207" s="23"/>
      <c r="GH207" s="23"/>
      <c r="GI207" s="23"/>
      <c r="GJ207" s="23"/>
      <c r="GK207" s="23"/>
      <c r="GL207" s="23"/>
    </row>
    <row r="208" spans="1:194" ht="13">
      <c r="A208" s="23"/>
      <c r="B208" s="23"/>
      <c r="C208" s="23"/>
      <c r="D208" s="23"/>
      <c r="E208" s="23"/>
      <c r="F208" s="23"/>
      <c r="G208" s="23"/>
      <c r="H208" s="401"/>
      <c r="I208" s="401"/>
      <c r="J208" s="401"/>
      <c r="K208" s="401"/>
      <c r="L208" s="401"/>
      <c r="M208" s="438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  <c r="BA208" s="23"/>
      <c r="BB208" s="23"/>
      <c r="BC208" s="23"/>
      <c r="BD208" s="23"/>
      <c r="BE208" s="23"/>
      <c r="BF208" s="23"/>
      <c r="BG208" s="23"/>
      <c r="BH208" s="23"/>
      <c r="BI208" s="23"/>
      <c r="BJ208" s="23"/>
      <c r="BK208" s="23"/>
      <c r="BL208" s="23"/>
      <c r="BM208" s="23"/>
      <c r="BN208" s="23"/>
      <c r="BO208" s="23"/>
      <c r="BP208" s="23"/>
      <c r="BQ208" s="23"/>
      <c r="BR208" s="23"/>
      <c r="BS208" s="23"/>
      <c r="BT208" s="23"/>
      <c r="BU208" s="23"/>
      <c r="BV208" s="23"/>
      <c r="BW208" s="23"/>
      <c r="BX208" s="23"/>
      <c r="BY208" s="23"/>
      <c r="BZ208" s="23"/>
      <c r="CA208" s="23"/>
      <c r="CB208" s="23"/>
      <c r="CC208" s="23"/>
      <c r="CD208" s="23"/>
      <c r="CE208" s="23"/>
      <c r="CF208" s="23"/>
      <c r="CG208" s="23"/>
      <c r="CH208" s="23"/>
      <c r="CI208" s="23"/>
      <c r="CJ208" s="23"/>
      <c r="CK208" s="23"/>
      <c r="CL208" s="23"/>
      <c r="CM208" s="23"/>
      <c r="CN208" s="23"/>
      <c r="CO208" s="23"/>
      <c r="CP208" s="23"/>
      <c r="CQ208" s="23"/>
      <c r="CR208" s="23"/>
      <c r="CS208" s="23"/>
      <c r="CT208" s="23"/>
      <c r="CU208" s="23"/>
      <c r="CV208" s="23"/>
      <c r="CW208" s="23"/>
      <c r="CX208" s="23"/>
      <c r="CY208" s="23"/>
      <c r="CZ208" s="23"/>
      <c r="DA208" s="23"/>
      <c r="DB208" s="23"/>
      <c r="DC208" s="23"/>
      <c r="DD208" s="23"/>
      <c r="DE208" s="23"/>
      <c r="DF208" s="23"/>
      <c r="DG208" s="23"/>
      <c r="DH208" s="23"/>
      <c r="DI208" s="23"/>
      <c r="DJ208" s="23"/>
      <c r="DK208" s="23"/>
      <c r="DL208" s="23"/>
      <c r="DM208" s="23"/>
      <c r="DN208" s="23"/>
      <c r="DO208" s="23"/>
      <c r="DP208" s="23"/>
      <c r="DQ208" s="23"/>
      <c r="DR208" s="23"/>
      <c r="DS208" s="23"/>
      <c r="DT208" s="23"/>
      <c r="DU208" s="23"/>
      <c r="DV208" s="23"/>
      <c r="DW208" s="23"/>
      <c r="DX208" s="23"/>
      <c r="DY208" s="23"/>
      <c r="DZ208" s="23"/>
      <c r="EA208" s="23"/>
      <c r="EB208" s="23"/>
      <c r="EC208" s="23"/>
      <c r="ED208" s="23"/>
      <c r="EE208" s="23"/>
      <c r="EF208" s="23"/>
      <c r="EG208" s="23"/>
      <c r="EH208" s="23"/>
      <c r="EI208" s="23"/>
      <c r="EJ208" s="23"/>
      <c r="EK208" s="23"/>
      <c r="EL208" s="23"/>
      <c r="EM208" s="23"/>
      <c r="EN208" s="23"/>
      <c r="EO208" s="23"/>
      <c r="EP208" s="23"/>
      <c r="EQ208" s="23"/>
      <c r="ER208" s="23"/>
      <c r="ES208" s="23"/>
      <c r="ET208" s="23"/>
      <c r="EU208" s="23"/>
      <c r="EV208" s="23"/>
      <c r="EW208" s="23"/>
      <c r="EX208" s="23"/>
      <c r="EY208" s="23"/>
      <c r="EZ208" s="23"/>
      <c r="FA208" s="23"/>
      <c r="FB208" s="23"/>
      <c r="FC208" s="23"/>
      <c r="FD208" s="23"/>
      <c r="FE208" s="23"/>
      <c r="FF208" s="23"/>
      <c r="FG208" s="23"/>
      <c r="FH208" s="23"/>
      <c r="FI208" s="23"/>
      <c r="FJ208" s="23"/>
      <c r="FK208" s="23"/>
      <c r="FL208" s="23"/>
      <c r="FM208" s="23"/>
      <c r="FN208" s="23"/>
      <c r="FO208" s="23"/>
      <c r="FP208" s="23"/>
      <c r="FQ208" s="23"/>
      <c r="FR208" s="23"/>
      <c r="FS208" s="23"/>
      <c r="FT208" s="23"/>
      <c r="FU208" s="23"/>
      <c r="FV208" s="23"/>
      <c r="FW208" s="23"/>
      <c r="FX208" s="23"/>
      <c r="FY208" s="23"/>
      <c r="FZ208" s="23"/>
      <c r="GA208" s="23"/>
      <c r="GB208" s="23"/>
      <c r="GC208" s="23"/>
      <c r="GD208" s="23"/>
      <c r="GE208" s="23"/>
      <c r="GF208" s="23"/>
      <c r="GG208" s="23"/>
      <c r="GH208" s="23"/>
      <c r="GI208" s="23"/>
      <c r="GJ208" s="23"/>
      <c r="GK208" s="23"/>
      <c r="GL208" s="23"/>
    </row>
    <row r="209" spans="1:194" ht="13">
      <c r="A209" s="23"/>
      <c r="B209" s="23"/>
      <c r="C209" s="23"/>
      <c r="D209" s="23"/>
      <c r="E209" s="23"/>
      <c r="F209" s="23"/>
      <c r="G209" s="23"/>
      <c r="H209" s="401"/>
      <c r="I209" s="401"/>
      <c r="J209" s="401"/>
      <c r="K209" s="401"/>
      <c r="L209" s="401"/>
      <c r="M209" s="438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  <c r="BA209" s="23"/>
      <c r="BB209" s="23"/>
      <c r="BC209" s="23"/>
      <c r="BD209" s="23"/>
      <c r="BE209" s="23"/>
      <c r="BF209" s="23"/>
      <c r="BG209" s="23"/>
      <c r="BH209" s="23"/>
      <c r="BI209" s="23"/>
      <c r="BJ209" s="23"/>
      <c r="BK209" s="23"/>
      <c r="BL209" s="23"/>
      <c r="BM209" s="23"/>
      <c r="BN209" s="23"/>
      <c r="BO209" s="23"/>
      <c r="BP209" s="23"/>
      <c r="BQ209" s="23"/>
      <c r="BR209" s="23"/>
      <c r="BS209" s="23"/>
      <c r="BT209" s="23"/>
      <c r="BU209" s="23"/>
      <c r="BV209" s="23"/>
      <c r="BW209" s="23"/>
      <c r="BX209" s="23"/>
      <c r="BY209" s="23"/>
      <c r="BZ209" s="23"/>
      <c r="CA209" s="23"/>
      <c r="CB209" s="23"/>
      <c r="CC209" s="23"/>
      <c r="CD209" s="23"/>
      <c r="CE209" s="23"/>
      <c r="CF209" s="23"/>
      <c r="CG209" s="23"/>
      <c r="CH209" s="23"/>
      <c r="CI209" s="23"/>
      <c r="CJ209" s="23"/>
      <c r="CK209" s="23"/>
      <c r="CL209" s="23"/>
      <c r="CM209" s="23"/>
      <c r="CN209" s="23"/>
      <c r="CO209" s="23"/>
      <c r="CP209" s="23"/>
      <c r="CQ209" s="23"/>
      <c r="CR209" s="23"/>
      <c r="CS209" s="23"/>
      <c r="CT209" s="23"/>
      <c r="CU209" s="23"/>
      <c r="CV209" s="23"/>
      <c r="CW209" s="23"/>
      <c r="CX209" s="23"/>
      <c r="CY209" s="23"/>
      <c r="CZ209" s="23"/>
      <c r="DA209" s="23"/>
      <c r="DB209" s="23"/>
      <c r="DC209" s="23"/>
      <c r="DD209" s="23"/>
      <c r="DE209" s="23"/>
      <c r="DF209" s="23"/>
      <c r="DG209" s="23"/>
      <c r="DH209" s="23"/>
      <c r="DI209" s="23"/>
      <c r="DJ209" s="23"/>
      <c r="DK209" s="23"/>
      <c r="DL209" s="23"/>
      <c r="DM209" s="23"/>
      <c r="DN209" s="23"/>
      <c r="DO209" s="23"/>
      <c r="DP209" s="23"/>
      <c r="DQ209" s="23"/>
      <c r="DR209" s="23"/>
      <c r="DS209" s="23"/>
      <c r="DT209" s="23"/>
      <c r="DU209" s="23"/>
      <c r="DV209" s="23"/>
      <c r="DW209" s="23"/>
      <c r="DX209" s="23"/>
      <c r="DY209" s="23"/>
      <c r="DZ209" s="23"/>
      <c r="EA209" s="23"/>
      <c r="EB209" s="23"/>
      <c r="EC209" s="23"/>
      <c r="ED209" s="23"/>
      <c r="EE209" s="23"/>
      <c r="EF209" s="23"/>
      <c r="EG209" s="23"/>
      <c r="EH209" s="23"/>
      <c r="EI209" s="23"/>
      <c r="EJ209" s="23"/>
      <c r="EK209" s="23"/>
      <c r="EL209" s="23"/>
      <c r="EM209" s="23"/>
      <c r="EN209" s="23"/>
      <c r="EO209" s="23"/>
      <c r="EP209" s="23"/>
      <c r="EQ209" s="23"/>
      <c r="ER209" s="23"/>
      <c r="ES209" s="23"/>
      <c r="ET209" s="23"/>
      <c r="EU209" s="23"/>
      <c r="EV209" s="23"/>
      <c r="EW209" s="23"/>
      <c r="EX209" s="23"/>
      <c r="EY209" s="23"/>
      <c r="EZ209" s="23"/>
      <c r="FA209" s="23"/>
      <c r="FB209" s="23"/>
      <c r="FC209" s="23"/>
      <c r="FD209" s="23"/>
      <c r="FE209" s="23"/>
      <c r="FF209" s="23"/>
      <c r="FG209" s="23"/>
      <c r="FH209" s="23"/>
      <c r="FI209" s="23"/>
      <c r="FJ209" s="23"/>
      <c r="FK209" s="23"/>
      <c r="FL209" s="23"/>
      <c r="FM209" s="23"/>
      <c r="FN209" s="23"/>
      <c r="FO209" s="23"/>
      <c r="FP209" s="23"/>
      <c r="FQ209" s="23"/>
      <c r="FR209" s="23"/>
      <c r="FS209" s="23"/>
      <c r="FT209" s="23"/>
      <c r="FU209" s="23"/>
      <c r="FV209" s="23"/>
      <c r="FW209" s="23"/>
      <c r="FX209" s="23"/>
      <c r="FY209" s="23"/>
      <c r="FZ209" s="23"/>
      <c r="GA209" s="23"/>
      <c r="GB209" s="23"/>
      <c r="GC209" s="23"/>
      <c r="GD209" s="23"/>
      <c r="GE209" s="23"/>
      <c r="GF209" s="23"/>
      <c r="GG209" s="23"/>
      <c r="GH209" s="23"/>
      <c r="GI209" s="23"/>
      <c r="GJ209" s="23"/>
      <c r="GK209" s="23"/>
      <c r="GL209" s="23"/>
    </row>
    <row r="210" spans="1:194" ht="13">
      <c r="A210" s="23"/>
      <c r="B210" s="23"/>
      <c r="C210" s="23"/>
      <c r="D210" s="23"/>
      <c r="E210" s="23"/>
      <c r="F210" s="23"/>
      <c r="G210" s="23"/>
      <c r="H210" s="401"/>
      <c r="I210" s="401"/>
      <c r="J210" s="401"/>
      <c r="K210" s="401"/>
      <c r="L210" s="401"/>
      <c r="M210" s="438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  <c r="BA210" s="23"/>
      <c r="BB210" s="23"/>
      <c r="BC210" s="23"/>
      <c r="BD210" s="23"/>
      <c r="BE210" s="23"/>
      <c r="BF210" s="23"/>
      <c r="BG210" s="23"/>
      <c r="BH210" s="23"/>
      <c r="BI210" s="23"/>
      <c r="BJ210" s="23"/>
      <c r="BK210" s="23"/>
      <c r="BL210" s="23"/>
      <c r="BM210" s="23"/>
      <c r="BN210" s="23"/>
      <c r="BO210" s="23"/>
      <c r="BP210" s="23"/>
      <c r="BQ210" s="23"/>
      <c r="BR210" s="23"/>
      <c r="BS210" s="23"/>
      <c r="BT210" s="23"/>
      <c r="BU210" s="23"/>
      <c r="BV210" s="23"/>
      <c r="BW210" s="23"/>
      <c r="BX210" s="23"/>
      <c r="BY210" s="23"/>
      <c r="BZ210" s="23"/>
      <c r="CA210" s="23"/>
      <c r="CB210" s="23"/>
      <c r="CC210" s="23"/>
      <c r="CD210" s="23"/>
      <c r="CE210" s="23"/>
      <c r="CF210" s="23"/>
      <c r="CG210" s="23"/>
      <c r="CH210" s="23"/>
      <c r="CI210" s="23"/>
      <c r="CJ210" s="23"/>
      <c r="CK210" s="23"/>
      <c r="CL210" s="23"/>
      <c r="CM210" s="23"/>
      <c r="CN210" s="23"/>
      <c r="CO210" s="23"/>
      <c r="CP210" s="23"/>
      <c r="CQ210" s="23"/>
      <c r="CR210" s="23"/>
      <c r="CS210" s="23"/>
      <c r="CT210" s="23"/>
      <c r="CU210" s="23"/>
      <c r="CV210" s="23"/>
      <c r="CW210" s="23"/>
      <c r="CX210" s="23"/>
      <c r="CY210" s="23"/>
      <c r="CZ210" s="23"/>
      <c r="DA210" s="23"/>
      <c r="DB210" s="23"/>
      <c r="DC210" s="23"/>
      <c r="DD210" s="23"/>
      <c r="DE210" s="23"/>
      <c r="DF210" s="23"/>
      <c r="DG210" s="23"/>
      <c r="DH210" s="23"/>
      <c r="DI210" s="23"/>
      <c r="DJ210" s="23"/>
      <c r="DK210" s="23"/>
      <c r="DL210" s="23"/>
      <c r="DM210" s="23"/>
      <c r="DN210" s="23"/>
      <c r="DO210" s="23"/>
      <c r="DP210" s="23"/>
      <c r="DQ210" s="23"/>
      <c r="DR210" s="23"/>
      <c r="DS210" s="23"/>
      <c r="DT210" s="23"/>
      <c r="DU210" s="23"/>
      <c r="DV210" s="23"/>
      <c r="DW210" s="23"/>
      <c r="DX210" s="23"/>
      <c r="DY210" s="23"/>
      <c r="DZ210" s="23"/>
      <c r="EA210" s="23"/>
      <c r="EB210" s="23"/>
      <c r="EC210" s="23"/>
      <c r="ED210" s="23"/>
      <c r="EE210" s="23"/>
      <c r="EF210" s="23"/>
      <c r="EG210" s="23"/>
      <c r="EH210" s="23"/>
      <c r="EI210" s="23"/>
      <c r="EJ210" s="23"/>
      <c r="EK210" s="23"/>
      <c r="EL210" s="23"/>
      <c r="EM210" s="23"/>
      <c r="EN210" s="23"/>
      <c r="EO210" s="23"/>
      <c r="EP210" s="23"/>
      <c r="EQ210" s="23"/>
      <c r="ER210" s="23"/>
      <c r="ES210" s="23"/>
      <c r="ET210" s="23"/>
      <c r="EU210" s="23"/>
      <c r="EV210" s="23"/>
      <c r="EW210" s="23"/>
      <c r="EX210" s="23"/>
      <c r="EY210" s="23"/>
      <c r="EZ210" s="23"/>
      <c r="FA210" s="23"/>
      <c r="FB210" s="23"/>
      <c r="FC210" s="23"/>
      <c r="FD210" s="23"/>
      <c r="FE210" s="23"/>
      <c r="FF210" s="23"/>
      <c r="FG210" s="23"/>
      <c r="FH210" s="23"/>
      <c r="FI210" s="23"/>
      <c r="FJ210" s="23"/>
      <c r="FK210" s="23"/>
      <c r="FL210" s="23"/>
      <c r="FM210" s="23"/>
      <c r="FN210" s="23"/>
      <c r="FO210" s="23"/>
      <c r="FP210" s="23"/>
      <c r="FQ210" s="23"/>
      <c r="FR210" s="23"/>
      <c r="FS210" s="23"/>
      <c r="FT210" s="23"/>
      <c r="FU210" s="23"/>
      <c r="FV210" s="23"/>
      <c r="FW210" s="23"/>
      <c r="FX210" s="23"/>
      <c r="FY210" s="23"/>
      <c r="FZ210" s="23"/>
      <c r="GA210" s="23"/>
      <c r="GB210" s="23"/>
      <c r="GC210" s="23"/>
      <c r="GD210" s="23"/>
      <c r="GE210" s="23"/>
      <c r="GF210" s="23"/>
      <c r="GG210" s="23"/>
      <c r="GH210" s="23"/>
      <c r="GI210" s="23"/>
      <c r="GJ210" s="23"/>
      <c r="GK210" s="23"/>
      <c r="GL210" s="23"/>
    </row>
    <row r="211" spans="1:194" ht="13">
      <c r="A211" s="23"/>
      <c r="B211" s="23"/>
      <c r="C211" s="23"/>
      <c r="D211" s="23"/>
      <c r="E211" s="23"/>
      <c r="F211" s="23"/>
      <c r="G211" s="23"/>
      <c r="H211" s="401"/>
      <c r="I211" s="401"/>
      <c r="J211" s="401"/>
      <c r="K211" s="401"/>
      <c r="L211" s="401"/>
      <c r="M211" s="438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  <c r="BA211" s="23"/>
      <c r="BB211" s="23"/>
      <c r="BC211" s="23"/>
      <c r="BD211" s="23"/>
      <c r="BE211" s="23"/>
      <c r="BF211" s="23"/>
      <c r="BG211" s="23"/>
      <c r="BH211" s="23"/>
      <c r="BI211" s="23"/>
      <c r="BJ211" s="23"/>
      <c r="BK211" s="23"/>
      <c r="BL211" s="23"/>
      <c r="BM211" s="23"/>
      <c r="BN211" s="23"/>
      <c r="BO211" s="23"/>
      <c r="BP211" s="23"/>
      <c r="BQ211" s="23"/>
      <c r="BR211" s="23"/>
      <c r="BS211" s="23"/>
      <c r="BT211" s="23"/>
      <c r="BU211" s="23"/>
      <c r="BV211" s="23"/>
      <c r="BW211" s="23"/>
      <c r="BX211" s="23"/>
      <c r="BY211" s="23"/>
      <c r="BZ211" s="23"/>
      <c r="CA211" s="23"/>
      <c r="CB211" s="23"/>
      <c r="CC211" s="23"/>
      <c r="CD211" s="23"/>
      <c r="CE211" s="23"/>
      <c r="CF211" s="23"/>
      <c r="CG211" s="23"/>
      <c r="CH211" s="23"/>
      <c r="CI211" s="23"/>
      <c r="CJ211" s="23"/>
      <c r="CK211" s="23"/>
      <c r="CL211" s="23"/>
      <c r="CM211" s="23"/>
      <c r="CN211" s="23"/>
      <c r="CO211" s="23"/>
      <c r="CP211" s="23"/>
      <c r="CQ211" s="23"/>
      <c r="CR211" s="23"/>
      <c r="CS211" s="23"/>
      <c r="CT211" s="23"/>
      <c r="CU211" s="23"/>
      <c r="CV211" s="23"/>
      <c r="CW211" s="23"/>
      <c r="CX211" s="23"/>
      <c r="CY211" s="23"/>
      <c r="CZ211" s="23"/>
      <c r="DA211" s="23"/>
      <c r="DB211" s="23"/>
      <c r="DC211" s="23"/>
      <c r="DD211" s="23"/>
      <c r="DE211" s="23"/>
      <c r="DF211" s="23"/>
      <c r="DG211" s="23"/>
      <c r="DH211" s="23"/>
      <c r="DI211" s="23"/>
      <c r="DJ211" s="23"/>
      <c r="DK211" s="23"/>
      <c r="DL211" s="23"/>
      <c r="DM211" s="23"/>
      <c r="DN211" s="23"/>
      <c r="DO211" s="23"/>
      <c r="DP211" s="23"/>
      <c r="DQ211" s="23"/>
      <c r="DR211" s="23"/>
      <c r="DS211" s="23"/>
      <c r="DT211" s="23"/>
      <c r="DU211" s="23"/>
      <c r="DV211" s="23"/>
      <c r="DW211" s="23"/>
      <c r="DX211" s="23"/>
      <c r="DY211" s="23"/>
      <c r="DZ211" s="23"/>
      <c r="EA211" s="23"/>
      <c r="EB211" s="23"/>
      <c r="EC211" s="23"/>
      <c r="ED211" s="23"/>
      <c r="EE211" s="23"/>
      <c r="EF211" s="23"/>
      <c r="EG211" s="23"/>
      <c r="EH211" s="23"/>
      <c r="EI211" s="23"/>
      <c r="EJ211" s="23"/>
      <c r="EK211" s="23"/>
      <c r="EL211" s="23"/>
      <c r="EM211" s="23"/>
      <c r="EN211" s="23"/>
      <c r="EO211" s="23"/>
      <c r="EP211" s="23"/>
      <c r="EQ211" s="23"/>
      <c r="ER211" s="23"/>
      <c r="ES211" s="23"/>
      <c r="ET211" s="23"/>
      <c r="EU211" s="23"/>
      <c r="EV211" s="23"/>
      <c r="EW211" s="23"/>
      <c r="EX211" s="23"/>
      <c r="EY211" s="23"/>
      <c r="EZ211" s="23"/>
      <c r="FA211" s="23"/>
      <c r="FB211" s="23"/>
      <c r="FC211" s="23"/>
      <c r="FD211" s="23"/>
      <c r="FE211" s="23"/>
      <c r="FF211" s="23"/>
      <c r="FG211" s="23"/>
      <c r="FH211" s="23"/>
      <c r="FI211" s="23"/>
      <c r="FJ211" s="23"/>
      <c r="FK211" s="23"/>
      <c r="FL211" s="23"/>
      <c r="FM211" s="23"/>
      <c r="FN211" s="23"/>
      <c r="FO211" s="23"/>
      <c r="FP211" s="23"/>
      <c r="FQ211" s="23"/>
      <c r="FR211" s="23"/>
      <c r="FS211" s="23"/>
      <c r="FT211" s="23"/>
      <c r="FU211" s="23"/>
      <c r="FV211" s="23"/>
      <c r="FW211" s="23"/>
      <c r="FX211" s="23"/>
      <c r="FY211" s="23"/>
      <c r="FZ211" s="23"/>
      <c r="GA211" s="23"/>
      <c r="GB211" s="23"/>
      <c r="GC211" s="23"/>
      <c r="GD211" s="23"/>
      <c r="GE211" s="23"/>
      <c r="GF211" s="23"/>
      <c r="GG211" s="23"/>
      <c r="GH211" s="23"/>
      <c r="GI211" s="23"/>
      <c r="GJ211" s="23"/>
      <c r="GK211" s="23"/>
      <c r="GL211" s="23"/>
    </row>
    <row r="212" spans="1:194" ht="13">
      <c r="A212" s="23"/>
      <c r="B212" s="23"/>
      <c r="C212" s="23"/>
      <c r="D212" s="23"/>
      <c r="E212" s="23"/>
      <c r="F212" s="23"/>
      <c r="G212" s="23"/>
      <c r="H212" s="401"/>
      <c r="I212" s="401"/>
      <c r="J212" s="401"/>
      <c r="K212" s="401"/>
      <c r="L212" s="401"/>
      <c r="M212" s="438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23"/>
      <c r="BD212" s="23"/>
      <c r="BE212" s="23"/>
      <c r="BF212" s="23"/>
      <c r="BG212" s="23"/>
      <c r="BH212" s="23"/>
      <c r="BI212" s="23"/>
      <c r="BJ212" s="23"/>
      <c r="BK212" s="23"/>
      <c r="BL212" s="23"/>
      <c r="BM212" s="23"/>
      <c r="BN212" s="23"/>
      <c r="BO212" s="23"/>
      <c r="BP212" s="23"/>
      <c r="BQ212" s="23"/>
      <c r="BR212" s="23"/>
      <c r="BS212" s="23"/>
      <c r="BT212" s="23"/>
      <c r="BU212" s="23"/>
      <c r="BV212" s="23"/>
      <c r="BW212" s="23"/>
      <c r="BX212" s="23"/>
      <c r="BY212" s="23"/>
      <c r="BZ212" s="23"/>
      <c r="CA212" s="23"/>
      <c r="CB212" s="23"/>
      <c r="CC212" s="23"/>
      <c r="CD212" s="23"/>
      <c r="CE212" s="23"/>
      <c r="CF212" s="23"/>
      <c r="CG212" s="23"/>
      <c r="CH212" s="23"/>
      <c r="CI212" s="23"/>
      <c r="CJ212" s="23"/>
      <c r="CK212" s="23"/>
      <c r="CL212" s="23"/>
      <c r="CM212" s="23"/>
      <c r="CN212" s="23"/>
      <c r="CO212" s="23"/>
      <c r="CP212" s="23"/>
      <c r="CQ212" s="23"/>
      <c r="CR212" s="23"/>
      <c r="CS212" s="23"/>
      <c r="CT212" s="23"/>
      <c r="CU212" s="23"/>
      <c r="CV212" s="23"/>
      <c r="CW212" s="23"/>
      <c r="CX212" s="23"/>
      <c r="CY212" s="23"/>
      <c r="CZ212" s="23"/>
      <c r="DA212" s="23"/>
      <c r="DB212" s="23"/>
      <c r="DC212" s="23"/>
      <c r="DD212" s="23"/>
      <c r="DE212" s="23"/>
      <c r="DF212" s="23"/>
      <c r="DG212" s="23"/>
      <c r="DH212" s="23"/>
      <c r="DI212" s="23"/>
      <c r="DJ212" s="23"/>
      <c r="DK212" s="23"/>
      <c r="DL212" s="23"/>
      <c r="DM212" s="23"/>
      <c r="DN212" s="23"/>
      <c r="DO212" s="23"/>
      <c r="DP212" s="23"/>
      <c r="DQ212" s="23"/>
      <c r="DR212" s="23"/>
      <c r="DS212" s="23"/>
      <c r="DT212" s="23"/>
      <c r="DU212" s="23"/>
      <c r="DV212" s="23"/>
      <c r="DW212" s="23"/>
      <c r="DX212" s="23"/>
      <c r="DY212" s="23"/>
      <c r="DZ212" s="23"/>
      <c r="EA212" s="23"/>
      <c r="EB212" s="23"/>
      <c r="EC212" s="23"/>
      <c r="ED212" s="23"/>
      <c r="EE212" s="23"/>
      <c r="EF212" s="23"/>
      <c r="EG212" s="23"/>
      <c r="EH212" s="23"/>
      <c r="EI212" s="23"/>
      <c r="EJ212" s="23"/>
      <c r="EK212" s="23"/>
      <c r="EL212" s="23"/>
      <c r="EM212" s="23"/>
      <c r="EN212" s="23"/>
      <c r="EO212" s="23"/>
      <c r="EP212" s="23"/>
      <c r="EQ212" s="23"/>
      <c r="ER212" s="23"/>
      <c r="ES212" s="23"/>
      <c r="ET212" s="23"/>
      <c r="EU212" s="23"/>
      <c r="EV212" s="23"/>
      <c r="EW212" s="23"/>
      <c r="EX212" s="23"/>
      <c r="EY212" s="23"/>
      <c r="EZ212" s="23"/>
      <c r="FA212" s="23"/>
      <c r="FB212" s="23"/>
      <c r="FC212" s="23"/>
      <c r="FD212" s="23"/>
      <c r="FE212" s="23"/>
      <c r="FF212" s="23"/>
      <c r="FG212" s="23"/>
      <c r="FH212" s="23"/>
      <c r="FI212" s="23"/>
      <c r="FJ212" s="23"/>
      <c r="FK212" s="23"/>
      <c r="FL212" s="23"/>
      <c r="FM212" s="23"/>
      <c r="FN212" s="23"/>
      <c r="FO212" s="23"/>
      <c r="FP212" s="23"/>
      <c r="FQ212" s="23"/>
      <c r="FR212" s="23"/>
      <c r="FS212" s="23"/>
      <c r="FT212" s="23"/>
      <c r="FU212" s="23"/>
      <c r="FV212" s="23"/>
      <c r="FW212" s="23"/>
      <c r="FX212" s="23"/>
      <c r="FY212" s="23"/>
      <c r="FZ212" s="23"/>
      <c r="GA212" s="23"/>
      <c r="GB212" s="23"/>
      <c r="GC212" s="23"/>
      <c r="GD212" s="23"/>
      <c r="GE212" s="23"/>
      <c r="GF212" s="23"/>
      <c r="GG212" s="23"/>
      <c r="GH212" s="23"/>
      <c r="GI212" s="23"/>
      <c r="GJ212" s="23"/>
      <c r="GK212" s="23"/>
      <c r="GL212" s="23"/>
    </row>
    <row r="213" spans="1:194" ht="13">
      <c r="A213" s="23"/>
      <c r="B213" s="23"/>
      <c r="C213" s="23"/>
      <c r="D213" s="23"/>
      <c r="E213" s="23"/>
      <c r="F213" s="23"/>
      <c r="G213" s="23"/>
      <c r="H213" s="401"/>
      <c r="I213" s="401"/>
      <c r="J213" s="401"/>
      <c r="K213" s="401"/>
      <c r="L213" s="401"/>
      <c r="M213" s="438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  <c r="BA213" s="23"/>
      <c r="BB213" s="23"/>
      <c r="BC213" s="23"/>
      <c r="BD213" s="23"/>
      <c r="BE213" s="23"/>
      <c r="BF213" s="23"/>
      <c r="BG213" s="23"/>
      <c r="BH213" s="23"/>
      <c r="BI213" s="23"/>
      <c r="BJ213" s="23"/>
      <c r="BK213" s="23"/>
      <c r="BL213" s="23"/>
      <c r="BM213" s="23"/>
      <c r="BN213" s="23"/>
      <c r="BO213" s="23"/>
      <c r="BP213" s="23"/>
      <c r="BQ213" s="23"/>
      <c r="BR213" s="23"/>
      <c r="BS213" s="23"/>
      <c r="BT213" s="23"/>
      <c r="BU213" s="23"/>
      <c r="BV213" s="23"/>
      <c r="BW213" s="23"/>
      <c r="BX213" s="23"/>
      <c r="BY213" s="23"/>
      <c r="BZ213" s="23"/>
      <c r="CA213" s="23"/>
      <c r="CB213" s="23"/>
      <c r="CC213" s="23"/>
      <c r="CD213" s="23"/>
      <c r="CE213" s="23"/>
      <c r="CF213" s="23"/>
      <c r="CG213" s="23"/>
      <c r="CH213" s="23"/>
      <c r="CI213" s="23"/>
      <c r="CJ213" s="23"/>
      <c r="CK213" s="23"/>
      <c r="CL213" s="23"/>
      <c r="CM213" s="23"/>
      <c r="CN213" s="23"/>
      <c r="CO213" s="23"/>
      <c r="CP213" s="23"/>
      <c r="CQ213" s="23"/>
      <c r="CR213" s="23"/>
      <c r="CS213" s="23"/>
      <c r="CT213" s="23"/>
      <c r="CU213" s="23"/>
      <c r="CV213" s="23"/>
      <c r="CW213" s="23"/>
      <c r="CX213" s="23"/>
      <c r="CY213" s="23"/>
      <c r="CZ213" s="23"/>
      <c r="DA213" s="23"/>
      <c r="DB213" s="23"/>
      <c r="DC213" s="23"/>
      <c r="DD213" s="23"/>
      <c r="DE213" s="23"/>
      <c r="DF213" s="23"/>
      <c r="DG213" s="23"/>
      <c r="DH213" s="23"/>
      <c r="DI213" s="23"/>
      <c r="DJ213" s="23"/>
      <c r="DK213" s="23"/>
      <c r="DL213" s="23"/>
      <c r="DM213" s="23"/>
      <c r="DN213" s="23"/>
      <c r="DO213" s="23"/>
      <c r="DP213" s="23"/>
      <c r="DQ213" s="23"/>
      <c r="DR213" s="23"/>
      <c r="DS213" s="23"/>
      <c r="DT213" s="23"/>
      <c r="DU213" s="23"/>
      <c r="DV213" s="23"/>
      <c r="DW213" s="23"/>
      <c r="DX213" s="23"/>
      <c r="DY213" s="23"/>
      <c r="DZ213" s="23"/>
      <c r="EA213" s="23"/>
      <c r="EB213" s="23"/>
      <c r="EC213" s="23"/>
      <c r="ED213" s="23"/>
      <c r="EE213" s="23"/>
      <c r="EF213" s="23"/>
      <c r="EG213" s="23"/>
      <c r="EH213" s="23"/>
      <c r="EI213" s="23"/>
      <c r="EJ213" s="23"/>
      <c r="EK213" s="23"/>
      <c r="EL213" s="23"/>
      <c r="EM213" s="23"/>
      <c r="EN213" s="23"/>
      <c r="EO213" s="23"/>
      <c r="EP213" s="23"/>
      <c r="EQ213" s="23"/>
      <c r="ER213" s="23"/>
      <c r="ES213" s="23"/>
      <c r="ET213" s="23"/>
      <c r="EU213" s="23"/>
      <c r="EV213" s="23"/>
      <c r="EW213" s="23"/>
      <c r="EX213" s="23"/>
      <c r="EY213" s="23"/>
      <c r="EZ213" s="23"/>
      <c r="FA213" s="23"/>
      <c r="FB213" s="23"/>
      <c r="FC213" s="23"/>
      <c r="FD213" s="23"/>
      <c r="FE213" s="23"/>
      <c r="FF213" s="23"/>
      <c r="FG213" s="23"/>
      <c r="FH213" s="23"/>
      <c r="FI213" s="23"/>
      <c r="FJ213" s="23"/>
      <c r="FK213" s="23"/>
      <c r="FL213" s="23"/>
      <c r="FM213" s="23"/>
      <c r="FN213" s="23"/>
      <c r="FO213" s="23"/>
      <c r="FP213" s="23"/>
      <c r="FQ213" s="23"/>
      <c r="FR213" s="23"/>
      <c r="FS213" s="23"/>
      <c r="FT213" s="23"/>
      <c r="FU213" s="23"/>
      <c r="FV213" s="23"/>
      <c r="FW213" s="23"/>
      <c r="FX213" s="23"/>
      <c r="FY213" s="23"/>
      <c r="FZ213" s="23"/>
      <c r="GA213" s="23"/>
      <c r="GB213" s="23"/>
      <c r="GC213" s="23"/>
      <c r="GD213" s="23"/>
      <c r="GE213" s="23"/>
      <c r="GF213" s="23"/>
      <c r="GG213" s="23"/>
      <c r="GH213" s="23"/>
      <c r="GI213" s="23"/>
      <c r="GJ213" s="23"/>
      <c r="GK213" s="23"/>
      <c r="GL213" s="23"/>
    </row>
    <row r="214" spans="1:194" ht="13">
      <c r="A214" s="23"/>
      <c r="B214" s="23"/>
      <c r="C214" s="23"/>
      <c r="D214" s="23"/>
      <c r="E214" s="23"/>
      <c r="F214" s="23"/>
      <c r="G214" s="23"/>
      <c r="H214" s="401"/>
      <c r="I214" s="401"/>
      <c r="J214" s="401"/>
      <c r="K214" s="401"/>
      <c r="L214" s="401"/>
      <c r="M214" s="438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  <c r="BA214" s="23"/>
      <c r="BB214" s="23"/>
      <c r="BC214" s="23"/>
      <c r="BD214" s="23"/>
      <c r="BE214" s="23"/>
      <c r="BF214" s="23"/>
      <c r="BG214" s="23"/>
      <c r="BH214" s="23"/>
      <c r="BI214" s="23"/>
      <c r="BJ214" s="23"/>
      <c r="BK214" s="23"/>
      <c r="BL214" s="23"/>
      <c r="BM214" s="23"/>
      <c r="BN214" s="23"/>
      <c r="BO214" s="23"/>
      <c r="BP214" s="23"/>
      <c r="BQ214" s="23"/>
      <c r="BR214" s="23"/>
      <c r="BS214" s="23"/>
      <c r="BT214" s="23"/>
      <c r="BU214" s="23"/>
      <c r="BV214" s="23"/>
      <c r="BW214" s="23"/>
      <c r="BX214" s="23"/>
      <c r="BY214" s="23"/>
      <c r="BZ214" s="23"/>
      <c r="CA214" s="23"/>
      <c r="CB214" s="23"/>
      <c r="CC214" s="23"/>
      <c r="CD214" s="23"/>
      <c r="CE214" s="23"/>
      <c r="CF214" s="23"/>
      <c r="CG214" s="23"/>
      <c r="CH214" s="23"/>
      <c r="CI214" s="23"/>
      <c r="CJ214" s="23"/>
      <c r="CK214" s="23"/>
      <c r="CL214" s="23"/>
      <c r="CM214" s="23"/>
      <c r="CN214" s="23"/>
      <c r="CO214" s="23"/>
      <c r="CP214" s="23"/>
      <c r="CQ214" s="23"/>
      <c r="CR214" s="23"/>
      <c r="CS214" s="23"/>
      <c r="CT214" s="23"/>
      <c r="CU214" s="23"/>
      <c r="CV214" s="23"/>
      <c r="CW214" s="23"/>
      <c r="CX214" s="23"/>
      <c r="CY214" s="23"/>
      <c r="CZ214" s="23"/>
      <c r="DA214" s="23"/>
      <c r="DB214" s="23"/>
      <c r="DC214" s="23"/>
      <c r="DD214" s="23"/>
      <c r="DE214" s="23"/>
      <c r="DF214" s="23"/>
      <c r="DG214" s="23"/>
      <c r="DH214" s="23"/>
      <c r="DI214" s="23"/>
      <c r="DJ214" s="23"/>
      <c r="DK214" s="23"/>
      <c r="DL214" s="23"/>
      <c r="DM214" s="23"/>
      <c r="DN214" s="23"/>
      <c r="DO214" s="23"/>
      <c r="DP214" s="23"/>
      <c r="DQ214" s="23"/>
      <c r="DR214" s="23"/>
      <c r="DS214" s="23"/>
      <c r="DT214" s="23"/>
      <c r="DU214" s="23"/>
      <c r="DV214" s="23"/>
      <c r="DW214" s="23"/>
      <c r="DX214" s="23"/>
      <c r="DY214" s="23"/>
      <c r="DZ214" s="23"/>
      <c r="EA214" s="23"/>
      <c r="EB214" s="23"/>
      <c r="EC214" s="23"/>
      <c r="ED214" s="23"/>
      <c r="EE214" s="23"/>
      <c r="EF214" s="23"/>
      <c r="EG214" s="23"/>
      <c r="EH214" s="23"/>
      <c r="EI214" s="23"/>
      <c r="EJ214" s="23"/>
      <c r="EK214" s="23"/>
      <c r="EL214" s="23"/>
      <c r="EM214" s="23"/>
      <c r="EN214" s="23"/>
      <c r="EO214" s="23"/>
      <c r="EP214" s="23"/>
      <c r="EQ214" s="23"/>
      <c r="ER214" s="23"/>
      <c r="ES214" s="23"/>
      <c r="ET214" s="23"/>
      <c r="EU214" s="23"/>
      <c r="EV214" s="23"/>
      <c r="EW214" s="23"/>
      <c r="EX214" s="23"/>
      <c r="EY214" s="23"/>
      <c r="EZ214" s="23"/>
      <c r="FA214" s="23"/>
      <c r="FB214" s="23"/>
      <c r="FC214" s="23"/>
      <c r="FD214" s="23"/>
      <c r="FE214" s="23"/>
      <c r="FF214" s="23"/>
      <c r="FG214" s="23"/>
      <c r="FH214" s="23"/>
      <c r="FI214" s="23"/>
      <c r="FJ214" s="23"/>
      <c r="FK214" s="23"/>
      <c r="FL214" s="23"/>
      <c r="FM214" s="23"/>
      <c r="FN214" s="23"/>
      <c r="FO214" s="23"/>
      <c r="FP214" s="23"/>
      <c r="FQ214" s="23"/>
      <c r="FR214" s="23"/>
      <c r="FS214" s="23"/>
      <c r="FT214" s="23"/>
      <c r="FU214" s="23"/>
      <c r="FV214" s="23"/>
      <c r="FW214" s="23"/>
      <c r="FX214" s="23"/>
      <c r="FY214" s="23"/>
      <c r="FZ214" s="23"/>
      <c r="GA214" s="23"/>
      <c r="GB214" s="23"/>
      <c r="GC214" s="23"/>
      <c r="GD214" s="23"/>
      <c r="GE214" s="23"/>
      <c r="GF214" s="23"/>
      <c r="GG214" s="23"/>
      <c r="GH214" s="23"/>
      <c r="GI214" s="23"/>
      <c r="GJ214" s="23"/>
      <c r="GK214" s="23"/>
      <c r="GL214" s="23"/>
    </row>
    <row r="215" spans="1:194" ht="13">
      <c r="A215" s="23"/>
      <c r="B215" s="23"/>
      <c r="C215" s="23"/>
      <c r="D215" s="23"/>
      <c r="E215" s="23"/>
      <c r="F215" s="23"/>
      <c r="G215" s="23"/>
      <c r="H215" s="401"/>
      <c r="I215" s="401"/>
      <c r="J215" s="401"/>
      <c r="K215" s="401"/>
      <c r="L215" s="401"/>
      <c r="M215" s="438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3"/>
      <c r="BG215" s="23"/>
      <c r="BH215" s="23"/>
      <c r="BI215" s="23"/>
      <c r="BJ215" s="23"/>
      <c r="BK215" s="23"/>
      <c r="BL215" s="23"/>
      <c r="BM215" s="23"/>
      <c r="BN215" s="23"/>
      <c r="BO215" s="23"/>
      <c r="BP215" s="23"/>
      <c r="BQ215" s="23"/>
      <c r="BR215" s="23"/>
      <c r="BS215" s="23"/>
      <c r="BT215" s="23"/>
      <c r="BU215" s="23"/>
      <c r="BV215" s="23"/>
      <c r="BW215" s="23"/>
      <c r="BX215" s="23"/>
      <c r="BY215" s="23"/>
      <c r="BZ215" s="23"/>
      <c r="CA215" s="23"/>
      <c r="CB215" s="23"/>
      <c r="CC215" s="23"/>
      <c r="CD215" s="23"/>
      <c r="CE215" s="23"/>
      <c r="CF215" s="23"/>
      <c r="CG215" s="23"/>
      <c r="CH215" s="23"/>
      <c r="CI215" s="23"/>
      <c r="CJ215" s="23"/>
      <c r="CK215" s="23"/>
      <c r="CL215" s="23"/>
      <c r="CM215" s="23"/>
      <c r="CN215" s="23"/>
      <c r="CO215" s="23"/>
      <c r="CP215" s="23"/>
      <c r="CQ215" s="23"/>
      <c r="CR215" s="23"/>
      <c r="CS215" s="23"/>
      <c r="CT215" s="23"/>
      <c r="CU215" s="23"/>
      <c r="CV215" s="23"/>
      <c r="CW215" s="23"/>
      <c r="CX215" s="23"/>
      <c r="CY215" s="23"/>
      <c r="CZ215" s="23"/>
      <c r="DA215" s="23"/>
      <c r="DB215" s="23"/>
      <c r="DC215" s="23"/>
      <c r="DD215" s="23"/>
      <c r="DE215" s="23"/>
      <c r="DF215" s="23"/>
      <c r="DG215" s="23"/>
      <c r="DH215" s="23"/>
      <c r="DI215" s="23"/>
      <c r="DJ215" s="23"/>
      <c r="DK215" s="23"/>
      <c r="DL215" s="23"/>
      <c r="DM215" s="23"/>
      <c r="DN215" s="23"/>
      <c r="DO215" s="23"/>
      <c r="DP215" s="23"/>
      <c r="DQ215" s="23"/>
      <c r="DR215" s="23"/>
      <c r="DS215" s="23"/>
      <c r="DT215" s="23"/>
      <c r="DU215" s="23"/>
      <c r="DV215" s="23"/>
      <c r="DW215" s="23"/>
      <c r="DX215" s="23"/>
      <c r="DY215" s="23"/>
      <c r="DZ215" s="23"/>
      <c r="EA215" s="23"/>
      <c r="EB215" s="23"/>
      <c r="EC215" s="23"/>
      <c r="ED215" s="23"/>
      <c r="EE215" s="23"/>
      <c r="EF215" s="23"/>
      <c r="EG215" s="23"/>
      <c r="EH215" s="23"/>
      <c r="EI215" s="23"/>
      <c r="EJ215" s="23"/>
      <c r="EK215" s="23"/>
      <c r="EL215" s="23"/>
      <c r="EM215" s="23"/>
      <c r="EN215" s="23"/>
      <c r="EO215" s="23"/>
      <c r="EP215" s="23"/>
      <c r="EQ215" s="23"/>
      <c r="ER215" s="23"/>
      <c r="ES215" s="23"/>
      <c r="ET215" s="23"/>
      <c r="EU215" s="23"/>
      <c r="EV215" s="23"/>
      <c r="EW215" s="23"/>
      <c r="EX215" s="23"/>
      <c r="EY215" s="23"/>
      <c r="EZ215" s="23"/>
      <c r="FA215" s="23"/>
      <c r="FB215" s="23"/>
      <c r="FC215" s="23"/>
      <c r="FD215" s="23"/>
      <c r="FE215" s="23"/>
      <c r="FF215" s="23"/>
      <c r="FG215" s="23"/>
      <c r="FH215" s="23"/>
      <c r="FI215" s="23"/>
      <c r="FJ215" s="23"/>
      <c r="FK215" s="23"/>
      <c r="FL215" s="23"/>
      <c r="FM215" s="23"/>
      <c r="FN215" s="23"/>
      <c r="FO215" s="23"/>
      <c r="FP215" s="23"/>
      <c r="FQ215" s="23"/>
      <c r="FR215" s="23"/>
      <c r="FS215" s="23"/>
      <c r="FT215" s="23"/>
      <c r="FU215" s="23"/>
      <c r="FV215" s="23"/>
      <c r="FW215" s="23"/>
      <c r="FX215" s="23"/>
      <c r="FY215" s="23"/>
      <c r="FZ215" s="23"/>
      <c r="GA215" s="23"/>
      <c r="GB215" s="23"/>
      <c r="GC215" s="23"/>
      <c r="GD215" s="23"/>
      <c r="GE215" s="23"/>
      <c r="GF215" s="23"/>
      <c r="GG215" s="23"/>
      <c r="GH215" s="23"/>
      <c r="GI215" s="23"/>
      <c r="GJ215" s="23"/>
      <c r="GK215" s="23"/>
      <c r="GL215" s="23"/>
    </row>
    <row r="216" spans="1:194" ht="13">
      <c r="A216" s="23"/>
      <c r="B216" s="23"/>
      <c r="C216" s="23"/>
      <c r="D216" s="23"/>
      <c r="E216" s="23"/>
      <c r="F216" s="23"/>
      <c r="G216" s="23"/>
      <c r="H216" s="401"/>
      <c r="I216" s="401"/>
      <c r="J216" s="401"/>
      <c r="K216" s="401"/>
      <c r="L216" s="401"/>
      <c r="M216" s="438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23"/>
      <c r="BH216" s="23"/>
      <c r="BI216" s="23"/>
      <c r="BJ216" s="23"/>
      <c r="BK216" s="23"/>
      <c r="BL216" s="23"/>
      <c r="BM216" s="23"/>
      <c r="BN216" s="23"/>
      <c r="BO216" s="23"/>
      <c r="BP216" s="23"/>
      <c r="BQ216" s="23"/>
      <c r="BR216" s="23"/>
      <c r="BS216" s="23"/>
      <c r="BT216" s="23"/>
      <c r="BU216" s="23"/>
      <c r="BV216" s="23"/>
      <c r="BW216" s="23"/>
      <c r="BX216" s="23"/>
      <c r="BY216" s="23"/>
      <c r="BZ216" s="23"/>
      <c r="CA216" s="23"/>
      <c r="CB216" s="23"/>
      <c r="CC216" s="23"/>
      <c r="CD216" s="23"/>
      <c r="CE216" s="23"/>
      <c r="CF216" s="23"/>
      <c r="CG216" s="23"/>
      <c r="CH216" s="23"/>
      <c r="CI216" s="23"/>
      <c r="CJ216" s="23"/>
      <c r="CK216" s="23"/>
      <c r="CL216" s="23"/>
      <c r="CM216" s="23"/>
      <c r="CN216" s="23"/>
      <c r="CO216" s="23"/>
      <c r="CP216" s="23"/>
      <c r="CQ216" s="23"/>
      <c r="CR216" s="23"/>
      <c r="CS216" s="23"/>
      <c r="CT216" s="23"/>
      <c r="CU216" s="23"/>
      <c r="CV216" s="23"/>
      <c r="CW216" s="23"/>
      <c r="CX216" s="23"/>
      <c r="CY216" s="23"/>
      <c r="CZ216" s="23"/>
      <c r="DA216" s="23"/>
      <c r="DB216" s="23"/>
      <c r="DC216" s="23"/>
      <c r="DD216" s="23"/>
      <c r="DE216" s="23"/>
      <c r="DF216" s="23"/>
      <c r="DG216" s="23"/>
      <c r="DH216" s="23"/>
      <c r="DI216" s="23"/>
      <c r="DJ216" s="23"/>
      <c r="DK216" s="23"/>
      <c r="DL216" s="23"/>
      <c r="DM216" s="23"/>
      <c r="DN216" s="23"/>
      <c r="DO216" s="23"/>
      <c r="DP216" s="23"/>
      <c r="DQ216" s="23"/>
      <c r="DR216" s="23"/>
      <c r="DS216" s="23"/>
      <c r="DT216" s="23"/>
      <c r="DU216" s="23"/>
      <c r="DV216" s="23"/>
      <c r="DW216" s="23"/>
      <c r="DX216" s="23"/>
      <c r="DY216" s="23"/>
      <c r="DZ216" s="23"/>
      <c r="EA216" s="23"/>
      <c r="EB216" s="23"/>
      <c r="EC216" s="23"/>
      <c r="ED216" s="23"/>
      <c r="EE216" s="23"/>
      <c r="EF216" s="23"/>
      <c r="EG216" s="23"/>
      <c r="EH216" s="23"/>
      <c r="EI216" s="23"/>
      <c r="EJ216" s="23"/>
      <c r="EK216" s="23"/>
      <c r="EL216" s="23"/>
      <c r="EM216" s="23"/>
      <c r="EN216" s="23"/>
      <c r="EO216" s="23"/>
      <c r="EP216" s="23"/>
      <c r="EQ216" s="23"/>
      <c r="ER216" s="23"/>
      <c r="ES216" s="23"/>
      <c r="ET216" s="23"/>
      <c r="EU216" s="23"/>
      <c r="EV216" s="23"/>
      <c r="EW216" s="23"/>
      <c r="EX216" s="23"/>
      <c r="EY216" s="23"/>
      <c r="EZ216" s="23"/>
      <c r="FA216" s="23"/>
      <c r="FB216" s="23"/>
      <c r="FC216" s="23"/>
      <c r="FD216" s="23"/>
      <c r="FE216" s="23"/>
      <c r="FF216" s="23"/>
      <c r="FG216" s="23"/>
      <c r="FH216" s="23"/>
      <c r="FI216" s="23"/>
      <c r="FJ216" s="23"/>
      <c r="FK216" s="23"/>
      <c r="FL216" s="23"/>
      <c r="FM216" s="23"/>
      <c r="FN216" s="23"/>
      <c r="FO216" s="23"/>
      <c r="FP216" s="23"/>
      <c r="FQ216" s="23"/>
      <c r="FR216" s="23"/>
      <c r="FS216" s="23"/>
      <c r="FT216" s="23"/>
      <c r="FU216" s="23"/>
      <c r="FV216" s="23"/>
      <c r="FW216" s="23"/>
      <c r="FX216" s="23"/>
      <c r="FY216" s="23"/>
      <c r="FZ216" s="23"/>
      <c r="GA216" s="23"/>
      <c r="GB216" s="23"/>
      <c r="GC216" s="23"/>
      <c r="GD216" s="23"/>
      <c r="GE216" s="23"/>
      <c r="GF216" s="23"/>
      <c r="GG216" s="23"/>
      <c r="GH216" s="23"/>
      <c r="GI216" s="23"/>
      <c r="GJ216" s="23"/>
      <c r="GK216" s="23"/>
      <c r="GL216" s="23"/>
    </row>
    <row r="217" spans="1:194" ht="13">
      <c r="A217" s="23"/>
      <c r="B217" s="23"/>
      <c r="C217" s="23"/>
      <c r="D217" s="23"/>
      <c r="E217" s="23"/>
      <c r="F217" s="23"/>
      <c r="G217" s="23"/>
      <c r="H217" s="401"/>
      <c r="I217" s="401"/>
      <c r="J217" s="401"/>
      <c r="K217" s="401"/>
      <c r="L217" s="401"/>
      <c r="M217" s="438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  <c r="BF217" s="23"/>
      <c r="BG217" s="23"/>
      <c r="BH217" s="23"/>
      <c r="BI217" s="23"/>
      <c r="BJ217" s="23"/>
      <c r="BK217" s="23"/>
      <c r="BL217" s="23"/>
      <c r="BM217" s="23"/>
      <c r="BN217" s="23"/>
      <c r="BO217" s="23"/>
      <c r="BP217" s="23"/>
      <c r="BQ217" s="23"/>
      <c r="BR217" s="23"/>
      <c r="BS217" s="23"/>
      <c r="BT217" s="23"/>
      <c r="BU217" s="23"/>
      <c r="BV217" s="23"/>
      <c r="BW217" s="23"/>
      <c r="BX217" s="23"/>
      <c r="BY217" s="23"/>
      <c r="BZ217" s="23"/>
      <c r="CA217" s="23"/>
      <c r="CB217" s="23"/>
      <c r="CC217" s="23"/>
      <c r="CD217" s="23"/>
      <c r="CE217" s="23"/>
      <c r="CF217" s="23"/>
      <c r="CG217" s="23"/>
      <c r="CH217" s="23"/>
      <c r="CI217" s="23"/>
      <c r="CJ217" s="23"/>
      <c r="CK217" s="23"/>
      <c r="CL217" s="23"/>
      <c r="CM217" s="23"/>
      <c r="CN217" s="23"/>
      <c r="CO217" s="23"/>
      <c r="CP217" s="23"/>
      <c r="CQ217" s="23"/>
      <c r="CR217" s="23"/>
      <c r="CS217" s="23"/>
      <c r="CT217" s="23"/>
      <c r="CU217" s="23"/>
      <c r="CV217" s="23"/>
      <c r="CW217" s="23"/>
      <c r="CX217" s="23"/>
      <c r="CY217" s="23"/>
      <c r="CZ217" s="23"/>
      <c r="DA217" s="23"/>
      <c r="DB217" s="23"/>
      <c r="DC217" s="23"/>
      <c r="DD217" s="23"/>
      <c r="DE217" s="23"/>
      <c r="DF217" s="23"/>
      <c r="DG217" s="23"/>
      <c r="DH217" s="23"/>
      <c r="DI217" s="23"/>
      <c r="DJ217" s="23"/>
      <c r="DK217" s="23"/>
      <c r="DL217" s="23"/>
      <c r="DM217" s="23"/>
      <c r="DN217" s="23"/>
      <c r="DO217" s="23"/>
      <c r="DP217" s="23"/>
      <c r="DQ217" s="23"/>
      <c r="DR217" s="23"/>
      <c r="DS217" s="23"/>
      <c r="DT217" s="23"/>
      <c r="DU217" s="23"/>
      <c r="DV217" s="23"/>
      <c r="DW217" s="23"/>
      <c r="DX217" s="23"/>
      <c r="DY217" s="23"/>
      <c r="DZ217" s="23"/>
      <c r="EA217" s="23"/>
      <c r="EB217" s="23"/>
      <c r="EC217" s="23"/>
      <c r="ED217" s="23"/>
      <c r="EE217" s="23"/>
      <c r="EF217" s="23"/>
      <c r="EG217" s="23"/>
      <c r="EH217" s="23"/>
      <c r="EI217" s="23"/>
      <c r="EJ217" s="23"/>
      <c r="EK217" s="23"/>
      <c r="EL217" s="23"/>
      <c r="EM217" s="23"/>
      <c r="EN217" s="23"/>
      <c r="EO217" s="23"/>
      <c r="EP217" s="23"/>
      <c r="EQ217" s="23"/>
      <c r="ER217" s="23"/>
      <c r="ES217" s="23"/>
      <c r="ET217" s="23"/>
      <c r="EU217" s="23"/>
      <c r="EV217" s="23"/>
      <c r="EW217" s="23"/>
      <c r="EX217" s="23"/>
      <c r="EY217" s="23"/>
      <c r="EZ217" s="23"/>
      <c r="FA217" s="23"/>
      <c r="FB217" s="23"/>
      <c r="FC217" s="23"/>
      <c r="FD217" s="23"/>
      <c r="FE217" s="23"/>
      <c r="FF217" s="23"/>
      <c r="FG217" s="23"/>
      <c r="FH217" s="23"/>
      <c r="FI217" s="23"/>
      <c r="FJ217" s="23"/>
      <c r="FK217" s="23"/>
      <c r="FL217" s="23"/>
      <c r="FM217" s="23"/>
      <c r="FN217" s="23"/>
      <c r="FO217" s="23"/>
      <c r="FP217" s="23"/>
      <c r="FQ217" s="23"/>
      <c r="FR217" s="23"/>
      <c r="FS217" s="23"/>
      <c r="FT217" s="23"/>
      <c r="FU217" s="23"/>
      <c r="FV217" s="23"/>
      <c r="FW217" s="23"/>
      <c r="FX217" s="23"/>
      <c r="FY217" s="23"/>
      <c r="FZ217" s="23"/>
      <c r="GA217" s="23"/>
      <c r="GB217" s="23"/>
      <c r="GC217" s="23"/>
      <c r="GD217" s="23"/>
      <c r="GE217" s="23"/>
      <c r="GF217" s="23"/>
      <c r="GG217" s="23"/>
      <c r="GH217" s="23"/>
      <c r="GI217" s="23"/>
      <c r="GJ217" s="23"/>
      <c r="GK217" s="23"/>
      <c r="GL217" s="23"/>
    </row>
    <row r="218" spans="1:194" ht="13">
      <c r="A218" s="23"/>
      <c r="B218" s="23"/>
      <c r="C218" s="23"/>
      <c r="D218" s="23"/>
      <c r="E218" s="23"/>
      <c r="F218" s="23"/>
      <c r="G218" s="23"/>
      <c r="H218" s="401"/>
      <c r="I218" s="401"/>
      <c r="J218" s="401"/>
      <c r="K218" s="401"/>
      <c r="L218" s="401"/>
      <c r="M218" s="438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3"/>
      <c r="BG218" s="23"/>
      <c r="BH218" s="23"/>
      <c r="BI218" s="23"/>
      <c r="BJ218" s="23"/>
      <c r="BK218" s="23"/>
      <c r="BL218" s="23"/>
      <c r="BM218" s="23"/>
      <c r="BN218" s="23"/>
      <c r="BO218" s="23"/>
      <c r="BP218" s="23"/>
      <c r="BQ218" s="23"/>
      <c r="BR218" s="23"/>
      <c r="BS218" s="23"/>
      <c r="BT218" s="23"/>
      <c r="BU218" s="23"/>
      <c r="BV218" s="23"/>
      <c r="BW218" s="23"/>
      <c r="BX218" s="23"/>
      <c r="BY218" s="23"/>
      <c r="BZ218" s="23"/>
      <c r="CA218" s="23"/>
      <c r="CB218" s="23"/>
      <c r="CC218" s="23"/>
      <c r="CD218" s="23"/>
      <c r="CE218" s="23"/>
      <c r="CF218" s="23"/>
      <c r="CG218" s="23"/>
      <c r="CH218" s="23"/>
      <c r="CI218" s="23"/>
      <c r="CJ218" s="23"/>
      <c r="CK218" s="23"/>
      <c r="CL218" s="23"/>
      <c r="CM218" s="23"/>
      <c r="CN218" s="23"/>
      <c r="CO218" s="23"/>
      <c r="CP218" s="23"/>
      <c r="CQ218" s="23"/>
      <c r="CR218" s="23"/>
      <c r="CS218" s="23"/>
      <c r="CT218" s="23"/>
      <c r="CU218" s="23"/>
      <c r="CV218" s="23"/>
      <c r="CW218" s="23"/>
      <c r="CX218" s="23"/>
      <c r="CY218" s="23"/>
      <c r="CZ218" s="23"/>
      <c r="DA218" s="23"/>
      <c r="DB218" s="23"/>
      <c r="DC218" s="23"/>
      <c r="DD218" s="23"/>
      <c r="DE218" s="23"/>
      <c r="DF218" s="23"/>
      <c r="DG218" s="23"/>
      <c r="DH218" s="23"/>
      <c r="DI218" s="23"/>
      <c r="DJ218" s="23"/>
      <c r="DK218" s="23"/>
      <c r="DL218" s="23"/>
      <c r="DM218" s="23"/>
      <c r="DN218" s="23"/>
      <c r="DO218" s="23"/>
      <c r="DP218" s="23"/>
      <c r="DQ218" s="23"/>
      <c r="DR218" s="23"/>
      <c r="DS218" s="23"/>
      <c r="DT218" s="23"/>
      <c r="DU218" s="23"/>
      <c r="DV218" s="23"/>
      <c r="DW218" s="23"/>
      <c r="DX218" s="23"/>
      <c r="DY218" s="23"/>
      <c r="DZ218" s="23"/>
      <c r="EA218" s="23"/>
      <c r="EB218" s="23"/>
      <c r="EC218" s="23"/>
      <c r="ED218" s="23"/>
      <c r="EE218" s="23"/>
      <c r="EF218" s="23"/>
      <c r="EG218" s="23"/>
      <c r="EH218" s="23"/>
      <c r="EI218" s="23"/>
      <c r="EJ218" s="23"/>
      <c r="EK218" s="23"/>
      <c r="EL218" s="23"/>
      <c r="EM218" s="23"/>
      <c r="EN218" s="23"/>
      <c r="EO218" s="23"/>
      <c r="EP218" s="23"/>
      <c r="EQ218" s="23"/>
      <c r="ER218" s="23"/>
      <c r="ES218" s="23"/>
      <c r="ET218" s="23"/>
      <c r="EU218" s="23"/>
      <c r="EV218" s="23"/>
      <c r="EW218" s="23"/>
      <c r="EX218" s="23"/>
      <c r="EY218" s="23"/>
      <c r="EZ218" s="23"/>
      <c r="FA218" s="23"/>
      <c r="FB218" s="23"/>
      <c r="FC218" s="23"/>
      <c r="FD218" s="23"/>
      <c r="FE218" s="23"/>
      <c r="FF218" s="23"/>
      <c r="FG218" s="23"/>
      <c r="FH218" s="23"/>
      <c r="FI218" s="23"/>
      <c r="FJ218" s="23"/>
      <c r="FK218" s="23"/>
      <c r="FL218" s="23"/>
      <c r="FM218" s="23"/>
      <c r="FN218" s="23"/>
      <c r="FO218" s="23"/>
      <c r="FP218" s="23"/>
      <c r="FQ218" s="23"/>
      <c r="FR218" s="23"/>
      <c r="FS218" s="23"/>
      <c r="FT218" s="23"/>
      <c r="FU218" s="23"/>
      <c r="FV218" s="23"/>
      <c r="FW218" s="23"/>
      <c r="FX218" s="23"/>
      <c r="FY218" s="23"/>
      <c r="FZ218" s="23"/>
      <c r="GA218" s="23"/>
      <c r="GB218" s="23"/>
      <c r="GC218" s="23"/>
      <c r="GD218" s="23"/>
      <c r="GE218" s="23"/>
      <c r="GF218" s="23"/>
      <c r="GG218" s="23"/>
      <c r="GH218" s="23"/>
      <c r="GI218" s="23"/>
      <c r="GJ218" s="23"/>
      <c r="GK218" s="23"/>
      <c r="GL218" s="23"/>
    </row>
    <row r="219" spans="1:194" ht="13">
      <c r="A219" s="23"/>
      <c r="B219" s="23"/>
      <c r="C219" s="23"/>
      <c r="D219" s="23"/>
      <c r="E219" s="23"/>
      <c r="F219" s="23"/>
      <c r="G219" s="23"/>
      <c r="H219" s="401"/>
      <c r="I219" s="401"/>
      <c r="J219" s="401"/>
      <c r="K219" s="401"/>
      <c r="L219" s="401"/>
      <c r="M219" s="438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3"/>
      <c r="BG219" s="23"/>
      <c r="BH219" s="23"/>
      <c r="BI219" s="23"/>
      <c r="BJ219" s="23"/>
      <c r="BK219" s="23"/>
      <c r="BL219" s="23"/>
      <c r="BM219" s="23"/>
      <c r="BN219" s="23"/>
      <c r="BO219" s="23"/>
      <c r="BP219" s="23"/>
      <c r="BQ219" s="23"/>
      <c r="BR219" s="23"/>
      <c r="BS219" s="23"/>
      <c r="BT219" s="23"/>
      <c r="BU219" s="23"/>
      <c r="BV219" s="23"/>
      <c r="BW219" s="23"/>
      <c r="BX219" s="23"/>
      <c r="BY219" s="23"/>
      <c r="BZ219" s="23"/>
      <c r="CA219" s="23"/>
      <c r="CB219" s="23"/>
      <c r="CC219" s="23"/>
      <c r="CD219" s="23"/>
      <c r="CE219" s="23"/>
      <c r="CF219" s="23"/>
      <c r="CG219" s="23"/>
      <c r="CH219" s="23"/>
      <c r="CI219" s="23"/>
      <c r="CJ219" s="23"/>
      <c r="CK219" s="23"/>
      <c r="CL219" s="23"/>
      <c r="CM219" s="23"/>
      <c r="CN219" s="23"/>
      <c r="CO219" s="23"/>
      <c r="CP219" s="23"/>
      <c r="CQ219" s="23"/>
      <c r="CR219" s="23"/>
      <c r="CS219" s="23"/>
      <c r="CT219" s="23"/>
      <c r="CU219" s="23"/>
      <c r="CV219" s="23"/>
      <c r="CW219" s="23"/>
      <c r="CX219" s="23"/>
      <c r="CY219" s="23"/>
      <c r="CZ219" s="23"/>
      <c r="DA219" s="23"/>
      <c r="DB219" s="23"/>
      <c r="DC219" s="23"/>
      <c r="DD219" s="23"/>
      <c r="DE219" s="23"/>
      <c r="DF219" s="23"/>
      <c r="DG219" s="23"/>
      <c r="DH219" s="23"/>
      <c r="DI219" s="23"/>
      <c r="DJ219" s="23"/>
      <c r="DK219" s="23"/>
      <c r="DL219" s="23"/>
      <c r="DM219" s="23"/>
      <c r="DN219" s="23"/>
      <c r="DO219" s="23"/>
      <c r="DP219" s="23"/>
      <c r="DQ219" s="23"/>
      <c r="DR219" s="23"/>
      <c r="DS219" s="23"/>
      <c r="DT219" s="23"/>
      <c r="DU219" s="23"/>
      <c r="DV219" s="23"/>
      <c r="DW219" s="23"/>
      <c r="DX219" s="23"/>
      <c r="DY219" s="23"/>
      <c r="DZ219" s="23"/>
      <c r="EA219" s="23"/>
      <c r="EB219" s="23"/>
      <c r="EC219" s="23"/>
      <c r="ED219" s="23"/>
      <c r="EE219" s="23"/>
      <c r="EF219" s="23"/>
      <c r="EG219" s="23"/>
      <c r="EH219" s="23"/>
      <c r="EI219" s="23"/>
      <c r="EJ219" s="23"/>
      <c r="EK219" s="23"/>
      <c r="EL219" s="23"/>
      <c r="EM219" s="23"/>
      <c r="EN219" s="23"/>
      <c r="EO219" s="23"/>
      <c r="EP219" s="23"/>
      <c r="EQ219" s="23"/>
      <c r="ER219" s="23"/>
      <c r="ES219" s="23"/>
      <c r="ET219" s="23"/>
      <c r="EU219" s="23"/>
      <c r="EV219" s="23"/>
      <c r="EW219" s="23"/>
      <c r="EX219" s="23"/>
      <c r="EY219" s="23"/>
      <c r="EZ219" s="23"/>
      <c r="FA219" s="23"/>
      <c r="FB219" s="23"/>
      <c r="FC219" s="23"/>
      <c r="FD219" s="23"/>
      <c r="FE219" s="23"/>
      <c r="FF219" s="23"/>
      <c r="FG219" s="23"/>
      <c r="FH219" s="23"/>
      <c r="FI219" s="23"/>
      <c r="FJ219" s="23"/>
      <c r="FK219" s="23"/>
      <c r="FL219" s="23"/>
      <c r="FM219" s="23"/>
      <c r="FN219" s="23"/>
      <c r="FO219" s="23"/>
      <c r="FP219" s="23"/>
      <c r="FQ219" s="23"/>
      <c r="FR219" s="23"/>
      <c r="FS219" s="23"/>
      <c r="FT219" s="23"/>
      <c r="FU219" s="23"/>
      <c r="FV219" s="23"/>
      <c r="FW219" s="23"/>
      <c r="FX219" s="23"/>
      <c r="FY219" s="23"/>
      <c r="FZ219" s="23"/>
      <c r="GA219" s="23"/>
      <c r="GB219" s="23"/>
      <c r="GC219" s="23"/>
      <c r="GD219" s="23"/>
      <c r="GE219" s="23"/>
      <c r="GF219" s="23"/>
      <c r="GG219" s="23"/>
      <c r="GH219" s="23"/>
      <c r="GI219" s="23"/>
      <c r="GJ219" s="23"/>
      <c r="GK219" s="23"/>
      <c r="GL219" s="23"/>
    </row>
    <row r="220" spans="1:194" ht="13">
      <c r="A220" s="23"/>
      <c r="B220" s="23"/>
      <c r="C220" s="23"/>
      <c r="D220" s="23"/>
      <c r="E220" s="23"/>
      <c r="F220" s="23"/>
      <c r="G220" s="23"/>
      <c r="H220" s="401"/>
      <c r="I220" s="401"/>
      <c r="J220" s="401"/>
      <c r="K220" s="401"/>
      <c r="L220" s="401"/>
      <c r="M220" s="438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3"/>
      <c r="BG220" s="23"/>
      <c r="BH220" s="23"/>
      <c r="BI220" s="23"/>
      <c r="BJ220" s="23"/>
      <c r="BK220" s="23"/>
      <c r="BL220" s="23"/>
      <c r="BM220" s="23"/>
      <c r="BN220" s="23"/>
      <c r="BO220" s="23"/>
      <c r="BP220" s="23"/>
      <c r="BQ220" s="23"/>
      <c r="BR220" s="23"/>
      <c r="BS220" s="23"/>
      <c r="BT220" s="23"/>
      <c r="BU220" s="23"/>
      <c r="BV220" s="23"/>
      <c r="BW220" s="23"/>
      <c r="BX220" s="23"/>
      <c r="BY220" s="23"/>
      <c r="BZ220" s="23"/>
      <c r="CA220" s="23"/>
      <c r="CB220" s="23"/>
      <c r="CC220" s="23"/>
      <c r="CD220" s="23"/>
      <c r="CE220" s="23"/>
      <c r="CF220" s="23"/>
      <c r="CG220" s="23"/>
      <c r="CH220" s="23"/>
      <c r="CI220" s="23"/>
      <c r="CJ220" s="23"/>
      <c r="CK220" s="23"/>
      <c r="CL220" s="23"/>
      <c r="CM220" s="23"/>
      <c r="CN220" s="23"/>
      <c r="CO220" s="23"/>
      <c r="CP220" s="23"/>
      <c r="CQ220" s="23"/>
      <c r="CR220" s="23"/>
      <c r="CS220" s="23"/>
      <c r="CT220" s="23"/>
      <c r="CU220" s="23"/>
      <c r="CV220" s="23"/>
      <c r="CW220" s="23"/>
      <c r="CX220" s="23"/>
      <c r="CY220" s="23"/>
      <c r="CZ220" s="23"/>
      <c r="DA220" s="23"/>
      <c r="DB220" s="23"/>
      <c r="DC220" s="23"/>
      <c r="DD220" s="23"/>
      <c r="DE220" s="23"/>
      <c r="DF220" s="23"/>
      <c r="DG220" s="23"/>
      <c r="DH220" s="23"/>
      <c r="DI220" s="23"/>
      <c r="DJ220" s="23"/>
      <c r="DK220" s="23"/>
      <c r="DL220" s="23"/>
      <c r="DM220" s="23"/>
      <c r="DN220" s="23"/>
      <c r="DO220" s="23"/>
      <c r="DP220" s="23"/>
      <c r="DQ220" s="23"/>
      <c r="DR220" s="23"/>
      <c r="DS220" s="23"/>
      <c r="DT220" s="23"/>
      <c r="DU220" s="23"/>
      <c r="DV220" s="23"/>
      <c r="DW220" s="23"/>
      <c r="DX220" s="23"/>
      <c r="DY220" s="23"/>
      <c r="DZ220" s="23"/>
      <c r="EA220" s="23"/>
      <c r="EB220" s="23"/>
      <c r="EC220" s="23"/>
      <c r="ED220" s="23"/>
      <c r="EE220" s="23"/>
      <c r="EF220" s="23"/>
      <c r="EG220" s="23"/>
      <c r="EH220" s="23"/>
      <c r="EI220" s="23"/>
      <c r="EJ220" s="23"/>
      <c r="EK220" s="23"/>
      <c r="EL220" s="23"/>
      <c r="EM220" s="23"/>
      <c r="EN220" s="23"/>
      <c r="EO220" s="23"/>
      <c r="EP220" s="23"/>
      <c r="EQ220" s="23"/>
      <c r="ER220" s="23"/>
      <c r="ES220" s="23"/>
      <c r="ET220" s="23"/>
      <c r="EU220" s="23"/>
      <c r="EV220" s="23"/>
      <c r="EW220" s="23"/>
      <c r="EX220" s="23"/>
      <c r="EY220" s="23"/>
      <c r="EZ220" s="23"/>
      <c r="FA220" s="23"/>
      <c r="FB220" s="23"/>
      <c r="FC220" s="23"/>
      <c r="FD220" s="23"/>
      <c r="FE220" s="23"/>
      <c r="FF220" s="23"/>
      <c r="FG220" s="23"/>
      <c r="FH220" s="23"/>
      <c r="FI220" s="23"/>
      <c r="FJ220" s="23"/>
      <c r="FK220" s="23"/>
      <c r="FL220" s="23"/>
      <c r="FM220" s="23"/>
      <c r="FN220" s="23"/>
      <c r="FO220" s="23"/>
      <c r="FP220" s="23"/>
      <c r="FQ220" s="23"/>
      <c r="FR220" s="23"/>
      <c r="FS220" s="23"/>
      <c r="FT220" s="23"/>
      <c r="FU220" s="23"/>
      <c r="FV220" s="23"/>
      <c r="FW220" s="23"/>
      <c r="FX220" s="23"/>
      <c r="FY220" s="23"/>
      <c r="FZ220" s="23"/>
      <c r="GA220" s="23"/>
      <c r="GB220" s="23"/>
      <c r="GC220" s="23"/>
      <c r="GD220" s="23"/>
      <c r="GE220" s="23"/>
      <c r="GF220" s="23"/>
      <c r="GG220" s="23"/>
      <c r="GH220" s="23"/>
      <c r="GI220" s="23"/>
      <c r="GJ220" s="23"/>
      <c r="GK220" s="23"/>
      <c r="GL220" s="23"/>
    </row>
    <row r="221" spans="1:194" ht="13">
      <c r="A221" s="23"/>
      <c r="B221" s="23"/>
      <c r="C221" s="23"/>
      <c r="D221" s="23"/>
      <c r="E221" s="23"/>
      <c r="F221" s="23"/>
      <c r="G221" s="23"/>
      <c r="H221" s="401"/>
      <c r="I221" s="401"/>
      <c r="J221" s="401"/>
      <c r="K221" s="401"/>
      <c r="L221" s="401"/>
      <c r="M221" s="438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23"/>
      <c r="BH221" s="23"/>
      <c r="BI221" s="23"/>
      <c r="BJ221" s="23"/>
      <c r="BK221" s="23"/>
      <c r="BL221" s="23"/>
      <c r="BM221" s="23"/>
      <c r="BN221" s="23"/>
      <c r="BO221" s="23"/>
      <c r="BP221" s="23"/>
      <c r="BQ221" s="23"/>
      <c r="BR221" s="23"/>
      <c r="BS221" s="23"/>
      <c r="BT221" s="23"/>
      <c r="BU221" s="23"/>
      <c r="BV221" s="23"/>
      <c r="BW221" s="23"/>
      <c r="BX221" s="23"/>
      <c r="BY221" s="23"/>
      <c r="BZ221" s="23"/>
      <c r="CA221" s="23"/>
      <c r="CB221" s="23"/>
      <c r="CC221" s="23"/>
      <c r="CD221" s="23"/>
      <c r="CE221" s="23"/>
      <c r="CF221" s="23"/>
      <c r="CG221" s="23"/>
      <c r="CH221" s="23"/>
      <c r="CI221" s="23"/>
      <c r="CJ221" s="23"/>
      <c r="CK221" s="23"/>
      <c r="CL221" s="23"/>
      <c r="CM221" s="23"/>
      <c r="CN221" s="23"/>
      <c r="CO221" s="23"/>
      <c r="CP221" s="23"/>
      <c r="CQ221" s="23"/>
      <c r="CR221" s="23"/>
      <c r="CS221" s="23"/>
      <c r="CT221" s="23"/>
      <c r="CU221" s="23"/>
      <c r="CV221" s="23"/>
      <c r="CW221" s="23"/>
      <c r="CX221" s="23"/>
      <c r="CY221" s="23"/>
      <c r="CZ221" s="23"/>
      <c r="DA221" s="23"/>
      <c r="DB221" s="23"/>
      <c r="DC221" s="23"/>
      <c r="DD221" s="23"/>
      <c r="DE221" s="23"/>
      <c r="DF221" s="23"/>
      <c r="DG221" s="23"/>
      <c r="DH221" s="23"/>
      <c r="DI221" s="23"/>
      <c r="DJ221" s="23"/>
      <c r="DK221" s="23"/>
      <c r="DL221" s="23"/>
      <c r="DM221" s="23"/>
      <c r="DN221" s="23"/>
      <c r="DO221" s="23"/>
      <c r="DP221" s="23"/>
      <c r="DQ221" s="23"/>
      <c r="DR221" s="23"/>
      <c r="DS221" s="23"/>
      <c r="DT221" s="23"/>
      <c r="DU221" s="23"/>
      <c r="DV221" s="23"/>
      <c r="DW221" s="23"/>
      <c r="DX221" s="23"/>
      <c r="DY221" s="23"/>
      <c r="DZ221" s="23"/>
      <c r="EA221" s="23"/>
      <c r="EB221" s="23"/>
      <c r="EC221" s="23"/>
      <c r="ED221" s="23"/>
      <c r="EE221" s="23"/>
      <c r="EF221" s="23"/>
      <c r="EG221" s="23"/>
      <c r="EH221" s="23"/>
      <c r="EI221" s="23"/>
      <c r="EJ221" s="23"/>
      <c r="EK221" s="23"/>
      <c r="EL221" s="23"/>
      <c r="EM221" s="23"/>
      <c r="EN221" s="23"/>
      <c r="EO221" s="23"/>
      <c r="EP221" s="23"/>
      <c r="EQ221" s="23"/>
      <c r="ER221" s="23"/>
      <c r="ES221" s="23"/>
      <c r="ET221" s="23"/>
      <c r="EU221" s="23"/>
      <c r="EV221" s="23"/>
      <c r="EW221" s="23"/>
      <c r="EX221" s="23"/>
      <c r="EY221" s="23"/>
      <c r="EZ221" s="23"/>
      <c r="FA221" s="23"/>
      <c r="FB221" s="23"/>
      <c r="FC221" s="23"/>
      <c r="FD221" s="23"/>
      <c r="FE221" s="23"/>
      <c r="FF221" s="23"/>
      <c r="FG221" s="23"/>
      <c r="FH221" s="23"/>
      <c r="FI221" s="23"/>
      <c r="FJ221" s="23"/>
      <c r="FK221" s="23"/>
      <c r="FL221" s="23"/>
      <c r="FM221" s="23"/>
      <c r="FN221" s="23"/>
      <c r="FO221" s="23"/>
      <c r="FP221" s="23"/>
      <c r="FQ221" s="23"/>
      <c r="FR221" s="23"/>
      <c r="FS221" s="23"/>
      <c r="FT221" s="23"/>
      <c r="FU221" s="23"/>
      <c r="FV221" s="23"/>
      <c r="FW221" s="23"/>
      <c r="FX221" s="23"/>
      <c r="FY221" s="23"/>
      <c r="FZ221" s="23"/>
      <c r="GA221" s="23"/>
      <c r="GB221" s="23"/>
      <c r="GC221" s="23"/>
      <c r="GD221" s="23"/>
      <c r="GE221" s="23"/>
      <c r="GF221" s="23"/>
      <c r="GG221" s="23"/>
      <c r="GH221" s="23"/>
      <c r="GI221" s="23"/>
      <c r="GJ221" s="23"/>
      <c r="GK221" s="23"/>
      <c r="GL221" s="23"/>
    </row>
    <row r="222" spans="1:194" ht="13">
      <c r="A222" s="23"/>
      <c r="B222" s="23"/>
      <c r="C222" s="23"/>
      <c r="D222" s="23"/>
      <c r="E222" s="23"/>
      <c r="F222" s="23"/>
      <c r="G222" s="23"/>
      <c r="H222" s="401"/>
      <c r="I222" s="401"/>
      <c r="J222" s="401"/>
      <c r="K222" s="401"/>
      <c r="L222" s="401"/>
      <c r="M222" s="438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  <c r="BF222" s="23"/>
      <c r="BG222" s="23"/>
      <c r="BH222" s="23"/>
      <c r="BI222" s="23"/>
      <c r="BJ222" s="23"/>
      <c r="BK222" s="23"/>
      <c r="BL222" s="23"/>
      <c r="BM222" s="23"/>
      <c r="BN222" s="23"/>
      <c r="BO222" s="23"/>
      <c r="BP222" s="23"/>
      <c r="BQ222" s="23"/>
      <c r="BR222" s="23"/>
      <c r="BS222" s="23"/>
      <c r="BT222" s="23"/>
      <c r="BU222" s="23"/>
      <c r="BV222" s="23"/>
      <c r="BW222" s="23"/>
      <c r="BX222" s="23"/>
      <c r="BY222" s="23"/>
      <c r="BZ222" s="23"/>
      <c r="CA222" s="23"/>
      <c r="CB222" s="23"/>
      <c r="CC222" s="23"/>
      <c r="CD222" s="23"/>
      <c r="CE222" s="23"/>
      <c r="CF222" s="23"/>
      <c r="CG222" s="23"/>
      <c r="CH222" s="23"/>
      <c r="CI222" s="23"/>
      <c r="CJ222" s="23"/>
      <c r="CK222" s="23"/>
      <c r="CL222" s="23"/>
      <c r="CM222" s="23"/>
      <c r="CN222" s="23"/>
      <c r="CO222" s="23"/>
      <c r="CP222" s="23"/>
      <c r="CQ222" s="23"/>
      <c r="CR222" s="23"/>
      <c r="CS222" s="23"/>
      <c r="CT222" s="23"/>
      <c r="CU222" s="23"/>
      <c r="CV222" s="23"/>
      <c r="CW222" s="23"/>
      <c r="CX222" s="23"/>
      <c r="CY222" s="23"/>
      <c r="CZ222" s="23"/>
      <c r="DA222" s="23"/>
      <c r="DB222" s="23"/>
      <c r="DC222" s="23"/>
      <c r="DD222" s="23"/>
      <c r="DE222" s="23"/>
      <c r="DF222" s="23"/>
      <c r="DG222" s="23"/>
      <c r="DH222" s="23"/>
      <c r="DI222" s="23"/>
      <c r="DJ222" s="23"/>
      <c r="DK222" s="23"/>
      <c r="DL222" s="23"/>
      <c r="DM222" s="23"/>
      <c r="DN222" s="23"/>
      <c r="DO222" s="23"/>
      <c r="DP222" s="23"/>
      <c r="DQ222" s="23"/>
      <c r="DR222" s="23"/>
      <c r="DS222" s="23"/>
      <c r="DT222" s="23"/>
      <c r="DU222" s="23"/>
      <c r="DV222" s="23"/>
      <c r="DW222" s="23"/>
      <c r="DX222" s="23"/>
      <c r="DY222" s="23"/>
      <c r="DZ222" s="23"/>
      <c r="EA222" s="23"/>
      <c r="EB222" s="23"/>
      <c r="EC222" s="23"/>
      <c r="ED222" s="23"/>
      <c r="EE222" s="23"/>
      <c r="EF222" s="23"/>
      <c r="EG222" s="23"/>
      <c r="EH222" s="23"/>
      <c r="EI222" s="23"/>
      <c r="EJ222" s="23"/>
      <c r="EK222" s="23"/>
      <c r="EL222" s="23"/>
      <c r="EM222" s="23"/>
      <c r="EN222" s="23"/>
      <c r="EO222" s="23"/>
      <c r="EP222" s="23"/>
      <c r="EQ222" s="23"/>
      <c r="ER222" s="23"/>
      <c r="ES222" s="23"/>
      <c r="ET222" s="23"/>
      <c r="EU222" s="23"/>
      <c r="EV222" s="23"/>
      <c r="EW222" s="23"/>
      <c r="EX222" s="23"/>
      <c r="EY222" s="23"/>
      <c r="EZ222" s="23"/>
      <c r="FA222" s="23"/>
      <c r="FB222" s="23"/>
      <c r="FC222" s="23"/>
      <c r="FD222" s="23"/>
      <c r="FE222" s="23"/>
      <c r="FF222" s="23"/>
      <c r="FG222" s="23"/>
      <c r="FH222" s="23"/>
      <c r="FI222" s="23"/>
      <c r="FJ222" s="23"/>
      <c r="FK222" s="23"/>
      <c r="FL222" s="23"/>
      <c r="FM222" s="23"/>
      <c r="FN222" s="23"/>
      <c r="FO222" s="23"/>
      <c r="FP222" s="23"/>
      <c r="FQ222" s="23"/>
      <c r="FR222" s="23"/>
      <c r="FS222" s="23"/>
      <c r="FT222" s="23"/>
      <c r="FU222" s="23"/>
      <c r="FV222" s="23"/>
      <c r="FW222" s="23"/>
      <c r="FX222" s="23"/>
      <c r="FY222" s="23"/>
      <c r="FZ222" s="23"/>
      <c r="GA222" s="23"/>
      <c r="GB222" s="23"/>
      <c r="GC222" s="23"/>
      <c r="GD222" s="23"/>
      <c r="GE222" s="23"/>
      <c r="GF222" s="23"/>
      <c r="GG222" s="23"/>
      <c r="GH222" s="23"/>
      <c r="GI222" s="23"/>
      <c r="GJ222" s="23"/>
      <c r="GK222" s="23"/>
      <c r="GL222" s="23"/>
    </row>
    <row r="223" spans="1:194" ht="13">
      <c r="A223" s="23"/>
      <c r="B223" s="23"/>
      <c r="C223" s="23"/>
      <c r="D223" s="23"/>
      <c r="E223" s="23"/>
      <c r="F223" s="23"/>
      <c r="G223" s="23"/>
      <c r="H223" s="401"/>
      <c r="I223" s="401"/>
      <c r="J223" s="401"/>
      <c r="K223" s="401"/>
      <c r="L223" s="401"/>
      <c r="M223" s="438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3"/>
      <c r="BG223" s="23"/>
      <c r="BH223" s="23"/>
      <c r="BI223" s="23"/>
      <c r="BJ223" s="23"/>
      <c r="BK223" s="23"/>
      <c r="BL223" s="23"/>
      <c r="BM223" s="23"/>
      <c r="BN223" s="23"/>
      <c r="BO223" s="23"/>
      <c r="BP223" s="23"/>
      <c r="BQ223" s="23"/>
      <c r="BR223" s="23"/>
      <c r="BS223" s="23"/>
      <c r="BT223" s="23"/>
      <c r="BU223" s="23"/>
      <c r="BV223" s="23"/>
      <c r="BW223" s="23"/>
      <c r="BX223" s="23"/>
      <c r="BY223" s="23"/>
      <c r="BZ223" s="23"/>
      <c r="CA223" s="23"/>
      <c r="CB223" s="23"/>
      <c r="CC223" s="23"/>
      <c r="CD223" s="23"/>
      <c r="CE223" s="23"/>
      <c r="CF223" s="23"/>
      <c r="CG223" s="23"/>
      <c r="CH223" s="23"/>
      <c r="CI223" s="23"/>
      <c r="CJ223" s="23"/>
      <c r="CK223" s="23"/>
      <c r="CL223" s="23"/>
      <c r="CM223" s="23"/>
      <c r="CN223" s="23"/>
      <c r="CO223" s="23"/>
      <c r="CP223" s="23"/>
      <c r="CQ223" s="23"/>
      <c r="CR223" s="23"/>
      <c r="CS223" s="23"/>
      <c r="CT223" s="23"/>
      <c r="CU223" s="23"/>
      <c r="CV223" s="23"/>
      <c r="CW223" s="23"/>
      <c r="CX223" s="23"/>
      <c r="CY223" s="23"/>
      <c r="CZ223" s="23"/>
      <c r="DA223" s="23"/>
      <c r="DB223" s="23"/>
      <c r="DC223" s="23"/>
      <c r="DD223" s="23"/>
      <c r="DE223" s="23"/>
      <c r="DF223" s="23"/>
      <c r="DG223" s="23"/>
      <c r="DH223" s="23"/>
      <c r="DI223" s="23"/>
      <c r="DJ223" s="23"/>
      <c r="DK223" s="23"/>
      <c r="DL223" s="23"/>
      <c r="DM223" s="23"/>
      <c r="DN223" s="23"/>
      <c r="DO223" s="23"/>
      <c r="DP223" s="23"/>
      <c r="DQ223" s="23"/>
      <c r="DR223" s="23"/>
      <c r="DS223" s="23"/>
      <c r="DT223" s="23"/>
      <c r="DU223" s="23"/>
      <c r="DV223" s="23"/>
      <c r="DW223" s="23"/>
      <c r="DX223" s="23"/>
      <c r="DY223" s="23"/>
      <c r="DZ223" s="23"/>
      <c r="EA223" s="23"/>
      <c r="EB223" s="23"/>
      <c r="EC223" s="23"/>
      <c r="ED223" s="23"/>
      <c r="EE223" s="23"/>
      <c r="EF223" s="23"/>
      <c r="EG223" s="23"/>
      <c r="EH223" s="23"/>
      <c r="EI223" s="23"/>
      <c r="EJ223" s="23"/>
      <c r="EK223" s="23"/>
      <c r="EL223" s="23"/>
      <c r="EM223" s="23"/>
      <c r="EN223" s="23"/>
      <c r="EO223" s="23"/>
      <c r="EP223" s="23"/>
      <c r="EQ223" s="23"/>
      <c r="ER223" s="23"/>
      <c r="ES223" s="23"/>
      <c r="ET223" s="23"/>
      <c r="EU223" s="23"/>
      <c r="EV223" s="23"/>
      <c r="EW223" s="23"/>
      <c r="EX223" s="23"/>
      <c r="EY223" s="23"/>
      <c r="EZ223" s="23"/>
      <c r="FA223" s="23"/>
      <c r="FB223" s="23"/>
      <c r="FC223" s="23"/>
      <c r="FD223" s="23"/>
      <c r="FE223" s="23"/>
      <c r="FF223" s="23"/>
      <c r="FG223" s="23"/>
      <c r="FH223" s="23"/>
      <c r="FI223" s="23"/>
      <c r="FJ223" s="23"/>
      <c r="FK223" s="23"/>
      <c r="FL223" s="23"/>
      <c r="FM223" s="23"/>
      <c r="FN223" s="23"/>
      <c r="FO223" s="23"/>
      <c r="FP223" s="23"/>
      <c r="FQ223" s="23"/>
      <c r="FR223" s="23"/>
      <c r="FS223" s="23"/>
      <c r="FT223" s="23"/>
      <c r="FU223" s="23"/>
      <c r="FV223" s="23"/>
      <c r="FW223" s="23"/>
      <c r="FX223" s="23"/>
      <c r="FY223" s="23"/>
      <c r="FZ223" s="23"/>
      <c r="GA223" s="23"/>
      <c r="GB223" s="23"/>
      <c r="GC223" s="23"/>
      <c r="GD223" s="23"/>
      <c r="GE223" s="23"/>
      <c r="GF223" s="23"/>
      <c r="GG223" s="23"/>
      <c r="GH223" s="23"/>
      <c r="GI223" s="23"/>
      <c r="GJ223" s="23"/>
      <c r="GK223" s="23"/>
      <c r="GL223" s="23"/>
    </row>
    <row r="224" spans="1:194" ht="13">
      <c r="A224" s="23"/>
      <c r="B224" s="23"/>
      <c r="C224" s="23"/>
      <c r="D224" s="23"/>
      <c r="E224" s="23"/>
      <c r="F224" s="23"/>
      <c r="G224" s="23"/>
      <c r="H224" s="401"/>
      <c r="I224" s="401"/>
      <c r="J224" s="401"/>
      <c r="K224" s="401"/>
      <c r="L224" s="401"/>
      <c r="M224" s="438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23"/>
      <c r="BH224" s="23"/>
      <c r="BI224" s="23"/>
      <c r="BJ224" s="23"/>
      <c r="BK224" s="23"/>
      <c r="BL224" s="23"/>
      <c r="BM224" s="23"/>
      <c r="BN224" s="23"/>
      <c r="BO224" s="23"/>
      <c r="BP224" s="23"/>
      <c r="BQ224" s="23"/>
      <c r="BR224" s="23"/>
      <c r="BS224" s="23"/>
      <c r="BT224" s="23"/>
      <c r="BU224" s="23"/>
      <c r="BV224" s="23"/>
      <c r="BW224" s="23"/>
      <c r="BX224" s="23"/>
      <c r="BY224" s="23"/>
      <c r="BZ224" s="23"/>
      <c r="CA224" s="23"/>
      <c r="CB224" s="23"/>
      <c r="CC224" s="23"/>
      <c r="CD224" s="23"/>
      <c r="CE224" s="23"/>
      <c r="CF224" s="23"/>
      <c r="CG224" s="23"/>
      <c r="CH224" s="23"/>
      <c r="CI224" s="23"/>
      <c r="CJ224" s="23"/>
      <c r="CK224" s="23"/>
      <c r="CL224" s="23"/>
      <c r="CM224" s="23"/>
      <c r="CN224" s="23"/>
      <c r="CO224" s="23"/>
      <c r="CP224" s="23"/>
      <c r="CQ224" s="23"/>
      <c r="CR224" s="23"/>
      <c r="CS224" s="23"/>
      <c r="CT224" s="23"/>
      <c r="CU224" s="23"/>
      <c r="CV224" s="23"/>
      <c r="CW224" s="23"/>
      <c r="CX224" s="23"/>
      <c r="CY224" s="23"/>
      <c r="CZ224" s="23"/>
      <c r="DA224" s="23"/>
      <c r="DB224" s="23"/>
      <c r="DC224" s="23"/>
      <c r="DD224" s="23"/>
      <c r="DE224" s="23"/>
      <c r="DF224" s="23"/>
      <c r="DG224" s="23"/>
      <c r="DH224" s="23"/>
      <c r="DI224" s="23"/>
      <c r="DJ224" s="23"/>
      <c r="DK224" s="23"/>
      <c r="DL224" s="23"/>
      <c r="DM224" s="23"/>
      <c r="DN224" s="23"/>
      <c r="DO224" s="23"/>
      <c r="DP224" s="23"/>
      <c r="DQ224" s="23"/>
      <c r="DR224" s="23"/>
      <c r="DS224" s="23"/>
      <c r="DT224" s="23"/>
      <c r="DU224" s="23"/>
      <c r="DV224" s="23"/>
      <c r="DW224" s="23"/>
      <c r="DX224" s="23"/>
      <c r="DY224" s="23"/>
      <c r="DZ224" s="23"/>
      <c r="EA224" s="23"/>
      <c r="EB224" s="23"/>
      <c r="EC224" s="23"/>
      <c r="ED224" s="23"/>
      <c r="EE224" s="23"/>
      <c r="EF224" s="23"/>
      <c r="EG224" s="23"/>
      <c r="EH224" s="23"/>
      <c r="EI224" s="23"/>
      <c r="EJ224" s="23"/>
      <c r="EK224" s="23"/>
      <c r="EL224" s="23"/>
      <c r="EM224" s="23"/>
      <c r="EN224" s="23"/>
      <c r="EO224" s="23"/>
      <c r="EP224" s="23"/>
      <c r="EQ224" s="23"/>
      <c r="ER224" s="23"/>
      <c r="ES224" s="23"/>
      <c r="ET224" s="23"/>
      <c r="EU224" s="23"/>
      <c r="EV224" s="23"/>
      <c r="EW224" s="23"/>
      <c r="EX224" s="23"/>
      <c r="EY224" s="23"/>
      <c r="EZ224" s="23"/>
      <c r="FA224" s="23"/>
      <c r="FB224" s="23"/>
      <c r="FC224" s="23"/>
      <c r="FD224" s="23"/>
      <c r="FE224" s="23"/>
      <c r="FF224" s="23"/>
      <c r="FG224" s="23"/>
      <c r="FH224" s="23"/>
      <c r="FI224" s="23"/>
      <c r="FJ224" s="23"/>
      <c r="FK224" s="23"/>
      <c r="FL224" s="23"/>
      <c r="FM224" s="23"/>
      <c r="FN224" s="23"/>
      <c r="FO224" s="23"/>
      <c r="FP224" s="23"/>
      <c r="FQ224" s="23"/>
      <c r="FR224" s="23"/>
      <c r="FS224" s="23"/>
      <c r="FT224" s="23"/>
      <c r="FU224" s="23"/>
      <c r="FV224" s="23"/>
      <c r="FW224" s="23"/>
      <c r="FX224" s="23"/>
      <c r="FY224" s="23"/>
      <c r="FZ224" s="23"/>
      <c r="GA224" s="23"/>
      <c r="GB224" s="23"/>
      <c r="GC224" s="23"/>
      <c r="GD224" s="23"/>
      <c r="GE224" s="23"/>
      <c r="GF224" s="23"/>
      <c r="GG224" s="23"/>
      <c r="GH224" s="23"/>
      <c r="GI224" s="23"/>
      <c r="GJ224" s="23"/>
      <c r="GK224" s="23"/>
      <c r="GL224" s="23"/>
    </row>
    <row r="225" spans="1:194" ht="13">
      <c r="A225" s="23"/>
      <c r="B225" s="23"/>
      <c r="C225" s="23"/>
      <c r="D225" s="23"/>
      <c r="E225" s="23"/>
      <c r="F225" s="23"/>
      <c r="G225" s="23"/>
      <c r="H225" s="401"/>
      <c r="I225" s="401"/>
      <c r="J225" s="401"/>
      <c r="K225" s="401"/>
      <c r="L225" s="401"/>
      <c r="M225" s="438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23"/>
      <c r="BD225" s="23"/>
      <c r="BE225" s="23"/>
      <c r="BF225" s="23"/>
      <c r="BG225" s="23"/>
      <c r="BH225" s="23"/>
      <c r="BI225" s="23"/>
      <c r="BJ225" s="23"/>
      <c r="BK225" s="23"/>
      <c r="BL225" s="23"/>
      <c r="BM225" s="23"/>
      <c r="BN225" s="23"/>
      <c r="BO225" s="23"/>
      <c r="BP225" s="23"/>
      <c r="BQ225" s="23"/>
      <c r="BR225" s="23"/>
      <c r="BS225" s="23"/>
      <c r="BT225" s="23"/>
      <c r="BU225" s="23"/>
      <c r="BV225" s="23"/>
      <c r="BW225" s="23"/>
      <c r="BX225" s="23"/>
      <c r="BY225" s="23"/>
      <c r="BZ225" s="23"/>
      <c r="CA225" s="23"/>
      <c r="CB225" s="23"/>
      <c r="CC225" s="23"/>
      <c r="CD225" s="23"/>
      <c r="CE225" s="23"/>
      <c r="CF225" s="23"/>
      <c r="CG225" s="23"/>
      <c r="CH225" s="23"/>
      <c r="CI225" s="23"/>
      <c r="CJ225" s="23"/>
      <c r="CK225" s="23"/>
      <c r="CL225" s="23"/>
      <c r="CM225" s="23"/>
      <c r="CN225" s="23"/>
      <c r="CO225" s="23"/>
      <c r="CP225" s="23"/>
      <c r="CQ225" s="23"/>
      <c r="CR225" s="23"/>
      <c r="CS225" s="23"/>
      <c r="CT225" s="23"/>
      <c r="CU225" s="23"/>
      <c r="CV225" s="23"/>
      <c r="CW225" s="23"/>
      <c r="CX225" s="23"/>
      <c r="CY225" s="23"/>
      <c r="CZ225" s="23"/>
      <c r="DA225" s="23"/>
      <c r="DB225" s="23"/>
      <c r="DC225" s="23"/>
      <c r="DD225" s="23"/>
      <c r="DE225" s="23"/>
      <c r="DF225" s="23"/>
      <c r="DG225" s="23"/>
      <c r="DH225" s="23"/>
      <c r="DI225" s="23"/>
      <c r="DJ225" s="23"/>
      <c r="DK225" s="23"/>
      <c r="DL225" s="23"/>
      <c r="DM225" s="23"/>
      <c r="DN225" s="23"/>
      <c r="DO225" s="23"/>
      <c r="DP225" s="23"/>
      <c r="DQ225" s="23"/>
      <c r="DR225" s="23"/>
      <c r="DS225" s="23"/>
      <c r="DT225" s="23"/>
      <c r="DU225" s="23"/>
      <c r="DV225" s="23"/>
      <c r="DW225" s="23"/>
      <c r="DX225" s="23"/>
      <c r="DY225" s="23"/>
      <c r="DZ225" s="23"/>
      <c r="EA225" s="23"/>
      <c r="EB225" s="23"/>
      <c r="EC225" s="23"/>
      <c r="ED225" s="23"/>
      <c r="EE225" s="23"/>
      <c r="EF225" s="23"/>
      <c r="EG225" s="23"/>
      <c r="EH225" s="23"/>
      <c r="EI225" s="23"/>
      <c r="EJ225" s="23"/>
      <c r="EK225" s="23"/>
      <c r="EL225" s="23"/>
      <c r="EM225" s="23"/>
      <c r="EN225" s="23"/>
      <c r="EO225" s="23"/>
      <c r="EP225" s="23"/>
      <c r="EQ225" s="23"/>
      <c r="ER225" s="23"/>
      <c r="ES225" s="23"/>
      <c r="ET225" s="23"/>
      <c r="EU225" s="23"/>
      <c r="EV225" s="23"/>
      <c r="EW225" s="23"/>
      <c r="EX225" s="23"/>
      <c r="EY225" s="23"/>
      <c r="EZ225" s="23"/>
      <c r="FA225" s="23"/>
      <c r="FB225" s="23"/>
      <c r="FC225" s="23"/>
      <c r="FD225" s="23"/>
      <c r="FE225" s="23"/>
      <c r="FF225" s="23"/>
      <c r="FG225" s="23"/>
      <c r="FH225" s="23"/>
      <c r="FI225" s="23"/>
      <c r="FJ225" s="23"/>
      <c r="FK225" s="23"/>
      <c r="FL225" s="23"/>
      <c r="FM225" s="23"/>
      <c r="FN225" s="23"/>
      <c r="FO225" s="23"/>
      <c r="FP225" s="23"/>
      <c r="FQ225" s="23"/>
      <c r="FR225" s="23"/>
      <c r="FS225" s="23"/>
      <c r="FT225" s="23"/>
      <c r="FU225" s="23"/>
      <c r="FV225" s="23"/>
      <c r="FW225" s="23"/>
      <c r="FX225" s="23"/>
      <c r="FY225" s="23"/>
      <c r="FZ225" s="23"/>
      <c r="GA225" s="23"/>
      <c r="GB225" s="23"/>
      <c r="GC225" s="23"/>
      <c r="GD225" s="23"/>
      <c r="GE225" s="23"/>
      <c r="GF225" s="23"/>
      <c r="GG225" s="23"/>
      <c r="GH225" s="23"/>
      <c r="GI225" s="23"/>
      <c r="GJ225" s="23"/>
      <c r="GK225" s="23"/>
      <c r="GL225" s="23"/>
    </row>
    <row r="226" spans="1:194" ht="13">
      <c r="A226" s="23"/>
      <c r="B226" s="23"/>
      <c r="C226" s="23"/>
      <c r="D226" s="23"/>
      <c r="E226" s="23"/>
      <c r="F226" s="23"/>
      <c r="G226" s="23"/>
      <c r="H226" s="401"/>
      <c r="I226" s="401"/>
      <c r="J226" s="401"/>
      <c r="K226" s="401"/>
      <c r="L226" s="401"/>
      <c r="M226" s="438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23"/>
      <c r="BH226" s="23"/>
      <c r="BI226" s="23"/>
      <c r="BJ226" s="23"/>
      <c r="BK226" s="23"/>
      <c r="BL226" s="23"/>
      <c r="BM226" s="23"/>
      <c r="BN226" s="23"/>
      <c r="BO226" s="23"/>
      <c r="BP226" s="23"/>
      <c r="BQ226" s="23"/>
      <c r="BR226" s="23"/>
      <c r="BS226" s="23"/>
      <c r="BT226" s="23"/>
      <c r="BU226" s="23"/>
      <c r="BV226" s="23"/>
      <c r="BW226" s="23"/>
      <c r="BX226" s="23"/>
      <c r="BY226" s="23"/>
      <c r="BZ226" s="23"/>
      <c r="CA226" s="23"/>
      <c r="CB226" s="23"/>
      <c r="CC226" s="23"/>
      <c r="CD226" s="23"/>
      <c r="CE226" s="23"/>
      <c r="CF226" s="23"/>
      <c r="CG226" s="23"/>
      <c r="CH226" s="23"/>
      <c r="CI226" s="23"/>
      <c r="CJ226" s="23"/>
      <c r="CK226" s="23"/>
      <c r="CL226" s="23"/>
      <c r="CM226" s="23"/>
      <c r="CN226" s="23"/>
      <c r="CO226" s="23"/>
      <c r="CP226" s="23"/>
      <c r="CQ226" s="23"/>
      <c r="CR226" s="23"/>
      <c r="CS226" s="23"/>
      <c r="CT226" s="23"/>
      <c r="CU226" s="23"/>
      <c r="CV226" s="23"/>
      <c r="CW226" s="23"/>
      <c r="CX226" s="23"/>
      <c r="CY226" s="23"/>
      <c r="CZ226" s="23"/>
      <c r="DA226" s="23"/>
      <c r="DB226" s="23"/>
      <c r="DC226" s="23"/>
      <c r="DD226" s="23"/>
      <c r="DE226" s="23"/>
      <c r="DF226" s="23"/>
      <c r="DG226" s="23"/>
      <c r="DH226" s="23"/>
      <c r="DI226" s="23"/>
      <c r="DJ226" s="23"/>
      <c r="DK226" s="23"/>
      <c r="DL226" s="23"/>
      <c r="DM226" s="23"/>
      <c r="DN226" s="23"/>
      <c r="DO226" s="23"/>
      <c r="DP226" s="23"/>
      <c r="DQ226" s="23"/>
      <c r="DR226" s="23"/>
      <c r="DS226" s="23"/>
      <c r="DT226" s="23"/>
      <c r="DU226" s="23"/>
      <c r="DV226" s="23"/>
      <c r="DW226" s="23"/>
      <c r="DX226" s="23"/>
      <c r="DY226" s="23"/>
      <c r="DZ226" s="23"/>
      <c r="EA226" s="23"/>
      <c r="EB226" s="23"/>
      <c r="EC226" s="23"/>
      <c r="ED226" s="23"/>
      <c r="EE226" s="23"/>
      <c r="EF226" s="23"/>
      <c r="EG226" s="23"/>
      <c r="EH226" s="23"/>
      <c r="EI226" s="23"/>
      <c r="EJ226" s="23"/>
      <c r="EK226" s="23"/>
      <c r="EL226" s="23"/>
      <c r="EM226" s="23"/>
      <c r="EN226" s="23"/>
      <c r="EO226" s="23"/>
      <c r="EP226" s="23"/>
      <c r="EQ226" s="23"/>
      <c r="ER226" s="23"/>
      <c r="ES226" s="23"/>
      <c r="ET226" s="23"/>
      <c r="EU226" s="23"/>
      <c r="EV226" s="23"/>
      <c r="EW226" s="23"/>
      <c r="EX226" s="23"/>
      <c r="EY226" s="23"/>
      <c r="EZ226" s="23"/>
      <c r="FA226" s="23"/>
      <c r="FB226" s="23"/>
      <c r="FC226" s="23"/>
      <c r="FD226" s="23"/>
      <c r="FE226" s="23"/>
      <c r="FF226" s="23"/>
      <c r="FG226" s="23"/>
      <c r="FH226" s="23"/>
      <c r="FI226" s="23"/>
      <c r="FJ226" s="23"/>
      <c r="FK226" s="23"/>
      <c r="FL226" s="23"/>
      <c r="FM226" s="23"/>
      <c r="FN226" s="23"/>
      <c r="FO226" s="23"/>
      <c r="FP226" s="23"/>
      <c r="FQ226" s="23"/>
      <c r="FR226" s="23"/>
      <c r="FS226" s="23"/>
      <c r="FT226" s="23"/>
      <c r="FU226" s="23"/>
      <c r="FV226" s="23"/>
      <c r="FW226" s="23"/>
      <c r="FX226" s="23"/>
      <c r="FY226" s="23"/>
      <c r="FZ226" s="23"/>
      <c r="GA226" s="23"/>
      <c r="GB226" s="23"/>
      <c r="GC226" s="23"/>
      <c r="GD226" s="23"/>
      <c r="GE226" s="23"/>
      <c r="GF226" s="23"/>
      <c r="GG226" s="23"/>
      <c r="GH226" s="23"/>
      <c r="GI226" s="23"/>
      <c r="GJ226" s="23"/>
      <c r="GK226" s="23"/>
      <c r="GL226" s="23"/>
    </row>
    <row r="227" spans="1:194" ht="13">
      <c r="A227" s="23"/>
      <c r="B227" s="23"/>
      <c r="C227" s="23"/>
      <c r="D227" s="23"/>
      <c r="E227" s="23"/>
      <c r="F227" s="23"/>
      <c r="G227" s="23"/>
      <c r="H227" s="401"/>
      <c r="I227" s="401"/>
      <c r="J227" s="401"/>
      <c r="K227" s="401"/>
      <c r="L227" s="401"/>
      <c r="M227" s="438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  <c r="BF227" s="23"/>
      <c r="BG227" s="23"/>
      <c r="BH227" s="23"/>
      <c r="BI227" s="23"/>
      <c r="BJ227" s="23"/>
      <c r="BK227" s="23"/>
      <c r="BL227" s="23"/>
      <c r="BM227" s="23"/>
      <c r="BN227" s="23"/>
      <c r="BO227" s="23"/>
      <c r="BP227" s="23"/>
      <c r="BQ227" s="23"/>
      <c r="BR227" s="23"/>
      <c r="BS227" s="23"/>
      <c r="BT227" s="23"/>
      <c r="BU227" s="23"/>
      <c r="BV227" s="23"/>
      <c r="BW227" s="23"/>
      <c r="BX227" s="23"/>
      <c r="BY227" s="23"/>
      <c r="BZ227" s="23"/>
      <c r="CA227" s="23"/>
      <c r="CB227" s="23"/>
      <c r="CC227" s="23"/>
      <c r="CD227" s="23"/>
      <c r="CE227" s="23"/>
      <c r="CF227" s="23"/>
      <c r="CG227" s="23"/>
      <c r="CH227" s="23"/>
      <c r="CI227" s="23"/>
      <c r="CJ227" s="23"/>
      <c r="CK227" s="23"/>
      <c r="CL227" s="23"/>
      <c r="CM227" s="23"/>
      <c r="CN227" s="23"/>
      <c r="CO227" s="23"/>
      <c r="CP227" s="23"/>
      <c r="CQ227" s="23"/>
      <c r="CR227" s="23"/>
      <c r="CS227" s="23"/>
      <c r="CT227" s="23"/>
      <c r="CU227" s="23"/>
      <c r="CV227" s="23"/>
      <c r="CW227" s="23"/>
      <c r="CX227" s="23"/>
      <c r="CY227" s="23"/>
      <c r="CZ227" s="23"/>
      <c r="DA227" s="23"/>
      <c r="DB227" s="23"/>
      <c r="DC227" s="23"/>
      <c r="DD227" s="23"/>
      <c r="DE227" s="23"/>
      <c r="DF227" s="23"/>
      <c r="DG227" s="23"/>
      <c r="DH227" s="23"/>
      <c r="DI227" s="23"/>
      <c r="DJ227" s="23"/>
      <c r="DK227" s="23"/>
      <c r="DL227" s="23"/>
      <c r="DM227" s="23"/>
      <c r="DN227" s="23"/>
      <c r="DO227" s="23"/>
      <c r="DP227" s="23"/>
      <c r="DQ227" s="23"/>
      <c r="DR227" s="23"/>
      <c r="DS227" s="23"/>
      <c r="DT227" s="23"/>
      <c r="DU227" s="23"/>
      <c r="DV227" s="23"/>
      <c r="DW227" s="23"/>
      <c r="DX227" s="23"/>
      <c r="DY227" s="23"/>
      <c r="DZ227" s="23"/>
      <c r="EA227" s="23"/>
      <c r="EB227" s="23"/>
      <c r="EC227" s="23"/>
      <c r="ED227" s="23"/>
      <c r="EE227" s="23"/>
      <c r="EF227" s="23"/>
      <c r="EG227" s="23"/>
      <c r="EH227" s="23"/>
      <c r="EI227" s="23"/>
      <c r="EJ227" s="23"/>
      <c r="EK227" s="23"/>
      <c r="EL227" s="23"/>
      <c r="EM227" s="23"/>
      <c r="EN227" s="23"/>
      <c r="EO227" s="23"/>
      <c r="EP227" s="23"/>
      <c r="EQ227" s="23"/>
      <c r="ER227" s="23"/>
      <c r="ES227" s="23"/>
      <c r="ET227" s="23"/>
      <c r="EU227" s="23"/>
      <c r="EV227" s="23"/>
      <c r="EW227" s="23"/>
      <c r="EX227" s="23"/>
      <c r="EY227" s="23"/>
      <c r="EZ227" s="23"/>
      <c r="FA227" s="23"/>
      <c r="FB227" s="23"/>
      <c r="FC227" s="23"/>
      <c r="FD227" s="23"/>
      <c r="FE227" s="23"/>
      <c r="FF227" s="23"/>
      <c r="FG227" s="23"/>
      <c r="FH227" s="23"/>
      <c r="FI227" s="23"/>
      <c r="FJ227" s="23"/>
      <c r="FK227" s="23"/>
      <c r="FL227" s="23"/>
      <c r="FM227" s="23"/>
      <c r="FN227" s="23"/>
      <c r="FO227" s="23"/>
      <c r="FP227" s="23"/>
      <c r="FQ227" s="23"/>
      <c r="FR227" s="23"/>
      <c r="FS227" s="23"/>
      <c r="FT227" s="23"/>
      <c r="FU227" s="23"/>
      <c r="FV227" s="23"/>
      <c r="FW227" s="23"/>
      <c r="FX227" s="23"/>
      <c r="FY227" s="23"/>
      <c r="FZ227" s="23"/>
      <c r="GA227" s="23"/>
      <c r="GB227" s="23"/>
      <c r="GC227" s="23"/>
      <c r="GD227" s="23"/>
      <c r="GE227" s="23"/>
      <c r="GF227" s="23"/>
      <c r="GG227" s="23"/>
      <c r="GH227" s="23"/>
      <c r="GI227" s="23"/>
      <c r="GJ227" s="23"/>
      <c r="GK227" s="23"/>
      <c r="GL227" s="23"/>
    </row>
    <row r="228" spans="1:194" ht="13">
      <c r="A228" s="23"/>
      <c r="B228" s="23"/>
      <c r="C228" s="23"/>
      <c r="D228" s="23"/>
      <c r="E228" s="23"/>
      <c r="F228" s="23"/>
      <c r="G228" s="23"/>
      <c r="H228" s="401"/>
      <c r="I228" s="401"/>
      <c r="J228" s="401"/>
      <c r="K228" s="401"/>
      <c r="L228" s="401"/>
      <c r="M228" s="438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  <c r="BA228" s="23"/>
      <c r="BB228" s="23"/>
      <c r="BC228" s="23"/>
      <c r="BD228" s="23"/>
      <c r="BE228" s="23"/>
      <c r="BF228" s="23"/>
      <c r="BG228" s="23"/>
      <c r="BH228" s="23"/>
      <c r="BI228" s="23"/>
      <c r="BJ228" s="23"/>
      <c r="BK228" s="23"/>
      <c r="BL228" s="23"/>
      <c r="BM228" s="23"/>
      <c r="BN228" s="23"/>
      <c r="BO228" s="23"/>
      <c r="BP228" s="23"/>
      <c r="BQ228" s="23"/>
      <c r="BR228" s="23"/>
      <c r="BS228" s="23"/>
      <c r="BT228" s="23"/>
      <c r="BU228" s="23"/>
      <c r="BV228" s="23"/>
      <c r="BW228" s="23"/>
      <c r="BX228" s="23"/>
      <c r="BY228" s="23"/>
      <c r="BZ228" s="23"/>
      <c r="CA228" s="23"/>
      <c r="CB228" s="23"/>
      <c r="CC228" s="23"/>
      <c r="CD228" s="23"/>
      <c r="CE228" s="23"/>
      <c r="CF228" s="23"/>
      <c r="CG228" s="23"/>
      <c r="CH228" s="23"/>
      <c r="CI228" s="23"/>
      <c r="CJ228" s="23"/>
      <c r="CK228" s="23"/>
      <c r="CL228" s="23"/>
      <c r="CM228" s="23"/>
      <c r="CN228" s="23"/>
      <c r="CO228" s="23"/>
      <c r="CP228" s="23"/>
      <c r="CQ228" s="23"/>
      <c r="CR228" s="23"/>
      <c r="CS228" s="23"/>
      <c r="CT228" s="23"/>
      <c r="CU228" s="23"/>
      <c r="CV228" s="23"/>
      <c r="CW228" s="23"/>
      <c r="CX228" s="23"/>
      <c r="CY228" s="23"/>
      <c r="CZ228" s="23"/>
      <c r="DA228" s="23"/>
      <c r="DB228" s="23"/>
      <c r="DC228" s="23"/>
      <c r="DD228" s="23"/>
      <c r="DE228" s="23"/>
      <c r="DF228" s="23"/>
      <c r="DG228" s="23"/>
      <c r="DH228" s="23"/>
      <c r="DI228" s="23"/>
      <c r="DJ228" s="23"/>
      <c r="DK228" s="23"/>
      <c r="DL228" s="23"/>
      <c r="DM228" s="23"/>
      <c r="DN228" s="23"/>
      <c r="DO228" s="23"/>
      <c r="DP228" s="23"/>
      <c r="DQ228" s="23"/>
      <c r="DR228" s="23"/>
      <c r="DS228" s="23"/>
      <c r="DT228" s="23"/>
      <c r="DU228" s="23"/>
      <c r="DV228" s="23"/>
      <c r="DW228" s="23"/>
      <c r="DX228" s="23"/>
      <c r="DY228" s="23"/>
      <c r="DZ228" s="23"/>
      <c r="EA228" s="23"/>
      <c r="EB228" s="23"/>
      <c r="EC228" s="23"/>
      <c r="ED228" s="23"/>
      <c r="EE228" s="23"/>
      <c r="EF228" s="23"/>
      <c r="EG228" s="23"/>
      <c r="EH228" s="23"/>
      <c r="EI228" s="23"/>
      <c r="EJ228" s="23"/>
      <c r="EK228" s="23"/>
      <c r="EL228" s="23"/>
      <c r="EM228" s="23"/>
      <c r="EN228" s="23"/>
      <c r="EO228" s="23"/>
      <c r="EP228" s="23"/>
      <c r="EQ228" s="23"/>
      <c r="ER228" s="23"/>
      <c r="ES228" s="23"/>
      <c r="ET228" s="23"/>
      <c r="EU228" s="23"/>
      <c r="EV228" s="23"/>
      <c r="EW228" s="23"/>
      <c r="EX228" s="23"/>
      <c r="EY228" s="23"/>
      <c r="EZ228" s="23"/>
      <c r="FA228" s="23"/>
      <c r="FB228" s="23"/>
      <c r="FC228" s="23"/>
      <c r="FD228" s="23"/>
      <c r="FE228" s="23"/>
      <c r="FF228" s="23"/>
      <c r="FG228" s="23"/>
      <c r="FH228" s="23"/>
      <c r="FI228" s="23"/>
      <c r="FJ228" s="23"/>
      <c r="FK228" s="23"/>
      <c r="FL228" s="23"/>
      <c r="FM228" s="23"/>
      <c r="FN228" s="23"/>
      <c r="FO228" s="23"/>
      <c r="FP228" s="23"/>
      <c r="FQ228" s="23"/>
      <c r="FR228" s="23"/>
      <c r="FS228" s="23"/>
      <c r="FT228" s="23"/>
      <c r="FU228" s="23"/>
      <c r="FV228" s="23"/>
      <c r="FW228" s="23"/>
      <c r="FX228" s="23"/>
      <c r="FY228" s="23"/>
      <c r="FZ228" s="23"/>
      <c r="GA228" s="23"/>
      <c r="GB228" s="23"/>
      <c r="GC228" s="23"/>
      <c r="GD228" s="23"/>
      <c r="GE228" s="23"/>
      <c r="GF228" s="23"/>
      <c r="GG228" s="23"/>
      <c r="GH228" s="23"/>
      <c r="GI228" s="23"/>
      <c r="GJ228" s="23"/>
      <c r="GK228" s="23"/>
      <c r="GL228" s="23"/>
    </row>
    <row r="229" spans="1:194" ht="13">
      <c r="A229" s="23"/>
      <c r="B229" s="23"/>
      <c r="C229" s="23"/>
      <c r="D229" s="23"/>
      <c r="E229" s="23"/>
      <c r="F229" s="23"/>
      <c r="G229" s="23"/>
      <c r="H229" s="401"/>
      <c r="I229" s="401"/>
      <c r="J229" s="401"/>
      <c r="K229" s="401"/>
      <c r="L229" s="401"/>
      <c r="M229" s="438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  <c r="BA229" s="23"/>
      <c r="BB229" s="23"/>
      <c r="BC229" s="23"/>
      <c r="BD229" s="23"/>
      <c r="BE229" s="23"/>
      <c r="BF229" s="23"/>
      <c r="BG229" s="23"/>
      <c r="BH229" s="23"/>
      <c r="BI229" s="23"/>
      <c r="BJ229" s="23"/>
      <c r="BK229" s="23"/>
      <c r="BL229" s="23"/>
      <c r="BM229" s="23"/>
      <c r="BN229" s="23"/>
      <c r="BO229" s="23"/>
      <c r="BP229" s="23"/>
      <c r="BQ229" s="23"/>
      <c r="BR229" s="23"/>
      <c r="BS229" s="23"/>
      <c r="BT229" s="23"/>
      <c r="BU229" s="23"/>
      <c r="BV229" s="23"/>
      <c r="BW229" s="23"/>
      <c r="BX229" s="23"/>
      <c r="BY229" s="23"/>
      <c r="BZ229" s="23"/>
      <c r="CA229" s="23"/>
      <c r="CB229" s="23"/>
      <c r="CC229" s="23"/>
      <c r="CD229" s="23"/>
      <c r="CE229" s="23"/>
      <c r="CF229" s="23"/>
      <c r="CG229" s="23"/>
      <c r="CH229" s="23"/>
      <c r="CI229" s="23"/>
      <c r="CJ229" s="23"/>
      <c r="CK229" s="23"/>
      <c r="CL229" s="23"/>
      <c r="CM229" s="23"/>
      <c r="CN229" s="23"/>
      <c r="CO229" s="23"/>
      <c r="CP229" s="23"/>
      <c r="CQ229" s="23"/>
      <c r="CR229" s="23"/>
      <c r="CS229" s="23"/>
      <c r="CT229" s="23"/>
      <c r="CU229" s="23"/>
      <c r="CV229" s="23"/>
      <c r="CW229" s="23"/>
      <c r="CX229" s="23"/>
      <c r="CY229" s="23"/>
      <c r="CZ229" s="23"/>
      <c r="DA229" s="23"/>
      <c r="DB229" s="23"/>
      <c r="DC229" s="23"/>
      <c r="DD229" s="23"/>
      <c r="DE229" s="23"/>
      <c r="DF229" s="23"/>
      <c r="DG229" s="23"/>
      <c r="DH229" s="23"/>
      <c r="DI229" s="23"/>
      <c r="DJ229" s="23"/>
      <c r="DK229" s="23"/>
      <c r="DL229" s="23"/>
      <c r="DM229" s="23"/>
      <c r="DN229" s="23"/>
      <c r="DO229" s="23"/>
      <c r="DP229" s="23"/>
      <c r="DQ229" s="23"/>
      <c r="DR229" s="23"/>
      <c r="DS229" s="23"/>
      <c r="DT229" s="23"/>
      <c r="DU229" s="23"/>
      <c r="DV229" s="23"/>
      <c r="DW229" s="23"/>
      <c r="DX229" s="23"/>
      <c r="DY229" s="23"/>
      <c r="DZ229" s="23"/>
      <c r="EA229" s="23"/>
      <c r="EB229" s="23"/>
      <c r="EC229" s="23"/>
      <c r="ED229" s="23"/>
      <c r="EE229" s="23"/>
      <c r="EF229" s="23"/>
      <c r="EG229" s="23"/>
      <c r="EH229" s="23"/>
      <c r="EI229" s="23"/>
      <c r="EJ229" s="23"/>
      <c r="EK229" s="23"/>
      <c r="EL229" s="23"/>
      <c r="EM229" s="23"/>
      <c r="EN229" s="23"/>
      <c r="EO229" s="23"/>
      <c r="EP229" s="23"/>
      <c r="EQ229" s="23"/>
      <c r="ER229" s="23"/>
      <c r="ES229" s="23"/>
      <c r="ET229" s="23"/>
      <c r="EU229" s="23"/>
      <c r="EV229" s="23"/>
      <c r="EW229" s="23"/>
      <c r="EX229" s="23"/>
      <c r="EY229" s="23"/>
      <c r="EZ229" s="23"/>
      <c r="FA229" s="23"/>
      <c r="FB229" s="23"/>
      <c r="FC229" s="23"/>
      <c r="FD229" s="23"/>
      <c r="FE229" s="23"/>
      <c r="FF229" s="23"/>
      <c r="FG229" s="23"/>
      <c r="FH229" s="23"/>
      <c r="FI229" s="23"/>
      <c r="FJ229" s="23"/>
      <c r="FK229" s="23"/>
      <c r="FL229" s="23"/>
      <c r="FM229" s="23"/>
      <c r="FN229" s="23"/>
      <c r="FO229" s="23"/>
      <c r="FP229" s="23"/>
      <c r="FQ229" s="23"/>
      <c r="FR229" s="23"/>
      <c r="FS229" s="23"/>
      <c r="FT229" s="23"/>
      <c r="FU229" s="23"/>
      <c r="FV229" s="23"/>
      <c r="FW229" s="23"/>
      <c r="FX229" s="23"/>
      <c r="FY229" s="23"/>
      <c r="FZ229" s="23"/>
      <c r="GA229" s="23"/>
      <c r="GB229" s="23"/>
      <c r="GC229" s="23"/>
      <c r="GD229" s="23"/>
      <c r="GE229" s="23"/>
      <c r="GF229" s="23"/>
      <c r="GG229" s="23"/>
      <c r="GH229" s="23"/>
      <c r="GI229" s="23"/>
      <c r="GJ229" s="23"/>
      <c r="GK229" s="23"/>
      <c r="GL229" s="23"/>
    </row>
    <row r="230" spans="1:194" ht="13">
      <c r="A230" s="23"/>
      <c r="B230" s="23"/>
      <c r="C230" s="23"/>
      <c r="D230" s="23"/>
      <c r="E230" s="23"/>
      <c r="F230" s="23"/>
      <c r="G230" s="23"/>
      <c r="H230" s="401"/>
      <c r="I230" s="401"/>
      <c r="J230" s="401"/>
      <c r="K230" s="401"/>
      <c r="L230" s="401"/>
      <c r="M230" s="438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  <c r="BA230" s="23"/>
      <c r="BB230" s="23"/>
      <c r="BC230" s="23"/>
      <c r="BD230" s="23"/>
      <c r="BE230" s="23"/>
      <c r="BF230" s="23"/>
      <c r="BG230" s="23"/>
      <c r="BH230" s="23"/>
      <c r="BI230" s="23"/>
      <c r="BJ230" s="23"/>
      <c r="BK230" s="23"/>
      <c r="BL230" s="23"/>
      <c r="BM230" s="23"/>
      <c r="BN230" s="23"/>
      <c r="BO230" s="23"/>
      <c r="BP230" s="23"/>
      <c r="BQ230" s="23"/>
      <c r="BR230" s="23"/>
      <c r="BS230" s="23"/>
      <c r="BT230" s="23"/>
      <c r="BU230" s="23"/>
      <c r="BV230" s="23"/>
      <c r="BW230" s="23"/>
      <c r="BX230" s="23"/>
      <c r="BY230" s="23"/>
      <c r="BZ230" s="23"/>
      <c r="CA230" s="23"/>
      <c r="CB230" s="23"/>
      <c r="CC230" s="23"/>
      <c r="CD230" s="23"/>
      <c r="CE230" s="23"/>
      <c r="CF230" s="23"/>
      <c r="CG230" s="23"/>
      <c r="CH230" s="23"/>
      <c r="CI230" s="23"/>
      <c r="CJ230" s="23"/>
      <c r="CK230" s="23"/>
      <c r="CL230" s="23"/>
      <c r="CM230" s="23"/>
      <c r="CN230" s="23"/>
      <c r="CO230" s="23"/>
      <c r="CP230" s="23"/>
      <c r="CQ230" s="23"/>
      <c r="CR230" s="23"/>
      <c r="CS230" s="23"/>
      <c r="CT230" s="23"/>
      <c r="CU230" s="23"/>
      <c r="CV230" s="23"/>
      <c r="CW230" s="23"/>
      <c r="CX230" s="23"/>
      <c r="CY230" s="23"/>
      <c r="CZ230" s="23"/>
      <c r="DA230" s="23"/>
      <c r="DB230" s="23"/>
      <c r="DC230" s="23"/>
      <c r="DD230" s="23"/>
      <c r="DE230" s="23"/>
      <c r="DF230" s="23"/>
      <c r="DG230" s="23"/>
      <c r="DH230" s="23"/>
      <c r="DI230" s="23"/>
      <c r="DJ230" s="23"/>
      <c r="DK230" s="23"/>
      <c r="DL230" s="23"/>
      <c r="DM230" s="23"/>
      <c r="DN230" s="23"/>
      <c r="DO230" s="23"/>
      <c r="DP230" s="23"/>
      <c r="DQ230" s="23"/>
      <c r="DR230" s="23"/>
      <c r="DS230" s="23"/>
      <c r="DT230" s="23"/>
      <c r="DU230" s="23"/>
      <c r="DV230" s="23"/>
      <c r="DW230" s="23"/>
      <c r="DX230" s="23"/>
      <c r="DY230" s="23"/>
      <c r="DZ230" s="23"/>
      <c r="EA230" s="23"/>
      <c r="EB230" s="23"/>
      <c r="EC230" s="23"/>
      <c r="ED230" s="23"/>
      <c r="EE230" s="23"/>
      <c r="EF230" s="23"/>
      <c r="EG230" s="23"/>
      <c r="EH230" s="23"/>
      <c r="EI230" s="23"/>
      <c r="EJ230" s="23"/>
      <c r="EK230" s="23"/>
      <c r="EL230" s="23"/>
      <c r="EM230" s="23"/>
      <c r="EN230" s="23"/>
      <c r="EO230" s="23"/>
      <c r="EP230" s="23"/>
      <c r="EQ230" s="23"/>
      <c r="ER230" s="23"/>
      <c r="ES230" s="23"/>
      <c r="ET230" s="23"/>
      <c r="EU230" s="23"/>
      <c r="EV230" s="23"/>
      <c r="EW230" s="23"/>
      <c r="EX230" s="23"/>
      <c r="EY230" s="23"/>
      <c r="EZ230" s="23"/>
      <c r="FA230" s="23"/>
      <c r="FB230" s="23"/>
      <c r="FC230" s="23"/>
      <c r="FD230" s="23"/>
      <c r="FE230" s="23"/>
      <c r="FF230" s="23"/>
      <c r="FG230" s="23"/>
      <c r="FH230" s="23"/>
      <c r="FI230" s="23"/>
      <c r="FJ230" s="23"/>
      <c r="FK230" s="23"/>
      <c r="FL230" s="23"/>
      <c r="FM230" s="23"/>
      <c r="FN230" s="23"/>
      <c r="FO230" s="23"/>
      <c r="FP230" s="23"/>
      <c r="FQ230" s="23"/>
      <c r="FR230" s="23"/>
      <c r="FS230" s="23"/>
      <c r="FT230" s="23"/>
      <c r="FU230" s="23"/>
      <c r="FV230" s="23"/>
      <c r="FW230" s="23"/>
      <c r="FX230" s="23"/>
      <c r="FY230" s="23"/>
      <c r="FZ230" s="23"/>
      <c r="GA230" s="23"/>
      <c r="GB230" s="23"/>
      <c r="GC230" s="23"/>
      <c r="GD230" s="23"/>
      <c r="GE230" s="23"/>
      <c r="GF230" s="23"/>
      <c r="GG230" s="23"/>
      <c r="GH230" s="23"/>
      <c r="GI230" s="23"/>
      <c r="GJ230" s="23"/>
      <c r="GK230" s="23"/>
      <c r="GL230" s="23"/>
    </row>
    <row r="231" spans="1:194" ht="13">
      <c r="A231" s="23"/>
      <c r="B231" s="23"/>
      <c r="C231" s="23"/>
      <c r="D231" s="23"/>
      <c r="E231" s="23"/>
      <c r="F231" s="23"/>
      <c r="G231" s="23"/>
      <c r="H231" s="401"/>
      <c r="I231" s="401"/>
      <c r="J231" s="401"/>
      <c r="K231" s="401"/>
      <c r="L231" s="401"/>
      <c r="M231" s="438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  <c r="BA231" s="23"/>
      <c r="BB231" s="23"/>
      <c r="BC231" s="23"/>
      <c r="BD231" s="23"/>
      <c r="BE231" s="23"/>
      <c r="BF231" s="23"/>
      <c r="BG231" s="23"/>
      <c r="BH231" s="23"/>
      <c r="BI231" s="23"/>
      <c r="BJ231" s="23"/>
      <c r="BK231" s="23"/>
      <c r="BL231" s="23"/>
      <c r="BM231" s="23"/>
      <c r="BN231" s="23"/>
      <c r="BO231" s="23"/>
      <c r="BP231" s="23"/>
      <c r="BQ231" s="23"/>
      <c r="BR231" s="23"/>
      <c r="BS231" s="23"/>
      <c r="BT231" s="23"/>
      <c r="BU231" s="23"/>
      <c r="BV231" s="23"/>
      <c r="BW231" s="23"/>
      <c r="BX231" s="23"/>
      <c r="BY231" s="23"/>
      <c r="BZ231" s="23"/>
      <c r="CA231" s="23"/>
      <c r="CB231" s="23"/>
      <c r="CC231" s="23"/>
      <c r="CD231" s="23"/>
      <c r="CE231" s="23"/>
      <c r="CF231" s="23"/>
      <c r="CG231" s="23"/>
      <c r="CH231" s="23"/>
      <c r="CI231" s="23"/>
      <c r="CJ231" s="23"/>
      <c r="CK231" s="23"/>
      <c r="CL231" s="23"/>
      <c r="CM231" s="23"/>
      <c r="CN231" s="23"/>
      <c r="CO231" s="23"/>
      <c r="CP231" s="23"/>
      <c r="CQ231" s="23"/>
      <c r="CR231" s="23"/>
      <c r="CS231" s="23"/>
      <c r="CT231" s="23"/>
      <c r="CU231" s="23"/>
      <c r="CV231" s="23"/>
      <c r="CW231" s="23"/>
      <c r="CX231" s="23"/>
      <c r="CY231" s="23"/>
      <c r="CZ231" s="23"/>
      <c r="DA231" s="23"/>
      <c r="DB231" s="23"/>
      <c r="DC231" s="23"/>
      <c r="DD231" s="23"/>
      <c r="DE231" s="23"/>
      <c r="DF231" s="23"/>
      <c r="DG231" s="23"/>
      <c r="DH231" s="23"/>
      <c r="DI231" s="23"/>
      <c r="DJ231" s="23"/>
      <c r="DK231" s="23"/>
      <c r="DL231" s="23"/>
      <c r="DM231" s="23"/>
      <c r="DN231" s="23"/>
      <c r="DO231" s="23"/>
      <c r="DP231" s="23"/>
      <c r="DQ231" s="23"/>
      <c r="DR231" s="23"/>
      <c r="DS231" s="23"/>
      <c r="DT231" s="23"/>
      <c r="DU231" s="23"/>
      <c r="DV231" s="23"/>
      <c r="DW231" s="23"/>
      <c r="DX231" s="23"/>
      <c r="DY231" s="23"/>
      <c r="DZ231" s="23"/>
      <c r="EA231" s="23"/>
      <c r="EB231" s="23"/>
      <c r="EC231" s="23"/>
      <c r="ED231" s="23"/>
      <c r="EE231" s="23"/>
      <c r="EF231" s="23"/>
      <c r="EG231" s="23"/>
      <c r="EH231" s="23"/>
      <c r="EI231" s="23"/>
      <c r="EJ231" s="23"/>
      <c r="EK231" s="23"/>
      <c r="EL231" s="23"/>
      <c r="EM231" s="23"/>
      <c r="EN231" s="23"/>
      <c r="EO231" s="23"/>
      <c r="EP231" s="23"/>
      <c r="EQ231" s="23"/>
      <c r="ER231" s="23"/>
      <c r="ES231" s="23"/>
      <c r="ET231" s="23"/>
      <c r="EU231" s="23"/>
      <c r="EV231" s="23"/>
      <c r="EW231" s="23"/>
      <c r="EX231" s="23"/>
      <c r="EY231" s="23"/>
      <c r="EZ231" s="23"/>
      <c r="FA231" s="23"/>
      <c r="FB231" s="23"/>
      <c r="FC231" s="23"/>
      <c r="FD231" s="23"/>
      <c r="FE231" s="23"/>
      <c r="FF231" s="23"/>
      <c r="FG231" s="23"/>
      <c r="FH231" s="23"/>
      <c r="FI231" s="23"/>
      <c r="FJ231" s="23"/>
      <c r="FK231" s="23"/>
      <c r="FL231" s="23"/>
      <c r="FM231" s="23"/>
      <c r="FN231" s="23"/>
      <c r="FO231" s="23"/>
      <c r="FP231" s="23"/>
      <c r="FQ231" s="23"/>
      <c r="FR231" s="23"/>
      <c r="FS231" s="23"/>
      <c r="FT231" s="23"/>
      <c r="FU231" s="23"/>
      <c r="FV231" s="23"/>
      <c r="FW231" s="23"/>
      <c r="FX231" s="23"/>
      <c r="FY231" s="23"/>
      <c r="FZ231" s="23"/>
      <c r="GA231" s="23"/>
      <c r="GB231" s="23"/>
      <c r="GC231" s="23"/>
      <c r="GD231" s="23"/>
      <c r="GE231" s="23"/>
      <c r="GF231" s="23"/>
      <c r="GG231" s="23"/>
      <c r="GH231" s="23"/>
      <c r="GI231" s="23"/>
      <c r="GJ231" s="23"/>
      <c r="GK231" s="23"/>
      <c r="GL231" s="23"/>
    </row>
    <row r="232" spans="1:194" ht="13">
      <c r="A232" s="23"/>
      <c r="B232" s="23"/>
      <c r="C232" s="23"/>
      <c r="D232" s="23"/>
      <c r="E232" s="23"/>
      <c r="F232" s="23"/>
      <c r="G232" s="23"/>
      <c r="H232" s="401"/>
      <c r="I232" s="401"/>
      <c r="J232" s="401"/>
      <c r="K232" s="401"/>
      <c r="L232" s="401"/>
      <c r="M232" s="438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  <c r="BF232" s="23"/>
      <c r="BG232" s="23"/>
      <c r="BH232" s="23"/>
      <c r="BI232" s="23"/>
      <c r="BJ232" s="23"/>
      <c r="BK232" s="23"/>
      <c r="BL232" s="23"/>
      <c r="BM232" s="23"/>
      <c r="BN232" s="23"/>
      <c r="BO232" s="23"/>
      <c r="BP232" s="23"/>
      <c r="BQ232" s="23"/>
      <c r="BR232" s="23"/>
      <c r="BS232" s="23"/>
      <c r="BT232" s="23"/>
      <c r="BU232" s="23"/>
      <c r="BV232" s="23"/>
      <c r="BW232" s="23"/>
      <c r="BX232" s="23"/>
      <c r="BY232" s="23"/>
      <c r="BZ232" s="23"/>
      <c r="CA232" s="23"/>
      <c r="CB232" s="23"/>
      <c r="CC232" s="23"/>
      <c r="CD232" s="23"/>
      <c r="CE232" s="23"/>
      <c r="CF232" s="23"/>
      <c r="CG232" s="23"/>
      <c r="CH232" s="23"/>
      <c r="CI232" s="23"/>
      <c r="CJ232" s="23"/>
      <c r="CK232" s="23"/>
      <c r="CL232" s="23"/>
      <c r="CM232" s="23"/>
      <c r="CN232" s="23"/>
      <c r="CO232" s="23"/>
      <c r="CP232" s="23"/>
      <c r="CQ232" s="23"/>
      <c r="CR232" s="23"/>
      <c r="CS232" s="23"/>
      <c r="CT232" s="23"/>
      <c r="CU232" s="23"/>
      <c r="CV232" s="23"/>
      <c r="CW232" s="23"/>
      <c r="CX232" s="23"/>
      <c r="CY232" s="23"/>
      <c r="CZ232" s="23"/>
      <c r="DA232" s="23"/>
      <c r="DB232" s="23"/>
      <c r="DC232" s="23"/>
      <c r="DD232" s="23"/>
      <c r="DE232" s="23"/>
      <c r="DF232" s="23"/>
      <c r="DG232" s="23"/>
      <c r="DH232" s="23"/>
      <c r="DI232" s="23"/>
      <c r="DJ232" s="23"/>
      <c r="DK232" s="23"/>
      <c r="DL232" s="23"/>
      <c r="DM232" s="23"/>
      <c r="DN232" s="23"/>
      <c r="DO232" s="23"/>
      <c r="DP232" s="23"/>
      <c r="DQ232" s="23"/>
      <c r="DR232" s="23"/>
      <c r="DS232" s="23"/>
      <c r="DT232" s="23"/>
      <c r="DU232" s="23"/>
      <c r="DV232" s="23"/>
      <c r="DW232" s="23"/>
      <c r="DX232" s="23"/>
      <c r="DY232" s="23"/>
      <c r="DZ232" s="23"/>
      <c r="EA232" s="23"/>
      <c r="EB232" s="23"/>
      <c r="EC232" s="23"/>
      <c r="ED232" s="23"/>
      <c r="EE232" s="23"/>
      <c r="EF232" s="23"/>
      <c r="EG232" s="23"/>
      <c r="EH232" s="23"/>
      <c r="EI232" s="23"/>
      <c r="EJ232" s="23"/>
      <c r="EK232" s="23"/>
      <c r="EL232" s="23"/>
      <c r="EM232" s="23"/>
      <c r="EN232" s="23"/>
      <c r="EO232" s="23"/>
      <c r="EP232" s="23"/>
      <c r="EQ232" s="23"/>
      <c r="ER232" s="23"/>
      <c r="ES232" s="23"/>
      <c r="ET232" s="23"/>
      <c r="EU232" s="23"/>
      <c r="EV232" s="23"/>
      <c r="EW232" s="23"/>
      <c r="EX232" s="23"/>
      <c r="EY232" s="23"/>
      <c r="EZ232" s="23"/>
      <c r="FA232" s="23"/>
      <c r="FB232" s="23"/>
      <c r="FC232" s="23"/>
      <c r="FD232" s="23"/>
      <c r="FE232" s="23"/>
      <c r="FF232" s="23"/>
      <c r="FG232" s="23"/>
      <c r="FH232" s="23"/>
      <c r="FI232" s="23"/>
      <c r="FJ232" s="23"/>
      <c r="FK232" s="23"/>
      <c r="FL232" s="23"/>
      <c r="FM232" s="23"/>
      <c r="FN232" s="23"/>
      <c r="FO232" s="23"/>
      <c r="FP232" s="23"/>
      <c r="FQ232" s="23"/>
      <c r="FR232" s="23"/>
      <c r="FS232" s="23"/>
      <c r="FT232" s="23"/>
      <c r="FU232" s="23"/>
      <c r="FV232" s="23"/>
      <c r="FW232" s="23"/>
      <c r="FX232" s="23"/>
      <c r="FY232" s="23"/>
      <c r="FZ232" s="23"/>
      <c r="GA232" s="23"/>
      <c r="GB232" s="23"/>
      <c r="GC232" s="23"/>
      <c r="GD232" s="23"/>
      <c r="GE232" s="23"/>
      <c r="GF232" s="23"/>
      <c r="GG232" s="23"/>
      <c r="GH232" s="23"/>
      <c r="GI232" s="23"/>
      <c r="GJ232" s="23"/>
      <c r="GK232" s="23"/>
      <c r="GL232" s="23"/>
    </row>
    <row r="233" spans="1:194" ht="13">
      <c r="A233" s="23"/>
      <c r="B233" s="23"/>
      <c r="C233" s="23"/>
      <c r="D233" s="23"/>
      <c r="E233" s="23"/>
      <c r="F233" s="23"/>
      <c r="G233" s="23"/>
      <c r="H233" s="401"/>
      <c r="I233" s="401"/>
      <c r="J233" s="401"/>
      <c r="K233" s="401"/>
      <c r="L233" s="401"/>
      <c r="M233" s="438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  <c r="BA233" s="23"/>
      <c r="BB233" s="23"/>
      <c r="BC233" s="23"/>
      <c r="BD233" s="23"/>
      <c r="BE233" s="23"/>
      <c r="BF233" s="23"/>
      <c r="BG233" s="23"/>
      <c r="BH233" s="23"/>
      <c r="BI233" s="23"/>
      <c r="BJ233" s="23"/>
      <c r="BK233" s="23"/>
      <c r="BL233" s="23"/>
      <c r="BM233" s="23"/>
      <c r="BN233" s="23"/>
      <c r="BO233" s="23"/>
      <c r="BP233" s="23"/>
      <c r="BQ233" s="23"/>
      <c r="BR233" s="23"/>
      <c r="BS233" s="23"/>
      <c r="BT233" s="23"/>
      <c r="BU233" s="23"/>
      <c r="BV233" s="23"/>
      <c r="BW233" s="23"/>
      <c r="BX233" s="23"/>
      <c r="BY233" s="23"/>
      <c r="BZ233" s="23"/>
      <c r="CA233" s="23"/>
      <c r="CB233" s="23"/>
      <c r="CC233" s="23"/>
      <c r="CD233" s="23"/>
      <c r="CE233" s="23"/>
      <c r="CF233" s="23"/>
      <c r="CG233" s="23"/>
      <c r="CH233" s="23"/>
      <c r="CI233" s="23"/>
      <c r="CJ233" s="23"/>
      <c r="CK233" s="23"/>
      <c r="CL233" s="23"/>
      <c r="CM233" s="23"/>
      <c r="CN233" s="23"/>
      <c r="CO233" s="23"/>
      <c r="CP233" s="23"/>
      <c r="CQ233" s="23"/>
      <c r="CR233" s="23"/>
      <c r="CS233" s="23"/>
      <c r="CT233" s="23"/>
      <c r="CU233" s="23"/>
      <c r="CV233" s="23"/>
      <c r="CW233" s="23"/>
      <c r="CX233" s="23"/>
      <c r="CY233" s="23"/>
      <c r="CZ233" s="23"/>
      <c r="DA233" s="23"/>
      <c r="DB233" s="23"/>
      <c r="DC233" s="23"/>
      <c r="DD233" s="23"/>
      <c r="DE233" s="23"/>
      <c r="DF233" s="23"/>
      <c r="DG233" s="23"/>
      <c r="DH233" s="23"/>
      <c r="DI233" s="23"/>
      <c r="DJ233" s="23"/>
      <c r="DK233" s="23"/>
      <c r="DL233" s="23"/>
      <c r="DM233" s="23"/>
      <c r="DN233" s="23"/>
      <c r="DO233" s="23"/>
      <c r="DP233" s="23"/>
      <c r="DQ233" s="23"/>
      <c r="DR233" s="23"/>
      <c r="DS233" s="23"/>
      <c r="DT233" s="23"/>
      <c r="DU233" s="23"/>
      <c r="DV233" s="23"/>
      <c r="DW233" s="23"/>
      <c r="DX233" s="23"/>
      <c r="DY233" s="23"/>
      <c r="DZ233" s="23"/>
      <c r="EA233" s="23"/>
      <c r="EB233" s="23"/>
      <c r="EC233" s="23"/>
      <c r="ED233" s="23"/>
      <c r="EE233" s="23"/>
      <c r="EF233" s="23"/>
      <c r="EG233" s="23"/>
      <c r="EH233" s="23"/>
      <c r="EI233" s="23"/>
      <c r="EJ233" s="23"/>
      <c r="EK233" s="23"/>
      <c r="EL233" s="23"/>
      <c r="EM233" s="23"/>
      <c r="EN233" s="23"/>
      <c r="EO233" s="23"/>
      <c r="EP233" s="23"/>
      <c r="EQ233" s="23"/>
      <c r="ER233" s="23"/>
      <c r="ES233" s="23"/>
      <c r="ET233" s="23"/>
      <c r="EU233" s="23"/>
      <c r="EV233" s="23"/>
      <c r="EW233" s="23"/>
      <c r="EX233" s="23"/>
      <c r="EY233" s="23"/>
      <c r="EZ233" s="23"/>
      <c r="FA233" s="23"/>
      <c r="FB233" s="23"/>
      <c r="FC233" s="23"/>
      <c r="FD233" s="23"/>
      <c r="FE233" s="23"/>
      <c r="FF233" s="23"/>
      <c r="FG233" s="23"/>
      <c r="FH233" s="23"/>
      <c r="FI233" s="23"/>
      <c r="FJ233" s="23"/>
      <c r="FK233" s="23"/>
      <c r="FL233" s="23"/>
      <c r="FM233" s="23"/>
      <c r="FN233" s="23"/>
      <c r="FO233" s="23"/>
      <c r="FP233" s="23"/>
      <c r="FQ233" s="23"/>
      <c r="FR233" s="23"/>
      <c r="FS233" s="23"/>
      <c r="FT233" s="23"/>
      <c r="FU233" s="23"/>
      <c r="FV233" s="23"/>
      <c r="FW233" s="23"/>
      <c r="FX233" s="23"/>
      <c r="FY233" s="23"/>
      <c r="FZ233" s="23"/>
      <c r="GA233" s="23"/>
      <c r="GB233" s="23"/>
      <c r="GC233" s="23"/>
      <c r="GD233" s="23"/>
      <c r="GE233" s="23"/>
      <c r="GF233" s="23"/>
      <c r="GG233" s="23"/>
      <c r="GH233" s="23"/>
      <c r="GI233" s="23"/>
      <c r="GJ233" s="23"/>
      <c r="GK233" s="23"/>
      <c r="GL233" s="23"/>
    </row>
    <row r="234" spans="1:194" ht="13">
      <c r="A234" s="23"/>
      <c r="B234" s="23"/>
      <c r="C234" s="23"/>
      <c r="D234" s="23"/>
      <c r="E234" s="23"/>
      <c r="F234" s="23"/>
      <c r="G234" s="23"/>
      <c r="H234" s="401"/>
      <c r="I234" s="401"/>
      <c r="J234" s="401"/>
      <c r="K234" s="401"/>
      <c r="L234" s="401"/>
      <c r="M234" s="438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  <c r="BA234" s="23"/>
      <c r="BB234" s="23"/>
      <c r="BC234" s="23"/>
      <c r="BD234" s="23"/>
      <c r="BE234" s="23"/>
      <c r="BF234" s="23"/>
      <c r="BG234" s="23"/>
      <c r="BH234" s="23"/>
      <c r="BI234" s="23"/>
      <c r="BJ234" s="23"/>
      <c r="BK234" s="23"/>
      <c r="BL234" s="23"/>
      <c r="BM234" s="23"/>
      <c r="BN234" s="23"/>
      <c r="BO234" s="23"/>
      <c r="BP234" s="23"/>
      <c r="BQ234" s="23"/>
      <c r="BR234" s="23"/>
      <c r="BS234" s="23"/>
      <c r="BT234" s="23"/>
      <c r="BU234" s="23"/>
      <c r="BV234" s="23"/>
      <c r="BW234" s="23"/>
      <c r="BX234" s="23"/>
      <c r="BY234" s="23"/>
      <c r="BZ234" s="23"/>
      <c r="CA234" s="23"/>
      <c r="CB234" s="23"/>
      <c r="CC234" s="23"/>
      <c r="CD234" s="23"/>
      <c r="CE234" s="23"/>
      <c r="CF234" s="23"/>
      <c r="CG234" s="23"/>
      <c r="CH234" s="23"/>
      <c r="CI234" s="23"/>
      <c r="CJ234" s="23"/>
      <c r="CK234" s="23"/>
      <c r="CL234" s="23"/>
      <c r="CM234" s="23"/>
      <c r="CN234" s="23"/>
      <c r="CO234" s="23"/>
      <c r="CP234" s="23"/>
      <c r="CQ234" s="23"/>
      <c r="CR234" s="23"/>
      <c r="CS234" s="23"/>
      <c r="CT234" s="23"/>
      <c r="CU234" s="23"/>
      <c r="CV234" s="23"/>
      <c r="CW234" s="23"/>
      <c r="CX234" s="23"/>
      <c r="CY234" s="23"/>
      <c r="CZ234" s="23"/>
      <c r="DA234" s="23"/>
      <c r="DB234" s="23"/>
      <c r="DC234" s="23"/>
      <c r="DD234" s="23"/>
      <c r="DE234" s="23"/>
      <c r="DF234" s="23"/>
      <c r="DG234" s="23"/>
      <c r="DH234" s="23"/>
      <c r="DI234" s="23"/>
      <c r="DJ234" s="23"/>
      <c r="DK234" s="23"/>
      <c r="DL234" s="23"/>
      <c r="DM234" s="23"/>
      <c r="DN234" s="23"/>
      <c r="DO234" s="23"/>
      <c r="DP234" s="23"/>
      <c r="DQ234" s="23"/>
      <c r="DR234" s="23"/>
      <c r="DS234" s="23"/>
      <c r="DT234" s="23"/>
      <c r="DU234" s="23"/>
      <c r="DV234" s="23"/>
      <c r="DW234" s="23"/>
      <c r="DX234" s="23"/>
      <c r="DY234" s="23"/>
      <c r="DZ234" s="23"/>
      <c r="EA234" s="23"/>
      <c r="EB234" s="23"/>
      <c r="EC234" s="23"/>
      <c r="ED234" s="23"/>
      <c r="EE234" s="23"/>
      <c r="EF234" s="23"/>
      <c r="EG234" s="23"/>
      <c r="EH234" s="23"/>
      <c r="EI234" s="23"/>
      <c r="EJ234" s="23"/>
      <c r="EK234" s="23"/>
      <c r="EL234" s="23"/>
      <c r="EM234" s="23"/>
      <c r="EN234" s="23"/>
      <c r="EO234" s="23"/>
      <c r="EP234" s="23"/>
      <c r="EQ234" s="23"/>
      <c r="ER234" s="23"/>
      <c r="ES234" s="23"/>
      <c r="ET234" s="23"/>
      <c r="EU234" s="23"/>
      <c r="EV234" s="23"/>
      <c r="EW234" s="23"/>
      <c r="EX234" s="23"/>
      <c r="EY234" s="23"/>
      <c r="EZ234" s="23"/>
      <c r="FA234" s="23"/>
      <c r="FB234" s="23"/>
      <c r="FC234" s="23"/>
      <c r="FD234" s="23"/>
      <c r="FE234" s="23"/>
      <c r="FF234" s="23"/>
      <c r="FG234" s="23"/>
      <c r="FH234" s="23"/>
      <c r="FI234" s="23"/>
      <c r="FJ234" s="23"/>
      <c r="FK234" s="23"/>
      <c r="FL234" s="23"/>
      <c r="FM234" s="23"/>
      <c r="FN234" s="23"/>
      <c r="FO234" s="23"/>
      <c r="FP234" s="23"/>
      <c r="FQ234" s="23"/>
      <c r="FR234" s="23"/>
      <c r="FS234" s="23"/>
      <c r="FT234" s="23"/>
      <c r="FU234" s="23"/>
      <c r="FV234" s="23"/>
      <c r="FW234" s="23"/>
      <c r="FX234" s="23"/>
      <c r="FY234" s="23"/>
      <c r="FZ234" s="23"/>
      <c r="GA234" s="23"/>
      <c r="GB234" s="23"/>
      <c r="GC234" s="23"/>
      <c r="GD234" s="23"/>
      <c r="GE234" s="23"/>
      <c r="GF234" s="23"/>
      <c r="GG234" s="23"/>
      <c r="GH234" s="23"/>
      <c r="GI234" s="23"/>
      <c r="GJ234" s="23"/>
      <c r="GK234" s="23"/>
      <c r="GL234" s="23"/>
    </row>
    <row r="235" spans="1:194" ht="13">
      <c r="A235" s="23"/>
      <c r="B235" s="23"/>
      <c r="C235" s="23"/>
      <c r="D235" s="23"/>
      <c r="E235" s="23"/>
      <c r="F235" s="23"/>
      <c r="G235" s="23"/>
      <c r="H235" s="401"/>
      <c r="I235" s="401"/>
      <c r="J235" s="401"/>
      <c r="K235" s="401"/>
      <c r="L235" s="401"/>
      <c r="M235" s="438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  <c r="BA235" s="23"/>
      <c r="BB235" s="23"/>
      <c r="BC235" s="23"/>
      <c r="BD235" s="23"/>
      <c r="BE235" s="23"/>
      <c r="BF235" s="23"/>
      <c r="BG235" s="23"/>
      <c r="BH235" s="23"/>
      <c r="BI235" s="23"/>
      <c r="BJ235" s="23"/>
      <c r="BK235" s="23"/>
      <c r="BL235" s="23"/>
      <c r="BM235" s="23"/>
      <c r="BN235" s="23"/>
      <c r="BO235" s="23"/>
      <c r="BP235" s="23"/>
      <c r="BQ235" s="23"/>
      <c r="BR235" s="23"/>
      <c r="BS235" s="23"/>
      <c r="BT235" s="23"/>
      <c r="BU235" s="23"/>
      <c r="BV235" s="23"/>
      <c r="BW235" s="23"/>
      <c r="BX235" s="23"/>
      <c r="BY235" s="23"/>
      <c r="BZ235" s="23"/>
      <c r="CA235" s="23"/>
      <c r="CB235" s="23"/>
      <c r="CC235" s="23"/>
      <c r="CD235" s="23"/>
      <c r="CE235" s="23"/>
      <c r="CF235" s="23"/>
      <c r="CG235" s="23"/>
      <c r="CH235" s="23"/>
      <c r="CI235" s="23"/>
      <c r="CJ235" s="23"/>
      <c r="CK235" s="23"/>
      <c r="CL235" s="23"/>
      <c r="CM235" s="23"/>
      <c r="CN235" s="23"/>
      <c r="CO235" s="23"/>
      <c r="CP235" s="23"/>
      <c r="CQ235" s="23"/>
      <c r="CR235" s="23"/>
      <c r="CS235" s="23"/>
      <c r="CT235" s="23"/>
      <c r="CU235" s="23"/>
      <c r="CV235" s="23"/>
      <c r="CW235" s="23"/>
      <c r="CX235" s="23"/>
      <c r="CY235" s="23"/>
      <c r="CZ235" s="23"/>
      <c r="DA235" s="23"/>
      <c r="DB235" s="23"/>
      <c r="DC235" s="23"/>
      <c r="DD235" s="23"/>
      <c r="DE235" s="23"/>
      <c r="DF235" s="23"/>
      <c r="DG235" s="23"/>
      <c r="DH235" s="23"/>
      <c r="DI235" s="23"/>
      <c r="DJ235" s="23"/>
      <c r="DK235" s="23"/>
      <c r="DL235" s="23"/>
      <c r="DM235" s="23"/>
      <c r="DN235" s="23"/>
      <c r="DO235" s="23"/>
      <c r="DP235" s="23"/>
      <c r="DQ235" s="23"/>
      <c r="DR235" s="23"/>
      <c r="DS235" s="23"/>
      <c r="DT235" s="23"/>
      <c r="DU235" s="23"/>
      <c r="DV235" s="23"/>
      <c r="DW235" s="23"/>
      <c r="DX235" s="23"/>
      <c r="DY235" s="23"/>
      <c r="DZ235" s="23"/>
      <c r="EA235" s="23"/>
      <c r="EB235" s="23"/>
      <c r="EC235" s="23"/>
      <c r="ED235" s="23"/>
      <c r="EE235" s="23"/>
      <c r="EF235" s="23"/>
      <c r="EG235" s="23"/>
      <c r="EH235" s="23"/>
      <c r="EI235" s="23"/>
      <c r="EJ235" s="23"/>
      <c r="EK235" s="23"/>
      <c r="EL235" s="23"/>
      <c r="EM235" s="23"/>
      <c r="EN235" s="23"/>
      <c r="EO235" s="23"/>
      <c r="EP235" s="23"/>
      <c r="EQ235" s="23"/>
      <c r="ER235" s="23"/>
      <c r="ES235" s="23"/>
      <c r="ET235" s="23"/>
      <c r="EU235" s="23"/>
      <c r="EV235" s="23"/>
      <c r="EW235" s="23"/>
      <c r="EX235" s="23"/>
      <c r="EY235" s="23"/>
      <c r="EZ235" s="23"/>
      <c r="FA235" s="23"/>
      <c r="FB235" s="23"/>
      <c r="FC235" s="23"/>
      <c r="FD235" s="23"/>
      <c r="FE235" s="23"/>
      <c r="FF235" s="23"/>
      <c r="FG235" s="23"/>
      <c r="FH235" s="23"/>
      <c r="FI235" s="23"/>
      <c r="FJ235" s="23"/>
      <c r="FK235" s="23"/>
      <c r="FL235" s="23"/>
      <c r="FM235" s="23"/>
      <c r="FN235" s="23"/>
      <c r="FO235" s="23"/>
      <c r="FP235" s="23"/>
      <c r="FQ235" s="23"/>
      <c r="FR235" s="23"/>
      <c r="FS235" s="23"/>
      <c r="FT235" s="23"/>
      <c r="FU235" s="23"/>
      <c r="FV235" s="23"/>
      <c r="FW235" s="23"/>
      <c r="FX235" s="23"/>
      <c r="FY235" s="23"/>
      <c r="FZ235" s="23"/>
      <c r="GA235" s="23"/>
      <c r="GB235" s="23"/>
      <c r="GC235" s="23"/>
      <c r="GD235" s="23"/>
      <c r="GE235" s="23"/>
      <c r="GF235" s="23"/>
      <c r="GG235" s="23"/>
      <c r="GH235" s="23"/>
      <c r="GI235" s="23"/>
      <c r="GJ235" s="23"/>
      <c r="GK235" s="23"/>
      <c r="GL235" s="23"/>
    </row>
    <row r="236" spans="1:194" ht="13">
      <c r="A236" s="23"/>
      <c r="B236" s="23"/>
      <c r="C236" s="23"/>
      <c r="D236" s="23"/>
      <c r="E236" s="23"/>
      <c r="F236" s="23"/>
      <c r="G236" s="23"/>
      <c r="H236" s="401"/>
      <c r="I236" s="401"/>
      <c r="J236" s="401"/>
      <c r="K236" s="401"/>
      <c r="L236" s="401"/>
      <c r="M236" s="438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  <c r="BA236" s="23"/>
      <c r="BB236" s="23"/>
      <c r="BC236" s="23"/>
      <c r="BD236" s="23"/>
      <c r="BE236" s="23"/>
      <c r="BF236" s="23"/>
      <c r="BG236" s="23"/>
      <c r="BH236" s="23"/>
      <c r="BI236" s="23"/>
      <c r="BJ236" s="23"/>
      <c r="BK236" s="23"/>
      <c r="BL236" s="23"/>
      <c r="BM236" s="23"/>
      <c r="BN236" s="23"/>
      <c r="BO236" s="23"/>
      <c r="BP236" s="23"/>
      <c r="BQ236" s="23"/>
      <c r="BR236" s="23"/>
      <c r="BS236" s="23"/>
      <c r="BT236" s="23"/>
      <c r="BU236" s="23"/>
      <c r="BV236" s="23"/>
      <c r="BW236" s="23"/>
      <c r="BX236" s="23"/>
      <c r="BY236" s="23"/>
      <c r="BZ236" s="23"/>
      <c r="CA236" s="23"/>
      <c r="CB236" s="23"/>
      <c r="CC236" s="23"/>
      <c r="CD236" s="23"/>
      <c r="CE236" s="23"/>
      <c r="CF236" s="23"/>
      <c r="CG236" s="23"/>
      <c r="CH236" s="23"/>
      <c r="CI236" s="23"/>
      <c r="CJ236" s="23"/>
      <c r="CK236" s="23"/>
      <c r="CL236" s="23"/>
      <c r="CM236" s="23"/>
      <c r="CN236" s="23"/>
      <c r="CO236" s="23"/>
      <c r="CP236" s="23"/>
      <c r="CQ236" s="23"/>
      <c r="CR236" s="23"/>
      <c r="CS236" s="23"/>
      <c r="CT236" s="23"/>
      <c r="CU236" s="23"/>
      <c r="CV236" s="23"/>
      <c r="CW236" s="23"/>
      <c r="CX236" s="23"/>
      <c r="CY236" s="23"/>
      <c r="CZ236" s="23"/>
      <c r="DA236" s="23"/>
      <c r="DB236" s="23"/>
      <c r="DC236" s="23"/>
      <c r="DD236" s="23"/>
      <c r="DE236" s="23"/>
      <c r="DF236" s="23"/>
      <c r="DG236" s="23"/>
      <c r="DH236" s="23"/>
      <c r="DI236" s="23"/>
      <c r="DJ236" s="23"/>
      <c r="DK236" s="23"/>
      <c r="DL236" s="23"/>
      <c r="DM236" s="23"/>
      <c r="DN236" s="23"/>
      <c r="DO236" s="23"/>
      <c r="DP236" s="23"/>
      <c r="DQ236" s="23"/>
      <c r="DR236" s="23"/>
      <c r="DS236" s="23"/>
      <c r="DT236" s="23"/>
      <c r="DU236" s="23"/>
      <c r="DV236" s="23"/>
      <c r="DW236" s="23"/>
      <c r="DX236" s="23"/>
      <c r="DY236" s="23"/>
      <c r="DZ236" s="23"/>
      <c r="EA236" s="23"/>
      <c r="EB236" s="23"/>
      <c r="EC236" s="23"/>
      <c r="ED236" s="23"/>
      <c r="EE236" s="23"/>
      <c r="EF236" s="23"/>
      <c r="EG236" s="23"/>
      <c r="EH236" s="23"/>
      <c r="EI236" s="23"/>
      <c r="EJ236" s="23"/>
      <c r="EK236" s="23"/>
      <c r="EL236" s="23"/>
      <c r="EM236" s="23"/>
      <c r="EN236" s="23"/>
      <c r="EO236" s="23"/>
      <c r="EP236" s="23"/>
      <c r="EQ236" s="23"/>
      <c r="ER236" s="23"/>
      <c r="ES236" s="23"/>
      <c r="ET236" s="23"/>
      <c r="EU236" s="23"/>
      <c r="EV236" s="23"/>
      <c r="EW236" s="23"/>
      <c r="EX236" s="23"/>
      <c r="EY236" s="23"/>
      <c r="EZ236" s="23"/>
      <c r="FA236" s="23"/>
      <c r="FB236" s="23"/>
      <c r="FC236" s="23"/>
      <c r="FD236" s="23"/>
      <c r="FE236" s="23"/>
      <c r="FF236" s="23"/>
      <c r="FG236" s="23"/>
      <c r="FH236" s="23"/>
      <c r="FI236" s="23"/>
      <c r="FJ236" s="23"/>
      <c r="FK236" s="23"/>
      <c r="FL236" s="23"/>
      <c r="FM236" s="23"/>
      <c r="FN236" s="23"/>
      <c r="FO236" s="23"/>
      <c r="FP236" s="23"/>
      <c r="FQ236" s="23"/>
      <c r="FR236" s="23"/>
      <c r="FS236" s="23"/>
      <c r="FT236" s="23"/>
      <c r="FU236" s="23"/>
      <c r="FV236" s="23"/>
      <c r="FW236" s="23"/>
      <c r="FX236" s="23"/>
      <c r="FY236" s="23"/>
      <c r="FZ236" s="23"/>
      <c r="GA236" s="23"/>
      <c r="GB236" s="23"/>
      <c r="GC236" s="23"/>
      <c r="GD236" s="23"/>
      <c r="GE236" s="23"/>
      <c r="GF236" s="23"/>
      <c r="GG236" s="23"/>
      <c r="GH236" s="23"/>
      <c r="GI236" s="23"/>
      <c r="GJ236" s="23"/>
      <c r="GK236" s="23"/>
      <c r="GL236" s="23"/>
    </row>
    <row r="237" spans="1:194" ht="13">
      <c r="A237" s="23"/>
      <c r="B237" s="23"/>
      <c r="C237" s="23"/>
      <c r="D237" s="23"/>
      <c r="E237" s="23"/>
      <c r="F237" s="23"/>
      <c r="G237" s="23"/>
      <c r="H237" s="401"/>
      <c r="I237" s="401"/>
      <c r="J237" s="401"/>
      <c r="K237" s="401"/>
      <c r="L237" s="401"/>
      <c r="M237" s="438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  <c r="BA237" s="23"/>
      <c r="BB237" s="23"/>
      <c r="BC237" s="23"/>
      <c r="BD237" s="23"/>
      <c r="BE237" s="23"/>
      <c r="BF237" s="23"/>
      <c r="BG237" s="23"/>
      <c r="BH237" s="23"/>
      <c r="BI237" s="23"/>
      <c r="BJ237" s="23"/>
      <c r="BK237" s="23"/>
      <c r="BL237" s="23"/>
      <c r="BM237" s="23"/>
      <c r="BN237" s="23"/>
      <c r="BO237" s="23"/>
      <c r="BP237" s="23"/>
      <c r="BQ237" s="23"/>
      <c r="BR237" s="23"/>
      <c r="BS237" s="23"/>
      <c r="BT237" s="23"/>
      <c r="BU237" s="23"/>
      <c r="BV237" s="23"/>
      <c r="BW237" s="23"/>
      <c r="BX237" s="23"/>
      <c r="BY237" s="23"/>
      <c r="BZ237" s="23"/>
      <c r="CA237" s="23"/>
      <c r="CB237" s="23"/>
      <c r="CC237" s="23"/>
      <c r="CD237" s="23"/>
      <c r="CE237" s="23"/>
      <c r="CF237" s="23"/>
      <c r="CG237" s="23"/>
      <c r="CH237" s="23"/>
      <c r="CI237" s="23"/>
      <c r="CJ237" s="23"/>
      <c r="CK237" s="23"/>
      <c r="CL237" s="23"/>
      <c r="CM237" s="23"/>
      <c r="CN237" s="23"/>
      <c r="CO237" s="23"/>
      <c r="CP237" s="23"/>
      <c r="CQ237" s="23"/>
      <c r="CR237" s="23"/>
      <c r="CS237" s="23"/>
      <c r="CT237" s="23"/>
      <c r="CU237" s="23"/>
      <c r="CV237" s="23"/>
      <c r="CW237" s="23"/>
      <c r="CX237" s="23"/>
      <c r="CY237" s="23"/>
      <c r="CZ237" s="23"/>
      <c r="DA237" s="23"/>
      <c r="DB237" s="23"/>
      <c r="DC237" s="23"/>
      <c r="DD237" s="23"/>
      <c r="DE237" s="23"/>
      <c r="DF237" s="23"/>
      <c r="DG237" s="23"/>
      <c r="DH237" s="23"/>
      <c r="DI237" s="23"/>
      <c r="DJ237" s="23"/>
      <c r="DK237" s="23"/>
      <c r="DL237" s="23"/>
      <c r="DM237" s="23"/>
      <c r="DN237" s="23"/>
      <c r="DO237" s="23"/>
      <c r="DP237" s="23"/>
      <c r="DQ237" s="23"/>
      <c r="DR237" s="23"/>
      <c r="DS237" s="23"/>
      <c r="DT237" s="23"/>
      <c r="DU237" s="23"/>
      <c r="DV237" s="23"/>
      <c r="DW237" s="23"/>
      <c r="DX237" s="23"/>
      <c r="DY237" s="23"/>
      <c r="DZ237" s="23"/>
      <c r="EA237" s="23"/>
      <c r="EB237" s="23"/>
      <c r="EC237" s="23"/>
      <c r="ED237" s="23"/>
      <c r="EE237" s="23"/>
      <c r="EF237" s="23"/>
      <c r="EG237" s="23"/>
      <c r="EH237" s="23"/>
      <c r="EI237" s="23"/>
      <c r="EJ237" s="23"/>
      <c r="EK237" s="23"/>
      <c r="EL237" s="23"/>
      <c r="EM237" s="23"/>
      <c r="EN237" s="23"/>
      <c r="EO237" s="23"/>
      <c r="EP237" s="23"/>
      <c r="EQ237" s="23"/>
      <c r="ER237" s="23"/>
      <c r="ES237" s="23"/>
      <c r="ET237" s="23"/>
      <c r="EU237" s="23"/>
      <c r="EV237" s="23"/>
      <c r="EW237" s="23"/>
      <c r="EX237" s="23"/>
      <c r="EY237" s="23"/>
      <c r="EZ237" s="23"/>
      <c r="FA237" s="23"/>
      <c r="FB237" s="23"/>
      <c r="FC237" s="23"/>
      <c r="FD237" s="23"/>
      <c r="FE237" s="23"/>
      <c r="FF237" s="23"/>
      <c r="FG237" s="23"/>
      <c r="FH237" s="23"/>
      <c r="FI237" s="23"/>
      <c r="FJ237" s="23"/>
      <c r="FK237" s="23"/>
      <c r="FL237" s="23"/>
      <c r="FM237" s="23"/>
      <c r="FN237" s="23"/>
      <c r="FO237" s="23"/>
      <c r="FP237" s="23"/>
      <c r="FQ237" s="23"/>
      <c r="FR237" s="23"/>
      <c r="FS237" s="23"/>
      <c r="FT237" s="23"/>
      <c r="FU237" s="23"/>
      <c r="FV237" s="23"/>
      <c r="FW237" s="23"/>
      <c r="FX237" s="23"/>
      <c r="FY237" s="23"/>
      <c r="FZ237" s="23"/>
      <c r="GA237" s="23"/>
      <c r="GB237" s="23"/>
      <c r="GC237" s="23"/>
      <c r="GD237" s="23"/>
      <c r="GE237" s="23"/>
      <c r="GF237" s="23"/>
      <c r="GG237" s="23"/>
      <c r="GH237" s="23"/>
      <c r="GI237" s="23"/>
      <c r="GJ237" s="23"/>
      <c r="GK237" s="23"/>
      <c r="GL237" s="23"/>
    </row>
    <row r="238" spans="1:194" ht="13">
      <c r="A238" s="23"/>
      <c r="B238" s="23"/>
      <c r="C238" s="23"/>
      <c r="D238" s="23"/>
      <c r="E238" s="23"/>
      <c r="F238" s="23"/>
      <c r="G238" s="23"/>
      <c r="H238" s="401"/>
      <c r="I238" s="401"/>
      <c r="J238" s="401"/>
      <c r="K238" s="401"/>
      <c r="L238" s="401"/>
      <c r="M238" s="438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D238" s="23"/>
      <c r="DE238" s="23"/>
      <c r="DF238" s="23"/>
      <c r="DG238" s="23"/>
      <c r="DH238" s="23"/>
      <c r="DI238" s="23"/>
      <c r="DJ238" s="23"/>
      <c r="DK238" s="23"/>
      <c r="DL238" s="23"/>
      <c r="DM238" s="23"/>
      <c r="DN238" s="23"/>
      <c r="DO238" s="23"/>
      <c r="DP238" s="23"/>
      <c r="DQ238" s="23"/>
      <c r="DR238" s="23"/>
      <c r="DS238" s="23"/>
      <c r="DT238" s="23"/>
      <c r="DU238" s="23"/>
      <c r="DV238" s="23"/>
      <c r="DW238" s="23"/>
      <c r="DX238" s="23"/>
      <c r="DY238" s="23"/>
      <c r="DZ238" s="23"/>
      <c r="EA238" s="23"/>
      <c r="EB238" s="23"/>
      <c r="EC238" s="23"/>
      <c r="ED238" s="23"/>
      <c r="EE238" s="23"/>
      <c r="EF238" s="23"/>
      <c r="EG238" s="23"/>
      <c r="EH238" s="23"/>
      <c r="EI238" s="23"/>
      <c r="EJ238" s="23"/>
      <c r="EK238" s="23"/>
      <c r="EL238" s="23"/>
      <c r="EM238" s="23"/>
      <c r="EN238" s="23"/>
      <c r="EO238" s="23"/>
      <c r="EP238" s="23"/>
      <c r="EQ238" s="23"/>
      <c r="ER238" s="23"/>
      <c r="ES238" s="23"/>
      <c r="ET238" s="23"/>
      <c r="EU238" s="23"/>
      <c r="EV238" s="23"/>
      <c r="EW238" s="23"/>
      <c r="EX238" s="23"/>
      <c r="EY238" s="23"/>
      <c r="EZ238" s="23"/>
      <c r="FA238" s="23"/>
      <c r="FB238" s="23"/>
      <c r="FC238" s="23"/>
      <c r="FD238" s="23"/>
      <c r="FE238" s="23"/>
      <c r="FF238" s="23"/>
      <c r="FG238" s="23"/>
      <c r="FH238" s="23"/>
      <c r="FI238" s="23"/>
      <c r="FJ238" s="23"/>
      <c r="FK238" s="23"/>
      <c r="FL238" s="23"/>
      <c r="FM238" s="23"/>
      <c r="FN238" s="23"/>
      <c r="FO238" s="23"/>
      <c r="FP238" s="23"/>
      <c r="FQ238" s="23"/>
      <c r="FR238" s="23"/>
      <c r="FS238" s="23"/>
      <c r="FT238" s="23"/>
      <c r="FU238" s="23"/>
      <c r="FV238" s="23"/>
      <c r="FW238" s="23"/>
      <c r="FX238" s="23"/>
      <c r="FY238" s="23"/>
      <c r="FZ238" s="23"/>
      <c r="GA238" s="23"/>
      <c r="GB238" s="23"/>
      <c r="GC238" s="23"/>
      <c r="GD238" s="23"/>
      <c r="GE238" s="23"/>
      <c r="GF238" s="23"/>
      <c r="GG238" s="23"/>
      <c r="GH238" s="23"/>
      <c r="GI238" s="23"/>
      <c r="GJ238" s="23"/>
      <c r="GK238" s="23"/>
      <c r="GL238" s="23"/>
    </row>
    <row r="239" spans="1:194" ht="13">
      <c r="A239" s="23"/>
      <c r="B239" s="23"/>
      <c r="C239" s="23"/>
      <c r="D239" s="23"/>
      <c r="E239" s="23"/>
      <c r="F239" s="23"/>
      <c r="G239" s="23"/>
      <c r="H239" s="401"/>
      <c r="I239" s="401"/>
      <c r="J239" s="401"/>
      <c r="K239" s="401"/>
      <c r="L239" s="401"/>
      <c r="M239" s="438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23"/>
      <c r="BH239" s="23"/>
      <c r="BI239" s="23"/>
      <c r="BJ239" s="23"/>
      <c r="BK239" s="23"/>
      <c r="BL239" s="23"/>
      <c r="BM239" s="23"/>
      <c r="BN239" s="23"/>
      <c r="BO239" s="23"/>
      <c r="BP239" s="23"/>
      <c r="BQ239" s="23"/>
      <c r="BR239" s="23"/>
      <c r="BS239" s="23"/>
      <c r="BT239" s="23"/>
      <c r="BU239" s="23"/>
      <c r="BV239" s="23"/>
      <c r="BW239" s="23"/>
      <c r="BX239" s="23"/>
      <c r="BY239" s="23"/>
      <c r="BZ239" s="23"/>
      <c r="CA239" s="23"/>
      <c r="CB239" s="23"/>
      <c r="CC239" s="23"/>
      <c r="CD239" s="23"/>
      <c r="CE239" s="23"/>
      <c r="CF239" s="23"/>
      <c r="CG239" s="23"/>
      <c r="CH239" s="23"/>
      <c r="CI239" s="23"/>
      <c r="CJ239" s="23"/>
      <c r="CK239" s="23"/>
      <c r="CL239" s="23"/>
      <c r="CM239" s="23"/>
      <c r="CN239" s="23"/>
      <c r="CO239" s="23"/>
      <c r="CP239" s="23"/>
      <c r="CQ239" s="23"/>
      <c r="CR239" s="23"/>
      <c r="CS239" s="23"/>
      <c r="CT239" s="23"/>
      <c r="CU239" s="23"/>
      <c r="CV239" s="23"/>
      <c r="CW239" s="23"/>
      <c r="CX239" s="23"/>
      <c r="CY239" s="23"/>
      <c r="CZ239" s="23"/>
      <c r="DA239" s="23"/>
      <c r="DB239" s="23"/>
      <c r="DC239" s="23"/>
      <c r="DD239" s="23"/>
      <c r="DE239" s="23"/>
      <c r="DF239" s="23"/>
      <c r="DG239" s="23"/>
      <c r="DH239" s="23"/>
      <c r="DI239" s="23"/>
      <c r="DJ239" s="23"/>
      <c r="DK239" s="23"/>
      <c r="DL239" s="23"/>
      <c r="DM239" s="23"/>
      <c r="DN239" s="23"/>
      <c r="DO239" s="23"/>
      <c r="DP239" s="23"/>
      <c r="DQ239" s="23"/>
      <c r="DR239" s="23"/>
      <c r="DS239" s="23"/>
      <c r="DT239" s="23"/>
      <c r="DU239" s="23"/>
      <c r="DV239" s="23"/>
      <c r="DW239" s="23"/>
      <c r="DX239" s="23"/>
      <c r="DY239" s="23"/>
      <c r="DZ239" s="23"/>
      <c r="EA239" s="23"/>
      <c r="EB239" s="23"/>
      <c r="EC239" s="23"/>
      <c r="ED239" s="23"/>
      <c r="EE239" s="23"/>
      <c r="EF239" s="23"/>
      <c r="EG239" s="23"/>
      <c r="EH239" s="23"/>
      <c r="EI239" s="23"/>
      <c r="EJ239" s="23"/>
      <c r="EK239" s="23"/>
      <c r="EL239" s="23"/>
      <c r="EM239" s="23"/>
      <c r="EN239" s="23"/>
      <c r="EO239" s="23"/>
      <c r="EP239" s="23"/>
      <c r="EQ239" s="23"/>
      <c r="ER239" s="23"/>
      <c r="ES239" s="23"/>
      <c r="ET239" s="23"/>
      <c r="EU239" s="23"/>
      <c r="EV239" s="23"/>
      <c r="EW239" s="23"/>
      <c r="EX239" s="23"/>
      <c r="EY239" s="23"/>
      <c r="EZ239" s="23"/>
      <c r="FA239" s="23"/>
      <c r="FB239" s="23"/>
      <c r="FC239" s="23"/>
      <c r="FD239" s="23"/>
      <c r="FE239" s="23"/>
      <c r="FF239" s="23"/>
      <c r="FG239" s="23"/>
      <c r="FH239" s="23"/>
      <c r="FI239" s="23"/>
      <c r="FJ239" s="23"/>
      <c r="FK239" s="23"/>
      <c r="FL239" s="23"/>
      <c r="FM239" s="23"/>
      <c r="FN239" s="23"/>
      <c r="FO239" s="23"/>
      <c r="FP239" s="23"/>
      <c r="FQ239" s="23"/>
      <c r="FR239" s="23"/>
      <c r="FS239" s="23"/>
      <c r="FT239" s="23"/>
      <c r="FU239" s="23"/>
      <c r="FV239" s="23"/>
      <c r="FW239" s="23"/>
      <c r="FX239" s="23"/>
      <c r="FY239" s="23"/>
      <c r="FZ239" s="23"/>
      <c r="GA239" s="23"/>
      <c r="GB239" s="23"/>
      <c r="GC239" s="23"/>
      <c r="GD239" s="23"/>
      <c r="GE239" s="23"/>
      <c r="GF239" s="23"/>
      <c r="GG239" s="23"/>
      <c r="GH239" s="23"/>
      <c r="GI239" s="23"/>
      <c r="GJ239" s="23"/>
      <c r="GK239" s="23"/>
      <c r="GL239" s="23"/>
    </row>
    <row r="240" spans="1:194" ht="13">
      <c r="A240" s="23"/>
      <c r="B240" s="23"/>
      <c r="C240" s="23"/>
      <c r="D240" s="23"/>
      <c r="E240" s="23"/>
      <c r="F240" s="23"/>
      <c r="G240" s="23"/>
      <c r="H240" s="401"/>
      <c r="I240" s="401"/>
      <c r="J240" s="401"/>
      <c r="K240" s="401"/>
      <c r="L240" s="401"/>
      <c r="M240" s="438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  <c r="BF240" s="23"/>
      <c r="BG240" s="23"/>
      <c r="BH240" s="23"/>
      <c r="BI240" s="23"/>
      <c r="BJ240" s="23"/>
      <c r="BK240" s="23"/>
      <c r="BL240" s="23"/>
      <c r="BM240" s="23"/>
      <c r="BN240" s="23"/>
      <c r="BO240" s="23"/>
      <c r="BP240" s="23"/>
      <c r="BQ240" s="23"/>
      <c r="BR240" s="23"/>
      <c r="BS240" s="23"/>
      <c r="BT240" s="23"/>
      <c r="BU240" s="23"/>
      <c r="BV240" s="23"/>
      <c r="BW240" s="23"/>
      <c r="BX240" s="23"/>
      <c r="BY240" s="23"/>
      <c r="BZ240" s="23"/>
      <c r="CA240" s="23"/>
      <c r="CB240" s="23"/>
      <c r="CC240" s="23"/>
      <c r="CD240" s="23"/>
      <c r="CE240" s="23"/>
      <c r="CF240" s="23"/>
      <c r="CG240" s="23"/>
      <c r="CH240" s="23"/>
      <c r="CI240" s="23"/>
      <c r="CJ240" s="23"/>
      <c r="CK240" s="23"/>
      <c r="CL240" s="23"/>
      <c r="CM240" s="23"/>
      <c r="CN240" s="23"/>
      <c r="CO240" s="23"/>
      <c r="CP240" s="23"/>
      <c r="CQ240" s="23"/>
      <c r="CR240" s="23"/>
      <c r="CS240" s="23"/>
      <c r="CT240" s="23"/>
      <c r="CU240" s="23"/>
      <c r="CV240" s="23"/>
      <c r="CW240" s="23"/>
      <c r="CX240" s="23"/>
      <c r="CY240" s="23"/>
      <c r="CZ240" s="23"/>
      <c r="DA240" s="23"/>
      <c r="DB240" s="23"/>
      <c r="DC240" s="23"/>
      <c r="DD240" s="23"/>
      <c r="DE240" s="23"/>
      <c r="DF240" s="23"/>
      <c r="DG240" s="23"/>
      <c r="DH240" s="23"/>
      <c r="DI240" s="23"/>
      <c r="DJ240" s="23"/>
      <c r="DK240" s="23"/>
      <c r="DL240" s="23"/>
      <c r="DM240" s="23"/>
      <c r="DN240" s="23"/>
      <c r="DO240" s="23"/>
      <c r="DP240" s="23"/>
      <c r="DQ240" s="23"/>
      <c r="DR240" s="23"/>
      <c r="DS240" s="23"/>
      <c r="DT240" s="23"/>
      <c r="DU240" s="23"/>
      <c r="DV240" s="23"/>
      <c r="DW240" s="23"/>
      <c r="DX240" s="23"/>
      <c r="DY240" s="23"/>
      <c r="DZ240" s="23"/>
      <c r="EA240" s="23"/>
      <c r="EB240" s="23"/>
      <c r="EC240" s="23"/>
      <c r="ED240" s="23"/>
      <c r="EE240" s="23"/>
      <c r="EF240" s="23"/>
      <c r="EG240" s="23"/>
      <c r="EH240" s="23"/>
      <c r="EI240" s="23"/>
      <c r="EJ240" s="23"/>
      <c r="EK240" s="23"/>
      <c r="EL240" s="23"/>
      <c r="EM240" s="23"/>
      <c r="EN240" s="23"/>
      <c r="EO240" s="23"/>
      <c r="EP240" s="23"/>
      <c r="EQ240" s="23"/>
      <c r="ER240" s="23"/>
      <c r="ES240" s="23"/>
      <c r="ET240" s="23"/>
      <c r="EU240" s="23"/>
      <c r="EV240" s="23"/>
      <c r="EW240" s="23"/>
      <c r="EX240" s="23"/>
      <c r="EY240" s="23"/>
      <c r="EZ240" s="23"/>
      <c r="FA240" s="23"/>
      <c r="FB240" s="23"/>
      <c r="FC240" s="23"/>
      <c r="FD240" s="23"/>
      <c r="FE240" s="23"/>
      <c r="FF240" s="23"/>
      <c r="FG240" s="23"/>
      <c r="FH240" s="23"/>
      <c r="FI240" s="23"/>
      <c r="FJ240" s="23"/>
      <c r="FK240" s="23"/>
      <c r="FL240" s="23"/>
      <c r="FM240" s="23"/>
      <c r="FN240" s="23"/>
      <c r="FO240" s="23"/>
      <c r="FP240" s="23"/>
      <c r="FQ240" s="23"/>
      <c r="FR240" s="23"/>
      <c r="FS240" s="23"/>
      <c r="FT240" s="23"/>
      <c r="FU240" s="23"/>
      <c r="FV240" s="23"/>
      <c r="FW240" s="23"/>
      <c r="FX240" s="23"/>
      <c r="FY240" s="23"/>
      <c r="FZ240" s="23"/>
      <c r="GA240" s="23"/>
      <c r="GB240" s="23"/>
      <c r="GC240" s="23"/>
      <c r="GD240" s="23"/>
      <c r="GE240" s="23"/>
      <c r="GF240" s="23"/>
      <c r="GG240" s="23"/>
      <c r="GH240" s="23"/>
      <c r="GI240" s="23"/>
      <c r="GJ240" s="23"/>
      <c r="GK240" s="23"/>
      <c r="GL240" s="23"/>
    </row>
    <row r="241" spans="1:194" ht="13">
      <c r="A241" s="23"/>
      <c r="B241" s="23"/>
      <c r="C241" s="23"/>
      <c r="D241" s="23"/>
      <c r="E241" s="23"/>
      <c r="F241" s="23"/>
      <c r="G241" s="23"/>
      <c r="H241" s="401"/>
      <c r="I241" s="401"/>
      <c r="J241" s="401"/>
      <c r="K241" s="401"/>
      <c r="L241" s="401"/>
      <c r="M241" s="438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23"/>
      <c r="BI241" s="23"/>
      <c r="BJ241" s="23"/>
      <c r="BK241" s="23"/>
      <c r="BL241" s="23"/>
      <c r="BM241" s="23"/>
      <c r="BN241" s="23"/>
      <c r="BO241" s="23"/>
      <c r="BP241" s="23"/>
      <c r="BQ241" s="23"/>
      <c r="BR241" s="23"/>
      <c r="BS241" s="23"/>
      <c r="BT241" s="23"/>
      <c r="BU241" s="23"/>
      <c r="BV241" s="23"/>
      <c r="BW241" s="23"/>
      <c r="BX241" s="23"/>
      <c r="BY241" s="23"/>
      <c r="BZ241" s="23"/>
      <c r="CA241" s="23"/>
      <c r="CB241" s="23"/>
      <c r="CC241" s="23"/>
      <c r="CD241" s="23"/>
      <c r="CE241" s="23"/>
      <c r="CF241" s="23"/>
      <c r="CG241" s="23"/>
      <c r="CH241" s="23"/>
      <c r="CI241" s="23"/>
      <c r="CJ241" s="23"/>
      <c r="CK241" s="23"/>
      <c r="CL241" s="23"/>
      <c r="CM241" s="23"/>
      <c r="CN241" s="23"/>
      <c r="CO241" s="23"/>
      <c r="CP241" s="23"/>
      <c r="CQ241" s="23"/>
      <c r="CR241" s="23"/>
      <c r="CS241" s="23"/>
      <c r="CT241" s="23"/>
      <c r="CU241" s="23"/>
      <c r="CV241" s="23"/>
      <c r="CW241" s="23"/>
      <c r="CX241" s="23"/>
      <c r="CY241" s="23"/>
      <c r="CZ241" s="23"/>
      <c r="DA241" s="23"/>
      <c r="DB241" s="23"/>
      <c r="DC241" s="23"/>
      <c r="DD241" s="23"/>
      <c r="DE241" s="23"/>
      <c r="DF241" s="23"/>
      <c r="DG241" s="23"/>
      <c r="DH241" s="23"/>
      <c r="DI241" s="23"/>
      <c r="DJ241" s="23"/>
      <c r="DK241" s="23"/>
      <c r="DL241" s="23"/>
      <c r="DM241" s="23"/>
      <c r="DN241" s="23"/>
      <c r="DO241" s="23"/>
      <c r="DP241" s="23"/>
      <c r="DQ241" s="23"/>
      <c r="DR241" s="23"/>
      <c r="DS241" s="23"/>
      <c r="DT241" s="23"/>
      <c r="DU241" s="23"/>
      <c r="DV241" s="23"/>
      <c r="DW241" s="23"/>
      <c r="DX241" s="23"/>
      <c r="DY241" s="23"/>
      <c r="DZ241" s="23"/>
      <c r="EA241" s="23"/>
      <c r="EB241" s="23"/>
      <c r="EC241" s="23"/>
      <c r="ED241" s="23"/>
      <c r="EE241" s="23"/>
      <c r="EF241" s="23"/>
      <c r="EG241" s="23"/>
      <c r="EH241" s="23"/>
      <c r="EI241" s="23"/>
      <c r="EJ241" s="23"/>
      <c r="EK241" s="23"/>
      <c r="EL241" s="23"/>
      <c r="EM241" s="23"/>
      <c r="EN241" s="23"/>
      <c r="EO241" s="23"/>
      <c r="EP241" s="23"/>
      <c r="EQ241" s="23"/>
      <c r="ER241" s="23"/>
      <c r="ES241" s="23"/>
      <c r="ET241" s="23"/>
      <c r="EU241" s="23"/>
      <c r="EV241" s="23"/>
      <c r="EW241" s="23"/>
      <c r="EX241" s="23"/>
      <c r="EY241" s="23"/>
      <c r="EZ241" s="23"/>
      <c r="FA241" s="23"/>
      <c r="FB241" s="23"/>
      <c r="FC241" s="23"/>
      <c r="FD241" s="23"/>
      <c r="FE241" s="23"/>
      <c r="FF241" s="23"/>
      <c r="FG241" s="23"/>
      <c r="FH241" s="23"/>
      <c r="FI241" s="23"/>
      <c r="FJ241" s="23"/>
      <c r="FK241" s="23"/>
      <c r="FL241" s="23"/>
      <c r="FM241" s="23"/>
      <c r="FN241" s="23"/>
      <c r="FO241" s="23"/>
      <c r="FP241" s="23"/>
      <c r="FQ241" s="23"/>
      <c r="FR241" s="23"/>
      <c r="FS241" s="23"/>
      <c r="FT241" s="23"/>
      <c r="FU241" s="23"/>
      <c r="FV241" s="23"/>
      <c r="FW241" s="23"/>
      <c r="FX241" s="23"/>
      <c r="FY241" s="23"/>
      <c r="FZ241" s="23"/>
      <c r="GA241" s="23"/>
      <c r="GB241" s="23"/>
      <c r="GC241" s="23"/>
      <c r="GD241" s="23"/>
      <c r="GE241" s="23"/>
      <c r="GF241" s="23"/>
      <c r="GG241" s="23"/>
      <c r="GH241" s="23"/>
      <c r="GI241" s="23"/>
      <c r="GJ241" s="23"/>
      <c r="GK241" s="23"/>
      <c r="GL241" s="23"/>
    </row>
    <row r="242" spans="1:194" ht="13">
      <c r="A242" s="23"/>
      <c r="B242" s="23"/>
      <c r="C242" s="23"/>
      <c r="D242" s="23"/>
      <c r="E242" s="23"/>
      <c r="F242" s="23"/>
      <c r="G242" s="23"/>
      <c r="H242" s="401"/>
      <c r="I242" s="401"/>
      <c r="J242" s="401"/>
      <c r="K242" s="401"/>
      <c r="L242" s="401"/>
      <c r="M242" s="438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  <c r="BL242" s="23"/>
      <c r="BM242" s="23"/>
      <c r="BN242" s="23"/>
      <c r="BO242" s="23"/>
      <c r="BP242" s="23"/>
      <c r="BQ242" s="23"/>
      <c r="BR242" s="23"/>
      <c r="BS242" s="23"/>
      <c r="BT242" s="23"/>
      <c r="BU242" s="23"/>
      <c r="BV242" s="23"/>
      <c r="BW242" s="23"/>
      <c r="BX242" s="23"/>
      <c r="BY242" s="23"/>
      <c r="BZ242" s="23"/>
      <c r="CA242" s="23"/>
      <c r="CB242" s="23"/>
      <c r="CC242" s="23"/>
      <c r="CD242" s="23"/>
      <c r="CE242" s="23"/>
      <c r="CF242" s="23"/>
      <c r="CG242" s="23"/>
      <c r="CH242" s="23"/>
      <c r="CI242" s="23"/>
      <c r="CJ242" s="23"/>
      <c r="CK242" s="23"/>
      <c r="CL242" s="23"/>
      <c r="CM242" s="23"/>
      <c r="CN242" s="23"/>
      <c r="CO242" s="23"/>
      <c r="CP242" s="23"/>
      <c r="CQ242" s="23"/>
      <c r="CR242" s="23"/>
      <c r="CS242" s="23"/>
      <c r="CT242" s="23"/>
      <c r="CU242" s="23"/>
      <c r="CV242" s="23"/>
      <c r="CW242" s="23"/>
      <c r="CX242" s="23"/>
      <c r="CY242" s="23"/>
      <c r="CZ242" s="23"/>
      <c r="DA242" s="23"/>
      <c r="DB242" s="23"/>
      <c r="DC242" s="23"/>
      <c r="DD242" s="23"/>
      <c r="DE242" s="23"/>
      <c r="DF242" s="23"/>
      <c r="DG242" s="23"/>
      <c r="DH242" s="23"/>
      <c r="DI242" s="23"/>
      <c r="DJ242" s="23"/>
      <c r="DK242" s="23"/>
      <c r="DL242" s="23"/>
      <c r="DM242" s="23"/>
      <c r="DN242" s="23"/>
      <c r="DO242" s="23"/>
      <c r="DP242" s="23"/>
      <c r="DQ242" s="23"/>
      <c r="DR242" s="23"/>
      <c r="DS242" s="23"/>
      <c r="DT242" s="23"/>
      <c r="DU242" s="23"/>
      <c r="DV242" s="23"/>
      <c r="DW242" s="23"/>
      <c r="DX242" s="23"/>
      <c r="DY242" s="23"/>
      <c r="DZ242" s="23"/>
      <c r="EA242" s="23"/>
      <c r="EB242" s="23"/>
      <c r="EC242" s="23"/>
      <c r="ED242" s="23"/>
      <c r="EE242" s="23"/>
      <c r="EF242" s="23"/>
      <c r="EG242" s="23"/>
      <c r="EH242" s="23"/>
      <c r="EI242" s="23"/>
      <c r="EJ242" s="23"/>
      <c r="EK242" s="23"/>
      <c r="EL242" s="23"/>
      <c r="EM242" s="23"/>
      <c r="EN242" s="23"/>
      <c r="EO242" s="23"/>
      <c r="EP242" s="23"/>
      <c r="EQ242" s="23"/>
      <c r="ER242" s="23"/>
      <c r="ES242" s="23"/>
      <c r="ET242" s="23"/>
      <c r="EU242" s="23"/>
      <c r="EV242" s="23"/>
      <c r="EW242" s="23"/>
      <c r="EX242" s="23"/>
      <c r="EY242" s="23"/>
      <c r="EZ242" s="23"/>
      <c r="FA242" s="23"/>
      <c r="FB242" s="23"/>
      <c r="FC242" s="23"/>
      <c r="FD242" s="23"/>
      <c r="FE242" s="23"/>
      <c r="FF242" s="23"/>
      <c r="FG242" s="23"/>
      <c r="FH242" s="23"/>
      <c r="FI242" s="23"/>
      <c r="FJ242" s="23"/>
      <c r="FK242" s="23"/>
      <c r="FL242" s="23"/>
      <c r="FM242" s="23"/>
      <c r="FN242" s="23"/>
      <c r="FO242" s="23"/>
      <c r="FP242" s="23"/>
      <c r="FQ242" s="23"/>
      <c r="FR242" s="23"/>
      <c r="FS242" s="23"/>
      <c r="FT242" s="23"/>
      <c r="FU242" s="23"/>
      <c r="FV242" s="23"/>
      <c r="FW242" s="23"/>
      <c r="FX242" s="23"/>
      <c r="FY242" s="23"/>
      <c r="FZ242" s="23"/>
      <c r="GA242" s="23"/>
      <c r="GB242" s="23"/>
      <c r="GC242" s="23"/>
      <c r="GD242" s="23"/>
      <c r="GE242" s="23"/>
      <c r="GF242" s="23"/>
      <c r="GG242" s="23"/>
      <c r="GH242" s="23"/>
      <c r="GI242" s="23"/>
      <c r="GJ242" s="23"/>
      <c r="GK242" s="23"/>
      <c r="GL242" s="23"/>
    </row>
    <row r="243" spans="1:194" ht="13">
      <c r="A243" s="23"/>
      <c r="B243" s="23"/>
      <c r="C243" s="23"/>
      <c r="D243" s="23"/>
      <c r="E243" s="23"/>
      <c r="F243" s="23"/>
      <c r="G243" s="23"/>
      <c r="H243" s="401"/>
      <c r="I243" s="401"/>
      <c r="J243" s="401"/>
      <c r="K243" s="401"/>
      <c r="L243" s="401"/>
      <c r="M243" s="438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  <c r="BL243" s="23"/>
      <c r="BM243" s="23"/>
      <c r="BN243" s="23"/>
      <c r="BO243" s="23"/>
      <c r="BP243" s="23"/>
      <c r="BQ243" s="23"/>
      <c r="BR243" s="23"/>
      <c r="BS243" s="23"/>
      <c r="BT243" s="23"/>
      <c r="BU243" s="23"/>
      <c r="BV243" s="23"/>
      <c r="BW243" s="23"/>
      <c r="BX243" s="23"/>
      <c r="BY243" s="23"/>
      <c r="BZ243" s="23"/>
      <c r="CA243" s="23"/>
      <c r="CB243" s="23"/>
      <c r="CC243" s="23"/>
      <c r="CD243" s="23"/>
      <c r="CE243" s="23"/>
      <c r="CF243" s="23"/>
      <c r="CG243" s="23"/>
      <c r="CH243" s="23"/>
      <c r="CI243" s="23"/>
      <c r="CJ243" s="23"/>
      <c r="CK243" s="23"/>
      <c r="CL243" s="23"/>
      <c r="CM243" s="23"/>
      <c r="CN243" s="23"/>
      <c r="CO243" s="23"/>
      <c r="CP243" s="23"/>
      <c r="CQ243" s="23"/>
      <c r="CR243" s="23"/>
      <c r="CS243" s="23"/>
      <c r="CT243" s="23"/>
      <c r="CU243" s="23"/>
      <c r="CV243" s="23"/>
      <c r="CW243" s="23"/>
      <c r="CX243" s="23"/>
      <c r="CY243" s="23"/>
      <c r="CZ243" s="23"/>
      <c r="DA243" s="23"/>
      <c r="DB243" s="23"/>
      <c r="DC243" s="23"/>
      <c r="DD243" s="23"/>
      <c r="DE243" s="23"/>
      <c r="DF243" s="23"/>
      <c r="DG243" s="23"/>
      <c r="DH243" s="23"/>
      <c r="DI243" s="23"/>
      <c r="DJ243" s="23"/>
      <c r="DK243" s="23"/>
      <c r="DL243" s="23"/>
      <c r="DM243" s="23"/>
      <c r="DN243" s="23"/>
      <c r="DO243" s="23"/>
      <c r="DP243" s="23"/>
      <c r="DQ243" s="23"/>
      <c r="DR243" s="23"/>
      <c r="DS243" s="23"/>
      <c r="DT243" s="23"/>
      <c r="DU243" s="23"/>
      <c r="DV243" s="23"/>
      <c r="DW243" s="23"/>
      <c r="DX243" s="23"/>
      <c r="DY243" s="23"/>
      <c r="DZ243" s="23"/>
      <c r="EA243" s="23"/>
      <c r="EB243" s="23"/>
      <c r="EC243" s="23"/>
      <c r="ED243" s="23"/>
      <c r="EE243" s="23"/>
      <c r="EF243" s="23"/>
      <c r="EG243" s="23"/>
      <c r="EH243" s="23"/>
      <c r="EI243" s="23"/>
      <c r="EJ243" s="23"/>
      <c r="EK243" s="23"/>
      <c r="EL243" s="23"/>
      <c r="EM243" s="23"/>
      <c r="EN243" s="23"/>
      <c r="EO243" s="23"/>
      <c r="EP243" s="23"/>
      <c r="EQ243" s="23"/>
      <c r="ER243" s="23"/>
      <c r="ES243" s="23"/>
      <c r="ET243" s="23"/>
      <c r="EU243" s="23"/>
      <c r="EV243" s="23"/>
      <c r="EW243" s="23"/>
      <c r="EX243" s="23"/>
      <c r="EY243" s="23"/>
      <c r="EZ243" s="23"/>
      <c r="FA243" s="23"/>
      <c r="FB243" s="23"/>
      <c r="FC243" s="23"/>
      <c r="FD243" s="23"/>
      <c r="FE243" s="23"/>
      <c r="FF243" s="23"/>
      <c r="FG243" s="23"/>
      <c r="FH243" s="23"/>
      <c r="FI243" s="23"/>
      <c r="FJ243" s="23"/>
      <c r="FK243" s="23"/>
      <c r="FL243" s="23"/>
      <c r="FM243" s="23"/>
      <c r="FN243" s="23"/>
      <c r="FO243" s="23"/>
      <c r="FP243" s="23"/>
      <c r="FQ243" s="23"/>
      <c r="FR243" s="23"/>
      <c r="FS243" s="23"/>
      <c r="FT243" s="23"/>
      <c r="FU243" s="23"/>
      <c r="FV243" s="23"/>
      <c r="FW243" s="23"/>
      <c r="FX243" s="23"/>
      <c r="FY243" s="23"/>
      <c r="FZ243" s="23"/>
      <c r="GA243" s="23"/>
      <c r="GB243" s="23"/>
      <c r="GC243" s="23"/>
      <c r="GD243" s="23"/>
      <c r="GE243" s="23"/>
      <c r="GF243" s="23"/>
      <c r="GG243" s="23"/>
      <c r="GH243" s="23"/>
      <c r="GI243" s="23"/>
      <c r="GJ243" s="23"/>
      <c r="GK243" s="23"/>
      <c r="GL243" s="23"/>
    </row>
    <row r="244" spans="1:194" ht="13">
      <c r="A244" s="23"/>
      <c r="B244" s="23"/>
      <c r="C244" s="23"/>
      <c r="D244" s="23"/>
      <c r="E244" s="23"/>
      <c r="F244" s="23"/>
      <c r="G244" s="23"/>
      <c r="H244" s="401"/>
      <c r="I244" s="401"/>
      <c r="J244" s="401"/>
      <c r="K244" s="401"/>
      <c r="L244" s="401"/>
      <c r="M244" s="438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  <c r="BF244" s="23"/>
      <c r="BG244" s="23"/>
      <c r="BH244" s="23"/>
      <c r="BI244" s="23"/>
      <c r="BJ244" s="23"/>
      <c r="BK244" s="23"/>
      <c r="BL244" s="23"/>
      <c r="BM244" s="23"/>
      <c r="BN244" s="23"/>
      <c r="BO244" s="23"/>
      <c r="BP244" s="23"/>
      <c r="BQ244" s="23"/>
      <c r="BR244" s="23"/>
      <c r="BS244" s="23"/>
      <c r="BT244" s="23"/>
      <c r="BU244" s="23"/>
      <c r="BV244" s="23"/>
      <c r="BW244" s="23"/>
      <c r="BX244" s="23"/>
      <c r="BY244" s="23"/>
      <c r="BZ244" s="23"/>
      <c r="CA244" s="23"/>
      <c r="CB244" s="23"/>
      <c r="CC244" s="23"/>
      <c r="CD244" s="23"/>
      <c r="CE244" s="23"/>
      <c r="CF244" s="23"/>
      <c r="CG244" s="23"/>
      <c r="CH244" s="23"/>
      <c r="CI244" s="23"/>
      <c r="CJ244" s="23"/>
      <c r="CK244" s="23"/>
      <c r="CL244" s="23"/>
      <c r="CM244" s="23"/>
      <c r="CN244" s="23"/>
      <c r="CO244" s="23"/>
      <c r="CP244" s="23"/>
      <c r="CQ244" s="23"/>
      <c r="CR244" s="23"/>
      <c r="CS244" s="23"/>
      <c r="CT244" s="23"/>
      <c r="CU244" s="23"/>
      <c r="CV244" s="23"/>
      <c r="CW244" s="23"/>
      <c r="CX244" s="23"/>
      <c r="CY244" s="23"/>
      <c r="CZ244" s="23"/>
      <c r="DA244" s="23"/>
      <c r="DB244" s="23"/>
      <c r="DC244" s="23"/>
      <c r="DD244" s="23"/>
      <c r="DE244" s="23"/>
      <c r="DF244" s="23"/>
      <c r="DG244" s="23"/>
      <c r="DH244" s="23"/>
      <c r="DI244" s="23"/>
      <c r="DJ244" s="23"/>
      <c r="DK244" s="23"/>
      <c r="DL244" s="23"/>
      <c r="DM244" s="23"/>
      <c r="DN244" s="23"/>
      <c r="DO244" s="23"/>
      <c r="DP244" s="23"/>
      <c r="DQ244" s="23"/>
      <c r="DR244" s="23"/>
      <c r="DS244" s="23"/>
      <c r="DT244" s="23"/>
      <c r="DU244" s="23"/>
      <c r="DV244" s="23"/>
      <c r="DW244" s="23"/>
      <c r="DX244" s="23"/>
      <c r="DY244" s="23"/>
      <c r="DZ244" s="23"/>
      <c r="EA244" s="23"/>
      <c r="EB244" s="23"/>
      <c r="EC244" s="23"/>
      <c r="ED244" s="23"/>
      <c r="EE244" s="23"/>
      <c r="EF244" s="23"/>
      <c r="EG244" s="23"/>
      <c r="EH244" s="23"/>
      <c r="EI244" s="23"/>
      <c r="EJ244" s="23"/>
      <c r="EK244" s="23"/>
      <c r="EL244" s="23"/>
      <c r="EM244" s="23"/>
      <c r="EN244" s="23"/>
      <c r="EO244" s="23"/>
      <c r="EP244" s="23"/>
      <c r="EQ244" s="23"/>
      <c r="ER244" s="23"/>
      <c r="ES244" s="23"/>
      <c r="ET244" s="23"/>
      <c r="EU244" s="23"/>
      <c r="EV244" s="23"/>
      <c r="EW244" s="23"/>
      <c r="EX244" s="23"/>
      <c r="EY244" s="23"/>
      <c r="EZ244" s="23"/>
      <c r="FA244" s="23"/>
      <c r="FB244" s="23"/>
      <c r="FC244" s="23"/>
      <c r="FD244" s="23"/>
      <c r="FE244" s="23"/>
      <c r="FF244" s="23"/>
      <c r="FG244" s="23"/>
      <c r="FH244" s="23"/>
      <c r="FI244" s="23"/>
      <c r="FJ244" s="23"/>
      <c r="FK244" s="23"/>
      <c r="FL244" s="23"/>
      <c r="FM244" s="23"/>
      <c r="FN244" s="23"/>
      <c r="FO244" s="23"/>
      <c r="FP244" s="23"/>
      <c r="FQ244" s="23"/>
      <c r="FR244" s="23"/>
      <c r="FS244" s="23"/>
      <c r="FT244" s="23"/>
      <c r="FU244" s="23"/>
      <c r="FV244" s="23"/>
      <c r="FW244" s="23"/>
      <c r="FX244" s="23"/>
      <c r="FY244" s="23"/>
      <c r="FZ244" s="23"/>
      <c r="GA244" s="23"/>
      <c r="GB244" s="23"/>
      <c r="GC244" s="23"/>
      <c r="GD244" s="23"/>
      <c r="GE244" s="23"/>
      <c r="GF244" s="23"/>
      <c r="GG244" s="23"/>
      <c r="GH244" s="23"/>
      <c r="GI244" s="23"/>
      <c r="GJ244" s="23"/>
      <c r="GK244" s="23"/>
      <c r="GL244" s="23"/>
    </row>
    <row r="245" spans="1:194" ht="13">
      <c r="A245" s="23"/>
      <c r="B245" s="23"/>
      <c r="C245" s="23"/>
      <c r="D245" s="23"/>
      <c r="E245" s="23"/>
      <c r="F245" s="23"/>
      <c r="G245" s="23"/>
      <c r="H245" s="401"/>
      <c r="I245" s="401"/>
      <c r="J245" s="401"/>
      <c r="K245" s="401"/>
      <c r="L245" s="401"/>
      <c r="M245" s="438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  <c r="BF245" s="23"/>
      <c r="BG245" s="23"/>
      <c r="BH245" s="23"/>
      <c r="BI245" s="23"/>
      <c r="BJ245" s="23"/>
      <c r="BK245" s="23"/>
      <c r="BL245" s="23"/>
      <c r="BM245" s="23"/>
      <c r="BN245" s="23"/>
      <c r="BO245" s="23"/>
      <c r="BP245" s="23"/>
      <c r="BQ245" s="23"/>
      <c r="BR245" s="23"/>
      <c r="BS245" s="23"/>
      <c r="BT245" s="23"/>
      <c r="BU245" s="23"/>
      <c r="BV245" s="23"/>
      <c r="BW245" s="23"/>
      <c r="BX245" s="23"/>
      <c r="BY245" s="23"/>
      <c r="BZ245" s="23"/>
      <c r="CA245" s="23"/>
      <c r="CB245" s="23"/>
      <c r="CC245" s="23"/>
      <c r="CD245" s="23"/>
      <c r="CE245" s="23"/>
      <c r="CF245" s="23"/>
      <c r="CG245" s="23"/>
      <c r="CH245" s="23"/>
      <c r="CI245" s="23"/>
      <c r="CJ245" s="23"/>
      <c r="CK245" s="23"/>
      <c r="CL245" s="23"/>
      <c r="CM245" s="23"/>
      <c r="CN245" s="23"/>
      <c r="CO245" s="23"/>
      <c r="CP245" s="23"/>
      <c r="CQ245" s="23"/>
      <c r="CR245" s="23"/>
      <c r="CS245" s="23"/>
      <c r="CT245" s="23"/>
      <c r="CU245" s="23"/>
      <c r="CV245" s="23"/>
      <c r="CW245" s="23"/>
      <c r="CX245" s="23"/>
      <c r="CY245" s="23"/>
      <c r="CZ245" s="23"/>
      <c r="DA245" s="23"/>
      <c r="DB245" s="23"/>
      <c r="DC245" s="23"/>
      <c r="DD245" s="23"/>
      <c r="DE245" s="23"/>
      <c r="DF245" s="23"/>
      <c r="DG245" s="23"/>
      <c r="DH245" s="23"/>
      <c r="DI245" s="23"/>
      <c r="DJ245" s="23"/>
      <c r="DK245" s="23"/>
      <c r="DL245" s="23"/>
      <c r="DM245" s="23"/>
      <c r="DN245" s="23"/>
      <c r="DO245" s="23"/>
      <c r="DP245" s="23"/>
      <c r="DQ245" s="23"/>
      <c r="DR245" s="23"/>
      <c r="DS245" s="23"/>
      <c r="DT245" s="23"/>
      <c r="DU245" s="23"/>
      <c r="DV245" s="23"/>
      <c r="DW245" s="23"/>
      <c r="DX245" s="23"/>
      <c r="DY245" s="23"/>
      <c r="DZ245" s="23"/>
      <c r="EA245" s="23"/>
      <c r="EB245" s="23"/>
      <c r="EC245" s="23"/>
      <c r="ED245" s="23"/>
      <c r="EE245" s="23"/>
      <c r="EF245" s="23"/>
      <c r="EG245" s="23"/>
      <c r="EH245" s="23"/>
      <c r="EI245" s="23"/>
      <c r="EJ245" s="23"/>
      <c r="EK245" s="23"/>
      <c r="EL245" s="23"/>
      <c r="EM245" s="23"/>
      <c r="EN245" s="23"/>
      <c r="EO245" s="23"/>
      <c r="EP245" s="23"/>
      <c r="EQ245" s="23"/>
      <c r="ER245" s="23"/>
      <c r="ES245" s="23"/>
      <c r="ET245" s="23"/>
      <c r="EU245" s="23"/>
      <c r="EV245" s="23"/>
      <c r="EW245" s="23"/>
      <c r="EX245" s="23"/>
      <c r="EY245" s="23"/>
      <c r="EZ245" s="23"/>
      <c r="FA245" s="23"/>
      <c r="FB245" s="23"/>
      <c r="FC245" s="23"/>
      <c r="FD245" s="23"/>
      <c r="FE245" s="23"/>
      <c r="FF245" s="23"/>
      <c r="FG245" s="23"/>
      <c r="FH245" s="23"/>
      <c r="FI245" s="23"/>
      <c r="FJ245" s="23"/>
      <c r="FK245" s="23"/>
      <c r="FL245" s="23"/>
      <c r="FM245" s="23"/>
      <c r="FN245" s="23"/>
      <c r="FO245" s="23"/>
      <c r="FP245" s="23"/>
      <c r="FQ245" s="23"/>
      <c r="FR245" s="23"/>
      <c r="FS245" s="23"/>
      <c r="FT245" s="23"/>
      <c r="FU245" s="23"/>
      <c r="FV245" s="23"/>
      <c r="FW245" s="23"/>
      <c r="FX245" s="23"/>
      <c r="FY245" s="23"/>
      <c r="FZ245" s="23"/>
      <c r="GA245" s="23"/>
      <c r="GB245" s="23"/>
      <c r="GC245" s="23"/>
      <c r="GD245" s="23"/>
      <c r="GE245" s="23"/>
      <c r="GF245" s="23"/>
      <c r="GG245" s="23"/>
      <c r="GH245" s="23"/>
      <c r="GI245" s="23"/>
      <c r="GJ245" s="23"/>
      <c r="GK245" s="23"/>
      <c r="GL245" s="23"/>
    </row>
    <row r="246" spans="1:194" ht="13">
      <c r="A246" s="23"/>
      <c r="B246" s="23"/>
      <c r="C246" s="23"/>
      <c r="D246" s="23"/>
      <c r="E246" s="23"/>
      <c r="F246" s="23"/>
      <c r="G246" s="23"/>
      <c r="H246" s="401"/>
      <c r="I246" s="401"/>
      <c r="J246" s="401"/>
      <c r="K246" s="401"/>
      <c r="L246" s="401"/>
      <c r="M246" s="438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23"/>
      <c r="BD246" s="23"/>
      <c r="BE246" s="23"/>
      <c r="BF246" s="23"/>
      <c r="BG246" s="23"/>
      <c r="BH246" s="23"/>
      <c r="BI246" s="23"/>
      <c r="BJ246" s="23"/>
      <c r="BK246" s="23"/>
      <c r="BL246" s="23"/>
      <c r="BM246" s="23"/>
      <c r="BN246" s="23"/>
      <c r="BO246" s="23"/>
      <c r="BP246" s="23"/>
      <c r="BQ246" s="23"/>
      <c r="BR246" s="23"/>
      <c r="BS246" s="23"/>
      <c r="BT246" s="23"/>
      <c r="BU246" s="23"/>
      <c r="BV246" s="23"/>
      <c r="BW246" s="23"/>
      <c r="BX246" s="23"/>
      <c r="BY246" s="23"/>
      <c r="BZ246" s="23"/>
      <c r="CA246" s="23"/>
      <c r="CB246" s="23"/>
      <c r="CC246" s="23"/>
      <c r="CD246" s="23"/>
      <c r="CE246" s="23"/>
      <c r="CF246" s="23"/>
      <c r="CG246" s="23"/>
      <c r="CH246" s="23"/>
      <c r="CI246" s="23"/>
      <c r="CJ246" s="23"/>
      <c r="CK246" s="23"/>
      <c r="CL246" s="23"/>
      <c r="CM246" s="23"/>
      <c r="CN246" s="23"/>
      <c r="CO246" s="23"/>
      <c r="CP246" s="23"/>
      <c r="CQ246" s="23"/>
      <c r="CR246" s="23"/>
      <c r="CS246" s="23"/>
      <c r="CT246" s="23"/>
      <c r="CU246" s="23"/>
      <c r="CV246" s="23"/>
      <c r="CW246" s="23"/>
      <c r="CX246" s="23"/>
      <c r="CY246" s="23"/>
      <c r="CZ246" s="23"/>
      <c r="DA246" s="23"/>
      <c r="DB246" s="23"/>
      <c r="DC246" s="23"/>
      <c r="DD246" s="23"/>
      <c r="DE246" s="23"/>
      <c r="DF246" s="23"/>
      <c r="DG246" s="23"/>
      <c r="DH246" s="23"/>
      <c r="DI246" s="23"/>
      <c r="DJ246" s="23"/>
      <c r="DK246" s="23"/>
      <c r="DL246" s="23"/>
      <c r="DM246" s="23"/>
      <c r="DN246" s="23"/>
      <c r="DO246" s="23"/>
      <c r="DP246" s="23"/>
      <c r="DQ246" s="23"/>
      <c r="DR246" s="23"/>
      <c r="DS246" s="23"/>
      <c r="DT246" s="23"/>
      <c r="DU246" s="23"/>
      <c r="DV246" s="23"/>
      <c r="DW246" s="23"/>
      <c r="DX246" s="23"/>
      <c r="DY246" s="23"/>
      <c r="DZ246" s="23"/>
      <c r="EA246" s="23"/>
      <c r="EB246" s="23"/>
      <c r="EC246" s="23"/>
      <c r="ED246" s="23"/>
      <c r="EE246" s="23"/>
      <c r="EF246" s="23"/>
      <c r="EG246" s="23"/>
      <c r="EH246" s="23"/>
      <c r="EI246" s="23"/>
      <c r="EJ246" s="23"/>
      <c r="EK246" s="23"/>
      <c r="EL246" s="23"/>
      <c r="EM246" s="23"/>
      <c r="EN246" s="23"/>
      <c r="EO246" s="23"/>
      <c r="EP246" s="23"/>
      <c r="EQ246" s="23"/>
      <c r="ER246" s="23"/>
      <c r="ES246" s="23"/>
      <c r="ET246" s="23"/>
      <c r="EU246" s="23"/>
      <c r="EV246" s="23"/>
      <c r="EW246" s="23"/>
      <c r="EX246" s="23"/>
      <c r="EY246" s="23"/>
      <c r="EZ246" s="23"/>
      <c r="FA246" s="23"/>
      <c r="FB246" s="23"/>
      <c r="FC246" s="23"/>
      <c r="FD246" s="23"/>
      <c r="FE246" s="23"/>
      <c r="FF246" s="23"/>
      <c r="FG246" s="23"/>
      <c r="FH246" s="23"/>
      <c r="FI246" s="23"/>
      <c r="FJ246" s="23"/>
      <c r="FK246" s="23"/>
      <c r="FL246" s="23"/>
      <c r="FM246" s="23"/>
      <c r="FN246" s="23"/>
      <c r="FO246" s="23"/>
      <c r="FP246" s="23"/>
      <c r="FQ246" s="23"/>
      <c r="FR246" s="23"/>
      <c r="FS246" s="23"/>
      <c r="FT246" s="23"/>
      <c r="FU246" s="23"/>
      <c r="FV246" s="23"/>
      <c r="FW246" s="23"/>
      <c r="FX246" s="23"/>
      <c r="FY246" s="23"/>
      <c r="FZ246" s="23"/>
      <c r="GA246" s="23"/>
      <c r="GB246" s="23"/>
      <c r="GC246" s="23"/>
      <c r="GD246" s="23"/>
      <c r="GE246" s="23"/>
      <c r="GF246" s="23"/>
      <c r="GG246" s="23"/>
      <c r="GH246" s="23"/>
      <c r="GI246" s="23"/>
      <c r="GJ246" s="23"/>
      <c r="GK246" s="23"/>
      <c r="GL246" s="23"/>
    </row>
    <row r="247" spans="1:194" ht="13">
      <c r="A247" s="23"/>
      <c r="B247" s="23"/>
      <c r="C247" s="23"/>
      <c r="D247" s="23"/>
      <c r="E247" s="23"/>
      <c r="F247" s="23"/>
      <c r="G247" s="23"/>
      <c r="H247" s="401"/>
      <c r="I247" s="401"/>
      <c r="J247" s="401"/>
      <c r="K247" s="401"/>
      <c r="L247" s="401"/>
      <c r="M247" s="438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3"/>
      <c r="BG247" s="23"/>
      <c r="BH247" s="23"/>
      <c r="BI247" s="23"/>
      <c r="BJ247" s="23"/>
      <c r="BK247" s="23"/>
      <c r="BL247" s="23"/>
      <c r="BM247" s="23"/>
      <c r="BN247" s="23"/>
      <c r="BO247" s="23"/>
      <c r="BP247" s="23"/>
      <c r="BQ247" s="23"/>
      <c r="BR247" s="23"/>
      <c r="BS247" s="23"/>
      <c r="BT247" s="23"/>
      <c r="BU247" s="23"/>
      <c r="BV247" s="23"/>
      <c r="BW247" s="23"/>
      <c r="BX247" s="23"/>
      <c r="BY247" s="23"/>
      <c r="BZ247" s="23"/>
      <c r="CA247" s="23"/>
      <c r="CB247" s="23"/>
      <c r="CC247" s="23"/>
      <c r="CD247" s="23"/>
      <c r="CE247" s="23"/>
      <c r="CF247" s="23"/>
      <c r="CG247" s="23"/>
      <c r="CH247" s="23"/>
      <c r="CI247" s="23"/>
      <c r="CJ247" s="23"/>
      <c r="CK247" s="23"/>
      <c r="CL247" s="23"/>
      <c r="CM247" s="23"/>
      <c r="CN247" s="23"/>
      <c r="CO247" s="23"/>
      <c r="CP247" s="23"/>
      <c r="CQ247" s="23"/>
      <c r="CR247" s="23"/>
      <c r="CS247" s="23"/>
      <c r="CT247" s="23"/>
      <c r="CU247" s="23"/>
      <c r="CV247" s="23"/>
      <c r="CW247" s="23"/>
      <c r="CX247" s="23"/>
      <c r="CY247" s="23"/>
      <c r="CZ247" s="23"/>
      <c r="DA247" s="23"/>
      <c r="DB247" s="23"/>
      <c r="DC247" s="23"/>
      <c r="DD247" s="23"/>
      <c r="DE247" s="23"/>
      <c r="DF247" s="23"/>
      <c r="DG247" s="23"/>
      <c r="DH247" s="23"/>
      <c r="DI247" s="23"/>
      <c r="DJ247" s="23"/>
      <c r="DK247" s="23"/>
      <c r="DL247" s="23"/>
      <c r="DM247" s="23"/>
      <c r="DN247" s="23"/>
      <c r="DO247" s="23"/>
      <c r="DP247" s="23"/>
      <c r="DQ247" s="23"/>
      <c r="DR247" s="23"/>
      <c r="DS247" s="23"/>
      <c r="DT247" s="23"/>
      <c r="DU247" s="23"/>
      <c r="DV247" s="23"/>
      <c r="DW247" s="23"/>
      <c r="DX247" s="23"/>
      <c r="DY247" s="23"/>
      <c r="DZ247" s="23"/>
      <c r="EA247" s="23"/>
      <c r="EB247" s="23"/>
      <c r="EC247" s="23"/>
      <c r="ED247" s="23"/>
      <c r="EE247" s="23"/>
      <c r="EF247" s="23"/>
      <c r="EG247" s="23"/>
      <c r="EH247" s="23"/>
      <c r="EI247" s="23"/>
      <c r="EJ247" s="23"/>
      <c r="EK247" s="23"/>
      <c r="EL247" s="23"/>
      <c r="EM247" s="23"/>
      <c r="EN247" s="23"/>
      <c r="EO247" s="23"/>
      <c r="EP247" s="23"/>
      <c r="EQ247" s="23"/>
      <c r="ER247" s="23"/>
      <c r="ES247" s="23"/>
      <c r="ET247" s="23"/>
      <c r="EU247" s="23"/>
      <c r="EV247" s="23"/>
      <c r="EW247" s="23"/>
      <c r="EX247" s="23"/>
      <c r="EY247" s="23"/>
      <c r="EZ247" s="23"/>
      <c r="FA247" s="23"/>
      <c r="FB247" s="23"/>
      <c r="FC247" s="23"/>
      <c r="FD247" s="23"/>
      <c r="FE247" s="23"/>
      <c r="FF247" s="23"/>
      <c r="FG247" s="23"/>
      <c r="FH247" s="23"/>
      <c r="FI247" s="23"/>
      <c r="FJ247" s="23"/>
      <c r="FK247" s="23"/>
      <c r="FL247" s="23"/>
      <c r="FM247" s="23"/>
      <c r="FN247" s="23"/>
      <c r="FO247" s="23"/>
      <c r="FP247" s="23"/>
      <c r="FQ247" s="23"/>
      <c r="FR247" s="23"/>
      <c r="FS247" s="23"/>
      <c r="FT247" s="23"/>
      <c r="FU247" s="23"/>
      <c r="FV247" s="23"/>
      <c r="FW247" s="23"/>
      <c r="FX247" s="23"/>
      <c r="FY247" s="23"/>
      <c r="FZ247" s="23"/>
      <c r="GA247" s="23"/>
      <c r="GB247" s="23"/>
      <c r="GC247" s="23"/>
      <c r="GD247" s="23"/>
      <c r="GE247" s="23"/>
      <c r="GF247" s="23"/>
      <c r="GG247" s="23"/>
      <c r="GH247" s="23"/>
      <c r="GI247" s="23"/>
      <c r="GJ247" s="23"/>
      <c r="GK247" s="23"/>
      <c r="GL247" s="23"/>
    </row>
    <row r="248" spans="1:194" ht="13">
      <c r="A248" s="23"/>
      <c r="B248" s="23"/>
      <c r="C248" s="23"/>
      <c r="D248" s="23"/>
      <c r="E248" s="23"/>
      <c r="F248" s="23"/>
      <c r="G248" s="23"/>
      <c r="H248" s="401"/>
      <c r="I248" s="401"/>
      <c r="J248" s="401"/>
      <c r="K248" s="401"/>
      <c r="L248" s="401"/>
      <c r="M248" s="438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3"/>
      <c r="BG248" s="23"/>
      <c r="BH248" s="23"/>
      <c r="BI248" s="23"/>
      <c r="BJ248" s="23"/>
      <c r="BK248" s="23"/>
      <c r="BL248" s="23"/>
      <c r="BM248" s="23"/>
      <c r="BN248" s="23"/>
      <c r="BO248" s="23"/>
      <c r="BP248" s="23"/>
      <c r="BQ248" s="23"/>
      <c r="BR248" s="23"/>
      <c r="BS248" s="23"/>
      <c r="BT248" s="23"/>
      <c r="BU248" s="23"/>
      <c r="BV248" s="23"/>
      <c r="BW248" s="23"/>
      <c r="BX248" s="23"/>
      <c r="BY248" s="23"/>
      <c r="BZ248" s="23"/>
      <c r="CA248" s="23"/>
      <c r="CB248" s="23"/>
      <c r="CC248" s="23"/>
      <c r="CD248" s="23"/>
      <c r="CE248" s="23"/>
      <c r="CF248" s="23"/>
      <c r="CG248" s="23"/>
      <c r="CH248" s="23"/>
      <c r="CI248" s="23"/>
      <c r="CJ248" s="23"/>
      <c r="CK248" s="23"/>
      <c r="CL248" s="23"/>
      <c r="CM248" s="23"/>
      <c r="CN248" s="23"/>
      <c r="CO248" s="23"/>
      <c r="CP248" s="23"/>
      <c r="CQ248" s="23"/>
      <c r="CR248" s="23"/>
      <c r="CS248" s="23"/>
      <c r="CT248" s="23"/>
      <c r="CU248" s="23"/>
      <c r="CV248" s="23"/>
      <c r="CW248" s="23"/>
      <c r="CX248" s="23"/>
      <c r="CY248" s="23"/>
      <c r="CZ248" s="23"/>
      <c r="DA248" s="23"/>
      <c r="DB248" s="23"/>
      <c r="DC248" s="23"/>
      <c r="DD248" s="23"/>
      <c r="DE248" s="23"/>
      <c r="DF248" s="23"/>
      <c r="DG248" s="23"/>
      <c r="DH248" s="23"/>
      <c r="DI248" s="23"/>
      <c r="DJ248" s="23"/>
      <c r="DK248" s="23"/>
      <c r="DL248" s="23"/>
      <c r="DM248" s="23"/>
      <c r="DN248" s="23"/>
      <c r="DO248" s="23"/>
      <c r="DP248" s="23"/>
      <c r="DQ248" s="23"/>
      <c r="DR248" s="23"/>
      <c r="DS248" s="23"/>
      <c r="DT248" s="23"/>
      <c r="DU248" s="23"/>
      <c r="DV248" s="23"/>
      <c r="DW248" s="23"/>
      <c r="DX248" s="23"/>
      <c r="DY248" s="23"/>
      <c r="DZ248" s="23"/>
      <c r="EA248" s="23"/>
      <c r="EB248" s="23"/>
      <c r="EC248" s="23"/>
      <c r="ED248" s="23"/>
      <c r="EE248" s="23"/>
      <c r="EF248" s="23"/>
      <c r="EG248" s="23"/>
      <c r="EH248" s="23"/>
      <c r="EI248" s="23"/>
      <c r="EJ248" s="23"/>
      <c r="EK248" s="23"/>
      <c r="EL248" s="23"/>
      <c r="EM248" s="23"/>
      <c r="EN248" s="23"/>
      <c r="EO248" s="23"/>
      <c r="EP248" s="23"/>
      <c r="EQ248" s="23"/>
      <c r="ER248" s="23"/>
      <c r="ES248" s="23"/>
      <c r="ET248" s="23"/>
      <c r="EU248" s="23"/>
      <c r="EV248" s="23"/>
      <c r="EW248" s="23"/>
      <c r="EX248" s="23"/>
      <c r="EY248" s="23"/>
      <c r="EZ248" s="23"/>
      <c r="FA248" s="23"/>
      <c r="FB248" s="23"/>
      <c r="FC248" s="23"/>
      <c r="FD248" s="23"/>
      <c r="FE248" s="23"/>
      <c r="FF248" s="23"/>
      <c r="FG248" s="23"/>
      <c r="FH248" s="23"/>
      <c r="FI248" s="23"/>
      <c r="FJ248" s="23"/>
      <c r="FK248" s="23"/>
      <c r="FL248" s="23"/>
      <c r="FM248" s="23"/>
      <c r="FN248" s="23"/>
      <c r="FO248" s="23"/>
      <c r="FP248" s="23"/>
      <c r="FQ248" s="23"/>
      <c r="FR248" s="23"/>
      <c r="FS248" s="23"/>
      <c r="FT248" s="23"/>
      <c r="FU248" s="23"/>
      <c r="FV248" s="23"/>
      <c r="FW248" s="23"/>
      <c r="FX248" s="23"/>
      <c r="FY248" s="23"/>
      <c r="FZ248" s="23"/>
      <c r="GA248" s="23"/>
      <c r="GB248" s="23"/>
      <c r="GC248" s="23"/>
      <c r="GD248" s="23"/>
      <c r="GE248" s="23"/>
      <c r="GF248" s="23"/>
      <c r="GG248" s="23"/>
      <c r="GH248" s="23"/>
      <c r="GI248" s="23"/>
      <c r="GJ248" s="23"/>
      <c r="GK248" s="23"/>
      <c r="GL248" s="23"/>
    </row>
    <row r="249" spans="1:194" ht="13">
      <c r="A249" s="23"/>
      <c r="B249" s="23"/>
      <c r="C249" s="23"/>
      <c r="D249" s="23"/>
      <c r="E249" s="23"/>
      <c r="F249" s="23"/>
      <c r="G249" s="23"/>
      <c r="H249" s="401"/>
      <c r="I249" s="401"/>
      <c r="J249" s="401"/>
      <c r="K249" s="401"/>
      <c r="L249" s="401"/>
      <c r="M249" s="438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23"/>
      <c r="BD249" s="23"/>
      <c r="BE249" s="23"/>
      <c r="BF249" s="23"/>
      <c r="BG249" s="23"/>
      <c r="BH249" s="23"/>
      <c r="BI249" s="23"/>
      <c r="BJ249" s="23"/>
      <c r="BK249" s="23"/>
      <c r="BL249" s="23"/>
      <c r="BM249" s="23"/>
      <c r="BN249" s="23"/>
      <c r="BO249" s="23"/>
      <c r="BP249" s="23"/>
      <c r="BQ249" s="23"/>
      <c r="BR249" s="23"/>
      <c r="BS249" s="23"/>
      <c r="BT249" s="23"/>
      <c r="BU249" s="23"/>
      <c r="BV249" s="23"/>
      <c r="BW249" s="23"/>
      <c r="BX249" s="23"/>
      <c r="BY249" s="23"/>
      <c r="BZ249" s="23"/>
      <c r="CA249" s="23"/>
      <c r="CB249" s="23"/>
      <c r="CC249" s="23"/>
      <c r="CD249" s="23"/>
      <c r="CE249" s="23"/>
      <c r="CF249" s="23"/>
      <c r="CG249" s="23"/>
      <c r="CH249" s="23"/>
      <c r="CI249" s="23"/>
      <c r="CJ249" s="23"/>
      <c r="CK249" s="23"/>
      <c r="CL249" s="23"/>
      <c r="CM249" s="23"/>
      <c r="CN249" s="23"/>
      <c r="CO249" s="23"/>
      <c r="CP249" s="23"/>
      <c r="CQ249" s="23"/>
      <c r="CR249" s="23"/>
      <c r="CS249" s="23"/>
      <c r="CT249" s="23"/>
      <c r="CU249" s="23"/>
      <c r="CV249" s="23"/>
      <c r="CW249" s="23"/>
      <c r="CX249" s="23"/>
      <c r="CY249" s="23"/>
      <c r="CZ249" s="23"/>
      <c r="DA249" s="23"/>
      <c r="DB249" s="23"/>
      <c r="DC249" s="23"/>
      <c r="DD249" s="23"/>
      <c r="DE249" s="23"/>
      <c r="DF249" s="23"/>
      <c r="DG249" s="23"/>
      <c r="DH249" s="23"/>
      <c r="DI249" s="23"/>
      <c r="DJ249" s="23"/>
      <c r="DK249" s="23"/>
      <c r="DL249" s="23"/>
      <c r="DM249" s="23"/>
      <c r="DN249" s="23"/>
      <c r="DO249" s="23"/>
      <c r="DP249" s="23"/>
      <c r="DQ249" s="23"/>
      <c r="DR249" s="23"/>
      <c r="DS249" s="23"/>
      <c r="DT249" s="23"/>
      <c r="DU249" s="23"/>
      <c r="DV249" s="23"/>
      <c r="DW249" s="23"/>
      <c r="DX249" s="23"/>
      <c r="DY249" s="23"/>
      <c r="DZ249" s="23"/>
      <c r="EA249" s="23"/>
      <c r="EB249" s="23"/>
      <c r="EC249" s="23"/>
      <c r="ED249" s="23"/>
      <c r="EE249" s="23"/>
      <c r="EF249" s="23"/>
      <c r="EG249" s="23"/>
      <c r="EH249" s="23"/>
      <c r="EI249" s="23"/>
      <c r="EJ249" s="23"/>
      <c r="EK249" s="23"/>
      <c r="EL249" s="23"/>
      <c r="EM249" s="23"/>
      <c r="EN249" s="23"/>
      <c r="EO249" s="23"/>
      <c r="EP249" s="23"/>
      <c r="EQ249" s="23"/>
      <c r="ER249" s="23"/>
      <c r="ES249" s="23"/>
      <c r="ET249" s="23"/>
      <c r="EU249" s="23"/>
      <c r="EV249" s="23"/>
      <c r="EW249" s="23"/>
      <c r="EX249" s="23"/>
      <c r="EY249" s="23"/>
      <c r="EZ249" s="23"/>
      <c r="FA249" s="23"/>
      <c r="FB249" s="23"/>
      <c r="FC249" s="23"/>
      <c r="FD249" s="23"/>
      <c r="FE249" s="23"/>
      <c r="FF249" s="23"/>
      <c r="FG249" s="23"/>
      <c r="FH249" s="23"/>
      <c r="FI249" s="23"/>
      <c r="FJ249" s="23"/>
      <c r="FK249" s="23"/>
      <c r="FL249" s="23"/>
      <c r="FM249" s="23"/>
      <c r="FN249" s="23"/>
      <c r="FO249" s="23"/>
      <c r="FP249" s="23"/>
      <c r="FQ249" s="23"/>
      <c r="FR249" s="23"/>
      <c r="FS249" s="23"/>
      <c r="FT249" s="23"/>
      <c r="FU249" s="23"/>
      <c r="FV249" s="23"/>
      <c r="FW249" s="23"/>
      <c r="FX249" s="23"/>
      <c r="FY249" s="23"/>
      <c r="FZ249" s="23"/>
      <c r="GA249" s="23"/>
      <c r="GB249" s="23"/>
      <c r="GC249" s="23"/>
      <c r="GD249" s="23"/>
      <c r="GE249" s="23"/>
      <c r="GF249" s="23"/>
      <c r="GG249" s="23"/>
      <c r="GH249" s="23"/>
      <c r="GI249" s="23"/>
      <c r="GJ249" s="23"/>
      <c r="GK249" s="23"/>
      <c r="GL249" s="23"/>
    </row>
    <row r="250" spans="1:194" ht="13">
      <c r="A250" s="23"/>
      <c r="B250" s="23"/>
      <c r="C250" s="23"/>
      <c r="D250" s="23"/>
      <c r="E250" s="23"/>
      <c r="F250" s="23"/>
      <c r="G250" s="23"/>
      <c r="H250" s="401"/>
      <c r="I250" s="401"/>
      <c r="J250" s="401"/>
      <c r="K250" s="401"/>
      <c r="L250" s="401"/>
      <c r="M250" s="438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23"/>
      <c r="BD250" s="23"/>
      <c r="BE250" s="23"/>
      <c r="BF250" s="23"/>
      <c r="BG250" s="23"/>
      <c r="BH250" s="23"/>
      <c r="BI250" s="23"/>
      <c r="BJ250" s="23"/>
      <c r="BK250" s="23"/>
      <c r="BL250" s="23"/>
      <c r="BM250" s="23"/>
      <c r="BN250" s="23"/>
      <c r="BO250" s="23"/>
      <c r="BP250" s="23"/>
      <c r="BQ250" s="23"/>
      <c r="BR250" s="23"/>
      <c r="BS250" s="23"/>
      <c r="BT250" s="23"/>
      <c r="BU250" s="23"/>
      <c r="BV250" s="23"/>
      <c r="BW250" s="23"/>
      <c r="BX250" s="23"/>
      <c r="BY250" s="23"/>
      <c r="BZ250" s="23"/>
      <c r="CA250" s="23"/>
      <c r="CB250" s="23"/>
      <c r="CC250" s="23"/>
      <c r="CD250" s="23"/>
      <c r="CE250" s="23"/>
      <c r="CF250" s="23"/>
      <c r="CG250" s="23"/>
      <c r="CH250" s="23"/>
      <c r="CI250" s="23"/>
      <c r="CJ250" s="23"/>
      <c r="CK250" s="23"/>
      <c r="CL250" s="23"/>
      <c r="CM250" s="23"/>
      <c r="CN250" s="23"/>
      <c r="CO250" s="23"/>
      <c r="CP250" s="23"/>
      <c r="CQ250" s="23"/>
      <c r="CR250" s="23"/>
      <c r="CS250" s="23"/>
      <c r="CT250" s="23"/>
      <c r="CU250" s="23"/>
      <c r="CV250" s="23"/>
      <c r="CW250" s="23"/>
      <c r="CX250" s="23"/>
      <c r="CY250" s="23"/>
      <c r="CZ250" s="23"/>
      <c r="DA250" s="23"/>
      <c r="DB250" s="23"/>
      <c r="DC250" s="23"/>
      <c r="DD250" s="23"/>
      <c r="DE250" s="23"/>
      <c r="DF250" s="23"/>
      <c r="DG250" s="23"/>
      <c r="DH250" s="23"/>
      <c r="DI250" s="23"/>
      <c r="DJ250" s="23"/>
      <c r="DK250" s="23"/>
      <c r="DL250" s="23"/>
      <c r="DM250" s="23"/>
      <c r="DN250" s="23"/>
      <c r="DO250" s="23"/>
      <c r="DP250" s="23"/>
      <c r="DQ250" s="23"/>
      <c r="DR250" s="23"/>
      <c r="DS250" s="23"/>
      <c r="DT250" s="23"/>
      <c r="DU250" s="23"/>
      <c r="DV250" s="23"/>
      <c r="DW250" s="23"/>
      <c r="DX250" s="23"/>
      <c r="DY250" s="23"/>
      <c r="DZ250" s="23"/>
      <c r="EA250" s="23"/>
      <c r="EB250" s="23"/>
      <c r="EC250" s="23"/>
      <c r="ED250" s="23"/>
      <c r="EE250" s="23"/>
      <c r="EF250" s="23"/>
      <c r="EG250" s="23"/>
      <c r="EH250" s="23"/>
      <c r="EI250" s="23"/>
      <c r="EJ250" s="23"/>
      <c r="EK250" s="23"/>
      <c r="EL250" s="23"/>
      <c r="EM250" s="23"/>
      <c r="EN250" s="23"/>
      <c r="EO250" s="23"/>
      <c r="EP250" s="23"/>
      <c r="EQ250" s="23"/>
      <c r="ER250" s="23"/>
      <c r="ES250" s="23"/>
      <c r="ET250" s="23"/>
      <c r="EU250" s="23"/>
      <c r="EV250" s="23"/>
      <c r="EW250" s="23"/>
      <c r="EX250" s="23"/>
      <c r="EY250" s="23"/>
      <c r="EZ250" s="23"/>
      <c r="FA250" s="23"/>
      <c r="FB250" s="23"/>
      <c r="FC250" s="23"/>
      <c r="FD250" s="23"/>
      <c r="FE250" s="23"/>
      <c r="FF250" s="23"/>
      <c r="FG250" s="23"/>
      <c r="FH250" s="23"/>
      <c r="FI250" s="23"/>
      <c r="FJ250" s="23"/>
      <c r="FK250" s="23"/>
      <c r="FL250" s="23"/>
      <c r="FM250" s="23"/>
      <c r="FN250" s="23"/>
      <c r="FO250" s="23"/>
      <c r="FP250" s="23"/>
      <c r="FQ250" s="23"/>
      <c r="FR250" s="23"/>
      <c r="FS250" s="23"/>
      <c r="FT250" s="23"/>
      <c r="FU250" s="23"/>
      <c r="FV250" s="23"/>
      <c r="FW250" s="23"/>
      <c r="FX250" s="23"/>
      <c r="FY250" s="23"/>
      <c r="FZ250" s="23"/>
      <c r="GA250" s="23"/>
      <c r="GB250" s="23"/>
      <c r="GC250" s="23"/>
      <c r="GD250" s="23"/>
      <c r="GE250" s="23"/>
      <c r="GF250" s="23"/>
      <c r="GG250" s="23"/>
      <c r="GH250" s="23"/>
      <c r="GI250" s="23"/>
      <c r="GJ250" s="23"/>
      <c r="GK250" s="23"/>
      <c r="GL250" s="23"/>
    </row>
    <row r="251" spans="1:194" ht="13">
      <c r="A251" s="23"/>
      <c r="B251" s="23"/>
      <c r="C251" s="23"/>
      <c r="D251" s="23"/>
      <c r="E251" s="23"/>
      <c r="F251" s="23"/>
      <c r="G251" s="23"/>
      <c r="H251" s="401"/>
      <c r="I251" s="401"/>
      <c r="J251" s="401"/>
      <c r="K251" s="401"/>
      <c r="L251" s="401"/>
      <c r="M251" s="438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3"/>
      <c r="AX251" s="23"/>
      <c r="AY251" s="23"/>
      <c r="AZ251" s="23"/>
      <c r="BA251" s="23"/>
      <c r="BB251" s="23"/>
      <c r="BC251" s="23"/>
      <c r="BD251" s="23"/>
      <c r="BE251" s="23"/>
      <c r="BF251" s="23"/>
      <c r="BG251" s="23"/>
      <c r="BH251" s="23"/>
      <c r="BI251" s="23"/>
      <c r="BJ251" s="23"/>
      <c r="BK251" s="23"/>
      <c r="BL251" s="23"/>
      <c r="BM251" s="23"/>
      <c r="BN251" s="23"/>
      <c r="BO251" s="23"/>
      <c r="BP251" s="23"/>
      <c r="BQ251" s="23"/>
      <c r="BR251" s="23"/>
      <c r="BS251" s="23"/>
      <c r="BT251" s="23"/>
      <c r="BU251" s="23"/>
      <c r="BV251" s="23"/>
      <c r="BW251" s="23"/>
      <c r="BX251" s="23"/>
      <c r="BY251" s="23"/>
      <c r="BZ251" s="23"/>
      <c r="CA251" s="23"/>
      <c r="CB251" s="23"/>
      <c r="CC251" s="23"/>
      <c r="CD251" s="23"/>
      <c r="CE251" s="23"/>
      <c r="CF251" s="23"/>
      <c r="CG251" s="23"/>
      <c r="CH251" s="23"/>
      <c r="CI251" s="23"/>
      <c r="CJ251" s="23"/>
      <c r="CK251" s="23"/>
      <c r="CL251" s="23"/>
      <c r="CM251" s="23"/>
      <c r="CN251" s="23"/>
      <c r="CO251" s="23"/>
      <c r="CP251" s="23"/>
      <c r="CQ251" s="23"/>
      <c r="CR251" s="23"/>
      <c r="CS251" s="23"/>
      <c r="CT251" s="23"/>
      <c r="CU251" s="23"/>
      <c r="CV251" s="23"/>
      <c r="CW251" s="23"/>
      <c r="CX251" s="23"/>
      <c r="CY251" s="23"/>
      <c r="CZ251" s="23"/>
      <c r="DA251" s="23"/>
      <c r="DB251" s="23"/>
      <c r="DC251" s="23"/>
      <c r="DD251" s="23"/>
      <c r="DE251" s="23"/>
      <c r="DF251" s="23"/>
      <c r="DG251" s="23"/>
      <c r="DH251" s="23"/>
      <c r="DI251" s="23"/>
      <c r="DJ251" s="23"/>
      <c r="DK251" s="23"/>
      <c r="DL251" s="23"/>
      <c r="DM251" s="23"/>
      <c r="DN251" s="23"/>
      <c r="DO251" s="23"/>
      <c r="DP251" s="23"/>
      <c r="DQ251" s="23"/>
      <c r="DR251" s="23"/>
      <c r="DS251" s="23"/>
      <c r="DT251" s="23"/>
      <c r="DU251" s="23"/>
      <c r="DV251" s="23"/>
      <c r="DW251" s="23"/>
      <c r="DX251" s="23"/>
      <c r="DY251" s="23"/>
      <c r="DZ251" s="23"/>
      <c r="EA251" s="23"/>
      <c r="EB251" s="23"/>
      <c r="EC251" s="23"/>
      <c r="ED251" s="23"/>
      <c r="EE251" s="23"/>
      <c r="EF251" s="23"/>
      <c r="EG251" s="23"/>
      <c r="EH251" s="23"/>
      <c r="EI251" s="23"/>
      <c r="EJ251" s="23"/>
      <c r="EK251" s="23"/>
      <c r="EL251" s="23"/>
      <c r="EM251" s="23"/>
      <c r="EN251" s="23"/>
      <c r="EO251" s="23"/>
      <c r="EP251" s="23"/>
      <c r="EQ251" s="23"/>
      <c r="ER251" s="23"/>
      <c r="ES251" s="23"/>
      <c r="ET251" s="23"/>
      <c r="EU251" s="23"/>
      <c r="EV251" s="23"/>
      <c r="EW251" s="23"/>
      <c r="EX251" s="23"/>
      <c r="EY251" s="23"/>
      <c r="EZ251" s="23"/>
      <c r="FA251" s="23"/>
      <c r="FB251" s="23"/>
      <c r="FC251" s="23"/>
      <c r="FD251" s="23"/>
      <c r="FE251" s="23"/>
      <c r="FF251" s="23"/>
      <c r="FG251" s="23"/>
      <c r="FH251" s="23"/>
      <c r="FI251" s="23"/>
      <c r="FJ251" s="23"/>
      <c r="FK251" s="23"/>
      <c r="FL251" s="23"/>
      <c r="FM251" s="23"/>
      <c r="FN251" s="23"/>
      <c r="FO251" s="23"/>
      <c r="FP251" s="23"/>
      <c r="FQ251" s="23"/>
      <c r="FR251" s="23"/>
      <c r="FS251" s="23"/>
      <c r="FT251" s="23"/>
      <c r="FU251" s="23"/>
      <c r="FV251" s="23"/>
      <c r="FW251" s="23"/>
      <c r="FX251" s="23"/>
      <c r="FY251" s="23"/>
      <c r="FZ251" s="23"/>
      <c r="GA251" s="23"/>
      <c r="GB251" s="23"/>
      <c r="GC251" s="23"/>
      <c r="GD251" s="23"/>
      <c r="GE251" s="23"/>
      <c r="GF251" s="23"/>
      <c r="GG251" s="23"/>
      <c r="GH251" s="23"/>
      <c r="GI251" s="23"/>
      <c r="GJ251" s="23"/>
      <c r="GK251" s="23"/>
      <c r="GL251" s="23"/>
    </row>
    <row r="252" spans="1:194" ht="13">
      <c r="A252" s="23"/>
      <c r="B252" s="23"/>
      <c r="C252" s="23"/>
      <c r="D252" s="23"/>
      <c r="E252" s="23"/>
      <c r="F252" s="23"/>
      <c r="G252" s="23"/>
      <c r="H252" s="401"/>
      <c r="I252" s="401"/>
      <c r="J252" s="401"/>
      <c r="K252" s="401"/>
      <c r="L252" s="401"/>
      <c r="M252" s="438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  <c r="AX252" s="23"/>
      <c r="AY252" s="23"/>
      <c r="AZ252" s="23"/>
      <c r="BA252" s="23"/>
      <c r="BB252" s="23"/>
      <c r="BC252" s="23"/>
      <c r="BD252" s="23"/>
      <c r="BE252" s="23"/>
      <c r="BF252" s="23"/>
      <c r="BG252" s="23"/>
      <c r="BH252" s="23"/>
      <c r="BI252" s="23"/>
      <c r="BJ252" s="23"/>
      <c r="BK252" s="23"/>
      <c r="BL252" s="23"/>
      <c r="BM252" s="23"/>
      <c r="BN252" s="23"/>
      <c r="BO252" s="23"/>
      <c r="BP252" s="23"/>
      <c r="BQ252" s="23"/>
      <c r="BR252" s="23"/>
      <c r="BS252" s="23"/>
      <c r="BT252" s="23"/>
      <c r="BU252" s="23"/>
      <c r="BV252" s="23"/>
      <c r="BW252" s="23"/>
      <c r="BX252" s="23"/>
      <c r="BY252" s="23"/>
      <c r="BZ252" s="23"/>
      <c r="CA252" s="23"/>
      <c r="CB252" s="23"/>
      <c r="CC252" s="23"/>
      <c r="CD252" s="23"/>
      <c r="CE252" s="23"/>
      <c r="CF252" s="23"/>
      <c r="CG252" s="23"/>
      <c r="CH252" s="23"/>
      <c r="CI252" s="23"/>
      <c r="CJ252" s="23"/>
      <c r="CK252" s="23"/>
      <c r="CL252" s="23"/>
      <c r="CM252" s="23"/>
      <c r="CN252" s="23"/>
      <c r="CO252" s="23"/>
      <c r="CP252" s="23"/>
      <c r="CQ252" s="23"/>
      <c r="CR252" s="23"/>
      <c r="CS252" s="23"/>
      <c r="CT252" s="23"/>
      <c r="CU252" s="23"/>
      <c r="CV252" s="23"/>
      <c r="CW252" s="23"/>
      <c r="CX252" s="23"/>
      <c r="CY252" s="23"/>
      <c r="CZ252" s="23"/>
      <c r="DA252" s="23"/>
      <c r="DB252" s="23"/>
      <c r="DC252" s="23"/>
      <c r="DD252" s="23"/>
      <c r="DE252" s="23"/>
      <c r="DF252" s="23"/>
      <c r="DG252" s="23"/>
      <c r="DH252" s="23"/>
      <c r="DI252" s="23"/>
      <c r="DJ252" s="23"/>
      <c r="DK252" s="23"/>
      <c r="DL252" s="23"/>
      <c r="DM252" s="23"/>
      <c r="DN252" s="23"/>
      <c r="DO252" s="23"/>
      <c r="DP252" s="23"/>
      <c r="DQ252" s="23"/>
      <c r="DR252" s="23"/>
      <c r="DS252" s="23"/>
      <c r="DT252" s="23"/>
      <c r="DU252" s="23"/>
      <c r="DV252" s="23"/>
      <c r="DW252" s="23"/>
      <c r="DX252" s="23"/>
      <c r="DY252" s="23"/>
      <c r="DZ252" s="23"/>
      <c r="EA252" s="23"/>
      <c r="EB252" s="23"/>
      <c r="EC252" s="23"/>
      <c r="ED252" s="23"/>
      <c r="EE252" s="23"/>
      <c r="EF252" s="23"/>
      <c r="EG252" s="23"/>
      <c r="EH252" s="23"/>
      <c r="EI252" s="23"/>
      <c r="EJ252" s="23"/>
      <c r="EK252" s="23"/>
      <c r="EL252" s="23"/>
      <c r="EM252" s="23"/>
      <c r="EN252" s="23"/>
      <c r="EO252" s="23"/>
      <c r="EP252" s="23"/>
      <c r="EQ252" s="23"/>
      <c r="ER252" s="23"/>
      <c r="ES252" s="23"/>
      <c r="ET252" s="23"/>
      <c r="EU252" s="23"/>
      <c r="EV252" s="23"/>
      <c r="EW252" s="23"/>
      <c r="EX252" s="23"/>
      <c r="EY252" s="23"/>
      <c r="EZ252" s="23"/>
      <c r="FA252" s="23"/>
      <c r="FB252" s="23"/>
      <c r="FC252" s="23"/>
      <c r="FD252" s="23"/>
      <c r="FE252" s="23"/>
      <c r="FF252" s="23"/>
      <c r="FG252" s="23"/>
      <c r="FH252" s="23"/>
      <c r="FI252" s="23"/>
      <c r="FJ252" s="23"/>
      <c r="FK252" s="23"/>
      <c r="FL252" s="23"/>
      <c r="FM252" s="23"/>
      <c r="FN252" s="23"/>
      <c r="FO252" s="23"/>
      <c r="FP252" s="23"/>
      <c r="FQ252" s="23"/>
      <c r="FR252" s="23"/>
      <c r="FS252" s="23"/>
      <c r="FT252" s="23"/>
      <c r="FU252" s="23"/>
      <c r="FV252" s="23"/>
      <c r="FW252" s="23"/>
      <c r="FX252" s="23"/>
      <c r="FY252" s="23"/>
      <c r="FZ252" s="23"/>
      <c r="GA252" s="23"/>
      <c r="GB252" s="23"/>
      <c r="GC252" s="23"/>
      <c r="GD252" s="23"/>
      <c r="GE252" s="23"/>
      <c r="GF252" s="23"/>
      <c r="GG252" s="23"/>
      <c r="GH252" s="23"/>
      <c r="GI252" s="23"/>
      <c r="GJ252" s="23"/>
      <c r="GK252" s="23"/>
      <c r="GL252" s="23"/>
    </row>
    <row r="253" spans="1:194" ht="13">
      <c r="A253" s="23"/>
      <c r="B253" s="23"/>
      <c r="C253" s="23"/>
      <c r="D253" s="23"/>
      <c r="E253" s="23"/>
      <c r="F253" s="23"/>
      <c r="G253" s="23"/>
      <c r="H253" s="401"/>
      <c r="I253" s="401"/>
      <c r="J253" s="401"/>
      <c r="K253" s="401"/>
      <c r="L253" s="401"/>
      <c r="M253" s="438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23"/>
      <c r="BD253" s="23"/>
      <c r="BE253" s="23"/>
      <c r="BF253" s="23"/>
      <c r="BG253" s="23"/>
      <c r="BH253" s="23"/>
      <c r="BI253" s="23"/>
      <c r="BJ253" s="23"/>
      <c r="BK253" s="23"/>
      <c r="BL253" s="23"/>
      <c r="BM253" s="23"/>
      <c r="BN253" s="23"/>
      <c r="BO253" s="23"/>
      <c r="BP253" s="23"/>
      <c r="BQ253" s="23"/>
      <c r="BR253" s="23"/>
      <c r="BS253" s="23"/>
      <c r="BT253" s="23"/>
      <c r="BU253" s="23"/>
      <c r="BV253" s="23"/>
      <c r="BW253" s="23"/>
      <c r="BX253" s="23"/>
      <c r="BY253" s="23"/>
      <c r="BZ253" s="23"/>
      <c r="CA253" s="23"/>
      <c r="CB253" s="23"/>
      <c r="CC253" s="23"/>
      <c r="CD253" s="23"/>
      <c r="CE253" s="23"/>
      <c r="CF253" s="23"/>
      <c r="CG253" s="23"/>
      <c r="CH253" s="23"/>
      <c r="CI253" s="23"/>
      <c r="CJ253" s="23"/>
      <c r="CK253" s="23"/>
      <c r="CL253" s="23"/>
      <c r="CM253" s="23"/>
      <c r="CN253" s="23"/>
      <c r="CO253" s="23"/>
      <c r="CP253" s="23"/>
      <c r="CQ253" s="23"/>
      <c r="CR253" s="23"/>
      <c r="CS253" s="23"/>
      <c r="CT253" s="23"/>
      <c r="CU253" s="23"/>
      <c r="CV253" s="23"/>
      <c r="CW253" s="23"/>
      <c r="CX253" s="23"/>
      <c r="CY253" s="23"/>
      <c r="CZ253" s="23"/>
      <c r="DA253" s="23"/>
      <c r="DB253" s="23"/>
      <c r="DC253" s="23"/>
      <c r="DD253" s="23"/>
      <c r="DE253" s="23"/>
      <c r="DF253" s="23"/>
      <c r="DG253" s="23"/>
      <c r="DH253" s="23"/>
      <c r="DI253" s="23"/>
      <c r="DJ253" s="23"/>
      <c r="DK253" s="23"/>
      <c r="DL253" s="23"/>
      <c r="DM253" s="23"/>
      <c r="DN253" s="23"/>
      <c r="DO253" s="23"/>
      <c r="DP253" s="23"/>
      <c r="DQ253" s="23"/>
      <c r="DR253" s="23"/>
      <c r="DS253" s="23"/>
      <c r="DT253" s="23"/>
      <c r="DU253" s="23"/>
      <c r="DV253" s="23"/>
      <c r="DW253" s="23"/>
      <c r="DX253" s="23"/>
      <c r="DY253" s="23"/>
      <c r="DZ253" s="23"/>
      <c r="EA253" s="23"/>
      <c r="EB253" s="23"/>
      <c r="EC253" s="23"/>
      <c r="ED253" s="23"/>
      <c r="EE253" s="23"/>
      <c r="EF253" s="23"/>
      <c r="EG253" s="23"/>
      <c r="EH253" s="23"/>
      <c r="EI253" s="23"/>
      <c r="EJ253" s="23"/>
      <c r="EK253" s="23"/>
      <c r="EL253" s="23"/>
      <c r="EM253" s="23"/>
      <c r="EN253" s="23"/>
      <c r="EO253" s="23"/>
      <c r="EP253" s="23"/>
      <c r="EQ253" s="23"/>
      <c r="ER253" s="23"/>
      <c r="ES253" s="23"/>
      <c r="ET253" s="23"/>
      <c r="EU253" s="23"/>
      <c r="EV253" s="23"/>
      <c r="EW253" s="23"/>
      <c r="EX253" s="23"/>
      <c r="EY253" s="23"/>
      <c r="EZ253" s="23"/>
      <c r="FA253" s="23"/>
      <c r="FB253" s="23"/>
      <c r="FC253" s="23"/>
      <c r="FD253" s="23"/>
      <c r="FE253" s="23"/>
      <c r="FF253" s="23"/>
      <c r="FG253" s="23"/>
      <c r="FH253" s="23"/>
      <c r="FI253" s="23"/>
      <c r="FJ253" s="23"/>
      <c r="FK253" s="23"/>
      <c r="FL253" s="23"/>
      <c r="FM253" s="23"/>
      <c r="FN253" s="23"/>
      <c r="FO253" s="23"/>
      <c r="FP253" s="23"/>
      <c r="FQ253" s="23"/>
      <c r="FR253" s="23"/>
      <c r="FS253" s="23"/>
      <c r="FT253" s="23"/>
      <c r="FU253" s="23"/>
      <c r="FV253" s="23"/>
      <c r="FW253" s="23"/>
      <c r="FX253" s="23"/>
      <c r="FY253" s="23"/>
      <c r="FZ253" s="23"/>
      <c r="GA253" s="23"/>
      <c r="GB253" s="23"/>
      <c r="GC253" s="23"/>
      <c r="GD253" s="23"/>
      <c r="GE253" s="23"/>
      <c r="GF253" s="23"/>
      <c r="GG253" s="23"/>
      <c r="GH253" s="23"/>
      <c r="GI253" s="23"/>
      <c r="GJ253" s="23"/>
      <c r="GK253" s="23"/>
      <c r="GL253" s="23"/>
    </row>
    <row r="254" spans="1:194" ht="13">
      <c r="A254" s="23"/>
      <c r="B254" s="23"/>
      <c r="C254" s="23"/>
      <c r="D254" s="23"/>
      <c r="E254" s="23"/>
      <c r="F254" s="23"/>
      <c r="G254" s="23"/>
      <c r="H254" s="401"/>
      <c r="I254" s="401"/>
      <c r="J254" s="401"/>
      <c r="K254" s="401"/>
      <c r="L254" s="401"/>
      <c r="M254" s="438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3"/>
      <c r="AX254" s="23"/>
      <c r="AY254" s="23"/>
      <c r="AZ254" s="23"/>
      <c r="BA254" s="23"/>
      <c r="BB254" s="23"/>
      <c r="BC254" s="23"/>
      <c r="BD254" s="23"/>
      <c r="BE254" s="23"/>
      <c r="BF254" s="23"/>
      <c r="BG254" s="23"/>
      <c r="BH254" s="23"/>
      <c r="BI254" s="23"/>
      <c r="BJ254" s="23"/>
      <c r="BK254" s="23"/>
      <c r="BL254" s="23"/>
      <c r="BM254" s="23"/>
      <c r="BN254" s="23"/>
      <c r="BO254" s="23"/>
      <c r="BP254" s="23"/>
      <c r="BQ254" s="23"/>
      <c r="BR254" s="23"/>
      <c r="BS254" s="23"/>
      <c r="BT254" s="23"/>
      <c r="BU254" s="23"/>
      <c r="BV254" s="23"/>
      <c r="BW254" s="23"/>
      <c r="BX254" s="23"/>
      <c r="BY254" s="23"/>
      <c r="BZ254" s="23"/>
      <c r="CA254" s="23"/>
      <c r="CB254" s="23"/>
      <c r="CC254" s="23"/>
      <c r="CD254" s="23"/>
      <c r="CE254" s="23"/>
      <c r="CF254" s="23"/>
      <c r="CG254" s="23"/>
      <c r="CH254" s="23"/>
      <c r="CI254" s="23"/>
      <c r="CJ254" s="23"/>
      <c r="CK254" s="23"/>
      <c r="CL254" s="23"/>
      <c r="CM254" s="23"/>
      <c r="CN254" s="23"/>
      <c r="CO254" s="23"/>
      <c r="CP254" s="23"/>
      <c r="CQ254" s="23"/>
      <c r="CR254" s="23"/>
      <c r="CS254" s="23"/>
      <c r="CT254" s="23"/>
      <c r="CU254" s="23"/>
      <c r="CV254" s="23"/>
      <c r="CW254" s="23"/>
      <c r="CX254" s="23"/>
      <c r="CY254" s="23"/>
      <c r="CZ254" s="23"/>
      <c r="DA254" s="23"/>
      <c r="DB254" s="23"/>
      <c r="DC254" s="23"/>
      <c r="DD254" s="23"/>
      <c r="DE254" s="23"/>
      <c r="DF254" s="23"/>
      <c r="DG254" s="23"/>
      <c r="DH254" s="23"/>
      <c r="DI254" s="23"/>
      <c r="DJ254" s="23"/>
      <c r="DK254" s="23"/>
      <c r="DL254" s="23"/>
      <c r="DM254" s="23"/>
      <c r="DN254" s="23"/>
      <c r="DO254" s="23"/>
      <c r="DP254" s="23"/>
      <c r="DQ254" s="23"/>
      <c r="DR254" s="23"/>
      <c r="DS254" s="23"/>
      <c r="DT254" s="23"/>
      <c r="DU254" s="23"/>
      <c r="DV254" s="23"/>
      <c r="DW254" s="23"/>
      <c r="DX254" s="23"/>
      <c r="DY254" s="23"/>
      <c r="DZ254" s="23"/>
      <c r="EA254" s="23"/>
      <c r="EB254" s="23"/>
      <c r="EC254" s="23"/>
      <c r="ED254" s="23"/>
      <c r="EE254" s="23"/>
      <c r="EF254" s="23"/>
      <c r="EG254" s="23"/>
      <c r="EH254" s="23"/>
      <c r="EI254" s="23"/>
      <c r="EJ254" s="23"/>
      <c r="EK254" s="23"/>
      <c r="EL254" s="23"/>
      <c r="EM254" s="23"/>
      <c r="EN254" s="23"/>
      <c r="EO254" s="23"/>
      <c r="EP254" s="23"/>
      <c r="EQ254" s="23"/>
      <c r="ER254" s="23"/>
      <c r="ES254" s="23"/>
      <c r="ET254" s="23"/>
      <c r="EU254" s="23"/>
      <c r="EV254" s="23"/>
      <c r="EW254" s="23"/>
      <c r="EX254" s="23"/>
      <c r="EY254" s="23"/>
      <c r="EZ254" s="23"/>
      <c r="FA254" s="23"/>
      <c r="FB254" s="23"/>
      <c r="FC254" s="23"/>
      <c r="FD254" s="23"/>
      <c r="FE254" s="23"/>
      <c r="FF254" s="23"/>
      <c r="FG254" s="23"/>
      <c r="FH254" s="23"/>
      <c r="FI254" s="23"/>
      <c r="FJ254" s="23"/>
      <c r="FK254" s="23"/>
      <c r="FL254" s="23"/>
      <c r="FM254" s="23"/>
      <c r="FN254" s="23"/>
      <c r="FO254" s="23"/>
      <c r="FP254" s="23"/>
      <c r="FQ254" s="23"/>
      <c r="FR254" s="23"/>
      <c r="FS254" s="23"/>
      <c r="FT254" s="23"/>
      <c r="FU254" s="23"/>
      <c r="FV254" s="23"/>
      <c r="FW254" s="23"/>
      <c r="FX254" s="23"/>
      <c r="FY254" s="23"/>
      <c r="FZ254" s="23"/>
      <c r="GA254" s="23"/>
      <c r="GB254" s="23"/>
      <c r="GC254" s="23"/>
      <c r="GD254" s="23"/>
      <c r="GE254" s="23"/>
      <c r="GF254" s="23"/>
      <c r="GG254" s="23"/>
      <c r="GH254" s="23"/>
      <c r="GI254" s="23"/>
      <c r="GJ254" s="23"/>
      <c r="GK254" s="23"/>
      <c r="GL254" s="23"/>
    </row>
    <row r="255" spans="1:194" ht="13">
      <c r="A255" s="23"/>
      <c r="B255" s="23"/>
      <c r="C255" s="23"/>
      <c r="D255" s="23"/>
      <c r="E255" s="23"/>
      <c r="F255" s="23"/>
      <c r="G255" s="23"/>
      <c r="H255" s="401"/>
      <c r="I255" s="401"/>
      <c r="J255" s="401"/>
      <c r="K255" s="401"/>
      <c r="L255" s="401"/>
      <c r="M255" s="438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  <c r="BA255" s="23"/>
      <c r="BB255" s="23"/>
      <c r="BC255" s="23"/>
      <c r="BD255" s="23"/>
      <c r="BE255" s="23"/>
      <c r="BF255" s="23"/>
      <c r="BG255" s="23"/>
      <c r="BH255" s="23"/>
      <c r="BI255" s="23"/>
      <c r="BJ255" s="23"/>
      <c r="BK255" s="23"/>
      <c r="BL255" s="23"/>
      <c r="BM255" s="23"/>
      <c r="BN255" s="23"/>
      <c r="BO255" s="23"/>
      <c r="BP255" s="23"/>
      <c r="BQ255" s="23"/>
      <c r="BR255" s="23"/>
      <c r="BS255" s="23"/>
      <c r="BT255" s="23"/>
      <c r="BU255" s="23"/>
      <c r="BV255" s="23"/>
      <c r="BW255" s="23"/>
      <c r="BX255" s="23"/>
      <c r="BY255" s="23"/>
      <c r="BZ255" s="23"/>
      <c r="CA255" s="23"/>
      <c r="CB255" s="23"/>
      <c r="CC255" s="23"/>
      <c r="CD255" s="23"/>
      <c r="CE255" s="23"/>
      <c r="CF255" s="23"/>
      <c r="CG255" s="23"/>
      <c r="CH255" s="23"/>
      <c r="CI255" s="23"/>
      <c r="CJ255" s="23"/>
      <c r="CK255" s="23"/>
      <c r="CL255" s="23"/>
      <c r="CM255" s="23"/>
      <c r="CN255" s="23"/>
      <c r="CO255" s="23"/>
      <c r="CP255" s="23"/>
      <c r="CQ255" s="23"/>
      <c r="CR255" s="23"/>
      <c r="CS255" s="23"/>
      <c r="CT255" s="23"/>
      <c r="CU255" s="23"/>
      <c r="CV255" s="23"/>
      <c r="CW255" s="23"/>
      <c r="CX255" s="23"/>
      <c r="CY255" s="23"/>
      <c r="CZ255" s="23"/>
      <c r="DA255" s="23"/>
      <c r="DB255" s="23"/>
      <c r="DC255" s="23"/>
      <c r="DD255" s="23"/>
      <c r="DE255" s="23"/>
      <c r="DF255" s="23"/>
      <c r="DG255" s="23"/>
      <c r="DH255" s="23"/>
      <c r="DI255" s="23"/>
      <c r="DJ255" s="23"/>
      <c r="DK255" s="23"/>
      <c r="DL255" s="23"/>
      <c r="DM255" s="23"/>
      <c r="DN255" s="23"/>
      <c r="DO255" s="23"/>
      <c r="DP255" s="23"/>
      <c r="DQ255" s="23"/>
      <c r="DR255" s="23"/>
      <c r="DS255" s="23"/>
      <c r="DT255" s="23"/>
      <c r="DU255" s="23"/>
      <c r="DV255" s="23"/>
      <c r="DW255" s="23"/>
      <c r="DX255" s="23"/>
      <c r="DY255" s="23"/>
      <c r="DZ255" s="23"/>
      <c r="EA255" s="23"/>
      <c r="EB255" s="23"/>
      <c r="EC255" s="23"/>
      <c r="ED255" s="23"/>
      <c r="EE255" s="23"/>
      <c r="EF255" s="23"/>
      <c r="EG255" s="23"/>
      <c r="EH255" s="23"/>
      <c r="EI255" s="23"/>
      <c r="EJ255" s="23"/>
      <c r="EK255" s="23"/>
      <c r="EL255" s="23"/>
      <c r="EM255" s="23"/>
      <c r="EN255" s="23"/>
      <c r="EO255" s="23"/>
      <c r="EP255" s="23"/>
      <c r="EQ255" s="23"/>
      <c r="ER255" s="23"/>
      <c r="ES255" s="23"/>
      <c r="ET255" s="23"/>
      <c r="EU255" s="23"/>
      <c r="EV255" s="23"/>
      <c r="EW255" s="23"/>
      <c r="EX255" s="23"/>
      <c r="EY255" s="23"/>
      <c r="EZ255" s="23"/>
      <c r="FA255" s="23"/>
      <c r="FB255" s="23"/>
      <c r="FC255" s="23"/>
      <c r="FD255" s="23"/>
      <c r="FE255" s="23"/>
      <c r="FF255" s="23"/>
      <c r="FG255" s="23"/>
      <c r="FH255" s="23"/>
      <c r="FI255" s="23"/>
      <c r="FJ255" s="23"/>
      <c r="FK255" s="23"/>
      <c r="FL255" s="23"/>
      <c r="FM255" s="23"/>
      <c r="FN255" s="23"/>
      <c r="FO255" s="23"/>
      <c r="FP255" s="23"/>
      <c r="FQ255" s="23"/>
      <c r="FR255" s="23"/>
      <c r="FS255" s="23"/>
      <c r="FT255" s="23"/>
      <c r="FU255" s="23"/>
      <c r="FV255" s="23"/>
      <c r="FW255" s="23"/>
      <c r="FX255" s="23"/>
      <c r="FY255" s="23"/>
      <c r="FZ255" s="23"/>
      <c r="GA255" s="23"/>
      <c r="GB255" s="23"/>
      <c r="GC255" s="23"/>
      <c r="GD255" s="23"/>
      <c r="GE255" s="23"/>
      <c r="GF255" s="23"/>
      <c r="GG255" s="23"/>
      <c r="GH255" s="23"/>
      <c r="GI255" s="23"/>
      <c r="GJ255" s="23"/>
      <c r="GK255" s="23"/>
      <c r="GL255" s="23"/>
    </row>
    <row r="256" spans="1:194" ht="13">
      <c r="A256" s="23"/>
      <c r="B256" s="23"/>
      <c r="C256" s="23"/>
      <c r="D256" s="23"/>
      <c r="E256" s="23"/>
      <c r="F256" s="23"/>
      <c r="G256" s="23"/>
      <c r="H256" s="401"/>
      <c r="I256" s="401"/>
      <c r="J256" s="401"/>
      <c r="K256" s="401"/>
      <c r="L256" s="401"/>
      <c r="M256" s="438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23"/>
      <c r="BD256" s="23"/>
      <c r="BE256" s="23"/>
      <c r="BF256" s="23"/>
      <c r="BG256" s="23"/>
      <c r="BH256" s="23"/>
      <c r="BI256" s="23"/>
      <c r="BJ256" s="23"/>
      <c r="BK256" s="23"/>
      <c r="BL256" s="23"/>
      <c r="BM256" s="23"/>
      <c r="BN256" s="23"/>
      <c r="BO256" s="23"/>
      <c r="BP256" s="23"/>
      <c r="BQ256" s="23"/>
      <c r="BR256" s="23"/>
      <c r="BS256" s="23"/>
      <c r="BT256" s="23"/>
      <c r="BU256" s="23"/>
      <c r="BV256" s="23"/>
      <c r="BW256" s="23"/>
      <c r="BX256" s="23"/>
      <c r="BY256" s="23"/>
      <c r="BZ256" s="23"/>
      <c r="CA256" s="23"/>
      <c r="CB256" s="23"/>
      <c r="CC256" s="23"/>
      <c r="CD256" s="23"/>
      <c r="CE256" s="23"/>
      <c r="CF256" s="23"/>
      <c r="CG256" s="23"/>
      <c r="CH256" s="23"/>
      <c r="CI256" s="23"/>
      <c r="CJ256" s="23"/>
      <c r="CK256" s="23"/>
      <c r="CL256" s="23"/>
      <c r="CM256" s="23"/>
      <c r="CN256" s="23"/>
      <c r="CO256" s="23"/>
      <c r="CP256" s="23"/>
      <c r="CQ256" s="23"/>
      <c r="CR256" s="23"/>
      <c r="CS256" s="23"/>
      <c r="CT256" s="23"/>
      <c r="CU256" s="23"/>
      <c r="CV256" s="23"/>
      <c r="CW256" s="23"/>
      <c r="CX256" s="23"/>
      <c r="CY256" s="23"/>
      <c r="CZ256" s="23"/>
      <c r="DA256" s="23"/>
      <c r="DB256" s="23"/>
      <c r="DC256" s="23"/>
      <c r="DD256" s="23"/>
      <c r="DE256" s="23"/>
      <c r="DF256" s="23"/>
      <c r="DG256" s="23"/>
      <c r="DH256" s="23"/>
      <c r="DI256" s="23"/>
      <c r="DJ256" s="23"/>
      <c r="DK256" s="23"/>
      <c r="DL256" s="23"/>
      <c r="DM256" s="23"/>
      <c r="DN256" s="23"/>
      <c r="DO256" s="23"/>
      <c r="DP256" s="23"/>
      <c r="DQ256" s="23"/>
      <c r="DR256" s="23"/>
      <c r="DS256" s="23"/>
      <c r="DT256" s="23"/>
      <c r="DU256" s="23"/>
      <c r="DV256" s="23"/>
      <c r="DW256" s="23"/>
      <c r="DX256" s="23"/>
      <c r="DY256" s="23"/>
      <c r="DZ256" s="23"/>
      <c r="EA256" s="23"/>
      <c r="EB256" s="23"/>
      <c r="EC256" s="23"/>
      <c r="ED256" s="23"/>
      <c r="EE256" s="23"/>
      <c r="EF256" s="23"/>
      <c r="EG256" s="23"/>
      <c r="EH256" s="23"/>
      <c r="EI256" s="23"/>
      <c r="EJ256" s="23"/>
      <c r="EK256" s="23"/>
      <c r="EL256" s="23"/>
      <c r="EM256" s="23"/>
      <c r="EN256" s="23"/>
      <c r="EO256" s="23"/>
      <c r="EP256" s="23"/>
      <c r="EQ256" s="23"/>
      <c r="ER256" s="23"/>
      <c r="ES256" s="23"/>
      <c r="ET256" s="23"/>
      <c r="EU256" s="23"/>
      <c r="EV256" s="23"/>
      <c r="EW256" s="23"/>
      <c r="EX256" s="23"/>
      <c r="EY256" s="23"/>
      <c r="EZ256" s="23"/>
      <c r="FA256" s="23"/>
      <c r="FB256" s="23"/>
      <c r="FC256" s="23"/>
      <c r="FD256" s="23"/>
      <c r="FE256" s="23"/>
      <c r="FF256" s="23"/>
      <c r="FG256" s="23"/>
      <c r="FH256" s="23"/>
      <c r="FI256" s="23"/>
      <c r="FJ256" s="23"/>
      <c r="FK256" s="23"/>
      <c r="FL256" s="23"/>
      <c r="FM256" s="23"/>
      <c r="FN256" s="23"/>
      <c r="FO256" s="23"/>
      <c r="FP256" s="23"/>
      <c r="FQ256" s="23"/>
      <c r="FR256" s="23"/>
      <c r="FS256" s="23"/>
      <c r="FT256" s="23"/>
      <c r="FU256" s="23"/>
      <c r="FV256" s="23"/>
      <c r="FW256" s="23"/>
      <c r="FX256" s="23"/>
      <c r="FY256" s="23"/>
      <c r="FZ256" s="23"/>
      <c r="GA256" s="23"/>
      <c r="GB256" s="23"/>
      <c r="GC256" s="23"/>
      <c r="GD256" s="23"/>
      <c r="GE256" s="23"/>
      <c r="GF256" s="23"/>
      <c r="GG256" s="23"/>
      <c r="GH256" s="23"/>
      <c r="GI256" s="23"/>
      <c r="GJ256" s="23"/>
      <c r="GK256" s="23"/>
      <c r="GL256" s="23"/>
    </row>
    <row r="257" spans="1:194" ht="13">
      <c r="A257" s="23"/>
      <c r="B257" s="23"/>
      <c r="C257" s="23"/>
      <c r="D257" s="23"/>
      <c r="E257" s="23"/>
      <c r="F257" s="23"/>
      <c r="G257" s="23"/>
      <c r="H257" s="401"/>
      <c r="I257" s="401"/>
      <c r="J257" s="401"/>
      <c r="K257" s="401"/>
      <c r="L257" s="401"/>
      <c r="M257" s="438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3"/>
      <c r="AX257" s="23"/>
      <c r="AY257" s="23"/>
      <c r="AZ257" s="23"/>
      <c r="BA257" s="23"/>
      <c r="BB257" s="23"/>
      <c r="BC257" s="23"/>
      <c r="BD257" s="23"/>
      <c r="BE257" s="23"/>
      <c r="BF257" s="23"/>
      <c r="BG257" s="23"/>
      <c r="BH257" s="23"/>
      <c r="BI257" s="23"/>
      <c r="BJ257" s="23"/>
      <c r="BK257" s="23"/>
      <c r="BL257" s="23"/>
      <c r="BM257" s="23"/>
      <c r="BN257" s="23"/>
      <c r="BO257" s="23"/>
      <c r="BP257" s="23"/>
      <c r="BQ257" s="23"/>
      <c r="BR257" s="23"/>
      <c r="BS257" s="23"/>
      <c r="BT257" s="23"/>
      <c r="BU257" s="23"/>
      <c r="BV257" s="23"/>
      <c r="BW257" s="23"/>
      <c r="BX257" s="23"/>
      <c r="BY257" s="23"/>
      <c r="BZ257" s="23"/>
      <c r="CA257" s="23"/>
      <c r="CB257" s="23"/>
      <c r="CC257" s="23"/>
      <c r="CD257" s="23"/>
      <c r="CE257" s="23"/>
      <c r="CF257" s="23"/>
      <c r="CG257" s="23"/>
      <c r="CH257" s="23"/>
      <c r="CI257" s="23"/>
      <c r="CJ257" s="23"/>
      <c r="CK257" s="23"/>
      <c r="CL257" s="23"/>
      <c r="CM257" s="23"/>
      <c r="CN257" s="23"/>
      <c r="CO257" s="23"/>
      <c r="CP257" s="23"/>
      <c r="CQ257" s="23"/>
      <c r="CR257" s="23"/>
      <c r="CS257" s="23"/>
      <c r="CT257" s="23"/>
      <c r="CU257" s="23"/>
      <c r="CV257" s="23"/>
      <c r="CW257" s="23"/>
      <c r="CX257" s="23"/>
      <c r="CY257" s="23"/>
      <c r="CZ257" s="23"/>
      <c r="DA257" s="23"/>
      <c r="DB257" s="23"/>
      <c r="DC257" s="23"/>
      <c r="DD257" s="23"/>
      <c r="DE257" s="23"/>
      <c r="DF257" s="23"/>
      <c r="DG257" s="23"/>
      <c r="DH257" s="23"/>
      <c r="DI257" s="23"/>
      <c r="DJ257" s="23"/>
      <c r="DK257" s="23"/>
      <c r="DL257" s="23"/>
      <c r="DM257" s="23"/>
      <c r="DN257" s="23"/>
      <c r="DO257" s="23"/>
      <c r="DP257" s="23"/>
      <c r="DQ257" s="23"/>
      <c r="DR257" s="23"/>
      <c r="DS257" s="23"/>
      <c r="DT257" s="23"/>
      <c r="DU257" s="23"/>
      <c r="DV257" s="23"/>
      <c r="DW257" s="23"/>
      <c r="DX257" s="23"/>
      <c r="DY257" s="23"/>
      <c r="DZ257" s="23"/>
      <c r="EA257" s="23"/>
      <c r="EB257" s="23"/>
      <c r="EC257" s="23"/>
      <c r="ED257" s="23"/>
      <c r="EE257" s="23"/>
      <c r="EF257" s="23"/>
      <c r="EG257" s="23"/>
      <c r="EH257" s="23"/>
      <c r="EI257" s="23"/>
      <c r="EJ257" s="23"/>
      <c r="EK257" s="23"/>
      <c r="EL257" s="23"/>
      <c r="EM257" s="23"/>
      <c r="EN257" s="23"/>
      <c r="EO257" s="23"/>
      <c r="EP257" s="23"/>
      <c r="EQ257" s="23"/>
      <c r="ER257" s="23"/>
      <c r="ES257" s="23"/>
      <c r="ET257" s="23"/>
      <c r="EU257" s="23"/>
      <c r="EV257" s="23"/>
      <c r="EW257" s="23"/>
      <c r="EX257" s="23"/>
      <c r="EY257" s="23"/>
      <c r="EZ257" s="23"/>
      <c r="FA257" s="23"/>
      <c r="FB257" s="23"/>
      <c r="FC257" s="23"/>
      <c r="FD257" s="23"/>
      <c r="FE257" s="23"/>
      <c r="FF257" s="23"/>
      <c r="FG257" s="23"/>
      <c r="FH257" s="23"/>
      <c r="FI257" s="23"/>
      <c r="FJ257" s="23"/>
      <c r="FK257" s="23"/>
      <c r="FL257" s="23"/>
      <c r="FM257" s="23"/>
      <c r="FN257" s="23"/>
      <c r="FO257" s="23"/>
      <c r="FP257" s="23"/>
      <c r="FQ257" s="23"/>
      <c r="FR257" s="23"/>
      <c r="FS257" s="23"/>
      <c r="FT257" s="23"/>
      <c r="FU257" s="23"/>
      <c r="FV257" s="23"/>
      <c r="FW257" s="23"/>
      <c r="FX257" s="23"/>
      <c r="FY257" s="23"/>
      <c r="FZ257" s="23"/>
      <c r="GA257" s="23"/>
      <c r="GB257" s="23"/>
      <c r="GC257" s="23"/>
      <c r="GD257" s="23"/>
      <c r="GE257" s="23"/>
      <c r="GF257" s="23"/>
      <c r="GG257" s="23"/>
      <c r="GH257" s="23"/>
      <c r="GI257" s="23"/>
      <c r="GJ257" s="23"/>
      <c r="GK257" s="23"/>
      <c r="GL257" s="23"/>
    </row>
    <row r="258" spans="1:194" ht="13">
      <c r="A258" s="23"/>
      <c r="B258" s="23"/>
      <c r="C258" s="23"/>
      <c r="D258" s="23"/>
      <c r="E258" s="23"/>
      <c r="F258" s="23"/>
      <c r="G258" s="23"/>
      <c r="H258" s="401"/>
      <c r="I258" s="401"/>
      <c r="J258" s="401"/>
      <c r="K258" s="401"/>
      <c r="L258" s="401"/>
      <c r="M258" s="438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3"/>
      <c r="AX258" s="23"/>
      <c r="AY258" s="23"/>
      <c r="AZ258" s="23"/>
      <c r="BA258" s="23"/>
      <c r="BB258" s="23"/>
      <c r="BC258" s="23"/>
      <c r="BD258" s="23"/>
      <c r="BE258" s="23"/>
      <c r="BF258" s="23"/>
      <c r="BG258" s="23"/>
      <c r="BH258" s="23"/>
      <c r="BI258" s="23"/>
      <c r="BJ258" s="23"/>
      <c r="BK258" s="23"/>
      <c r="BL258" s="23"/>
      <c r="BM258" s="23"/>
      <c r="BN258" s="23"/>
      <c r="BO258" s="23"/>
      <c r="BP258" s="23"/>
      <c r="BQ258" s="23"/>
      <c r="BR258" s="23"/>
      <c r="BS258" s="23"/>
      <c r="BT258" s="23"/>
      <c r="BU258" s="23"/>
      <c r="BV258" s="23"/>
      <c r="BW258" s="23"/>
      <c r="BX258" s="23"/>
      <c r="BY258" s="23"/>
      <c r="BZ258" s="23"/>
      <c r="CA258" s="23"/>
      <c r="CB258" s="23"/>
      <c r="CC258" s="23"/>
      <c r="CD258" s="23"/>
      <c r="CE258" s="23"/>
      <c r="CF258" s="23"/>
      <c r="CG258" s="23"/>
      <c r="CH258" s="23"/>
      <c r="CI258" s="23"/>
      <c r="CJ258" s="23"/>
      <c r="CK258" s="23"/>
      <c r="CL258" s="23"/>
      <c r="CM258" s="23"/>
      <c r="CN258" s="23"/>
      <c r="CO258" s="23"/>
      <c r="CP258" s="23"/>
      <c r="CQ258" s="23"/>
      <c r="CR258" s="23"/>
      <c r="CS258" s="23"/>
      <c r="CT258" s="23"/>
      <c r="CU258" s="23"/>
      <c r="CV258" s="23"/>
      <c r="CW258" s="23"/>
      <c r="CX258" s="23"/>
      <c r="CY258" s="23"/>
      <c r="CZ258" s="23"/>
      <c r="DA258" s="23"/>
      <c r="DB258" s="23"/>
      <c r="DC258" s="23"/>
      <c r="DD258" s="23"/>
      <c r="DE258" s="23"/>
      <c r="DF258" s="23"/>
      <c r="DG258" s="23"/>
      <c r="DH258" s="23"/>
      <c r="DI258" s="23"/>
      <c r="DJ258" s="23"/>
      <c r="DK258" s="23"/>
      <c r="DL258" s="23"/>
      <c r="DM258" s="23"/>
      <c r="DN258" s="23"/>
      <c r="DO258" s="23"/>
      <c r="DP258" s="23"/>
      <c r="DQ258" s="23"/>
      <c r="DR258" s="23"/>
      <c r="DS258" s="23"/>
      <c r="DT258" s="23"/>
      <c r="DU258" s="23"/>
      <c r="DV258" s="23"/>
      <c r="DW258" s="23"/>
      <c r="DX258" s="23"/>
      <c r="DY258" s="23"/>
      <c r="DZ258" s="23"/>
      <c r="EA258" s="23"/>
      <c r="EB258" s="23"/>
      <c r="EC258" s="23"/>
      <c r="ED258" s="23"/>
      <c r="EE258" s="23"/>
      <c r="EF258" s="23"/>
      <c r="EG258" s="23"/>
      <c r="EH258" s="23"/>
      <c r="EI258" s="23"/>
      <c r="EJ258" s="23"/>
      <c r="EK258" s="23"/>
      <c r="EL258" s="23"/>
      <c r="EM258" s="23"/>
      <c r="EN258" s="23"/>
      <c r="EO258" s="23"/>
      <c r="EP258" s="23"/>
      <c r="EQ258" s="23"/>
      <c r="ER258" s="23"/>
      <c r="ES258" s="23"/>
      <c r="ET258" s="23"/>
      <c r="EU258" s="23"/>
      <c r="EV258" s="23"/>
      <c r="EW258" s="23"/>
      <c r="EX258" s="23"/>
      <c r="EY258" s="23"/>
      <c r="EZ258" s="23"/>
      <c r="FA258" s="23"/>
      <c r="FB258" s="23"/>
      <c r="FC258" s="23"/>
      <c r="FD258" s="23"/>
      <c r="FE258" s="23"/>
      <c r="FF258" s="23"/>
      <c r="FG258" s="23"/>
      <c r="FH258" s="23"/>
      <c r="FI258" s="23"/>
      <c r="FJ258" s="23"/>
      <c r="FK258" s="23"/>
      <c r="FL258" s="23"/>
      <c r="FM258" s="23"/>
      <c r="FN258" s="23"/>
      <c r="FO258" s="23"/>
      <c r="FP258" s="23"/>
      <c r="FQ258" s="23"/>
      <c r="FR258" s="23"/>
      <c r="FS258" s="23"/>
      <c r="FT258" s="23"/>
      <c r="FU258" s="23"/>
      <c r="FV258" s="23"/>
      <c r="FW258" s="23"/>
      <c r="FX258" s="23"/>
      <c r="FY258" s="23"/>
      <c r="FZ258" s="23"/>
      <c r="GA258" s="23"/>
      <c r="GB258" s="23"/>
      <c r="GC258" s="23"/>
      <c r="GD258" s="23"/>
      <c r="GE258" s="23"/>
      <c r="GF258" s="23"/>
      <c r="GG258" s="23"/>
      <c r="GH258" s="23"/>
      <c r="GI258" s="23"/>
      <c r="GJ258" s="23"/>
      <c r="GK258" s="23"/>
      <c r="GL258" s="23"/>
    </row>
    <row r="259" spans="1:194" ht="13">
      <c r="A259" s="23"/>
      <c r="B259" s="23"/>
      <c r="C259" s="23"/>
      <c r="D259" s="23"/>
      <c r="E259" s="23"/>
      <c r="F259" s="23"/>
      <c r="G259" s="23"/>
      <c r="H259" s="401"/>
      <c r="I259" s="401"/>
      <c r="J259" s="401"/>
      <c r="K259" s="401"/>
      <c r="L259" s="401"/>
      <c r="M259" s="438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23"/>
      <c r="BD259" s="23"/>
      <c r="BE259" s="23"/>
      <c r="BF259" s="23"/>
      <c r="BG259" s="23"/>
      <c r="BH259" s="23"/>
      <c r="BI259" s="23"/>
      <c r="BJ259" s="23"/>
      <c r="BK259" s="23"/>
      <c r="BL259" s="23"/>
      <c r="BM259" s="23"/>
      <c r="BN259" s="23"/>
      <c r="BO259" s="23"/>
      <c r="BP259" s="23"/>
      <c r="BQ259" s="23"/>
      <c r="BR259" s="23"/>
      <c r="BS259" s="23"/>
      <c r="BT259" s="23"/>
      <c r="BU259" s="23"/>
      <c r="BV259" s="23"/>
      <c r="BW259" s="23"/>
      <c r="BX259" s="23"/>
      <c r="BY259" s="23"/>
      <c r="BZ259" s="23"/>
      <c r="CA259" s="23"/>
      <c r="CB259" s="23"/>
      <c r="CC259" s="23"/>
      <c r="CD259" s="23"/>
      <c r="CE259" s="23"/>
      <c r="CF259" s="23"/>
      <c r="CG259" s="23"/>
      <c r="CH259" s="23"/>
      <c r="CI259" s="23"/>
      <c r="CJ259" s="23"/>
      <c r="CK259" s="23"/>
      <c r="CL259" s="23"/>
      <c r="CM259" s="23"/>
      <c r="CN259" s="23"/>
      <c r="CO259" s="23"/>
      <c r="CP259" s="23"/>
      <c r="CQ259" s="23"/>
      <c r="CR259" s="23"/>
      <c r="CS259" s="23"/>
      <c r="CT259" s="23"/>
      <c r="CU259" s="23"/>
      <c r="CV259" s="23"/>
      <c r="CW259" s="23"/>
      <c r="CX259" s="23"/>
      <c r="CY259" s="23"/>
      <c r="CZ259" s="23"/>
      <c r="DA259" s="23"/>
      <c r="DB259" s="23"/>
      <c r="DC259" s="23"/>
      <c r="DD259" s="23"/>
      <c r="DE259" s="23"/>
      <c r="DF259" s="23"/>
      <c r="DG259" s="23"/>
      <c r="DH259" s="23"/>
      <c r="DI259" s="23"/>
      <c r="DJ259" s="23"/>
      <c r="DK259" s="23"/>
      <c r="DL259" s="23"/>
      <c r="DM259" s="23"/>
      <c r="DN259" s="23"/>
      <c r="DO259" s="23"/>
      <c r="DP259" s="23"/>
      <c r="DQ259" s="23"/>
      <c r="DR259" s="23"/>
      <c r="DS259" s="23"/>
      <c r="DT259" s="23"/>
      <c r="DU259" s="23"/>
      <c r="DV259" s="23"/>
      <c r="DW259" s="23"/>
      <c r="DX259" s="23"/>
      <c r="DY259" s="23"/>
      <c r="DZ259" s="23"/>
      <c r="EA259" s="23"/>
      <c r="EB259" s="23"/>
      <c r="EC259" s="23"/>
      <c r="ED259" s="23"/>
      <c r="EE259" s="23"/>
      <c r="EF259" s="23"/>
      <c r="EG259" s="23"/>
      <c r="EH259" s="23"/>
      <c r="EI259" s="23"/>
      <c r="EJ259" s="23"/>
      <c r="EK259" s="23"/>
      <c r="EL259" s="23"/>
      <c r="EM259" s="23"/>
      <c r="EN259" s="23"/>
      <c r="EO259" s="23"/>
      <c r="EP259" s="23"/>
      <c r="EQ259" s="23"/>
      <c r="ER259" s="23"/>
      <c r="ES259" s="23"/>
      <c r="ET259" s="23"/>
      <c r="EU259" s="23"/>
      <c r="EV259" s="23"/>
      <c r="EW259" s="23"/>
      <c r="EX259" s="23"/>
      <c r="EY259" s="23"/>
      <c r="EZ259" s="23"/>
      <c r="FA259" s="23"/>
      <c r="FB259" s="23"/>
      <c r="FC259" s="23"/>
      <c r="FD259" s="23"/>
      <c r="FE259" s="23"/>
      <c r="FF259" s="23"/>
      <c r="FG259" s="23"/>
      <c r="FH259" s="23"/>
      <c r="FI259" s="23"/>
      <c r="FJ259" s="23"/>
      <c r="FK259" s="23"/>
      <c r="FL259" s="23"/>
      <c r="FM259" s="23"/>
      <c r="FN259" s="23"/>
      <c r="FO259" s="23"/>
      <c r="FP259" s="23"/>
      <c r="FQ259" s="23"/>
      <c r="FR259" s="23"/>
      <c r="FS259" s="23"/>
      <c r="FT259" s="23"/>
      <c r="FU259" s="23"/>
      <c r="FV259" s="23"/>
      <c r="FW259" s="23"/>
      <c r="FX259" s="23"/>
      <c r="FY259" s="23"/>
      <c r="FZ259" s="23"/>
      <c r="GA259" s="23"/>
      <c r="GB259" s="23"/>
      <c r="GC259" s="23"/>
      <c r="GD259" s="23"/>
      <c r="GE259" s="23"/>
      <c r="GF259" s="23"/>
      <c r="GG259" s="23"/>
      <c r="GH259" s="23"/>
      <c r="GI259" s="23"/>
      <c r="GJ259" s="23"/>
      <c r="GK259" s="23"/>
      <c r="GL259" s="23"/>
    </row>
    <row r="260" spans="1:194" ht="13">
      <c r="A260" s="23"/>
      <c r="B260" s="23"/>
      <c r="C260" s="23"/>
      <c r="D260" s="23"/>
      <c r="E260" s="23"/>
      <c r="F260" s="23"/>
      <c r="G260" s="23"/>
      <c r="H260" s="401"/>
      <c r="I260" s="401"/>
      <c r="J260" s="401"/>
      <c r="K260" s="401"/>
      <c r="L260" s="401"/>
      <c r="M260" s="438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3"/>
      <c r="AX260" s="23"/>
      <c r="AY260" s="23"/>
      <c r="AZ260" s="23"/>
      <c r="BA260" s="23"/>
      <c r="BB260" s="23"/>
      <c r="BC260" s="23"/>
      <c r="BD260" s="23"/>
      <c r="BE260" s="23"/>
      <c r="BF260" s="23"/>
      <c r="BG260" s="23"/>
      <c r="BH260" s="23"/>
      <c r="BI260" s="23"/>
      <c r="BJ260" s="23"/>
      <c r="BK260" s="23"/>
      <c r="BL260" s="23"/>
      <c r="BM260" s="23"/>
      <c r="BN260" s="23"/>
      <c r="BO260" s="23"/>
      <c r="BP260" s="23"/>
      <c r="BQ260" s="23"/>
      <c r="BR260" s="23"/>
      <c r="BS260" s="23"/>
      <c r="BT260" s="23"/>
      <c r="BU260" s="23"/>
      <c r="BV260" s="23"/>
      <c r="BW260" s="23"/>
      <c r="BX260" s="23"/>
      <c r="BY260" s="23"/>
      <c r="BZ260" s="23"/>
      <c r="CA260" s="23"/>
      <c r="CB260" s="23"/>
      <c r="CC260" s="23"/>
      <c r="CD260" s="23"/>
      <c r="CE260" s="23"/>
      <c r="CF260" s="23"/>
      <c r="CG260" s="23"/>
      <c r="CH260" s="23"/>
      <c r="CI260" s="23"/>
      <c r="CJ260" s="23"/>
      <c r="CK260" s="23"/>
      <c r="CL260" s="23"/>
      <c r="CM260" s="23"/>
      <c r="CN260" s="23"/>
      <c r="CO260" s="23"/>
      <c r="CP260" s="23"/>
      <c r="CQ260" s="23"/>
      <c r="CR260" s="23"/>
      <c r="CS260" s="23"/>
      <c r="CT260" s="23"/>
      <c r="CU260" s="23"/>
      <c r="CV260" s="23"/>
      <c r="CW260" s="23"/>
      <c r="CX260" s="23"/>
      <c r="CY260" s="23"/>
      <c r="CZ260" s="23"/>
      <c r="DA260" s="23"/>
      <c r="DB260" s="23"/>
      <c r="DC260" s="23"/>
      <c r="DD260" s="23"/>
      <c r="DE260" s="23"/>
      <c r="DF260" s="23"/>
      <c r="DG260" s="23"/>
      <c r="DH260" s="23"/>
      <c r="DI260" s="23"/>
      <c r="DJ260" s="23"/>
      <c r="DK260" s="23"/>
      <c r="DL260" s="23"/>
      <c r="DM260" s="23"/>
      <c r="DN260" s="23"/>
      <c r="DO260" s="23"/>
      <c r="DP260" s="23"/>
      <c r="DQ260" s="23"/>
      <c r="DR260" s="23"/>
      <c r="DS260" s="23"/>
      <c r="DT260" s="23"/>
      <c r="DU260" s="23"/>
      <c r="DV260" s="23"/>
      <c r="DW260" s="23"/>
      <c r="DX260" s="23"/>
      <c r="DY260" s="23"/>
      <c r="DZ260" s="23"/>
      <c r="EA260" s="23"/>
      <c r="EB260" s="23"/>
      <c r="EC260" s="23"/>
      <c r="ED260" s="23"/>
      <c r="EE260" s="23"/>
      <c r="EF260" s="23"/>
      <c r="EG260" s="23"/>
      <c r="EH260" s="23"/>
      <c r="EI260" s="23"/>
      <c r="EJ260" s="23"/>
      <c r="EK260" s="23"/>
      <c r="EL260" s="23"/>
      <c r="EM260" s="23"/>
      <c r="EN260" s="23"/>
      <c r="EO260" s="23"/>
      <c r="EP260" s="23"/>
      <c r="EQ260" s="23"/>
      <c r="ER260" s="23"/>
      <c r="ES260" s="23"/>
      <c r="ET260" s="23"/>
      <c r="EU260" s="23"/>
      <c r="EV260" s="23"/>
      <c r="EW260" s="23"/>
      <c r="EX260" s="23"/>
      <c r="EY260" s="23"/>
      <c r="EZ260" s="23"/>
      <c r="FA260" s="23"/>
      <c r="FB260" s="23"/>
      <c r="FC260" s="23"/>
      <c r="FD260" s="23"/>
      <c r="FE260" s="23"/>
      <c r="FF260" s="23"/>
      <c r="FG260" s="23"/>
      <c r="FH260" s="23"/>
      <c r="FI260" s="23"/>
      <c r="FJ260" s="23"/>
      <c r="FK260" s="23"/>
      <c r="FL260" s="23"/>
      <c r="FM260" s="23"/>
      <c r="FN260" s="23"/>
      <c r="FO260" s="23"/>
      <c r="FP260" s="23"/>
      <c r="FQ260" s="23"/>
      <c r="FR260" s="23"/>
      <c r="FS260" s="23"/>
      <c r="FT260" s="23"/>
      <c r="FU260" s="23"/>
      <c r="FV260" s="23"/>
      <c r="FW260" s="23"/>
      <c r="FX260" s="23"/>
      <c r="FY260" s="23"/>
      <c r="FZ260" s="23"/>
      <c r="GA260" s="23"/>
      <c r="GB260" s="23"/>
      <c r="GC260" s="23"/>
      <c r="GD260" s="23"/>
      <c r="GE260" s="23"/>
      <c r="GF260" s="23"/>
      <c r="GG260" s="23"/>
      <c r="GH260" s="23"/>
      <c r="GI260" s="23"/>
      <c r="GJ260" s="23"/>
      <c r="GK260" s="23"/>
      <c r="GL260" s="23"/>
    </row>
    <row r="261" spans="1:194" ht="13">
      <c r="A261" s="23"/>
      <c r="B261" s="23"/>
      <c r="C261" s="23"/>
      <c r="D261" s="23"/>
      <c r="E261" s="23"/>
      <c r="F261" s="23"/>
      <c r="G261" s="23"/>
      <c r="H261" s="401"/>
      <c r="I261" s="401"/>
      <c r="J261" s="401"/>
      <c r="K261" s="401"/>
      <c r="L261" s="401"/>
      <c r="M261" s="438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3"/>
      <c r="AX261" s="23"/>
      <c r="AY261" s="23"/>
      <c r="AZ261" s="23"/>
      <c r="BA261" s="23"/>
      <c r="BB261" s="23"/>
      <c r="BC261" s="23"/>
      <c r="BD261" s="23"/>
      <c r="BE261" s="23"/>
      <c r="BF261" s="23"/>
      <c r="BG261" s="23"/>
      <c r="BH261" s="23"/>
      <c r="BI261" s="23"/>
      <c r="BJ261" s="23"/>
      <c r="BK261" s="23"/>
      <c r="BL261" s="23"/>
      <c r="BM261" s="23"/>
      <c r="BN261" s="23"/>
      <c r="BO261" s="23"/>
      <c r="BP261" s="23"/>
      <c r="BQ261" s="23"/>
      <c r="BR261" s="23"/>
      <c r="BS261" s="23"/>
      <c r="BT261" s="23"/>
      <c r="BU261" s="23"/>
      <c r="BV261" s="23"/>
      <c r="BW261" s="23"/>
      <c r="BX261" s="23"/>
      <c r="BY261" s="23"/>
      <c r="BZ261" s="23"/>
      <c r="CA261" s="23"/>
      <c r="CB261" s="23"/>
      <c r="CC261" s="23"/>
      <c r="CD261" s="23"/>
      <c r="CE261" s="23"/>
      <c r="CF261" s="23"/>
      <c r="CG261" s="23"/>
      <c r="CH261" s="23"/>
      <c r="CI261" s="23"/>
      <c r="CJ261" s="23"/>
      <c r="CK261" s="23"/>
      <c r="CL261" s="23"/>
      <c r="CM261" s="23"/>
      <c r="CN261" s="23"/>
      <c r="CO261" s="23"/>
      <c r="CP261" s="23"/>
      <c r="CQ261" s="23"/>
      <c r="CR261" s="23"/>
      <c r="CS261" s="23"/>
      <c r="CT261" s="23"/>
      <c r="CU261" s="23"/>
      <c r="CV261" s="23"/>
      <c r="CW261" s="23"/>
      <c r="CX261" s="23"/>
      <c r="CY261" s="23"/>
      <c r="CZ261" s="23"/>
      <c r="DA261" s="23"/>
      <c r="DB261" s="23"/>
      <c r="DC261" s="23"/>
      <c r="DD261" s="23"/>
      <c r="DE261" s="23"/>
      <c r="DF261" s="23"/>
      <c r="DG261" s="23"/>
      <c r="DH261" s="23"/>
      <c r="DI261" s="23"/>
      <c r="DJ261" s="23"/>
      <c r="DK261" s="23"/>
      <c r="DL261" s="23"/>
      <c r="DM261" s="23"/>
      <c r="DN261" s="23"/>
      <c r="DO261" s="23"/>
      <c r="DP261" s="23"/>
      <c r="DQ261" s="23"/>
      <c r="DR261" s="23"/>
      <c r="DS261" s="23"/>
      <c r="DT261" s="23"/>
      <c r="DU261" s="23"/>
      <c r="DV261" s="23"/>
      <c r="DW261" s="23"/>
      <c r="DX261" s="23"/>
      <c r="DY261" s="23"/>
      <c r="DZ261" s="23"/>
      <c r="EA261" s="23"/>
      <c r="EB261" s="23"/>
      <c r="EC261" s="23"/>
      <c r="ED261" s="23"/>
      <c r="EE261" s="23"/>
      <c r="EF261" s="23"/>
      <c r="EG261" s="23"/>
      <c r="EH261" s="23"/>
      <c r="EI261" s="23"/>
      <c r="EJ261" s="23"/>
      <c r="EK261" s="23"/>
      <c r="EL261" s="23"/>
      <c r="EM261" s="23"/>
      <c r="EN261" s="23"/>
      <c r="EO261" s="23"/>
      <c r="EP261" s="23"/>
      <c r="EQ261" s="23"/>
      <c r="ER261" s="23"/>
      <c r="ES261" s="23"/>
      <c r="ET261" s="23"/>
      <c r="EU261" s="23"/>
      <c r="EV261" s="23"/>
      <c r="EW261" s="23"/>
      <c r="EX261" s="23"/>
      <c r="EY261" s="23"/>
      <c r="EZ261" s="23"/>
      <c r="FA261" s="23"/>
      <c r="FB261" s="23"/>
      <c r="FC261" s="23"/>
      <c r="FD261" s="23"/>
      <c r="FE261" s="23"/>
      <c r="FF261" s="23"/>
      <c r="FG261" s="23"/>
      <c r="FH261" s="23"/>
      <c r="FI261" s="23"/>
      <c r="FJ261" s="23"/>
      <c r="FK261" s="23"/>
      <c r="FL261" s="23"/>
      <c r="FM261" s="23"/>
      <c r="FN261" s="23"/>
      <c r="FO261" s="23"/>
      <c r="FP261" s="23"/>
      <c r="FQ261" s="23"/>
      <c r="FR261" s="23"/>
      <c r="FS261" s="23"/>
      <c r="FT261" s="23"/>
      <c r="FU261" s="23"/>
      <c r="FV261" s="23"/>
      <c r="FW261" s="23"/>
      <c r="FX261" s="23"/>
      <c r="FY261" s="23"/>
      <c r="FZ261" s="23"/>
      <c r="GA261" s="23"/>
      <c r="GB261" s="23"/>
      <c r="GC261" s="23"/>
      <c r="GD261" s="23"/>
      <c r="GE261" s="23"/>
      <c r="GF261" s="23"/>
      <c r="GG261" s="23"/>
      <c r="GH261" s="23"/>
      <c r="GI261" s="23"/>
      <c r="GJ261" s="23"/>
      <c r="GK261" s="23"/>
      <c r="GL261" s="23"/>
    </row>
    <row r="262" spans="1:194" ht="13">
      <c r="A262" s="23"/>
      <c r="B262" s="23"/>
      <c r="C262" s="23"/>
      <c r="D262" s="23"/>
      <c r="E262" s="23"/>
      <c r="F262" s="23"/>
      <c r="G262" s="23"/>
      <c r="H262" s="401"/>
      <c r="I262" s="401"/>
      <c r="J262" s="401"/>
      <c r="K262" s="401"/>
      <c r="L262" s="401"/>
      <c r="M262" s="438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  <c r="BE262" s="23"/>
      <c r="BF262" s="23"/>
      <c r="BG262" s="23"/>
      <c r="BH262" s="23"/>
      <c r="BI262" s="23"/>
      <c r="BJ262" s="23"/>
      <c r="BK262" s="23"/>
      <c r="BL262" s="23"/>
      <c r="BM262" s="23"/>
      <c r="BN262" s="23"/>
      <c r="BO262" s="23"/>
      <c r="BP262" s="23"/>
      <c r="BQ262" s="23"/>
      <c r="BR262" s="23"/>
      <c r="BS262" s="23"/>
      <c r="BT262" s="23"/>
      <c r="BU262" s="23"/>
      <c r="BV262" s="23"/>
      <c r="BW262" s="23"/>
      <c r="BX262" s="23"/>
      <c r="BY262" s="23"/>
      <c r="BZ262" s="23"/>
      <c r="CA262" s="23"/>
      <c r="CB262" s="23"/>
      <c r="CC262" s="23"/>
      <c r="CD262" s="23"/>
      <c r="CE262" s="23"/>
      <c r="CF262" s="23"/>
      <c r="CG262" s="23"/>
      <c r="CH262" s="23"/>
      <c r="CI262" s="23"/>
      <c r="CJ262" s="23"/>
      <c r="CK262" s="23"/>
      <c r="CL262" s="23"/>
      <c r="CM262" s="23"/>
      <c r="CN262" s="23"/>
      <c r="CO262" s="23"/>
      <c r="CP262" s="23"/>
      <c r="CQ262" s="23"/>
      <c r="CR262" s="23"/>
      <c r="CS262" s="23"/>
      <c r="CT262" s="23"/>
      <c r="CU262" s="23"/>
      <c r="CV262" s="23"/>
      <c r="CW262" s="23"/>
      <c r="CX262" s="23"/>
      <c r="CY262" s="23"/>
      <c r="CZ262" s="23"/>
      <c r="DA262" s="23"/>
      <c r="DB262" s="23"/>
      <c r="DC262" s="23"/>
      <c r="DD262" s="23"/>
      <c r="DE262" s="23"/>
      <c r="DF262" s="23"/>
      <c r="DG262" s="23"/>
      <c r="DH262" s="23"/>
      <c r="DI262" s="23"/>
      <c r="DJ262" s="23"/>
      <c r="DK262" s="23"/>
      <c r="DL262" s="23"/>
      <c r="DM262" s="23"/>
      <c r="DN262" s="23"/>
      <c r="DO262" s="23"/>
      <c r="DP262" s="23"/>
      <c r="DQ262" s="23"/>
      <c r="DR262" s="23"/>
      <c r="DS262" s="23"/>
      <c r="DT262" s="23"/>
      <c r="DU262" s="23"/>
      <c r="DV262" s="23"/>
      <c r="DW262" s="23"/>
      <c r="DX262" s="23"/>
      <c r="DY262" s="23"/>
      <c r="DZ262" s="23"/>
      <c r="EA262" s="23"/>
      <c r="EB262" s="23"/>
      <c r="EC262" s="23"/>
      <c r="ED262" s="23"/>
      <c r="EE262" s="23"/>
      <c r="EF262" s="23"/>
      <c r="EG262" s="23"/>
      <c r="EH262" s="23"/>
      <c r="EI262" s="23"/>
      <c r="EJ262" s="23"/>
      <c r="EK262" s="23"/>
      <c r="EL262" s="23"/>
      <c r="EM262" s="23"/>
      <c r="EN262" s="23"/>
      <c r="EO262" s="23"/>
      <c r="EP262" s="23"/>
      <c r="EQ262" s="23"/>
      <c r="ER262" s="23"/>
      <c r="ES262" s="23"/>
      <c r="ET262" s="23"/>
      <c r="EU262" s="23"/>
      <c r="EV262" s="23"/>
      <c r="EW262" s="23"/>
      <c r="EX262" s="23"/>
      <c r="EY262" s="23"/>
      <c r="EZ262" s="23"/>
      <c r="FA262" s="23"/>
      <c r="FB262" s="23"/>
      <c r="FC262" s="23"/>
      <c r="FD262" s="23"/>
      <c r="FE262" s="23"/>
      <c r="FF262" s="23"/>
      <c r="FG262" s="23"/>
      <c r="FH262" s="23"/>
      <c r="FI262" s="23"/>
      <c r="FJ262" s="23"/>
      <c r="FK262" s="23"/>
      <c r="FL262" s="23"/>
      <c r="FM262" s="23"/>
      <c r="FN262" s="23"/>
      <c r="FO262" s="23"/>
      <c r="FP262" s="23"/>
      <c r="FQ262" s="23"/>
      <c r="FR262" s="23"/>
      <c r="FS262" s="23"/>
      <c r="FT262" s="23"/>
      <c r="FU262" s="23"/>
      <c r="FV262" s="23"/>
      <c r="FW262" s="23"/>
      <c r="FX262" s="23"/>
      <c r="FY262" s="23"/>
      <c r="FZ262" s="23"/>
      <c r="GA262" s="23"/>
      <c r="GB262" s="23"/>
      <c r="GC262" s="23"/>
      <c r="GD262" s="23"/>
      <c r="GE262" s="23"/>
      <c r="GF262" s="23"/>
      <c r="GG262" s="23"/>
      <c r="GH262" s="23"/>
      <c r="GI262" s="23"/>
      <c r="GJ262" s="23"/>
      <c r="GK262" s="23"/>
      <c r="GL262" s="23"/>
    </row>
    <row r="263" spans="1:194" ht="13">
      <c r="A263" s="23"/>
      <c r="B263" s="23"/>
      <c r="C263" s="23"/>
      <c r="D263" s="23"/>
      <c r="E263" s="23"/>
      <c r="F263" s="23"/>
      <c r="G263" s="23"/>
      <c r="H263" s="401"/>
      <c r="I263" s="401"/>
      <c r="J263" s="401"/>
      <c r="K263" s="401"/>
      <c r="L263" s="401"/>
      <c r="M263" s="438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  <c r="AZ263" s="23"/>
      <c r="BA263" s="23"/>
      <c r="BB263" s="23"/>
      <c r="BC263" s="23"/>
      <c r="BD263" s="23"/>
      <c r="BE263" s="23"/>
      <c r="BF263" s="23"/>
      <c r="BG263" s="23"/>
      <c r="BH263" s="23"/>
      <c r="BI263" s="23"/>
      <c r="BJ263" s="23"/>
      <c r="BK263" s="23"/>
      <c r="BL263" s="23"/>
      <c r="BM263" s="23"/>
      <c r="BN263" s="23"/>
      <c r="BO263" s="23"/>
      <c r="BP263" s="23"/>
      <c r="BQ263" s="23"/>
      <c r="BR263" s="23"/>
      <c r="BS263" s="23"/>
      <c r="BT263" s="23"/>
      <c r="BU263" s="23"/>
      <c r="BV263" s="23"/>
      <c r="BW263" s="23"/>
      <c r="BX263" s="23"/>
      <c r="BY263" s="23"/>
      <c r="BZ263" s="23"/>
      <c r="CA263" s="23"/>
      <c r="CB263" s="23"/>
      <c r="CC263" s="23"/>
      <c r="CD263" s="23"/>
      <c r="CE263" s="23"/>
      <c r="CF263" s="23"/>
      <c r="CG263" s="23"/>
      <c r="CH263" s="23"/>
      <c r="CI263" s="23"/>
      <c r="CJ263" s="23"/>
      <c r="CK263" s="23"/>
      <c r="CL263" s="23"/>
      <c r="CM263" s="23"/>
      <c r="CN263" s="23"/>
      <c r="CO263" s="23"/>
      <c r="CP263" s="23"/>
      <c r="CQ263" s="23"/>
      <c r="CR263" s="23"/>
      <c r="CS263" s="23"/>
      <c r="CT263" s="23"/>
      <c r="CU263" s="23"/>
      <c r="CV263" s="23"/>
      <c r="CW263" s="23"/>
      <c r="CX263" s="23"/>
      <c r="CY263" s="23"/>
      <c r="CZ263" s="23"/>
      <c r="DA263" s="23"/>
      <c r="DB263" s="23"/>
      <c r="DC263" s="23"/>
      <c r="DD263" s="23"/>
      <c r="DE263" s="23"/>
      <c r="DF263" s="23"/>
      <c r="DG263" s="23"/>
      <c r="DH263" s="23"/>
      <c r="DI263" s="23"/>
      <c r="DJ263" s="23"/>
      <c r="DK263" s="23"/>
      <c r="DL263" s="23"/>
      <c r="DM263" s="23"/>
      <c r="DN263" s="23"/>
      <c r="DO263" s="23"/>
      <c r="DP263" s="23"/>
      <c r="DQ263" s="23"/>
      <c r="DR263" s="23"/>
      <c r="DS263" s="23"/>
      <c r="DT263" s="23"/>
      <c r="DU263" s="23"/>
      <c r="DV263" s="23"/>
      <c r="DW263" s="23"/>
      <c r="DX263" s="23"/>
      <c r="DY263" s="23"/>
      <c r="DZ263" s="23"/>
      <c r="EA263" s="23"/>
      <c r="EB263" s="23"/>
      <c r="EC263" s="23"/>
      <c r="ED263" s="23"/>
      <c r="EE263" s="23"/>
      <c r="EF263" s="23"/>
      <c r="EG263" s="23"/>
      <c r="EH263" s="23"/>
      <c r="EI263" s="23"/>
      <c r="EJ263" s="23"/>
      <c r="EK263" s="23"/>
      <c r="EL263" s="23"/>
      <c r="EM263" s="23"/>
      <c r="EN263" s="23"/>
      <c r="EO263" s="23"/>
      <c r="EP263" s="23"/>
      <c r="EQ263" s="23"/>
      <c r="ER263" s="23"/>
      <c r="ES263" s="23"/>
      <c r="ET263" s="23"/>
      <c r="EU263" s="23"/>
      <c r="EV263" s="23"/>
      <c r="EW263" s="23"/>
      <c r="EX263" s="23"/>
      <c r="EY263" s="23"/>
      <c r="EZ263" s="23"/>
      <c r="FA263" s="23"/>
      <c r="FB263" s="23"/>
      <c r="FC263" s="23"/>
      <c r="FD263" s="23"/>
      <c r="FE263" s="23"/>
      <c r="FF263" s="23"/>
      <c r="FG263" s="23"/>
      <c r="FH263" s="23"/>
      <c r="FI263" s="23"/>
      <c r="FJ263" s="23"/>
      <c r="FK263" s="23"/>
      <c r="FL263" s="23"/>
      <c r="FM263" s="23"/>
      <c r="FN263" s="23"/>
      <c r="FO263" s="23"/>
      <c r="FP263" s="23"/>
      <c r="FQ263" s="23"/>
      <c r="FR263" s="23"/>
      <c r="FS263" s="23"/>
      <c r="FT263" s="23"/>
      <c r="FU263" s="23"/>
      <c r="FV263" s="23"/>
      <c r="FW263" s="23"/>
      <c r="FX263" s="23"/>
      <c r="FY263" s="23"/>
      <c r="FZ263" s="23"/>
      <c r="GA263" s="23"/>
      <c r="GB263" s="23"/>
      <c r="GC263" s="23"/>
      <c r="GD263" s="23"/>
      <c r="GE263" s="23"/>
      <c r="GF263" s="23"/>
      <c r="GG263" s="23"/>
      <c r="GH263" s="23"/>
      <c r="GI263" s="23"/>
      <c r="GJ263" s="23"/>
      <c r="GK263" s="23"/>
      <c r="GL263" s="23"/>
    </row>
    <row r="264" spans="1:194" ht="13">
      <c r="A264" s="23"/>
      <c r="B264" s="23"/>
      <c r="C264" s="23"/>
      <c r="D264" s="23"/>
      <c r="E264" s="23"/>
      <c r="F264" s="23"/>
      <c r="G264" s="23"/>
      <c r="H264" s="401"/>
      <c r="I264" s="401"/>
      <c r="J264" s="401"/>
      <c r="K264" s="401"/>
      <c r="L264" s="401"/>
      <c r="M264" s="438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3"/>
      <c r="AX264" s="23"/>
      <c r="AY264" s="23"/>
      <c r="AZ264" s="23"/>
      <c r="BA264" s="23"/>
      <c r="BB264" s="23"/>
      <c r="BC264" s="23"/>
      <c r="BD264" s="23"/>
      <c r="BE264" s="23"/>
      <c r="BF264" s="23"/>
      <c r="BG264" s="23"/>
      <c r="BH264" s="23"/>
      <c r="BI264" s="23"/>
      <c r="BJ264" s="23"/>
      <c r="BK264" s="23"/>
      <c r="BL264" s="23"/>
      <c r="BM264" s="23"/>
      <c r="BN264" s="23"/>
      <c r="BO264" s="23"/>
      <c r="BP264" s="23"/>
      <c r="BQ264" s="23"/>
      <c r="BR264" s="23"/>
      <c r="BS264" s="23"/>
      <c r="BT264" s="23"/>
      <c r="BU264" s="23"/>
      <c r="BV264" s="23"/>
      <c r="BW264" s="23"/>
      <c r="BX264" s="23"/>
      <c r="BY264" s="23"/>
      <c r="BZ264" s="23"/>
      <c r="CA264" s="23"/>
      <c r="CB264" s="23"/>
      <c r="CC264" s="23"/>
      <c r="CD264" s="23"/>
      <c r="CE264" s="23"/>
      <c r="CF264" s="23"/>
      <c r="CG264" s="23"/>
      <c r="CH264" s="23"/>
      <c r="CI264" s="23"/>
      <c r="CJ264" s="23"/>
      <c r="CK264" s="23"/>
      <c r="CL264" s="23"/>
      <c r="CM264" s="23"/>
      <c r="CN264" s="23"/>
      <c r="CO264" s="23"/>
      <c r="CP264" s="23"/>
      <c r="CQ264" s="23"/>
      <c r="CR264" s="23"/>
      <c r="CS264" s="23"/>
      <c r="CT264" s="23"/>
      <c r="CU264" s="23"/>
      <c r="CV264" s="23"/>
      <c r="CW264" s="23"/>
      <c r="CX264" s="23"/>
      <c r="CY264" s="23"/>
      <c r="CZ264" s="23"/>
      <c r="DA264" s="23"/>
      <c r="DB264" s="23"/>
      <c r="DC264" s="23"/>
      <c r="DD264" s="23"/>
      <c r="DE264" s="23"/>
      <c r="DF264" s="23"/>
      <c r="DG264" s="23"/>
      <c r="DH264" s="23"/>
      <c r="DI264" s="23"/>
      <c r="DJ264" s="23"/>
      <c r="DK264" s="23"/>
      <c r="DL264" s="23"/>
      <c r="DM264" s="23"/>
      <c r="DN264" s="23"/>
      <c r="DO264" s="23"/>
      <c r="DP264" s="23"/>
      <c r="DQ264" s="23"/>
      <c r="DR264" s="23"/>
      <c r="DS264" s="23"/>
      <c r="DT264" s="23"/>
      <c r="DU264" s="23"/>
      <c r="DV264" s="23"/>
      <c r="DW264" s="23"/>
      <c r="DX264" s="23"/>
      <c r="DY264" s="23"/>
      <c r="DZ264" s="23"/>
      <c r="EA264" s="23"/>
      <c r="EB264" s="23"/>
      <c r="EC264" s="23"/>
      <c r="ED264" s="23"/>
      <c r="EE264" s="23"/>
      <c r="EF264" s="23"/>
      <c r="EG264" s="23"/>
      <c r="EH264" s="23"/>
      <c r="EI264" s="23"/>
      <c r="EJ264" s="23"/>
      <c r="EK264" s="23"/>
      <c r="EL264" s="23"/>
      <c r="EM264" s="23"/>
      <c r="EN264" s="23"/>
      <c r="EO264" s="23"/>
      <c r="EP264" s="23"/>
      <c r="EQ264" s="23"/>
      <c r="ER264" s="23"/>
      <c r="ES264" s="23"/>
      <c r="ET264" s="23"/>
      <c r="EU264" s="23"/>
      <c r="EV264" s="23"/>
      <c r="EW264" s="23"/>
      <c r="EX264" s="23"/>
      <c r="EY264" s="23"/>
      <c r="EZ264" s="23"/>
      <c r="FA264" s="23"/>
      <c r="FB264" s="23"/>
      <c r="FC264" s="23"/>
      <c r="FD264" s="23"/>
      <c r="FE264" s="23"/>
      <c r="FF264" s="23"/>
      <c r="FG264" s="23"/>
      <c r="FH264" s="23"/>
      <c r="FI264" s="23"/>
      <c r="FJ264" s="23"/>
      <c r="FK264" s="23"/>
      <c r="FL264" s="23"/>
      <c r="FM264" s="23"/>
      <c r="FN264" s="23"/>
      <c r="FO264" s="23"/>
      <c r="FP264" s="23"/>
      <c r="FQ264" s="23"/>
      <c r="FR264" s="23"/>
      <c r="FS264" s="23"/>
      <c r="FT264" s="23"/>
      <c r="FU264" s="23"/>
      <c r="FV264" s="23"/>
      <c r="FW264" s="23"/>
      <c r="FX264" s="23"/>
      <c r="FY264" s="23"/>
      <c r="FZ264" s="23"/>
      <c r="GA264" s="23"/>
      <c r="GB264" s="23"/>
      <c r="GC264" s="23"/>
      <c r="GD264" s="23"/>
      <c r="GE264" s="23"/>
      <c r="GF264" s="23"/>
      <c r="GG264" s="23"/>
      <c r="GH264" s="23"/>
      <c r="GI264" s="23"/>
      <c r="GJ264" s="23"/>
      <c r="GK264" s="23"/>
      <c r="GL264" s="23"/>
    </row>
    <row r="265" spans="1:194" ht="13">
      <c r="A265" s="23"/>
      <c r="B265" s="23"/>
      <c r="C265" s="23"/>
      <c r="D265" s="23"/>
      <c r="E265" s="23"/>
      <c r="F265" s="23"/>
      <c r="G265" s="23"/>
      <c r="H265" s="401"/>
      <c r="I265" s="401"/>
      <c r="J265" s="401"/>
      <c r="K265" s="401"/>
      <c r="L265" s="401"/>
      <c r="M265" s="438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  <c r="AX265" s="23"/>
      <c r="AY265" s="23"/>
      <c r="AZ265" s="23"/>
      <c r="BA265" s="23"/>
      <c r="BB265" s="23"/>
      <c r="BC265" s="23"/>
      <c r="BD265" s="23"/>
      <c r="BE265" s="23"/>
      <c r="BF265" s="23"/>
      <c r="BG265" s="23"/>
      <c r="BH265" s="23"/>
      <c r="BI265" s="23"/>
      <c r="BJ265" s="23"/>
      <c r="BK265" s="23"/>
      <c r="BL265" s="23"/>
      <c r="BM265" s="23"/>
      <c r="BN265" s="23"/>
      <c r="BO265" s="23"/>
      <c r="BP265" s="23"/>
      <c r="BQ265" s="23"/>
      <c r="BR265" s="23"/>
      <c r="BS265" s="23"/>
      <c r="BT265" s="23"/>
      <c r="BU265" s="23"/>
      <c r="BV265" s="23"/>
      <c r="BW265" s="23"/>
      <c r="BX265" s="23"/>
      <c r="BY265" s="23"/>
      <c r="BZ265" s="23"/>
      <c r="CA265" s="23"/>
      <c r="CB265" s="23"/>
      <c r="CC265" s="23"/>
      <c r="CD265" s="23"/>
      <c r="CE265" s="23"/>
      <c r="CF265" s="23"/>
      <c r="CG265" s="23"/>
      <c r="CH265" s="23"/>
      <c r="CI265" s="23"/>
      <c r="CJ265" s="23"/>
      <c r="CK265" s="23"/>
      <c r="CL265" s="23"/>
      <c r="CM265" s="23"/>
      <c r="CN265" s="23"/>
      <c r="CO265" s="23"/>
      <c r="CP265" s="23"/>
      <c r="CQ265" s="23"/>
      <c r="CR265" s="23"/>
      <c r="CS265" s="23"/>
      <c r="CT265" s="23"/>
      <c r="CU265" s="23"/>
      <c r="CV265" s="23"/>
      <c r="CW265" s="23"/>
      <c r="CX265" s="23"/>
      <c r="CY265" s="23"/>
      <c r="CZ265" s="23"/>
      <c r="DA265" s="23"/>
      <c r="DB265" s="23"/>
      <c r="DC265" s="23"/>
      <c r="DD265" s="23"/>
      <c r="DE265" s="23"/>
      <c r="DF265" s="23"/>
      <c r="DG265" s="23"/>
      <c r="DH265" s="23"/>
      <c r="DI265" s="23"/>
      <c r="DJ265" s="23"/>
      <c r="DK265" s="23"/>
      <c r="DL265" s="23"/>
      <c r="DM265" s="23"/>
      <c r="DN265" s="23"/>
      <c r="DO265" s="23"/>
      <c r="DP265" s="23"/>
      <c r="DQ265" s="23"/>
      <c r="DR265" s="23"/>
      <c r="DS265" s="23"/>
      <c r="DT265" s="23"/>
      <c r="DU265" s="23"/>
      <c r="DV265" s="23"/>
      <c r="DW265" s="23"/>
      <c r="DX265" s="23"/>
      <c r="DY265" s="23"/>
      <c r="DZ265" s="23"/>
      <c r="EA265" s="23"/>
      <c r="EB265" s="23"/>
      <c r="EC265" s="23"/>
      <c r="ED265" s="23"/>
      <c r="EE265" s="23"/>
      <c r="EF265" s="23"/>
      <c r="EG265" s="23"/>
      <c r="EH265" s="23"/>
      <c r="EI265" s="23"/>
      <c r="EJ265" s="23"/>
      <c r="EK265" s="23"/>
      <c r="EL265" s="23"/>
      <c r="EM265" s="23"/>
      <c r="EN265" s="23"/>
      <c r="EO265" s="23"/>
      <c r="EP265" s="23"/>
      <c r="EQ265" s="23"/>
      <c r="ER265" s="23"/>
      <c r="ES265" s="23"/>
      <c r="ET265" s="23"/>
      <c r="EU265" s="23"/>
      <c r="EV265" s="23"/>
      <c r="EW265" s="23"/>
      <c r="EX265" s="23"/>
      <c r="EY265" s="23"/>
      <c r="EZ265" s="23"/>
      <c r="FA265" s="23"/>
      <c r="FB265" s="23"/>
      <c r="FC265" s="23"/>
      <c r="FD265" s="23"/>
      <c r="FE265" s="23"/>
      <c r="FF265" s="23"/>
      <c r="FG265" s="23"/>
      <c r="FH265" s="23"/>
      <c r="FI265" s="23"/>
      <c r="FJ265" s="23"/>
      <c r="FK265" s="23"/>
      <c r="FL265" s="23"/>
      <c r="FM265" s="23"/>
      <c r="FN265" s="23"/>
      <c r="FO265" s="23"/>
      <c r="FP265" s="23"/>
      <c r="FQ265" s="23"/>
      <c r="FR265" s="23"/>
      <c r="FS265" s="23"/>
      <c r="FT265" s="23"/>
      <c r="FU265" s="23"/>
      <c r="FV265" s="23"/>
      <c r="FW265" s="23"/>
      <c r="FX265" s="23"/>
      <c r="FY265" s="23"/>
      <c r="FZ265" s="23"/>
      <c r="GA265" s="23"/>
      <c r="GB265" s="23"/>
      <c r="GC265" s="23"/>
      <c r="GD265" s="23"/>
      <c r="GE265" s="23"/>
      <c r="GF265" s="23"/>
      <c r="GG265" s="23"/>
      <c r="GH265" s="23"/>
      <c r="GI265" s="23"/>
      <c r="GJ265" s="23"/>
      <c r="GK265" s="23"/>
      <c r="GL265" s="23"/>
    </row>
    <row r="266" spans="1:194" ht="13">
      <c r="A266" s="23"/>
      <c r="B266" s="23"/>
      <c r="C266" s="23"/>
      <c r="D266" s="23"/>
      <c r="E266" s="23"/>
      <c r="F266" s="23"/>
      <c r="G266" s="23"/>
      <c r="H266" s="401"/>
      <c r="I266" s="401"/>
      <c r="J266" s="401"/>
      <c r="K266" s="401"/>
      <c r="L266" s="401"/>
      <c r="M266" s="438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3"/>
      <c r="AX266" s="23"/>
      <c r="AY266" s="23"/>
      <c r="AZ266" s="23"/>
      <c r="BA266" s="23"/>
      <c r="BB266" s="23"/>
      <c r="BC266" s="23"/>
      <c r="BD266" s="23"/>
      <c r="BE266" s="23"/>
      <c r="BF266" s="23"/>
      <c r="BG266" s="23"/>
      <c r="BH266" s="23"/>
      <c r="BI266" s="23"/>
      <c r="BJ266" s="23"/>
      <c r="BK266" s="23"/>
      <c r="BL266" s="23"/>
      <c r="BM266" s="23"/>
      <c r="BN266" s="23"/>
      <c r="BO266" s="23"/>
      <c r="BP266" s="23"/>
      <c r="BQ266" s="23"/>
      <c r="BR266" s="23"/>
      <c r="BS266" s="23"/>
      <c r="BT266" s="23"/>
      <c r="BU266" s="23"/>
      <c r="BV266" s="23"/>
      <c r="BW266" s="23"/>
      <c r="BX266" s="23"/>
      <c r="BY266" s="23"/>
      <c r="BZ266" s="23"/>
      <c r="CA266" s="23"/>
      <c r="CB266" s="23"/>
      <c r="CC266" s="23"/>
      <c r="CD266" s="23"/>
      <c r="CE266" s="23"/>
      <c r="CF266" s="23"/>
      <c r="CG266" s="23"/>
      <c r="CH266" s="23"/>
      <c r="CI266" s="23"/>
      <c r="CJ266" s="23"/>
      <c r="CK266" s="23"/>
      <c r="CL266" s="23"/>
      <c r="CM266" s="23"/>
      <c r="CN266" s="23"/>
      <c r="CO266" s="23"/>
      <c r="CP266" s="23"/>
      <c r="CQ266" s="23"/>
      <c r="CR266" s="23"/>
      <c r="CS266" s="23"/>
      <c r="CT266" s="23"/>
      <c r="CU266" s="23"/>
      <c r="CV266" s="23"/>
      <c r="CW266" s="23"/>
      <c r="CX266" s="23"/>
      <c r="CY266" s="23"/>
      <c r="CZ266" s="23"/>
      <c r="DA266" s="23"/>
      <c r="DB266" s="23"/>
      <c r="DC266" s="23"/>
      <c r="DD266" s="23"/>
      <c r="DE266" s="23"/>
      <c r="DF266" s="23"/>
      <c r="DG266" s="23"/>
      <c r="DH266" s="23"/>
      <c r="DI266" s="23"/>
      <c r="DJ266" s="23"/>
      <c r="DK266" s="23"/>
      <c r="DL266" s="23"/>
      <c r="DM266" s="23"/>
      <c r="DN266" s="23"/>
      <c r="DO266" s="23"/>
      <c r="DP266" s="23"/>
      <c r="DQ266" s="23"/>
      <c r="DR266" s="23"/>
      <c r="DS266" s="23"/>
      <c r="DT266" s="23"/>
      <c r="DU266" s="23"/>
      <c r="DV266" s="23"/>
      <c r="DW266" s="23"/>
      <c r="DX266" s="23"/>
      <c r="DY266" s="23"/>
      <c r="DZ266" s="23"/>
      <c r="EA266" s="23"/>
      <c r="EB266" s="23"/>
      <c r="EC266" s="23"/>
      <c r="ED266" s="23"/>
      <c r="EE266" s="23"/>
      <c r="EF266" s="23"/>
      <c r="EG266" s="23"/>
      <c r="EH266" s="23"/>
      <c r="EI266" s="23"/>
      <c r="EJ266" s="23"/>
      <c r="EK266" s="23"/>
      <c r="EL266" s="23"/>
      <c r="EM266" s="23"/>
      <c r="EN266" s="23"/>
      <c r="EO266" s="23"/>
      <c r="EP266" s="23"/>
      <c r="EQ266" s="23"/>
      <c r="ER266" s="23"/>
      <c r="ES266" s="23"/>
      <c r="ET266" s="23"/>
      <c r="EU266" s="23"/>
      <c r="EV266" s="23"/>
      <c r="EW266" s="23"/>
      <c r="EX266" s="23"/>
      <c r="EY266" s="23"/>
      <c r="EZ266" s="23"/>
      <c r="FA266" s="23"/>
      <c r="FB266" s="23"/>
      <c r="FC266" s="23"/>
      <c r="FD266" s="23"/>
      <c r="FE266" s="23"/>
      <c r="FF266" s="23"/>
      <c r="FG266" s="23"/>
      <c r="FH266" s="23"/>
      <c r="FI266" s="23"/>
      <c r="FJ266" s="23"/>
      <c r="FK266" s="23"/>
      <c r="FL266" s="23"/>
      <c r="FM266" s="23"/>
      <c r="FN266" s="23"/>
      <c r="FO266" s="23"/>
      <c r="FP266" s="23"/>
      <c r="FQ266" s="23"/>
      <c r="FR266" s="23"/>
      <c r="FS266" s="23"/>
      <c r="FT266" s="23"/>
      <c r="FU266" s="23"/>
      <c r="FV266" s="23"/>
      <c r="FW266" s="23"/>
      <c r="FX266" s="23"/>
      <c r="FY266" s="23"/>
      <c r="FZ266" s="23"/>
      <c r="GA266" s="23"/>
      <c r="GB266" s="23"/>
      <c r="GC266" s="23"/>
      <c r="GD266" s="23"/>
      <c r="GE266" s="23"/>
      <c r="GF266" s="23"/>
      <c r="GG266" s="23"/>
      <c r="GH266" s="23"/>
      <c r="GI266" s="23"/>
      <c r="GJ266" s="23"/>
      <c r="GK266" s="23"/>
      <c r="GL266" s="23"/>
    </row>
    <row r="267" spans="1:194" ht="13">
      <c r="A267" s="23"/>
      <c r="B267" s="23"/>
      <c r="C267" s="23"/>
      <c r="D267" s="23"/>
      <c r="E267" s="23"/>
      <c r="F267" s="23"/>
      <c r="G267" s="23"/>
      <c r="H267" s="401"/>
      <c r="I267" s="401"/>
      <c r="J267" s="401"/>
      <c r="K267" s="401"/>
      <c r="L267" s="401"/>
      <c r="M267" s="438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3"/>
      <c r="AX267" s="23"/>
      <c r="AY267" s="23"/>
      <c r="AZ267" s="23"/>
      <c r="BA267" s="23"/>
      <c r="BB267" s="23"/>
      <c r="BC267" s="23"/>
      <c r="BD267" s="23"/>
      <c r="BE267" s="23"/>
      <c r="BF267" s="23"/>
      <c r="BG267" s="23"/>
      <c r="BH267" s="23"/>
      <c r="BI267" s="23"/>
      <c r="BJ267" s="23"/>
      <c r="BK267" s="23"/>
      <c r="BL267" s="23"/>
      <c r="BM267" s="23"/>
      <c r="BN267" s="23"/>
      <c r="BO267" s="23"/>
      <c r="BP267" s="23"/>
      <c r="BQ267" s="23"/>
      <c r="BR267" s="23"/>
      <c r="BS267" s="23"/>
      <c r="BT267" s="23"/>
      <c r="BU267" s="23"/>
      <c r="BV267" s="23"/>
      <c r="BW267" s="23"/>
      <c r="BX267" s="23"/>
      <c r="BY267" s="23"/>
      <c r="BZ267" s="23"/>
      <c r="CA267" s="23"/>
      <c r="CB267" s="23"/>
      <c r="CC267" s="23"/>
      <c r="CD267" s="23"/>
      <c r="CE267" s="23"/>
      <c r="CF267" s="23"/>
      <c r="CG267" s="23"/>
      <c r="CH267" s="23"/>
      <c r="CI267" s="23"/>
      <c r="CJ267" s="23"/>
      <c r="CK267" s="23"/>
      <c r="CL267" s="23"/>
      <c r="CM267" s="23"/>
      <c r="CN267" s="23"/>
      <c r="CO267" s="23"/>
      <c r="CP267" s="23"/>
      <c r="CQ267" s="23"/>
      <c r="CR267" s="23"/>
      <c r="CS267" s="23"/>
      <c r="CT267" s="23"/>
      <c r="CU267" s="23"/>
      <c r="CV267" s="23"/>
      <c r="CW267" s="23"/>
      <c r="CX267" s="23"/>
      <c r="CY267" s="23"/>
      <c r="CZ267" s="23"/>
      <c r="DA267" s="23"/>
      <c r="DB267" s="23"/>
      <c r="DC267" s="23"/>
      <c r="DD267" s="23"/>
      <c r="DE267" s="23"/>
      <c r="DF267" s="23"/>
      <c r="DG267" s="23"/>
      <c r="DH267" s="23"/>
      <c r="DI267" s="23"/>
      <c r="DJ267" s="23"/>
      <c r="DK267" s="23"/>
      <c r="DL267" s="23"/>
      <c r="DM267" s="23"/>
      <c r="DN267" s="23"/>
      <c r="DO267" s="23"/>
      <c r="DP267" s="23"/>
      <c r="DQ267" s="23"/>
      <c r="DR267" s="23"/>
      <c r="DS267" s="23"/>
      <c r="DT267" s="23"/>
      <c r="DU267" s="23"/>
      <c r="DV267" s="23"/>
      <c r="DW267" s="23"/>
      <c r="DX267" s="23"/>
      <c r="DY267" s="23"/>
      <c r="DZ267" s="23"/>
      <c r="EA267" s="23"/>
      <c r="EB267" s="23"/>
      <c r="EC267" s="23"/>
      <c r="ED267" s="23"/>
      <c r="EE267" s="23"/>
      <c r="EF267" s="23"/>
      <c r="EG267" s="23"/>
      <c r="EH267" s="23"/>
      <c r="EI267" s="23"/>
      <c r="EJ267" s="23"/>
      <c r="EK267" s="23"/>
      <c r="EL267" s="23"/>
      <c r="EM267" s="23"/>
      <c r="EN267" s="23"/>
      <c r="EO267" s="23"/>
      <c r="EP267" s="23"/>
      <c r="EQ267" s="23"/>
      <c r="ER267" s="23"/>
      <c r="ES267" s="23"/>
      <c r="ET267" s="23"/>
      <c r="EU267" s="23"/>
      <c r="EV267" s="23"/>
      <c r="EW267" s="23"/>
      <c r="EX267" s="23"/>
      <c r="EY267" s="23"/>
      <c r="EZ267" s="23"/>
      <c r="FA267" s="23"/>
      <c r="FB267" s="23"/>
      <c r="FC267" s="23"/>
      <c r="FD267" s="23"/>
      <c r="FE267" s="23"/>
      <c r="FF267" s="23"/>
      <c r="FG267" s="23"/>
      <c r="FH267" s="23"/>
      <c r="FI267" s="23"/>
      <c r="FJ267" s="23"/>
      <c r="FK267" s="23"/>
      <c r="FL267" s="23"/>
      <c r="FM267" s="23"/>
      <c r="FN267" s="23"/>
      <c r="FO267" s="23"/>
      <c r="FP267" s="23"/>
      <c r="FQ267" s="23"/>
      <c r="FR267" s="23"/>
      <c r="FS267" s="23"/>
      <c r="FT267" s="23"/>
      <c r="FU267" s="23"/>
      <c r="FV267" s="23"/>
      <c r="FW267" s="23"/>
      <c r="FX267" s="23"/>
      <c r="FY267" s="23"/>
      <c r="FZ267" s="23"/>
      <c r="GA267" s="23"/>
      <c r="GB267" s="23"/>
      <c r="GC267" s="23"/>
      <c r="GD267" s="23"/>
      <c r="GE267" s="23"/>
      <c r="GF267" s="23"/>
      <c r="GG267" s="23"/>
      <c r="GH267" s="23"/>
      <c r="GI267" s="23"/>
      <c r="GJ267" s="23"/>
      <c r="GK267" s="23"/>
      <c r="GL267" s="23"/>
    </row>
    <row r="268" spans="1:194" ht="13">
      <c r="A268" s="23"/>
      <c r="B268" s="23"/>
      <c r="C268" s="23"/>
      <c r="D268" s="23"/>
      <c r="E268" s="23"/>
      <c r="F268" s="23"/>
      <c r="G268" s="23"/>
      <c r="H268" s="401"/>
      <c r="I268" s="401"/>
      <c r="J268" s="401"/>
      <c r="K268" s="401"/>
      <c r="L268" s="401"/>
      <c r="M268" s="438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3"/>
      <c r="AX268" s="23"/>
      <c r="AY268" s="23"/>
      <c r="AZ268" s="23"/>
      <c r="BA268" s="23"/>
      <c r="BB268" s="23"/>
      <c r="BC268" s="23"/>
      <c r="BD268" s="23"/>
      <c r="BE268" s="23"/>
      <c r="BF268" s="23"/>
      <c r="BG268" s="23"/>
      <c r="BH268" s="23"/>
      <c r="BI268" s="23"/>
      <c r="BJ268" s="23"/>
      <c r="BK268" s="23"/>
      <c r="BL268" s="23"/>
      <c r="BM268" s="23"/>
      <c r="BN268" s="23"/>
      <c r="BO268" s="23"/>
      <c r="BP268" s="23"/>
      <c r="BQ268" s="23"/>
      <c r="BR268" s="23"/>
      <c r="BS268" s="23"/>
      <c r="BT268" s="23"/>
      <c r="BU268" s="23"/>
      <c r="BV268" s="23"/>
      <c r="BW268" s="23"/>
      <c r="BX268" s="23"/>
      <c r="BY268" s="23"/>
      <c r="BZ268" s="23"/>
      <c r="CA268" s="23"/>
      <c r="CB268" s="23"/>
      <c r="CC268" s="23"/>
      <c r="CD268" s="23"/>
      <c r="CE268" s="23"/>
      <c r="CF268" s="23"/>
      <c r="CG268" s="23"/>
      <c r="CH268" s="23"/>
      <c r="CI268" s="23"/>
      <c r="CJ268" s="23"/>
      <c r="CK268" s="23"/>
      <c r="CL268" s="23"/>
      <c r="CM268" s="23"/>
      <c r="CN268" s="23"/>
      <c r="CO268" s="23"/>
      <c r="CP268" s="23"/>
      <c r="CQ268" s="23"/>
      <c r="CR268" s="23"/>
      <c r="CS268" s="23"/>
      <c r="CT268" s="23"/>
      <c r="CU268" s="23"/>
      <c r="CV268" s="23"/>
      <c r="CW268" s="23"/>
      <c r="CX268" s="23"/>
      <c r="CY268" s="23"/>
      <c r="CZ268" s="23"/>
      <c r="DA268" s="23"/>
      <c r="DB268" s="23"/>
      <c r="DC268" s="23"/>
      <c r="DD268" s="23"/>
      <c r="DE268" s="23"/>
      <c r="DF268" s="23"/>
      <c r="DG268" s="23"/>
      <c r="DH268" s="23"/>
      <c r="DI268" s="23"/>
      <c r="DJ268" s="23"/>
      <c r="DK268" s="23"/>
      <c r="DL268" s="23"/>
      <c r="DM268" s="23"/>
      <c r="DN268" s="23"/>
      <c r="DO268" s="23"/>
      <c r="DP268" s="23"/>
      <c r="DQ268" s="23"/>
      <c r="DR268" s="23"/>
      <c r="DS268" s="23"/>
      <c r="DT268" s="23"/>
      <c r="DU268" s="23"/>
      <c r="DV268" s="23"/>
      <c r="DW268" s="23"/>
      <c r="DX268" s="23"/>
      <c r="DY268" s="23"/>
      <c r="DZ268" s="23"/>
      <c r="EA268" s="23"/>
      <c r="EB268" s="23"/>
      <c r="EC268" s="23"/>
      <c r="ED268" s="23"/>
      <c r="EE268" s="23"/>
      <c r="EF268" s="23"/>
      <c r="EG268" s="23"/>
      <c r="EH268" s="23"/>
      <c r="EI268" s="23"/>
      <c r="EJ268" s="23"/>
      <c r="EK268" s="23"/>
      <c r="EL268" s="23"/>
      <c r="EM268" s="23"/>
      <c r="EN268" s="23"/>
      <c r="EO268" s="23"/>
      <c r="EP268" s="23"/>
      <c r="EQ268" s="23"/>
      <c r="ER268" s="23"/>
      <c r="ES268" s="23"/>
      <c r="ET268" s="23"/>
      <c r="EU268" s="23"/>
      <c r="EV268" s="23"/>
      <c r="EW268" s="23"/>
      <c r="EX268" s="23"/>
      <c r="EY268" s="23"/>
      <c r="EZ268" s="23"/>
      <c r="FA268" s="23"/>
      <c r="FB268" s="23"/>
      <c r="FC268" s="23"/>
      <c r="FD268" s="23"/>
      <c r="FE268" s="23"/>
      <c r="FF268" s="23"/>
      <c r="FG268" s="23"/>
      <c r="FH268" s="23"/>
      <c r="FI268" s="23"/>
      <c r="FJ268" s="23"/>
      <c r="FK268" s="23"/>
      <c r="FL268" s="23"/>
      <c r="FM268" s="23"/>
      <c r="FN268" s="23"/>
      <c r="FO268" s="23"/>
      <c r="FP268" s="23"/>
      <c r="FQ268" s="23"/>
      <c r="FR268" s="23"/>
      <c r="FS268" s="23"/>
      <c r="FT268" s="23"/>
      <c r="FU268" s="23"/>
      <c r="FV268" s="23"/>
      <c r="FW268" s="23"/>
      <c r="FX268" s="23"/>
      <c r="FY268" s="23"/>
      <c r="FZ268" s="23"/>
      <c r="GA268" s="23"/>
      <c r="GB268" s="23"/>
      <c r="GC268" s="23"/>
      <c r="GD268" s="23"/>
      <c r="GE268" s="23"/>
      <c r="GF268" s="23"/>
      <c r="GG268" s="23"/>
      <c r="GH268" s="23"/>
      <c r="GI268" s="23"/>
      <c r="GJ268" s="23"/>
      <c r="GK268" s="23"/>
      <c r="GL268" s="23"/>
    </row>
    <row r="269" spans="1:194" ht="13">
      <c r="A269" s="23"/>
      <c r="B269" s="23"/>
      <c r="C269" s="23"/>
      <c r="D269" s="23"/>
      <c r="E269" s="23"/>
      <c r="F269" s="23"/>
      <c r="G269" s="23"/>
      <c r="H269" s="401"/>
      <c r="I269" s="401"/>
      <c r="J269" s="401"/>
      <c r="K269" s="401"/>
      <c r="L269" s="401"/>
      <c r="M269" s="438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  <c r="AZ269" s="23"/>
      <c r="BA269" s="23"/>
      <c r="BB269" s="23"/>
      <c r="BC269" s="23"/>
      <c r="BD269" s="23"/>
      <c r="BE269" s="23"/>
      <c r="BF269" s="23"/>
      <c r="BG269" s="23"/>
      <c r="BH269" s="23"/>
      <c r="BI269" s="23"/>
      <c r="BJ269" s="23"/>
      <c r="BK269" s="23"/>
      <c r="BL269" s="23"/>
      <c r="BM269" s="23"/>
      <c r="BN269" s="23"/>
      <c r="BO269" s="23"/>
      <c r="BP269" s="23"/>
      <c r="BQ269" s="23"/>
      <c r="BR269" s="23"/>
      <c r="BS269" s="23"/>
      <c r="BT269" s="23"/>
      <c r="BU269" s="23"/>
      <c r="BV269" s="23"/>
      <c r="BW269" s="23"/>
      <c r="BX269" s="23"/>
      <c r="BY269" s="23"/>
      <c r="BZ269" s="23"/>
      <c r="CA269" s="23"/>
      <c r="CB269" s="23"/>
      <c r="CC269" s="23"/>
      <c r="CD269" s="23"/>
      <c r="CE269" s="23"/>
      <c r="CF269" s="23"/>
      <c r="CG269" s="23"/>
      <c r="CH269" s="23"/>
      <c r="CI269" s="23"/>
      <c r="CJ269" s="23"/>
      <c r="CK269" s="23"/>
      <c r="CL269" s="23"/>
      <c r="CM269" s="23"/>
      <c r="CN269" s="23"/>
      <c r="CO269" s="23"/>
      <c r="CP269" s="23"/>
      <c r="CQ269" s="23"/>
      <c r="CR269" s="23"/>
      <c r="CS269" s="23"/>
      <c r="CT269" s="23"/>
      <c r="CU269" s="23"/>
      <c r="CV269" s="23"/>
      <c r="CW269" s="23"/>
      <c r="CX269" s="23"/>
      <c r="CY269" s="23"/>
      <c r="CZ269" s="23"/>
      <c r="DA269" s="23"/>
      <c r="DB269" s="23"/>
      <c r="DC269" s="23"/>
      <c r="DD269" s="23"/>
      <c r="DE269" s="23"/>
      <c r="DF269" s="23"/>
      <c r="DG269" s="23"/>
      <c r="DH269" s="23"/>
      <c r="DI269" s="23"/>
      <c r="DJ269" s="23"/>
      <c r="DK269" s="23"/>
      <c r="DL269" s="23"/>
      <c r="DM269" s="23"/>
      <c r="DN269" s="23"/>
      <c r="DO269" s="23"/>
      <c r="DP269" s="23"/>
      <c r="DQ269" s="23"/>
      <c r="DR269" s="23"/>
      <c r="DS269" s="23"/>
      <c r="DT269" s="23"/>
      <c r="DU269" s="23"/>
      <c r="DV269" s="23"/>
      <c r="DW269" s="23"/>
      <c r="DX269" s="23"/>
      <c r="DY269" s="23"/>
      <c r="DZ269" s="23"/>
      <c r="EA269" s="23"/>
      <c r="EB269" s="23"/>
      <c r="EC269" s="23"/>
      <c r="ED269" s="23"/>
      <c r="EE269" s="23"/>
      <c r="EF269" s="23"/>
      <c r="EG269" s="23"/>
      <c r="EH269" s="23"/>
      <c r="EI269" s="23"/>
      <c r="EJ269" s="23"/>
      <c r="EK269" s="23"/>
      <c r="EL269" s="23"/>
      <c r="EM269" s="23"/>
      <c r="EN269" s="23"/>
      <c r="EO269" s="23"/>
      <c r="EP269" s="23"/>
      <c r="EQ269" s="23"/>
      <c r="ER269" s="23"/>
      <c r="ES269" s="23"/>
      <c r="ET269" s="23"/>
      <c r="EU269" s="23"/>
      <c r="EV269" s="23"/>
      <c r="EW269" s="23"/>
      <c r="EX269" s="23"/>
      <c r="EY269" s="23"/>
      <c r="EZ269" s="23"/>
      <c r="FA269" s="23"/>
      <c r="FB269" s="23"/>
      <c r="FC269" s="23"/>
      <c r="FD269" s="23"/>
      <c r="FE269" s="23"/>
      <c r="FF269" s="23"/>
      <c r="FG269" s="23"/>
      <c r="FH269" s="23"/>
      <c r="FI269" s="23"/>
      <c r="FJ269" s="23"/>
      <c r="FK269" s="23"/>
      <c r="FL269" s="23"/>
      <c r="FM269" s="23"/>
      <c r="FN269" s="23"/>
      <c r="FO269" s="23"/>
      <c r="FP269" s="23"/>
      <c r="FQ269" s="23"/>
      <c r="FR269" s="23"/>
      <c r="FS269" s="23"/>
      <c r="FT269" s="23"/>
      <c r="FU269" s="23"/>
      <c r="FV269" s="23"/>
      <c r="FW269" s="23"/>
      <c r="FX269" s="23"/>
      <c r="FY269" s="23"/>
      <c r="FZ269" s="23"/>
      <c r="GA269" s="23"/>
      <c r="GB269" s="23"/>
      <c r="GC269" s="23"/>
      <c r="GD269" s="23"/>
      <c r="GE269" s="23"/>
      <c r="GF269" s="23"/>
      <c r="GG269" s="23"/>
      <c r="GH269" s="23"/>
      <c r="GI269" s="23"/>
      <c r="GJ269" s="23"/>
      <c r="GK269" s="23"/>
      <c r="GL269" s="23"/>
    </row>
    <row r="270" spans="1:194" ht="13">
      <c r="A270" s="23"/>
      <c r="B270" s="23"/>
      <c r="C270" s="23"/>
      <c r="D270" s="23"/>
      <c r="E270" s="23"/>
      <c r="F270" s="23"/>
      <c r="G270" s="23"/>
      <c r="H270" s="401"/>
      <c r="I270" s="401"/>
      <c r="J270" s="401"/>
      <c r="K270" s="401"/>
      <c r="L270" s="401"/>
      <c r="M270" s="438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3"/>
      <c r="AX270" s="23"/>
      <c r="AY270" s="23"/>
      <c r="AZ270" s="23"/>
      <c r="BA270" s="23"/>
      <c r="BB270" s="23"/>
      <c r="BC270" s="23"/>
      <c r="BD270" s="23"/>
      <c r="BE270" s="23"/>
      <c r="BF270" s="23"/>
      <c r="BG270" s="23"/>
      <c r="BH270" s="23"/>
      <c r="BI270" s="23"/>
      <c r="BJ270" s="23"/>
      <c r="BK270" s="23"/>
      <c r="BL270" s="23"/>
      <c r="BM270" s="23"/>
      <c r="BN270" s="23"/>
      <c r="BO270" s="23"/>
      <c r="BP270" s="23"/>
      <c r="BQ270" s="23"/>
      <c r="BR270" s="23"/>
      <c r="BS270" s="23"/>
      <c r="BT270" s="23"/>
      <c r="BU270" s="23"/>
      <c r="BV270" s="23"/>
      <c r="BW270" s="23"/>
      <c r="BX270" s="23"/>
      <c r="BY270" s="23"/>
      <c r="BZ270" s="23"/>
      <c r="CA270" s="23"/>
      <c r="CB270" s="23"/>
      <c r="CC270" s="23"/>
      <c r="CD270" s="23"/>
      <c r="CE270" s="23"/>
      <c r="CF270" s="23"/>
      <c r="CG270" s="23"/>
      <c r="CH270" s="23"/>
      <c r="CI270" s="23"/>
      <c r="CJ270" s="23"/>
      <c r="CK270" s="23"/>
      <c r="CL270" s="23"/>
      <c r="CM270" s="23"/>
      <c r="CN270" s="23"/>
      <c r="CO270" s="23"/>
      <c r="CP270" s="23"/>
      <c r="CQ270" s="23"/>
      <c r="CR270" s="23"/>
      <c r="CS270" s="23"/>
      <c r="CT270" s="23"/>
      <c r="CU270" s="23"/>
      <c r="CV270" s="23"/>
      <c r="CW270" s="23"/>
      <c r="CX270" s="23"/>
      <c r="CY270" s="23"/>
      <c r="CZ270" s="23"/>
      <c r="DA270" s="23"/>
      <c r="DB270" s="23"/>
      <c r="DC270" s="23"/>
      <c r="DD270" s="23"/>
      <c r="DE270" s="23"/>
      <c r="DF270" s="23"/>
      <c r="DG270" s="23"/>
      <c r="DH270" s="23"/>
      <c r="DI270" s="23"/>
      <c r="DJ270" s="23"/>
      <c r="DK270" s="23"/>
      <c r="DL270" s="23"/>
      <c r="DM270" s="23"/>
      <c r="DN270" s="23"/>
      <c r="DO270" s="23"/>
      <c r="DP270" s="23"/>
      <c r="DQ270" s="23"/>
      <c r="DR270" s="23"/>
      <c r="DS270" s="23"/>
      <c r="DT270" s="23"/>
      <c r="DU270" s="23"/>
      <c r="DV270" s="23"/>
      <c r="DW270" s="23"/>
      <c r="DX270" s="23"/>
      <c r="DY270" s="23"/>
      <c r="DZ270" s="23"/>
      <c r="EA270" s="23"/>
      <c r="EB270" s="23"/>
      <c r="EC270" s="23"/>
      <c r="ED270" s="23"/>
      <c r="EE270" s="23"/>
      <c r="EF270" s="23"/>
      <c r="EG270" s="23"/>
      <c r="EH270" s="23"/>
      <c r="EI270" s="23"/>
      <c r="EJ270" s="23"/>
      <c r="EK270" s="23"/>
      <c r="EL270" s="23"/>
      <c r="EM270" s="23"/>
      <c r="EN270" s="23"/>
      <c r="EO270" s="23"/>
      <c r="EP270" s="23"/>
      <c r="EQ270" s="23"/>
      <c r="ER270" s="23"/>
      <c r="ES270" s="23"/>
      <c r="ET270" s="23"/>
      <c r="EU270" s="23"/>
      <c r="EV270" s="23"/>
      <c r="EW270" s="23"/>
      <c r="EX270" s="23"/>
      <c r="EY270" s="23"/>
      <c r="EZ270" s="23"/>
      <c r="FA270" s="23"/>
      <c r="FB270" s="23"/>
      <c r="FC270" s="23"/>
      <c r="FD270" s="23"/>
      <c r="FE270" s="23"/>
      <c r="FF270" s="23"/>
      <c r="FG270" s="23"/>
      <c r="FH270" s="23"/>
      <c r="FI270" s="23"/>
      <c r="FJ270" s="23"/>
      <c r="FK270" s="23"/>
      <c r="FL270" s="23"/>
      <c r="FM270" s="23"/>
      <c r="FN270" s="23"/>
      <c r="FO270" s="23"/>
      <c r="FP270" s="23"/>
      <c r="FQ270" s="23"/>
      <c r="FR270" s="23"/>
      <c r="FS270" s="23"/>
      <c r="FT270" s="23"/>
      <c r="FU270" s="23"/>
      <c r="FV270" s="23"/>
      <c r="FW270" s="23"/>
      <c r="FX270" s="23"/>
      <c r="FY270" s="23"/>
      <c r="FZ270" s="23"/>
      <c r="GA270" s="23"/>
      <c r="GB270" s="23"/>
      <c r="GC270" s="23"/>
      <c r="GD270" s="23"/>
      <c r="GE270" s="23"/>
      <c r="GF270" s="23"/>
      <c r="GG270" s="23"/>
      <c r="GH270" s="23"/>
      <c r="GI270" s="23"/>
      <c r="GJ270" s="23"/>
      <c r="GK270" s="23"/>
      <c r="GL270" s="23"/>
    </row>
    <row r="271" spans="1:194" ht="13">
      <c r="A271" s="23"/>
      <c r="B271" s="23"/>
      <c r="C271" s="23"/>
      <c r="D271" s="23"/>
      <c r="E271" s="23"/>
      <c r="F271" s="23"/>
      <c r="G271" s="23"/>
      <c r="H271" s="401"/>
      <c r="I271" s="401"/>
      <c r="J271" s="401"/>
      <c r="K271" s="401"/>
      <c r="L271" s="401"/>
      <c r="M271" s="438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3"/>
      <c r="AX271" s="23"/>
      <c r="AY271" s="23"/>
      <c r="AZ271" s="23"/>
      <c r="BA271" s="23"/>
      <c r="BB271" s="23"/>
      <c r="BC271" s="23"/>
      <c r="BD271" s="23"/>
      <c r="BE271" s="23"/>
      <c r="BF271" s="23"/>
      <c r="BG271" s="23"/>
      <c r="BH271" s="23"/>
      <c r="BI271" s="23"/>
      <c r="BJ271" s="23"/>
      <c r="BK271" s="23"/>
      <c r="BL271" s="23"/>
      <c r="BM271" s="23"/>
      <c r="BN271" s="23"/>
      <c r="BO271" s="23"/>
      <c r="BP271" s="23"/>
      <c r="BQ271" s="23"/>
      <c r="BR271" s="23"/>
      <c r="BS271" s="23"/>
      <c r="BT271" s="23"/>
      <c r="BU271" s="23"/>
      <c r="BV271" s="23"/>
      <c r="BW271" s="23"/>
      <c r="BX271" s="23"/>
      <c r="BY271" s="23"/>
      <c r="BZ271" s="23"/>
      <c r="CA271" s="23"/>
      <c r="CB271" s="23"/>
      <c r="CC271" s="23"/>
      <c r="CD271" s="23"/>
      <c r="CE271" s="23"/>
      <c r="CF271" s="23"/>
      <c r="CG271" s="23"/>
      <c r="CH271" s="23"/>
      <c r="CI271" s="23"/>
      <c r="CJ271" s="23"/>
      <c r="CK271" s="23"/>
      <c r="CL271" s="23"/>
      <c r="CM271" s="23"/>
      <c r="CN271" s="23"/>
      <c r="CO271" s="23"/>
      <c r="CP271" s="23"/>
      <c r="CQ271" s="23"/>
      <c r="CR271" s="23"/>
      <c r="CS271" s="23"/>
      <c r="CT271" s="23"/>
      <c r="CU271" s="23"/>
      <c r="CV271" s="23"/>
      <c r="CW271" s="23"/>
      <c r="CX271" s="23"/>
      <c r="CY271" s="23"/>
      <c r="CZ271" s="23"/>
      <c r="DA271" s="23"/>
      <c r="DB271" s="23"/>
      <c r="DC271" s="23"/>
      <c r="DD271" s="23"/>
      <c r="DE271" s="23"/>
      <c r="DF271" s="23"/>
      <c r="DG271" s="23"/>
      <c r="DH271" s="23"/>
      <c r="DI271" s="23"/>
      <c r="DJ271" s="23"/>
      <c r="DK271" s="23"/>
      <c r="DL271" s="23"/>
      <c r="DM271" s="23"/>
      <c r="DN271" s="23"/>
      <c r="DO271" s="23"/>
      <c r="DP271" s="23"/>
      <c r="DQ271" s="23"/>
      <c r="DR271" s="23"/>
      <c r="DS271" s="23"/>
      <c r="DT271" s="23"/>
      <c r="DU271" s="23"/>
      <c r="DV271" s="23"/>
      <c r="DW271" s="23"/>
      <c r="DX271" s="23"/>
      <c r="DY271" s="23"/>
      <c r="DZ271" s="23"/>
      <c r="EA271" s="23"/>
      <c r="EB271" s="23"/>
      <c r="EC271" s="23"/>
      <c r="ED271" s="23"/>
      <c r="EE271" s="23"/>
      <c r="EF271" s="23"/>
      <c r="EG271" s="23"/>
      <c r="EH271" s="23"/>
      <c r="EI271" s="23"/>
      <c r="EJ271" s="23"/>
      <c r="EK271" s="23"/>
      <c r="EL271" s="23"/>
      <c r="EM271" s="23"/>
      <c r="EN271" s="23"/>
      <c r="EO271" s="23"/>
      <c r="EP271" s="23"/>
      <c r="EQ271" s="23"/>
      <c r="ER271" s="23"/>
      <c r="ES271" s="23"/>
      <c r="ET271" s="23"/>
      <c r="EU271" s="23"/>
      <c r="EV271" s="23"/>
      <c r="EW271" s="23"/>
      <c r="EX271" s="23"/>
      <c r="EY271" s="23"/>
      <c r="EZ271" s="23"/>
      <c r="FA271" s="23"/>
      <c r="FB271" s="23"/>
      <c r="FC271" s="23"/>
      <c r="FD271" s="23"/>
      <c r="FE271" s="23"/>
      <c r="FF271" s="23"/>
      <c r="FG271" s="23"/>
      <c r="FH271" s="23"/>
      <c r="FI271" s="23"/>
      <c r="FJ271" s="23"/>
      <c r="FK271" s="23"/>
      <c r="FL271" s="23"/>
      <c r="FM271" s="23"/>
      <c r="FN271" s="23"/>
      <c r="FO271" s="23"/>
      <c r="FP271" s="23"/>
      <c r="FQ271" s="23"/>
      <c r="FR271" s="23"/>
      <c r="FS271" s="23"/>
      <c r="FT271" s="23"/>
      <c r="FU271" s="23"/>
      <c r="FV271" s="23"/>
      <c r="FW271" s="23"/>
      <c r="FX271" s="23"/>
      <c r="FY271" s="23"/>
      <c r="FZ271" s="23"/>
      <c r="GA271" s="23"/>
      <c r="GB271" s="23"/>
      <c r="GC271" s="23"/>
      <c r="GD271" s="23"/>
      <c r="GE271" s="23"/>
      <c r="GF271" s="23"/>
      <c r="GG271" s="23"/>
      <c r="GH271" s="23"/>
      <c r="GI271" s="23"/>
      <c r="GJ271" s="23"/>
      <c r="GK271" s="23"/>
      <c r="GL271" s="23"/>
    </row>
    <row r="272" spans="1:194" ht="13">
      <c r="A272" s="23"/>
      <c r="B272" s="23"/>
      <c r="C272" s="23"/>
      <c r="D272" s="23"/>
      <c r="E272" s="23"/>
      <c r="F272" s="23"/>
      <c r="G272" s="23"/>
      <c r="H272" s="401"/>
      <c r="I272" s="401"/>
      <c r="J272" s="401"/>
      <c r="K272" s="401"/>
      <c r="L272" s="401"/>
      <c r="M272" s="438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3"/>
      <c r="AX272" s="23"/>
      <c r="AY272" s="23"/>
      <c r="AZ272" s="23"/>
      <c r="BA272" s="23"/>
      <c r="BB272" s="23"/>
      <c r="BC272" s="23"/>
      <c r="BD272" s="23"/>
      <c r="BE272" s="23"/>
      <c r="BF272" s="23"/>
      <c r="BG272" s="23"/>
      <c r="BH272" s="23"/>
      <c r="BI272" s="23"/>
      <c r="BJ272" s="23"/>
      <c r="BK272" s="23"/>
      <c r="BL272" s="23"/>
      <c r="BM272" s="23"/>
      <c r="BN272" s="23"/>
      <c r="BO272" s="23"/>
      <c r="BP272" s="23"/>
      <c r="BQ272" s="23"/>
      <c r="BR272" s="23"/>
      <c r="BS272" s="23"/>
      <c r="BT272" s="23"/>
      <c r="BU272" s="23"/>
      <c r="BV272" s="23"/>
      <c r="BW272" s="23"/>
      <c r="BX272" s="23"/>
      <c r="BY272" s="23"/>
      <c r="BZ272" s="23"/>
      <c r="CA272" s="23"/>
      <c r="CB272" s="23"/>
      <c r="CC272" s="23"/>
      <c r="CD272" s="23"/>
      <c r="CE272" s="23"/>
      <c r="CF272" s="23"/>
      <c r="CG272" s="23"/>
      <c r="CH272" s="23"/>
      <c r="CI272" s="23"/>
      <c r="CJ272" s="23"/>
      <c r="CK272" s="23"/>
      <c r="CL272" s="23"/>
      <c r="CM272" s="23"/>
      <c r="CN272" s="23"/>
      <c r="CO272" s="23"/>
      <c r="CP272" s="23"/>
      <c r="CQ272" s="23"/>
      <c r="CR272" s="23"/>
      <c r="CS272" s="23"/>
      <c r="CT272" s="23"/>
      <c r="CU272" s="23"/>
      <c r="CV272" s="23"/>
      <c r="CW272" s="23"/>
      <c r="CX272" s="23"/>
      <c r="CY272" s="23"/>
      <c r="CZ272" s="23"/>
      <c r="DA272" s="23"/>
      <c r="DB272" s="23"/>
      <c r="DC272" s="23"/>
      <c r="DD272" s="23"/>
      <c r="DE272" s="23"/>
      <c r="DF272" s="23"/>
      <c r="DG272" s="23"/>
      <c r="DH272" s="23"/>
      <c r="DI272" s="23"/>
      <c r="DJ272" s="23"/>
      <c r="DK272" s="23"/>
      <c r="DL272" s="23"/>
      <c r="DM272" s="23"/>
      <c r="DN272" s="23"/>
      <c r="DO272" s="23"/>
      <c r="DP272" s="23"/>
      <c r="DQ272" s="23"/>
      <c r="DR272" s="23"/>
      <c r="DS272" s="23"/>
      <c r="DT272" s="23"/>
      <c r="DU272" s="23"/>
      <c r="DV272" s="23"/>
      <c r="DW272" s="23"/>
      <c r="DX272" s="23"/>
      <c r="DY272" s="23"/>
      <c r="DZ272" s="23"/>
      <c r="EA272" s="23"/>
      <c r="EB272" s="23"/>
      <c r="EC272" s="23"/>
      <c r="ED272" s="23"/>
      <c r="EE272" s="23"/>
      <c r="EF272" s="23"/>
      <c r="EG272" s="23"/>
      <c r="EH272" s="23"/>
      <c r="EI272" s="23"/>
      <c r="EJ272" s="23"/>
      <c r="EK272" s="23"/>
      <c r="EL272" s="23"/>
      <c r="EM272" s="23"/>
      <c r="EN272" s="23"/>
      <c r="EO272" s="23"/>
      <c r="EP272" s="23"/>
      <c r="EQ272" s="23"/>
      <c r="ER272" s="23"/>
      <c r="ES272" s="23"/>
      <c r="ET272" s="23"/>
      <c r="EU272" s="23"/>
      <c r="EV272" s="23"/>
      <c r="EW272" s="23"/>
      <c r="EX272" s="23"/>
      <c r="EY272" s="23"/>
      <c r="EZ272" s="23"/>
      <c r="FA272" s="23"/>
      <c r="FB272" s="23"/>
      <c r="FC272" s="23"/>
      <c r="FD272" s="23"/>
      <c r="FE272" s="23"/>
      <c r="FF272" s="23"/>
      <c r="FG272" s="23"/>
      <c r="FH272" s="23"/>
      <c r="FI272" s="23"/>
      <c r="FJ272" s="23"/>
      <c r="FK272" s="23"/>
      <c r="FL272" s="23"/>
      <c r="FM272" s="23"/>
      <c r="FN272" s="23"/>
      <c r="FO272" s="23"/>
      <c r="FP272" s="23"/>
      <c r="FQ272" s="23"/>
      <c r="FR272" s="23"/>
      <c r="FS272" s="23"/>
      <c r="FT272" s="23"/>
      <c r="FU272" s="23"/>
      <c r="FV272" s="23"/>
      <c r="FW272" s="23"/>
      <c r="FX272" s="23"/>
      <c r="FY272" s="23"/>
      <c r="FZ272" s="23"/>
      <c r="GA272" s="23"/>
      <c r="GB272" s="23"/>
      <c r="GC272" s="23"/>
      <c r="GD272" s="23"/>
      <c r="GE272" s="23"/>
      <c r="GF272" s="23"/>
      <c r="GG272" s="23"/>
      <c r="GH272" s="23"/>
      <c r="GI272" s="23"/>
      <c r="GJ272" s="23"/>
      <c r="GK272" s="23"/>
      <c r="GL272" s="23"/>
    </row>
    <row r="273" spans="1:194" ht="13">
      <c r="A273" s="23"/>
      <c r="B273" s="23"/>
      <c r="C273" s="23"/>
      <c r="D273" s="23"/>
      <c r="E273" s="23"/>
      <c r="F273" s="23"/>
      <c r="G273" s="23"/>
      <c r="H273" s="401"/>
      <c r="I273" s="401"/>
      <c r="J273" s="401"/>
      <c r="K273" s="401"/>
      <c r="L273" s="401"/>
      <c r="M273" s="438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3"/>
      <c r="BG273" s="23"/>
      <c r="BH273" s="23"/>
      <c r="BI273" s="23"/>
      <c r="BJ273" s="23"/>
      <c r="BK273" s="23"/>
      <c r="BL273" s="23"/>
      <c r="BM273" s="23"/>
      <c r="BN273" s="23"/>
      <c r="BO273" s="23"/>
      <c r="BP273" s="23"/>
      <c r="BQ273" s="23"/>
      <c r="BR273" s="23"/>
      <c r="BS273" s="23"/>
      <c r="BT273" s="23"/>
      <c r="BU273" s="23"/>
      <c r="BV273" s="23"/>
      <c r="BW273" s="23"/>
      <c r="BX273" s="23"/>
      <c r="BY273" s="23"/>
      <c r="BZ273" s="23"/>
      <c r="CA273" s="23"/>
      <c r="CB273" s="23"/>
      <c r="CC273" s="23"/>
      <c r="CD273" s="23"/>
      <c r="CE273" s="23"/>
      <c r="CF273" s="23"/>
      <c r="CG273" s="23"/>
      <c r="CH273" s="23"/>
      <c r="CI273" s="23"/>
      <c r="CJ273" s="23"/>
      <c r="CK273" s="23"/>
      <c r="CL273" s="23"/>
      <c r="CM273" s="23"/>
      <c r="CN273" s="23"/>
      <c r="CO273" s="23"/>
      <c r="CP273" s="23"/>
      <c r="CQ273" s="23"/>
      <c r="CR273" s="23"/>
      <c r="CS273" s="23"/>
      <c r="CT273" s="23"/>
      <c r="CU273" s="23"/>
      <c r="CV273" s="23"/>
      <c r="CW273" s="23"/>
      <c r="CX273" s="23"/>
      <c r="CY273" s="23"/>
      <c r="CZ273" s="23"/>
      <c r="DA273" s="23"/>
      <c r="DB273" s="23"/>
      <c r="DC273" s="23"/>
      <c r="DD273" s="23"/>
      <c r="DE273" s="23"/>
      <c r="DF273" s="23"/>
      <c r="DG273" s="23"/>
      <c r="DH273" s="23"/>
      <c r="DI273" s="23"/>
      <c r="DJ273" s="23"/>
      <c r="DK273" s="23"/>
      <c r="DL273" s="23"/>
      <c r="DM273" s="23"/>
      <c r="DN273" s="23"/>
      <c r="DO273" s="23"/>
      <c r="DP273" s="23"/>
      <c r="DQ273" s="23"/>
      <c r="DR273" s="23"/>
      <c r="DS273" s="23"/>
      <c r="DT273" s="23"/>
      <c r="DU273" s="23"/>
      <c r="DV273" s="23"/>
      <c r="DW273" s="23"/>
      <c r="DX273" s="23"/>
      <c r="DY273" s="23"/>
      <c r="DZ273" s="23"/>
      <c r="EA273" s="23"/>
      <c r="EB273" s="23"/>
      <c r="EC273" s="23"/>
      <c r="ED273" s="23"/>
      <c r="EE273" s="23"/>
      <c r="EF273" s="23"/>
      <c r="EG273" s="23"/>
      <c r="EH273" s="23"/>
      <c r="EI273" s="23"/>
      <c r="EJ273" s="23"/>
      <c r="EK273" s="23"/>
      <c r="EL273" s="23"/>
      <c r="EM273" s="23"/>
      <c r="EN273" s="23"/>
      <c r="EO273" s="23"/>
      <c r="EP273" s="23"/>
      <c r="EQ273" s="23"/>
      <c r="ER273" s="23"/>
      <c r="ES273" s="23"/>
      <c r="ET273" s="23"/>
      <c r="EU273" s="23"/>
      <c r="EV273" s="23"/>
      <c r="EW273" s="23"/>
      <c r="EX273" s="23"/>
      <c r="EY273" s="23"/>
      <c r="EZ273" s="23"/>
      <c r="FA273" s="23"/>
      <c r="FB273" s="23"/>
      <c r="FC273" s="23"/>
      <c r="FD273" s="23"/>
      <c r="FE273" s="23"/>
      <c r="FF273" s="23"/>
      <c r="FG273" s="23"/>
      <c r="FH273" s="23"/>
      <c r="FI273" s="23"/>
      <c r="FJ273" s="23"/>
      <c r="FK273" s="23"/>
      <c r="FL273" s="23"/>
      <c r="FM273" s="23"/>
      <c r="FN273" s="23"/>
      <c r="FO273" s="23"/>
      <c r="FP273" s="23"/>
      <c r="FQ273" s="23"/>
      <c r="FR273" s="23"/>
      <c r="FS273" s="23"/>
      <c r="FT273" s="23"/>
      <c r="FU273" s="23"/>
      <c r="FV273" s="23"/>
      <c r="FW273" s="23"/>
      <c r="FX273" s="23"/>
      <c r="FY273" s="23"/>
      <c r="FZ273" s="23"/>
      <c r="GA273" s="23"/>
      <c r="GB273" s="23"/>
      <c r="GC273" s="23"/>
      <c r="GD273" s="23"/>
      <c r="GE273" s="23"/>
      <c r="GF273" s="23"/>
      <c r="GG273" s="23"/>
      <c r="GH273" s="23"/>
      <c r="GI273" s="23"/>
      <c r="GJ273" s="23"/>
      <c r="GK273" s="23"/>
      <c r="GL273" s="23"/>
    </row>
    <row r="274" spans="1:194" ht="13">
      <c r="A274" s="23"/>
      <c r="B274" s="23"/>
      <c r="C274" s="23"/>
      <c r="D274" s="23"/>
      <c r="E274" s="23"/>
      <c r="F274" s="23"/>
      <c r="G274" s="23"/>
      <c r="H274" s="401"/>
      <c r="I274" s="401"/>
      <c r="J274" s="401"/>
      <c r="K274" s="401"/>
      <c r="L274" s="401"/>
      <c r="M274" s="438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  <c r="BA274" s="23"/>
      <c r="BB274" s="23"/>
      <c r="BC274" s="23"/>
      <c r="BD274" s="23"/>
      <c r="BE274" s="23"/>
      <c r="BF274" s="23"/>
      <c r="BG274" s="23"/>
      <c r="BH274" s="23"/>
      <c r="BI274" s="23"/>
      <c r="BJ274" s="23"/>
      <c r="BK274" s="23"/>
      <c r="BL274" s="23"/>
      <c r="BM274" s="23"/>
      <c r="BN274" s="23"/>
      <c r="BO274" s="23"/>
      <c r="BP274" s="23"/>
      <c r="BQ274" s="23"/>
      <c r="BR274" s="23"/>
      <c r="BS274" s="23"/>
      <c r="BT274" s="23"/>
      <c r="BU274" s="23"/>
      <c r="BV274" s="23"/>
      <c r="BW274" s="23"/>
      <c r="BX274" s="23"/>
      <c r="BY274" s="23"/>
      <c r="BZ274" s="23"/>
      <c r="CA274" s="23"/>
      <c r="CB274" s="23"/>
      <c r="CC274" s="23"/>
      <c r="CD274" s="23"/>
      <c r="CE274" s="23"/>
      <c r="CF274" s="23"/>
      <c r="CG274" s="23"/>
      <c r="CH274" s="23"/>
      <c r="CI274" s="23"/>
      <c r="CJ274" s="23"/>
      <c r="CK274" s="23"/>
      <c r="CL274" s="23"/>
      <c r="CM274" s="23"/>
      <c r="CN274" s="23"/>
      <c r="CO274" s="23"/>
      <c r="CP274" s="23"/>
      <c r="CQ274" s="23"/>
      <c r="CR274" s="23"/>
      <c r="CS274" s="23"/>
      <c r="CT274" s="23"/>
      <c r="CU274" s="23"/>
      <c r="CV274" s="23"/>
      <c r="CW274" s="23"/>
      <c r="CX274" s="23"/>
      <c r="CY274" s="23"/>
      <c r="CZ274" s="23"/>
      <c r="DA274" s="23"/>
      <c r="DB274" s="23"/>
      <c r="DC274" s="23"/>
      <c r="DD274" s="23"/>
      <c r="DE274" s="23"/>
      <c r="DF274" s="23"/>
      <c r="DG274" s="23"/>
      <c r="DH274" s="23"/>
      <c r="DI274" s="23"/>
      <c r="DJ274" s="23"/>
      <c r="DK274" s="23"/>
      <c r="DL274" s="23"/>
      <c r="DM274" s="23"/>
      <c r="DN274" s="23"/>
      <c r="DO274" s="23"/>
      <c r="DP274" s="23"/>
      <c r="DQ274" s="23"/>
      <c r="DR274" s="23"/>
      <c r="DS274" s="23"/>
      <c r="DT274" s="23"/>
      <c r="DU274" s="23"/>
      <c r="DV274" s="23"/>
      <c r="DW274" s="23"/>
      <c r="DX274" s="23"/>
      <c r="DY274" s="23"/>
      <c r="DZ274" s="23"/>
      <c r="EA274" s="23"/>
      <c r="EB274" s="23"/>
      <c r="EC274" s="23"/>
      <c r="ED274" s="23"/>
      <c r="EE274" s="23"/>
      <c r="EF274" s="23"/>
      <c r="EG274" s="23"/>
      <c r="EH274" s="23"/>
      <c r="EI274" s="23"/>
      <c r="EJ274" s="23"/>
      <c r="EK274" s="23"/>
      <c r="EL274" s="23"/>
      <c r="EM274" s="23"/>
      <c r="EN274" s="23"/>
      <c r="EO274" s="23"/>
      <c r="EP274" s="23"/>
      <c r="EQ274" s="23"/>
      <c r="ER274" s="23"/>
      <c r="ES274" s="23"/>
      <c r="ET274" s="23"/>
      <c r="EU274" s="23"/>
      <c r="EV274" s="23"/>
      <c r="EW274" s="23"/>
      <c r="EX274" s="23"/>
      <c r="EY274" s="23"/>
      <c r="EZ274" s="23"/>
      <c r="FA274" s="23"/>
      <c r="FB274" s="23"/>
      <c r="FC274" s="23"/>
      <c r="FD274" s="23"/>
      <c r="FE274" s="23"/>
      <c r="FF274" s="23"/>
      <c r="FG274" s="23"/>
      <c r="FH274" s="23"/>
      <c r="FI274" s="23"/>
      <c r="FJ274" s="23"/>
      <c r="FK274" s="23"/>
      <c r="FL274" s="23"/>
      <c r="FM274" s="23"/>
      <c r="FN274" s="23"/>
      <c r="FO274" s="23"/>
      <c r="FP274" s="23"/>
      <c r="FQ274" s="23"/>
      <c r="FR274" s="23"/>
      <c r="FS274" s="23"/>
      <c r="FT274" s="23"/>
      <c r="FU274" s="23"/>
      <c r="FV274" s="23"/>
      <c r="FW274" s="23"/>
      <c r="FX274" s="23"/>
      <c r="FY274" s="23"/>
      <c r="FZ274" s="23"/>
      <c r="GA274" s="23"/>
      <c r="GB274" s="23"/>
      <c r="GC274" s="23"/>
      <c r="GD274" s="23"/>
      <c r="GE274" s="23"/>
      <c r="GF274" s="23"/>
      <c r="GG274" s="23"/>
      <c r="GH274" s="23"/>
      <c r="GI274" s="23"/>
      <c r="GJ274" s="23"/>
      <c r="GK274" s="23"/>
      <c r="GL274" s="23"/>
    </row>
    <row r="275" spans="1:194" ht="13">
      <c r="A275" s="23"/>
      <c r="B275" s="23"/>
      <c r="C275" s="23"/>
      <c r="D275" s="23"/>
      <c r="E275" s="23"/>
      <c r="F275" s="23"/>
      <c r="G275" s="23"/>
      <c r="H275" s="401"/>
      <c r="I275" s="401"/>
      <c r="J275" s="401"/>
      <c r="K275" s="401"/>
      <c r="L275" s="401"/>
      <c r="M275" s="438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  <c r="BA275" s="23"/>
      <c r="BB275" s="23"/>
      <c r="BC275" s="23"/>
      <c r="BD275" s="23"/>
      <c r="BE275" s="23"/>
      <c r="BF275" s="23"/>
      <c r="BG275" s="23"/>
      <c r="BH275" s="23"/>
      <c r="BI275" s="23"/>
      <c r="BJ275" s="23"/>
      <c r="BK275" s="23"/>
      <c r="BL275" s="23"/>
      <c r="BM275" s="23"/>
      <c r="BN275" s="23"/>
      <c r="BO275" s="23"/>
      <c r="BP275" s="23"/>
      <c r="BQ275" s="23"/>
      <c r="BR275" s="23"/>
      <c r="BS275" s="23"/>
      <c r="BT275" s="23"/>
      <c r="BU275" s="23"/>
      <c r="BV275" s="23"/>
      <c r="BW275" s="23"/>
      <c r="BX275" s="23"/>
      <c r="BY275" s="23"/>
      <c r="BZ275" s="23"/>
      <c r="CA275" s="23"/>
      <c r="CB275" s="23"/>
      <c r="CC275" s="23"/>
      <c r="CD275" s="23"/>
      <c r="CE275" s="23"/>
      <c r="CF275" s="23"/>
      <c r="CG275" s="23"/>
      <c r="CH275" s="23"/>
      <c r="CI275" s="23"/>
      <c r="CJ275" s="23"/>
      <c r="CK275" s="23"/>
      <c r="CL275" s="23"/>
      <c r="CM275" s="23"/>
      <c r="CN275" s="23"/>
      <c r="CO275" s="23"/>
      <c r="CP275" s="23"/>
      <c r="CQ275" s="23"/>
      <c r="CR275" s="23"/>
      <c r="CS275" s="23"/>
      <c r="CT275" s="23"/>
      <c r="CU275" s="23"/>
      <c r="CV275" s="23"/>
      <c r="CW275" s="23"/>
      <c r="CX275" s="23"/>
      <c r="CY275" s="23"/>
      <c r="CZ275" s="23"/>
      <c r="DA275" s="23"/>
      <c r="DB275" s="23"/>
      <c r="DC275" s="23"/>
      <c r="DD275" s="23"/>
      <c r="DE275" s="23"/>
      <c r="DF275" s="23"/>
      <c r="DG275" s="23"/>
      <c r="DH275" s="23"/>
      <c r="DI275" s="23"/>
      <c r="DJ275" s="23"/>
      <c r="DK275" s="23"/>
      <c r="DL275" s="23"/>
      <c r="DM275" s="23"/>
      <c r="DN275" s="23"/>
      <c r="DO275" s="23"/>
      <c r="DP275" s="23"/>
      <c r="DQ275" s="23"/>
      <c r="DR275" s="23"/>
      <c r="DS275" s="23"/>
      <c r="DT275" s="23"/>
      <c r="DU275" s="23"/>
      <c r="DV275" s="23"/>
      <c r="DW275" s="23"/>
      <c r="DX275" s="23"/>
      <c r="DY275" s="23"/>
      <c r="DZ275" s="23"/>
      <c r="EA275" s="23"/>
      <c r="EB275" s="23"/>
      <c r="EC275" s="23"/>
      <c r="ED275" s="23"/>
      <c r="EE275" s="23"/>
      <c r="EF275" s="23"/>
      <c r="EG275" s="23"/>
      <c r="EH275" s="23"/>
      <c r="EI275" s="23"/>
      <c r="EJ275" s="23"/>
      <c r="EK275" s="23"/>
      <c r="EL275" s="23"/>
      <c r="EM275" s="23"/>
      <c r="EN275" s="23"/>
      <c r="EO275" s="23"/>
      <c r="EP275" s="23"/>
      <c r="EQ275" s="23"/>
      <c r="ER275" s="23"/>
      <c r="ES275" s="23"/>
      <c r="ET275" s="23"/>
      <c r="EU275" s="23"/>
      <c r="EV275" s="23"/>
      <c r="EW275" s="23"/>
      <c r="EX275" s="23"/>
      <c r="EY275" s="23"/>
      <c r="EZ275" s="23"/>
      <c r="FA275" s="23"/>
      <c r="FB275" s="23"/>
      <c r="FC275" s="23"/>
      <c r="FD275" s="23"/>
      <c r="FE275" s="23"/>
      <c r="FF275" s="23"/>
      <c r="FG275" s="23"/>
      <c r="FH275" s="23"/>
      <c r="FI275" s="23"/>
      <c r="FJ275" s="23"/>
      <c r="FK275" s="23"/>
      <c r="FL275" s="23"/>
      <c r="FM275" s="23"/>
      <c r="FN275" s="23"/>
      <c r="FO275" s="23"/>
      <c r="FP275" s="23"/>
      <c r="FQ275" s="23"/>
      <c r="FR275" s="23"/>
      <c r="FS275" s="23"/>
      <c r="FT275" s="23"/>
      <c r="FU275" s="23"/>
      <c r="FV275" s="23"/>
      <c r="FW275" s="23"/>
      <c r="FX275" s="23"/>
      <c r="FY275" s="23"/>
      <c r="FZ275" s="23"/>
      <c r="GA275" s="23"/>
      <c r="GB275" s="23"/>
      <c r="GC275" s="23"/>
      <c r="GD275" s="23"/>
      <c r="GE275" s="23"/>
      <c r="GF275" s="23"/>
      <c r="GG275" s="23"/>
      <c r="GH275" s="23"/>
      <c r="GI275" s="23"/>
      <c r="GJ275" s="23"/>
      <c r="GK275" s="23"/>
      <c r="GL275" s="23"/>
    </row>
    <row r="276" spans="1:194" ht="13">
      <c r="A276" s="23"/>
      <c r="B276" s="23"/>
      <c r="C276" s="23"/>
      <c r="D276" s="23"/>
      <c r="E276" s="23"/>
      <c r="F276" s="23"/>
      <c r="G276" s="23"/>
      <c r="H276" s="401"/>
      <c r="I276" s="401"/>
      <c r="J276" s="401"/>
      <c r="K276" s="401"/>
      <c r="L276" s="401"/>
      <c r="M276" s="438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  <c r="BF276" s="23"/>
      <c r="BG276" s="23"/>
      <c r="BH276" s="23"/>
      <c r="BI276" s="23"/>
      <c r="BJ276" s="23"/>
      <c r="BK276" s="23"/>
      <c r="BL276" s="23"/>
      <c r="BM276" s="23"/>
      <c r="BN276" s="23"/>
      <c r="BO276" s="23"/>
      <c r="BP276" s="23"/>
      <c r="BQ276" s="23"/>
      <c r="BR276" s="23"/>
      <c r="BS276" s="23"/>
      <c r="BT276" s="23"/>
      <c r="BU276" s="23"/>
      <c r="BV276" s="23"/>
      <c r="BW276" s="23"/>
      <c r="BX276" s="23"/>
      <c r="BY276" s="23"/>
      <c r="BZ276" s="23"/>
      <c r="CA276" s="23"/>
      <c r="CB276" s="23"/>
      <c r="CC276" s="23"/>
      <c r="CD276" s="23"/>
      <c r="CE276" s="23"/>
      <c r="CF276" s="23"/>
      <c r="CG276" s="23"/>
      <c r="CH276" s="23"/>
      <c r="CI276" s="23"/>
      <c r="CJ276" s="23"/>
      <c r="CK276" s="23"/>
      <c r="CL276" s="23"/>
      <c r="CM276" s="23"/>
      <c r="CN276" s="23"/>
      <c r="CO276" s="23"/>
      <c r="CP276" s="23"/>
      <c r="CQ276" s="23"/>
      <c r="CR276" s="23"/>
      <c r="CS276" s="23"/>
      <c r="CT276" s="23"/>
      <c r="CU276" s="23"/>
      <c r="CV276" s="23"/>
      <c r="CW276" s="23"/>
      <c r="CX276" s="23"/>
      <c r="CY276" s="23"/>
      <c r="CZ276" s="23"/>
      <c r="DA276" s="23"/>
      <c r="DB276" s="23"/>
      <c r="DC276" s="23"/>
      <c r="DD276" s="23"/>
      <c r="DE276" s="23"/>
      <c r="DF276" s="23"/>
      <c r="DG276" s="23"/>
      <c r="DH276" s="23"/>
      <c r="DI276" s="23"/>
      <c r="DJ276" s="23"/>
      <c r="DK276" s="23"/>
      <c r="DL276" s="23"/>
      <c r="DM276" s="23"/>
      <c r="DN276" s="23"/>
      <c r="DO276" s="23"/>
      <c r="DP276" s="23"/>
      <c r="DQ276" s="23"/>
      <c r="DR276" s="23"/>
      <c r="DS276" s="23"/>
      <c r="DT276" s="23"/>
      <c r="DU276" s="23"/>
      <c r="DV276" s="23"/>
      <c r="DW276" s="23"/>
      <c r="DX276" s="23"/>
      <c r="DY276" s="23"/>
      <c r="DZ276" s="23"/>
      <c r="EA276" s="23"/>
      <c r="EB276" s="23"/>
      <c r="EC276" s="23"/>
      <c r="ED276" s="23"/>
      <c r="EE276" s="23"/>
      <c r="EF276" s="23"/>
      <c r="EG276" s="23"/>
      <c r="EH276" s="23"/>
      <c r="EI276" s="23"/>
      <c r="EJ276" s="23"/>
      <c r="EK276" s="23"/>
      <c r="EL276" s="23"/>
      <c r="EM276" s="23"/>
      <c r="EN276" s="23"/>
      <c r="EO276" s="23"/>
      <c r="EP276" s="23"/>
      <c r="EQ276" s="23"/>
      <c r="ER276" s="23"/>
      <c r="ES276" s="23"/>
      <c r="ET276" s="23"/>
      <c r="EU276" s="23"/>
      <c r="EV276" s="23"/>
      <c r="EW276" s="23"/>
      <c r="EX276" s="23"/>
      <c r="EY276" s="23"/>
      <c r="EZ276" s="23"/>
      <c r="FA276" s="23"/>
      <c r="FB276" s="23"/>
      <c r="FC276" s="23"/>
      <c r="FD276" s="23"/>
      <c r="FE276" s="23"/>
      <c r="FF276" s="23"/>
      <c r="FG276" s="23"/>
      <c r="FH276" s="23"/>
      <c r="FI276" s="23"/>
      <c r="FJ276" s="23"/>
      <c r="FK276" s="23"/>
      <c r="FL276" s="23"/>
      <c r="FM276" s="23"/>
      <c r="FN276" s="23"/>
      <c r="FO276" s="23"/>
      <c r="FP276" s="23"/>
      <c r="FQ276" s="23"/>
      <c r="FR276" s="23"/>
      <c r="FS276" s="23"/>
      <c r="FT276" s="23"/>
      <c r="FU276" s="23"/>
      <c r="FV276" s="23"/>
      <c r="FW276" s="23"/>
      <c r="FX276" s="23"/>
      <c r="FY276" s="23"/>
      <c r="FZ276" s="23"/>
      <c r="GA276" s="23"/>
      <c r="GB276" s="23"/>
      <c r="GC276" s="23"/>
      <c r="GD276" s="23"/>
      <c r="GE276" s="23"/>
      <c r="GF276" s="23"/>
      <c r="GG276" s="23"/>
      <c r="GH276" s="23"/>
      <c r="GI276" s="23"/>
      <c r="GJ276" s="23"/>
      <c r="GK276" s="23"/>
      <c r="GL276" s="23"/>
    </row>
    <row r="277" spans="1:194" ht="13">
      <c r="A277" s="23"/>
      <c r="B277" s="23"/>
      <c r="C277" s="23"/>
      <c r="D277" s="23"/>
      <c r="E277" s="23"/>
      <c r="F277" s="23"/>
      <c r="G277" s="23"/>
      <c r="H277" s="401"/>
      <c r="I277" s="401"/>
      <c r="J277" s="401"/>
      <c r="K277" s="401"/>
      <c r="L277" s="401"/>
      <c r="M277" s="438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3"/>
      <c r="AX277" s="23"/>
      <c r="AY277" s="23"/>
      <c r="AZ277" s="23"/>
      <c r="BA277" s="23"/>
      <c r="BB277" s="23"/>
      <c r="BC277" s="23"/>
      <c r="BD277" s="23"/>
      <c r="BE277" s="23"/>
      <c r="BF277" s="23"/>
      <c r="BG277" s="23"/>
      <c r="BH277" s="23"/>
      <c r="BI277" s="23"/>
      <c r="BJ277" s="23"/>
      <c r="BK277" s="23"/>
      <c r="BL277" s="23"/>
      <c r="BM277" s="23"/>
      <c r="BN277" s="23"/>
      <c r="BO277" s="23"/>
      <c r="BP277" s="23"/>
      <c r="BQ277" s="23"/>
      <c r="BR277" s="23"/>
      <c r="BS277" s="23"/>
      <c r="BT277" s="23"/>
      <c r="BU277" s="23"/>
      <c r="BV277" s="23"/>
      <c r="BW277" s="23"/>
      <c r="BX277" s="23"/>
      <c r="BY277" s="23"/>
      <c r="BZ277" s="23"/>
      <c r="CA277" s="23"/>
      <c r="CB277" s="23"/>
      <c r="CC277" s="23"/>
      <c r="CD277" s="23"/>
      <c r="CE277" s="23"/>
      <c r="CF277" s="23"/>
      <c r="CG277" s="23"/>
      <c r="CH277" s="23"/>
      <c r="CI277" s="23"/>
      <c r="CJ277" s="23"/>
      <c r="CK277" s="23"/>
      <c r="CL277" s="23"/>
      <c r="CM277" s="23"/>
      <c r="CN277" s="23"/>
      <c r="CO277" s="23"/>
      <c r="CP277" s="23"/>
      <c r="CQ277" s="23"/>
      <c r="CR277" s="23"/>
      <c r="CS277" s="23"/>
      <c r="CT277" s="23"/>
      <c r="CU277" s="23"/>
      <c r="CV277" s="23"/>
      <c r="CW277" s="23"/>
      <c r="CX277" s="23"/>
      <c r="CY277" s="23"/>
      <c r="CZ277" s="23"/>
      <c r="DA277" s="23"/>
      <c r="DB277" s="23"/>
      <c r="DC277" s="23"/>
      <c r="DD277" s="23"/>
      <c r="DE277" s="23"/>
      <c r="DF277" s="23"/>
      <c r="DG277" s="23"/>
      <c r="DH277" s="23"/>
      <c r="DI277" s="23"/>
      <c r="DJ277" s="23"/>
      <c r="DK277" s="23"/>
      <c r="DL277" s="23"/>
      <c r="DM277" s="23"/>
      <c r="DN277" s="23"/>
      <c r="DO277" s="23"/>
      <c r="DP277" s="23"/>
      <c r="DQ277" s="23"/>
      <c r="DR277" s="23"/>
      <c r="DS277" s="23"/>
      <c r="DT277" s="23"/>
      <c r="DU277" s="23"/>
      <c r="DV277" s="23"/>
      <c r="DW277" s="23"/>
      <c r="DX277" s="23"/>
      <c r="DY277" s="23"/>
      <c r="DZ277" s="23"/>
      <c r="EA277" s="23"/>
      <c r="EB277" s="23"/>
      <c r="EC277" s="23"/>
      <c r="ED277" s="23"/>
      <c r="EE277" s="23"/>
      <c r="EF277" s="23"/>
      <c r="EG277" s="23"/>
      <c r="EH277" s="23"/>
      <c r="EI277" s="23"/>
      <c r="EJ277" s="23"/>
      <c r="EK277" s="23"/>
      <c r="EL277" s="23"/>
      <c r="EM277" s="23"/>
      <c r="EN277" s="23"/>
      <c r="EO277" s="23"/>
      <c r="EP277" s="23"/>
      <c r="EQ277" s="23"/>
      <c r="ER277" s="23"/>
      <c r="ES277" s="23"/>
      <c r="ET277" s="23"/>
      <c r="EU277" s="23"/>
      <c r="EV277" s="23"/>
      <c r="EW277" s="23"/>
      <c r="EX277" s="23"/>
      <c r="EY277" s="23"/>
      <c r="EZ277" s="23"/>
      <c r="FA277" s="23"/>
      <c r="FB277" s="23"/>
      <c r="FC277" s="23"/>
      <c r="FD277" s="23"/>
      <c r="FE277" s="23"/>
      <c r="FF277" s="23"/>
      <c r="FG277" s="23"/>
      <c r="FH277" s="23"/>
      <c r="FI277" s="23"/>
      <c r="FJ277" s="23"/>
      <c r="FK277" s="23"/>
      <c r="FL277" s="23"/>
      <c r="FM277" s="23"/>
      <c r="FN277" s="23"/>
      <c r="FO277" s="23"/>
      <c r="FP277" s="23"/>
      <c r="FQ277" s="23"/>
      <c r="FR277" s="23"/>
      <c r="FS277" s="23"/>
      <c r="FT277" s="23"/>
      <c r="FU277" s="23"/>
      <c r="FV277" s="23"/>
      <c r="FW277" s="23"/>
      <c r="FX277" s="23"/>
      <c r="FY277" s="23"/>
      <c r="FZ277" s="23"/>
      <c r="GA277" s="23"/>
      <c r="GB277" s="23"/>
      <c r="GC277" s="23"/>
      <c r="GD277" s="23"/>
      <c r="GE277" s="23"/>
      <c r="GF277" s="23"/>
      <c r="GG277" s="23"/>
      <c r="GH277" s="23"/>
      <c r="GI277" s="23"/>
      <c r="GJ277" s="23"/>
      <c r="GK277" s="23"/>
      <c r="GL277" s="23"/>
    </row>
    <row r="278" spans="1:194" ht="13">
      <c r="A278" s="23"/>
      <c r="B278" s="23"/>
      <c r="C278" s="23"/>
      <c r="D278" s="23"/>
      <c r="E278" s="23"/>
      <c r="F278" s="23"/>
      <c r="G278" s="23"/>
      <c r="H278" s="401"/>
      <c r="I278" s="401"/>
      <c r="J278" s="401"/>
      <c r="K278" s="401"/>
      <c r="L278" s="401"/>
      <c r="M278" s="438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23"/>
      <c r="AZ278" s="23"/>
      <c r="BA278" s="23"/>
      <c r="BB278" s="23"/>
      <c r="BC278" s="23"/>
      <c r="BD278" s="23"/>
      <c r="BE278" s="23"/>
      <c r="BF278" s="23"/>
      <c r="BG278" s="23"/>
      <c r="BH278" s="23"/>
      <c r="BI278" s="23"/>
      <c r="BJ278" s="23"/>
      <c r="BK278" s="23"/>
      <c r="BL278" s="23"/>
      <c r="BM278" s="23"/>
      <c r="BN278" s="23"/>
      <c r="BO278" s="23"/>
      <c r="BP278" s="23"/>
      <c r="BQ278" s="23"/>
      <c r="BR278" s="23"/>
      <c r="BS278" s="23"/>
      <c r="BT278" s="23"/>
      <c r="BU278" s="23"/>
      <c r="BV278" s="23"/>
      <c r="BW278" s="23"/>
      <c r="BX278" s="23"/>
      <c r="BY278" s="23"/>
      <c r="BZ278" s="23"/>
      <c r="CA278" s="23"/>
      <c r="CB278" s="23"/>
      <c r="CC278" s="23"/>
      <c r="CD278" s="23"/>
      <c r="CE278" s="23"/>
      <c r="CF278" s="23"/>
      <c r="CG278" s="23"/>
      <c r="CH278" s="23"/>
      <c r="CI278" s="23"/>
      <c r="CJ278" s="23"/>
      <c r="CK278" s="23"/>
      <c r="CL278" s="23"/>
      <c r="CM278" s="23"/>
      <c r="CN278" s="23"/>
      <c r="CO278" s="23"/>
      <c r="CP278" s="23"/>
      <c r="CQ278" s="23"/>
      <c r="CR278" s="23"/>
      <c r="CS278" s="23"/>
      <c r="CT278" s="23"/>
      <c r="CU278" s="23"/>
      <c r="CV278" s="23"/>
      <c r="CW278" s="23"/>
      <c r="CX278" s="23"/>
      <c r="CY278" s="23"/>
      <c r="CZ278" s="23"/>
      <c r="DA278" s="23"/>
      <c r="DB278" s="23"/>
      <c r="DC278" s="23"/>
      <c r="DD278" s="23"/>
      <c r="DE278" s="23"/>
      <c r="DF278" s="23"/>
      <c r="DG278" s="23"/>
      <c r="DH278" s="23"/>
      <c r="DI278" s="23"/>
      <c r="DJ278" s="23"/>
      <c r="DK278" s="23"/>
      <c r="DL278" s="23"/>
      <c r="DM278" s="23"/>
      <c r="DN278" s="23"/>
      <c r="DO278" s="23"/>
      <c r="DP278" s="23"/>
      <c r="DQ278" s="23"/>
      <c r="DR278" s="23"/>
      <c r="DS278" s="23"/>
      <c r="DT278" s="23"/>
      <c r="DU278" s="23"/>
      <c r="DV278" s="23"/>
      <c r="DW278" s="23"/>
      <c r="DX278" s="23"/>
      <c r="DY278" s="23"/>
      <c r="DZ278" s="23"/>
      <c r="EA278" s="23"/>
      <c r="EB278" s="23"/>
      <c r="EC278" s="23"/>
      <c r="ED278" s="23"/>
      <c r="EE278" s="23"/>
      <c r="EF278" s="23"/>
      <c r="EG278" s="23"/>
      <c r="EH278" s="23"/>
      <c r="EI278" s="23"/>
      <c r="EJ278" s="23"/>
      <c r="EK278" s="23"/>
      <c r="EL278" s="23"/>
      <c r="EM278" s="23"/>
      <c r="EN278" s="23"/>
      <c r="EO278" s="23"/>
      <c r="EP278" s="23"/>
      <c r="EQ278" s="23"/>
      <c r="ER278" s="23"/>
      <c r="ES278" s="23"/>
      <c r="ET278" s="23"/>
      <c r="EU278" s="23"/>
      <c r="EV278" s="23"/>
      <c r="EW278" s="23"/>
      <c r="EX278" s="23"/>
      <c r="EY278" s="23"/>
      <c r="EZ278" s="23"/>
      <c r="FA278" s="23"/>
      <c r="FB278" s="23"/>
      <c r="FC278" s="23"/>
      <c r="FD278" s="23"/>
      <c r="FE278" s="23"/>
      <c r="FF278" s="23"/>
      <c r="FG278" s="23"/>
      <c r="FH278" s="23"/>
      <c r="FI278" s="23"/>
      <c r="FJ278" s="23"/>
      <c r="FK278" s="23"/>
      <c r="FL278" s="23"/>
      <c r="FM278" s="23"/>
      <c r="FN278" s="23"/>
      <c r="FO278" s="23"/>
      <c r="FP278" s="23"/>
      <c r="FQ278" s="23"/>
      <c r="FR278" s="23"/>
      <c r="FS278" s="23"/>
      <c r="FT278" s="23"/>
      <c r="FU278" s="23"/>
      <c r="FV278" s="23"/>
      <c r="FW278" s="23"/>
      <c r="FX278" s="23"/>
      <c r="FY278" s="23"/>
      <c r="FZ278" s="23"/>
      <c r="GA278" s="23"/>
      <c r="GB278" s="23"/>
      <c r="GC278" s="23"/>
      <c r="GD278" s="23"/>
      <c r="GE278" s="23"/>
      <c r="GF278" s="23"/>
      <c r="GG278" s="23"/>
      <c r="GH278" s="23"/>
      <c r="GI278" s="23"/>
      <c r="GJ278" s="23"/>
      <c r="GK278" s="23"/>
      <c r="GL278" s="23"/>
    </row>
    <row r="279" spans="1:194" ht="13">
      <c r="A279" s="23"/>
      <c r="B279" s="23"/>
      <c r="C279" s="23"/>
      <c r="D279" s="23"/>
      <c r="E279" s="23"/>
      <c r="F279" s="23"/>
      <c r="G279" s="23"/>
      <c r="H279" s="401"/>
      <c r="I279" s="401"/>
      <c r="J279" s="401"/>
      <c r="K279" s="401"/>
      <c r="L279" s="401"/>
      <c r="M279" s="438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  <c r="BF279" s="23"/>
      <c r="BG279" s="23"/>
      <c r="BH279" s="23"/>
      <c r="BI279" s="23"/>
      <c r="BJ279" s="23"/>
      <c r="BK279" s="23"/>
      <c r="BL279" s="23"/>
      <c r="BM279" s="23"/>
      <c r="BN279" s="23"/>
      <c r="BO279" s="23"/>
      <c r="BP279" s="23"/>
      <c r="BQ279" s="23"/>
      <c r="BR279" s="23"/>
      <c r="BS279" s="23"/>
      <c r="BT279" s="23"/>
      <c r="BU279" s="23"/>
      <c r="BV279" s="23"/>
      <c r="BW279" s="23"/>
      <c r="BX279" s="23"/>
      <c r="BY279" s="23"/>
      <c r="BZ279" s="23"/>
      <c r="CA279" s="23"/>
      <c r="CB279" s="23"/>
      <c r="CC279" s="23"/>
      <c r="CD279" s="23"/>
      <c r="CE279" s="23"/>
      <c r="CF279" s="23"/>
      <c r="CG279" s="23"/>
      <c r="CH279" s="23"/>
      <c r="CI279" s="23"/>
      <c r="CJ279" s="23"/>
      <c r="CK279" s="23"/>
      <c r="CL279" s="23"/>
      <c r="CM279" s="23"/>
      <c r="CN279" s="23"/>
      <c r="CO279" s="23"/>
      <c r="CP279" s="23"/>
      <c r="CQ279" s="23"/>
      <c r="CR279" s="23"/>
      <c r="CS279" s="23"/>
      <c r="CT279" s="23"/>
      <c r="CU279" s="23"/>
      <c r="CV279" s="23"/>
      <c r="CW279" s="23"/>
      <c r="CX279" s="23"/>
      <c r="CY279" s="23"/>
      <c r="CZ279" s="23"/>
      <c r="DA279" s="23"/>
      <c r="DB279" s="23"/>
      <c r="DC279" s="23"/>
      <c r="DD279" s="23"/>
      <c r="DE279" s="23"/>
      <c r="DF279" s="23"/>
      <c r="DG279" s="23"/>
      <c r="DH279" s="23"/>
      <c r="DI279" s="23"/>
      <c r="DJ279" s="23"/>
      <c r="DK279" s="23"/>
      <c r="DL279" s="23"/>
      <c r="DM279" s="23"/>
      <c r="DN279" s="23"/>
      <c r="DO279" s="23"/>
      <c r="DP279" s="23"/>
      <c r="DQ279" s="23"/>
      <c r="DR279" s="23"/>
      <c r="DS279" s="23"/>
      <c r="DT279" s="23"/>
      <c r="DU279" s="23"/>
      <c r="DV279" s="23"/>
      <c r="DW279" s="23"/>
      <c r="DX279" s="23"/>
      <c r="DY279" s="23"/>
      <c r="DZ279" s="23"/>
      <c r="EA279" s="23"/>
      <c r="EB279" s="23"/>
      <c r="EC279" s="23"/>
      <c r="ED279" s="23"/>
      <c r="EE279" s="23"/>
      <c r="EF279" s="23"/>
      <c r="EG279" s="23"/>
      <c r="EH279" s="23"/>
      <c r="EI279" s="23"/>
      <c r="EJ279" s="23"/>
      <c r="EK279" s="23"/>
      <c r="EL279" s="23"/>
      <c r="EM279" s="23"/>
      <c r="EN279" s="23"/>
      <c r="EO279" s="23"/>
      <c r="EP279" s="23"/>
      <c r="EQ279" s="23"/>
      <c r="ER279" s="23"/>
      <c r="ES279" s="23"/>
      <c r="ET279" s="23"/>
      <c r="EU279" s="23"/>
      <c r="EV279" s="23"/>
      <c r="EW279" s="23"/>
      <c r="EX279" s="23"/>
      <c r="EY279" s="23"/>
      <c r="EZ279" s="23"/>
      <c r="FA279" s="23"/>
      <c r="FB279" s="23"/>
      <c r="FC279" s="23"/>
      <c r="FD279" s="23"/>
      <c r="FE279" s="23"/>
      <c r="FF279" s="23"/>
      <c r="FG279" s="23"/>
      <c r="FH279" s="23"/>
      <c r="FI279" s="23"/>
      <c r="FJ279" s="23"/>
      <c r="FK279" s="23"/>
      <c r="FL279" s="23"/>
      <c r="FM279" s="23"/>
      <c r="FN279" s="23"/>
      <c r="FO279" s="23"/>
      <c r="FP279" s="23"/>
      <c r="FQ279" s="23"/>
      <c r="FR279" s="23"/>
      <c r="FS279" s="23"/>
      <c r="FT279" s="23"/>
      <c r="FU279" s="23"/>
      <c r="FV279" s="23"/>
      <c r="FW279" s="23"/>
      <c r="FX279" s="23"/>
      <c r="FY279" s="23"/>
      <c r="FZ279" s="23"/>
      <c r="GA279" s="23"/>
      <c r="GB279" s="23"/>
      <c r="GC279" s="23"/>
      <c r="GD279" s="23"/>
      <c r="GE279" s="23"/>
      <c r="GF279" s="23"/>
      <c r="GG279" s="23"/>
      <c r="GH279" s="23"/>
      <c r="GI279" s="23"/>
      <c r="GJ279" s="23"/>
      <c r="GK279" s="23"/>
      <c r="GL279" s="23"/>
    </row>
    <row r="280" spans="1:194" ht="13">
      <c r="A280" s="23"/>
      <c r="B280" s="23"/>
      <c r="C280" s="23"/>
      <c r="D280" s="23"/>
      <c r="E280" s="23"/>
      <c r="F280" s="23"/>
      <c r="G280" s="23"/>
      <c r="H280" s="401"/>
      <c r="I280" s="401"/>
      <c r="J280" s="401"/>
      <c r="K280" s="401"/>
      <c r="L280" s="401"/>
      <c r="M280" s="438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3"/>
      <c r="AX280" s="23"/>
      <c r="AY280" s="23"/>
      <c r="AZ280" s="23"/>
      <c r="BA280" s="23"/>
      <c r="BB280" s="23"/>
      <c r="BC280" s="23"/>
      <c r="BD280" s="23"/>
      <c r="BE280" s="23"/>
      <c r="BF280" s="23"/>
      <c r="BG280" s="23"/>
      <c r="BH280" s="23"/>
      <c r="BI280" s="23"/>
      <c r="BJ280" s="23"/>
      <c r="BK280" s="23"/>
      <c r="BL280" s="23"/>
      <c r="BM280" s="23"/>
      <c r="BN280" s="23"/>
      <c r="BO280" s="23"/>
      <c r="BP280" s="23"/>
      <c r="BQ280" s="23"/>
      <c r="BR280" s="23"/>
      <c r="BS280" s="23"/>
      <c r="BT280" s="23"/>
      <c r="BU280" s="23"/>
      <c r="BV280" s="23"/>
      <c r="BW280" s="23"/>
      <c r="BX280" s="23"/>
      <c r="BY280" s="23"/>
      <c r="BZ280" s="23"/>
      <c r="CA280" s="23"/>
      <c r="CB280" s="23"/>
      <c r="CC280" s="23"/>
      <c r="CD280" s="23"/>
      <c r="CE280" s="23"/>
      <c r="CF280" s="23"/>
      <c r="CG280" s="23"/>
      <c r="CH280" s="23"/>
      <c r="CI280" s="23"/>
      <c r="CJ280" s="23"/>
      <c r="CK280" s="23"/>
      <c r="CL280" s="23"/>
      <c r="CM280" s="23"/>
      <c r="CN280" s="23"/>
      <c r="CO280" s="23"/>
      <c r="CP280" s="23"/>
      <c r="CQ280" s="23"/>
      <c r="CR280" s="23"/>
      <c r="CS280" s="23"/>
      <c r="CT280" s="23"/>
      <c r="CU280" s="23"/>
      <c r="CV280" s="23"/>
      <c r="CW280" s="23"/>
      <c r="CX280" s="23"/>
      <c r="CY280" s="23"/>
      <c r="CZ280" s="23"/>
      <c r="DA280" s="23"/>
      <c r="DB280" s="23"/>
      <c r="DC280" s="23"/>
      <c r="DD280" s="23"/>
      <c r="DE280" s="23"/>
      <c r="DF280" s="23"/>
      <c r="DG280" s="23"/>
      <c r="DH280" s="23"/>
      <c r="DI280" s="23"/>
      <c r="DJ280" s="23"/>
      <c r="DK280" s="23"/>
      <c r="DL280" s="23"/>
      <c r="DM280" s="23"/>
      <c r="DN280" s="23"/>
      <c r="DO280" s="23"/>
      <c r="DP280" s="23"/>
      <c r="DQ280" s="23"/>
      <c r="DR280" s="23"/>
      <c r="DS280" s="23"/>
      <c r="DT280" s="23"/>
      <c r="DU280" s="23"/>
      <c r="DV280" s="23"/>
      <c r="DW280" s="23"/>
      <c r="DX280" s="23"/>
      <c r="DY280" s="23"/>
      <c r="DZ280" s="23"/>
      <c r="EA280" s="23"/>
      <c r="EB280" s="23"/>
      <c r="EC280" s="23"/>
      <c r="ED280" s="23"/>
      <c r="EE280" s="23"/>
      <c r="EF280" s="23"/>
      <c r="EG280" s="23"/>
      <c r="EH280" s="23"/>
      <c r="EI280" s="23"/>
      <c r="EJ280" s="23"/>
      <c r="EK280" s="23"/>
      <c r="EL280" s="23"/>
      <c r="EM280" s="23"/>
      <c r="EN280" s="23"/>
      <c r="EO280" s="23"/>
      <c r="EP280" s="23"/>
      <c r="EQ280" s="23"/>
      <c r="ER280" s="23"/>
      <c r="ES280" s="23"/>
      <c r="ET280" s="23"/>
      <c r="EU280" s="23"/>
      <c r="EV280" s="23"/>
      <c r="EW280" s="23"/>
      <c r="EX280" s="23"/>
      <c r="EY280" s="23"/>
      <c r="EZ280" s="23"/>
      <c r="FA280" s="23"/>
      <c r="FB280" s="23"/>
      <c r="FC280" s="23"/>
      <c r="FD280" s="23"/>
      <c r="FE280" s="23"/>
      <c r="FF280" s="23"/>
      <c r="FG280" s="23"/>
      <c r="FH280" s="23"/>
      <c r="FI280" s="23"/>
      <c r="FJ280" s="23"/>
      <c r="FK280" s="23"/>
      <c r="FL280" s="23"/>
      <c r="FM280" s="23"/>
      <c r="FN280" s="23"/>
      <c r="FO280" s="23"/>
      <c r="FP280" s="23"/>
      <c r="FQ280" s="23"/>
      <c r="FR280" s="23"/>
      <c r="FS280" s="23"/>
      <c r="FT280" s="23"/>
      <c r="FU280" s="23"/>
      <c r="FV280" s="23"/>
      <c r="FW280" s="23"/>
      <c r="FX280" s="23"/>
      <c r="FY280" s="23"/>
      <c r="FZ280" s="23"/>
      <c r="GA280" s="23"/>
      <c r="GB280" s="23"/>
      <c r="GC280" s="23"/>
      <c r="GD280" s="23"/>
      <c r="GE280" s="23"/>
      <c r="GF280" s="23"/>
      <c r="GG280" s="23"/>
      <c r="GH280" s="23"/>
      <c r="GI280" s="23"/>
      <c r="GJ280" s="23"/>
      <c r="GK280" s="23"/>
      <c r="GL280" s="23"/>
    </row>
    <row r="281" spans="1:194" ht="13">
      <c r="A281" s="23"/>
      <c r="B281" s="23"/>
      <c r="C281" s="23"/>
      <c r="D281" s="23"/>
      <c r="E281" s="23"/>
      <c r="F281" s="23"/>
      <c r="G281" s="23"/>
      <c r="H281" s="401"/>
      <c r="I281" s="401"/>
      <c r="J281" s="401"/>
      <c r="K281" s="401"/>
      <c r="L281" s="401"/>
      <c r="M281" s="438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23"/>
      <c r="BD281" s="23"/>
      <c r="BE281" s="23"/>
      <c r="BF281" s="23"/>
      <c r="BG281" s="23"/>
      <c r="BH281" s="23"/>
      <c r="BI281" s="23"/>
      <c r="BJ281" s="23"/>
      <c r="BK281" s="23"/>
      <c r="BL281" s="23"/>
      <c r="BM281" s="23"/>
      <c r="BN281" s="23"/>
      <c r="BO281" s="23"/>
      <c r="BP281" s="23"/>
      <c r="BQ281" s="23"/>
      <c r="BR281" s="23"/>
      <c r="BS281" s="23"/>
      <c r="BT281" s="23"/>
      <c r="BU281" s="23"/>
      <c r="BV281" s="23"/>
      <c r="BW281" s="23"/>
      <c r="BX281" s="23"/>
      <c r="BY281" s="23"/>
      <c r="BZ281" s="23"/>
      <c r="CA281" s="23"/>
      <c r="CB281" s="23"/>
      <c r="CC281" s="23"/>
      <c r="CD281" s="23"/>
      <c r="CE281" s="23"/>
      <c r="CF281" s="23"/>
      <c r="CG281" s="23"/>
      <c r="CH281" s="23"/>
      <c r="CI281" s="23"/>
      <c r="CJ281" s="23"/>
      <c r="CK281" s="23"/>
      <c r="CL281" s="23"/>
      <c r="CM281" s="23"/>
      <c r="CN281" s="23"/>
      <c r="CO281" s="23"/>
      <c r="CP281" s="23"/>
      <c r="CQ281" s="23"/>
      <c r="CR281" s="23"/>
      <c r="CS281" s="23"/>
      <c r="CT281" s="23"/>
      <c r="CU281" s="23"/>
      <c r="CV281" s="23"/>
      <c r="CW281" s="23"/>
      <c r="CX281" s="23"/>
      <c r="CY281" s="23"/>
      <c r="CZ281" s="23"/>
      <c r="DA281" s="23"/>
      <c r="DB281" s="23"/>
      <c r="DC281" s="23"/>
      <c r="DD281" s="23"/>
      <c r="DE281" s="23"/>
      <c r="DF281" s="23"/>
      <c r="DG281" s="23"/>
      <c r="DH281" s="23"/>
      <c r="DI281" s="23"/>
      <c r="DJ281" s="23"/>
      <c r="DK281" s="23"/>
      <c r="DL281" s="23"/>
      <c r="DM281" s="23"/>
      <c r="DN281" s="23"/>
      <c r="DO281" s="23"/>
      <c r="DP281" s="23"/>
      <c r="DQ281" s="23"/>
      <c r="DR281" s="23"/>
      <c r="DS281" s="23"/>
      <c r="DT281" s="23"/>
      <c r="DU281" s="23"/>
      <c r="DV281" s="23"/>
      <c r="DW281" s="23"/>
      <c r="DX281" s="23"/>
      <c r="DY281" s="23"/>
      <c r="DZ281" s="23"/>
      <c r="EA281" s="23"/>
      <c r="EB281" s="23"/>
      <c r="EC281" s="23"/>
      <c r="ED281" s="23"/>
      <c r="EE281" s="23"/>
      <c r="EF281" s="23"/>
      <c r="EG281" s="23"/>
      <c r="EH281" s="23"/>
      <c r="EI281" s="23"/>
      <c r="EJ281" s="23"/>
      <c r="EK281" s="23"/>
      <c r="EL281" s="23"/>
      <c r="EM281" s="23"/>
      <c r="EN281" s="23"/>
      <c r="EO281" s="23"/>
      <c r="EP281" s="23"/>
      <c r="EQ281" s="23"/>
      <c r="ER281" s="23"/>
      <c r="ES281" s="23"/>
      <c r="ET281" s="23"/>
      <c r="EU281" s="23"/>
      <c r="EV281" s="23"/>
      <c r="EW281" s="23"/>
      <c r="EX281" s="23"/>
      <c r="EY281" s="23"/>
      <c r="EZ281" s="23"/>
      <c r="FA281" s="23"/>
      <c r="FB281" s="23"/>
      <c r="FC281" s="23"/>
      <c r="FD281" s="23"/>
      <c r="FE281" s="23"/>
      <c r="FF281" s="23"/>
      <c r="FG281" s="23"/>
      <c r="FH281" s="23"/>
      <c r="FI281" s="23"/>
      <c r="FJ281" s="23"/>
      <c r="FK281" s="23"/>
      <c r="FL281" s="23"/>
      <c r="FM281" s="23"/>
      <c r="FN281" s="23"/>
      <c r="FO281" s="23"/>
      <c r="FP281" s="23"/>
      <c r="FQ281" s="23"/>
      <c r="FR281" s="23"/>
      <c r="FS281" s="23"/>
      <c r="FT281" s="23"/>
      <c r="FU281" s="23"/>
      <c r="FV281" s="23"/>
      <c r="FW281" s="23"/>
      <c r="FX281" s="23"/>
      <c r="FY281" s="23"/>
      <c r="FZ281" s="23"/>
      <c r="GA281" s="23"/>
      <c r="GB281" s="23"/>
      <c r="GC281" s="23"/>
      <c r="GD281" s="23"/>
      <c r="GE281" s="23"/>
      <c r="GF281" s="23"/>
      <c r="GG281" s="23"/>
      <c r="GH281" s="23"/>
      <c r="GI281" s="23"/>
      <c r="GJ281" s="23"/>
      <c r="GK281" s="23"/>
      <c r="GL281" s="23"/>
    </row>
    <row r="282" spans="1:194" ht="13">
      <c r="A282" s="23"/>
      <c r="B282" s="23"/>
      <c r="C282" s="23"/>
      <c r="D282" s="23"/>
      <c r="E282" s="23"/>
      <c r="F282" s="23"/>
      <c r="G282" s="23"/>
      <c r="H282" s="401"/>
      <c r="I282" s="401"/>
      <c r="J282" s="401"/>
      <c r="K282" s="401"/>
      <c r="L282" s="401"/>
      <c r="M282" s="438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  <c r="AW282" s="23"/>
      <c r="AX282" s="23"/>
      <c r="AY282" s="23"/>
      <c r="AZ282" s="23"/>
      <c r="BA282" s="23"/>
      <c r="BB282" s="23"/>
      <c r="BC282" s="23"/>
      <c r="BD282" s="23"/>
      <c r="BE282" s="23"/>
      <c r="BF282" s="23"/>
      <c r="BG282" s="23"/>
      <c r="BH282" s="23"/>
      <c r="BI282" s="23"/>
      <c r="BJ282" s="23"/>
      <c r="BK282" s="23"/>
      <c r="BL282" s="23"/>
      <c r="BM282" s="23"/>
      <c r="BN282" s="23"/>
      <c r="BO282" s="23"/>
      <c r="BP282" s="23"/>
      <c r="BQ282" s="23"/>
      <c r="BR282" s="23"/>
      <c r="BS282" s="23"/>
      <c r="BT282" s="23"/>
      <c r="BU282" s="23"/>
      <c r="BV282" s="23"/>
      <c r="BW282" s="23"/>
      <c r="BX282" s="23"/>
      <c r="BY282" s="23"/>
      <c r="BZ282" s="23"/>
      <c r="CA282" s="23"/>
      <c r="CB282" s="23"/>
      <c r="CC282" s="23"/>
      <c r="CD282" s="23"/>
      <c r="CE282" s="23"/>
      <c r="CF282" s="23"/>
      <c r="CG282" s="23"/>
      <c r="CH282" s="23"/>
      <c r="CI282" s="23"/>
      <c r="CJ282" s="23"/>
      <c r="CK282" s="23"/>
      <c r="CL282" s="23"/>
      <c r="CM282" s="23"/>
      <c r="CN282" s="23"/>
      <c r="CO282" s="23"/>
      <c r="CP282" s="23"/>
      <c r="CQ282" s="23"/>
      <c r="CR282" s="23"/>
      <c r="CS282" s="23"/>
      <c r="CT282" s="23"/>
      <c r="CU282" s="23"/>
      <c r="CV282" s="23"/>
      <c r="CW282" s="23"/>
      <c r="CX282" s="23"/>
      <c r="CY282" s="23"/>
      <c r="CZ282" s="23"/>
      <c r="DA282" s="23"/>
      <c r="DB282" s="23"/>
      <c r="DC282" s="23"/>
      <c r="DD282" s="23"/>
      <c r="DE282" s="23"/>
      <c r="DF282" s="23"/>
      <c r="DG282" s="23"/>
      <c r="DH282" s="23"/>
      <c r="DI282" s="23"/>
      <c r="DJ282" s="23"/>
      <c r="DK282" s="23"/>
      <c r="DL282" s="23"/>
      <c r="DM282" s="23"/>
      <c r="DN282" s="23"/>
      <c r="DO282" s="23"/>
      <c r="DP282" s="23"/>
      <c r="DQ282" s="23"/>
      <c r="DR282" s="23"/>
      <c r="DS282" s="23"/>
      <c r="DT282" s="23"/>
      <c r="DU282" s="23"/>
      <c r="DV282" s="23"/>
      <c r="DW282" s="23"/>
      <c r="DX282" s="23"/>
      <c r="DY282" s="23"/>
      <c r="DZ282" s="23"/>
      <c r="EA282" s="23"/>
      <c r="EB282" s="23"/>
      <c r="EC282" s="23"/>
      <c r="ED282" s="23"/>
      <c r="EE282" s="23"/>
      <c r="EF282" s="23"/>
      <c r="EG282" s="23"/>
      <c r="EH282" s="23"/>
      <c r="EI282" s="23"/>
      <c r="EJ282" s="23"/>
      <c r="EK282" s="23"/>
      <c r="EL282" s="23"/>
      <c r="EM282" s="23"/>
      <c r="EN282" s="23"/>
      <c r="EO282" s="23"/>
      <c r="EP282" s="23"/>
      <c r="EQ282" s="23"/>
      <c r="ER282" s="23"/>
      <c r="ES282" s="23"/>
      <c r="ET282" s="23"/>
      <c r="EU282" s="23"/>
      <c r="EV282" s="23"/>
      <c r="EW282" s="23"/>
      <c r="EX282" s="23"/>
      <c r="EY282" s="23"/>
      <c r="EZ282" s="23"/>
      <c r="FA282" s="23"/>
      <c r="FB282" s="23"/>
      <c r="FC282" s="23"/>
      <c r="FD282" s="23"/>
      <c r="FE282" s="23"/>
      <c r="FF282" s="23"/>
      <c r="FG282" s="23"/>
      <c r="FH282" s="23"/>
      <c r="FI282" s="23"/>
      <c r="FJ282" s="23"/>
      <c r="FK282" s="23"/>
      <c r="FL282" s="23"/>
      <c r="FM282" s="23"/>
      <c r="FN282" s="23"/>
      <c r="FO282" s="23"/>
      <c r="FP282" s="23"/>
      <c r="FQ282" s="23"/>
      <c r="FR282" s="23"/>
      <c r="FS282" s="23"/>
      <c r="FT282" s="23"/>
      <c r="FU282" s="23"/>
      <c r="FV282" s="23"/>
      <c r="FW282" s="23"/>
      <c r="FX282" s="23"/>
      <c r="FY282" s="23"/>
      <c r="FZ282" s="23"/>
      <c r="GA282" s="23"/>
      <c r="GB282" s="23"/>
      <c r="GC282" s="23"/>
      <c r="GD282" s="23"/>
      <c r="GE282" s="23"/>
      <c r="GF282" s="23"/>
      <c r="GG282" s="23"/>
      <c r="GH282" s="23"/>
      <c r="GI282" s="23"/>
      <c r="GJ282" s="23"/>
      <c r="GK282" s="23"/>
      <c r="GL282" s="23"/>
    </row>
    <row r="283" spans="1:194" ht="13">
      <c r="A283" s="23"/>
      <c r="B283" s="23"/>
      <c r="C283" s="23"/>
      <c r="D283" s="23"/>
      <c r="E283" s="23"/>
      <c r="F283" s="23"/>
      <c r="G283" s="23"/>
      <c r="H283" s="401"/>
      <c r="I283" s="401"/>
      <c r="J283" s="401"/>
      <c r="K283" s="401"/>
      <c r="L283" s="401"/>
      <c r="M283" s="438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3"/>
      <c r="AX283" s="23"/>
      <c r="AY283" s="23"/>
      <c r="AZ283" s="23"/>
      <c r="BA283" s="23"/>
      <c r="BB283" s="23"/>
      <c r="BC283" s="23"/>
      <c r="BD283" s="23"/>
      <c r="BE283" s="23"/>
      <c r="BF283" s="23"/>
      <c r="BG283" s="23"/>
      <c r="BH283" s="23"/>
      <c r="BI283" s="23"/>
      <c r="BJ283" s="23"/>
      <c r="BK283" s="23"/>
      <c r="BL283" s="23"/>
      <c r="BM283" s="23"/>
      <c r="BN283" s="23"/>
      <c r="BO283" s="23"/>
      <c r="BP283" s="23"/>
      <c r="BQ283" s="23"/>
      <c r="BR283" s="23"/>
      <c r="BS283" s="23"/>
      <c r="BT283" s="23"/>
      <c r="BU283" s="23"/>
      <c r="BV283" s="23"/>
      <c r="BW283" s="23"/>
      <c r="BX283" s="23"/>
      <c r="BY283" s="23"/>
      <c r="BZ283" s="23"/>
      <c r="CA283" s="23"/>
      <c r="CB283" s="23"/>
      <c r="CC283" s="23"/>
      <c r="CD283" s="23"/>
      <c r="CE283" s="23"/>
      <c r="CF283" s="23"/>
      <c r="CG283" s="23"/>
      <c r="CH283" s="23"/>
      <c r="CI283" s="23"/>
      <c r="CJ283" s="23"/>
      <c r="CK283" s="23"/>
      <c r="CL283" s="23"/>
      <c r="CM283" s="23"/>
      <c r="CN283" s="23"/>
      <c r="CO283" s="23"/>
      <c r="CP283" s="23"/>
      <c r="CQ283" s="23"/>
      <c r="CR283" s="23"/>
      <c r="CS283" s="23"/>
      <c r="CT283" s="23"/>
      <c r="CU283" s="23"/>
      <c r="CV283" s="23"/>
      <c r="CW283" s="23"/>
      <c r="CX283" s="23"/>
      <c r="CY283" s="23"/>
      <c r="CZ283" s="23"/>
      <c r="DA283" s="23"/>
      <c r="DB283" s="23"/>
      <c r="DC283" s="23"/>
      <c r="DD283" s="23"/>
      <c r="DE283" s="23"/>
      <c r="DF283" s="23"/>
      <c r="DG283" s="23"/>
      <c r="DH283" s="23"/>
      <c r="DI283" s="23"/>
      <c r="DJ283" s="23"/>
      <c r="DK283" s="23"/>
      <c r="DL283" s="23"/>
      <c r="DM283" s="23"/>
      <c r="DN283" s="23"/>
      <c r="DO283" s="23"/>
      <c r="DP283" s="23"/>
      <c r="DQ283" s="23"/>
      <c r="DR283" s="23"/>
      <c r="DS283" s="23"/>
      <c r="DT283" s="23"/>
      <c r="DU283" s="23"/>
      <c r="DV283" s="23"/>
      <c r="DW283" s="23"/>
      <c r="DX283" s="23"/>
      <c r="DY283" s="23"/>
      <c r="DZ283" s="23"/>
      <c r="EA283" s="23"/>
      <c r="EB283" s="23"/>
      <c r="EC283" s="23"/>
      <c r="ED283" s="23"/>
      <c r="EE283" s="23"/>
      <c r="EF283" s="23"/>
      <c r="EG283" s="23"/>
      <c r="EH283" s="23"/>
      <c r="EI283" s="23"/>
      <c r="EJ283" s="23"/>
      <c r="EK283" s="23"/>
      <c r="EL283" s="23"/>
      <c r="EM283" s="23"/>
      <c r="EN283" s="23"/>
      <c r="EO283" s="23"/>
      <c r="EP283" s="23"/>
      <c r="EQ283" s="23"/>
      <c r="ER283" s="23"/>
      <c r="ES283" s="23"/>
      <c r="ET283" s="23"/>
      <c r="EU283" s="23"/>
      <c r="EV283" s="23"/>
      <c r="EW283" s="23"/>
      <c r="EX283" s="23"/>
      <c r="EY283" s="23"/>
      <c r="EZ283" s="23"/>
      <c r="FA283" s="23"/>
      <c r="FB283" s="23"/>
      <c r="FC283" s="23"/>
      <c r="FD283" s="23"/>
      <c r="FE283" s="23"/>
      <c r="FF283" s="23"/>
      <c r="FG283" s="23"/>
      <c r="FH283" s="23"/>
      <c r="FI283" s="23"/>
      <c r="FJ283" s="23"/>
      <c r="FK283" s="23"/>
      <c r="FL283" s="23"/>
      <c r="FM283" s="23"/>
      <c r="FN283" s="23"/>
      <c r="FO283" s="23"/>
      <c r="FP283" s="23"/>
      <c r="FQ283" s="23"/>
      <c r="FR283" s="23"/>
      <c r="FS283" s="23"/>
      <c r="FT283" s="23"/>
      <c r="FU283" s="23"/>
      <c r="FV283" s="23"/>
      <c r="FW283" s="23"/>
      <c r="FX283" s="23"/>
      <c r="FY283" s="23"/>
      <c r="FZ283" s="23"/>
      <c r="GA283" s="23"/>
      <c r="GB283" s="23"/>
      <c r="GC283" s="23"/>
      <c r="GD283" s="23"/>
      <c r="GE283" s="23"/>
      <c r="GF283" s="23"/>
      <c r="GG283" s="23"/>
      <c r="GH283" s="23"/>
      <c r="GI283" s="23"/>
      <c r="GJ283" s="23"/>
      <c r="GK283" s="23"/>
      <c r="GL283" s="23"/>
    </row>
    <row r="284" spans="1:194" ht="13">
      <c r="A284" s="23"/>
      <c r="B284" s="23"/>
      <c r="C284" s="23"/>
      <c r="D284" s="23"/>
      <c r="E284" s="23"/>
      <c r="F284" s="23"/>
      <c r="G284" s="23"/>
      <c r="H284" s="401"/>
      <c r="I284" s="401"/>
      <c r="J284" s="401"/>
      <c r="K284" s="401"/>
      <c r="L284" s="401"/>
      <c r="M284" s="438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  <c r="BA284" s="23"/>
      <c r="BB284" s="23"/>
      <c r="BC284" s="23"/>
      <c r="BD284" s="23"/>
      <c r="BE284" s="23"/>
      <c r="BF284" s="23"/>
      <c r="BG284" s="23"/>
      <c r="BH284" s="23"/>
      <c r="BI284" s="23"/>
      <c r="BJ284" s="23"/>
      <c r="BK284" s="23"/>
      <c r="BL284" s="23"/>
      <c r="BM284" s="23"/>
      <c r="BN284" s="23"/>
      <c r="BO284" s="23"/>
      <c r="BP284" s="23"/>
      <c r="BQ284" s="23"/>
      <c r="BR284" s="23"/>
      <c r="BS284" s="23"/>
      <c r="BT284" s="23"/>
      <c r="BU284" s="23"/>
      <c r="BV284" s="23"/>
      <c r="BW284" s="23"/>
      <c r="BX284" s="23"/>
      <c r="BY284" s="23"/>
      <c r="BZ284" s="23"/>
      <c r="CA284" s="23"/>
      <c r="CB284" s="23"/>
      <c r="CC284" s="23"/>
      <c r="CD284" s="23"/>
      <c r="CE284" s="23"/>
      <c r="CF284" s="23"/>
      <c r="CG284" s="23"/>
      <c r="CH284" s="23"/>
      <c r="CI284" s="23"/>
      <c r="CJ284" s="23"/>
      <c r="CK284" s="23"/>
      <c r="CL284" s="23"/>
      <c r="CM284" s="23"/>
      <c r="CN284" s="23"/>
      <c r="CO284" s="23"/>
      <c r="CP284" s="23"/>
      <c r="CQ284" s="23"/>
      <c r="CR284" s="23"/>
      <c r="CS284" s="23"/>
      <c r="CT284" s="23"/>
      <c r="CU284" s="23"/>
      <c r="CV284" s="23"/>
      <c r="CW284" s="23"/>
      <c r="CX284" s="23"/>
      <c r="CY284" s="23"/>
      <c r="CZ284" s="23"/>
      <c r="DA284" s="23"/>
      <c r="DB284" s="23"/>
      <c r="DC284" s="23"/>
      <c r="DD284" s="23"/>
      <c r="DE284" s="23"/>
      <c r="DF284" s="23"/>
      <c r="DG284" s="23"/>
      <c r="DH284" s="23"/>
      <c r="DI284" s="23"/>
      <c r="DJ284" s="23"/>
      <c r="DK284" s="23"/>
      <c r="DL284" s="23"/>
      <c r="DM284" s="23"/>
      <c r="DN284" s="23"/>
      <c r="DO284" s="23"/>
      <c r="DP284" s="23"/>
      <c r="DQ284" s="23"/>
      <c r="DR284" s="23"/>
      <c r="DS284" s="23"/>
      <c r="DT284" s="23"/>
      <c r="DU284" s="23"/>
      <c r="DV284" s="23"/>
      <c r="DW284" s="23"/>
      <c r="DX284" s="23"/>
      <c r="DY284" s="23"/>
      <c r="DZ284" s="23"/>
      <c r="EA284" s="23"/>
      <c r="EB284" s="23"/>
      <c r="EC284" s="23"/>
      <c r="ED284" s="23"/>
      <c r="EE284" s="23"/>
      <c r="EF284" s="23"/>
      <c r="EG284" s="23"/>
      <c r="EH284" s="23"/>
      <c r="EI284" s="23"/>
      <c r="EJ284" s="23"/>
      <c r="EK284" s="23"/>
      <c r="EL284" s="23"/>
      <c r="EM284" s="23"/>
      <c r="EN284" s="23"/>
      <c r="EO284" s="23"/>
      <c r="EP284" s="23"/>
      <c r="EQ284" s="23"/>
      <c r="ER284" s="23"/>
      <c r="ES284" s="23"/>
      <c r="ET284" s="23"/>
      <c r="EU284" s="23"/>
      <c r="EV284" s="23"/>
      <c r="EW284" s="23"/>
      <c r="EX284" s="23"/>
      <c r="EY284" s="23"/>
      <c r="EZ284" s="23"/>
      <c r="FA284" s="23"/>
      <c r="FB284" s="23"/>
      <c r="FC284" s="23"/>
      <c r="FD284" s="23"/>
      <c r="FE284" s="23"/>
      <c r="FF284" s="23"/>
      <c r="FG284" s="23"/>
      <c r="FH284" s="23"/>
      <c r="FI284" s="23"/>
      <c r="FJ284" s="23"/>
      <c r="FK284" s="23"/>
      <c r="FL284" s="23"/>
      <c r="FM284" s="23"/>
      <c r="FN284" s="23"/>
      <c r="FO284" s="23"/>
      <c r="FP284" s="23"/>
      <c r="FQ284" s="23"/>
      <c r="FR284" s="23"/>
      <c r="FS284" s="23"/>
      <c r="FT284" s="23"/>
      <c r="FU284" s="23"/>
      <c r="FV284" s="23"/>
      <c r="FW284" s="23"/>
      <c r="FX284" s="23"/>
      <c r="FY284" s="23"/>
      <c r="FZ284" s="23"/>
      <c r="GA284" s="23"/>
      <c r="GB284" s="23"/>
      <c r="GC284" s="23"/>
      <c r="GD284" s="23"/>
      <c r="GE284" s="23"/>
      <c r="GF284" s="23"/>
      <c r="GG284" s="23"/>
      <c r="GH284" s="23"/>
      <c r="GI284" s="23"/>
      <c r="GJ284" s="23"/>
      <c r="GK284" s="23"/>
      <c r="GL284" s="23"/>
    </row>
    <row r="285" spans="1:194" ht="13">
      <c r="A285" s="23"/>
      <c r="B285" s="23"/>
      <c r="C285" s="23"/>
      <c r="D285" s="23"/>
      <c r="E285" s="23"/>
      <c r="F285" s="23"/>
      <c r="G285" s="23"/>
      <c r="H285" s="401"/>
      <c r="I285" s="401"/>
      <c r="J285" s="401"/>
      <c r="K285" s="401"/>
      <c r="L285" s="401"/>
      <c r="M285" s="438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3"/>
      <c r="AX285" s="23"/>
      <c r="AY285" s="23"/>
      <c r="AZ285" s="23"/>
      <c r="BA285" s="23"/>
      <c r="BB285" s="23"/>
      <c r="BC285" s="23"/>
      <c r="BD285" s="23"/>
      <c r="BE285" s="23"/>
      <c r="BF285" s="23"/>
      <c r="BG285" s="23"/>
      <c r="BH285" s="23"/>
      <c r="BI285" s="23"/>
      <c r="BJ285" s="23"/>
      <c r="BK285" s="23"/>
      <c r="BL285" s="23"/>
      <c r="BM285" s="23"/>
      <c r="BN285" s="23"/>
      <c r="BO285" s="23"/>
      <c r="BP285" s="23"/>
      <c r="BQ285" s="23"/>
      <c r="BR285" s="23"/>
      <c r="BS285" s="23"/>
      <c r="BT285" s="23"/>
      <c r="BU285" s="23"/>
      <c r="BV285" s="23"/>
      <c r="BW285" s="23"/>
      <c r="BX285" s="23"/>
      <c r="BY285" s="23"/>
      <c r="BZ285" s="23"/>
      <c r="CA285" s="23"/>
      <c r="CB285" s="23"/>
      <c r="CC285" s="23"/>
      <c r="CD285" s="23"/>
      <c r="CE285" s="23"/>
      <c r="CF285" s="23"/>
      <c r="CG285" s="23"/>
      <c r="CH285" s="23"/>
      <c r="CI285" s="23"/>
      <c r="CJ285" s="23"/>
      <c r="CK285" s="23"/>
      <c r="CL285" s="23"/>
      <c r="CM285" s="23"/>
      <c r="CN285" s="23"/>
      <c r="CO285" s="23"/>
      <c r="CP285" s="23"/>
      <c r="CQ285" s="23"/>
      <c r="CR285" s="23"/>
      <c r="CS285" s="23"/>
      <c r="CT285" s="23"/>
      <c r="CU285" s="23"/>
      <c r="CV285" s="23"/>
      <c r="CW285" s="23"/>
      <c r="CX285" s="23"/>
      <c r="CY285" s="23"/>
      <c r="CZ285" s="23"/>
      <c r="DA285" s="23"/>
      <c r="DB285" s="23"/>
      <c r="DC285" s="23"/>
      <c r="DD285" s="23"/>
      <c r="DE285" s="23"/>
      <c r="DF285" s="23"/>
      <c r="DG285" s="23"/>
      <c r="DH285" s="23"/>
      <c r="DI285" s="23"/>
      <c r="DJ285" s="23"/>
      <c r="DK285" s="23"/>
      <c r="DL285" s="23"/>
      <c r="DM285" s="23"/>
      <c r="DN285" s="23"/>
      <c r="DO285" s="23"/>
      <c r="DP285" s="23"/>
      <c r="DQ285" s="23"/>
      <c r="DR285" s="23"/>
      <c r="DS285" s="23"/>
      <c r="DT285" s="23"/>
      <c r="DU285" s="23"/>
      <c r="DV285" s="23"/>
      <c r="DW285" s="23"/>
      <c r="DX285" s="23"/>
      <c r="DY285" s="23"/>
      <c r="DZ285" s="23"/>
      <c r="EA285" s="23"/>
      <c r="EB285" s="23"/>
      <c r="EC285" s="23"/>
      <c r="ED285" s="23"/>
      <c r="EE285" s="23"/>
      <c r="EF285" s="23"/>
      <c r="EG285" s="23"/>
      <c r="EH285" s="23"/>
      <c r="EI285" s="23"/>
      <c r="EJ285" s="23"/>
      <c r="EK285" s="23"/>
      <c r="EL285" s="23"/>
      <c r="EM285" s="23"/>
      <c r="EN285" s="23"/>
      <c r="EO285" s="23"/>
      <c r="EP285" s="23"/>
      <c r="EQ285" s="23"/>
      <c r="ER285" s="23"/>
      <c r="ES285" s="23"/>
      <c r="ET285" s="23"/>
      <c r="EU285" s="23"/>
      <c r="EV285" s="23"/>
      <c r="EW285" s="23"/>
      <c r="EX285" s="23"/>
      <c r="EY285" s="23"/>
      <c r="EZ285" s="23"/>
      <c r="FA285" s="23"/>
      <c r="FB285" s="23"/>
      <c r="FC285" s="23"/>
      <c r="FD285" s="23"/>
      <c r="FE285" s="23"/>
      <c r="FF285" s="23"/>
      <c r="FG285" s="23"/>
      <c r="FH285" s="23"/>
      <c r="FI285" s="23"/>
      <c r="FJ285" s="23"/>
      <c r="FK285" s="23"/>
      <c r="FL285" s="23"/>
      <c r="FM285" s="23"/>
      <c r="FN285" s="23"/>
      <c r="FO285" s="23"/>
      <c r="FP285" s="23"/>
      <c r="FQ285" s="23"/>
      <c r="FR285" s="23"/>
      <c r="FS285" s="23"/>
      <c r="FT285" s="23"/>
      <c r="FU285" s="23"/>
      <c r="FV285" s="23"/>
      <c r="FW285" s="23"/>
      <c r="FX285" s="23"/>
      <c r="FY285" s="23"/>
      <c r="FZ285" s="23"/>
      <c r="GA285" s="23"/>
      <c r="GB285" s="23"/>
      <c r="GC285" s="23"/>
      <c r="GD285" s="23"/>
      <c r="GE285" s="23"/>
      <c r="GF285" s="23"/>
      <c r="GG285" s="23"/>
      <c r="GH285" s="23"/>
      <c r="GI285" s="23"/>
      <c r="GJ285" s="23"/>
      <c r="GK285" s="23"/>
      <c r="GL285" s="23"/>
    </row>
    <row r="286" spans="1:194" ht="13">
      <c r="A286" s="23"/>
      <c r="B286" s="23"/>
      <c r="C286" s="23"/>
      <c r="D286" s="23"/>
      <c r="E286" s="23"/>
      <c r="F286" s="23"/>
      <c r="G286" s="23"/>
      <c r="H286" s="401"/>
      <c r="I286" s="401"/>
      <c r="J286" s="401"/>
      <c r="K286" s="401"/>
      <c r="L286" s="401"/>
      <c r="M286" s="438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  <c r="BA286" s="23"/>
      <c r="BB286" s="23"/>
      <c r="BC286" s="23"/>
      <c r="BD286" s="23"/>
      <c r="BE286" s="23"/>
      <c r="BF286" s="23"/>
      <c r="BG286" s="23"/>
      <c r="BH286" s="23"/>
      <c r="BI286" s="23"/>
      <c r="BJ286" s="23"/>
      <c r="BK286" s="23"/>
      <c r="BL286" s="23"/>
      <c r="BM286" s="23"/>
      <c r="BN286" s="23"/>
      <c r="BO286" s="23"/>
      <c r="BP286" s="23"/>
      <c r="BQ286" s="23"/>
      <c r="BR286" s="23"/>
      <c r="BS286" s="23"/>
      <c r="BT286" s="23"/>
      <c r="BU286" s="23"/>
      <c r="BV286" s="23"/>
      <c r="BW286" s="23"/>
      <c r="BX286" s="23"/>
      <c r="BY286" s="23"/>
      <c r="BZ286" s="23"/>
      <c r="CA286" s="23"/>
      <c r="CB286" s="23"/>
      <c r="CC286" s="23"/>
      <c r="CD286" s="23"/>
      <c r="CE286" s="23"/>
      <c r="CF286" s="23"/>
      <c r="CG286" s="23"/>
      <c r="CH286" s="23"/>
      <c r="CI286" s="23"/>
      <c r="CJ286" s="23"/>
      <c r="CK286" s="23"/>
      <c r="CL286" s="23"/>
      <c r="CM286" s="23"/>
      <c r="CN286" s="23"/>
      <c r="CO286" s="23"/>
      <c r="CP286" s="23"/>
      <c r="CQ286" s="23"/>
      <c r="CR286" s="23"/>
      <c r="CS286" s="23"/>
      <c r="CT286" s="23"/>
      <c r="CU286" s="23"/>
      <c r="CV286" s="23"/>
      <c r="CW286" s="23"/>
      <c r="CX286" s="23"/>
      <c r="CY286" s="23"/>
      <c r="CZ286" s="23"/>
      <c r="DA286" s="23"/>
      <c r="DB286" s="23"/>
      <c r="DC286" s="23"/>
      <c r="DD286" s="23"/>
      <c r="DE286" s="23"/>
      <c r="DF286" s="23"/>
      <c r="DG286" s="23"/>
      <c r="DH286" s="23"/>
      <c r="DI286" s="23"/>
      <c r="DJ286" s="23"/>
      <c r="DK286" s="23"/>
      <c r="DL286" s="23"/>
      <c r="DM286" s="23"/>
      <c r="DN286" s="23"/>
      <c r="DO286" s="23"/>
      <c r="DP286" s="23"/>
      <c r="DQ286" s="23"/>
      <c r="DR286" s="23"/>
      <c r="DS286" s="23"/>
      <c r="DT286" s="23"/>
      <c r="DU286" s="23"/>
      <c r="DV286" s="23"/>
      <c r="DW286" s="23"/>
      <c r="DX286" s="23"/>
      <c r="DY286" s="23"/>
      <c r="DZ286" s="23"/>
      <c r="EA286" s="23"/>
      <c r="EB286" s="23"/>
      <c r="EC286" s="23"/>
      <c r="ED286" s="23"/>
      <c r="EE286" s="23"/>
      <c r="EF286" s="23"/>
      <c r="EG286" s="23"/>
      <c r="EH286" s="23"/>
      <c r="EI286" s="23"/>
      <c r="EJ286" s="23"/>
      <c r="EK286" s="23"/>
      <c r="EL286" s="23"/>
      <c r="EM286" s="23"/>
      <c r="EN286" s="23"/>
      <c r="EO286" s="23"/>
      <c r="EP286" s="23"/>
      <c r="EQ286" s="23"/>
      <c r="ER286" s="23"/>
      <c r="ES286" s="23"/>
      <c r="ET286" s="23"/>
      <c r="EU286" s="23"/>
      <c r="EV286" s="23"/>
      <c r="EW286" s="23"/>
      <c r="EX286" s="23"/>
      <c r="EY286" s="23"/>
      <c r="EZ286" s="23"/>
      <c r="FA286" s="23"/>
      <c r="FB286" s="23"/>
      <c r="FC286" s="23"/>
      <c r="FD286" s="23"/>
      <c r="FE286" s="23"/>
      <c r="FF286" s="23"/>
      <c r="FG286" s="23"/>
      <c r="FH286" s="23"/>
      <c r="FI286" s="23"/>
      <c r="FJ286" s="23"/>
      <c r="FK286" s="23"/>
      <c r="FL286" s="23"/>
      <c r="FM286" s="23"/>
      <c r="FN286" s="23"/>
      <c r="FO286" s="23"/>
      <c r="FP286" s="23"/>
      <c r="FQ286" s="23"/>
      <c r="FR286" s="23"/>
      <c r="FS286" s="23"/>
      <c r="FT286" s="23"/>
      <c r="FU286" s="23"/>
      <c r="FV286" s="23"/>
      <c r="FW286" s="23"/>
      <c r="FX286" s="23"/>
      <c r="FY286" s="23"/>
      <c r="FZ286" s="23"/>
      <c r="GA286" s="23"/>
      <c r="GB286" s="23"/>
      <c r="GC286" s="23"/>
      <c r="GD286" s="23"/>
      <c r="GE286" s="23"/>
      <c r="GF286" s="23"/>
      <c r="GG286" s="23"/>
      <c r="GH286" s="23"/>
      <c r="GI286" s="23"/>
      <c r="GJ286" s="23"/>
      <c r="GK286" s="23"/>
      <c r="GL286" s="23"/>
    </row>
    <row r="287" spans="1:194" ht="13">
      <c r="A287" s="23"/>
      <c r="B287" s="23"/>
      <c r="C287" s="23"/>
      <c r="D287" s="23"/>
      <c r="E287" s="23"/>
      <c r="F287" s="23"/>
      <c r="G287" s="23"/>
      <c r="H287" s="401"/>
      <c r="I287" s="401"/>
      <c r="J287" s="401"/>
      <c r="K287" s="401"/>
      <c r="L287" s="401"/>
      <c r="M287" s="438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  <c r="BA287" s="23"/>
      <c r="BB287" s="23"/>
      <c r="BC287" s="23"/>
      <c r="BD287" s="23"/>
      <c r="BE287" s="23"/>
      <c r="BF287" s="23"/>
      <c r="BG287" s="23"/>
      <c r="BH287" s="23"/>
      <c r="BI287" s="23"/>
      <c r="BJ287" s="23"/>
      <c r="BK287" s="23"/>
      <c r="BL287" s="23"/>
      <c r="BM287" s="23"/>
      <c r="BN287" s="23"/>
      <c r="BO287" s="23"/>
      <c r="BP287" s="23"/>
      <c r="BQ287" s="23"/>
      <c r="BR287" s="23"/>
      <c r="BS287" s="23"/>
      <c r="BT287" s="23"/>
      <c r="BU287" s="23"/>
      <c r="BV287" s="23"/>
      <c r="BW287" s="23"/>
      <c r="BX287" s="23"/>
      <c r="BY287" s="23"/>
      <c r="BZ287" s="23"/>
      <c r="CA287" s="23"/>
      <c r="CB287" s="23"/>
      <c r="CC287" s="23"/>
      <c r="CD287" s="23"/>
      <c r="CE287" s="23"/>
      <c r="CF287" s="23"/>
      <c r="CG287" s="23"/>
      <c r="CH287" s="23"/>
      <c r="CI287" s="23"/>
      <c r="CJ287" s="23"/>
      <c r="CK287" s="23"/>
      <c r="CL287" s="23"/>
      <c r="CM287" s="23"/>
      <c r="CN287" s="23"/>
      <c r="CO287" s="23"/>
      <c r="CP287" s="23"/>
      <c r="CQ287" s="23"/>
      <c r="CR287" s="23"/>
      <c r="CS287" s="23"/>
      <c r="CT287" s="23"/>
      <c r="CU287" s="23"/>
      <c r="CV287" s="23"/>
      <c r="CW287" s="23"/>
      <c r="CX287" s="23"/>
      <c r="CY287" s="23"/>
      <c r="CZ287" s="23"/>
      <c r="DA287" s="23"/>
      <c r="DB287" s="23"/>
      <c r="DC287" s="23"/>
      <c r="DD287" s="23"/>
      <c r="DE287" s="23"/>
      <c r="DF287" s="23"/>
      <c r="DG287" s="23"/>
      <c r="DH287" s="23"/>
      <c r="DI287" s="23"/>
      <c r="DJ287" s="23"/>
      <c r="DK287" s="23"/>
      <c r="DL287" s="23"/>
      <c r="DM287" s="23"/>
      <c r="DN287" s="23"/>
      <c r="DO287" s="23"/>
      <c r="DP287" s="23"/>
      <c r="DQ287" s="23"/>
      <c r="DR287" s="23"/>
      <c r="DS287" s="23"/>
      <c r="DT287" s="23"/>
      <c r="DU287" s="23"/>
      <c r="DV287" s="23"/>
      <c r="DW287" s="23"/>
      <c r="DX287" s="23"/>
      <c r="DY287" s="23"/>
      <c r="DZ287" s="23"/>
      <c r="EA287" s="23"/>
      <c r="EB287" s="23"/>
      <c r="EC287" s="23"/>
      <c r="ED287" s="23"/>
      <c r="EE287" s="23"/>
      <c r="EF287" s="23"/>
      <c r="EG287" s="23"/>
      <c r="EH287" s="23"/>
      <c r="EI287" s="23"/>
      <c r="EJ287" s="23"/>
      <c r="EK287" s="23"/>
      <c r="EL287" s="23"/>
      <c r="EM287" s="23"/>
      <c r="EN287" s="23"/>
      <c r="EO287" s="23"/>
      <c r="EP287" s="23"/>
      <c r="EQ287" s="23"/>
      <c r="ER287" s="23"/>
      <c r="ES287" s="23"/>
      <c r="ET287" s="23"/>
      <c r="EU287" s="23"/>
      <c r="EV287" s="23"/>
      <c r="EW287" s="23"/>
      <c r="EX287" s="23"/>
      <c r="EY287" s="23"/>
      <c r="EZ287" s="23"/>
      <c r="FA287" s="23"/>
      <c r="FB287" s="23"/>
      <c r="FC287" s="23"/>
      <c r="FD287" s="23"/>
      <c r="FE287" s="23"/>
      <c r="FF287" s="23"/>
      <c r="FG287" s="23"/>
      <c r="FH287" s="23"/>
      <c r="FI287" s="23"/>
      <c r="FJ287" s="23"/>
      <c r="FK287" s="23"/>
      <c r="FL287" s="23"/>
      <c r="FM287" s="23"/>
      <c r="FN287" s="23"/>
      <c r="FO287" s="23"/>
      <c r="FP287" s="23"/>
      <c r="FQ287" s="23"/>
      <c r="FR287" s="23"/>
      <c r="FS287" s="23"/>
      <c r="FT287" s="23"/>
      <c r="FU287" s="23"/>
      <c r="FV287" s="23"/>
      <c r="FW287" s="23"/>
      <c r="FX287" s="23"/>
      <c r="FY287" s="23"/>
      <c r="FZ287" s="23"/>
      <c r="GA287" s="23"/>
      <c r="GB287" s="23"/>
      <c r="GC287" s="23"/>
      <c r="GD287" s="23"/>
      <c r="GE287" s="23"/>
      <c r="GF287" s="23"/>
      <c r="GG287" s="23"/>
      <c r="GH287" s="23"/>
      <c r="GI287" s="23"/>
      <c r="GJ287" s="23"/>
      <c r="GK287" s="23"/>
      <c r="GL287" s="23"/>
    </row>
    <row r="288" spans="1:194" ht="13">
      <c r="A288" s="23"/>
      <c r="B288" s="23"/>
      <c r="C288" s="23"/>
      <c r="D288" s="23"/>
      <c r="E288" s="23"/>
      <c r="F288" s="23"/>
      <c r="G288" s="23"/>
      <c r="H288" s="401"/>
      <c r="I288" s="401"/>
      <c r="J288" s="401"/>
      <c r="K288" s="401"/>
      <c r="L288" s="401"/>
      <c r="M288" s="438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  <c r="AW288" s="23"/>
      <c r="AX288" s="23"/>
      <c r="AY288" s="23"/>
      <c r="AZ288" s="23"/>
      <c r="BA288" s="23"/>
      <c r="BB288" s="23"/>
      <c r="BC288" s="23"/>
      <c r="BD288" s="23"/>
      <c r="BE288" s="23"/>
      <c r="BF288" s="23"/>
      <c r="BG288" s="23"/>
      <c r="BH288" s="23"/>
      <c r="BI288" s="23"/>
      <c r="BJ288" s="23"/>
      <c r="BK288" s="23"/>
      <c r="BL288" s="23"/>
      <c r="BM288" s="23"/>
      <c r="BN288" s="23"/>
      <c r="BO288" s="23"/>
      <c r="BP288" s="23"/>
      <c r="BQ288" s="23"/>
      <c r="BR288" s="23"/>
      <c r="BS288" s="23"/>
      <c r="BT288" s="23"/>
      <c r="BU288" s="23"/>
      <c r="BV288" s="23"/>
      <c r="BW288" s="23"/>
      <c r="BX288" s="23"/>
      <c r="BY288" s="23"/>
      <c r="BZ288" s="23"/>
      <c r="CA288" s="23"/>
      <c r="CB288" s="23"/>
      <c r="CC288" s="23"/>
      <c r="CD288" s="23"/>
      <c r="CE288" s="23"/>
      <c r="CF288" s="23"/>
      <c r="CG288" s="23"/>
      <c r="CH288" s="23"/>
      <c r="CI288" s="23"/>
      <c r="CJ288" s="23"/>
      <c r="CK288" s="23"/>
      <c r="CL288" s="23"/>
      <c r="CM288" s="23"/>
      <c r="CN288" s="23"/>
      <c r="CO288" s="23"/>
      <c r="CP288" s="23"/>
      <c r="CQ288" s="23"/>
      <c r="CR288" s="23"/>
      <c r="CS288" s="23"/>
      <c r="CT288" s="23"/>
      <c r="CU288" s="23"/>
      <c r="CV288" s="23"/>
      <c r="CW288" s="23"/>
      <c r="CX288" s="23"/>
      <c r="CY288" s="23"/>
      <c r="CZ288" s="23"/>
      <c r="DA288" s="23"/>
      <c r="DB288" s="23"/>
      <c r="DC288" s="23"/>
      <c r="DD288" s="23"/>
      <c r="DE288" s="23"/>
      <c r="DF288" s="23"/>
      <c r="DG288" s="23"/>
      <c r="DH288" s="23"/>
      <c r="DI288" s="23"/>
      <c r="DJ288" s="23"/>
      <c r="DK288" s="23"/>
      <c r="DL288" s="23"/>
      <c r="DM288" s="23"/>
      <c r="DN288" s="23"/>
      <c r="DO288" s="23"/>
      <c r="DP288" s="23"/>
      <c r="DQ288" s="23"/>
      <c r="DR288" s="23"/>
      <c r="DS288" s="23"/>
      <c r="DT288" s="23"/>
      <c r="DU288" s="23"/>
      <c r="DV288" s="23"/>
      <c r="DW288" s="23"/>
      <c r="DX288" s="23"/>
      <c r="DY288" s="23"/>
      <c r="DZ288" s="23"/>
      <c r="EA288" s="23"/>
      <c r="EB288" s="23"/>
      <c r="EC288" s="23"/>
      <c r="ED288" s="23"/>
      <c r="EE288" s="23"/>
      <c r="EF288" s="23"/>
      <c r="EG288" s="23"/>
      <c r="EH288" s="23"/>
      <c r="EI288" s="23"/>
      <c r="EJ288" s="23"/>
      <c r="EK288" s="23"/>
      <c r="EL288" s="23"/>
      <c r="EM288" s="23"/>
      <c r="EN288" s="23"/>
      <c r="EO288" s="23"/>
      <c r="EP288" s="23"/>
      <c r="EQ288" s="23"/>
      <c r="ER288" s="23"/>
      <c r="ES288" s="23"/>
      <c r="ET288" s="23"/>
      <c r="EU288" s="23"/>
      <c r="EV288" s="23"/>
      <c r="EW288" s="23"/>
      <c r="EX288" s="23"/>
      <c r="EY288" s="23"/>
      <c r="EZ288" s="23"/>
      <c r="FA288" s="23"/>
      <c r="FB288" s="23"/>
      <c r="FC288" s="23"/>
      <c r="FD288" s="23"/>
      <c r="FE288" s="23"/>
      <c r="FF288" s="23"/>
      <c r="FG288" s="23"/>
      <c r="FH288" s="23"/>
      <c r="FI288" s="23"/>
      <c r="FJ288" s="23"/>
      <c r="FK288" s="23"/>
      <c r="FL288" s="23"/>
      <c r="FM288" s="23"/>
      <c r="FN288" s="23"/>
      <c r="FO288" s="23"/>
      <c r="FP288" s="23"/>
      <c r="FQ288" s="23"/>
      <c r="FR288" s="23"/>
      <c r="FS288" s="23"/>
      <c r="FT288" s="23"/>
      <c r="FU288" s="23"/>
      <c r="FV288" s="23"/>
      <c r="FW288" s="23"/>
      <c r="FX288" s="23"/>
      <c r="FY288" s="23"/>
      <c r="FZ288" s="23"/>
      <c r="GA288" s="23"/>
      <c r="GB288" s="23"/>
      <c r="GC288" s="23"/>
      <c r="GD288" s="23"/>
      <c r="GE288" s="23"/>
      <c r="GF288" s="23"/>
      <c r="GG288" s="23"/>
      <c r="GH288" s="23"/>
      <c r="GI288" s="23"/>
      <c r="GJ288" s="23"/>
      <c r="GK288" s="23"/>
      <c r="GL288" s="23"/>
    </row>
    <row r="289" spans="1:194" ht="13">
      <c r="A289" s="23"/>
      <c r="B289" s="23"/>
      <c r="C289" s="23"/>
      <c r="D289" s="23"/>
      <c r="E289" s="23"/>
      <c r="F289" s="23"/>
      <c r="G289" s="23"/>
      <c r="H289" s="401"/>
      <c r="I289" s="401"/>
      <c r="J289" s="401"/>
      <c r="K289" s="401"/>
      <c r="L289" s="401"/>
      <c r="M289" s="438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3"/>
      <c r="AX289" s="23"/>
      <c r="AY289" s="23"/>
      <c r="AZ289" s="23"/>
      <c r="BA289" s="23"/>
      <c r="BB289" s="23"/>
      <c r="BC289" s="23"/>
      <c r="BD289" s="23"/>
      <c r="BE289" s="23"/>
      <c r="BF289" s="23"/>
      <c r="BG289" s="23"/>
      <c r="BH289" s="23"/>
      <c r="BI289" s="23"/>
      <c r="BJ289" s="23"/>
      <c r="BK289" s="23"/>
      <c r="BL289" s="23"/>
      <c r="BM289" s="23"/>
      <c r="BN289" s="23"/>
      <c r="BO289" s="23"/>
      <c r="BP289" s="23"/>
      <c r="BQ289" s="23"/>
      <c r="BR289" s="23"/>
      <c r="BS289" s="23"/>
      <c r="BT289" s="23"/>
      <c r="BU289" s="23"/>
      <c r="BV289" s="23"/>
      <c r="BW289" s="23"/>
      <c r="BX289" s="23"/>
      <c r="BY289" s="23"/>
      <c r="BZ289" s="23"/>
      <c r="CA289" s="23"/>
      <c r="CB289" s="23"/>
      <c r="CC289" s="23"/>
      <c r="CD289" s="23"/>
      <c r="CE289" s="23"/>
      <c r="CF289" s="23"/>
      <c r="CG289" s="23"/>
      <c r="CH289" s="23"/>
      <c r="CI289" s="23"/>
      <c r="CJ289" s="23"/>
      <c r="CK289" s="23"/>
      <c r="CL289" s="23"/>
      <c r="CM289" s="23"/>
      <c r="CN289" s="23"/>
      <c r="CO289" s="23"/>
      <c r="CP289" s="23"/>
      <c r="CQ289" s="23"/>
      <c r="CR289" s="23"/>
      <c r="CS289" s="23"/>
      <c r="CT289" s="23"/>
      <c r="CU289" s="23"/>
      <c r="CV289" s="23"/>
      <c r="CW289" s="23"/>
      <c r="CX289" s="23"/>
      <c r="CY289" s="23"/>
      <c r="CZ289" s="23"/>
      <c r="DA289" s="23"/>
      <c r="DB289" s="23"/>
      <c r="DC289" s="23"/>
      <c r="DD289" s="23"/>
      <c r="DE289" s="23"/>
      <c r="DF289" s="23"/>
      <c r="DG289" s="23"/>
      <c r="DH289" s="23"/>
      <c r="DI289" s="23"/>
      <c r="DJ289" s="23"/>
      <c r="DK289" s="23"/>
      <c r="DL289" s="23"/>
      <c r="DM289" s="23"/>
      <c r="DN289" s="23"/>
      <c r="DO289" s="23"/>
      <c r="DP289" s="23"/>
      <c r="DQ289" s="23"/>
      <c r="DR289" s="23"/>
      <c r="DS289" s="23"/>
      <c r="DT289" s="23"/>
      <c r="DU289" s="23"/>
      <c r="DV289" s="23"/>
      <c r="DW289" s="23"/>
      <c r="DX289" s="23"/>
      <c r="DY289" s="23"/>
      <c r="DZ289" s="23"/>
      <c r="EA289" s="23"/>
      <c r="EB289" s="23"/>
      <c r="EC289" s="23"/>
      <c r="ED289" s="23"/>
      <c r="EE289" s="23"/>
      <c r="EF289" s="23"/>
      <c r="EG289" s="23"/>
      <c r="EH289" s="23"/>
      <c r="EI289" s="23"/>
      <c r="EJ289" s="23"/>
      <c r="EK289" s="23"/>
      <c r="EL289" s="23"/>
      <c r="EM289" s="23"/>
      <c r="EN289" s="23"/>
      <c r="EO289" s="23"/>
      <c r="EP289" s="23"/>
      <c r="EQ289" s="23"/>
      <c r="ER289" s="23"/>
      <c r="ES289" s="23"/>
      <c r="ET289" s="23"/>
      <c r="EU289" s="23"/>
      <c r="EV289" s="23"/>
      <c r="EW289" s="23"/>
      <c r="EX289" s="23"/>
      <c r="EY289" s="23"/>
      <c r="EZ289" s="23"/>
      <c r="FA289" s="23"/>
      <c r="FB289" s="23"/>
      <c r="FC289" s="23"/>
      <c r="FD289" s="23"/>
      <c r="FE289" s="23"/>
      <c r="FF289" s="23"/>
      <c r="FG289" s="23"/>
      <c r="FH289" s="23"/>
      <c r="FI289" s="23"/>
      <c r="FJ289" s="23"/>
      <c r="FK289" s="23"/>
      <c r="FL289" s="23"/>
      <c r="FM289" s="23"/>
      <c r="FN289" s="23"/>
      <c r="FO289" s="23"/>
      <c r="FP289" s="23"/>
      <c r="FQ289" s="23"/>
      <c r="FR289" s="23"/>
      <c r="FS289" s="23"/>
      <c r="FT289" s="23"/>
      <c r="FU289" s="23"/>
      <c r="FV289" s="23"/>
      <c r="FW289" s="23"/>
      <c r="FX289" s="23"/>
      <c r="FY289" s="23"/>
      <c r="FZ289" s="23"/>
      <c r="GA289" s="23"/>
      <c r="GB289" s="23"/>
      <c r="GC289" s="23"/>
      <c r="GD289" s="23"/>
      <c r="GE289" s="23"/>
      <c r="GF289" s="23"/>
      <c r="GG289" s="23"/>
      <c r="GH289" s="23"/>
      <c r="GI289" s="23"/>
      <c r="GJ289" s="23"/>
      <c r="GK289" s="23"/>
      <c r="GL289" s="23"/>
    </row>
    <row r="290" spans="1:194" ht="13">
      <c r="A290" s="23"/>
      <c r="B290" s="23"/>
      <c r="C290" s="23"/>
      <c r="D290" s="23"/>
      <c r="E290" s="23"/>
      <c r="F290" s="23"/>
      <c r="G290" s="23"/>
      <c r="H290" s="401"/>
      <c r="I290" s="401"/>
      <c r="J290" s="401"/>
      <c r="K290" s="401"/>
      <c r="L290" s="401"/>
      <c r="M290" s="438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23"/>
      <c r="BD290" s="23"/>
      <c r="BE290" s="23"/>
      <c r="BF290" s="23"/>
      <c r="BG290" s="23"/>
      <c r="BH290" s="23"/>
      <c r="BI290" s="23"/>
      <c r="BJ290" s="23"/>
      <c r="BK290" s="23"/>
      <c r="BL290" s="23"/>
      <c r="BM290" s="23"/>
      <c r="BN290" s="23"/>
      <c r="BO290" s="23"/>
      <c r="BP290" s="23"/>
      <c r="BQ290" s="23"/>
      <c r="BR290" s="23"/>
      <c r="BS290" s="23"/>
      <c r="BT290" s="23"/>
      <c r="BU290" s="23"/>
      <c r="BV290" s="23"/>
      <c r="BW290" s="23"/>
      <c r="BX290" s="23"/>
      <c r="BY290" s="23"/>
      <c r="BZ290" s="23"/>
      <c r="CA290" s="23"/>
      <c r="CB290" s="23"/>
      <c r="CC290" s="23"/>
      <c r="CD290" s="23"/>
      <c r="CE290" s="23"/>
      <c r="CF290" s="23"/>
      <c r="CG290" s="23"/>
      <c r="CH290" s="23"/>
      <c r="CI290" s="23"/>
      <c r="CJ290" s="23"/>
      <c r="CK290" s="23"/>
      <c r="CL290" s="23"/>
      <c r="CM290" s="23"/>
      <c r="CN290" s="23"/>
      <c r="CO290" s="23"/>
      <c r="CP290" s="23"/>
      <c r="CQ290" s="23"/>
      <c r="CR290" s="23"/>
      <c r="CS290" s="23"/>
      <c r="CT290" s="23"/>
      <c r="CU290" s="23"/>
      <c r="CV290" s="23"/>
      <c r="CW290" s="23"/>
      <c r="CX290" s="23"/>
      <c r="CY290" s="23"/>
      <c r="CZ290" s="23"/>
      <c r="DA290" s="23"/>
      <c r="DB290" s="23"/>
      <c r="DC290" s="23"/>
      <c r="DD290" s="23"/>
      <c r="DE290" s="23"/>
      <c r="DF290" s="23"/>
      <c r="DG290" s="23"/>
      <c r="DH290" s="23"/>
      <c r="DI290" s="23"/>
      <c r="DJ290" s="23"/>
      <c r="DK290" s="23"/>
      <c r="DL290" s="23"/>
      <c r="DM290" s="23"/>
      <c r="DN290" s="23"/>
      <c r="DO290" s="23"/>
      <c r="DP290" s="23"/>
      <c r="DQ290" s="23"/>
      <c r="DR290" s="23"/>
      <c r="DS290" s="23"/>
      <c r="DT290" s="23"/>
      <c r="DU290" s="23"/>
      <c r="DV290" s="23"/>
      <c r="DW290" s="23"/>
      <c r="DX290" s="23"/>
      <c r="DY290" s="23"/>
      <c r="DZ290" s="23"/>
      <c r="EA290" s="23"/>
      <c r="EB290" s="23"/>
      <c r="EC290" s="23"/>
      <c r="ED290" s="23"/>
      <c r="EE290" s="23"/>
      <c r="EF290" s="23"/>
      <c r="EG290" s="23"/>
      <c r="EH290" s="23"/>
      <c r="EI290" s="23"/>
      <c r="EJ290" s="23"/>
      <c r="EK290" s="23"/>
      <c r="EL290" s="23"/>
      <c r="EM290" s="23"/>
      <c r="EN290" s="23"/>
      <c r="EO290" s="23"/>
      <c r="EP290" s="23"/>
      <c r="EQ290" s="23"/>
      <c r="ER290" s="23"/>
      <c r="ES290" s="23"/>
      <c r="ET290" s="23"/>
      <c r="EU290" s="23"/>
      <c r="EV290" s="23"/>
      <c r="EW290" s="23"/>
      <c r="EX290" s="23"/>
      <c r="EY290" s="23"/>
      <c r="EZ290" s="23"/>
      <c r="FA290" s="23"/>
      <c r="FB290" s="23"/>
      <c r="FC290" s="23"/>
      <c r="FD290" s="23"/>
      <c r="FE290" s="23"/>
      <c r="FF290" s="23"/>
      <c r="FG290" s="23"/>
      <c r="FH290" s="23"/>
      <c r="FI290" s="23"/>
      <c r="FJ290" s="23"/>
      <c r="FK290" s="23"/>
      <c r="FL290" s="23"/>
      <c r="FM290" s="23"/>
      <c r="FN290" s="23"/>
      <c r="FO290" s="23"/>
      <c r="FP290" s="23"/>
      <c r="FQ290" s="23"/>
      <c r="FR290" s="23"/>
      <c r="FS290" s="23"/>
      <c r="FT290" s="23"/>
      <c r="FU290" s="23"/>
      <c r="FV290" s="23"/>
      <c r="FW290" s="23"/>
      <c r="FX290" s="23"/>
      <c r="FY290" s="23"/>
      <c r="FZ290" s="23"/>
      <c r="GA290" s="23"/>
      <c r="GB290" s="23"/>
      <c r="GC290" s="23"/>
      <c r="GD290" s="23"/>
      <c r="GE290" s="23"/>
      <c r="GF290" s="23"/>
      <c r="GG290" s="23"/>
      <c r="GH290" s="23"/>
      <c r="GI290" s="23"/>
      <c r="GJ290" s="23"/>
      <c r="GK290" s="23"/>
      <c r="GL290" s="23"/>
    </row>
    <row r="291" spans="1:194" ht="13">
      <c r="A291" s="23"/>
      <c r="B291" s="23"/>
      <c r="C291" s="23"/>
      <c r="D291" s="23"/>
      <c r="E291" s="23"/>
      <c r="F291" s="23"/>
      <c r="G291" s="23"/>
      <c r="H291" s="401"/>
      <c r="I291" s="401"/>
      <c r="J291" s="401"/>
      <c r="K291" s="401"/>
      <c r="L291" s="401"/>
      <c r="M291" s="438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D291" s="23"/>
      <c r="DE291" s="23"/>
      <c r="DF291" s="23"/>
      <c r="DG291" s="23"/>
      <c r="DH291" s="23"/>
      <c r="DI291" s="23"/>
      <c r="DJ291" s="23"/>
      <c r="DK291" s="23"/>
      <c r="DL291" s="23"/>
      <c r="DM291" s="23"/>
      <c r="DN291" s="23"/>
      <c r="DO291" s="23"/>
      <c r="DP291" s="23"/>
      <c r="DQ291" s="23"/>
      <c r="DR291" s="23"/>
      <c r="DS291" s="23"/>
      <c r="DT291" s="23"/>
      <c r="DU291" s="23"/>
      <c r="DV291" s="23"/>
      <c r="DW291" s="23"/>
      <c r="DX291" s="23"/>
      <c r="DY291" s="23"/>
      <c r="DZ291" s="23"/>
      <c r="EA291" s="23"/>
      <c r="EB291" s="23"/>
      <c r="EC291" s="23"/>
      <c r="ED291" s="23"/>
      <c r="EE291" s="23"/>
      <c r="EF291" s="23"/>
      <c r="EG291" s="23"/>
      <c r="EH291" s="23"/>
      <c r="EI291" s="23"/>
      <c r="EJ291" s="23"/>
      <c r="EK291" s="23"/>
      <c r="EL291" s="23"/>
      <c r="EM291" s="23"/>
      <c r="EN291" s="23"/>
      <c r="EO291" s="23"/>
      <c r="EP291" s="23"/>
      <c r="EQ291" s="23"/>
      <c r="ER291" s="23"/>
      <c r="ES291" s="23"/>
      <c r="ET291" s="23"/>
      <c r="EU291" s="23"/>
      <c r="EV291" s="23"/>
      <c r="EW291" s="23"/>
      <c r="EX291" s="23"/>
      <c r="EY291" s="23"/>
      <c r="EZ291" s="23"/>
      <c r="FA291" s="23"/>
      <c r="FB291" s="23"/>
      <c r="FC291" s="23"/>
      <c r="FD291" s="23"/>
      <c r="FE291" s="23"/>
      <c r="FF291" s="23"/>
      <c r="FG291" s="23"/>
      <c r="FH291" s="23"/>
      <c r="FI291" s="23"/>
      <c r="FJ291" s="23"/>
      <c r="FK291" s="23"/>
      <c r="FL291" s="23"/>
      <c r="FM291" s="23"/>
      <c r="FN291" s="23"/>
      <c r="FO291" s="23"/>
      <c r="FP291" s="23"/>
      <c r="FQ291" s="23"/>
      <c r="FR291" s="23"/>
      <c r="FS291" s="23"/>
      <c r="FT291" s="23"/>
      <c r="FU291" s="23"/>
      <c r="FV291" s="23"/>
      <c r="FW291" s="23"/>
      <c r="FX291" s="23"/>
      <c r="FY291" s="23"/>
      <c r="FZ291" s="23"/>
      <c r="GA291" s="23"/>
      <c r="GB291" s="23"/>
      <c r="GC291" s="23"/>
      <c r="GD291" s="23"/>
      <c r="GE291" s="23"/>
      <c r="GF291" s="23"/>
      <c r="GG291" s="23"/>
      <c r="GH291" s="23"/>
      <c r="GI291" s="23"/>
      <c r="GJ291" s="23"/>
      <c r="GK291" s="23"/>
      <c r="GL291" s="23"/>
    </row>
    <row r="292" spans="1:194" ht="13">
      <c r="A292" s="23"/>
      <c r="B292" s="23"/>
      <c r="C292" s="23"/>
      <c r="D292" s="23"/>
      <c r="E292" s="23"/>
      <c r="F292" s="23"/>
      <c r="G292" s="23"/>
      <c r="H292" s="401"/>
      <c r="I292" s="401"/>
      <c r="J292" s="401"/>
      <c r="K292" s="401"/>
      <c r="L292" s="401"/>
      <c r="M292" s="438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3"/>
      <c r="AX292" s="23"/>
      <c r="AY292" s="23"/>
      <c r="AZ292" s="23"/>
      <c r="BA292" s="23"/>
      <c r="BB292" s="23"/>
      <c r="BC292" s="23"/>
      <c r="BD292" s="23"/>
      <c r="BE292" s="23"/>
      <c r="BF292" s="23"/>
      <c r="BG292" s="23"/>
      <c r="BH292" s="23"/>
      <c r="BI292" s="23"/>
      <c r="BJ292" s="23"/>
      <c r="BK292" s="23"/>
      <c r="BL292" s="23"/>
      <c r="BM292" s="23"/>
      <c r="BN292" s="23"/>
      <c r="BO292" s="23"/>
      <c r="BP292" s="23"/>
      <c r="BQ292" s="23"/>
      <c r="BR292" s="23"/>
      <c r="BS292" s="23"/>
      <c r="BT292" s="23"/>
      <c r="BU292" s="23"/>
      <c r="BV292" s="23"/>
      <c r="BW292" s="23"/>
      <c r="BX292" s="23"/>
      <c r="BY292" s="23"/>
      <c r="BZ292" s="23"/>
      <c r="CA292" s="23"/>
      <c r="CB292" s="23"/>
      <c r="CC292" s="23"/>
      <c r="CD292" s="23"/>
      <c r="CE292" s="23"/>
      <c r="CF292" s="23"/>
      <c r="CG292" s="23"/>
      <c r="CH292" s="23"/>
      <c r="CI292" s="23"/>
      <c r="CJ292" s="23"/>
      <c r="CK292" s="23"/>
      <c r="CL292" s="23"/>
      <c r="CM292" s="23"/>
      <c r="CN292" s="23"/>
      <c r="CO292" s="23"/>
      <c r="CP292" s="23"/>
      <c r="CQ292" s="23"/>
      <c r="CR292" s="23"/>
      <c r="CS292" s="23"/>
      <c r="CT292" s="23"/>
      <c r="CU292" s="23"/>
      <c r="CV292" s="23"/>
      <c r="CW292" s="23"/>
      <c r="CX292" s="23"/>
      <c r="CY292" s="23"/>
      <c r="CZ292" s="23"/>
      <c r="DA292" s="23"/>
      <c r="DB292" s="23"/>
      <c r="DC292" s="23"/>
      <c r="DD292" s="23"/>
      <c r="DE292" s="23"/>
      <c r="DF292" s="23"/>
      <c r="DG292" s="23"/>
      <c r="DH292" s="23"/>
      <c r="DI292" s="23"/>
      <c r="DJ292" s="23"/>
      <c r="DK292" s="23"/>
      <c r="DL292" s="23"/>
      <c r="DM292" s="23"/>
      <c r="DN292" s="23"/>
      <c r="DO292" s="23"/>
      <c r="DP292" s="23"/>
      <c r="DQ292" s="23"/>
      <c r="DR292" s="23"/>
      <c r="DS292" s="23"/>
      <c r="DT292" s="23"/>
      <c r="DU292" s="23"/>
      <c r="DV292" s="23"/>
      <c r="DW292" s="23"/>
      <c r="DX292" s="23"/>
      <c r="DY292" s="23"/>
      <c r="DZ292" s="23"/>
      <c r="EA292" s="23"/>
      <c r="EB292" s="23"/>
      <c r="EC292" s="23"/>
      <c r="ED292" s="23"/>
      <c r="EE292" s="23"/>
      <c r="EF292" s="23"/>
      <c r="EG292" s="23"/>
      <c r="EH292" s="23"/>
      <c r="EI292" s="23"/>
      <c r="EJ292" s="23"/>
      <c r="EK292" s="23"/>
      <c r="EL292" s="23"/>
      <c r="EM292" s="23"/>
      <c r="EN292" s="23"/>
      <c r="EO292" s="23"/>
      <c r="EP292" s="23"/>
      <c r="EQ292" s="23"/>
      <c r="ER292" s="23"/>
      <c r="ES292" s="23"/>
      <c r="ET292" s="23"/>
      <c r="EU292" s="23"/>
      <c r="EV292" s="23"/>
      <c r="EW292" s="23"/>
      <c r="EX292" s="23"/>
      <c r="EY292" s="23"/>
      <c r="EZ292" s="23"/>
      <c r="FA292" s="23"/>
      <c r="FB292" s="23"/>
      <c r="FC292" s="23"/>
      <c r="FD292" s="23"/>
      <c r="FE292" s="23"/>
      <c r="FF292" s="23"/>
      <c r="FG292" s="23"/>
      <c r="FH292" s="23"/>
      <c r="FI292" s="23"/>
      <c r="FJ292" s="23"/>
      <c r="FK292" s="23"/>
      <c r="FL292" s="23"/>
      <c r="FM292" s="23"/>
      <c r="FN292" s="23"/>
      <c r="FO292" s="23"/>
      <c r="FP292" s="23"/>
      <c r="FQ292" s="23"/>
      <c r="FR292" s="23"/>
      <c r="FS292" s="23"/>
      <c r="FT292" s="23"/>
      <c r="FU292" s="23"/>
      <c r="FV292" s="23"/>
      <c r="FW292" s="23"/>
      <c r="FX292" s="23"/>
      <c r="FY292" s="23"/>
      <c r="FZ292" s="23"/>
      <c r="GA292" s="23"/>
      <c r="GB292" s="23"/>
      <c r="GC292" s="23"/>
      <c r="GD292" s="23"/>
      <c r="GE292" s="23"/>
      <c r="GF292" s="23"/>
      <c r="GG292" s="23"/>
      <c r="GH292" s="23"/>
      <c r="GI292" s="23"/>
      <c r="GJ292" s="23"/>
      <c r="GK292" s="23"/>
      <c r="GL292" s="23"/>
    </row>
    <row r="293" spans="1:194" ht="13">
      <c r="A293" s="23"/>
      <c r="B293" s="23"/>
      <c r="C293" s="23"/>
      <c r="D293" s="23"/>
      <c r="E293" s="23"/>
      <c r="F293" s="23"/>
      <c r="G293" s="23"/>
      <c r="H293" s="401"/>
      <c r="I293" s="401"/>
      <c r="J293" s="401"/>
      <c r="K293" s="401"/>
      <c r="L293" s="401"/>
      <c r="M293" s="438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  <c r="BA293" s="23"/>
      <c r="BB293" s="23"/>
      <c r="BC293" s="23"/>
      <c r="BD293" s="23"/>
      <c r="BE293" s="23"/>
      <c r="BF293" s="23"/>
      <c r="BG293" s="23"/>
      <c r="BH293" s="23"/>
      <c r="BI293" s="23"/>
      <c r="BJ293" s="23"/>
      <c r="BK293" s="23"/>
      <c r="BL293" s="23"/>
      <c r="BM293" s="23"/>
      <c r="BN293" s="23"/>
      <c r="BO293" s="23"/>
      <c r="BP293" s="23"/>
      <c r="BQ293" s="23"/>
      <c r="BR293" s="23"/>
      <c r="BS293" s="23"/>
      <c r="BT293" s="23"/>
      <c r="BU293" s="23"/>
      <c r="BV293" s="23"/>
      <c r="BW293" s="23"/>
      <c r="BX293" s="23"/>
      <c r="BY293" s="23"/>
      <c r="BZ293" s="23"/>
      <c r="CA293" s="23"/>
      <c r="CB293" s="23"/>
      <c r="CC293" s="23"/>
      <c r="CD293" s="23"/>
      <c r="CE293" s="23"/>
      <c r="CF293" s="23"/>
      <c r="CG293" s="23"/>
      <c r="CH293" s="23"/>
      <c r="CI293" s="23"/>
      <c r="CJ293" s="23"/>
      <c r="CK293" s="23"/>
      <c r="CL293" s="23"/>
      <c r="CM293" s="23"/>
      <c r="CN293" s="23"/>
      <c r="CO293" s="23"/>
      <c r="CP293" s="23"/>
      <c r="CQ293" s="23"/>
      <c r="CR293" s="23"/>
      <c r="CS293" s="23"/>
      <c r="CT293" s="23"/>
      <c r="CU293" s="23"/>
      <c r="CV293" s="23"/>
      <c r="CW293" s="23"/>
      <c r="CX293" s="23"/>
      <c r="CY293" s="23"/>
      <c r="CZ293" s="23"/>
      <c r="DA293" s="23"/>
      <c r="DB293" s="23"/>
      <c r="DC293" s="23"/>
      <c r="DD293" s="23"/>
      <c r="DE293" s="23"/>
      <c r="DF293" s="23"/>
      <c r="DG293" s="23"/>
      <c r="DH293" s="23"/>
      <c r="DI293" s="23"/>
      <c r="DJ293" s="23"/>
      <c r="DK293" s="23"/>
      <c r="DL293" s="23"/>
      <c r="DM293" s="23"/>
      <c r="DN293" s="23"/>
      <c r="DO293" s="23"/>
      <c r="DP293" s="23"/>
      <c r="DQ293" s="23"/>
      <c r="DR293" s="23"/>
      <c r="DS293" s="23"/>
      <c r="DT293" s="23"/>
      <c r="DU293" s="23"/>
      <c r="DV293" s="23"/>
      <c r="DW293" s="23"/>
      <c r="DX293" s="23"/>
      <c r="DY293" s="23"/>
      <c r="DZ293" s="23"/>
      <c r="EA293" s="23"/>
      <c r="EB293" s="23"/>
      <c r="EC293" s="23"/>
      <c r="ED293" s="23"/>
      <c r="EE293" s="23"/>
      <c r="EF293" s="23"/>
      <c r="EG293" s="23"/>
      <c r="EH293" s="23"/>
      <c r="EI293" s="23"/>
      <c r="EJ293" s="23"/>
      <c r="EK293" s="23"/>
      <c r="EL293" s="23"/>
      <c r="EM293" s="23"/>
      <c r="EN293" s="23"/>
      <c r="EO293" s="23"/>
      <c r="EP293" s="23"/>
      <c r="EQ293" s="23"/>
      <c r="ER293" s="23"/>
      <c r="ES293" s="23"/>
      <c r="ET293" s="23"/>
      <c r="EU293" s="23"/>
      <c r="EV293" s="23"/>
      <c r="EW293" s="23"/>
      <c r="EX293" s="23"/>
      <c r="EY293" s="23"/>
      <c r="EZ293" s="23"/>
      <c r="FA293" s="23"/>
      <c r="FB293" s="23"/>
      <c r="FC293" s="23"/>
      <c r="FD293" s="23"/>
      <c r="FE293" s="23"/>
      <c r="FF293" s="23"/>
      <c r="FG293" s="23"/>
      <c r="FH293" s="23"/>
      <c r="FI293" s="23"/>
      <c r="FJ293" s="23"/>
      <c r="FK293" s="23"/>
      <c r="FL293" s="23"/>
      <c r="FM293" s="23"/>
      <c r="FN293" s="23"/>
      <c r="FO293" s="23"/>
      <c r="FP293" s="23"/>
      <c r="FQ293" s="23"/>
      <c r="FR293" s="23"/>
      <c r="FS293" s="23"/>
      <c r="FT293" s="23"/>
      <c r="FU293" s="23"/>
      <c r="FV293" s="23"/>
      <c r="FW293" s="23"/>
      <c r="FX293" s="23"/>
      <c r="FY293" s="23"/>
      <c r="FZ293" s="23"/>
      <c r="GA293" s="23"/>
      <c r="GB293" s="23"/>
      <c r="GC293" s="23"/>
      <c r="GD293" s="23"/>
      <c r="GE293" s="23"/>
      <c r="GF293" s="23"/>
      <c r="GG293" s="23"/>
      <c r="GH293" s="23"/>
      <c r="GI293" s="23"/>
      <c r="GJ293" s="23"/>
      <c r="GK293" s="23"/>
      <c r="GL293" s="23"/>
    </row>
    <row r="294" spans="1:194" ht="13">
      <c r="A294" s="23"/>
      <c r="B294" s="23"/>
      <c r="C294" s="23"/>
      <c r="D294" s="23"/>
      <c r="E294" s="23"/>
      <c r="F294" s="23"/>
      <c r="G294" s="23"/>
      <c r="H294" s="401"/>
      <c r="I294" s="401"/>
      <c r="J294" s="401"/>
      <c r="K294" s="401"/>
      <c r="L294" s="401"/>
      <c r="M294" s="438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3"/>
      <c r="AX294" s="23"/>
      <c r="AY294" s="23"/>
      <c r="AZ294" s="23"/>
      <c r="BA294" s="23"/>
      <c r="BB294" s="23"/>
      <c r="BC294" s="23"/>
      <c r="BD294" s="23"/>
      <c r="BE294" s="23"/>
      <c r="BF294" s="23"/>
      <c r="BG294" s="23"/>
      <c r="BH294" s="23"/>
      <c r="BI294" s="23"/>
      <c r="BJ294" s="23"/>
      <c r="BK294" s="23"/>
      <c r="BL294" s="23"/>
      <c r="BM294" s="23"/>
      <c r="BN294" s="23"/>
      <c r="BO294" s="23"/>
      <c r="BP294" s="23"/>
      <c r="BQ294" s="23"/>
      <c r="BR294" s="23"/>
      <c r="BS294" s="23"/>
      <c r="BT294" s="23"/>
      <c r="BU294" s="23"/>
      <c r="BV294" s="23"/>
      <c r="BW294" s="23"/>
      <c r="BX294" s="23"/>
      <c r="BY294" s="23"/>
      <c r="BZ294" s="23"/>
      <c r="CA294" s="23"/>
      <c r="CB294" s="23"/>
      <c r="CC294" s="23"/>
      <c r="CD294" s="23"/>
      <c r="CE294" s="23"/>
      <c r="CF294" s="23"/>
      <c r="CG294" s="23"/>
      <c r="CH294" s="23"/>
      <c r="CI294" s="23"/>
      <c r="CJ294" s="23"/>
      <c r="CK294" s="23"/>
      <c r="CL294" s="23"/>
      <c r="CM294" s="23"/>
      <c r="CN294" s="23"/>
      <c r="CO294" s="23"/>
      <c r="CP294" s="23"/>
      <c r="CQ294" s="23"/>
      <c r="CR294" s="23"/>
      <c r="CS294" s="23"/>
      <c r="CT294" s="23"/>
      <c r="CU294" s="23"/>
      <c r="CV294" s="23"/>
      <c r="CW294" s="23"/>
      <c r="CX294" s="23"/>
      <c r="CY294" s="23"/>
      <c r="CZ294" s="23"/>
      <c r="DA294" s="23"/>
      <c r="DB294" s="23"/>
      <c r="DC294" s="23"/>
      <c r="DD294" s="23"/>
      <c r="DE294" s="23"/>
      <c r="DF294" s="23"/>
      <c r="DG294" s="23"/>
      <c r="DH294" s="23"/>
      <c r="DI294" s="23"/>
      <c r="DJ294" s="23"/>
      <c r="DK294" s="23"/>
      <c r="DL294" s="23"/>
      <c r="DM294" s="23"/>
      <c r="DN294" s="23"/>
      <c r="DO294" s="23"/>
      <c r="DP294" s="23"/>
      <c r="DQ294" s="23"/>
      <c r="DR294" s="23"/>
      <c r="DS294" s="23"/>
      <c r="DT294" s="23"/>
      <c r="DU294" s="23"/>
      <c r="DV294" s="23"/>
      <c r="DW294" s="23"/>
      <c r="DX294" s="23"/>
      <c r="DY294" s="23"/>
      <c r="DZ294" s="23"/>
      <c r="EA294" s="23"/>
      <c r="EB294" s="23"/>
      <c r="EC294" s="23"/>
      <c r="ED294" s="23"/>
      <c r="EE294" s="23"/>
      <c r="EF294" s="23"/>
      <c r="EG294" s="23"/>
      <c r="EH294" s="23"/>
      <c r="EI294" s="23"/>
      <c r="EJ294" s="23"/>
      <c r="EK294" s="23"/>
      <c r="EL294" s="23"/>
      <c r="EM294" s="23"/>
      <c r="EN294" s="23"/>
      <c r="EO294" s="23"/>
      <c r="EP294" s="23"/>
      <c r="EQ294" s="23"/>
      <c r="ER294" s="23"/>
      <c r="ES294" s="23"/>
      <c r="ET294" s="23"/>
      <c r="EU294" s="23"/>
      <c r="EV294" s="23"/>
      <c r="EW294" s="23"/>
      <c r="EX294" s="23"/>
      <c r="EY294" s="23"/>
      <c r="EZ294" s="23"/>
      <c r="FA294" s="23"/>
      <c r="FB294" s="23"/>
      <c r="FC294" s="23"/>
      <c r="FD294" s="23"/>
      <c r="FE294" s="23"/>
      <c r="FF294" s="23"/>
      <c r="FG294" s="23"/>
      <c r="FH294" s="23"/>
      <c r="FI294" s="23"/>
      <c r="FJ294" s="23"/>
      <c r="FK294" s="23"/>
      <c r="FL294" s="23"/>
      <c r="FM294" s="23"/>
      <c r="FN294" s="23"/>
      <c r="FO294" s="23"/>
      <c r="FP294" s="23"/>
      <c r="FQ294" s="23"/>
      <c r="FR294" s="23"/>
      <c r="FS294" s="23"/>
      <c r="FT294" s="23"/>
      <c r="FU294" s="23"/>
      <c r="FV294" s="23"/>
      <c r="FW294" s="23"/>
      <c r="FX294" s="23"/>
      <c r="FY294" s="23"/>
      <c r="FZ294" s="23"/>
      <c r="GA294" s="23"/>
      <c r="GB294" s="23"/>
      <c r="GC294" s="23"/>
      <c r="GD294" s="23"/>
      <c r="GE294" s="23"/>
      <c r="GF294" s="23"/>
      <c r="GG294" s="23"/>
      <c r="GH294" s="23"/>
      <c r="GI294" s="23"/>
      <c r="GJ294" s="23"/>
      <c r="GK294" s="23"/>
      <c r="GL294" s="23"/>
    </row>
    <row r="295" spans="1:194" ht="13">
      <c r="A295" s="23"/>
      <c r="B295" s="23"/>
      <c r="C295" s="23"/>
      <c r="D295" s="23"/>
      <c r="E295" s="23"/>
      <c r="F295" s="23"/>
      <c r="G295" s="23"/>
      <c r="H295" s="401"/>
      <c r="I295" s="401"/>
      <c r="J295" s="401"/>
      <c r="K295" s="401"/>
      <c r="L295" s="401"/>
      <c r="M295" s="438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3"/>
      <c r="AX295" s="23"/>
      <c r="AY295" s="23"/>
      <c r="AZ295" s="23"/>
      <c r="BA295" s="23"/>
      <c r="BB295" s="23"/>
      <c r="BC295" s="23"/>
      <c r="BD295" s="23"/>
      <c r="BE295" s="23"/>
      <c r="BF295" s="23"/>
      <c r="BG295" s="23"/>
      <c r="BH295" s="23"/>
      <c r="BI295" s="23"/>
      <c r="BJ295" s="23"/>
      <c r="BK295" s="23"/>
      <c r="BL295" s="23"/>
      <c r="BM295" s="23"/>
      <c r="BN295" s="23"/>
      <c r="BO295" s="23"/>
      <c r="BP295" s="23"/>
      <c r="BQ295" s="23"/>
      <c r="BR295" s="23"/>
      <c r="BS295" s="23"/>
      <c r="BT295" s="23"/>
      <c r="BU295" s="23"/>
      <c r="BV295" s="23"/>
      <c r="BW295" s="23"/>
      <c r="BX295" s="23"/>
      <c r="BY295" s="23"/>
      <c r="BZ295" s="23"/>
      <c r="CA295" s="23"/>
      <c r="CB295" s="23"/>
      <c r="CC295" s="23"/>
      <c r="CD295" s="23"/>
      <c r="CE295" s="23"/>
      <c r="CF295" s="23"/>
      <c r="CG295" s="23"/>
      <c r="CH295" s="23"/>
      <c r="CI295" s="23"/>
      <c r="CJ295" s="23"/>
      <c r="CK295" s="23"/>
      <c r="CL295" s="23"/>
      <c r="CM295" s="23"/>
      <c r="CN295" s="23"/>
      <c r="CO295" s="23"/>
      <c r="CP295" s="23"/>
      <c r="CQ295" s="23"/>
      <c r="CR295" s="23"/>
      <c r="CS295" s="23"/>
      <c r="CT295" s="23"/>
      <c r="CU295" s="23"/>
      <c r="CV295" s="23"/>
      <c r="CW295" s="23"/>
      <c r="CX295" s="23"/>
      <c r="CY295" s="23"/>
      <c r="CZ295" s="23"/>
      <c r="DA295" s="23"/>
      <c r="DB295" s="23"/>
      <c r="DC295" s="23"/>
      <c r="DD295" s="23"/>
      <c r="DE295" s="23"/>
      <c r="DF295" s="23"/>
      <c r="DG295" s="23"/>
      <c r="DH295" s="23"/>
      <c r="DI295" s="23"/>
      <c r="DJ295" s="23"/>
      <c r="DK295" s="23"/>
      <c r="DL295" s="23"/>
      <c r="DM295" s="23"/>
      <c r="DN295" s="23"/>
      <c r="DO295" s="23"/>
      <c r="DP295" s="23"/>
      <c r="DQ295" s="23"/>
      <c r="DR295" s="23"/>
      <c r="DS295" s="23"/>
      <c r="DT295" s="23"/>
      <c r="DU295" s="23"/>
      <c r="DV295" s="23"/>
      <c r="DW295" s="23"/>
      <c r="DX295" s="23"/>
      <c r="DY295" s="23"/>
      <c r="DZ295" s="23"/>
      <c r="EA295" s="23"/>
      <c r="EB295" s="23"/>
      <c r="EC295" s="23"/>
      <c r="ED295" s="23"/>
      <c r="EE295" s="23"/>
      <c r="EF295" s="23"/>
      <c r="EG295" s="23"/>
      <c r="EH295" s="23"/>
      <c r="EI295" s="23"/>
      <c r="EJ295" s="23"/>
      <c r="EK295" s="23"/>
      <c r="EL295" s="23"/>
      <c r="EM295" s="23"/>
      <c r="EN295" s="23"/>
      <c r="EO295" s="23"/>
      <c r="EP295" s="23"/>
      <c r="EQ295" s="23"/>
      <c r="ER295" s="23"/>
      <c r="ES295" s="23"/>
      <c r="ET295" s="23"/>
      <c r="EU295" s="23"/>
      <c r="EV295" s="23"/>
      <c r="EW295" s="23"/>
      <c r="EX295" s="23"/>
      <c r="EY295" s="23"/>
      <c r="EZ295" s="23"/>
      <c r="FA295" s="23"/>
      <c r="FB295" s="23"/>
      <c r="FC295" s="23"/>
      <c r="FD295" s="23"/>
      <c r="FE295" s="23"/>
      <c r="FF295" s="23"/>
      <c r="FG295" s="23"/>
      <c r="FH295" s="23"/>
      <c r="FI295" s="23"/>
      <c r="FJ295" s="23"/>
      <c r="FK295" s="23"/>
      <c r="FL295" s="23"/>
      <c r="FM295" s="23"/>
      <c r="FN295" s="23"/>
      <c r="FO295" s="23"/>
      <c r="FP295" s="23"/>
      <c r="FQ295" s="23"/>
      <c r="FR295" s="23"/>
      <c r="FS295" s="23"/>
      <c r="FT295" s="23"/>
      <c r="FU295" s="23"/>
      <c r="FV295" s="23"/>
      <c r="FW295" s="23"/>
      <c r="FX295" s="23"/>
      <c r="FY295" s="23"/>
      <c r="FZ295" s="23"/>
      <c r="GA295" s="23"/>
      <c r="GB295" s="23"/>
      <c r="GC295" s="23"/>
      <c r="GD295" s="23"/>
      <c r="GE295" s="23"/>
      <c r="GF295" s="23"/>
      <c r="GG295" s="23"/>
      <c r="GH295" s="23"/>
      <c r="GI295" s="23"/>
      <c r="GJ295" s="23"/>
      <c r="GK295" s="23"/>
      <c r="GL295" s="23"/>
    </row>
    <row r="296" spans="1:194" ht="13">
      <c r="A296" s="23"/>
      <c r="B296" s="23"/>
      <c r="C296" s="23"/>
      <c r="D296" s="23"/>
      <c r="E296" s="23"/>
      <c r="F296" s="23"/>
      <c r="G296" s="23"/>
      <c r="H296" s="401"/>
      <c r="I296" s="401"/>
      <c r="J296" s="401"/>
      <c r="K296" s="401"/>
      <c r="L296" s="401"/>
      <c r="M296" s="438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  <c r="BA296" s="23"/>
      <c r="BB296" s="23"/>
      <c r="BC296" s="23"/>
      <c r="BD296" s="23"/>
      <c r="BE296" s="23"/>
      <c r="BF296" s="23"/>
      <c r="BG296" s="23"/>
      <c r="BH296" s="23"/>
      <c r="BI296" s="23"/>
      <c r="BJ296" s="23"/>
      <c r="BK296" s="23"/>
      <c r="BL296" s="23"/>
      <c r="BM296" s="23"/>
      <c r="BN296" s="23"/>
      <c r="BO296" s="23"/>
      <c r="BP296" s="23"/>
      <c r="BQ296" s="23"/>
      <c r="BR296" s="23"/>
      <c r="BS296" s="23"/>
      <c r="BT296" s="23"/>
      <c r="BU296" s="23"/>
      <c r="BV296" s="23"/>
      <c r="BW296" s="23"/>
      <c r="BX296" s="23"/>
      <c r="BY296" s="23"/>
      <c r="BZ296" s="23"/>
      <c r="CA296" s="23"/>
      <c r="CB296" s="23"/>
      <c r="CC296" s="23"/>
      <c r="CD296" s="23"/>
      <c r="CE296" s="23"/>
      <c r="CF296" s="23"/>
      <c r="CG296" s="23"/>
      <c r="CH296" s="23"/>
      <c r="CI296" s="23"/>
      <c r="CJ296" s="23"/>
      <c r="CK296" s="23"/>
      <c r="CL296" s="23"/>
      <c r="CM296" s="23"/>
      <c r="CN296" s="23"/>
      <c r="CO296" s="23"/>
      <c r="CP296" s="23"/>
      <c r="CQ296" s="23"/>
      <c r="CR296" s="23"/>
      <c r="CS296" s="23"/>
      <c r="CT296" s="23"/>
      <c r="CU296" s="23"/>
      <c r="CV296" s="23"/>
      <c r="CW296" s="23"/>
      <c r="CX296" s="23"/>
      <c r="CY296" s="23"/>
      <c r="CZ296" s="23"/>
      <c r="DA296" s="23"/>
      <c r="DB296" s="23"/>
      <c r="DC296" s="23"/>
      <c r="DD296" s="23"/>
      <c r="DE296" s="23"/>
      <c r="DF296" s="23"/>
      <c r="DG296" s="23"/>
      <c r="DH296" s="23"/>
      <c r="DI296" s="23"/>
      <c r="DJ296" s="23"/>
      <c r="DK296" s="23"/>
      <c r="DL296" s="23"/>
      <c r="DM296" s="23"/>
      <c r="DN296" s="23"/>
      <c r="DO296" s="23"/>
      <c r="DP296" s="23"/>
      <c r="DQ296" s="23"/>
      <c r="DR296" s="23"/>
      <c r="DS296" s="23"/>
      <c r="DT296" s="23"/>
      <c r="DU296" s="23"/>
      <c r="DV296" s="23"/>
      <c r="DW296" s="23"/>
      <c r="DX296" s="23"/>
      <c r="DY296" s="23"/>
      <c r="DZ296" s="23"/>
      <c r="EA296" s="23"/>
      <c r="EB296" s="23"/>
      <c r="EC296" s="23"/>
      <c r="ED296" s="23"/>
      <c r="EE296" s="23"/>
      <c r="EF296" s="23"/>
      <c r="EG296" s="23"/>
      <c r="EH296" s="23"/>
      <c r="EI296" s="23"/>
      <c r="EJ296" s="23"/>
      <c r="EK296" s="23"/>
      <c r="EL296" s="23"/>
      <c r="EM296" s="23"/>
      <c r="EN296" s="23"/>
      <c r="EO296" s="23"/>
      <c r="EP296" s="23"/>
      <c r="EQ296" s="23"/>
      <c r="ER296" s="23"/>
      <c r="ES296" s="23"/>
      <c r="ET296" s="23"/>
      <c r="EU296" s="23"/>
      <c r="EV296" s="23"/>
      <c r="EW296" s="23"/>
      <c r="EX296" s="23"/>
      <c r="EY296" s="23"/>
      <c r="EZ296" s="23"/>
      <c r="FA296" s="23"/>
      <c r="FB296" s="23"/>
      <c r="FC296" s="23"/>
      <c r="FD296" s="23"/>
      <c r="FE296" s="23"/>
      <c r="FF296" s="23"/>
      <c r="FG296" s="23"/>
      <c r="FH296" s="23"/>
      <c r="FI296" s="23"/>
      <c r="FJ296" s="23"/>
      <c r="FK296" s="23"/>
      <c r="FL296" s="23"/>
      <c r="FM296" s="23"/>
      <c r="FN296" s="23"/>
      <c r="FO296" s="23"/>
      <c r="FP296" s="23"/>
      <c r="FQ296" s="23"/>
      <c r="FR296" s="23"/>
      <c r="FS296" s="23"/>
      <c r="FT296" s="23"/>
      <c r="FU296" s="23"/>
      <c r="FV296" s="23"/>
      <c r="FW296" s="23"/>
      <c r="FX296" s="23"/>
      <c r="FY296" s="23"/>
      <c r="FZ296" s="23"/>
      <c r="GA296" s="23"/>
      <c r="GB296" s="23"/>
      <c r="GC296" s="23"/>
      <c r="GD296" s="23"/>
      <c r="GE296" s="23"/>
      <c r="GF296" s="23"/>
      <c r="GG296" s="23"/>
      <c r="GH296" s="23"/>
      <c r="GI296" s="23"/>
      <c r="GJ296" s="23"/>
      <c r="GK296" s="23"/>
      <c r="GL296" s="23"/>
    </row>
    <row r="297" spans="1:194" ht="13">
      <c r="A297" s="23"/>
      <c r="B297" s="23"/>
      <c r="C297" s="23"/>
      <c r="D297" s="23"/>
      <c r="E297" s="23"/>
      <c r="F297" s="23"/>
      <c r="G297" s="23"/>
      <c r="H297" s="401"/>
      <c r="I297" s="401"/>
      <c r="J297" s="401"/>
      <c r="K297" s="401"/>
      <c r="L297" s="401"/>
      <c r="M297" s="438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23"/>
      <c r="BH297" s="23"/>
      <c r="BI297" s="23"/>
      <c r="BJ297" s="23"/>
      <c r="BK297" s="23"/>
      <c r="BL297" s="23"/>
      <c r="BM297" s="23"/>
      <c r="BN297" s="23"/>
      <c r="BO297" s="23"/>
      <c r="BP297" s="23"/>
      <c r="BQ297" s="23"/>
      <c r="BR297" s="23"/>
      <c r="BS297" s="23"/>
      <c r="BT297" s="23"/>
      <c r="BU297" s="23"/>
      <c r="BV297" s="23"/>
      <c r="BW297" s="23"/>
      <c r="BX297" s="23"/>
      <c r="BY297" s="23"/>
      <c r="BZ297" s="23"/>
      <c r="CA297" s="23"/>
      <c r="CB297" s="23"/>
      <c r="CC297" s="23"/>
      <c r="CD297" s="23"/>
      <c r="CE297" s="23"/>
      <c r="CF297" s="23"/>
      <c r="CG297" s="23"/>
      <c r="CH297" s="23"/>
      <c r="CI297" s="23"/>
      <c r="CJ297" s="23"/>
      <c r="CK297" s="23"/>
      <c r="CL297" s="23"/>
      <c r="CM297" s="23"/>
      <c r="CN297" s="23"/>
      <c r="CO297" s="23"/>
      <c r="CP297" s="23"/>
      <c r="CQ297" s="23"/>
      <c r="CR297" s="23"/>
      <c r="CS297" s="23"/>
      <c r="CT297" s="23"/>
      <c r="CU297" s="23"/>
      <c r="CV297" s="23"/>
      <c r="CW297" s="23"/>
      <c r="CX297" s="23"/>
      <c r="CY297" s="23"/>
      <c r="CZ297" s="23"/>
      <c r="DA297" s="23"/>
      <c r="DB297" s="23"/>
      <c r="DC297" s="23"/>
      <c r="DD297" s="23"/>
      <c r="DE297" s="23"/>
      <c r="DF297" s="23"/>
      <c r="DG297" s="23"/>
      <c r="DH297" s="23"/>
      <c r="DI297" s="23"/>
      <c r="DJ297" s="23"/>
      <c r="DK297" s="23"/>
      <c r="DL297" s="23"/>
      <c r="DM297" s="23"/>
      <c r="DN297" s="23"/>
      <c r="DO297" s="23"/>
      <c r="DP297" s="23"/>
      <c r="DQ297" s="23"/>
      <c r="DR297" s="23"/>
      <c r="DS297" s="23"/>
      <c r="DT297" s="23"/>
      <c r="DU297" s="23"/>
      <c r="DV297" s="23"/>
      <c r="DW297" s="23"/>
      <c r="DX297" s="23"/>
      <c r="DY297" s="23"/>
      <c r="DZ297" s="23"/>
      <c r="EA297" s="23"/>
      <c r="EB297" s="23"/>
      <c r="EC297" s="23"/>
      <c r="ED297" s="23"/>
      <c r="EE297" s="23"/>
      <c r="EF297" s="23"/>
      <c r="EG297" s="23"/>
      <c r="EH297" s="23"/>
      <c r="EI297" s="23"/>
      <c r="EJ297" s="23"/>
      <c r="EK297" s="23"/>
      <c r="EL297" s="23"/>
      <c r="EM297" s="23"/>
      <c r="EN297" s="23"/>
      <c r="EO297" s="23"/>
      <c r="EP297" s="23"/>
      <c r="EQ297" s="23"/>
      <c r="ER297" s="23"/>
      <c r="ES297" s="23"/>
      <c r="ET297" s="23"/>
      <c r="EU297" s="23"/>
      <c r="EV297" s="23"/>
      <c r="EW297" s="23"/>
      <c r="EX297" s="23"/>
      <c r="EY297" s="23"/>
      <c r="EZ297" s="23"/>
      <c r="FA297" s="23"/>
      <c r="FB297" s="23"/>
      <c r="FC297" s="23"/>
      <c r="FD297" s="23"/>
      <c r="FE297" s="23"/>
      <c r="FF297" s="23"/>
      <c r="FG297" s="23"/>
      <c r="FH297" s="23"/>
      <c r="FI297" s="23"/>
      <c r="FJ297" s="23"/>
      <c r="FK297" s="23"/>
      <c r="FL297" s="23"/>
      <c r="FM297" s="23"/>
      <c r="FN297" s="23"/>
      <c r="FO297" s="23"/>
      <c r="FP297" s="23"/>
      <c r="FQ297" s="23"/>
      <c r="FR297" s="23"/>
      <c r="FS297" s="23"/>
      <c r="FT297" s="23"/>
      <c r="FU297" s="23"/>
      <c r="FV297" s="23"/>
      <c r="FW297" s="23"/>
      <c r="FX297" s="23"/>
      <c r="FY297" s="23"/>
      <c r="FZ297" s="23"/>
      <c r="GA297" s="23"/>
      <c r="GB297" s="23"/>
      <c r="GC297" s="23"/>
      <c r="GD297" s="23"/>
      <c r="GE297" s="23"/>
      <c r="GF297" s="23"/>
      <c r="GG297" s="23"/>
      <c r="GH297" s="23"/>
      <c r="GI297" s="23"/>
      <c r="GJ297" s="23"/>
      <c r="GK297" s="23"/>
      <c r="GL297" s="23"/>
    </row>
    <row r="298" spans="1:194" ht="13">
      <c r="A298" s="23"/>
      <c r="B298" s="23"/>
      <c r="C298" s="23"/>
      <c r="D298" s="23"/>
      <c r="E298" s="23"/>
      <c r="F298" s="23"/>
      <c r="G298" s="23"/>
      <c r="H298" s="401"/>
      <c r="I298" s="401"/>
      <c r="J298" s="401"/>
      <c r="K298" s="401"/>
      <c r="L298" s="401"/>
      <c r="M298" s="438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3"/>
      <c r="AX298" s="23"/>
      <c r="AY298" s="23"/>
      <c r="AZ298" s="23"/>
      <c r="BA298" s="23"/>
      <c r="BB298" s="23"/>
      <c r="BC298" s="23"/>
      <c r="BD298" s="23"/>
      <c r="BE298" s="23"/>
      <c r="BF298" s="23"/>
      <c r="BG298" s="23"/>
      <c r="BH298" s="23"/>
      <c r="BI298" s="23"/>
      <c r="BJ298" s="23"/>
      <c r="BK298" s="23"/>
      <c r="BL298" s="23"/>
      <c r="BM298" s="23"/>
      <c r="BN298" s="23"/>
      <c r="BO298" s="23"/>
      <c r="BP298" s="23"/>
      <c r="BQ298" s="23"/>
      <c r="BR298" s="23"/>
      <c r="BS298" s="23"/>
      <c r="BT298" s="23"/>
      <c r="BU298" s="23"/>
      <c r="BV298" s="23"/>
      <c r="BW298" s="23"/>
      <c r="BX298" s="23"/>
      <c r="BY298" s="23"/>
      <c r="BZ298" s="23"/>
      <c r="CA298" s="23"/>
      <c r="CB298" s="23"/>
      <c r="CC298" s="23"/>
      <c r="CD298" s="23"/>
      <c r="CE298" s="23"/>
      <c r="CF298" s="23"/>
      <c r="CG298" s="23"/>
      <c r="CH298" s="23"/>
      <c r="CI298" s="23"/>
      <c r="CJ298" s="23"/>
      <c r="CK298" s="23"/>
      <c r="CL298" s="23"/>
      <c r="CM298" s="23"/>
      <c r="CN298" s="23"/>
      <c r="CO298" s="23"/>
      <c r="CP298" s="23"/>
      <c r="CQ298" s="23"/>
      <c r="CR298" s="23"/>
      <c r="CS298" s="23"/>
      <c r="CT298" s="23"/>
      <c r="CU298" s="23"/>
      <c r="CV298" s="23"/>
      <c r="CW298" s="23"/>
      <c r="CX298" s="23"/>
      <c r="CY298" s="23"/>
      <c r="CZ298" s="23"/>
      <c r="DA298" s="23"/>
      <c r="DB298" s="23"/>
      <c r="DC298" s="23"/>
      <c r="DD298" s="23"/>
      <c r="DE298" s="23"/>
      <c r="DF298" s="23"/>
      <c r="DG298" s="23"/>
      <c r="DH298" s="23"/>
      <c r="DI298" s="23"/>
      <c r="DJ298" s="23"/>
      <c r="DK298" s="23"/>
      <c r="DL298" s="23"/>
      <c r="DM298" s="23"/>
      <c r="DN298" s="23"/>
      <c r="DO298" s="23"/>
      <c r="DP298" s="23"/>
      <c r="DQ298" s="23"/>
      <c r="DR298" s="23"/>
      <c r="DS298" s="23"/>
      <c r="DT298" s="23"/>
      <c r="DU298" s="23"/>
      <c r="DV298" s="23"/>
      <c r="DW298" s="23"/>
      <c r="DX298" s="23"/>
      <c r="DY298" s="23"/>
      <c r="DZ298" s="23"/>
      <c r="EA298" s="23"/>
      <c r="EB298" s="23"/>
      <c r="EC298" s="23"/>
      <c r="ED298" s="23"/>
      <c r="EE298" s="23"/>
      <c r="EF298" s="23"/>
      <c r="EG298" s="23"/>
      <c r="EH298" s="23"/>
      <c r="EI298" s="23"/>
      <c r="EJ298" s="23"/>
      <c r="EK298" s="23"/>
      <c r="EL298" s="23"/>
      <c r="EM298" s="23"/>
      <c r="EN298" s="23"/>
      <c r="EO298" s="23"/>
      <c r="EP298" s="23"/>
      <c r="EQ298" s="23"/>
      <c r="ER298" s="23"/>
      <c r="ES298" s="23"/>
      <c r="ET298" s="23"/>
      <c r="EU298" s="23"/>
      <c r="EV298" s="23"/>
      <c r="EW298" s="23"/>
      <c r="EX298" s="23"/>
      <c r="EY298" s="23"/>
      <c r="EZ298" s="23"/>
      <c r="FA298" s="23"/>
      <c r="FB298" s="23"/>
      <c r="FC298" s="23"/>
      <c r="FD298" s="23"/>
      <c r="FE298" s="23"/>
      <c r="FF298" s="23"/>
      <c r="FG298" s="23"/>
      <c r="FH298" s="23"/>
      <c r="FI298" s="23"/>
      <c r="FJ298" s="23"/>
      <c r="FK298" s="23"/>
      <c r="FL298" s="23"/>
      <c r="FM298" s="23"/>
      <c r="FN298" s="23"/>
      <c r="FO298" s="23"/>
      <c r="FP298" s="23"/>
      <c r="FQ298" s="23"/>
      <c r="FR298" s="23"/>
      <c r="FS298" s="23"/>
      <c r="FT298" s="23"/>
      <c r="FU298" s="23"/>
      <c r="FV298" s="23"/>
      <c r="FW298" s="23"/>
      <c r="FX298" s="23"/>
      <c r="FY298" s="23"/>
      <c r="FZ298" s="23"/>
      <c r="GA298" s="23"/>
      <c r="GB298" s="23"/>
      <c r="GC298" s="23"/>
      <c r="GD298" s="23"/>
      <c r="GE298" s="23"/>
      <c r="GF298" s="23"/>
      <c r="GG298" s="23"/>
      <c r="GH298" s="23"/>
      <c r="GI298" s="23"/>
      <c r="GJ298" s="23"/>
      <c r="GK298" s="23"/>
      <c r="GL298" s="23"/>
    </row>
    <row r="299" spans="1:194" ht="13">
      <c r="A299" s="23"/>
      <c r="B299" s="23"/>
      <c r="C299" s="23"/>
      <c r="D299" s="23"/>
      <c r="E299" s="23"/>
      <c r="F299" s="23"/>
      <c r="G299" s="23"/>
      <c r="H299" s="401"/>
      <c r="I299" s="401"/>
      <c r="J299" s="401"/>
      <c r="K299" s="401"/>
      <c r="L299" s="401"/>
      <c r="M299" s="438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3"/>
      <c r="AX299" s="23"/>
      <c r="AY299" s="23"/>
      <c r="AZ299" s="23"/>
      <c r="BA299" s="23"/>
      <c r="BB299" s="23"/>
      <c r="BC299" s="23"/>
      <c r="BD299" s="23"/>
      <c r="BE299" s="23"/>
      <c r="BF299" s="23"/>
      <c r="BG299" s="23"/>
      <c r="BH299" s="23"/>
      <c r="BI299" s="23"/>
      <c r="BJ299" s="23"/>
      <c r="BK299" s="23"/>
      <c r="BL299" s="23"/>
      <c r="BM299" s="23"/>
      <c r="BN299" s="23"/>
      <c r="BO299" s="23"/>
      <c r="BP299" s="23"/>
      <c r="BQ299" s="23"/>
      <c r="BR299" s="23"/>
      <c r="BS299" s="23"/>
      <c r="BT299" s="23"/>
      <c r="BU299" s="23"/>
      <c r="BV299" s="23"/>
      <c r="BW299" s="23"/>
      <c r="BX299" s="23"/>
      <c r="BY299" s="23"/>
      <c r="BZ299" s="23"/>
      <c r="CA299" s="23"/>
      <c r="CB299" s="23"/>
      <c r="CC299" s="23"/>
      <c r="CD299" s="23"/>
      <c r="CE299" s="23"/>
      <c r="CF299" s="23"/>
      <c r="CG299" s="23"/>
      <c r="CH299" s="23"/>
      <c r="CI299" s="23"/>
      <c r="CJ299" s="23"/>
      <c r="CK299" s="23"/>
      <c r="CL299" s="23"/>
      <c r="CM299" s="23"/>
      <c r="CN299" s="23"/>
      <c r="CO299" s="23"/>
      <c r="CP299" s="23"/>
      <c r="CQ299" s="23"/>
      <c r="CR299" s="23"/>
      <c r="CS299" s="23"/>
      <c r="CT299" s="23"/>
      <c r="CU299" s="23"/>
      <c r="CV299" s="23"/>
      <c r="CW299" s="23"/>
      <c r="CX299" s="23"/>
      <c r="CY299" s="23"/>
      <c r="CZ299" s="23"/>
      <c r="DA299" s="23"/>
      <c r="DB299" s="23"/>
      <c r="DC299" s="23"/>
      <c r="DD299" s="23"/>
      <c r="DE299" s="23"/>
      <c r="DF299" s="23"/>
      <c r="DG299" s="23"/>
      <c r="DH299" s="23"/>
      <c r="DI299" s="23"/>
      <c r="DJ299" s="23"/>
      <c r="DK299" s="23"/>
      <c r="DL299" s="23"/>
      <c r="DM299" s="23"/>
      <c r="DN299" s="23"/>
      <c r="DO299" s="23"/>
      <c r="DP299" s="23"/>
      <c r="DQ299" s="23"/>
      <c r="DR299" s="23"/>
      <c r="DS299" s="23"/>
      <c r="DT299" s="23"/>
      <c r="DU299" s="23"/>
      <c r="DV299" s="23"/>
      <c r="DW299" s="23"/>
      <c r="DX299" s="23"/>
      <c r="DY299" s="23"/>
      <c r="DZ299" s="23"/>
      <c r="EA299" s="23"/>
      <c r="EB299" s="23"/>
      <c r="EC299" s="23"/>
      <c r="ED299" s="23"/>
      <c r="EE299" s="23"/>
      <c r="EF299" s="23"/>
      <c r="EG299" s="23"/>
      <c r="EH299" s="23"/>
      <c r="EI299" s="23"/>
      <c r="EJ299" s="23"/>
      <c r="EK299" s="23"/>
      <c r="EL299" s="23"/>
      <c r="EM299" s="23"/>
      <c r="EN299" s="23"/>
      <c r="EO299" s="23"/>
      <c r="EP299" s="23"/>
      <c r="EQ299" s="23"/>
      <c r="ER299" s="23"/>
      <c r="ES299" s="23"/>
      <c r="ET299" s="23"/>
      <c r="EU299" s="23"/>
      <c r="EV299" s="23"/>
      <c r="EW299" s="23"/>
      <c r="EX299" s="23"/>
      <c r="EY299" s="23"/>
      <c r="EZ299" s="23"/>
      <c r="FA299" s="23"/>
      <c r="FB299" s="23"/>
      <c r="FC299" s="23"/>
      <c r="FD299" s="23"/>
      <c r="FE299" s="23"/>
      <c r="FF299" s="23"/>
      <c r="FG299" s="23"/>
      <c r="FH299" s="23"/>
      <c r="FI299" s="23"/>
      <c r="FJ299" s="23"/>
      <c r="FK299" s="23"/>
      <c r="FL299" s="23"/>
      <c r="FM299" s="23"/>
      <c r="FN299" s="23"/>
      <c r="FO299" s="23"/>
      <c r="FP299" s="23"/>
      <c r="FQ299" s="23"/>
      <c r="FR299" s="23"/>
      <c r="FS299" s="23"/>
      <c r="FT299" s="23"/>
      <c r="FU299" s="23"/>
      <c r="FV299" s="23"/>
      <c r="FW299" s="23"/>
      <c r="FX299" s="23"/>
      <c r="FY299" s="23"/>
      <c r="FZ299" s="23"/>
      <c r="GA299" s="23"/>
      <c r="GB299" s="23"/>
      <c r="GC299" s="23"/>
      <c r="GD299" s="23"/>
      <c r="GE299" s="23"/>
      <c r="GF299" s="23"/>
      <c r="GG299" s="23"/>
      <c r="GH299" s="23"/>
      <c r="GI299" s="23"/>
      <c r="GJ299" s="23"/>
      <c r="GK299" s="23"/>
      <c r="GL299" s="23"/>
    </row>
    <row r="300" spans="1:194" ht="13">
      <c r="A300" s="23"/>
      <c r="B300" s="23"/>
      <c r="C300" s="23"/>
      <c r="D300" s="23"/>
      <c r="E300" s="23"/>
      <c r="F300" s="23"/>
      <c r="G300" s="23"/>
      <c r="H300" s="401"/>
      <c r="I300" s="401"/>
      <c r="J300" s="401"/>
      <c r="K300" s="401"/>
      <c r="L300" s="401"/>
      <c r="M300" s="438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3"/>
      <c r="AX300" s="23"/>
      <c r="AY300" s="23"/>
      <c r="AZ300" s="23"/>
      <c r="BA300" s="23"/>
      <c r="BB300" s="23"/>
      <c r="BC300" s="23"/>
      <c r="BD300" s="23"/>
      <c r="BE300" s="23"/>
      <c r="BF300" s="23"/>
      <c r="BG300" s="23"/>
      <c r="BH300" s="23"/>
      <c r="BI300" s="23"/>
      <c r="BJ300" s="23"/>
      <c r="BK300" s="23"/>
      <c r="BL300" s="23"/>
      <c r="BM300" s="23"/>
      <c r="BN300" s="23"/>
      <c r="BO300" s="23"/>
      <c r="BP300" s="23"/>
      <c r="BQ300" s="23"/>
      <c r="BR300" s="23"/>
      <c r="BS300" s="23"/>
      <c r="BT300" s="23"/>
      <c r="BU300" s="23"/>
      <c r="BV300" s="23"/>
      <c r="BW300" s="23"/>
      <c r="BX300" s="23"/>
      <c r="BY300" s="23"/>
      <c r="BZ300" s="23"/>
      <c r="CA300" s="23"/>
      <c r="CB300" s="23"/>
      <c r="CC300" s="23"/>
      <c r="CD300" s="23"/>
      <c r="CE300" s="23"/>
      <c r="CF300" s="23"/>
      <c r="CG300" s="23"/>
      <c r="CH300" s="23"/>
      <c r="CI300" s="23"/>
      <c r="CJ300" s="23"/>
      <c r="CK300" s="23"/>
      <c r="CL300" s="23"/>
      <c r="CM300" s="23"/>
      <c r="CN300" s="23"/>
      <c r="CO300" s="23"/>
      <c r="CP300" s="23"/>
      <c r="CQ300" s="23"/>
      <c r="CR300" s="23"/>
      <c r="CS300" s="23"/>
      <c r="CT300" s="23"/>
      <c r="CU300" s="23"/>
      <c r="CV300" s="23"/>
      <c r="CW300" s="23"/>
      <c r="CX300" s="23"/>
      <c r="CY300" s="23"/>
      <c r="CZ300" s="23"/>
      <c r="DA300" s="23"/>
      <c r="DB300" s="23"/>
      <c r="DC300" s="23"/>
      <c r="DD300" s="23"/>
      <c r="DE300" s="23"/>
      <c r="DF300" s="23"/>
      <c r="DG300" s="23"/>
      <c r="DH300" s="23"/>
      <c r="DI300" s="23"/>
      <c r="DJ300" s="23"/>
      <c r="DK300" s="23"/>
      <c r="DL300" s="23"/>
      <c r="DM300" s="23"/>
      <c r="DN300" s="23"/>
      <c r="DO300" s="23"/>
      <c r="DP300" s="23"/>
      <c r="DQ300" s="23"/>
      <c r="DR300" s="23"/>
      <c r="DS300" s="23"/>
      <c r="DT300" s="23"/>
      <c r="DU300" s="23"/>
      <c r="DV300" s="23"/>
      <c r="DW300" s="23"/>
      <c r="DX300" s="23"/>
      <c r="DY300" s="23"/>
      <c r="DZ300" s="23"/>
      <c r="EA300" s="23"/>
      <c r="EB300" s="23"/>
      <c r="EC300" s="23"/>
      <c r="ED300" s="23"/>
      <c r="EE300" s="23"/>
      <c r="EF300" s="23"/>
      <c r="EG300" s="23"/>
      <c r="EH300" s="23"/>
      <c r="EI300" s="23"/>
      <c r="EJ300" s="23"/>
      <c r="EK300" s="23"/>
      <c r="EL300" s="23"/>
      <c r="EM300" s="23"/>
      <c r="EN300" s="23"/>
      <c r="EO300" s="23"/>
      <c r="EP300" s="23"/>
      <c r="EQ300" s="23"/>
      <c r="ER300" s="23"/>
      <c r="ES300" s="23"/>
      <c r="ET300" s="23"/>
      <c r="EU300" s="23"/>
      <c r="EV300" s="23"/>
      <c r="EW300" s="23"/>
      <c r="EX300" s="23"/>
      <c r="EY300" s="23"/>
      <c r="EZ300" s="23"/>
      <c r="FA300" s="23"/>
      <c r="FB300" s="23"/>
      <c r="FC300" s="23"/>
      <c r="FD300" s="23"/>
      <c r="FE300" s="23"/>
      <c r="FF300" s="23"/>
      <c r="FG300" s="23"/>
      <c r="FH300" s="23"/>
      <c r="FI300" s="23"/>
      <c r="FJ300" s="23"/>
      <c r="FK300" s="23"/>
      <c r="FL300" s="23"/>
      <c r="FM300" s="23"/>
      <c r="FN300" s="23"/>
      <c r="FO300" s="23"/>
      <c r="FP300" s="23"/>
      <c r="FQ300" s="23"/>
      <c r="FR300" s="23"/>
      <c r="FS300" s="23"/>
      <c r="FT300" s="23"/>
      <c r="FU300" s="23"/>
      <c r="FV300" s="23"/>
      <c r="FW300" s="23"/>
      <c r="FX300" s="23"/>
      <c r="FY300" s="23"/>
      <c r="FZ300" s="23"/>
      <c r="GA300" s="23"/>
      <c r="GB300" s="23"/>
      <c r="GC300" s="23"/>
      <c r="GD300" s="23"/>
      <c r="GE300" s="23"/>
      <c r="GF300" s="23"/>
      <c r="GG300" s="23"/>
      <c r="GH300" s="23"/>
      <c r="GI300" s="23"/>
      <c r="GJ300" s="23"/>
      <c r="GK300" s="23"/>
      <c r="GL300" s="23"/>
    </row>
    <row r="301" spans="1:194" ht="13">
      <c r="A301" s="23"/>
      <c r="B301" s="23"/>
      <c r="C301" s="23"/>
      <c r="D301" s="23"/>
      <c r="E301" s="23"/>
      <c r="F301" s="23"/>
      <c r="G301" s="23"/>
      <c r="H301" s="401"/>
      <c r="I301" s="401"/>
      <c r="J301" s="401"/>
      <c r="K301" s="401"/>
      <c r="L301" s="401"/>
      <c r="M301" s="438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  <c r="AW301" s="23"/>
      <c r="AX301" s="23"/>
      <c r="AY301" s="23"/>
      <c r="AZ301" s="23"/>
      <c r="BA301" s="23"/>
      <c r="BB301" s="23"/>
      <c r="BC301" s="23"/>
      <c r="BD301" s="23"/>
      <c r="BE301" s="23"/>
      <c r="BF301" s="23"/>
      <c r="BG301" s="23"/>
      <c r="BH301" s="23"/>
      <c r="BI301" s="23"/>
      <c r="BJ301" s="23"/>
      <c r="BK301" s="23"/>
      <c r="BL301" s="23"/>
      <c r="BM301" s="23"/>
      <c r="BN301" s="23"/>
      <c r="BO301" s="23"/>
      <c r="BP301" s="23"/>
      <c r="BQ301" s="23"/>
      <c r="BR301" s="23"/>
      <c r="BS301" s="23"/>
      <c r="BT301" s="23"/>
      <c r="BU301" s="23"/>
      <c r="BV301" s="23"/>
      <c r="BW301" s="23"/>
      <c r="BX301" s="23"/>
      <c r="BY301" s="23"/>
      <c r="BZ301" s="23"/>
      <c r="CA301" s="23"/>
      <c r="CB301" s="23"/>
      <c r="CC301" s="23"/>
      <c r="CD301" s="23"/>
      <c r="CE301" s="23"/>
      <c r="CF301" s="23"/>
      <c r="CG301" s="23"/>
      <c r="CH301" s="23"/>
      <c r="CI301" s="23"/>
      <c r="CJ301" s="23"/>
      <c r="CK301" s="23"/>
      <c r="CL301" s="23"/>
      <c r="CM301" s="23"/>
      <c r="CN301" s="23"/>
      <c r="CO301" s="23"/>
      <c r="CP301" s="23"/>
      <c r="CQ301" s="23"/>
      <c r="CR301" s="23"/>
      <c r="CS301" s="23"/>
      <c r="CT301" s="23"/>
      <c r="CU301" s="23"/>
      <c r="CV301" s="23"/>
      <c r="CW301" s="23"/>
      <c r="CX301" s="23"/>
      <c r="CY301" s="23"/>
      <c r="CZ301" s="23"/>
      <c r="DA301" s="23"/>
      <c r="DB301" s="23"/>
      <c r="DC301" s="23"/>
      <c r="DD301" s="23"/>
      <c r="DE301" s="23"/>
      <c r="DF301" s="23"/>
      <c r="DG301" s="23"/>
      <c r="DH301" s="23"/>
      <c r="DI301" s="23"/>
      <c r="DJ301" s="23"/>
      <c r="DK301" s="23"/>
      <c r="DL301" s="23"/>
      <c r="DM301" s="23"/>
      <c r="DN301" s="23"/>
      <c r="DO301" s="23"/>
      <c r="DP301" s="23"/>
      <c r="DQ301" s="23"/>
      <c r="DR301" s="23"/>
      <c r="DS301" s="23"/>
      <c r="DT301" s="23"/>
      <c r="DU301" s="23"/>
      <c r="DV301" s="23"/>
      <c r="DW301" s="23"/>
      <c r="DX301" s="23"/>
      <c r="DY301" s="23"/>
      <c r="DZ301" s="23"/>
      <c r="EA301" s="23"/>
      <c r="EB301" s="23"/>
      <c r="EC301" s="23"/>
      <c r="ED301" s="23"/>
      <c r="EE301" s="23"/>
      <c r="EF301" s="23"/>
      <c r="EG301" s="23"/>
      <c r="EH301" s="23"/>
      <c r="EI301" s="23"/>
      <c r="EJ301" s="23"/>
      <c r="EK301" s="23"/>
      <c r="EL301" s="23"/>
      <c r="EM301" s="23"/>
      <c r="EN301" s="23"/>
      <c r="EO301" s="23"/>
      <c r="EP301" s="23"/>
      <c r="EQ301" s="23"/>
      <c r="ER301" s="23"/>
      <c r="ES301" s="23"/>
      <c r="ET301" s="23"/>
      <c r="EU301" s="23"/>
      <c r="EV301" s="23"/>
      <c r="EW301" s="23"/>
      <c r="EX301" s="23"/>
      <c r="EY301" s="23"/>
      <c r="EZ301" s="23"/>
      <c r="FA301" s="23"/>
      <c r="FB301" s="23"/>
      <c r="FC301" s="23"/>
      <c r="FD301" s="23"/>
      <c r="FE301" s="23"/>
      <c r="FF301" s="23"/>
      <c r="FG301" s="23"/>
      <c r="FH301" s="23"/>
      <c r="FI301" s="23"/>
      <c r="FJ301" s="23"/>
      <c r="FK301" s="23"/>
      <c r="FL301" s="23"/>
      <c r="FM301" s="23"/>
      <c r="FN301" s="23"/>
      <c r="FO301" s="23"/>
      <c r="FP301" s="23"/>
      <c r="FQ301" s="23"/>
      <c r="FR301" s="23"/>
      <c r="FS301" s="23"/>
      <c r="FT301" s="23"/>
      <c r="FU301" s="23"/>
      <c r="FV301" s="23"/>
      <c r="FW301" s="23"/>
      <c r="FX301" s="23"/>
      <c r="FY301" s="23"/>
      <c r="FZ301" s="23"/>
      <c r="GA301" s="23"/>
      <c r="GB301" s="23"/>
      <c r="GC301" s="23"/>
      <c r="GD301" s="23"/>
      <c r="GE301" s="23"/>
      <c r="GF301" s="23"/>
      <c r="GG301" s="23"/>
      <c r="GH301" s="23"/>
      <c r="GI301" s="23"/>
      <c r="GJ301" s="23"/>
      <c r="GK301" s="23"/>
      <c r="GL301" s="23"/>
    </row>
    <row r="302" spans="1:194" ht="13">
      <c r="A302" s="23"/>
      <c r="B302" s="23"/>
      <c r="C302" s="23"/>
      <c r="D302" s="23"/>
      <c r="E302" s="23"/>
      <c r="F302" s="23"/>
      <c r="G302" s="23"/>
      <c r="H302" s="401"/>
      <c r="I302" s="401"/>
      <c r="J302" s="401"/>
      <c r="K302" s="401"/>
      <c r="L302" s="401"/>
      <c r="M302" s="438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  <c r="BA302" s="23"/>
      <c r="BB302" s="23"/>
      <c r="BC302" s="23"/>
      <c r="BD302" s="23"/>
      <c r="BE302" s="23"/>
      <c r="BF302" s="23"/>
      <c r="BG302" s="23"/>
      <c r="BH302" s="23"/>
      <c r="BI302" s="23"/>
      <c r="BJ302" s="23"/>
      <c r="BK302" s="23"/>
      <c r="BL302" s="23"/>
      <c r="BM302" s="23"/>
      <c r="BN302" s="23"/>
      <c r="BO302" s="23"/>
      <c r="BP302" s="23"/>
      <c r="BQ302" s="23"/>
      <c r="BR302" s="23"/>
      <c r="BS302" s="23"/>
      <c r="BT302" s="23"/>
      <c r="BU302" s="23"/>
      <c r="BV302" s="23"/>
      <c r="BW302" s="23"/>
      <c r="BX302" s="23"/>
      <c r="BY302" s="23"/>
      <c r="BZ302" s="23"/>
      <c r="CA302" s="23"/>
      <c r="CB302" s="23"/>
      <c r="CC302" s="23"/>
      <c r="CD302" s="23"/>
      <c r="CE302" s="23"/>
      <c r="CF302" s="23"/>
      <c r="CG302" s="23"/>
      <c r="CH302" s="23"/>
      <c r="CI302" s="23"/>
      <c r="CJ302" s="23"/>
      <c r="CK302" s="23"/>
      <c r="CL302" s="23"/>
      <c r="CM302" s="23"/>
      <c r="CN302" s="23"/>
      <c r="CO302" s="23"/>
      <c r="CP302" s="23"/>
      <c r="CQ302" s="23"/>
      <c r="CR302" s="23"/>
      <c r="CS302" s="23"/>
      <c r="CT302" s="23"/>
      <c r="CU302" s="23"/>
      <c r="CV302" s="23"/>
      <c r="CW302" s="23"/>
      <c r="CX302" s="23"/>
      <c r="CY302" s="23"/>
      <c r="CZ302" s="23"/>
      <c r="DA302" s="23"/>
      <c r="DB302" s="23"/>
      <c r="DC302" s="23"/>
      <c r="DD302" s="23"/>
      <c r="DE302" s="23"/>
      <c r="DF302" s="23"/>
      <c r="DG302" s="23"/>
      <c r="DH302" s="23"/>
      <c r="DI302" s="23"/>
      <c r="DJ302" s="23"/>
      <c r="DK302" s="23"/>
      <c r="DL302" s="23"/>
      <c r="DM302" s="23"/>
      <c r="DN302" s="23"/>
      <c r="DO302" s="23"/>
      <c r="DP302" s="23"/>
      <c r="DQ302" s="23"/>
      <c r="DR302" s="23"/>
      <c r="DS302" s="23"/>
      <c r="DT302" s="23"/>
      <c r="DU302" s="23"/>
      <c r="DV302" s="23"/>
      <c r="DW302" s="23"/>
      <c r="DX302" s="23"/>
      <c r="DY302" s="23"/>
      <c r="DZ302" s="23"/>
      <c r="EA302" s="23"/>
      <c r="EB302" s="23"/>
      <c r="EC302" s="23"/>
      <c r="ED302" s="23"/>
      <c r="EE302" s="23"/>
      <c r="EF302" s="23"/>
      <c r="EG302" s="23"/>
      <c r="EH302" s="23"/>
      <c r="EI302" s="23"/>
      <c r="EJ302" s="23"/>
      <c r="EK302" s="23"/>
      <c r="EL302" s="23"/>
      <c r="EM302" s="23"/>
      <c r="EN302" s="23"/>
      <c r="EO302" s="23"/>
      <c r="EP302" s="23"/>
      <c r="EQ302" s="23"/>
      <c r="ER302" s="23"/>
      <c r="ES302" s="23"/>
      <c r="ET302" s="23"/>
      <c r="EU302" s="23"/>
      <c r="EV302" s="23"/>
      <c r="EW302" s="23"/>
      <c r="EX302" s="23"/>
      <c r="EY302" s="23"/>
      <c r="EZ302" s="23"/>
      <c r="FA302" s="23"/>
      <c r="FB302" s="23"/>
      <c r="FC302" s="23"/>
      <c r="FD302" s="23"/>
      <c r="FE302" s="23"/>
      <c r="FF302" s="23"/>
      <c r="FG302" s="23"/>
      <c r="FH302" s="23"/>
      <c r="FI302" s="23"/>
      <c r="FJ302" s="23"/>
      <c r="FK302" s="23"/>
      <c r="FL302" s="23"/>
      <c r="FM302" s="23"/>
      <c r="FN302" s="23"/>
      <c r="FO302" s="23"/>
      <c r="FP302" s="23"/>
      <c r="FQ302" s="23"/>
      <c r="FR302" s="23"/>
      <c r="FS302" s="23"/>
      <c r="FT302" s="23"/>
      <c r="FU302" s="23"/>
      <c r="FV302" s="23"/>
      <c r="FW302" s="23"/>
      <c r="FX302" s="23"/>
      <c r="FY302" s="23"/>
      <c r="FZ302" s="23"/>
      <c r="GA302" s="23"/>
      <c r="GB302" s="23"/>
      <c r="GC302" s="23"/>
      <c r="GD302" s="23"/>
      <c r="GE302" s="23"/>
      <c r="GF302" s="23"/>
      <c r="GG302" s="23"/>
      <c r="GH302" s="23"/>
      <c r="GI302" s="23"/>
      <c r="GJ302" s="23"/>
      <c r="GK302" s="23"/>
      <c r="GL302" s="23"/>
    </row>
    <row r="303" spans="1:194" ht="13">
      <c r="A303" s="23"/>
      <c r="B303" s="23"/>
      <c r="C303" s="23"/>
      <c r="D303" s="23"/>
      <c r="E303" s="23"/>
      <c r="F303" s="23"/>
      <c r="G303" s="23"/>
      <c r="H303" s="401"/>
      <c r="I303" s="401"/>
      <c r="J303" s="401"/>
      <c r="K303" s="401"/>
      <c r="L303" s="401"/>
      <c r="M303" s="438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  <c r="BA303" s="23"/>
      <c r="BB303" s="23"/>
      <c r="BC303" s="23"/>
      <c r="BD303" s="23"/>
      <c r="BE303" s="23"/>
      <c r="BF303" s="23"/>
      <c r="BG303" s="23"/>
      <c r="BH303" s="23"/>
      <c r="BI303" s="23"/>
      <c r="BJ303" s="23"/>
      <c r="BK303" s="23"/>
      <c r="BL303" s="23"/>
      <c r="BM303" s="23"/>
      <c r="BN303" s="23"/>
      <c r="BO303" s="23"/>
      <c r="BP303" s="23"/>
      <c r="BQ303" s="23"/>
      <c r="BR303" s="23"/>
      <c r="BS303" s="23"/>
      <c r="BT303" s="23"/>
      <c r="BU303" s="23"/>
      <c r="BV303" s="23"/>
      <c r="BW303" s="23"/>
      <c r="BX303" s="23"/>
      <c r="BY303" s="23"/>
      <c r="BZ303" s="23"/>
      <c r="CA303" s="23"/>
      <c r="CB303" s="23"/>
      <c r="CC303" s="23"/>
      <c r="CD303" s="23"/>
      <c r="CE303" s="23"/>
      <c r="CF303" s="23"/>
      <c r="CG303" s="23"/>
      <c r="CH303" s="23"/>
      <c r="CI303" s="23"/>
      <c r="CJ303" s="23"/>
      <c r="CK303" s="23"/>
      <c r="CL303" s="23"/>
      <c r="CM303" s="23"/>
      <c r="CN303" s="23"/>
      <c r="CO303" s="23"/>
      <c r="CP303" s="23"/>
      <c r="CQ303" s="23"/>
      <c r="CR303" s="23"/>
      <c r="CS303" s="23"/>
      <c r="CT303" s="23"/>
      <c r="CU303" s="23"/>
      <c r="CV303" s="23"/>
      <c r="CW303" s="23"/>
      <c r="CX303" s="23"/>
      <c r="CY303" s="23"/>
      <c r="CZ303" s="23"/>
      <c r="DA303" s="23"/>
      <c r="DB303" s="23"/>
      <c r="DC303" s="23"/>
      <c r="DD303" s="23"/>
      <c r="DE303" s="23"/>
      <c r="DF303" s="23"/>
      <c r="DG303" s="23"/>
      <c r="DH303" s="23"/>
      <c r="DI303" s="23"/>
      <c r="DJ303" s="23"/>
      <c r="DK303" s="23"/>
      <c r="DL303" s="23"/>
      <c r="DM303" s="23"/>
      <c r="DN303" s="23"/>
      <c r="DO303" s="23"/>
      <c r="DP303" s="23"/>
      <c r="DQ303" s="23"/>
      <c r="DR303" s="23"/>
      <c r="DS303" s="23"/>
      <c r="DT303" s="23"/>
      <c r="DU303" s="23"/>
      <c r="DV303" s="23"/>
      <c r="DW303" s="23"/>
      <c r="DX303" s="23"/>
      <c r="DY303" s="23"/>
      <c r="DZ303" s="23"/>
      <c r="EA303" s="23"/>
      <c r="EB303" s="23"/>
      <c r="EC303" s="23"/>
      <c r="ED303" s="23"/>
      <c r="EE303" s="23"/>
      <c r="EF303" s="23"/>
      <c r="EG303" s="23"/>
      <c r="EH303" s="23"/>
      <c r="EI303" s="23"/>
      <c r="EJ303" s="23"/>
      <c r="EK303" s="23"/>
      <c r="EL303" s="23"/>
      <c r="EM303" s="23"/>
      <c r="EN303" s="23"/>
      <c r="EO303" s="23"/>
      <c r="EP303" s="23"/>
      <c r="EQ303" s="23"/>
      <c r="ER303" s="23"/>
      <c r="ES303" s="23"/>
      <c r="ET303" s="23"/>
      <c r="EU303" s="23"/>
      <c r="EV303" s="23"/>
      <c r="EW303" s="23"/>
      <c r="EX303" s="23"/>
      <c r="EY303" s="23"/>
      <c r="EZ303" s="23"/>
      <c r="FA303" s="23"/>
      <c r="FB303" s="23"/>
      <c r="FC303" s="23"/>
      <c r="FD303" s="23"/>
      <c r="FE303" s="23"/>
      <c r="FF303" s="23"/>
      <c r="FG303" s="23"/>
      <c r="FH303" s="23"/>
      <c r="FI303" s="23"/>
      <c r="FJ303" s="23"/>
      <c r="FK303" s="23"/>
      <c r="FL303" s="23"/>
      <c r="FM303" s="23"/>
      <c r="FN303" s="23"/>
      <c r="FO303" s="23"/>
      <c r="FP303" s="23"/>
      <c r="FQ303" s="23"/>
      <c r="FR303" s="23"/>
      <c r="FS303" s="23"/>
      <c r="FT303" s="23"/>
      <c r="FU303" s="23"/>
      <c r="FV303" s="23"/>
      <c r="FW303" s="23"/>
      <c r="FX303" s="23"/>
      <c r="FY303" s="23"/>
      <c r="FZ303" s="23"/>
      <c r="GA303" s="23"/>
      <c r="GB303" s="23"/>
      <c r="GC303" s="23"/>
      <c r="GD303" s="23"/>
      <c r="GE303" s="23"/>
      <c r="GF303" s="23"/>
      <c r="GG303" s="23"/>
      <c r="GH303" s="23"/>
      <c r="GI303" s="23"/>
      <c r="GJ303" s="23"/>
      <c r="GK303" s="23"/>
      <c r="GL303" s="23"/>
    </row>
    <row r="304" spans="1:194" ht="13">
      <c r="A304" s="23"/>
      <c r="B304" s="23"/>
      <c r="C304" s="23"/>
      <c r="D304" s="23"/>
      <c r="E304" s="23"/>
      <c r="F304" s="23"/>
      <c r="G304" s="23"/>
      <c r="H304" s="401"/>
      <c r="I304" s="401"/>
      <c r="J304" s="401"/>
      <c r="K304" s="401"/>
      <c r="L304" s="401"/>
      <c r="M304" s="438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23"/>
      <c r="BD304" s="23"/>
      <c r="BE304" s="23"/>
      <c r="BF304" s="23"/>
      <c r="BG304" s="23"/>
      <c r="BH304" s="23"/>
      <c r="BI304" s="23"/>
      <c r="BJ304" s="23"/>
      <c r="BK304" s="23"/>
      <c r="BL304" s="23"/>
      <c r="BM304" s="23"/>
      <c r="BN304" s="23"/>
      <c r="BO304" s="23"/>
      <c r="BP304" s="23"/>
      <c r="BQ304" s="23"/>
      <c r="BR304" s="23"/>
      <c r="BS304" s="23"/>
      <c r="BT304" s="23"/>
      <c r="BU304" s="23"/>
      <c r="BV304" s="23"/>
      <c r="BW304" s="23"/>
      <c r="BX304" s="23"/>
      <c r="BY304" s="23"/>
      <c r="BZ304" s="23"/>
      <c r="CA304" s="23"/>
      <c r="CB304" s="23"/>
      <c r="CC304" s="23"/>
      <c r="CD304" s="23"/>
      <c r="CE304" s="23"/>
      <c r="CF304" s="23"/>
      <c r="CG304" s="23"/>
      <c r="CH304" s="23"/>
      <c r="CI304" s="23"/>
      <c r="CJ304" s="23"/>
      <c r="CK304" s="23"/>
      <c r="CL304" s="23"/>
      <c r="CM304" s="23"/>
      <c r="CN304" s="23"/>
      <c r="CO304" s="23"/>
      <c r="CP304" s="23"/>
      <c r="CQ304" s="23"/>
      <c r="CR304" s="23"/>
      <c r="CS304" s="23"/>
      <c r="CT304" s="23"/>
      <c r="CU304" s="23"/>
      <c r="CV304" s="23"/>
      <c r="CW304" s="23"/>
      <c r="CX304" s="23"/>
      <c r="CY304" s="23"/>
      <c r="CZ304" s="23"/>
      <c r="DA304" s="23"/>
      <c r="DB304" s="23"/>
      <c r="DC304" s="23"/>
      <c r="DD304" s="23"/>
      <c r="DE304" s="23"/>
      <c r="DF304" s="23"/>
      <c r="DG304" s="23"/>
      <c r="DH304" s="23"/>
      <c r="DI304" s="23"/>
      <c r="DJ304" s="23"/>
      <c r="DK304" s="23"/>
      <c r="DL304" s="23"/>
      <c r="DM304" s="23"/>
      <c r="DN304" s="23"/>
      <c r="DO304" s="23"/>
      <c r="DP304" s="23"/>
      <c r="DQ304" s="23"/>
      <c r="DR304" s="23"/>
      <c r="DS304" s="23"/>
      <c r="DT304" s="23"/>
      <c r="DU304" s="23"/>
      <c r="DV304" s="23"/>
      <c r="DW304" s="23"/>
      <c r="DX304" s="23"/>
      <c r="DY304" s="23"/>
      <c r="DZ304" s="23"/>
      <c r="EA304" s="23"/>
      <c r="EB304" s="23"/>
      <c r="EC304" s="23"/>
      <c r="ED304" s="23"/>
      <c r="EE304" s="23"/>
      <c r="EF304" s="23"/>
      <c r="EG304" s="23"/>
      <c r="EH304" s="23"/>
      <c r="EI304" s="23"/>
      <c r="EJ304" s="23"/>
      <c r="EK304" s="23"/>
      <c r="EL304" s="23"/>
      <c r="EM304" s="23"/>
      <c r="EN304" s="23"/>
      <c r="EO304" s="23"/>
      <c r="EP304" s="23"/>
      <c r="EQ304" s="23"/>
      <c r="ER304" s="23"/>
      <c r="ES304" s="23"/>
      <c r="ET304" s="23"/>
      <c r="EU304" s="23"/>
      <c r="EV304" s="23"/>
      <c r="EW304" s="23"/>
      <c r="EX304" s="23"/>
      <c r="EY304" s="23"/>
      <c r="EZ304" s="23"/>
      <c r="FA304" s="23"/>
      <c r="FB304" s="23"/>
      <c r="FC304" s="23"/>
      <c r="FD304" s="23"/>
      <c r="FE304" s="23"/>
      <c r="FF304" s="23"/>
      <c r="FG304" s="23"/>
      <c r="FH304" s="23"/>
      <c r="FI304" s="23"/>
      <c r="FJ304" s="23"/>
      <c r="FK304" s="23"/>
      <c r="FL304" s="23"/>
      <c r="FM304" s="23"/>
      <c r="FN304" s="23"/>
      <c r="FO304" s="23"/>
      <c r="FP304" s="23"/>
      <c r="FQ304" s="23"/>
      <c r="FR304" s="23"/>
      <c r="FS304" s="23"/>
      <c r="FT304" s="23"/>
      <c r="FU304" s="23"/>
      <c r="FV304" s="23"/>
      <c r="FW304" s="23"/>
      <c r="FX304" s="23"/>
      <c r="FY304" s="23"/>
      <c r="FZ304" s="23"/>
      <c r="GA304" s="23"/>
      <c r="GB304" s="23"/>
      <c r="GC304" s="23"/>
      <c r="GD304" s="23"/>
      <c r="GE304" s="23"/>
      <c r="GF304" s="23"/>
      <c r="GG304" s="23"/>
      <c r="GH304" s="23"/>
      <c r="GI304" s="23"/>
      <c r="GJ304" s="23"/>
      <c r="GK304" s="23"/>
      <c r="GL304" s="23"/>
    </row>
    <row r="305" spans="1:194" ht="13">
      <c r="A305" s="23"/>
      <c r="B305" s="23"/>
      <c r="C305" s="23"/>
      <c r="D305" s="23"/>
      <c r="E305" s="23"/>
      <c r="F305" s="23"/>
      <c r="G305" s="23"/>
      <c r="H305" s="401"/>
      <c r="I305" s="401"/>
      <c r="J305" s="401"/>
      <c r="K305" s="401"/>
      <c r="L305" s="401"/>
      <c r="M305" s="438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  <c r="BF305" s="23"/>
      <c r="BG305" s="23"/>
      <c r="BH305" s="23"/>
      <c r="BI305" s="23"/>
      <c r="BJ305" s="23"/>
      <c r="BK305" s="23"/>
      <c r="BL305" s="23"/>
      <c r="BM305" s="23"/>
      <c r="BN305" s="23"/>
      <c r="BO305" s="23"/>
      <c r="BP305" s="23"/>
      <c r="BQ305" s="23"/>
      <c r="BR305" s="23"/>
      <c r="BS305" s="23"/>
      <c r="BT305" s="23"/>
      <c r="BU305" s="23"/>
      <c r="BV305" s="23"/>
      <c r="BW305" s="23"/>
      <c r="BX305" s="23"/>
      <c r="BY305" s="23"/>
      <c r="BZ305" s="23"/>
      <c r="CA305" s="23"/>
      <c r="CB305" s="23"/>
      <c r="CC305" s="23"/>
      <c r="CD305" s="23"/>
      <c r="CE305" s="23"/>
      <c r="CF305" s="23"/>
      <c r="CG305" s="23"/>
      <c r="CH305" s="23"/>
      <c r="CI305" s="23"/>
      <c r="CJ305" s="23"/>
      <c r="CK305" s="23"/>
      <c r="CL305" s="23"/>
      <c r="CM305" s="23"/>
      <c r="CN305" s="23"/>
      <c r="CO305" s="23"/>
      <c r="CP305" s="23"/>
      <c r="CQ305" s="23"/>
      <c r="CR305" s="23"/>
      <c r="CS305" s="23"/>
      <c r="CT305" s="23"/>
      <c r="CU305" s="23"/>
      <c r="CV305" s="23"/>
      <c r="CW305" s="23"/>
      <c r="CX305" s="23"/>
      <c r="CY305" s="23"/>
      <c r="CZ305" s="23"/>
      <c r="DA305" s="23"/>
      <c r="DB305" s="23"/>
      <c r="DC305" s="23"/>
      <c r="DD305" s="23"/>
      <c r="DE305" s="23"/>
      <c r="DF305" s="23"/>
      <c r="DG305" s="23"/>
      <c r="DH305" s="23"/>
      <c r="DI305" s="23"/>
      <c r="DJ305" s="23"/>
      <c r="DK305" s="23"/>
      <c r="DL305" s="23"/>
      <c r="DM305" s="23"/>
      <c r="DN305" s="23"/>
      <c r="DO305" s="23"/>
      <c r="DP305" s="23"/>
      <c r="DQ305" s="23"/>
      <c r="DR305" s="23"/>
      <c r="DS305" s="23"/>
      <c r="DT305" s="23"/>
      <c r="DU305" s="23"/>
      <c r="DV305" s="23"/>
      <c r="DW305" s="23"/>
      <c r="DX305" s="23"/>
      <c r="DY305" s="23"/>
      <c r="DZ305" s="23"/>
      <c r="EA305" s="23"/>
      <c r="EB305" s="23"/>
      <c r="EC305" s="23"/>
      <c r="ED305" s="23"/>
      <c r="EE305" s="23"/>
      <c r="EF305" s="23"/>
      <c r="EG305" s="23"/>
      <c r="EH305" s="23"/>
      <c r="EI305" s="23"/>
      <c r="EJ305" s="23"/>
      <c r="EK305" s="23"/>
      <c r="EL305" s="23"/>
      <c r="EM305" s="23"/>
      <c r="EN305" s="23"/>
      <c r="EO305" s="23"/>
      <c r="EP305" s="23"/>
      <c r="EQ305" s="23"/>
      <c r="ER305" s="23"/>
      <c r="ES305" s="23"/>
      <c r="ET305" s="23"/>
      <c r="EU305" s="23"/>
      <c r="EV305" s="23"/>
      <c r="EW305" s="23"/>
      <c r="EX305" s="23"/>
      <c r="EY305" s="23"/>
      <c r="EZ305" s="23"/>
      <c r="FA305" s="23"/>
      <c r="FB305" s="23"/>
      <c r="FC305" s="23"/>
      <c r="FD305" s="23"/>
      <c r="FE305" s="23"/>
      <c r="FF305" s="23"/>
      <c r="FG305" s="23"/>
      <c r="FH305" s="23"/>
      <c r="FI305" s="23"/>
      <c r="FJ305" s="23"/>
      <c r="FK305" s="23"/>
      <c r="FL305" s="23"/>
      <c r="FM305" s="23"/>
      <c r="FN305" s="23"/>
      <c r="FO305" s="23"/>
      <c r="FP305" s="23"/>
      <c r="FQ305" s="23"/>
      <c r="FR305" s="23"/>
      <c r="FS305" s="23"/>
      <c r="FT305" s="23"/>
      <c r="FU305" s="23"/>
      <c r="FV305" s="23"/>
      <c r="FW305" s="23"/>
      <c r="FX305" s="23"/>
      <c r="FY305" s="23"/>
      <c r="FZ305" s="23"/>
      <c r="GA305" s="23"/>
      <c r="GB305" s="23"/>
      <c r="GC305" s="23"/>
      <c r="GD305" s="23"/>
      <c r="GE305" s="23"/>
      <c r="GF305" s="23"/>
      <c r="GG305" s="23"/>
      <c r="GH305" s="23"/>
      <c r="GI305" s="23"/>
      <c r="GJ305" s="23"/>
      <c r="GK305" s="23"/>
      <c r="GL305" s="23"/>
    </row>
    <row r="306" spans="1:194" ht="13">
      <c r="A306" s="23"/>
      <c r="B306" s="23"/>
      <c r="C306" s="23"/>
      <c r="D306" s="23"/>
      <c r="E306" s="23"/>
      <c r="F306" s="23"/>
      <c r="G306" s="23"/>
      <c r="H306" s="401"/>
      <c r="I306" s="401"/>
      <c r="J306" s="401"/>
      <c r="K306" s="401"/>
      <c r="L306" s="401"/>
      <c r="M306" s="438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23"/>
      <c r="BB306" s="23"/>
      <c r="BC306" s="23"/>
      <c r="BD306" s="23"/>
      <c r="BE306" s="23"/>
      <c r="BF306" s="23"/>
      <c r="BG306" s="23"/>
      <c r="BH306" s="23"/>
      <c r="BI306" s="23"/>
      <c r="BJ306" s="23"/>
      <c r="BK306" s="23"/>
      <c r="BL306" s="23"/>
      <c r="BM306" s="23"/>
      <c r="BN306" s="23"/>
      <c r="BO306" s="23"/>
      <c r="BP306" s="23"/>
      <c r="BQ306" s="23"/>
      <c r="BR306" s="23"/>
      <c r="BS306" s="23"/>
      <c r="BT306" s="23"/>
      <c r="BU306" s="23"/>
      <c r="BV306" s="23"/>
      <c r="BW306" s="23"/>
      <c r="BX306" s="23"/>
      <c r="BY306" s="23"/>
      <c r="BZ306" s="23"/>
      <c r="CA306" s="23"/>
      <c r="CB306" s="23"/>
      <c r="CC306" s="23"/>
      <c r="CD306" s="23"/>
      <c r="CE306" s="23"/>
      <c r="CF306" s="23"/>
      <c r="CG306" s="23"/>
      <c r="CH306" s="23"/>
      <c r="CI306" s="23"/>
      <c r="CJ306" s="23"/>
      <c r="CK306" s="23"/>
      <c r="CL306" s="23"/>
      <c r="CM306" s="23"/>
      <c r="CN306" s="23"/>
      <c r="CO306" s="23"/>
      <c r="CP306" s="23"/>
      <c r="CQ306" s="23"/>
      <c r="CR306" s="23"/>
      <c r="CS306" s="23"/>
      <c r="CT306" s="23"/>
      <c r="CU306" s="23"/>
      <c r="CV306" s="23"/>
      <c r="CW306" s="23"/>
      <c r="CX306" s="23"/>
      <c r="CY306" s="23"/>
      <c r="CZ306" s="23"/>
      <c r="DA306" s="23"/>
      <c r="DB306" s="23"/>
      <c r="DC306" s="23"/>
      <c r="DD306" s="23"/>
      <c r="DE306" s="23"/>
      <c r="DF306" s="23"/>
      <c r="DG306" s="23"/>
      <c r="DH306" s="23"/>
      <c r="DI306" s="23"/>
      <c r="DJ306" s="23"/>
      <c r="DK306" s="23"/>
      <c r="DL306" s="23"/>
      <c r="DM306" s="23"/>
      <c r="DN306" s="23"/>
      <c r="DO306" s="23"/>
      <c r="DP306" s="23"/>
      <c r="DQ306" s="23"/>
      <c r="DR306" s="23"/>
      <c r="DS306" s="23"/>
      <c r="DT306" s="23"/>
      <c r="DU306" s="23"/>
      <c r="DV306" s="23"/>
      <c r="DW306" s="23"/>
      <c r="DX306" s="23"/>
      <c r="DY306" s="23"/>
      <c r="DZ306" s="23"/>
      <c r="EA306" s="23"/>
      <c r="EB306" s="23"/>
      <c r="EC306" s="23"/>
      <c r="ED306" s="23"/>
      <c r="EE306" s="23"/>
      <c r="EF306" s="23"/>
      <c r="EG306" s="23"/>
      <c r="EH306" s="23"/>
      <c r="EI306" s="23"/>
      <c r="EJ306" s="23"/>
      <c r="EK306" s="23"/>
      <c r="EL306" s="23"/>
      <c r="EM306" s="23"/>
      <c r="EN306" s="23"/>
      <c r="EO306" s="23"/>
      <c r="EP306" s="23"/>
      <c r="EQ306" s="23"/>
      <c r="ER306" s="23"/>
      <c r="ES306" s="23"/>
      <c r="ET306" s="23"/>
      <c r="EU306" s="23"/>
      <c r="EV306" s="23"/>
      <c r="EW306" s="23"/>
      <c r="EX306" s="23"/>
      <c r="EY306" s="23"/>
      <c r="EZ306" s="23"/>
      <c r="FA306" s="23"/>
      <c r="FB306" s="23"/>
      <c r="FC306" s="23"/>
      <c r="FD306" s="23"/>
      <c r="FE306" s="23"/>
      <c r="FF306" s="23"/>
      <c r="FG306" s="23"/>
      <c r="FH306" s="23"/>
      <c r="FI306" s="23"/>
      <c r="FJ306" s="23"/>
      <c r="FK306" s="23"/>
      <c r="FL306" s="23"/>
      <c r="FM306" s="23"/>
      <c r="FN306" s="23"/>
      <c r="FO306" s="23"/>
      <c r="FP306" s="23"/>
      <c r="FQ306" s="23"/>
      <c r="FR306" s="23"/>
      <c r="FS306" s="23"/>
      <c r="FT306" s="23"/>
      <c r="FU306" s="23"/>
      <c r="FV306" s="23"/>
      <c r="FW306" s="23"/>
      <c r="FX306" s="23"/>
      <c r="FY306" s="23"/>
      <c r="FZ306" s="23"/>
      <c r="GA306" s="23"/>
      <c r="GB306" s="23"/>
      <c r="GC306" s="23"/>
      <c r="GD306" s="23"/>
      <c r="GE306" s="23"/>
      <c r="GF306" s="23"/>
      <c r="GG306" s="23"/>
      <c r="GH306" s="23"/>
      <c r="GI306" s="23"/>
      <c r="GJ306" s="23"/>
      <c r="GK306" s="23"/>
      <c r="GL306" s="23"/>
    </row>
    <row r="307" spans="1:194" ht="13">
      <c r="A307" s="23"/>
      <c r="B307" s="23"/>
      <c r="C307" s="23"/>
      <c r="D307" s="23"/>
      <c r="E307" s="23"/>
      <c r="F307" s="23"/>
      <c r="G307" s="23"/>
      <c r="H307" s="401"/>
      <c r="I307" s="401"/>
      <c r="J307" s="401"/>
      <c r="K307" s="401"/>
      <c r="L307" s="401"/>
      <c r="M307" s="438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23"/>
      <c r="BD307" s="23"/>
      <c r="BE307" s="23"/>
      <c r="BF307" s="23"/>
      <c r="BG307" s="23"/>
      <c r="BH307" s="23"/>
      <c r="BI307" s="23"/>
      <c r="BJ307" s="23"/>
      <c r="BK307" s="23"/>
      <c r="BL307" s="23"/>
      <c r="BM307" s="23"/>
      <c r="BN307" s="23"/>
      <c r="BO307" s="23"/>
      <c r="BP307" s="23"/>
      <c r="BQ307" s="23"/>
      <c r="BR307" s="23"/>
      <c r="BS307" s="23"/>
      <c r="BT307" s="23"/>
      <c r="BU307" s="23"/>
      <c r="BV307" s="23"/>
      <c r="BW307" s="23"/>
      <c r="BX307" s="23"/>
      <c r="BY307" s="23"/>
      <c r="BZ307" s="23"/>
      <c r="CA307" s="23"/>
      <c r="CB307" s="23"/>
      <c r="CC307" s="23"/>
      <c r="CD307" s="23"/>
      <c r="CE307" s="23"/>
      <c r="CF307" s="23"/>
      <c r="CG307" s="23"/>
      <c r="CH307" s="23"/>
      <c r="CI307" s="23"/>
      <c r="CJ307" s="23"/>
      <c r="CK307" s="23"/>
      <c r="CL307" s="23"/>
      <c r="CM307" s="23"/>
      <c r="CN307" s="23"/>
      <c r="CO307" s="23"/>
      <c r="CP307" s="23"/>
      <c r="CQ307" s="23"/>
      <c r="CR307" s="23"/>
      <c r="CS307" s="23"/>
      <c r="CT307" s="23"/>
      <c r="CU307" s="23"/>
      <c r="CV307" s="23"/>
      <c r="CW307" s="23"/>
      <c r="CX307" s="23"/>
      <c r="CY307" s="23"/>
      <c r="CZ307" s="23"/>
      <c r="DA307" s="23"/>
      <c r="DB307" s="23"/>
      <c r="DC307" s="23"/>
      <c r="DD307" s="23"/>
      <c r="DE307" s="23"/>
      <c r="DF307" s="23"/>
      <c r="DG307" s="23"/>
      <c r="DH307" s="23"/>
      <c r="DI307" s="23"/>
      <c r="DJ307" s="23"/>
      <c r="DK307" s="23"/>
      <c r="DL307" s="23"/>
      <c r="DM307" s="23"/>
      <c r="DN307" s="23"/>
      <c r="DO307" s="23"/>
      <c r="DP307" s="23"/>
      <c r="DQ307" s="23"/>
      <c r="DR307" s="23"/>
      <c r="DS307" s="23"/>
      <c r="DT307" s="23"/>
      <c r="DU307" s="23"/>
      <c r="DV307" s="23"/>
      <c r="DW307" s="23"/>
      <c r="DX307" s="23"/>
      <c r="DY307" s="23"/>
      <c r="DZ307" s="23"/>
      <c r="EA307" s="23"/>
      <c r="EB307" s="23"/>
      <c r="EC307" s="23"/>
      <c r="ED307" s="23"/>
      <c r="EE307" s="23"/>
      <c r="EF307" s="23"/>
      <c r="EG307" s="23"/>
      <c r="EH307" s="23"/>
      <c r="EI307" s="23"/>
      <c r="EJ307" s="23"/>
      <c r="EK307" s="23"/>
      <c r="EL307" s="23"/>
      <c r="EM307" s="23"/>
      <c r="EN307" s="23"/>
      <c r="EO307" s="23"/>
      <c r="EP307" s="23"/>
      <c r="EQ307" s="23"/>
      <c r="ER307" s="23"/>
      <c r="ES307" s="23"/>
      <c r="ET307" s="23"/>
      <c r="EU307" s="23"/>
      <c r="EV307" s="23"/>
      <c r="EW307" s="23"/>
      <c r="EX307" s="23"/>
      <c r="EY307" s="23"/>
      <c r="EZ307" s="23"/>
      <c r="FA307" s="23"/>
      <c r="FB307" s="23"/>
      <c r="FC307" s="23"/>
      <c r="FD307" s="23"/>
      <c r="FE307" s="23"/>
      <c r="FF307" s="23"/>
      <c r="FG307" s="23"/>
      <c r="FH307" s="23"/>
      <c r="FI307" s="23"/>
      <c r="FJ307" s="23"/>
      <c r="FK307" s="23"/>
      <c r="FL307" s="23"/>
      <c r="FM307" s="23"/>
      <c r="FN307" s="23"/>
      <c r="FO307" s="23"/>
      <c r="FP307" s="23"/>
      <c r="FQ307" s="23"/>
      <c r="FR307" s="23"/>
      <c r="FS307" s="23"/>
      <c r="FT307" s="23"/>
      <c r="FU307" s="23"/>
      <c r="FV307" s="23"/>
      <c r="FW307" s="23"/>
      <c r="FX307" s="23"/>
      <c r="FY307" s="23"/>
      <c r="FZ307" s="23"/>
      <c r="GA307" s="23"/>
      <c r="GB307" s="23"/>
      <c r="GC307" s="23"/>
      <c r="GD307" s="23"/>
      <c r="GE307" s="23"/>
      <c r="GF307" s="23"/>
      <c r="GG307" s="23"/>
      <c r="GH307" s="23"/>
      <c r="GI307" s="23"/>
      <c r="GJ307" s="23"/>
      <c r="GK307" s="23"/>
      <c r="GL307" s="23"/>
    </row>
    <row r="308" spans="1:194" ht="13">
      <c r="A308" s="23"/>
      <c r="B308" s="23"/>
      <c r="C308" s="23"/>
      <c r="D308" s="23"/>
      <c r="E308" s="23"/>
      <c r="F308" s="23"/>
      <c r="G308" s="23"/>
      <c r="H308" s="401"/>
      <c r="I308" s="401"/>
      <c r="J308" s="401"/>
      <c r="K308" s="401"/>
      <c r="L308" s="401"/>
      <c r="M308" s="438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  <c r="BL308" s="23"/>
      <c r="BM308" s="23"/>
      <c r="BN308" s="23"/>
      <c r="BO308" s="23"/>
      <c r="BP308" s="23"/>
      <c r="BQ308" s="23"/>
      <c r="BR308" s="23"/>
      <c r="BS308" s="23"/>
      <c r="BT308" s="23"/>
      <c r="BU308" s="23"/>
      <c r="BV308" s="23"/>
      <c r="BW308" s="23"/>
      <c r="BX308" s="23"/>
      <c r="BY308" s="23"/>
      <c r="BZ308" s="23"/>
      <c r="CA308" s="23"/>
      <c r="CB308" s="23"/>
      <c r="CC308" s="23"/>
      <c r="CD308" s="23"/>
      <c r="CE308" s="23"/>
      <c r="CF308" s="23"/>
      <c r="CG308" s="23"/>
      <c r="CH308" s="23"/>
      <c r="CI308" s="23"/>
      <c r="CJ308" s="23"/>
      <c r="CK308" s="23"/>
      <c r="CL308" s="23"/>
      <c r="CM308" s="23"/>
      <c r="CN308" s="23"/>
      <c r="CO308" s="23"/>
      <c r="CP308" s="23"/>
      <c r="CQ308" s="23"/>
      <c r="CR308" s="23"/>
      <c r="CS308" s="23"/>
      <c r="CT308" s="23"/>
      <c r="CU308" s="23"/>
      <c r="CV308" s="23"/>
      <c r="CW308" s="23"/>
      <c r="CX308" s="23"/>
      <c r="CY308" s="23"/>
      <c r="CZ308" s="23"/>
      <c r="DA308" s="23"/>
      <c r="DB308" s="23"/>
      <c r="DC308" s="23"/>
      <c r="DD308" s="23"/>
      <c r="DE308" s="23"/>
      <c r="DF308" s="23"/>
      <c r="DG308" s="23"/>
      <c r="DH308" s="23"/>
      <c r="DI308" s="23"/>
      <c r="DJ308" s="23"/>
      <c r="DK308" s="23"/>
      <c r="DL308" s="23"/>
      <c r="DM308" s="23"/>
      <c r="DN308" s="23"/>
      <c r="DO308" s="23"/>
      <c r="DP308" s="23"/>
      <c r="DQ308" s="23"/>
      <c r="DR308" s="23"/>
      <c r="DS308" s="23"/>
      <c r="DT308" s="23"/>
      <c r="DU308" s="23"/>
      <c r="DV308" s="23"/>
      <c r="DW308" s="23"/>
      <c r="DX308" s="23"/>
      <c r="DY308" s="23"/>
      <c r="DZ308" s="23"/>
      <c r="EA308" s="23"/>
      <c r="EB308" s="23"/>
      <c r="EC308" s="23"/>
      <c r="ED308" s="23"/>
      <c r="EE308" s="23"/>
      <c r="EF308" s="23"/>
      <c r="EG308" s="23"/>
      <c r="EH308" s="23"/>
      <c r="EI308" s="23"/>
      <c r="EJ308" s="23"/>
      <c r="EK308" s="23"/>
      <c r="EL308" s="23"/>
      <c r="EM308" s="23"/>
      <c r="EN308" s="23"/>
      <c r="EO308" s="23"/>
      <c r="EP308" s="23"/>
      <c r="EQ308" s="23"/>
      <c r="ER308" s="23"/>
      <c r="ES308" s="23"/>
      <c r="ET308" s="23"/>
      <c r="EU308" s="23"/>
      <c r="EV308" s="23"/>
      <c r="EW308" s="23"/>
      <c r="EX308" s="23"/>
      <c r="EY308" s="23"/>
      <c r="EZ308" s="23"/>
      <c r="FA308" s="23"/>
      <c r="FB308" s="23"/>
      <c r="FC308" s="23"/>
      <c r="FD308" s="23"/>
      <c r="FE308" s="23"/>
      <c r="FF308" s="23"/>
      <c r="FG308" s="23"/>
      <c r="FH308" s="23"/>
      <c r="FI308" s="23"/>
      <c r="FJ308" s="23"/>
      <c r="FK308" s="23"/>
      <c r="FL308" s="23"/>
      <c r="FM308" s="23"/>
      <c r="FN308" s="23"/>
      <c r="FO308" s="23"/>
      <c r="FP308" s="23"/>
      <c r="FQ308" s="23"/>
      <c r="FR308" s="23"/>
      <c r="FS308" s="23"/>
      <c r="FT308" s="23"/>
      <c r="FU308" s="23"/>
      <c r="FV308" s="23"/>
      <c r="FW308" s="23"/>
      <c r="FX308" s="23"/>
      <c r="FY308" s="23"/>
      <c r="FZ308" s="23"/>
      <c r="GA308" s="23"/>
      <c r="GB308" s="23"/>
      <c r="GC308" s="23"/>
      <c r="GD308" s="23"/>
      <c r="GE308" s="23"/>
      <c r="GF308" s="23"/>
      <c r="GG308" s="23"/>
      <c r="GH308" s="23"/>
      <c r="GI308" s="23"/>
      <c r="GJ308" s="23"/>
      <c r="GK308" s="23"/>
      <c r="GL308" s="23"/>
    </row>
    <row r="309" spans="1:194" ht="13">
      <c r="A309" s="23"/>
      <c r="B309" s="23"/>
      <c r="C309" s="23"/>
      <c r="D309" s="23"/>
      <c r="E309" s="23"/>
      <c r="F309" s="23"/>
      <c r="G309" s="23"/>
      <c r="H309" s="401"/>
      <c r="I309" s="401"/>
      <c r="J309" s="401"/>
      <c r="K309" s="401"/>
      <c r="L309" s="401"/>
      <c r="M309" s="438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  <c r="BL309" s="23"/>
      <c r="BM309" s="23"/>
      <c r="BN309" s="23"/>
      <c r="BO309" s="23"/>
      <c r="BP309" s="23"/>
      <c r="BQ309" s="23"/>
      <c r="BR309" s="23"/>
      <c r="BS309" s="23"/>
      <c r="BT309" s="23"/>
      <c r="BU309" s="23"/>
      <c r="BV309" s="23"/>
      <c r="BW309" s="23"/>
      <c r="BX309" s="23"/>
      <c r="BY309" s="23"/>
      <c r="BZ309" s="23"/>
      <c r="CA309" s="23"/>
      <c r="CB309" s="23"/>
      <c r="CC309" s="23"/>
      <c r="CD309" s="23"/>
      <c r="CE309" s="23"/>
      <c r="CF309" s="23"/>
      <c r="CG309" s="23"/>
      <c r="CH309" s="23"/>
      <c r="CI309" s="23"/>
      <c r="CJ309" s="23"/>
      <c r="CK309" s="23"/>
      <c r="CL309" s="23"/>
      <c r="CM309" s="23"/>
      <c r="CN309" s="23"/>
      <c r="CO309" s="23"/>
      <c r="CP309" s="23"/>
      <c r="CQ309" s="23"/>
      <c r="CR309" s="23"/>
      <c r="CS309" s="23"/>
      <c r="CT309" s="23"/>
      <c r="CU309" s="23"/>
      <c r="CV309" s="23"/>
      <c r="CW309" s="23"/>
      <c r="CX309" s="23"/>
      <c r="CY309" s="23"/>
      <c r="CZ309" s="23"/>
      <c r="DA309" s="23"/>
      <c r="DB309" s="23"/>
      <c r="DC309" s="23"/>
      <c r="DD309" s="23"/>
      <c r="DE309" s="23"/>
      <c r="DF309" s="23"/>
      <c r="DG309" s="23"/>
      <c r="DH309" s="23"/>
      <c r="DI309" s="23"/>
      <c r="DJ309" s="23"/>
      <c r="DK309" s="23"/>
      <c r="DL309" s="23"/>
      <c r="DM309" s="23"/>
      <c r="DN309" s="23"/>
      <c r="DO309" s="23"/>
      <c r="DP309" s="23"/>
      <c r="DQ309" s="23"/>
      <c r="DR309" s="23"/>
      <c r="DS309" s="23"/>
      <c r="DT309" s="23"/>
      <c r="DU309" s="23"/>
      <c r="DV309" s="23"/>
      <c r="DW309" s="23"/>
      <c r="DX309" s="23"/>
      <c r="DY309" s="23"/>
      <c r="DZ309" s="23"/>
      <c r="EA309" s="23"/>
      <c r="EB309" s="23"/>
      <c r="EC309" s="23"/>
      <c r="ED309" s="23"/>
      <c r="EE309" s="23"/>
      <c r="EF309" s="23"/>
      <c r="EG309" s="23"/>
      <c r="EH309" s="23"/>
      <c r="EI309" s="23"/>
      <c r="EJ309" s="23"/>
      <c r="EK309" s="23"/>
      <c r="EL309" s="23"/>
      <c r="EM309" s="23"/>
      <c r="EN309" s="23"/>
      <c r="EO309" s="23"/>
      <c r="EP309" s="23"/>
      <c r="EQ309" s="23"/>
      <c r="ER309" s="23"/>
      <c r="ES309" s="23"/>
      <c r="ET309" s="23"/>
      <c r="EU309" s="23"/>
      <c r="EV309" s="23"/>
      <c r="EW309" s="23"/>
      <c r="EX309" s="23"/>
      <c r="EY309" s="23"/>
      <c r="EZ309" s="23"/>
      <c r="FA309" s="23"/>
      <c r="FB309" s="23"/>
      <c r="FC309" s="23"/>
      <c r="FD309" s="23"/>
      <c r="FE309" s="23"/>
      <c r="FF309" s="23"/>
      <c r="FG309" s="23"/>
      <c r="FH309" s="23"/>
      <c r="FI309" s="23"/>
      <c r="FJ309" s="23"/>
      <c r="FK309" s="23"/>
      <c r="FL309" s="23"/>
      <c r="FM309" s="23"/>
      <c r="FN309" s="23"/>
      <c r="FO309" s="23"/>
      <c r="FP309" s="23"/>
      <c r="FQ309" s="23"/>
      <c r="FR309" s="23"/>
      <c r="FS309" s="23"/>
      <c r="FT309" s="23"/>
      <c r="FU309" s="23"/>
      <c r="FV309" s="23"/>
      <c r="FW309" s="23"/>
      <c r="FX309" s="23"/>
      <c r="FY309" s="23"/>
      <c r="FZ309" s="23"/>
      <c r="GA309" s="23"/>
      <c r="GB309" s="23"/>
      <c r="GC309" s="23"/>
      <c r="GD309" s="23"/>
      <c r="GE309" s="23"/>
      <c r="GF309" s="23"/>
      <c r="GG309" s="23"/>
      <c r="GH309" s="23"/>
      <c r="GI309" s="23"/>
      <c r="GJ309" s="23"/>
      <c r="GK309" s="23"/>
      <c r="GL309" s="23"/>
    </row>
    <row r="310" spans="1:194" ht="13">
      <c r="A310" s="23"/>
      <c r="B310" s="23"/>
      <c r="C310" s="23"/>
      <c r="D310" s="23"/>
      <c r="E310" s="23"/>
      <c r="F310" s="23"/>
      <c r="G310" s="23"/>
      <c r="H310" s="401"/>
      <c r="I310" s="401"/>
      <c r="J310" s="401"/>
      <c r="K310" s="401"/>
      <c r="L310" s="401"/>
      <c r="M310" s="438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  <c r="BF310" s="23"/>
      <c r="BG310" s="23"/>
      <c r="BH310" s="23"/>
      <c r="BI310" s="23"/>
      <c r="BJ310" s="23"/>
      <c r="BK310" s="23"/>
      <c r="BL310" s="23"/>
      <c r="BM310" s="23"/>
      <c r="BN310" s="23"/>
      <c r="BO310" s="23"/>
      <c r="BP310" s="23"/>
      <c r="BQ310" s="23"/>
      <c r="BR310" s="23"/>
      <c r="BS310" s="23"/>
      <c r="BT310" s="23"/>
      <c r="BU310" s="23"/>
      <c r="BV310" s="23"/>
      <c r="BW310" s="23"/>
      <c r="BX310" s="23"/>
      <c r="BY310" s="23"/>
      <c r="BZ310" s="23"/>
      <c r="CA310" s="23"/>
      <c r="CB310" s="23"/>
      <c r="CC310" s="23"/>
      <c r="CD310" s="23"/>
      <c r="CE310" s="23"/>
      <c r="CF310" s="23"/>
      <c r="CG310" s="23"/>
      <c r="CH310" s="23"/>
      <c r="CI310" s="23"/>
      <c r="CJ310" s="23"/>
      <c r="CK310" s="23"/>
      <c r="CL310" s="23"/>
      <c r="CM310" s="23"/>
      <c r="CN310" s="23"/>
      <c r="CO310" s="23"/>
      <c r="CP310" s="23"/>
      <c r="CQ310" s="23"/>
      <c r="CR310" s="23"/>
      <c r="CS310" s="23"/>
      <c r="CT310" s="23"/>
      <c r="CU310" s="23"/>
      <c r="CV310" s="23"/>
      <c r="CW310" s="23"/>
      <c r="CX310" s="23"/>
      <c r="CY310" s="23"/>
      <c r="CZ310" s="23"/>
      <c r="DA310" s="23"/>
      <c r="DB310" s="23"/>
      <c r="DC310" s="23"/>
      <c r="DD310" s="23"/>
      <c r="DE310" s="23"/>
      <c r="DF310" s="23"/>
      <c r="DG310" s="23"/>
      <c r="DH310" s="23"/>
      <c r="DI310" s="23"/>
      <c r="DJ310" s="23"/>
      <c r="DK310" s="23"/>
      <c r="DL310" s="23"/>
      <c r="DM310" s="23"/>
      <c r="DN310" s="23"/>
      <c r="DO310" s="23"/>
      <c r="DP310" s="23"/>
      <c r="DQ310" s="23"/>
      <c r="DR310" s="23"/>
      <c r="DS310" s="23"/>
      <c r="DT310" s="23"/>
      <c r="DU310" s="23"/>
      <c r="DV310" s="23"/>
      <c r="DW310" s="23"/>
      <c r="DX310" s="23"/>
      <c r="DY310" s="23"/>
      <c r="DZ310" s="23"/>
      <c r="EA310" s="23"/>
      <c r="EB310" s="23"/>
      <c r="EC310" s="23"/>
      <c r="ED310" s="23"/>
      <c r="EE310" s="23"/>
      <c r="EF310" s="23"/>
      <c r="EG310" s="23"/>
      <c r="EH310" s="23"/>
      <c r="EI310" s="23"/>
      <c r="EJ310" s="23"/>
      <c r="EK310" s="23"/>
      <c r="EL310" s="23"/>
      <c r="EM310" s="23"/>
      <c r="EN310" s="23"/>
      <c r="EO310" s="23"/>
      <c r="EP310" s="23"/>
      <c r="EQ310" s="23"/>
      <c r="ER310" s="23"/>
      <c r="ES310" s="23"/>
      <c r="ET310" s="23"/>
      <c r="EU310" s="23"/>
      <c r="EV310" s="23"/>
      <c r="EW310" s="23"/>
      <c r="EX310" s="23"/>
      <c r="EY310" s="23"/>
      <c r="EZ310" s="23"/>
      <c r="FA310" s="23"/>
      <c r="FB310" s="23"/>
      <c r="FC310" s="23"/>
      <c r="FD310" s="23"/>
      <c r="FE310" s="23"/>
      <c r="FF310" s="23"/>
      <c r="FG310" s="23"/>
      <c r="FH310" s="23"/>
      <c r="FI310" s="23"/>
      <c r="FJ310" s="23"/>
      <c r="FK310" s="23"/>
      <c r="FL310" s="23"/>
      <c r="FM310" s="23"/>
      <c r="FN310" s="23"/>
      <c r="FO310" s="23"/>
      <c r="FP310" s="23"/>
      <c r="FQ310" s="23"/>
      <c r="FR310" s="23"/>
      <c r="FS310" s="23"/>
      <c r="FT310" s="23"/>
      <c r="FU310" s="23"/>
      <c r="FV310" s="23"/>
      <c r="FW310" s="23"/>
      <c r="FX310" s="23"/>
      <c r="FY310" s="23"/>
      <c r="FZ310" s="23"/>
      <c r="GA310" s="23"/>
      <c r="GB310" s="23"/>
      <c r="GC310" s="23"/>
      <c r="GD310" s="23"/>
      <c r="GE310" s="23"/>
      <c r="GF310" s="23"/>
      <c r="GG310" s="23"/>
      <c r="GH310" s="23"/>
      <c r="GI310" s="23"/>
      <c r="GJ310" s="23"/>
      <c r="GK310" s="23"/>
      <c r="GL310" s="23"/>
    </row>
    <row r="311" spans="1:194" ht="13">
      <c r="A311" s="23"/>
      <c r="B311" s="23"/>
      <c r="C311" s="23"/>
      <c r="D311" s="23"/>
      <c r="E311" s="23"/>
      <c r="F311" s="23"/>
      <c r="G311" s="23"/>
      <c r="H311" s="401"/>
      <c r="I311" s="401"/>
      <c r="J311" s="401"/>
      <c r="K311" s="401"/>
      <c r="L311" s="401"/>
      <c r="M311" s="438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23"/>
      <c r="BH311" s="23"/>
      <c r="BI311" s="23"/>
      <c r="BJ311" s="23"/>
      <c r="BK311" s="23"/>
      <c r="BL311" s="23"/>
      <c r="BM311" s="23"/>
      <c r="BN311" s="23"/>
      <c r="BO311" s="23"/>
      <c r="BP311" s="23"/>
      <c r="BQ311" s="23"/>
      <c r="BR311" s="23"/>
      <c r="BS311" s="23"/>
      <c r="BT311" s="23"/>
      <c r="BU311" s="23"/>
      <c r="BV311" s="23"/>
      <c r="BW311" s="23"/>
      <c r="BX311" s="23"/>
      <c r="BY311" s="23"/>
      <c r="BZ311" s="23"/>
      <c r="CA311" s="23"/>
      <c r="CB311" s="23"/>
      <c r="CC311" s="23"/>
      <c r="CD311" s="23"/>
      <c r="CE311" s="23"/>
      <c r="CF311" s="23"/>
      <c r="CG311" s="23"/>
      <c r="CH311" s="23"/>
      <c r="CI311" s="23"/>
      <c r="CJ311" s="23"/>
      <c r="CK311" s="23"/>
      <c r="CL311" s="23"/>
      <c r="CM311" s="23"/>
      <c r="CN311" s="23"/>
      <c r="CO311" s="23"/>
      <c r="CP311" s="23"/>
      <c r="CQ311" s="23"/>
      <c r="CR311" s="23"/>
      <c r="CS311" s="23"/>
      <c r="CT311" s="23"/>
      <c r="CU311" s="23"/>
      <c r="CV311" s="23"/>
      <c r="CW311" s="23"/>
      <c r="CX311" s="23"/>
      <c r="CY311" s="23"/>
      <c r="CZ311" s="23"/>
      <c r="DA311" s="23"/>
      <c r="DB311" s="23"/>
      <c r="DC311" s="23"/>
      <c r="DD311" s="23"/>
      <c r="DE311" s="23"/>
      <c r="DF311" s="23"/>
      <c r="DG311" s="23"/>
      <c r="DH311" s="23"/>
      <c r="DI311" s="23"/>
      <c r="DJ311" s="23"/>
      <c r="DK311" s="23"/>
      <c r="DL311" s="23"/>
      <c r="DM311" s="23"/>
      <c r="DN311" s="23"/>
      <c r="DO311" s="23"/>
      <c r="DP311" s="23"/>
      <c r="DQ311" s="23"/>
      <c r="DR311" s="23"/>
      <c r="DS311" s="23"/>
      <c r="DT311" s="23"/>
      <c r="DU311" s="23"/>
      <c r="DV311" s="23"/>
      <c r="DW311" s="23"/>
      <c r="DX311" s="23"/>
      <c r="DY311" s="23"/>
      <c r="DZ311" s="23"/>
      <c r="EA311" s="23"/>
      <c r="EB311" s="23"/>
      <c r="EC311" s="23"/>
      <c r="ED311" s="23"/>
      <c r="EE311" s="23"/>
      <c r="EF311" s="23"/>
      <c r="EG311" s="23"/>
      <c r="EH311" s="23"/>
      <c r="EI311" s="23"/>
      <c r="EJ311" s="23"/>
      <c r="EK311" s="23"/>
      <c r="EL311" s="23"/>
      <c r="EM311" s="23"/>
      <c r="EN311" s="23"/>
      <c r="EO311" s="23"/>
      <c r="EP311" s="23"/>
      <c r="EQ311" s="23"/>
      <c r="ER311" s="23"/>
      <c r="ES311" s="23"/>
      <c r="ET311" s="23"/>
      <c r="EU311" s="23"/>
      <c r="EV311" s="23"/>
      <c r="EW311" s="23"/>
      <c r="EX311" s="23"/>
      <c r="EY311" s="23"/>
      <c r="EZ311" s="23"/>
      <c r="FA311" s="23"/>
      <c r="FB311" s="23"/>
      <c r="FC311" s="23"/>
      <c r="FD311" s="23"/>
      <c r="FE311" s="23"/>
      <c r="FF311" s="23"/>
      <c r="FG311" s="23"/>
      <c r="FH311" s="23"/>
      <c r="FI311" s="23"/>
      <c r="FJ311" s="23"/>
      <c r="FK311" s="23"/>
      <c r="FL311" s="23"/>
      <c r="FM311" s="23"/>
      <c r="FN311" s="23"/>
      <c r="FO311" s="23"/>
      <c r="FP311" s="23"/>
      <c r="FQ311" s="23"/>
      <c r="FR311" s="23"/>
      <c r="FS311" s="23"/>
      <c r="FT311" s="23"/>
      <c r="FU311" s="23"/>
      <c r="FV311" s="23"/>
      <c r="FW311" s="23"/>
      <c r="FX311" s="23"/>
      <c r="FY311" s="23"/>
      <c r="FZ311" s="23"/>
      <c r="GA311" s="23"/>
      <c r="GB311" s="23"/>
      <c r="GC311" s="23"/>
      <c r="GD311" s="23"/>
      <c r="GE311" s="23"/>
      <c r="GF311" s="23"/>
      <c r="GG311" s="23"/>
      <c r="GH311" s="23"/>
      <c r="GI311" s="23"/>
      <c r="GJ311" s="23"/>
      <c r="GK311" s="23"/>
      <c r="GL311" s="23"/>
    </row>
    <row r="312" spans="1:194" ht="13">
      <c r="A312" s="23"/>
      <c r="B312" s="23"/>
      <c r="C312" s="23"/>
      <c r="D312" s="23"/>
      <c r="E312" s="23"/>
      <c r="F312" s="23"/>
      <c r="G312" s="23"/>
      <c r="H312" s="401"/>
      <c r="I312" s="401"/>
      <c r="J312" s="401"/>
      <c r="K312" s="401"/>
      <c r="L312" s="401"/>
      <c r="M312" s="438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  <c r="BF312" s="23"/>
      <c r="BG312" s="23"/>
      <c r="BH312" s="23"/>
      <c r="BI312" s="23"/>
      <c r="BJ312" s="23"/>
      <c r="BK312" s="23"/>
      <c r="BL312" s="23"/>
      <c r="BM312" s="23"/>
      <c r="BN312" s="23"/>
      <c r="BO312" s="23"/>
      <c r="BP312" s="23"/>
      <c r="BQ312" s="23"/>
      <c r="BR312" s="23"/>
      <c r="BS312" s="23"/>
      <c r="BT312" s="23"/>
      <c r="BU312" s="23"/>
      <c r="BV312" s="23"/>
      <c r="BW312" s="23"/>
      <c r="BX312" s="23"/>
      <c r="BY312" s="23"/>
      <c r="BZ312" s="23"/>
      <c r="CA312" s="23"/>
      <c r="CB312" s="23"/>
      <c r="CC312" s="23"/>
      <c r="CD312" s="23"/>
      <c r="CE312" s="23"/>
      <c r="CF312" s="23"/>
      <c r="CG312" s="23"/>
      <c r="CH312" s="23"/>
      <c r="CI312" s="23"/>
      <c r="CJ312" s="23"/>
      <c r="CK312" s="23"/>
      <c r="CL312" s="23"/>
      <c r="CM312" s="23"/>
      <c r="CN312" s="23"/>
      <c r="CO312" s="23"/>
      <c r="CP312" s="23"/>
      <c r="CQ312" s="23"/>
      <c r="CR312" s="23"/>
      <c r="CS312" s="23"/>
      <c r="CT312" s="23"/>
      <c r="CU312" s="23"/>
      <c r="CV312" s="23"/>
      <c r="CW312" s="23"/>
      <c r="CX312" s="23"/>
      <c r="CY312" s="23"/>
      <c r="CZ312" s="23"/>
      <c r="DA312" s="23"/>
      <c r="DB312" s="23"/>
      <c r="DC312" s="23"/>
      <c r="DD312" s="23"/>
      <c r="DE312" s="23"/>
      <c r="DF312" s="23"/>
      <c r="DG312" s="23"/>
      <c r="DH312" s="23"/>
      <c r="DI312" s="23"/>
      <c r="DJ312" s="23"/>
      <c r="DK312" s="23"/>
      <c r="DL312" s="23"/>
      <c r="DM312" s="23"/>
      <c r="DN312" s="23"/>
      <c r="DO312" s="23"/>
      <c r="DP312" s="23"/>
      <c r="DQ312" s="23"/>
      <c r="DR312" s="23"/>
      <c r="DS312" s="23"/>
      <c r="DT312" s="23"/>
      <c r="DU312" s="23"/>
      <c r="DV312" s="23"/>
      <c r="DW312" s="23"/>
      <c r="DX312" s="23"/>
      <c r="DY312" s="23"/>
      <c r="DZ312" s="23"/>
      <c r="EA312" s="23"/>
      <c r="EB312" s="23"/>
      <c r="EC312" s="23"/>
      <c r="ED312" s="23"/>
      <c r="EE312" s="23"/>
      <c r="EF312" s="23"/>
      <c r="EG312" s="23"/>
      <c r="EH312" s="23"/>
      <c r="EI312" s="23"/>
      <c r="EJ312" s="23"/>
      <c r="EK312" s="23"/>
      <c r="EL312" s="23"/>
      <c r="EM312" s="23"/>
      <c r="EN312" s="23"/>
      <c r="EO312" s="23"/>
      <c r="EP312" s="23"/>
      <c r="EQ312" s="23"/>
      <c r="ER312" s="23"/>
      <c r="ES312" s="23"/>
      <c r="ET312" s="23"/>
      <c r="EU312" s="23"/>
      <c r="EV312" s="23"/>
      <c r="EW312" s="23"/>
      <c r="EX312" s="23"/>
      <c r="EY312" s="23"/>
      <c r="EZ312" s="23"/>
      <c r="FA312" s="23"/>
      <c r="FB312" s="23"/>
      <c r="FC312" s="23"/>
      <c r="FD312" s="23"/>
      <c r="FE312" s="23"/>
      <c r="FF312" s="23"/>
      <c r="FG312" s="23"/>
      <c r="FH312" s="23"/>
      <c r="FI312" s="23"/>
      <c r="FJ312" s="23"/>
      <c r="FK312" s="23"/>
      <c r="FL312" s="23"/>
      <c r="FM312" s="23"/>
      <c r="FN312" s="23"/>
      <c r="FO312" s="23"/>
      <c r="FP312" s="23"/>
      <c r="FQ312" s="23"/>
      <c r="FR312" s="23"/>
      <c r="FS312" s="23"/>
      <c r="FT312" s="23"/>
      <c r="FU312" s="23"/>
      <c r="FV312" s="23"/>
      <c r="FW312" s="23"/>
      <c r="FX312" s="23"/>
      <c r="FY312" s="23"/>
      <c r="FZ312" s="23"/>
      <c r="GA312" s="23"/>
      <c r="GB312" s="23"/>
      <c r="GC312" s="23"/>
      <c r="GD312" s="23"/>
      <c r="GE312" s="23"/>
      <c r="GF312" s="23"/>
      <c r="GG312" s="23"/>
      <c r="GH312" s="23"/>
      <c r="GI312" s="23"/>
      <c r="GJ312" s="23"/>
      <c r="GK312" s="23"/>
      <c r="GL312" s="23"/>
    </row>
    <row r="313" spans="1:194" ht="13">
      <c r="A313" s="23"/>
      <c r="B313" s="23"/>
      <c r="C313" s="23"/>
      <c r="D313" s="23"/>
      <c r="E313" s="23"/>
      <c r="F313" s="23"/>
      <c r="G313" s="23"/>
      <c r="H313" s="401"/>
      <c r="I313" s="401"/>
      <c r="J313" s="401"/>
      <c r="K313" s="401"/>
      <c r="L313" s="401"/>
      <c r="M313" s="438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23"/>
      <c r="BH313" s="23"/>
      <c r="BI313" s="23"/>
      <c r="BJ313" s="23"/>
      <c r="BK313" s="23"/>
      <c r="BL313" s="23"/>
      <c r="BM313" s="23"/>
      <c r="BN313" s="23"/>
      <c r="BO313" s="23"/>
      <c r="BP313" s="23"/>
      <c r="BQ313" s="23"/>
      <c r="BR313" s="23"/>
      <c r="BS313" s="23"/>
      <c r="BT313" s="23"/>
      <c r="BU313" s="23"/>
      <c r="BV313" s="23"/>
      <c r="BW313" s="23"/>
      <c r="BX313" s="23"/>
      <c r="BY313" s="23"/>
      <c r="BZ313" s="23"/>
      <c r="CA313" s="23"/>
      <c r="CB313" s="23"/>
      <c r="CC313" s="23"/>
      <c r="CD313" s="23"/>
      <c r="CE313" s="23"/>
      <c r="CF313" s="23"/>
      <c r="CG313" s="23"/>
      <c r="CH313" s="23"/>
      <c r="CI313" s="23"/>
      <c r="CJ313" s="23"/>
      <c r="CK313" s="23"/>
      <c r="CL313" s="23"/>
      <c r="CM313" s="23"/>
      <c r="CN313" s="23"/>
      <c r="CO313" s="23"/>
      <c r="CP313" s="23"/>
      <c r="CQ313" s="23"/>
      <c r="CR313" s="23"/>
      <c r="CS313" s="23"/>
      <c r="CT313" s="23"/>
      <c r="CU313" s="23"/>
      <c r="CV313" s="23"/>
      <c r="CW313" s="23"/>
      <c r="CX313" s="23"/>
      <c r="CY313" s="23"/>
      <c r="CZ313" s="23"/>
      <c r="DA313" s="23"/>
      <c r="DB313" s="23"/>
      <c r="DC313" s="23"/>
      <c r="DD313" s="23"/>
      <c r="DE313" s="23"/>
      <c r="DF313" s="23"/>
      <c r="DG313" s="23"/>
      <c r="DH313" s="23"/>
      <c r="DI313" s="23"/>
      <c r="DJ313" s="23"/>
      <c r="DK313" s="23"/>
      <c r="DL313" s="23"/>
      <c r="DM313" s="23"/>
      <c r="DN313" s="23"/>
      <c r="DO313" s="23"/>
      <c r="DP313" s="23"/>
      <c r="DQ313" s="23"/>
      <c r="DR313" s="23"/>
      <c r="DS313" s="23"/>
      <c r="DT313" s="23"/>
      <c r="DU313" s="23"/>
      <c r="DV313" s="23"/>
      <c r="DW313" s="23"/>
      <c r="DX313" s="23"/>
      <c r="DY313" s="23"/>
      <c r="DZ313" s="23"/>
      <c r="EA313" s="23"/>
      <c r="EB313" s="23"/>
      <c r="EC313" s="23"/>
      <c r="ED313" s="23"/>
      <c r="EE313" s="23"/>
      <c r="EF313" s="23"/>
      <c r="EG313" s="23"/>
      <c r="EH313" s="23"/>
      <c r="EI313" s="23"/>
      <c r="EJ313" s="23"/>
      <c r="EK313" s="23"/>
      <c r="EL313" s="23"/>
      <c r="EM313" s="23"/>
      <c r="EN313" s="23"/>
      <c r="EO313" s="23"/>
      <c r="EP313" s="23"/>
      <c r="EQ313" s="23"/>
      <c r="ER313" s="23"/>
      <c r="ES313" s="23"/>
      <c r="ET313" s="23"/>
      <c r="EU313" s="23"/>
      <c r="EV313" s="23"/>
      <c r="EW313" s="23"/>
      <c r="EX313" s="23"/>
      <c r="EY313" s="23"/>
      <c r="EZ313" s="23"/>
      <c r="FA313" s="23"/>
      <c r="FB313" s="23"/>
      <c r="FC313" s="23"/>
      <c r="FD313" s="23"/>
      <c r="FE313" s="23"/>
      <c r="FF313" s="23"/>
      <c r="FG313" s="23"/>
      <c r="FH313" s="23"/>
      <c r="FI313" s="23"/>
      <c r="FJ313" s="23"/>
      <c r="FK313" s="23"/>
      <c r="FL313" s="23"/>
      <c r="FM313" s="23"/>
      <c r="FN313" s="23"/>
      <c r="FO313" s="23"/>
      <c r="FP313" s="23"/>
      <c r="FQ313" s="23"/>
      <c r="FR313" s="23"/>
      <c r="FS313" s="23"/>
      <c r="FT313" s="23"/>
      <c r="FU313" s="23"/>
      <c r="FV313" s="23"/>
      <c r="FW313" s="23"/>
      <c r="FX313" s="23"/>
      <c r="FY313" s="23"/>
      <c r="FZ313" s="23"/>
      <c r="GA313" s="23"/>
      <c r="GB313" s="23"/>
      <c r="GC313" s="23"/>
      <c r="GD313" s="23"/>
      <c r="GE313" s="23"/>
      <c r="GF313" s="23"/>
      <c r="GG313" s="23"/>
      <c r="GH313" s="23"/>
      <c r="GI313" s="23"/>
      <c r="GJ313" s="23"/>
      <c r="GK313" s="23"/>
      <c r="GL313" s="23"/>
    </row>
    <row r="314" spans="1:194" ht="13">
      <c r="A314" s="23"/>
      <c r="B314" s="23"/>
      <c r="C314" s="23"/>
      <c r="D314" s="23"/>
      <c r="E314" s="23"/>
      <c r="F314" s="23"/>
      <c r="G314" s="23"/>
      <c r="H314" s="401"/>
      <c r="I314" s="401"/>
      <c r="J314" s="401"/>
      <c r="K314" s="401"/>
      <c r="L314" s="401"/>
      <c r="M314" s="438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23"/>
      <c r="BH314" s="23"/>
      <c r="BI314" s="23"/>
      <c r="BJ314" s="23"/>
      <c r="BK314" s="23"/>
      <c r="BL314" s="23"/>
      <c r="BM314" s="23"/>
      <c r="BN314" s="23"/>
      <c r="BO314" s="23"/>
      <c r="BP314" s="23"/>
      <c r="BQ314" s="23"/>
      <c r="BR314" s="23"/>
      <c r="BS314" s="23"/>
      <c r="BT314" s="23"/>
      <c r="BU314" s="23"/>
      <c r="BV314" s="23"/>
      <c r="BW314" s="23"/>
      <c r="BX314" s="23"/>
      <c r="BY314" s="23"/>
      <c r="BZ314" s="23"/>
      <c r="CA314" s="23"/>
      <c r="CB314" s="23"/>
      <c r="CC314" s="23"/>
      <c r="CD314" s="23"/>
      <c r="CE314" s="23"/>
      <c r="CF314" s="23"/>
      <c r="CG314" s="23"/>
      <c r="CH314" s="23"/>
      <c r="CI314" s="23"/>
      <c r="CJ314" s="23"/>
      <c r="CK314" s="23"/>
      <c r="CL314" s="23"/>
      <c r="CM314" s="23"/>
      <c r="CN314" s="23"/>
      <c r="CO314" s="23"/>
      <c r="CP314" s="23"/>
      <c r="CQ314" s="23"/>
      <c r="CR314" s="23"/>
      <c r="CS314" s="23"/>
      <c r="CT314" s="23"/>
      <c r="CU314" s="23"/>
      <c r="CV314" s="23"/>
      <c r="CW314" s="23"/>
      <c r="CX314" s="23"/>
      <c r="CY314" s="23"/>
      <c r="CZ314" s="23"/>
      <c r="DA314" s="23"/>
      <c r="DB314" s="23"/>
      <c r="DC314" s="23"/>
      <c r="DD314" s="23"/>
      <c r="DE314" s="23"/>
      <c r="DF314" s="23"/>
      <c r="DG314" s="23"/>
      <c r="DH314" s="23"/>
      <c r="DI314" s="23"/>
      <c r="DJ314" s="23"/>
      <c r="DK314" s="23"/>
      <c r="DL314" s="23"/>
      <c r="DM314" s="23"/>
      <c r="DN314" s="23"/>
      <c r="DO314" s="23"/>
      <c r="DP314" s="23"/>
      <c r="DQ314" s="23"/>
      <c r="DR314" s="23"/>
      <c r="DS314" s="23"/>
      <c r="DT314" s="23"/>
      <c r="DU314" s="23"/>
      <c r="DV314" s="23"/>
      <c r="DW314" s="23"/>
      <c r="DX314" s="23"/>
      <c r="DY314" s="23"/>
      <c r="DZ314" s="23"/>
      <c r="EA314" s="23"/>
      <c r="EB314" s="23"/>
      <c r="EC314" s="23"/>
      <c r="ED314" s="23"/>
      <c r="EE314" s="23"/>
      <c r="EF314" s="23"/>
      <c r="EG314" s="23"/>
      <c r="EH314" s="23"/>
      <c r="EI314" s="23"/>
      <c r="EJ314" s="23"/>
      <c r="EK314" s="23"/>
      <c r="EL314" s="23"/>
      <c r="EM314" s="23"/>
      <c r="EN314" s="23"/>
      <c r="EO314" s="23"/>
      <c r="EP314" s="23"/>
      <c r="EQ314" s="23"/>
      <c r="ER314" s="23"/>
      <c r="ES314" s="23"/>
      <c r="ET314" s="23"/>
      <c r="EU314" s="23"/>
      <c r="EV314" s="23"/>
      <c r="EW314" s="23"/>
      <c r="EX314" s="23"/>
      <c r="EY314" s="23"/>
      <c r="EZ314" s="23"/>
      <c r="FA314" s="23"/>
      <c r="FB314" s="23"/>
      <c r="FC314" s="23"/>
      <c r="FD314" s="23"/>
      <c r="FE314" s="23"/>
      <c r="FF314" s="23"/>
      <c r="FG314" s="23"/>
      <c r="FH314" s="23"/>
      <c r="FI314" s="23"/>
      <c r="FJ314" s="23"/>
      <c r="FK314" s="23"/>
      <c r="FL314" s="23"/>
      <c r="FM314" s="23"/>
      <c r="FN314" s="23"/>
      <c r="FO314" s="23"/>
      <c r="FP314" s="23"/>
      <c r="FQ314" s="23"/>
      <c r="FR314" s="23"/>
      <c r="FS314" s="23"/>
      <c r="FT314" s="23"/>
      <c r="FU314" s="23"/>
      <c r="FV314" s="23"/>
      <c r="FW314" s="23"/>
      <c r="FX314" s="23"/>
      <c r="FY314" s="23"/>
      <c r="FZ314" s="23"/>
      <c r="GA314" s="23"/>
      <c r="GB314" s="23"/>
      <c r="GC314" s="23"/>
      <c r="GD314" s="23"/>
      <c r="GE314" s="23"/>
      <c r="GF314" s="23"/>
      <c r="GG314" s="23"/>
      <c r="GH314" s="23"/>
      <c r="GI314" s="23"/>
      <c r="GJ314" s="23"/>
      <c r="GK314" s="23"/>
      <c r="GL314" s="23"/>
    </row>
    <row r="315" spans="1:194" ht="13">
      <c r="A315" s="23"/>
      <c r="B315" s="23"/>
      <c r="C315" s="23"/>
      <c r="D315" s="23"/>
      <c r="E315" s="23"/>
      <c r="F315" s="23"/>
      <c r="G315" s="23"/>
      <c r="H315" s="401"/>
      <c r="I315" s="401"/>
      <c r="J315" s="401"/>
      <c r="K315" s="401"/>
      <c r="L315" s="401"/>
      <c r="M315" s="438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  <c r="BA315" s="23"/>
      <c r="BB315" s="23"/>
      <c r="BC315" s="23"/>
      <c r="BD315" s="23"/>
      <c r="BE315" s="23"/>
      <c r="BF315" s="23"/>
      <c r="BG315" s="23"/>
      <c r="BH315" s="23"/>
      <c r="BI315" s="23"/>
      <c r="BJ315" s="23"/>
      <c r="BK315" s="23"/>
      <c r="BL315" s="23"/>
      <c r="BM315" s="23"/>
      <c r="BN315" s="23"/>
      <c r="BO315" s="23"/>
      <c r="BP315" s="23"/>
      <c r="BQ315" s="23"/>
      <c r="BR315" s="23"/>
      <c r="BS315" s="23"/>
      <c r="BT315" s="23"/>
      <c r="BU315" s="23"/>
      <c r="BV315" s="23"/>
      <c r="BW315" s="23"/>
      <c r="BX315" s="23"/>
      <c r="BY315" s="23"/>
      <c r="BZ315" s="23"/>
      <c r="CA315" s="23"/>
      <c r="CB315" s="23"/>
      <c r="CC315" s="23"/>
      <c r="CD315" s="23"/>
      <c r="CE315" s="23"/>
      <c r="CF315" s="23"/>
      <c r="CG315" s="23"/>
      <c r="CH315" s="23"/>
      <c r="CI315" s="23"/>
      <c r="CJ315" s="23"/>
      <c r="CK315" s="23"/>
      <c r="CL315" s="23"/>
      <c r="CM315" s="23"/>
      <c r="CN315" s="23"/>
      <c r="CO315" s="23"/>
      <c r="CP315" s="23"/>
      <c r="CQ315" s="23"/>
      <c r="CR315" s="23"/>
      <c r="CS315" s="23"/>
      <c r="CT315" s="23"/>
      <c r="CU315" s="23"/>
      <c r="CV315" s="23"/>
      <c r="CW315" s="23"/>
      <c r="CX315" s="23"/>
      <c r="CY315" s="23"/>
      <c r="CZ315" s="23"/>
      <c r="DA315" s="23"/>
      <c r="DB315" s="23"/>
      <c r="DC315" s="23"/>
      <c r="DD315" s="23"/>
      <c r="DE315" s="23"/>
      <c r="DF315" s="23"/>
      <c r="DG315" s="23"/>
      <c r="DH315" s="23"/>
      <c r="DI315" s="23"/>
      <c r="DJ315" s="23"/>
      <c r="DK315" s="23"/>
      <c r="DL315" s="23"/>
      <c r="DM315" s="23"/>
      <c r="DN315" s="23"/>
      <c r="DO315" s="23"/>
      <c r="DP315" s="23"/>
      <c r="DQ315" s="23"/>
      <c r="DR315" s="23"/>
      <c r="DS315" s="23"/>
      <c r="DT315" s="23"/>
      <c r="DU315" s="23"/>
      <c r="DV315" s="23"/>
      <c r="DW315" s="23"/>
      <c r="DX315" s="23"/>
      <c r="DY315" s="23"/>
      <c r="DZ315" s="23"/>
      <c r="EA315" s="23"/>
      <c r="EB315" s="23"/>
      <c r="EC315" s="23"/>
      <c r="ED315" s="23"/>
      <c r="EE315" s="23"/>
      <c r="EF315" s="23"/>
      <c r="EG315" s="23"/>
      <c r="EH315" s="23"/>
      <c r="EI315" s="23"/>
      <c r="EJ315" s="23"/>
      <c r="EK315" s="23"/>
      <c r="EL315" s="23"/>
      <c r="EM315" s="23"/>
      <c r="EN315" s="23"/>
      <c r="EO315" s="23"/>
      <c r="EP315" s="23"/>
      <c r="EQ315" s="23"/>
      <c r="ER315" s="23"/>
      <c r="ES315" s="23"/>
      <c r="ET315" s="23"/>
      <c r="EU315" s="23"/>
      <c r="EV315" s="23"/>
      <c r="EW315" s="23"/>
      <c r="EX315" s="23"/>
      <c r="EY315" s="23"/>
      <c r="EZ315" s="23"/>
      <c r="FA315" s="23"/>
      <c r="FB315" s="23"/>
      <c r="FC315" s="23"/>
      <c r="FD315" s="23"/>
      <c r="FE315" s="23"/>
      <c r="FF315" s="23"/>
      <c r="FG315" s="23"/>
      <c r="FH315" s="23"/>
      <c r="FI315" s="23"/>
      <c r="FJ315" s="23"/>
      <c r="FK315" s="23"/>
      <c r="FL315" s="23"/>
      <c r="FM315" s="23"/>
      <c r="FN315" s="23"/>
      <c r="FO315" s="23"/>
      <c r="FP315" s="23"/>
      <c r="FQ315" s="23"/>
      <c r="FR315" s="23"/>
      <c r="FS315" s="23"/>
      <c r="FT315" s="23"/>
      <c r="FU315" s="23"/>
      <c r="FV315" s="23"/>
      <c r="FW315" s="23"/>
      <c r="FX315" s="23"/>
      <c r="FY315" s="23"/>
      <c r="FZ315" s="23"/>
      <c r="GA315" s="23"/>
      <c r="GB315" s="23"/>
      <c r="GC315" s="23"/>
      <c r="GD315" s="23"/>
      <c r="GE315" s="23"/>
      <c r="GF315" s="23"/>
      <c r="GG315" s="23"/>
      <c r="GH315" s="23"/>
      <c r="GI315" s="23"/>
      <c r="GJ315" s="23"/>
      <c r="GK315" s="23"/>
      <c r="GL315" s="23"/>
    </row>
    <row r="316" spans="1:194" ht="13">
      <c r="A316" s="23"/>
      <c r="B316" s="23"/>
      <c r="C316" s="23"/>
      <c r="D316" s="23"/>
      <c r="E316" s="23"/>
      <c r="F316" s="23"/>
      <c r="G316" s="23"/>
      <c r="H316" s="401"/>
      <c r="I316" s="401"/>
      <c r="J316" s="401"/>
      <c r="K316" s="401"/>
      <c r="L316" s="401"/>
      <c r="M316" s="438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  <c r="BK316" s="23"/>
      <c r="BL316" s="23"/>
      <c r="BM316" s="23"/>
      <c r="BN316" s="23"/>
      <c r="BO316" s="23"/>
      <c r="BP316" s="23"/>
      <c r="BQ316" s="23"/>
      <c r="BR316" s="23"/>
      <c r="BS316" s="23"/>
      <c r="BT316" s="23"/>
      <c r="BU316" s="23"/>
      <c r="BV316" s="23"/>
      <c r="BW316" s="23"/>
      <c r="BX316" s="23"/>
      <c r="BY316" s="23"/>
      <c r="BZ316" s="23"/>
      <c r="CA316" s="23"/>
      <c r="CB316" s="23"/>
      <c r="CC316" s="23"/>
      <c r="CD316" s="23"/>
      <c r="CE316" s="23"/>
      <c r="CF316" s="23"/>
      <c r="CG316" s="23"/>
      <c r="CH316" s="23"/>
      <c r="CI316" s="23"/>
      <c r="CJ316" s="23"/>
      <c r="CK316" s="23"/>
      <c r="CL316" s="23"/>
      <c r="CM316" s="23"/>
      <c r="CN316" s="23"/>
      <c r="CO316" s="23"/>
      <c r="CP316" s="23"/>
      <c r="CQ316" s="23"/>
      <c r="CR316" s="23"/>
      <c r="CS316" s="23"/>
      <c r="CT316" s="23"/>
      <c r="CU316" s="23"/>
      <c r="CV316" s="23"/>
      <c r="CW316" s="23"/>
      <c r="CX316" s="23"/>
      <c r="CY316" s="23"/>
      <c r="CZ316" s="23"/>
      <c r="DA316" s="23"/>
      <c r="DB316" s="23"/>
      <c r="DC316" s="23"/>
      <c r="DD316" s="23"/>
      <c r="DE316" s="23"/>
      <c r="DF316" s="23"/>
      <c r="DG316" s="23"/>
      <c r="DH316" s="23"/>
      <c r="DI316" s="23"/>
      <c r="DJ316" s="23"/>
      <c r="DK316" s="23"/>
      <c r="DL316" s="23"/>
      <c r="DM316" s="23"/>
      <c r="DN316" s="23"/>
      <c r="DO316" s="23"/>
      <c r="DP316" s="23"/>
      <c r="DQ316" s="23"/>
      <c r="DR316" s="23"/>
      <c r="DS316" s="23"/>
      <c r="DT316" s="23"/>
      <c r="DU316" s="23"/>
      <c r="DV316" s="23"/>
      <c r="DW316" s="23"/>
      <c r="DX316" s="23"/>
      <c r="DY316" s="23"/>
      <c r="DZ316" s="23"/>
      <c r="EA316" s="23"/>
      <c r="EB316" s="23"/>
      <c r="EC316" s="23"/>
      <c r="ED316" s="23"/>
      <c r="EE316" s="23"/>
      <c r="EF316" s="23"/>
      <c r="EG316" s="23"/>
      <c r="EH316" s="23"/>
      <c r="EI316" s="23"/>
      <c r="EJ316" s="23"/>
      <c r="EK316" s="23"/>
      <c r="EL316" s="23"/>
      <c r="EM316" s="23"/>
      <c r="EN316" s="23"/>
      <c r="EO316" s="23"/>
      <c r="EP316" s="23"/>
      <c r="EQ316" s="23"/>
      <c r="ER316" s="23"/>
      <c r="ES316" s="23"/>
      <c r="ET316" s="23"/>
      <c r="EU316" s="23"/>
      <c r="EV316" s="23"/>
      <c r="EW316" s="23"/>
      <c r="EX316" s="23"/>
      <c r="EY316" s="23"/>
      <c r="EZ316" s="23"/>
      <c r="FA316" s="23"/>
      <c r="FB316" s="23"/>
      <c r="FC316" s="23"/>
      <c r="FD316" s="23"/>
      <c r="FE316" s="23"/>
      <c r="FF316" s="23"/>
      <c r="FG316" s="23"/>
      <c r="FH316" s="23"/>
      <c r="FI316" s="23"/>
      <c r="FJ316" s="23"/>
      <c r="FK316" s="23"/>
      <c r="FL316" s="23"/>
      <c r="FM316" s="23"/>
      <c r="FN316" s="23"/>
      <c r="FO316" s="23"/>
      <c r="FP316" s="23"/>
      <c r="FQ316" s="23"/>
      <c r="FR316" s="23"/>
      <c r="FS316" s="23"/>
      <c r="FT316" s="23"/>
      <c r="FU316" s="23"/>
      <c r="FV316" s="23"/>
      <c r="FW316" s="23"/>
      <c r="FX316" s="23"/>
      <c r="FY316" s="23"/>
      <c r="FZ316" s="23"/>
      <c r="GA316" s="23"/>
      <c r="GB316" s="23"/>
      <c r="GC316" s="23"/>
      <c r="GD316" s="23"/>
      <c r="GE316" s="23"/>
      <c r="GF316" s="23"/>
      <c r="GG316" s="23"/>
      <c r="GH316" s="23"/>
      <c r="GI316" s="23"/>
      <c r="GJ316" s="23"/>
      <c r="GK316" s="23"/>
      <c r="GL316" s="23"/>
    </row>
    <row r="317" spans="1:194" ht="13">
      <c r="A317" s="23"/>
      <c r="B317" s="23"/>
      <c r="C317" s="23"/>
      <c r="D317" s="23"/>
      <c r="E317" s="23"/>
      <c r="F317" s="23"/>
      <c r="G317" s="23"/>
      <c r="H317" s="401"/>
      <c r="I317" s="401"/>
      <c r="J317" s="401"/>
      <c r="K317" s="401"/>
      <c r="L317" s="401"/>
      <c r="M317" s="438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  <c r="BN317" s="23"/>
      <c r="BO317" s="23"/>
      <c r="BP317" s="23"/>
      <c r="BQ317" s="23"/>
      <c r="BR317" s="23"/>
      <c r="BS317" s="23"/>
      <c r="BT317" s="23"/>
      <c r="BU317" s="23"/>
      <c r="BV317" s="23"/>
      <c r="BW317" s="23"/>
      <c r="BX317" s="23"/>
      <c r="BY317" s="23"/>
      <c r="BZ317" s="23"/>
      <c r="CA317" s="23"/>
      <c r="CB317" s="23"/>
      <c r="CC317" s="23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23"/>
      <c r="DA317" s="23"/>
      <c r="DB317" s="23"/>
      <c r="DC317" s="23"/>
      <c r="DD317" s="23"/>
      <c r="DE317" s="23"/>
      <c r="DF317" s="23"/>
      <c r="DG317" s="23"/>
      <c r="DH317" s="23"/>
      <c r="DI317" s="23"/>
      <c r="DJ317" s="23"/>
      <c r="DK317" s="23"/>
      <c r="DL317" s="23"/>
      <c r="DM317" s="23"/>
      <c r="DN317" s="23"/>
      <c r="DO317" s="23"/>
      <c r="DP317" s="23"/>
      <c r="DQ317" s="23"/>
      <c r="DR317" s="23"/>
      <c r="DS317" s="23"/>
      <c r="DT317" s="23"/>
      <c r="DU317" s="23"/>
      <c r="DV317" s="23"/>
      <c r="DW317" s="23"/>
      <c r="DX317" s="23"/>
      <c r="DY317" s="23"/>
      <c r="DZ317" s="23"/>
      <c r="EA317" s="23"/>
      <c r="EB317" s="23"/>
      <c r="EC317" s="23"/>
      <c r="ED317" s="23"/>
      <c r="EE317" s="23"/>
      <c r="EF317" s="23"/>
      <c r="EG317" s="23"/>
      <c r="EH317" s="23"/>
      <c r="EI317" s="23"/>
      <c r="EJ317" s="23"/>
      <c r="EK317" s="23"/>
      <c r="EL317" s="23"/>
      <c r="EM317" s="23"/>
      <c r="EN317" s="23"/>
      <c r="EO317" s="23"/>
      <c r="EP317" s="23"/>
      <c r="EQ317" s="23"/>
      <c r="ER317" s="23"/>
      <c r="ES317" s="23"/>
      <c r="ET317" s="23"/>
      <c r="EU317" s="23"/>
      <c r="EV317" s="23"/>
      <c r="EW317" s="23"/>
      <c r="EX317" s="23"/>
      <c r="EY317" s="23"/>
      <c r="EZ317" s="23"/>
      <c r="FA317" s="23"/>
      <c r="FB317" s="23"/>
      <c r="FC317" s="23"/>
      <c r="FD317" s="23"/>
      <c r="FE317" s="23"/>
      <c r="FF317" s="23"/>
      <c r="FG317" s="23"/>
      <c r="FH317" s="23"/>
      <c r="FI317" s="23"/>
      <c r="FJ317" s="23"/>
      <c r="FK317" s="23"/>
      <c r="FL317" s="23"/>
      <c r="FM317" s="23"/>
      <c r="FN317" s="23"/>
      <c r="FO317" s="23"/>
      <c r="FP317" s="23"/>
      <c r="FQ317" s="23"/>
      <c r="FR317" s="23"/>
      <c r="FS317" s="23"/>
      <c r="FT317" s="23"/>
      <c r="FU317" s="23"/>
      <c r="FV317" s="23"/>
      <c r="FW317" s="23"/>
      <c r="FX317" s="23"/>
      <c r="FY317" s="23"/>
      <c r="FZ317" s="23"/>
      <c r="GA317" s="23"/>
      <c r="GB317" s="23"/>
      <c r="GC317" s="23"/>
      <c r="GD317" s="23"/>
      <c r="GE317" s="23"/>
      <c r="GF317" s="23"/>
      <c r="GG317" s="23"/>
      <c r="GH317" s="23"/>
      <c r="GI317" s="23"/>
      <c r="GJ317" s="23"/>
      <c r="GK317" s="23"/>
      <c r="GL317" s="23"/>
    </row>
    <row r="318" spans="1:194" ht="13">
      <c r="A318" s="23"/>
      <c r="B318" s="23"/>
      <c r="C318" s="23"/>
      <c r="D318" s="23"/>
      <c r="E318" s="23"/>
      <c r="F318" s="23"/>
      <c r="G318" s="23"/>
      <c r="H318" s="401"/>
      <c r="I318" s="401"/>
      <c r="J318" s="401"/>
      <c r="K318" s="401"/>
      <c r="L318" s="401"/>
      <c r="M318" s="438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  <c r="BK318" s="23"/>
      <c r="BL318" s="23"/>
      <c r="BM318" s="23"/>
      <c r="BN318" s="23"/>
      <c r="BO318" s="23"/>
      <c r="BP318" s="23"/>
      <c r="BQ318" s="23"/>
      <c r="BR318" s="23"/>
      <c r="BS318" s="23"/>
      <c r="BT318" s="23"/>
      <c r="BU318" s="23"/>
      <c r="BV318" s="23"/>
      <c r="BW318" s="23"/>
      <c r="BX318" s="23"/>
      <c r="BY318" s="23"/>
      <c r="BZ318" s="23"/>
      <c r="CA318" s="23"/>
      <c r="CB318" s="23"/>
      <c r="CC318" s="23"/>
      <c r="CD318" s="23"/>
      <c r="CE318" s="23"/>
      <c r="CF318" s="23"/>
      <c r="CG318" s="23"/>
      <c r="CH318" s="23"/>
      <c r="CI318" s="23"/>
      <c r="CJ318" s="23"/>
      <c r="CK318" s="23"/>
      <c r="CL318" s="23"/>
      <c r="CM318" s="23"/>
      <c r="CN318" s="23"/>
      <c r="CO318" s="23"/>
      <c r="CP318" s="23"/>
      <c r="CQ318" s="23"/>
      <c r="CR318" s="23"/>
      <c r="CS318" s="23"/>
      <c r="CT318" s="23"/>
      <c r="CU318" s="23"/>
      <c r="CV318" s="23"/>
      <c r="CW318" s="23"/>
      <c r="CX318" s="23"/>
      <c r="CY318" s="23"/>
      <c r="CZ318" s="23"/>
      <c r="DA318" s="23"/>
      <c r="DB318" s="23"/>
      <c r="DC318" s="23"/>
      <c r="DD318" s="23"/>
      <c r="DE318" s="23"/>
      <c r="DF318" s="23"/>
      <c r="DG318" s="23"/>
      <c r="DH318" s="23"/>
      <c r="DI318" s="23"/>
      <c r="DJ318" s="23"/>
      <c r="DK318" s="23"/>
      <c r="DL318" s="23"/>
      <c r="DM318" s="23"/>
      <c r="DN318" s="23"/>
      <c r="DO318" s="23"/>
      <c r="DP318" s="23"/>
      <c r="DQ318" s="23"/>
      <c r="DR318" s="23"/>
      <c r="DS318" s="23"/>
      <c r="DT318" s="23"/>
      <c r="DU318" s="23"/>
      <c r="DV318" s="23"/>
      <c r="DW318" s="23"/>
      <c r="DX318" s="23"/>
      <c r="DY318" s="23"/>
      <c r="DZ318" s="23"/>
      <c r="EA318" s="23"/>
      <c r="EB318" s="23"/>
      <c r="EC318" s="23"/>
      <c r="ED318" s="23"/>
      <c r="EE318" s="23"/>
      <c r="EF318" s="23"/>
      <c r="EG318" s="23"/>
      <c r="EH318" s="23"/>
      <c r="EI318" s="23"/>
      <c r="EJ318" s="23"/>
      <c r="EK318" s="23"/>
      <c r="EL318" s="23"/>
      <c r="EM318" s="23"/>
      <c r="EN318" s="23"/>
      <c r="EO318" s="23"/>
      <c r="EP318" s="23"/>
      <c r="EQ318" s="23"/>
      <c r="ER318" s="23"/>
      <c r="ES318" s="23"/>
      <c r="ET318" s="23"/>
      <c r="EU318" s="23"/>
      <c r="EV318" s="23"/>
      <c r="EW318" s="23"/>
      <c r="EX318" s="23"/>
      <c r="EY318" s="23"/>
      <c r="EZ318" s="23"/>
      <c r="FA318" s="23"/>
      <c r="FB318" s="23"/>
      <c r="FC318" s="23"/>
      <c r="FD318" s="23"/>
      <c r="FE318" s="23"/>
      <c r="FF318" s="23"/>
      <c r="FG318" s="23"/>
      <c r="FH318" s="23"/>
      <c r="FI318" s="23"/>
      <c r="FJ318" s="23"/>
      <c r="FK318" s="23"/>
      <c r="FL318" s="23"/>
      <c r="FM318" s="23"/>
      <c r="FN318" s="23"/>
      <c r="FO318" s="23"/>
      <c r="FP318" s="23"/>
      <c r="FQ318" s="23"/>
      <c r="FR318" s="23"/>
      <c r="FS318" s="23"/>
      <c r="FT318" s="23"/>
      <c r="FU318" s="23"/>
      <c r="FV318" s="23"/>
      <c r="FW318" s="23"/>
      <c r="FX318" s="23"/>
      <c r="FY318" s="23"/>
      <c r="FZ318" s="23"/>
      <c r="GA318" s="23"/>
      <c r="GB318" s="23"/>
      <c r="GC318" s="23"/>
      <c r="GD318" s="23"/>
      <c r="GE318" s="23"/>
      <c r="GF318" s="23"/>
      <c r="GG318" s="23"/>
      <c r="GH318" s="23"/>
      <c r="GI318" s="23"/>
      <c r="GJ318" s="23"/>
      <c r="GK318" s="23"/>
      <c r="GL318" s="23"/>
    </row>
    <row r="319" spans="1:194" ht="13">
      <c r="A319" s="23"/>
      <c r="B319" s="23"/>
      <c r="C319" s="23"/>
      <c r="D319" s="23"/>
      <c r="E319" s="23"/>
      <c r="F319" s="23"/>
      <c r="G319" s="23"/>
      <c r="H319" s="401"/>
      <c r="I319" s="401"/>
      <c r="J319" s="401"/>
      <c r="K319" s="401"/>
      <c r="L319" s="401"/>
      <c r="M319" s="438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23"/>
      <c r="BD319" s="23"/>
      <c r="BE319" s="23"/>
      <c r="BF319" s="23"/>
      <c r="BG319" s="23"/>
      <c r="BH319" s="23"/>
      <c r="BI319" s="23"/>
      <c r="BJ319" s="23"/>
      <c r="BK319" s="23"/>
      <c r="BL319" s="23"/>
      <c r="BM319" s="23"/>
      <c r="BN319" s="23"/>
      <c r="BO319" s="23"/>
      <c r="BP319" s="23"/>
      <c r="BQ319" s="23"/>
      <c r="BR319" s="23"/>
      <c r="BS319" s="23"/>
      <c r="BT319" s="23"/>
      <c r="BU319" s="23"/>
      <c r="BV319" s="23"/>
      <c r="BW319" s="23"/>
      <c r="BX319" s="23"/>
      <c r="BY319" s="23"/>
      <c r="BZ319" s="23"/>
      <c r="CA319" s="23"/>
      <c r="CB319" s="23"/>
      <c r="CC319" s="23"/>
      <c r="CD319" s="23"/>
      <c r="CE319" s="23"/>
      <c r="CF319" s="23"/>
      <c r="CG319" s="23"/>
      <c r="CH319" s="23"/>
      <c r="CI319" s="23"/>
      <c r="CJ319" s="23"/>
      <c r="CK319" s="23"/>
      <c r="CL319" s="23"/>
      <c r="CM319" s="23"/>
      <c r="CN319" s="23"/>
      <c r="CO319" s="23"/>
      <c r="CP319" s="23"/>
      <c r="CQ319" s="23"/>
      <c r="CR319" s="23"/>
      <c r="CS319" s="23"/>
      <c r="CT319" s="23"/>
      <c r="CU319" s="23"/>
      <c r="CV319" s="23"/>
      <c r="CW319" s="23"/>
      <c r="CX319" s="23"/>
      <c r="CY319" s="23"/>
      <c r="CZ319" s="23"/>
      <c r="DA319" s="23"/>
      <c r="DB319" s="23"/>
      <c r="DC319" s="23"/>
      <c r="DD319" s="23"/>
      <c r="DE319" s="23"/>
      <c r="DF319" s="23"/>
      <c r="DG319" s="23"/>
      <c r="DH319" s="23"/>
      <c r="DI319" s="23"/>
      <c r="DJ319" s="23"/>
      <c r="DK319" s="23"/>
      <c r="DL319" s="23"/>
      <c r="DM319" s="23"/>
      <c r="DN319" s="23"/>
      <c r="DO319" s="23"/>
      <c r="DP319" s="23"/>
      <c r="DQ319" s="23"/>
      <c r="DR319" s="23"/>
      <c r="DS319" s="23"/>
      <c r="DT319" s="23"/>
      <c r="DU319" s="23"/>
      <c r="DV319" s="23"/>
      <c r="DW319" s="23"/>
      <c r="DX319" s="23"/>
      <c r="DY319" s="23"/>
      <c r="DZ319" s="23"/>
      <c r="EA319" s="23"/>
      <c r="EB319" s="23"/>
      <c r="EC319" s="23"/>
      <c r="ED319" s="23"/>
      <c r="EE319" s="23"/>
      <c r="EF319" s="23"/>
      <c r="EG319" s="23"/>
      <c r="EH319" s="23"/>
      <c r="EI319" s="23"/>
      <c r="EJ319" s="23"/>
      <c r="EK319" s="23"/>
      <c r="EL319" s="23"/>
      <c r="EM319" s="23"/>
      <c r="EN319" s="23"/>
      <c r="EO319" s="23"/>
      <c r="EP319" s="23"/>
      <c r="EQ319" s="23"/>
      <c r="ER319" s="23"/>
      <c r="ES319" s="23"/>
      <c r="ET319" s="23"/>
      <c r="EU319" s="23"/>
      <c r="EV319" s="23"/>
      <c r="EW319" s="23"/>
      <c r="EX319" s="23"/>
      <c r="EY319" s="23"/>
      <c r="EZ319" s="23"/>
      <c r="FA319" s="23"/>
      <c r="FB319" s="23"/>
      <c r="FC319" s="23"/>
      <c r="FD319" s="23"/>
      <c r="FE319" s="23"/>
      <c r="FF319" s="23"/>
      <c r="FG319" s="23"/>
      <c r="FH319" s="23"/>
      <c r="FI319" s="23"/>
      <c r="FJ319" s="23"/>
      <c r="FK319" s="23"/>
      <c r="FL319" s="23"/>
      <c r="FM319" s="23"/>
      <c r="FN319" s="23"/>
      <c r="FO319" s="23"/>
      <c r="FP319" s="23"/>
      <c r="FQ319" s="23"/>
      <c r="FR319" s="23"/>
      <c r="FS319" s="23"/>
      <c r="FT319" s="23"/>
      <c r="FU319" s="23"/>
      <c r="FV319" s="23"/>
      <c r="FW319" s="23"/>
      <c r="FX319" s="23"/>
      <c r="FY319" s="23"/>
      <c r="FZ319" s="23"/>
      <c r="GA319" s="23"/>
      <c r="GB319" s="23"/>
      <c r="GC319" s="23"/>
      <c r="GD319" s="23"/>
      <c r="GE319" s="23"/>
      <c r="GF319" s="23"/>
      <c r="GG319" s="23"/>
      <c r="GH319" s="23"/>
      <c r="GI319" s="23"/>
      <c r="GJ319" s="23"/>
      <c r="GK319" s="23"/>
      <c r="GL319" s="23"/>
    </row>
    <row r="320" spans="1:194" ht="13">
      <c r="A320" s="23"/>
      <c r="B320" s="23"/>
      <c r="C320" s="23"/>
      <c r="D320" s="23"/>
      <c r="E320" s="23"/>
      <c r="F320" s="23"/>
      <c r="G320" s="23"/>
      <c r="H320" s="401"/>
      <c r="I320" s="401"/>
      <c r="J320" s="401"/>
      <c r="K320" s="401"/>
      <c r="L320" s="401"/>
      <c r="M320" s="438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  <c r="BA320" s="23"/>
      <c r="BB320" s="23"/>
      <c r="BC320" s="23"/>
      <c r="BD320" s="23"/>
      <c r="BE320" s="23"/>
      <c r="BF320" s="23"/>
      <c r="BG320" s="23"/>
      <c r="BH320" s="23"/>
      <c r="BI320" s="23"/>
      <c r="BJ320" s="23"/>
      <c r="BK320" s="23"/>
      <c r="BL320" s="23"/>
      <c r="BM320" s="23"/>
      <c r="BN320" s="23"/>
      <c r="BO320" s="23"/>
      <c r="BP320" s="23"/>
      <c r="BQ320" s="23"/>
      <c r="BR320" s="23"/>
      <c r="BS320" s="23"/>
      <c r="BT320" s="23"/>
      <c r="BU320" s="23"/>
      <c r="BV320" s="23"/>
      <c r="BW320" s="23"/>
      <c r="BX320" s="23"/>
      <c r="BY320" s="23"/>
      <c r="BZ320" s="23"/>
      <c r="CA320" s="23"/>
      <c r="CB320" s="23"/>
      <c r="CC320" s="23"/>
      <c r="CD320" s="23"/>
      <c r="CE320" s="23"/>
      <c r="CF320" s="23"/>
      <c r="CG320" s="23"/>
      <c r="CH320" s="23"/>
      <c r="CI320" s="23"/>
      <c r="CJ320" s="23"/>
      <c r="CK320" s="23"/>
      <c r="CL320" s="23"/>
      <c r="CM320" s="23"/>
      <c r="CN320" s="23"/>
      <c r="CO320" s="23"/>
      <c r="CP320" s="23"/>
      <c r="CQ320" s="23"/>
      <c r="CR320" s="23"/>
      <c r="CS320" s="23"/>
      <c r="CT320" s="23"/>
      <c r="CU320" s="23"/>
      <c r="CV320" s="23"/>
      <c r="CW320" s="23"/>
      <c r="CX320" s="23"/>
      <c r="CY320" s="23"/>
      <c r="CZ320" s="23"/>
      <c r="DA320" s="23"/>
      <c r="DB320" s="23"/>
      <c r="DC320" s="23"/>
      <c r="DD320" s="23"/>
      <c r="DE320" s="23"/>
      <c r="DF320" s="23"/>
      <c r="DG320" s="23"/>
      <c r="DH320" s="23"/>
      <c r="DI320" s="23"/>
      <c r="DJ320" s="23"/>
      <c r="DK320" s="23"/>
      <c r="DL320" s="23"/>
      <c r="DM320" s="23"/>
      <c r="DN320" s="23"/>
      <c r="DO320" s="23"/>
      <c r="DP320" s="23"/>
      <c r="DQ320" s="23"/>
      <c r="DR320" s="23"/>
      <c r="DS320" s="23"/>
      <c r="DT320" s="23"/>
      <c r="DU320" s="23"/>
      <c r="DV320" s="23"/>
      <c r="DW320" s="23"/>
      <c r="DX320" s="23"/>
      <c r="DY320" s="23"/>
      <c r="DZ320" s="23"/>
      <c r="EA320" s="23"/>
      <c r="EB320" s="23"/>
      <c r="EC320" s="23"/>
      <c r="ED320" s="23"/>
      <c r="EE320" s="23"/>
      <c r="EF320" s="23"/>
      <c r="EG320" s="23"/>
      <c r="EH320" s="23"/>
      <c r="EI320" s="23"/>
      <c r="EJ320" s="23"/>
      <c r="EK320" s="23"/>
      <c r="EL320" s="23"/>
      <c r="EM320" s="23"/>
      <c r="EN320" s="23"/>
      <c r="EO320" s="23"/>
      <c r="EP320" s="23"/>
      <c r="EQ320" s="23"/>
      <c r="ER320" s="23"/>
      <c r="ES320" s="23"/>
      <c r="ET320" s="23"/>
      <c r="EU320" s="23"/>
      <c r="EV320" s="23"/>
      <c r="EW320" s="23"/>
      <c r="EX320" s="23"/>
      <c r="EY320" s="23"/>
      <c r="EZ320" s="23"/>
      <c r="FA320" s="23"/>
      <c r="FB320" s="23"/>
      <c r="FC320" s="23"/>
      <c r="FD320" s="23"/>
      <c r="FE320" s="23"/>
      <c r="FF320" s="23"/>
      <c r="FG320" s="23"/>
      <c r="FH320" s="23"/>
      <c r="FI320" s="23"/>
      <c r="FJ320" s="23"/>
      <c r="FK320" s="23"/>
      <c r="FL320" s="23"/>
      <c r="FM320" s="23"/>
      <c r="FN320" s="23"/>
      <c r="FO320" s="23"/>
      <c r="FP320" s="23"/>
      <c r="FQ320" s="23"/>
      <c r="FR320" s="23"/>
      <c r="FS320" s="23"/>
      <c r="FT320" s="23"/>
      <c r="FU320" s="23"/>
      <c r="FV320" s="23"/>
      <c r="FW320" s="23"/>
      <c r="FX320" s="23"/>
      <c r="FY320" s="23"/>
      <c r="FZ320" s="23"/>
      <c r="GA320" s="23"/>
      <c r="GB320" s="23"/>
      <c r="GC320" s="23"/>
      <c r="GD320" s="23"/>
      <c r="GE320" s="23"/>
      <c r="GF320" s="23"/>
      <c r="GG320" s="23"/>
      <c r="GH320" s="23"/>
      <c r="GI320" s="23"/>
      <c r="GJ320" s="23"/>
      <c r="GK320" s="23"/>
      <c r="GL320" s="23"/>
    </row>
    <row r="321" spans="1:194" ht="13">
      <c r="A321" s="23"/>
      <c r="B321" s="23"/>
      <c r="C321" s="23"/>
      <c r="D321" s="23"/>
      <c r="E321" s="23"/>
      <c r="F321" s="23"/>
      <c r="G321" s="23"/>
      <c r="H321" s="401"/>
      <c r="I321" s="401"/>
      <c r="J321" s="401"/>
      <c r="K321" s="401"/>
      <c r="L321" s="401"/>
      <c r="M321" s="438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  <c r="BA321" s="23"/>
      <c r="BB321" s="23"/>
      <c r="BC321" s="23"/>
      <c r="BD321" s="23"/>
      <c r="BE321" s="23"/>
      <c r="BF321" s="23"/>
      <c r="BG321" s="23"/>
      <c r="BH321" s="23"/>
      <c r="BI321" s="23"/>
      <c r="BJ321" s="23"/>
      <c r="BK321" s="23"/>
      <c r="BL321" s="23"/>
      <c r="BM321" s="23"/>
      <c r="BN321" s="23"/>
      <c r="BO321" s="23"/>
      <c r="BP321" s="23"/>
      <c r="BQ321" s="23"/>
      <c r="BR321" s="23"/>
      <c r="BS321" s="23"/>
      <c r="BT321" s="23"/>
      <c r="BU321" s="23"/>
      <c r="BV321" s="23"/>
      <c r="BW321" s="23"/>
      <c r="BX321" s="23"/>
      <c r="BY321" s="23"/>
      <c r="BZ321" s="23"/>
      <c r="CA321" s="23"/>
      <c r="CB321" s="23"/>
      <c r="CC321" s="23"/>
      <c r="CD321" s="23"/>
      <c r="CE321" s="23"/>
      <c r="CF321" s="23"/>
      <c r="CG321" s="23"/>
      <c r="CH321" s="23"/>
      <c r="CI321" s="23"/>
      <c r="CJ321" s="23"/>
      <c r="CK321" s="23"/>
      <c r="CL321" s="23"/>
      <c r="CM321" s="23"/>
      <c r="CN321" s="23"/>
      <c r="CO321" s="23"/>
      <c r="CP321" s="23"/>
      <c r="CQ321" s="23"/>
      <c r="CR321" s="23"/>
      <c r="CS321" s="23"/>
      <c r="CT321" s="23"/>
      <c r="CU321" s="23"/>
      <c r="CV321" s="23"/>
      <c r="CW321" s="23"/>
      <c r="CX321" s="23"/>
      <c r="CY321" s="23"/>
      <c r="CZ321" s="23"/>
      <c r="DA321" s="23"/>
      <c r="DB321" s="23"/>
      <c r="DC321" s="23"/>
      <c r="DD321" s="23"/>
      <c r="DE321" s="23"/>
      <c r="DF321" s="23"/>
      <c r="DG321" s="23"/>
      <c r="DH321" s="23"/>
      <c r="DI321" s="23"/>
      <c r="DJ321" s="23"/>
      <c r="DK321" s="23"/>
      <c r="DL321" s="23"/>
      <c r="DM321" s="23"/>
      <c r="DN321" s="23"/>
      <c r="DO321" s="23"/>
      <c r="DP321" s="23"/>
      <c r="DQ321" s="23"/>
      <c r="DR321" s="23"/>
      <c r="DS321" s="23"/>
      <c r="DT321" s="23"/>
      <c r="DU321" s="23"/>
      <c r="DV321" s="23"/>
      <c r="DW321" s="23"/>
      <c r="DX321" s="23"/>
      <c r="DY321" s="23"/>
      <c r="DZ321" s="23"/>
      <c r="EA321" s="23"/>
      <c r="EB321" s="23"/>
      <c r="EC321" s="23"/>
      <c r="ED321" s="23"/>
      <c r="EE321" s="23"/>
      <c r="EF321" s="23"/>
      <c r="EG321" s="23"/>
      <c r="EH321" s="23"/>
      <c r="EI321" s="23"/>
      <c r="EJ321" s="23"/>
      <c r="EK321" s="23"/>
      <c r="EL321" s="23"/>
      <c r="EM321" s="23"/>
      <c r="EN321" s="23"/>
      <c r="EO321" s="23"/>
      <c r="EP321" s="23"/>
      <c r="EQ321" s="23"/>
      <c r="ER321" s="23"/>
      <c r="ES321" s="23"/>
      <c r="ET321" s="23"/>
      <c r="EU321" s="23"/>
      <c r="EV321" s="23"/>
      <c r="EW321" s="23"/>
      <c r="EX321" s="23"/>
      <c r="EY321" s="23"/>
      <c r="EZ321" s="23"/>
      <c r="FA321" s="23"/>
      <c r="FB321" s="23"/>
      <c r="FC321" s="23"/>
      <c r="FD321" s="23"/>
      <c r="FE321" s="23"/>
      <c r="FF321" s="23"/>
      <c r="FG321" s="23"/>
      <c r="FH321" s="23"/>
      <c r="FI321" s="23"/>
      <c r="FJ321" s="23"/>
      <c r="FK321" s="23"/>
      <c r="FL321" s="23"/>
      <c r="FM321" s="23"/>
      <c r="FN321" s="23"/>
      <c r="FO321" s="23"/>
      <c r="FP321" s="23"/>
      <c r="FQ321" s="23"/>
      <c r="FR321" s="23"/>
      <c r="FS321" s="23"/>
      <c r="FT321" s="23"/>
      <c r="FU321" s="23"/>
      <c r="FV321" s="23"/>
      <c r="FW321" s="23"/>
      <c r="FX321" s="23"/>
      <c r="FY321" s="23"/>
      <c r="FZ321" s="23"/>
      <c r="GA321" s="23"/>
      <c r="GB321" s="23"/>
      <c r="GC321" s="23"/>
      <c r="GD321" s="23"/>
      <c r="GE321" s="23"/>
      <c r="GF321" s="23"/>
      <c r="GG321" s="23"/>
      <c r="GH321" s="23"/>
      <c r="GI321" s="23"/>
      <c r="GJ321" s="23"/>
      <c r="GK321" s="23"/>
      <c r="GL321" s="23"/>
    </row>
    <row r="322" spans="1:194" ht="13">
      <c r="A322" s="23"/>
      <c r="B322" s="23"/>
      <c r="C322" s="23"/>
      <c r="D322" s="23"/>
      <c r="E322" s="23"/>
      <c r="F322" s="23"/>
      <c r="G322" s="23"/>
      <c r="H322" s="401"/>
      <c r="I322" s="401"/>
      <c r="J322" s="401"/>
      <c r="K322" s="401"/>
      <c r="L322" s="401"/>
      <c r="M322" s="438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  <c r="BA322" s="23"/>
      <c r="BB322" s="23"/>
      <c r="BC322" s="23"/>
      <c r="BD322" s="23"/>
      <c r="BE322" s="23"/>
      <c r="BF322" s="23"/>
      <c r="BG322" s="23"/>
      <c r="BH322" s="23"/>
      <c r="BI322" s="23"/>
      <c r="BJ322" s="23"/>
      <c r="BK322" s="23"/>
      <c r="BL322" s="23"/>
      <c r="BM322" s="23"/>
      <c r="BN322" s="23"/>
      <c r="BO322" s="23"/>
      <c r="BP322" s="23"/>
      <c r="BQ322" s="23"/>
      <c r="BR322" s="23"/>
      <c r="BS322" s="23"/>
      <c r="BT322" s="23"/>
      <c r="BU322" s="23"/>
      <c r="BV322" s="23"/>
      <c r="BW322" s="23"/>
      <c r="BX322" s="23"/>
      <c r="BY322" s="23"/>
      <c r="BZ322" s="23"/>
      <c r="CA322" s="23"/>
      <c r="CB322" s="23"/>
      <c r="CC322" s="23"/>
      <c r="CD322" s="23"/>
      <c r="CE322" s="23"/>
      <c r="CF322" s="23"/>
      <c r="CG322" s="23"/>
      <c r="CH322" s="23"/>
      <c r="CI322" s="23"/>
      <c r="CJ322" s="23"/>
      <c r="CK322" s="23"/>
      <c r="CL322" s="23"/>
      <c r="CM322" s="23"/>
      <c r="CN322" s="23"/>
      <c r="CO322" s="23"/>
      <c r="CP322" s="23"/>
      <c r="CQ322" s="23"/>
      <c r="CR322" s="23"/>
      <c r="CS322" s="23"/>
      <c r="CT322" s="23"/>
      <c r="CU322" s="23"/>
      <c r="CV322" s="23"/>
      <c r="CW322" s="23"/>
      <c r="CX322" s="23"/>
      <c r="CY322" s="23"/>
      <c r="CZ322" s="23"/>
      <c r="DA322" s="23"/>
      <c r="DB322" s="23"/>
      <c r="DC322" s="23"/>
      <c r="DD322" s="23"/>
      <c r="DE322" s="23"/>
      <c r="DF322" s="23"/>
      <c r="DG322" s="23"/>
      <c r="DH322" s="23"/>
      <c r="DI322" s="23"/>
      <c r="DJ322" s="23"/>
      <c r="DK322" s="23"/>
      <c r="DL322" s="23"/>
      <c r="DM322" s="23"/>
      <c r="DN322" s="23"/>
      <c r="DO322" s="23"/>
      <c r="DP322" s="23"/>
      <c r="DQ322" s="23"/>
      <c r="DR322" s="23"/>
      <c r="DS322" s="23"/>
      <c r="DT322" s="23"/>
      <c r="DU322" s="23"/>
      <c r="DV322" s="23"/>
      <c r="DW322" s="23"/>
      <c r="DX322" s="23"/>
      <c r="DY322" s="23"/>
      <c r="DZ322" s="23"/>
      <c r="EA322" s="23"/>
      <c r="EB322" s="23"/>
      <c r="EC322" s="23"/>
      <c r="ED322" s="23"/>
      <c r="EE322" s="23"/>
      <c r="EF322" s="23"/>
      <c r="EG322" s="23"/>
      <c r="EH322" s="23"/>
      <c r="EI322" s="23"/>
      <c r="EJ322" s="23"/>
      <c r="EK322" s="23"/>
      <c r="EL322" s="23"/>
      <c r="EM322" s="23"/>
      <c r="EN322" s="23"/>
      <c r="EO322" s="23"/>
      <c r="EP322" s="23"/>
      <c r="EQ322" s="23"/>
      <c r="ER322" s="23"/>
      <c r="ES322" s="23"/>
      <c r="ET322" s="23"/>
      <c r="EU322" s="23"/>
      <c r="EV322" s="23"/>
      <c r="EW322" s="23"/>
      <c r="EX322" s="23"/>
      <c r="EY322" s="23"/>
      <c r="EZ322" s="23"/>
      <c r="FA322" s="23"/>
      <c r="FB322" s="23"/>
      <c r="FC322" s="23"/>
      <c r="FD322" s="23"/>
      <c r="FE322" s="23"/>
      <c r="FF322" s="23"/>
      <c r="FG322" s="23"/>
      <c r="FH322" s="23"/>
      <c r="FI322" s="23"/>
      <c r="FJ322" s="23"/>
      <c r="FK322" s="23"/>
      <c r="FL322" s="23"/>
      <c r="FM322" s="23"/>
      <c r="FN322" s="23"/>
      <c r="FO322" s="23"/>
      <c r="FP322" s="23"/>
      <c r="FQ322" s="23"/>
      <c r="FR322" s="23"/>
      <c r="FS322" s="23"/>
      <c r="FT322" s="23"/>
      <c r="FU322" s="23"/>
      <c r="FV322" s="23"/>
      <c r="FW322" s="23"/>
      <c r="FX322" s="23"/>
      <c r="FY322" s="23"/>
      <c r="FZ322" s="23"/>
      <c r="GA322" s="23"/>
      <c r="GB322" s="23"/>
      <c r="GC322" s="23"/>
      <c r="GD322" s="23"/>
      <c r="GE322" s="23"/>
      <c r="GF322" s="23"/>
      <c r="GG322" s="23"/>
      <c r="GH322" s="23"/>
      <c r="GI322" s="23"/>
      <c r="GJ322" s="23"/>
      <c r="GK322" s="23"/>
      <c r="GL322" s="23"/>
    </row>
    <row r="323" spans="1:194" ht="13">
      <c r="A323" s="23"/>
      <c r="B323" s="23"/>
      <c r="C323" s="23"/>
      <c r="D323" s="23"/>
      <c r="E323" s="23"/>
      <c r="F323" s="23"/>
      <c r="G323" s="23"/>
      <c r="H323" s="401"/>
      <c r="I323" s="401"/>
      <c r="J323" s="401"/>
      <c r="K323" s="401"/>
      <c r="L323" s="401"/>
      <c r="M323" s="438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  <c r="BA323" s="23"/>
      <c r="BB323" s="23"/>
      <c r="BC323" s="23"/>
      <c r="BD323" s="23"/>
      <c r="BE323" s="23"/>
      <c r="BF323" s="23"/>
      <c r="BG323" s="23"/>
      <c r="BH323" s="23"/>
      <c r="BI323" s="23"/>
      <c r="BJ323" s="23"/>
      <c r="BK323" s="23"/>
      <c r="BL323" s="23"/>
      <c r="BM323" s="23"/>
      <c r="BN323" s="23"/>
      <c r="BO323" s="23"/>
      <c r="BP323" s="23"/>
      <c r="BQ323" s="23"/>
      <c r="BR323" s="23"/>
      <c r="BS323" s="23"/>
      <c r="BT323" s="23"/>
      <c r="BU323" s="23"/>
      <c r="BV323" s="23"/>
      <c r="BW323" s="23"/>
      <c r="BX323" s="23"/>
      <c r="BY323" s="23"/>
      <c r="BZ323" s="23"/>
      <c r="CA323" s="23"/>
      <c r="CB323" s="23"/>
      <c r="CC323" s="23"/>
      <c r="CD323" s="23"/>
      <c r="CE323" s="23"/>
      <c r="CF323" s="23"/>
      <c r="CG323" s="23"/>
      <c r="CH323" s="23"/>
      <c r="CI323" s="23"/>
      <c r="CJ323" s="23"/>
      <c r="CK323" s="23"/>
      <c r="CL323" s="23"/>
      <c r="CM323" s="23"/>
      <c r="CN323" s="23"/>
      <c r="CO323" s="23"/>
      <c r="CP323" s="23"/>
      <c r="CQ323" s="23"/>
      <c r="CR323" s="23"/>
      <c r="CS323" s="23"/>
      <c r="CT323" s="23"/>
      <c r="CU323" s="23"/>
      <c r="CV323" s="23"/>
      <c r="CW323" s="23"/>
      <c r="CX323" s="23"/>
      <c r="CY323" s="23"/>
      <c r="CZ323" s="23"/>
      <c r="DA323" s="23"/>
      <c r="DB323" s="23"/>
      <c r="DC323" s="23"/>
      <c r="DD323" s="23"/>
      <c r="DE323" s="23"/>
      <c r="DF323" s="23"/>
      <c r="DG323" s="23"/>
      <c r="DH323" s="23"/>
      <c r="DI323" s="23"/>
      <c r="DJ323" s="23"/>
      <c r="DK323" s="23"/>
      <c r="DL323" s="23"/>
      <c r="DM323" s="23"/>
      <c r="DN323" s="23"/>
      <c r="DO323" s="23"/>
      <c r="DP323" s="23"/>
      <c r="DQ323" s="23"/>
      <c r="DR323" s="23"/>
      <c r="DS323" s="23"/>
      <c r="DT323" s="23"/>
      <c r="DU323" s="23"/>
      <c r="DV323" s="23"/>
      <c r="DW323" s="23"/>
      <c r="DX323" s="23"/>
      <c r="DY323" s="23"/>
      <c r="DZ323" s="23"/>
      <c r="EA323" s="23"/>
      <c r="EB323" s="23"/>
      <c r="EC323" s="23"/>
      <c r="ED323" s="23"/>
      <c r="EE323" s="23"/>
      <c r="EF323" s="23"/>
      <c r="EG323" s="23"/>
      <c r="EH323" s="23"/>
      <c r="EI323" s="23"/>
      <c r="EJ323" s="23"/>
      <c r="EK323" s="23"/>
      <c r="EL323" s="23"/>
      <c r="EM323" s="23"/>
      <c r="EN323" s="23"/>
      <c r="EO323" s="23"/>
      <c r="EP323" s="23"/>
      <c r="EQ323" s="23"/>
      <c r="ER323" s="23"/>
      <c r="ES323" s="23"/>
      <c r="ET323" s="23"/>
      <c r="EU323" s="23"/>
      <c r="EV323" s="23"/>
      <c r="EW323" s="23"/>
      <c r="EX323" s="23"/>
      <c r="EY323" s="23"/>
      <c r="EZ323" s="23"/>
      <c r="FA323" s="23"/>
      <c r="FB323" s="23"/>
      <c r="FC323" s="23"/>
      <c r="FD323" s="23"/>
      <c r="FE323" s="23"/>
      <c r="FF323" s="23"/>
      <c r="FG323" s="23"/>
      <c r="FH323" s="23"/>
      <c r="FI323" s="23"/>
      <c r="FJ323" s="23"/>
      <c r="FK323" s="23"/>
      <c r="FL323" s="23"/>
      <c r="FM323" s="23"/>
      <c r="FN323" s="23"/>
      <c r="FO323" s="23"/>
      <c r="FP323" s="23"/>
      <c r="FQ323" s="23"/>
      <c r="FR323" s="23"/>
      <c r="FS323" s="23"/>
      <c r="FT323" s="23"/>
      <c r="FU323" s="23"/>
      <c r="FV323" s="23"/>
      <c r="FW323" s="23"/>
      <c r="FX323" s="23"/>
      <c r="FY323" s="23"/>
      <c r="FZ323" s="23"/>
      <c r="GA323" s="23"/>
      <c r="GB323" s="23"/>
      <c r="GC323" s="23"/>
      <c r="GD323" s="23"/>
      <c r="GE323" s="23"/>
      <c r="GF323" s="23"/>
      <c r="GG323" s="23"/>
      <c r="GH323" s="23"/>
      <c r="GI323" s="23"/>
      <c r="GJ323" s="23"/>
      <c r="GK323" s="23"/>
      <c r="GL323" s="23"/>
    </row>
    <row r="324" spans="1:194" ht="13">
      <c r="A324" s="23"/>
      <c r="B324" s="23"/>
      <c r="C324" s="23"/>
      <c r="D324" s="23"/>
      <c r="E324" s="23"/>
      <c r="F324" s="23"/>
      <c r="G324" s="23"/>
      <c r="H324" s="401"/>
      <c r="I324" s="401"/>
      <c r="J324" s="401"/>
      <c r="K324" s="401"/>
      <c r="L324" s="401"/>
      <c r="M324" s="438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  <c r="BA324" s="23"/>
      <c r="BB324" s="23"/>
      <c r="BC324" s="23"/>
      <c r="BD324" s="23"/>
      <c r="BE324" s="23"/>
      <c r="BF324" s="23"/>
      <c r="BG324" s="23"/>
      <c r="BH324" s="23"/>
      <c r="BI324" s="23"/>
      <c r="BJ324" s="23"/>
      <c r="BK324" s="23"/>
      <c r="BL324" s="23"/>
      <c r="BM324" s="23"/>
      <c r="BN324" s="23"/>
      <c r="BO324" s="23"/>
      <c r="BP324" s="23"/>
      <c r="BQ324" s="23"/>
      <c r="BR324" s="23"/>
      <c r="BS324" s="23"/>
      <c r="BT324" s="23"/>
      <c r="BU324" s="23"/>
      <c r="BV324" s="23"/>
      <c r="BW324" s="23"/>
      <c r="BX324" s="23"/>
      <c r="BY324" s="23"/>
      <c r="BZ324" s="23"/>
      <c r="CA324" s="23"/>
      <c r="CB324" s="23"/>
      <c r="CC324" s="23"/>
      <c r="CD324" s="23"/>
      <c r="CE324" s="23"/>
      <c r="CF324" s="23"/>
      <c r="CG324" s="23"/>
      <c r="CH324" s="23"/>
      <c r="CI324" s="23"/>
      <c r="CJ324" s="23"/>
      <c r="CK324" s="23"/>
      <c r="CL324" s="23"/>
      <c r="CM324" s="23"/>
      <c r="CN324" s="23"/>
      <c r="CO324" s="23"/>
      <c r="CP324" s="23"/>
      <c r="CQ324" s="23"/>
      <c r="CR324" s="23"/>
      <c r="CS324" s="23"/>
      <c r="CT324" s="23"/>
      <c r="CU324" s="23"/>
      <c r="CV324" s="23"/>
      <c r="CW324" s="23"/>
      <c r="CX324" s="23"/>
      <c r="CY324" s="23"/>
      <c r="CZ324" s="23"/>
      <c r="DA324" s="23"/>
      <c r="DB324" s="23"/>
      <c r="DC324" s="23"/>
      <c r="DD324" s="23"/>
      <c r="DE324" s="23"/>
      <c r="DF324" s="23"/>
      <c r="DG324" s="23"/>
      <c r="DH324" s="23"/>
      <c r="DI324" s="23"/>
      <c r="DJ324" s="23"/>
      <c r="DK324" s="23"/>
      <c r="DL324" s="23"/>
      <c r="DM324" s="23"/>
      <c r="DN324" s="23"/>
      <c r="DO324" s="23"/>
      <c r="DP324" s="23"/>
      <c r="DQ324" s="23"/>
      <c r="DR324" s="23"/>
      <c r="DS324" s="23"/>
      <c r="DT324" s="23"/>
      <c r="DU324" s="23"/>
      <c r="DV324" s="23"/>
      <c r="DW324" s="23"/>
      <c r="DX324" s="23"/>
      <c r="DY324" s="23"/>
      <c r="DZ324" s="23"/>
      <c r="EA324" s="23"/>
      <c r="EB324" s="23"/>
      <c r="EC324" s="23"/>
      <c r="ED324" s="23"/>
      <c r="EE324" s="23"/>
      <c r="EF324" s="23"/>
      <c r="EG324" s="23"/>
      <c r="EH324" s="23"/>
      <c r="EI324" s="23"/>
      <c r="EJ324" s="23"/>
      <c r="EK324" s="23"/>
      <c r="EL324" s="23"/>
      <c r="EM324" s="23"/>
      <c r="EN324" s="23"/>
      <c r="EO324" s="23"/>
      <c r="EP324" s="23"/>
      <c r="EQ324" s="23"/>
      <c r="ER324" s="23"/>
      <c r="ES324" s="23"/>
      <c r="ET324" s="23"/>
      <c r="EU324" s="23"/>
      <c r="EV324" s="23"/>
      <c r="EW324" s="23"/>
      <c r="EX324" s="23"/>
      <c r="EY324" s="23"/>
      <c r="EZ324" s="23"/>
      <c r="FA324" s="23"/>
      <c r="FB324" s="23"/>
      <c r="FC324" s="23"/>
      <c r="FD324" s="23"/>
      <c r="FE324" s="23"/>
      <c r="FF324" s="23"/>
      <c r="FG324" s="23"/>
      <c r="FH324" s="23"/>
      <c r="FI324" s="23"/>
      <c r="FJ324" s="23"/>
      <c r="FK324" s="23"/>
      <c r="FL324" s="23"/>
      <c r="FM324" s="23"/>
      <c r="FN324" s="23"/>
      <c r="FO324" s="23"/>
      <c r="FP324" s="23"/>
      <c r="FQ324" s="23"/>
      <c r="FR324" s="23"/>
      <c r="FS324" s="23"/>
      <c r="FT324" s="23"/>
      <c r="FU324" s="23"/>
      <c r="FV324" s="23"/>
      <c r="FW324" s="23"/>
      <c r="FX324" s="23"/>
      <c r="FY324" s="23"/>
      <c r="FZ324" s="23"/>
      <c r="GA324" s="23"/>
      <c r="GB324" s="23"/>
      <c r="GC324" s="23"/>
      <c r="GD324" s="23"/>
      <c r="GE324" s="23"/>
      <c r="GF324" s="23"/>
      <c r="GG324" s="23"/>
      <c r="GH324" s="23"/>
      <c r="GI324" s="23"/>
      <c r="GJ324" s="23"/>
      <c r="GK324" s="23"/>
      <c r="GL324" s="23"/>
    </row>
    <row r="325" spans="1:194" ht="13">
      <c r="A325" s="23"/>
      <c r="B325" s="23"/>
      <c r="C325" s="23"/>
      <c r="D325" s="23"/>
      <c r="E325" s="23"/>
      <c r="F325" s="23"/>
      <c r="G325" s="23"/>
      <c r="H325" s="401"/>
      <c r="I325" s="401"/>
      <c r="J325" s="401"/>
      <c r="K325" s="401"/>
      <c r="L325" s="401"/>
      <c r="M325" s="438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23"/>
      <c r="BH325" s="23"/>
      <c r="BI325" s="23"/>
      <c r="BJ325" s="23"/>
      <c r="BK325" s="23"/>
      <c r="BL325" s="23"/>
      <c r="BM325" s="23"/>
      <c r="BN325" s="23"/>
      <c r="BO325" s="23"/>
      <c r="BP325" s="23"/>
      <c r="BQ325" s="23"/>
      <c r="BR325" s="23"/>
      <c r="BS325" s="23"/>
      <c r="BT325" s="23"/>
      <c r="BU325" s="23"/>
      <c r="BV325" s="23"/>
      <c r="BW325" s="23"/>
      <c r="BX325" s="23"/>
      <c r="BY325" s="23"/>
      <c r="BZ325" s="23"/>
      <c r="CA325" s="23"/>
      <c r="CB325" s="23"/>
      <c r="CC325" s="23"/>
      <c r="CD325" s="23"/>
      <c r="CE325" s="23"/>
      <c r="CF325" s="23"/>
      <c r="CG325" s="23"/>
      <c r="CH325" s="23"/>
      <c r="CI325" s="23"/>
      <c r="CJ325" s="23"/>
      <c r="CK325" s="23"/>
      <c r="CL325" s="23"/>
      <c r="CM325" s="23"/>
      <c r="CN325" s="23"/>
      <c r="CO325" s="23"/>
      <c r="CP325" s="23"/>
      <c r="CQ325" s="23"/>
      <c r="CR325" s="23"/>
      <c r="CS325" s="23"/>
      <c r="CT325" s="23"/>
      <c r="CU325" s="23"/>
      <c r="CV325" s="23"/>
      <c r="CW325" s="23"/>
      <c r="CX325" s="23"/>
      <c r="CY325" s="23"/>
      <c r="CZ325" s="23"/>
      <c r="DA325" s="23"/>
      <c r="DB325" s="23"/>
      <c r="DC325" s="23"/>
      <c r="DD325" s="23"/>
      <c r="DE325" s="23"/>
      <c r="DF325" s="23"/>
      <c r="DG325" s="23"/>
      <c r="DH325" s="23"/>
      <c r="DI325" s="23"/>
      <c r="DJ325" s="23"/>
      <c r="DK325" s="23"/>
      <c r="DL325" s="23"/>
      <c r="DM325" s="23"/>
      <c r="DN325" s="23"/>
      <c r="DO325" s="23"/>
      <c r="DP325" s="23"/>
      <c r="DQ325" s="23"/>
      <c r="DR325" s="23"/>
      <c r="DS325" s="23"/>
      <c r="DT325" s="23"/>
      <c r="DU325" s="23"/>
      <c r="DV325" s="23"/>
      <c r="DW325" s="23"/>
      <c r="DX325" s="23"/>
      <c r="DY325" s="23"/>
      <c r="DZ325" s="23"/>
      <c r="EA325" s="23"/>
      <c r="EB325" s="23"/>
      <c r="EC325" s="23"/>
      <c r="ED325" s="23"/>
      <c r="EE325" s="23"/>
      <c r="EF325" s="23"/>
      <c r="EG325" s="23"/>
      <c r="EH325" s="23"/>
      <c r="EI325" s="23"/>
      <c r="EJ325" s="23"/>
      <c r="EK325" s="23"/>
      <c r="EL325" s="23"/>
      <c r="EM325" s="23"/>
      <c r="EN325" s="23"/>
      <c r="EO325" s="23"/>
      <c r="EP325" s="23"/>
      <c r="EQ325" s="23"/>
      <c r="ER325" s="23"/>
      <c r="ES325" s="23"/>
      <c r="ET325" s="23"/>
      <c r="EU325" s="23"/>
      <c r="EV325" s="23"/>
      <c r="EW325" s="23"/>
      <c r="EX325" s="23"/>
      <c r="EY325" s="23"/>
      <c r="EZ325" s="23"/>
      <c r="FA325" s="23"/>
      <c r="FB325" s="23"/>
      <c r="FC325" s="23"/>
      <c r="FD325" s="23"/>
      <c r="FE325" s="23"/>
      <c r="FF325" s="23"/>
      <c r="FG325" s="23"/>
      <c r="FH325" s="23"/>
      <c r="FI325" s="23"/>
      <c r="FJ325" s="23"/>
      <c r="FK325" s="23"/>
      <c r="FL325" s="23"/>
      <c r="FM325" s="23"/>
      <c r="FN325" s="23"/>
      <c r="FO325" s="23"/>
      <c r="FP325" s="23"/>
      <c r="FQ325" s="23"/>
      <c r="FR325" s="23"/>
      <c r="FS325" s="23"/>
      <c r="FT325" s="23"/>
      <c r="FU325" s="23"/>
      <c r="FV325" s="23"/>
      <c r="FW325" s="23"/>
      <c r="FX325" s="23"/>
      <c r="FY325" s="23"/>
      <c r="FZ325" s="23"/>
      <c r="GA325" s="23"/>
      <c r="GB325" s="23"/>
      <c r="GC325" s="23"/>
      <c r="GD325" s="23"/>
      <c r="GE325" s="23"/>
      <c r="GF325" s="23"/>
      <c r="GG325" s="23"/>
      <c r="GH325" s="23"/>
      <c r="GI325" s="23"/>
      <c r="GJ325" s="23"/>
      <c r="GK325" s="23"/>
      <c r="GL325" s="23"/>
    </row>
    <row r="326" spans="1:194" ht="13">
      <c r="A326" s="23"/>
      <c r="B326" s="23"/>
      <c r="C326" s="23"/>
      <c r="D326" s="23"/>
      <c r="E326" s="23"/>
      <c r="F326" s="23"/>
      <c r="G326" s="23"/>
      <c r="H326" s="401"/>
      <c r="I326" s="401"/>
      <c r="J326" s="401"/>
      <c r="K326" s="401"/>
      <c r="L326" s="401"/>
      <c r="M326" s="438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  <c r="BA326" s="23"/>
      <c r="BB326" s="23"/>
      <c r="BC326" s="23"/>
      <c r="BD326" s="23"/>
      <c r="BE326" s="23"/>
      <c r="BF326" s="23"/>
      <c r="BG326" s="23"/>
      <c r="BH326" s="23"/>
      <c r="BI326" s="23"/>
      <c r="BJ326" s="23"/>
      <c r="BK326" s="23"/>
      <c r="BL326" s="23"/>
      <c r="BM326" s="23"/>
      <c r="BN326" s="23"/>
      <c r="BO326" s="23"/>
      <c r="BP326" s="23"/>
      <c r="BQ326" s="23"/>
      <c r="BR326" s="23"/>
      <c r="BS326" s="23"/>
      <c r="BT326" s="23"/>
      <c r="BU326" s="23"/>
      <c r="BV326" s="23"/>
      <c r="BW326" s="23"/>
      <c r="BX326" s="23"/>
      <c r="BY326" s="23"/>
      <c r="BZ326" s="23"/>
      <c r="CA326" s="23"/>
      <c r="CB326" s="23"/>
      <c r="CC326" s="23"/>
      <c r="CD326" s="23"/>
      <c r="CE326" s="23"/>
      <c r="CF326" s="23"/>
      <c r="CG326" s="23"/>
      <c r="CH326" s="23"/>
      <c r="CI326" s="23"/>
      <c r="CJ326" s="23"/>
      <c r="CK326" s="23"/>
      <c r="CL326" s="23"/>
      <c r="CM326" s="23"/>
      <c r="CN326" s="23"/>
      <c r="CO326" s="23"/>
      <c r="CP326" s="23"/>
      <c r="CQ326" s="23"/>
      <c r="CR326" s="23"/>
      <c r="CS326" s="23"/>
      <c r="CT326" s="23"/>
      <c r="CU326" s="23"/>
      <c r="CV326" s="23"/>
      <c r="CW326" s="23"/>
      <c r="CX326" s="23"/>
      <c r="CY326" s="23"/>
      <c r="CZ326" s="23"/>
      <c r="DA326" s="23"/>
      <c r="DB326" s="23"/>
      <c r="DC326" s="23"/>
      <c r="DD326" s="23"/>
      <c r="DE326" s="23"/>
      <c r="DF326" s="23"/>
      <c r="DG326" s="23"/>
      <c r="DH326" s="23"/>
      <c r="DI326" s="23"/>
      <c r="DJ326" s="23"/>
      <c r="DK326" s="23"/>
      <c r="DL326" s="23"/>
      <c r="DM326" s="23"/>
      <c r="DN326" s="23"/>
      <c r="DO326" s="23"/>
      <c r="DP326" s="23"/>
      <c r="DQ326" s="23"/>
      <c r="DR326" s="23"/>
      <c r="DS326" s="23"/>
      <c r="DT326" s="23"/>
      <c r="DU326" s="23"/>
      <c r="DV326" s="23"/>
      <c r="DW326" s="23"/>
      <c r="DX326" s="23"/>
      <c r="DY326" s="23"/>
      <c r="DZ326" s="23"/>
      <c r="EA326" s="23"/>
      <c r="EB326" s="23"/>
      <c r="EC326" s="23"/>
      <c r="ED326" s="23"/>
      <c r="EE326" s="23"/>
      <c r="EF326" s="23"/>
      <c r="EG326" s="23"/>
      <c r="EH326" s="23"/>
      <c r="EI326" s="23"/>
      <c r="EJ326" s="23"/>
      <c r="EK326" s="23"/>
      <c r="EL326" s="23"/>
      <c r="EM326" s="23"/>
      <c r="EN326" s="23"/>
      <c r="EO326" s="23"/>
      <c r="EP326" s="23"/>
      <c r="EQ326" s="23"/>
      <c r="ER326" s="23"/>
      <c r="ES326" s="23"/>
      <c r="ET326" s="23"/>
      <c r="EU326" s="23"/>
      <c r="EV326" s="23"/>
      <c r="EW326" s="23"/>
      <c r="EX326" s="23"/>
      <c r="EY326" s="23"/>
      <c r="EZ326" s="23"/>
      <c r="FA326" s="23"/>
      <c r="FB326" s="23"/>
      <c r="FC326" s="23"/>
      <c r="FD326" s="23"/>
      <c r="FE326" s="23"/>
      <c r="FF326" s="23"/>
      <c r="FG326" s="23"/>
      <c r="FH326" s="23"/>
      <c r="FI326" s="23"/>
      <c r="FJ326" s="23"/>
      <c r="FK326" s="23"/>
      <c r="FL326" s="23"/>
      <c r="FM326" s="23"/>
      <c r="FN326" s="23"/>
      <c r="FO326" s="23"/>
      <c r="FP326" s="23"/>
      <c r="FQ326" s="23"/>
      <c r="FR326" s="23"/>
      <c r="FS326" s="23"/>
      <c r="FT326" s="23"/>
      <c r="FU326" s="23"/>
      <c r="FV326" s="23"/>
      <c r="FW326" s="23"/>
      <c r="FX326" s="23"/>
      <c r="FY326" s="23"/>
      <c r="FZ326" s="23"/>
      <c r="GA326" s="23"/>
      <c r="GB326" s="23"/>
      <c r="GC326" s="23"/>
      <c r="GD326" s="23"/>
      <c r="GE326" s="23"/>
      <c r="GF326" s="23"/>
      <c r="GG326" s="23"/>
      <c r="GH326" s="23"/>
      <c r="GI326" s="23"/>
      <c r="GJ326" s="23"/>
      <c r="GK326" s="23"/>
      <c r="GL326" s="23"/>
    </row>
    <row r="327" spans="1:194" ht="13">
      <c r="A327" s="23"/>
      <c r="B327" s="23"/>
      <c r="C327" s="23"/>
      <c r="D327" s="23"/>
      <c r="E327" s="23"/>
      <c r="F327" s="23"/>
      <c r="G327" s="23"/>
      <c r="H327" s="401"/>
      <c r="I327" s="401"/>
      <c r="J327" s="401"/>
      <c r="K327" s="401"/>
      <c r="L327" s="401"/>
      <c r="M327" s="438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  <c r="BA327" s="23"/>
      <c r="BB327" s="23"/>
      <c r="BC327" s="23"/>
      <c r="BD327" s="23"/>
      <c r="BE327" s="23"/>
      <c r="BF327" s="23"/>
      <c r="BG327" s="23"/>
      <c r="BH327" s="23"/>
      <c r="BI327" s="23"/>
      <c r="BJ327" s="23"/>
      <c r="BK327" s="23"/>
      <c r="BL327" s="23"/>
      <c r="BM327" s="23"/>
      <c r="BN327" s="23"/>
      <c r="BO327" s="23"/>
      <c r="BP327" s="23"/>
      <c r="BQ327" s="23"/>
      <c r="BR327" s="23"/>
      <c r="BS327" s="23"/>
      <c r="BT327" s="23"/>
      <c r="BU327" s="23"/>
      <c r="BV327" s="23"/>
      <c r="BW327" s="23"/>
      <c r="BX327" s="23"/>
      <c r="BY327" s="23"/>
      <c r="BZ327" s="23"/>
      <c r="CA327" s="23"/>
      <c r="CB327" s="23"/>
      <c r="CC327" s="23"/>
      <c r="CD327" s="23"/>
      <c r="CE327" s="23"/>
      <c r="CF327" s="23"/>
      <c r="CG327" s="23"/>
      <c r="CH327" s="23"/>
      <c r="CI327" s="23"/>
      <c r="CJ327" s="23"/>
      <c r="CK327" s="23"/>
      <c r="CL327" s="23"/>
      <c r="CM327" s="23"/>
      <c r="CN327" s="23"/>
      <c r="CO327" s="23"/>
      <c r="CP327" s="23"/>
      <c r="CQ327" s="23"/>
      <c r="CR327" s="23"/>
      <c r="CS327" s="23"/>
      <c r="CT327" s="23"/>
      <c r="CU327" s="23"/>
      <c r="CV327" s="23"/>
      <c r="CW327" s="23"/>
      <c r="CX327" s="23"/>
      <c r="CY327" s="23"/>
      <c r="CZ327" s="23"/>
      <c r="DA327" s="23"/>
      <c r="DB327" s="23"/>
      <c r="DC327" s="23"/>
      <c r="DD327" s="23"/>
      <c r="DE327" s="23"/>
      <c r="DF327" s="23"/>
      <c r="DG327" s="23"/>
      <c r="DH327" s="23"/>
      <c r="DI327" s="23"/>
      <c r="DJ327" s="23"/>
      <c r="DK327" s="23"/>
      <c r="DL327" s="23"/>
      <c r="DM327" s="23"/>
      <c r="DN327" s="23"/>
      <c r="DO327" s="23"/>
      <c r="DP327" s="23"/>
      <c r="DQ327" s="23"/>
      <c r="DR327" s="23"/>
      <c r="DS327" s="23"/>
      <c r="DT327" s="23"/>
      <c r="DU327" s="23"/>
      <c r="DV327" s="23"/>
      <c r="DW327" s="23"/>
      <c r="DX327" s="23"/>
      <c r="DY327" s="23"/>
      <c r="DZ327" s="23"/>
      <c r="EA327" s="23"/>
      <c r="EB327" s="23"/>
      <c r="EC327" s="23"/>
      <c r="ED327" s="23"/>
      <c r="EE327" s="23"/>
      <c r="EF327" s="23"/>
      <c r="EG327" s="23"/>
      <c r="EH327" s="23"/>
      <c r="EI327" s="23"/>
      <c r="EJ327" s="23"/>
      <c r="EK327" s="23"/>
      <c r="EL327" s="23"/>
      <c r="EM327" s="23"/>
      <c r="EN327" s="23"/>
      <c r="EO327" s="23"/>
      <c r="EP327" s="23"/>
      <c r="EQ327" s="23"/>
      <c r="ER327" s="23"/>
      <c r="ES327" s="23"/>
      <c r="ET327" s="23"/>
      <c r="EU327" s="23"/>
      <c r="EV327" s="23"/>
      <c r="EW327" s="23"/>
      <c r="EX327" s="23"/>
      <c r="EY327" s="23"/>
      <c r="EZ327" s="23"/>
      <c r="FA327" s="23"/>
      <c r="FB327" s="23"/>
      <c r="FC327" s="23"/>
      <c r="FD327" s="23"/>
      <c r="FE327" s="23"/>
      <c r="FF327" s="23"/>
      <c r="FG327" s="23"/>
      <c r="FH327" s="23"/>
      <c r="FI327" s="23"/>
      <c r="FJ327" s="23"/>
      <c r="FK327" s="23"/>
      <c r="FL327" s="23"/>
      <c r="FM327" s="23"/>
      <c r="FN327" s="23"/>
      <c r="FO327" s="23"/>
      <c r="FP327" s="23"/>
      <c r="FQ327" s="23"/>
      <c r="FR327" s="23"/>
      <c r="FS327" s="23"/>
      <c r="FT327" s="23"/>
      <c r="FU327" s="23"/>
      <c r="FV327" s="23"/>
      <c r="FW327" s="23"/>
      <c r="FX327" s="23"/>
      <c r="FY327" s="23"/>
      <c r="FZ327" s="23"/>
      <c r="GA327" s="23"/>
      <c r="GB327" s="23"/>
      <c r="GC327" s="23"/>
      <c r="GD327" s="23"/>
      <c r="GE327" s="23"/>
      <c r="GF327" s="23"/>
      <c r="GG327" s="23"/>
      <c r="GH327" s="23"/>
      <c r="GI327" s="23"/>
      <c r="GJ327" s="23"/>
      <c r="GK327" s="23"/>
      <c r="GL327" s="23"/>
    </row>
    <row r="328" spans="1:194" ht="13">
      <c r="A328" s="23"/>
      <c r="B328" s="23"/>
      <c r="C328" s="23"/>
      <c r="D328" s="23"/>
      <c r="E328" s="23"/>
      <c r="F328" s="23"/>
      <c r="G328" s="23"/>
      <c r="H328" s="401"/>
      <c r="I328" s="401"/>
      <c r="J328" s="401"/>
      <c r="K328" s="401"/>
      <c r="L328" s="401"/>
      <c r="M328" s="438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  <c r="BA328" s="23"/>
      <c r="BB328" s="23"/>
      <c r="BC328" s="23"/>
      <c r="BD328" s="23"/>
      <c r="BE328" s="23"/>
      <c r="BF328" s="23"/>
      <c r="BG328" s="23"/>
      <c r="BH328" s="23"/>
      <c r="BI328" s="23"/>
      <c r="BJ328" s="23"/>
      <c r="BK328" s="23"/>
      <c r="BL328" s="23"/>
      <c r="BM328" s="23"/>
      <c r="BN328" s="23"/>
      <c r="BO328" s="23"/>
      <c r="BP328" s="23"/>
      <c r="BQ328" s="23"/>
      <c r="BR328" s="23"/>
      <c r="BS328" s="23"/>
      <c r="BT328" s="23"/>
      <c r="BU328" s="23"/>
      <c r="BV328" s="23"/>
      <c r="BW328" s="23"/>
      <c r="BX328" s="23"/>
      <c r="BY328" s="23"/>
      <c r="BZ328" s="23"/>
      <c r="CA328" s="23"/>
      <c r="CB328" s="23"/>
      <c r="CC328" s="23"/>
      <c r="CD328" s="23"/>
      <c r="CE328" s="23"/>
      <c r="CF328" s="23"/>
      <c r="CG328" s="23"/>
      <c r="CH328" s="23"/>
      <c r="CI328" s="23"/>
      <c r="CJ328" s="23"/>
      <c r="CK328" s="23"/>
      <c r="CL328" s="23"/>
      <c r="CM328" s="23"/>
      <c r="CN328" s="23"/>
      <c r="CO328" s="23"/>
      <c r="CP328" s="23"/>
      <c r="CQ328" s="23"/>
      <c r="CR328" s="23"/>
      <c r="CS328" s="23"/>
      <c r="CT328" s="23"/>
      <c r="CU328" s="23"/>
      <c r="CV328" s="23"/>
      <c r="CW328" s="23"/>
      <c r="CX328" s="23"/>
      <c r="CY328" s="23"/>
      <c r="CZ328" s="23"/>
      <c r="DA328" s="23"/>
      <c r="DB328" s="23"/>
      <c r="DC328" s="23"/>
      <c r="DD328" s="23"/>
      <c r="DE328" s="23"/>
      <c r="DF328" s="23"/>
      <c r="DG328" s="23"/>
      <c r="DH328" s="23"/>
      <c r="DI328" s="23"/>
      <c r="DJ328" s="23"/>
      <c r="DK328" s="23"/>
      <c r="DL328" s="23"/>
      <c r="DM328" s="23"/>
      <c r="DN328" s="23"/>
      <c r="DO328" s="23"/>
      <c r="DP328" s="23"/>
      <c r="DQ328" s="23"/>
      <c r="DR328" s="23"/>
      <c r="DS328" s="23"/>
      <c r="DT328" s="23"/>
      <c r="DU328" s="23"/>
      <c r="DV328" s="23"/>
      <c r="DW328" s="23"/>
      <c r="DX328" s="23"/>
      <c r="DY328" s="23"/>
      <c r="DZ328" s="23"/>
      <c r="EA328" s="23"/>
      <c r="EB328" s="23"/>
      <c r="EC328" s="23"/>
      <c r="ED328" s="23"/>
      <c r="EE328" s="23"/>
      <c r="EF328" s="23"/>
      <c r="EG328" s="23"/>
      <c r="EH328" s="23"/>
      <c r="EI328" s="23"/>
      <c r="EJ328" s="23"/>
      <c r="EK328" s="23"/>
      <c r="EL328" s="23"/>
      <c r="EM328" s="23"/>
      <c r="EN328" s="23"/>
      <c r="EO328" s="23"/>
      <c r="EP328" s="23"/>
      <c r="EQ328" s="23"/>
      <c r="ER328" s="23"/>
      <c r="ES328" s="23"/>
      <c r="ET328" s="23"/>
      <c r="EU328" s="23"/>
      <c r="EV328" s="23"/>
      <c r="EW328" s="23"/>
      <c r="EX328" s="23"/>
      <c r="EY328" s="23"/>
      <c r="EZ328" s="23"/>
      <c r="FA328" s="23"/>
      <c r="FB328" s="23"/>
      <c r="FC328" s="23"/>
      <c r="FD328" s="23"/>
      <c r="FE328" s="23"/>
      <c r="FF328" s="23"/>
      <c r="FG328" s="23"/>
      <c r="FH328" s="23"/>
      <c r="FI328" s="23"/>
      <c r="FJ328" s="23"/>
      <c r="FK328" s="23"/>
      <c r="FL328" s="23"/>
      <c r="FM328" s="23"/>
      <c r="FN328" s="23"/>
      <c r="FO328" s="23"/>
      <c r="FP328" s="23"/>
      <c r="FQ328" s="23"/>
      <c r="FR328" s="23"/>
      <c r="FS328" s="23"/>
      <c r="FT328" s="23"/>
      <c r="FU328" s="23"/>
      <c r="FV328" s="23"/>
      <c r="FW328" s="23"/>
      <c r="FX328" s="23"/>
      <c r="FY328" s="23"/>
      <c r="FZ328" s="23"/>
      <c r="GA328" s="23"/>
      <c r="GB328" s="23"/>
      <c r="GC328" s="23"/>
      <c r="GD328" s="23"/>
      <c r="GE328" s="23"/>
      <c r="GF328" s="23"/>
      <c r="GG328" s="23"/>
      <c r="GH328" s="23"/>
      <c r="GI328" s="23"/>
      <c r="GJ328" s="23"/>
      <c r="GK328" s="23"/>
      <c r="GL328" s="23"/>
    </row>
    <row r="329" spans="1:194" ht="13">
      <c r="A329" s="23"/>
      <c r="B329" s="23"/>
      <c r="C329" s="23"/>
      <c r="D329" s="23"/>
      <c r="E329" s="23"/>
      <c r="F329" s="23"/>
      <c r="G329" s="23"/>
      <c r="H329" s="401"/>
      <c r="I329" s="401"/>
      <c r="J329" s="401"/>
      <c r="K329" s="401"/>
      <c r="L329" s="401"/>
      <c r="M329" s="438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  <c r="BA329" s="23"/>
      <c r="BB329" s="23"/>
      <c r="BC329" s="23"/>
      <c r="BD329" s="23"/>
      <c r="BE329" s="23"/>
      <c r="BF329" s="23"/>
      <c r="BG329" s="23"/>
      <c r="BH329" s="23"/>
      <c r="BI329" s="23"/>
      <c r="BJ329" s="23"/>
      <c r="BK329" s="23"/>
      <c r="BL329" s="23"/>
      <c r="BM329" s="23"/>
      <c r="BN329" s="23"/>
      <c r="BO329" s="23"/>
      <c r="BP329" s="23"/>
      <c r="BQ329" s="23"/>
      <c r="BR329" s="23"/>
      <c r="BS329" s="23"/>
      <c r="BT329" s="23"/>
      <c r="BU329" s="23"/>
      <c r="BV329" s="23"/>
      <c r="BW329" s="23"/>
      <c r="BX329" s="23"/>
      <c r="BY329" s="23"/>
      <c r="BZ329" s="23"/>
      <c r="CA329" s="23"/>
      <c r="CB329" s="23"/>
      <c r="CC329" s="23"/>
      <c r="CD329" s="23"/>
      <c r="CE329" s="23"/>
      <c r="CF329" s="23"/>
      <c r="CG329" s="23"/>
      <c r="CH329" s="23"/>
      <c r="CI329" s="23"/>
      <c r="CJ329" s="23"/>
      <c r="CK329" s="23"/>
      <c r="CL329" s="23"/>
      <c r="CM329" s="23"/>
      <c r="CN329" s="23"/>
      <c r="CO329" s="23"/>
      <c r="CP329" s="23"/>
      <c r="CQ329" s="23"/>
      <c r="CR329" s="23"/>
      <c r="CS329" s="23"/>
      <c r="CT329" s="23"/>
      <c r="CU329" s="23"/>
      <c r="CV329" s="23"/>
      <c r="CW329" s="23"/>
      <c r="CX329" s="23"/>
      <c r="CY329" s="23"/>
      <c r="CZ329" s="23"/>
      <c r="DA329" s="23"/>
      <c r="DB329" s="23"/>
      <c r="DC329" s="23"/>
      <c r="DD329" s="23"/>
      <c r="DE329" s="23"/>
      <c r="DF329" s="23"/>
      <c r="DG329" s="23"/>
      <c r="DH329" s="23"/>
      <c r="DI329" s="23"/>
      <c r="DJ329" s="23"/>
      <c r="DK329" s="23"/>
      <c r="DL329" s="23"/>
      <c r="DM329" s="23"/>
      <c r="DN329" s="23"/>
      <c r="DO329" s="23"/>
      <c r="DP329" s="23"/>
      <c r="DQ329" s="23"/>
      <c r="DR329" s="23"/>
      <c r="DS329" s="23"/>
      <c r="DT329" s="23"/>
      <c r="DU329" s="23"/>
      <c r="DV329" s="23"/>
      <c r="DW329" s="23"/>
      <c r="DX329" s="23"/>
      <c r="DY329" s="23"/>
      <c r="DZ329" s="23"/>
      <c r="EA329" s="23"/>
      <c r="EB329" s="23"/>
      <c r="EC329" s="23"/>
      <c r="ED329" s="23"/>
      <c r="EE329" s="23"/>
      <c r="EF329" s="23"/>
      <c r="EG329" s="23"/>
      <c r="EH329" s="23"/>
      <c r="EI329" s="23"/>
      <c r="EJ329" s="23"/>
      <c r="EK329" s="23"/>
      <c r="EL329" s="23"/>
      <c r="EM329" s="23"/>
      <c r="EN329" s="23"/>
      <c r="EO329" s="23"/>
      <c r="EP329" s="23"/>
      <c r="EQ329" s="23"/>
      <c r="ER329" s="23"/>
      <c r="ES329" s="23"/>
      <c r="ET329" s="23"/>
      <c r="EU329" s="23"/>
      <c r="EV329" s="23"/>
      <c r="EW329" s="23"/>
      <c r="EX329" s="23"/>
      <c r="EY329" s="23"/>
      <c r="EZ329" s="23"/>
      <c r="FA329" s="23"/>
      <c r="FB329" s="23"/>
      <c r="FC329" s="23"/>
      <c r="FD329" s="23"/>
      <c r="FE329" s="23"/>
      <c r="FF329" s="23"/>
      <c r="FG329" s="23"/>
      <c r="FH329" s="23"/>
      <c r="FI329" s="23"/>
      <c r="FJ329" s="23"/>
      <c r="FK329" s="23"/>
      <c r="FL329" s="23"/>
      <c r="FM329" s="23"/>
      <c r="FN329" s="23"/>
      <c r="FO329" s="23"/>
      <c r="FP329" s="23"/>
      <c r="FQ329" s="23"/>
      <c r="FR329" s="23"/>
      <c r="FS329" s="23"/>
      <c r="FT329" s="23"/>
      <c r="FU329" s="23"/>
      <c r="FV329" s="23"/>
      <c r="FW329" s="23"/>
      <c r="FX329" s="23"/>
      <c r="FY329" s="23"/>
      <c r="FZ329" s="23"/>
      <c r="GA329" s="23"/>
      <c r="GB329" s="23"/>
      <c r="GC329" s="23"/>
      <c r="GD329" s="23"/>
      <c r="GE329" s="23"/>
      <c r="GF329" s="23"/>
      <c r="GG329" s="23"/>
      <c r="GH329" s="23"/>
      <c r="GI329" s="23"/>
      <c r="GJ329" s="23"/>
      <c r="GK329" s="23"/>
      <c r="GL329" s="23"/>
    </row>
    <row r="330" spans="1:194" ht="13">
      <c r="A330" s="23"/>
      <c r="B330" s="23"/>
      <c r="C330" s="23"/>
      <c r="D330" s="23"/>
      <c r="E330" s="23"/>
      <c r="F330" s="23"/>
      <c r="G330" s="23"/>
      <c r="H330" s="401"/>
      <c r="I330" s="401"/>
      <c r="J330" s="401"/>
      <c r="K330" s="401"/>
      <c r="L330" s="401"/>
      <c r="M330" s="438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3"/>
      <c r="AX330" s="23"/>
      <c r="AY330" s="23"/>
      <c r="AZ330" s="23"/>
      <c r="BA330" s="23"/>
      <c r="BB330" s="23"/>
      <c r="BC330" s="23"/>
      <c r="BD330" s="23"/>
      <c r="BE330" s="23"/>
      <c r="BF330" s="23"/>
      <c r="BG330" s="23"/>
      <c r="BH330" s="23"/>
      <c r="BI330" s="23"/>
      <c r="BJ330" s="23"/>
      <c r="BK330" s="23"/>
      <c r="BL330" s="23"/>
      <c r="BM330" s="23"/>
      <c r="BN330" s="23"/>
      <c r="BO330" s="23"/>
      <c r="BP330" s="23"/>
      <c r="BQ330" s="23"/>
      <c r="BR330" s="23"/>
      <c r="BS330" s="23"/>
      <c r="BT330" s="23"/>
      <c r="BU330" s="23"/>
      <c r="BV330" s="23"/>
      <c r="BW330" s="23"/>
      <c r="BX330" s="23"/>
      <c r="BY330" s="23"/>
      <c r="BZ330" s="23"/>
      <c r="CA330" s="23"/>
      <c r="CB330" s="23"/>
      <c r="CC330" s="23"/>
      <c r="CD330" s="23"/>
      <c r="CE330" s="23"/>
      <c r="CF330" s="23"/>
      <c r="CG330" s="23"/>
      <c r="CH330" s="23"/>
      <c r="CI330" s="23"/>
      <c r="CJ330" s="23"/>
      <c r="CK330" s="23"/>
      <c r="CL330" s="23"/>
      <c r="CM330" s="23"/>
      <c r="CN330" s="23"/>
      <c r="CO330" s="23"/>
      <c r="CP330" s="23"/>
      <c r="CQ330" s="23"/>
      <c r="CR330" s="23"/>
      <c r="CS330" s="23"/>
      <c r="CT330" s="23"/>
      <c r="CU330" s="23"/>
      <c r="CV330" s="23"/>
      <c r="CW330" s="23"/>
      <c r="CX330" s="23"/>
      <c r="CY330" s="23"/>
      <c r="CZ330" s="23"/>
      <c r="DA330" s="23"/>
      <c r="DB330" s="23"/>
      <c r="DC330" s="23"/>
      <c r="DD330" s="23"/>
      <c r="DE330" s="23"/>
      <c r="DF330" s="23"/>
      <c r="DG330" s="23"/>
      <c r="DH330" s="23"/>
      <c r="DI330" s="23"/>
      <c r="DJ330" s="23"/>
      <c r="DK330" s="23"/>
      <c r="DL330" s="23"/>
      <c r="DM330" s="23"/>
      <c r="DN330" s="23"/>
      <c r="DO330" s="23"/>
      <c r="DP330" s="23"/>
      <c r="DQ330" s="23"/>
      <c r="DR330" s="23"/>
      <c r="DS330" s="23"/>
      <c r="DT330" s="23"/>
      <c r="DU330" s="23"/>
      <c r="DV330" s="23"/>
      <c r="DW330" s="23"/>
      <c r="DX330" s="23"/>
      <c r="DY330" s="23"/>
      <c r="DZ330" s="23"/>
      <c r="EA330" s="23"/>
      <c r="EB330" s="23"/>
      <c r="EC330" s="23"/>
      <c r="ED330" s="23"/>
      <c r="EE330" s="23"/>
      <c r="EF330" s="23"/>
      <c r="EG330" s="23"/>
      <c r="EH330" s="23"/>
      <c r="EI330" s="23"/>
      <c r="EJ330" s="23"/>
      <c r="EK330" s="23"/>
      <c r="EL330" s="23"/>
      <c r="EM330" s="23"/>
      <c r="EN330" s="23"/>
      <c r="EO330" s="23"/>
      <c r="EP330" s="23"/>
      <c r="EQ330" s="23"/>
      <c r="ER330" s="23"/>
      <c r="ES330" s="23"/>
      <c r="ET330" s="23"/>
      <c r="EU330" s="23"/>
      <c r="EV330" s="23"/>
      <c r="EW330" s="23"/>
      <c r="EX330" s="23"/>
      <c r="EY330" s="23"/>
      <c r="EZ330" s="23"/>
      <c r="FA330" s="23"/>
      <c r="FB330" s="23"/>
      <c r="FC330" s="23"/>
      <c r="FD330" s="23"/>
      <c r="FE330" s="23"/>
      <c r="FF330" s="23"/>
      <c r="FG330" s="23"/>
      <c r="FH330" s="23"/>
      <c r="FI330" s="23"/>
      <c r="FJ330" s="23"/>
      <c r="FK330" s="23"/>
      <c r="FL330" s="23"/>
      <c r="FM330" s="23"/>
      <c r="FN330" s="23"/>
      <c r="FO330" s="23"/>
      <c r="FP330" s="23"/>
      <c r="FQ330" s="23"/>
      <c r="FR330" s="23"/>
      <c r="FS330" s="23"/>
      <c r="FT330" s="23"/>
      <c r="FU330" s="23"/>
      <c r="FV330" s="23"/>
      <c r="FW330" s="23"/>
      <c r="FX330" s="23"/>
      <c r="FY330" s="23"/>
      <c r="FZ330" s="23"/>
      <c r="GA330" s="23"/>
      <c r="GB330" s="23"/>
      <c r="GC330" s="23"/>
      <c r="GD330" s="23"/>
      <c r="GE330" s="23"/>
      <c r="GF330" s="23"/>
      <c r="GG330" s="23"/>
      <c r="GH330" s="23"/>
      <c r="GI330" s="23"/>
      <c r="GJ330" s="23"/>
      <c r="GK330" s="23"/>
      <c r="GL330" s="23"/>
    </row>
    <row r="331" spans="1:194" ht="13">
      <c r="A331" s="23"/>
      <c r="B331" s="23"/>
      <c r="C331" s="23"/>
      <c r="D331" s="23"/>
      <c r="E331" s="23"/>
      <c r="F331" s="23"/>
      <c r="G331" s="23"/>
      <c r="H331" s="401"/>
      <c r="I331" s="401"/>
      <c r="J331" s="401"/>
      <c r="K331" s="401"/>
      <c r="L331" s="401"/>
      <c r="M331" s="438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23"/>
      <c r="BD331" s="23"/>
      <c r="BE331" s="23"/>
      <c r="BF331" s="23"/>
      <c r="BG331" s="23"/>
      <c r="BH331" s="23"/>
      <c r="BI331" s="23"/>
      <c r="BJ331" s="23"/>
      <c r="BK331" s="23"/>
      <c r="BL331" s="23"/>
      <c r="BM331" s="23"/>
      <c r="BN331" s="23"/>
      <c r="BO331" s="23"/>
      <c r="BP331" s="23"/>
      <c r="BQ331" s="23"/>
      <c r="BR331" s="23"/>
      <c r="BS331" s="23"/>
      <c r="BT331" s="23"/>
      <c r="BU331" s="23"/>
      <c r="BV331" s="23"/>
      <c r="BW331" s="23"/>
      <c r="BX331" s="23"/>
      <c r="BY331" s="23"/>
      <c r="BZ331" s="23"/>
      <c r="CA331" s="23"/>
      <c r="CB331" s="23"/>
      <c r="CC331" s="23"/>
      <c r="CD331" s="23"/>
      <c r="CE331" s="23"/>
      <c r="CF331" s="23"/>
      <c r="CG331" s="23"/>
      <c r="CH331" s="23"/>
      <c r="CI331" s="23"/>
      <c r="CJ331" s="23"/>
      <c r="CK331" s="23"/>
      <c r="CL331" s="23"/>
      <c r="CM331" s="23"/>
      <c r="CN331" s="23"/>
      <c r="CO331" s="23"/>
      <c r="CP331" s="23"/>
      <c r="CQ331" s="23"/>
      <c r="CR331" s="23"/>
      <c r="CS331" s="23"/>
      <c r="CT331" s="23"/>
      <c r="CU331" s="23"/>
      <c r="CV331" s="23"/>
      <c r="CW331" s="23"/>
      <c r="CX331" s="23"/>
      <c r="CY331" s="23"/>
      <c r="CZ331" s="23"/>
      <c r="DA331" s="23"/>
      <c r="DB331" s="23"/>
      <c r="DC331" s="23"/>
      <c r="DD331" s="23"/>
      <c r="DE331" s="23"/>
      <c r="DF331" s="23"/>
      <c r="DG331" s="23"/>
      <c r="DH331" s="23"/>
      <c r="DI331" s="23"/>
      <c r="DJ331" s="23"/>
      <c r="DK331" s="23"/>
      <c r="DL331" s="23"/>
      <c r="DM331" s="23"/>
      <c r="DN331" s="23"/>
      <c r="DO331" s="23"/>
      <c r="DP331" s="23"/>
      <c r="DQ331" s="23"/>
      <c r="DR331" s="23"/>
      <c r="DS331" s="23"/>
      <c r="DT331" s="23"/>
      <c r="DU331" s="23"/>
      <c r="DV331" s="23"/>
      <c r="DW331" s="23"/>
      <c r="DX331" s="23"/>
      <c r="DY331" s="23"/>
      <c r="DZ331" s="23"/>
      <c r="EA331" s="23"/>
      <c r="EB331" s="23"/>
      <c r="EC331" s="23"/>
      <c r="ED331" s="23"/>
      <c r="EE331" s="23"/>
      <c r="EF331" s="23"/>
      <c r="EG331" s="23"/>
      <c r="EH331" s="23"/>
      <c r="EI331" s="23"/>
      <c r="EJ331" s="23"/>
      <c r="EK331" s="23"/>
      <c r="EL331" s="23"/>
      <c r="EM331" s="23"/>
      <c r="EN331" s="23"/>
      <c r="EO331" s="23"/>
      <c r="EP331" s="23"/>
      <c r="EQ331" s="23"/>
      <c r="ER331" s="23"/>
      <c r="ES331" s="23"/>
      <c r="ET331" s="23"/>
      <c r="EU331" s="23"/>
      <c r="EV331" s="23"/>
      <c r="EW331" s="23"/>
      <c r="EX331" s="23"/>
      <c r="EY331" s="23"/>
      <c r="EZ331" s="23"/>
      <c r="FA331" s="23"/>
      <c r="FB331" s="23"/>
      <c r="FC331" s="23"/>
      <c r="FD331" s="23"/>
      <c r="FE331" s="23"/>
      <c r="FF331" s="23"/>
      <c r="FG331" s="23"/>
      <c r="FH331" s="23"/>
      <c r="FI331" s="23"/>
      <c r="FJ331" s="23"/>
      <c r="FK331" s="23"/>
      <c r="FL331" s="23"/>
      <c r="FM331" s="23"/>
      <c r="FN331" s="23"/>
      <c r="FO331" s="23"/>
      <c r="FP331" s="23"/>
      <c r="FQ331" s="23"/>
      <c r="FR331" s="23"/>
      <c r="FS331" s="23"/>
      <c r="FT331" s="23"/>
      <c r="FU331" s="23"/>
      <c r="FV331" s="23"/>
      <c r="FW331" s="23"/>
      <c r="FX331" s="23"/>
      <c r="FY331" s="23"/>
      <c r="FZ331" s="23"/>
      <c r="GA331" s="23"/>
      <c r="GB331" s="23"/>
      <c r="GC331" s="23"/>
      <c r="GD331" s="23"/>
      <c r="GE331" s="23"/>
      <c r="GF331" s="23"/>
      <c r="GG331" s="23"/>
      <c r="GH331" s="23"/>
      <c r="GI331" s="23"/>
      <c r="GJ331" s="23"/>
      <c r="GK331" s="23"/>
      <c r="GL331" s="23"/>
    </row>
    <row r="332" spans="1:194" ht="13">
      <c r="A332" s="23"/>
      <c r="B332" s="23"/>
      <c r="C332" s="23"/>
      <c r="D332" s="23"/>
      <c r="E332" s="23"/>
      <c r="F332" s="23"/>
      <c r="G332" s="23"/>
      <c r="H332" s="401"/>
      <c r="I332" s="401"/>
      <c r="J332" s="401"/>
      <c r="K332" s="401"/>
      <c r="L332" s="401"/>
      <c r="M332" s="438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23"/>
      <c r="BD332" s="23"/>
      <c r="BE332" s="23"/>
      <c r="BF332" s="23"/>
      <c r="BG332" s="23"/>
      <c r="BH332" s="23"/>
      <c r="BI332" s="23"/>
      <c r="BJ332" s="23"/>
      <c r="BK332" s="23"/>
      <c r="BL332" s="23"/>
      <c r="BM332" s="23"/>
      <c r="BN332" s="23"/>
      <c r="BO332" s="23"/>
      <c r="BP332" s="23"/>
      <c r="BQ332" s="23"/>
      <c r="BR332" s="23"/>
      <c r="BS332" s="23"/>
      <c r="BT332" s="23"/>
      <c r="BU332" s="23"/>
      <c r="BV332" s="23"/>
      <c r="BW332" s="23"/>
      <c r="BX332" s="23"/>
      <c r="BY332" s="23"/>
      <c r="BZ332" s="23"/>
      <c r="CA332" s="23"/>
      <c r="CB332" s="23"/>
      <c r="CC332" s="23"/>
      <c r="CD332" s="23"/>
      <c r="CE332" s="23"/>
      <c r="CF332" s="23"/>
      <c r="CG332" s="23"/>
      <c r="CH332" s="23"/>
      <c r="CI332" s="23"/>
      <c r="CJ332" s="23"/>
      <c r="CK332" s="23"/>
      <c r="CL332" s="23"/>
      <c r="CM332" s="23"/>
      <c r="CN332" s="23"/>
      <c r="CO332" s="23"/>
      <c r="CP332" s="23"/>
      <c r="CQ332" s="23"/>
      <c r="CR332" s="23"/>
      <c r="CS332" s="23"/>
      <c r="CT332" s="23"/>
      <c r="CU332" s="23"/>
      <c r="CV332" s="23"/>
      <c r="CW332" s="23"/>
      <c r="CX332" s="23"/>
      <c r="CY332" s="23"/>
      <c r="CZ332" s="23"/>
      <c r="DA332" s="23"/>
      <c r="DB332" s="23"/>
      <c r="DC332" s="23"/>
      <c r="DD332" s="23"/>
      <c r="DE332" s="23"/>
      <c r="DF332" s="23"/>
      <c r="DG332" s="23"/>
      <c r="DH332" s="23"/>
      <c r="DI332" s="23"/>
      <c r="DJ332" s="23"/>
      <c r="DK332" s="23"/>
      <c r="DL332" s="23"/>
      <c r="DM332" s="23"/>
      <c r="DN332" s="23"/>
      <c r="DO332" s="23"/>
      <c r="DP332" s="23"/>
      <c r="DQ332" s="23"/>
      <c r="DR332" s="23"/>
      <c r="DS332" s="23"/>
      <c r="DT332" s="23"/>
      <c r="DU332" s="23"/>
      <c r="DV332" s="23"/>
      <c r="DW332" s="23"/>
      <c r="DX332" s="23"/>
      <c r="DY332" s="23"/>
      <c r="DZ332" s="23"/>
      <c r="EA332" s="23"/>
      <c r="EB332" s="23"/>
      <c r="EC332" s="23"/>
      <c r="ED332" s="23"/>
      <c r="EE332" s="23"/>
      <c r="EF332" s="23"/>
      <c r="EG332" s="23"/>
      <c r="EH332" s="23"/>
      <c r="EI332" s="23"/>
      <c r="EJ332" s="23"/>
      <c r="EK332" s="23"/>
      <c r="EL332" s="23"/>
      <c r="EM332" s="23"/>
      <c r="EN332" s="23"/>
      <c r="EO332" s="23"/>
      <c r="EP332" s="23"/>
      <c r="EQ332" s="23"/>
      <c r="ER332" s="23"/>
      <c r="ES332" s="23"/>
      <c r="ET332" s="23"/>
      <c r="EU332" s="23"/>
      <c r="EV332" s="23"/>
      <c r="EW332" s="23"/>
      <c r="EX332" s="23"/>
      <c r="EY332" s="23"/>
      <c r="EZ332" s="23"/>
      <c r="FA332" s="23"/>
      <c r="FB332" s="23"/>
      <c r="FC332" s="23"/>
      <c r="FD332" s="23"/>
      <c r="FE332" s="23"/>
      <c r="FF332" s="23"/>
      <c r="FG332" s="23"/>
      <c r="FH332" s="23"/>
      <c r="FI332" s="23"/>
      <c r="FJ332" s="23"/>
      <c r="FK332" s="23"/>
      <c r="FL332" s="23"/>
      <c r="FM332" s="23"/>
      <c r="FN332" s="23"/>
      <c r="FO332" s="23"/>
      <c r="FP332" s="23"/>
      <c r="FQ332" s="23"/>
      <c r="FR332" s="23"/>
      <c r="FS332" s="23"/>
      <c r="FT332" s="23"/>
      <c r="FU332" s="23"/>
      <c r="FV332" s="23"/>
      <c r="FW332" s="23"/>
      <c r="FX332" s="23"/>
      <c r="FY332" s="23"/>
      <c r="FZ332" s="23"/>
      <c r="GA332" s="23"/>
      <c r="GB332" s="23"/>
      <c r="GC332" s="23"/>
      <c r="GD332" s="23"/>
      <c r="GE332" s="23"/>
      <c r="GF332" s="23"/>
      <c r="GG332" s="23"/>
      <c r="GH332" s="23"/>
      <c r="GI332" s="23"/>
      <c r="GJ332" s="23"/>
      <c r="GK332" s="23"/>
      <c r="GL332" s="23"/>
    </row>
    <row r="333" spans="1:194" ht="13">
      <c r="A333" s="23"/>
      <c r="B333" s="23"/>
      <c r="C333" s="23"/>
      <c r="D333" s="23"/>
      <c r="E333" s="23"/>
      <c r="F333" s="23"/>
      <c r="G333" s="23"/>
      <c r="H333" s="401"/>
      <c r="I333" s="401"/>
      <c r="J333" s="401"/>
      <c r="K333" s="401"/>
      <c r="L333" s="401"/>
      <c r="M333" s="438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23"/>
      <c r="BD333" s="23"/>
      <c r="BE333" s="23"/>
      <c r="BF333" s="23"/>
      <c r="BG333" s="23"/>
      <c r="BH333" s="23"/>
      <c r="BI333" s="23"/>
      <c r="BJ333" s="23"/>
      <c r="BK333" s="23"/>
      <c r="BL333" s="23"/>
      <c r="BM333" s="23"/>
      <c r="BN333" s="23"/>
      <c r="BO333" s="23"/>
      <c r="BP333" s="23"/>
      <c r="BQ333" s="23"/>
      <c r="BR333" s="23"/>
      <c r="BS333" s="23"/>
      <c r="BT333" s="23"/>
      <c r="BU333" s="23"/>
      <c r="BV333" s="23"/>
      <c r="BW333" s="23"/>
      <c r="BX333" s="23"/>
      <c r="BY333" s="23"/>
      <c r="BZ333" s="23"/>
      <c r="CA333" s="23"/>
      <c r="CB333" s="23"/>
      <c r="CC333" s="23"/>
      <c r="CD333" s="23"/>
      <c r="CE333" s="23"/>
      <c r="CF333" s="23"/>
      <c r="CG333" s="23"/>
      <c r="CH333" s="23"/>
      <c r="CI333" s="23"/>
      <c r="CJ333" s="23"/>
      <c r="CK333" s="23"/>
      <c r="CL333" s="23"/>
      <c r="CM333" s="23"/>
      <c r="CN333" s="23"/>
      <c r="CO333" s="23"/>
      <c r="CP333" s="23"/>
      <c r="CQ333" s="23"/>
      <c r="CR333" s="23"/>
      <c r="CS333" s="23"/>
      <c r="CT333" s="23"/>
      <c r="CU333" s="23"/>
      <c r="CV333" s="23"/>
      <c r="CW333" s="23"/>
      <c r="CX333" s="23"/>
      <c r="CY333" s="23"/>
      <c r="CZ333" s="23"/>
      <c r="DA333" s="23"/>
      <c r="DB333" s="23"/>
      <c r="DC333" s="23"/>
      <c r="DD333" s="23"/>
      <c r="DE333" s="23"/>
      <c r="DF333" s="23"/>
      <c r="DG333" s="23"/>
      <c r="DH333" s="23"/>
      <c r="DI333" s="23"/>
      <c r="DJ333" s="23"/>
      <c r="DK333" s="23"/>
      <c r="DL333" s="23"/>
      <c r="DM333" s="23"/>
      <c r="DN333" s="23"/>
      <c r="DO333" s="23"/>
      <c r="DP333" s="23"/>
      <c r="DQ333" s="23"/>
      <c r="DR333" s="23"/>
      <c r="DS333" s="23"/>
      <c r="DT333" s="23"/>
      <c r="DU333" s="23"/>
      <c r="DV333" s="23"/>
      <c r="DW333" s="23"/>
      <c r="DX333" s="23"/>
      <c r="DY333" s="23"/>
      <c r="DZ333" s="23"/>
      <c r="EA333" s="23"/>
      <c r="EB333" s="23"/>
      <c r="EC333" s="23"/>
      <c r="ED333" s="23"/>
      <c r="EE333" s="23"/>
      <c r="EF333" s="23"/>
      <c r="EG333" s="23"/>
      <c r="EH333" s="23"/>
      <c r="EI333" s="23"/>
      <c r="EJ333" s="23"/>
      <c r="EK333" s="23"/>
      <c r="EL333" s="23"/>
      <c r="EM333" s="23"/>
      <c r="EN333" s="23"/>
      <c r="EO333" s="23"/>
      <c r="EP333" s="23"/>
      <c r="EQ333" s="23"/>
      <c r="ER333" s="23"/>
      <c r="ES333" s="23"/>
      <c r="ET333" s="23"/>
      <c r="EU333" s="23"/>
      <c r="EV333" s="23"/>
      <c r="EW333" s="23"/>
      <c r="EX333" s="23"/>
      <c r="EY333" s="23"/>
      <c r="EZ333" s="23"/>
      <c r="FA333" s="23"/>
      <c r="FB333" s="23"/>
      <c r="FC333" s="23"/>
      <c r="FD333" s="23"/>
      <c r="FE333" s="23"/>
      <c r="FF333" s="23"/>
      <c r="FG333" s="23"/>
      <c r="FH333" s="23"/>
      <c r="FI333" s="23"/>
      <c r="FJ333" s="23"/>
      <c r="FK333" s="23"/>
      <c r="FL333" s="23"/>
      <c r="FM333" s="23"/>
      <c r="FN333" s="23"/>
      <c r="FO333" s="23"/>
      <c r="FP333" s="23"/>
      <c r="FQ333" s="23"/>
      <c r="FR333" s="23"/>
      <c r="FS333" s="23"/>
      <c r="FT333" s="23"/>
      <c r="FU333" s="23"/>
      <c r="FV333" s="23"/>
      <c r="FW333" s="23"/>
      <c r="FX333" s="23"/>
      <c r="FY333" s="23"/>
      <c r="FZ333" s="23"/>
      <c r="GA333" s="23"/>
      <c r="GB333" s="23"/>
      <c r="GC333" s="23"/>
      <c r="GD333" s="23"/>
      <c r="GE333" s="23"/>
      <c r="GF333" s="23"/>
      <c r="GG333" s="23"/>
      <c r="GH333" s="23"/>
      <c r="GI333" s="23"/>
      <c r="GJ333" s="23"/>
      <c r="GK333" s="23"/>
      <c r="GL333" s="23"/>
    </row>
    <row r="334" spans="1:194" ht="13">
      <c r="A334" s="23"/>
      <c r="B334" s="23"/>
      <c r="C334" s="23"/>
      <c r="D334" s="23"/>
      <c r="E334" s="23"/>
      <c r="F334" s="23"/>
      <c r="G334" s="23"/>
      <c r="H334" s="401"/>
      <c r="I334" s="401"/>
      <c r="J334" s="401"/>
      <c r="K334" s="401"/>
      <c r="L334" s="401"/>
      <c r="M334" s="438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23"/>
      <c r="BD334" s="23"/>
      <c r="BE334" s="23"/>
      <c r="BF334" s="23"/>
      <c r="BG334" s="23"/>
      <c r="BH334" s="23"/>
      <c r="BI334" s="23"/>
      <c r="BJ334" s="23"/>
      <c r="BK334" s="23"/>
      <c r="BL334" s="23"/>
      <c r="BM334" s="23"/>
      <c r="BN334" s="23"/>
      <c r="BO334" s="23"/>
      <c r="BP334" s="23"/>
      <c r="BQ334" s="23"/>
      <c r="BR334" s="23"/>
      <c r="BS334" s="23"/>
      <c r="BT334" s="23"/>
      <c r="BU334" s="23"/>
      <c r="BV334" s="23"/>
      <c r="BW334" s="23"/>
      <c r="BX334" s="23"/>
      <c r="BY334" s="23"/>
      <c r="BZ334" s="23"/>
      <c r="CA334" s="23"/>
      <c r="CB334" s="23"/>
      <c r="CC334" s="23"/>
      <c r="CD334" s="23"/>
      <c r="CE334" s="23"/>
      <c r="CF334" s="23"/>
      <c r="CG334" s="23"/>
      <c r="CH334" s="23"/>
      <c r="CI334" s="23"/>
      <c r="CJ334" s="23"/>
      <c r="CK334" s="23"/>
      <c r="CL334" s="23"/>
      <c r="CM334" s="23"/>
      <c r="CN334" s="23"/>
      <c r="CO334" s="23"/>
      <c r="CP334" s="23"/>
      <c r="CQ334" s="23"/>
      <c r="CR334" s="23"/>
      <c r="CS334" s="23"/>
      <c r="CT334" s="23"/>
      <c r="CU334" s="23"/>
      <c r="CV334" s="23"/>
      <c r="CW334" s="23"/>
      <c r="CX334" s="23"/>
      <c r="CY334" s="23"/>
      <c r="CZ334" s="23"/>
      <c r="DA334" s="23"/>
      <c r="DB334" s="23"/>
      <c r="DC334" s="23"/>
      <c r="DD334" s="23"/>
      <c r="DE334" s="23"/>
      <c r="DF334" s="23"/>
      <c r="DG334" s="23"/>
      <c r="DH334" s="23"/>
      <c r="DI334" s="23"/>
      <c r="DJ334" s="23"/>
      <c r="DK334" s="23"/>
      <c r="DL334" s="23"/>
      <c r="DM334" s="23"/>
      <c r="DN334" s="23"/>
      <c r="DO334" s="23"/>
      <c r="DP334" s="23"/>
      <c r="DQ334" s="23"/>
      <c r="DR334" s="23"/>
      <c r="DS334" s="23"/>
      <c r="DT334" s="23"/>
      <c r="DU334" s="23"/>
      <c r="DV334" s="23"/>
      <c r="DW334" s="23"/>
      <c r="DX334" s="23"/>
      <c r="DY334" s="23"/>
      <c r="DZ334" s="23"/>
      <c r="EA334" s="23"/>
      <c r="EB334" s="23"/>
      <c r="EC334" s="23"/>
      <c r="ED334" s="23"/>
      <c r="EE334" s="23"/>
      <c r="EF334" s="23"/>
      <c r="EG334" s="23"/>
      <c r="EH334" s="23"/>
      <c r="EI334" s="23"/>
      <c r="EJ334" s="23"/>
      <c r="EK334" s="23"/>
      <c r="EL334" s="23"/>
      <c r="EM334" s="23"/>
      <c r="EN334" s="23"/>
      <c r="EO334" s="23"/>
      <c r="EP334" s="23"/>
      <c r="EQ334" s="23"/>
      <c r="ER334" s="23"/>
      <c r="ES334" s="23"/>
      <c r="ET334" s="23"/>
      <c r="EU334" s="23"/>
      <c r="EV334" s="23"/>
      <c r="EW334" s="23"/>
      <c r="EX334" s="23"/>
      <c r="EY334" s="23"/>
      <c r="EZ334" s="23"/>
      <c r="FA334" s="23"/>
      <c r="FB334" s="23"/>
      <c r="FC334" s="23"/>
      <c r="FD334" s="23"/>
      <c r="FE334" s="23"/>
      <c r="FF334" s="23"/>
      <c r="FG334" s="23"/>
      <c r="FH334" s="23"/>
      <c r="FI334" s="23"/>
      <c r="FJ334" s="23"/>
      <c r="FK334" s="23"/>
      <c r="FL334" s="23"/>
      <c r="FM334" s="23"/>
      <c r="FN334" s="23"/>
      <c r="FO334" s="23"/>
      <c r="FP334" s="23"/>
      <c r="FQ334" s="23"/>
      <c r="FR334" s="23"/>
      <c r="FS334" s="23"/>
      <c r="FT334" s="23"/>
      <c r="FU334" s="23"/>
      <c r="FV334" s="23"/>
      <c r="FW334" s="23"/>
      <c r="FX334" s="23"/>
      <c r="FY334" s="23"/>
      <c r="FZ334" s="23"/>
      <c r="GA334" s="23"/>
      <c r="GB334" s="23"/>
      <c r="GC334" s="23"/>
      <c r="GD334" s="23"/>
      <c r="GE334" s="23"/>
      <c r="GF334" s="23"/>
      <c r="GG334" s="23"/>
      <c r="GH334" s="23"/>
      <c r="GI334" s="23"/>
      <c r="GJ334" s="23"/>
      <c r="GK334" s="23"/>
      <c r="GL334" s="23"/>
    </row>
    <row r="335" spans="1:194" ht="13">
      <c r="A335" s="23"/>
      <c r="B335" s="23"/>
      <c r="C335" s="23"/>
      <c r="D335" s="23"/>
      <c r="E335" s="23"/>
      <c r="F335" s="23"/>
      <c r="G335" s="23"/>
      <c r="H335" s="401"/>
      <c r="I335" s="401"/>
      <c r="J335" s="401"/>
      <c r="K335" s="401"/>
      <c r="L335" s="401"/>
      <c r="M335" s="438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  <c r="BA335" s="23"/>
      <c r="BB335" s="23"/>
      <c r="BC335" s="23"/>
      <c r="BD335" s="23"/>
      <c r="BE335" s="23"/>
      <c r="BF335" s="23"/>
      <c r="BG335" s="23"/>
      <c r="BH335" s="23"/>
      <c r="BI335" s="23"/>
      <c r="BJ335" s="23"/>
      <c r="BK335" s="23"/>
      <c r="BL335" s="23"/>
      <c r="BM335" s="23"/>
      <c r="BN335" s="23"/>
      <c r="BO335" s="23"/>
      <c r="BP335" s="23"/>
      <c r="BQ335" s="23"/>
      <c r="BR335" s="23"/>
      <c r="BS335" s="23"/>
      <c r="BT335" s="23"/>
      <c r="BU335" s="23"/>
      <c r="BV335" s="23"/>
      <c r="BW335" s="23"/>
      <c r="BX335" s="23"/>
      <c r="BY335" s="23"/>
      <c r="BZ335" s="23"/>
      <c r="CA335" s="23"/>
      <c r="CB335" s="23"/>
      <c r="CC335" s="23"/>
      <c r="CD335" s="23"/>
      <c r="CE335" s="23"/>
      <c r="CF335" s="23"/>
      <c r="CG335" s="23"/>
      <c r="CH335" s="23"/>
      <c r="CI335" s="23"/>
      <c r="CJ335" s="23"/>
      <c r="CK335" s="23"/>
      <c r="CL335" s="23"/>
      <c r="CM335" s="23"/>
      <c r="CN335" s="23"/>
      <c r="CO335" s="23"/>
      <c r="CP335" s="23"/>
      <c r="CQ335" s="23"/>
      <c r="CR335" s="23"/>
      <c r="CS335" s="23"/>
      <c r="CT335" s="23"/>
      <c r="CU335" s="23"/>
      <c r="CV335" s="23"/>
      <c r="CW335" s="23"/>
      <c r="CX335" s="23"/>
      <c r="CY335" s="23"/>
      <c r="CZ335" s="23"/>
      <c r="DA335" s="23"/>
      <c r="DB335" s="23"/>
      <c r="DC335" s="23"/>
      <c r="DD335" s="23"/>
      <c r="DE335" s="23"/>
      <c r="DF335" s="23"/>
      <c r="DG335" s="23"/>
      <c r="DH335" s="23"/>
      <c r="DI335" s="23"/>
      <c r="DJ335" s="23"/>
      <c r="DK335" s="23"/>
      <c r="DL335" s="23"/>
      <c r="DM335" s="23"/>
      <c r="DN335" s="23"/>
      <c r="DO335" s="23"/>
      <c r="DP335" s="23"/>
      <c r="DQ335" s="23"/>
      <c r="DR335" s="23"/>
      <c r="DS335" s="23"/>
      <c r="DT335" s="23"/>
      <c r="DU335" s="23"/>
      <c r="DV335" s="23"/>
      <c r="DW335" s="23"/>
      <c r="DX335" s="23"/>
      <c r="DY335" s="23"/>
      <c r="DZ335" s="23"/>
      <c r="EA335" s="23"/>
      <c r="EB335" s="23"/>
      <c r="EC335" s="23"/>
      <c r="ED335" s="23"/>
      <c r="EE335" s="23"/>
      <c r="EF335" s="23"/>
      <c r="EG335" s="23"/>
      <c r="EH335" s="23"/>
      <c r="EI335" s="23"/>
      <c r="EJ335" s="23"/>
      <c r="EK335" s="23"/>
      <c r="EL335" s="23"/>
      <c r="EM335" s="23"/>
      <c r="EN335" s="23"/>
      <c r="EO335" s="23"/>
      <c r="EP335" s="23"/>
      <c r="EQ335" s="23"/>
      <c r="ER335" s="23"/>
      <c r="ES335" s="23"/>
      <c r="ET335" s="23"/>
      <c r="EU335" s="23"/>
      <c r="EV335" s="23"/>
      <c r="EW335" s="23"/>
      <c r="EX335" s="23"/>
      <c r="EY335" s="23"/>
      <c r="EZ335" s="23"/>
      <c r="FA335" s="23"/>
      <c r="FB335" s="23"/>
      <c r="FC335" s="23"/>
      <c r="FD335" s="23"/>
      <c r="FE335" s="23"/>
      <c r="FF335" s="23"/>
      <c r="FG335" s="23"/>
      <c r="FH335" s="23"/>
      <c r="FI335" s="23"/>
      <c r="FJ335" s="23"/>
      <c r="FK335" s="23"/>
      <c r="FL335" s="23"/>
      <c r="FM335" s="23"/>
      <c r="FN335" s="23"/>
      <c r="FO335" s="23"/>
      <c r="FP335" s="23"/>
      <c r="FQ335" s="23"/>
      <c r="FR335" s="23"/>
      <c r="FS335" s="23"/>
      <c r="FT335" s="23"/>
      <c r="FU335" s="23"/>
      <c r="FV335" s="23"/>
      <c r="FW335" s="23"/>
      <c r="FX335" s="23"/>
      <c r="FY335" s="23"/>
      <c r="FZ335" s="23"/>
      <c r="GA335" s="23"/>
      <c r="GB335" s="23"/>
      <c r="GC335" s="23"/>
      <c r="GD335" s="23"/>
      <c r="GE335" s="23"/>
      <c r="GF335" s="23"/>
      <c r="GG335" s="23"/>
      <c r="GH335" s="23"/>
      <c r="GI335" s="23"/>
      <c r="GJ335" s="23"/>
      <c r="GK335" s="23"/>
      <c r="GL335" s="23"/>
    </row>
    <row r="336" spans="1:194" ht="13">
      <c r="A336" s="23"/>
      <c r="B336" s="23"/>
      <c r="C336" s="23"/>
      <c r="D336" s="23"/>
      <c r="E336" s="23"/>
      <c r="F336" s="23"/>
      <c r="G336" s="23"/>
      <c r="H336" s="401"/>
      <c r="I336" s="401"/>
      <c r="J336" s="401"/>
      <c r="K336" s="401"/>
      <c r="L336" s="401"/>
      <c r="M336" s="438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  <c r="BA336" s="23"/>
      <c r="BB336" s="23"/>
      <c r="BC336" s="23"/>
      <c r="BD336" s="23"/>
      <c r="BE336" s="23"/>
      <c r="BF336" s="23"/>
      <c r="BG336" s="23"/>
      <c r="BH336" s="23"/>
      <c r="BI336" s="23"/>
      <c r="BJ336" s="23"/>
      <c r="BK336" s="23"/>
      <c r="BL336" s="23"/>
      <c r="BM336" s="23"/>
      <c r="BN336" s="23"/>
      <c r="BO336" s="23"/>
      <c r="BP336" s="23"/>
      <c r="BQ336" s="23"/>
      <c r="BR336" s="23"/>
      <c r="BS336" s="23"/>
      <c r="BT336" s="23"/>
      <c r="BU336" s="23"/>
      <c r="BV336" s="23"/>
      <c r="BW336" s="23"/>
      <c r="BX336" s="23"/>
      <c r="BY336" s="23"/>
      <c r="BZ336" s="23"/>
      <c r="CA336" s="23"/>
      <c r="CB336" s="23"/>
      <c r="CC336" s="23"/>
      <c r="CD336" s="23"/>
      <c r="CE336" s="23"/>
      <c r="CF336" s="23"/>
      <c r="CG336" s="23"/>
      <c r="CH336" s="23"/>
      <c r="CI336" s="23"/>
      <c r="CJ336" s="23"/>
      <c r="CK336" s="23"/>
      <c r="CL336" s="23"/>
      <c r="CM336" s="23"/>
      <c r="CN336" s="23"/>
      <c r="CO336" s="23"/>
      <c r="CP336" s="23"/>
      <c r="CQ336" s="23"/>
      <c r="CR336" s="23"/>
      <c r="CS336" s="23"/>
      <c r="CT336" s="23"/>
      <c r="CU336" s="23"/>
      <c r="CV336" s="23"/>
      <c r="CW336" s="23"/>
      <c r="CX336" s="23"/>
      <c r="CY336" s="23"/>
      <c r="CZ336" s="23"/>
      <c r="DA336" s="23"/>
      <c r="DB336" s="23"/>
      <c r="DC336" s="23"/>
      <c r="DD336" s="23"/>
      <c r="DE336" s="23"/>
      <c r="DF336" s="23"/>
      <c r="DG336" s="23"/>
      <c r="DH336" s="23"/>
      <c r="DI336" s="23"/>
      <c r="DJ336" s="23"/>
      <c r="DK336" s="23"/>
      <c r="DL336" s="23"/>
      <c r="DM336" s="23"/>
      <c r="DN336" s="23"/>
      <c r="DO336" s="23"/>
      <c r="DP336" s="23"/>
      <c r="DQ336" s="23"/>
      <c r="DR336" s="23"/>
      <c r="DS336" s="23"/>
      <c r="DT336" s="23"/>
      <c r="DU336" s="23"/>
      <c r="DV336" s="23"/>
      <c r="DW336" s="23"/>
      <c r="DX336" s="23"/>
      <c r="DY336" s="23"/>
      <c r="DZ336" s="23"/>
      <c r="EA336" s="23"/>
      <c r="EB336" s="23"/>
      <c r="EC336" s="23"/>
      <c r="ED336" s="23"/>
      <c r="EE336" s="23"/>
      <c r="EF336" s="23"/>
      <c r="EG336" s="23"/>
      <c r="EH336" s="23"/>
      <c r="EI336" s="23"/>
      <c r="EJ336" s="23"/>
      <c r="EK336" s="23"/>
      <c r="EL336" s="23"/>
      <c r="EM336" s="23"/>
      <c r="EN336" s="23"/>
      <c r="EO336" s="23"/>
      <c r="EP336" s="23"/>
      <c r="EQ336" s="23"/>
      <c r="ER336" s="23"/>
      <c r="ES336" s="23"/>
      <c r="ET336" s="23"/>
      <c r="EU336" s="23"/>
      <c r="EV336" s="23"/>
      <c r="EW336" s="23"/>
      <c r="EX336" s="23"/>
      <c r="EY336" s="23"/>
      <c r="EZ336" s="23"/>
      <c r="FA336" s="23"/>
      <c r="FB336" s="23"/>
      <c r="FC336" s="23"/>
      <c r="FD336" s="23"/>
      <c r="FE336" s="23"/>
      <c r="FF336" s="23"/>
      <c r="FG336" s="23"/>
      <c r="FH336" s="23"/>
      <c r="FI336" s="23"/>
      <c r="FJ336" s="23"/>
      <c r="FK336" s="23"/>
      <c r="FL336" s="23"/>
      <c r="FM336" s="23"/>
      <c r="FN336" s="23"/>
      <c r="FO336" s="23"/>
      <c r="FP336" s="23"/>
      <c r="FQ336" s="23"/>
      <c r="FR336" s="23"/>
      <c r="FS336" s="23"/>
      <c r="FT336" s="23"/>
      <c r="FU336" s="23"/>
      <c r="FV336" s="23"/>
      <c r="FW336" s="23"/>
      <c r="FX336" s="23"/>
      <c r="FY336" s="23"/>
      <c r="FZ336" s="23"/>
      <c r="GA336" s="23"/>
      <c r="GB336" s="23"/>
      <c r="GC336" s="23"/>
      <c r="GD336" s="23"/>
      <c r="GE336" s="23"/>
      <c r="GF336" s="23"/>
      <c r="GG336" s="23"/>
      <c r="GH336" s="23"/>
      <c r="GI336" s="23"/>
      <c r="GJ336" s="23"/>
      <c r="GK336" s="23"/>
      <c r="GL336" s="23"/>
    </row>
    <row r="337" spans="1:194" ht="13">
      <c r="A337" s="23"/>
      <c r="B337" s="23"/>
      <c r="C337" s="23"/>
      <c r="D337" s="23"/>
      <c r="E337" s="23"/>
      <c r="F337" s="23"/>
      <c r="G337" s="23"/>
      <c r="H337" s="401"/>
      <c r="I337" s="401"/>
      <c r="J337" s="401"/>
      <c r="K337" s="401"/>
      <c r="L337" s="401"/>
      <c r="M337" s="438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  <c r="AW337" s="23"/>
      <c r="AX337" s="23"/>
      <c r="AY337" s="23"/>
      <c r="AZ337" s="23"/>
      <c r="BA337" s="23"/>
      <c r="BB337" s="23"/>
      <c r="BC337" s="23"/>
      <c r="BD337" s="23"/>
      <c r="BE337" s="23"/>
      <c r="BF337" s="23"/>
      <c r="BG337" s="23"/>
      <c r="BH337" s="23"/>
      <c r="BI337" s="23"/>
      <c r="BJ337" s="23"/>
      <c r="BK337" s="23"/>
      <c r="BL337" s="23"/>
      <c r="BM337" s="23"/>
      <c r="BN337" s="23"/>
      <c r="BO337" s="23"/>
      <c r="BP337" s="23"/>
      <c r="BQ337" s="23"/>
      <c r="BR337" s="23"/>
      <c r="BS337" s="23"/>
      <c r="BT337" s="23"/>
      <c r="BU337" s="23"/>
      <c r="BV337" s="23"/>
      <c r="BW337" s="23"/>
      <c r="BX337" s="23"/>
      <c r="BY337" s="23"/>
      <c r="BZ337" s="23"/>
      <c r="CA337" s="23"/>
      <c r="CB337" s="23"/>
      <c r="CC337" s="23"/>
      <c r="CD337" s="23"/>
      <c r="CE337" s="23"/>
      <c r="CF337" s="23"/>
      <c r="CG337" s="23"/>
      <c r="CH337" s="23"/>
      <c r="CI337" s="23"/>
      <c r="CJ337" s="23"/>
      <c r="CK337" s="23"/>
      <c r="CL337" s="23"/>
      <c r="CM337" s="23"/>
      <c r="CN337" s="23"/>
      <c r="CO337" s="23"/>
      <c r="CP337" s="23"/>
      <c r="CQ337" s="23"/>
      <c r="CR337" s="23"/>
      <c r="CS337" s="23"/>
      <c r="CT337" s="23"/>
      <c r="CU337" s="23"/>
      <c r="CV337" s="23"/>
      <c r="CW337" s="23"/>
      <c r="CX337" s="23"/>
      <c r="CY337" s="23"/>
      <c r="CZ337" s="23"/>
      <c r="DA337" s="23"/>
      <c r="DB337" s="23"/>
      <c r="DC337" s="23"/>
      <c r="DD337" s="23"/>
      <c r="DE337" s="23"/>
      <c r="DF337" s="23"/>
      <c r="DG337" s="23"/>
      <c r="DH337" s="23"/>
      <c r="DI337" s="23"/>
      <c r="DJ337" s="23"/>
      <c r="DK337" s="23"/>
      <c r="DL337" s="23"/>
      <c r="DM337" s="23"/>
      <c r="DN337" s="23"/>
      <c r="DO337" s="23"/>
      <c r="DP337" s="23"/>
      <c r="DQ337" s="23"/>
      <c r="DR337" s="23"/>
      <c r="DS337" s="23"/>
      <c r="DT337" s="23"/>
      <c r="DU337" s="23"/>
      <c r="DV337" s="23"/>
      <c r="DW337" s="23"/>
      <c r="DX337" s="23"/>
      <c r="DY337" s="23"/>
      <c r="DZ337" s="23"/>
      <c r="EA337" s="23"/>
      <c r="EB337" s="23"/>
      <c r="EC337" s="23"/>
      <c r="ED337" s="23"/>
      <c r="EE337" s="23"/>
      <c r="EF337" s="23"/>
      <c r="EG337" s="23"/>
      <c r="EH337" s="23"/>
      <c r="EI337" s="23"/>
      <c r="EJ337" s="23"/>
      <c r="EK337" s="23"/>
      <c r="EL337" s="23"/>
      <c r="EM337" s="23"/>
      <c r="EN337" s="23"/>
      <c r="EO337" s="23"/>
      <c r="EP337" s="23"/>
      <c r="EQ337" s="23"/>
      <c r="ER337" s="23"/>
      <c r="ES337" s="23"/>
      <c r="ET337" s="23"/>
      <c r="EU337" s="23"/>
      <c r="EV337" s="23"/>
      <c r="EW337" s="23"/>
      <c r="EX337" s="23"/>
      <c r="EY337" s="23"/>
      <c r="EZ337" s="23"/>
      <c r="FA337" s="23"/>
      <c r="FB337" s="23"/>
      <c r="FC337" s="23"/>
      <c r="FD337" s="23"/>
      <c r="FE337" s="23"/>
      <c r="FF337" s="23"/>
      <c r="FG337" s="23"/>
      <c r="FH337" s="23"/>
      <c r="FI337" s="23"/>
      <c r="FJ337" s="23"/>
      <c r="FK337" s="23"/>
      <c r="FL337" s="23"/>
      <c r="FM337" s="23"/>
      <c r="FN337" s="23"/>
      <c r="FO337" s="23"/>
      <c r="FP337" s="23"/>
      <c r="FQ337" s="23"/>
      <c r="FR337" s="23"/>
      <c r="FS337" s="23"/>
      <c r="FT337" s="23"/>
      <c r="FU337" s="23"/>
      <c r="FV337" s="23"/>
      <c r="FW337" s="23"/>
      <c r="FX337" s="23"/>
      <c r="FY337" s="23"/>
      <c r="FZ337" s="23"/>
      <c r="GA337" s="23"/>
      <c r="GB337" s="23"/>
      <c r="GC337" s="23"/>
      <c r="GD337" s="23"/>
      <c r="GE337" s="23"/>
      <c r="GF337" s="23"/>
      <c r="GG337" s="23"/>
      <c r="GH337" s="23"/>
      <c r="GI337" s="23"/>
      <c r="GJ337" s="23"/>
      <c r="GK337" s="23"/>
      <c r="GL337" s="23"/>
    </row>
    <row r="338" spans="1:194" ht="13">
      <c r="A338" s="23"/>
      <c r="B338" s="23"/>
      <c r="C338" s="23"/>
      <c r="D338" s="23"/>
      <c r="E338" s="23"/>
      <c r="F338" s="23"/>
      <c r="G338" s="23"/>
      <c r="H338" s="401"/>
      <c r="I338" s="401"/>
      <c r="J338" s="401"/>
      <c r="K338" s="401"/>
      <c r="L338" s="401"/>
      <c r="M338" s="438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3"/>
      <c r="AX338" s="23"/>
      <c r="AY338" s="23"/>
      <c r="AZ338" s="23"/>
      <c r="BA338" s="23"/>
      <c r="BB338" s="23"/>
      <c r="BC338" s="23"/>
      <c r="BD338" s="23"/>
      <c r="BE338" s="23"/>
      <c r="BF338" s="23"/>
      <c r="BG338" s="23"/>
      <c r="BH338" s="23"/>
      <c r="BI338" s="23"/>
      <c r="BJ338" s="23"/>
      <c r="BK338" s="23"/>
      <c r="BL338" s="23"/>
      <c r="BM338" s="23"/>
      <c r="BN338" s="23"/>
      <c r="BO338" s="23"/>
      <c r="BP338" s="23"/>
      <c r="BQ338" s="23"/>
      <c r="BR338" s="23"/>
      <c r="BS338" s="23"/>
      <c r="BT338" s="23"/>
      <c r="BU338" s="23"/>
      <c r="BV338" s="23"/>
      <c r="BW338" s="23"/>
      <c r="BX338" s="23"/>
      <c r="BY338" s="23"/>
      <c r="BZ338" s="23"/>
      <c r="CA338" s="23"/>
      <c r="CB338" s="23"/>
      <c r="CC338" s="23"/>
      <c r="CD338" s="23"/>
      <c r="CE338" s="23"/>
      <c r="CF338" s="23"/>
      <c r="CG338" s="23"/>
      <c r="CH338" s="23"/>
      <c r="CI338" s="23"/>
      <c r="CJ338" s="23"/>
      <c r="CK338" s="23"/>
      <c r="CL338" s="23"/>
      <c r="CM338" s="23"/>
      <c r="CN338" s="23"/>
      <c r="CO338" s="23"/>
      <c r="CP338" s="23"/>
      <c r="CQ338" s="23"/>
      <c r="CR338" s="23"/>
      <c r="CS338" s="23"/>
      <c r="CT338" s="23"/>
      <c r="CU338" s="23"/>
      <c r="CV338" s="23"/>
      <c r="CW338" s="23"/>
      <c r="CX338" s="23"/>
      <c r="CY338" s="23"/>
      <c r="CZ338" s="23"/>
      <c r="DA338" s="23"/>
      <c r="DB338" s="23"/>
      <c r="DC338" s="23"/>
      <c r="DD338" s="23"/>
      <c r="DE338" s="23"/>
      <c r="DF338" s="23"/>
      <c r="DG338" s="23"/>
      <c r="DH338" s="23"/>
      <c r="DI338" s="23"/>
      <c r="DJ338" s="23"/>
      <c r="DK338" s="23"/>
      <c r="DL338" s="23"/>
      <c r="DM338" s="23"/>
      <c r="DN338" s="23"/>
      <c r="DO338" s="23"/>
      <c r="DP338" s="23"/>
      <c r="DQ338" s="23"/>
      <c r="DR338" s="23"/>
      <c r="DS338" s="23"/>
      <c r="DT338" s="23"/>
      <c r="DU338" s="23"/>
      <c r="DV338" s="23"/>
      <c r="DW338" s="23"/>
      <c r="DX338" s="23"/>
      <c r="DY338" s="23"/>
      <c r="DZ338" s="23"/>
      <c r="EA338" s="23"/>
      <c r="EB338" s="23"/>
      <c r="EC338" s="23"/>
      <c r="ED338" s="23"/>
      <c r="EE338" s="23"/>
      <c r="EF338" s="23"/>
      <c r="EG338" s="23"/>
      <c r="EH338" s="23"/>
      <c r="EI338" s="23"/>
      <c r="EJ338" s="23"/>
      <c r="EK338" s="23"/>
      <c r="EL338" s="23"/>
      <c r="EM338" s="23"/>
      <c r="EN338" s="23"/>
      <c r="EO338" s="23"/>
      <c r="EP338" s="23"/>
      <c r="EQ338" s="23"/>
      <c r="ER338" s="23"/>
      <c r="ES338" s="23"/>
      <c r="ET338" s="23"/>
      <c r="EU338" s="23"/>
      <c r="EV338" s="23"/>
      <c r="EW338" s="23"/>
      <c r="EX338" s="23"/>
      <c r="EY338" s="23"/>
      <c r="EZ338" s="23"/>
      <c r="FA338" s="23"/>
      <c r="FB338" s="23"/>
      <c r="FC338" s="23"/>
      <c r="FD338" s="23"/>
      <c r="FE338" s="23"/>
      <c r="FF338" s="23"/>
      <c r="FG338" s="23"/>
      <c r="FH338" s="23"/>
      <c r="FI338" s="23"/>
      <c r="FJ338" s="23"/>
      <c r="FK338" s="23"/>
      <c r="FL338" s="23"/>
      <c r="FM338" s="23"/>
      <c r="FN338" s="23"/>
      <c r="FO338" s="23"/>
      <c r="FP338" s="23"/>
      <c r="FQ338" s="23"/>
      <c r="FR338" s="23"/>
      <c r="FS338" s="23"/>
      <c r="FT338" s="23"/>
      <c r="FU338" s="23"/>
      <c r="FV338" s="23"/>
      <c r="FW338" s="23"/>
      <c r="FX338" s="23"/>
      <c r="FY338" s="23"/>
      <c r="FZ338" s="23"/>
      <c r="GA338" s="23"/>
      <c r="GB338" s="23"/>
      <c r="GC338" s="23"/>
      <c r="GD338" s="23"/>
      <c r="GE338" s="23"/>
      <c r="GF338" s="23"/>
      <c r="GG338" s="23"/>
      <c r="GH338" s="23"/>
      <c r="GI338" s="23"/>
      <c r="GJ338" s="23"/>
      <c r="GK338" s="23"/>
      <c r="GL338" s="23"/>
    </row>
    <row r="339" spans="1:194" ht="13">
      <c r="A339" s="23"/>
      <c r="B339" s="23"/>
      <c r="C339" s="23"/>
      <c r="D339" s="23"/>
      <c r="E339" s="23"/>
      <c r="F339" s="23"/>
      <c r="G339" s="23"/>
      <c r="H339" s="401"/>
      <c r="I339" s="401"/>
      <c r="J339" s="401"/>
      <c r="K339" s="401"/>
      <c r="L339" s="401"/>
      <c r="M339" s="438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  <c r="BA339" s="23"/>
      <c r="BB339" s="23"/>
      <c r="BC339" s="23"/>
      <c r="BD339" s="23"/>
      <c r="BE339" s="23"/>
      <c r="BF339" s="23"/>
      <c r="BG339" s="23"/>
      <c r="BH339" s="23"/>
      <c r="BI339" s="23"/>
      <c r="BJ339" s="23"/>
      <c r="BK339" s="23"/>
      <c r="BL339" s="23"/>
      <c r="BM339" s="23"/>
      <c r="BN339" s="23"/>
      <c r="BO339" s="23"/>
      <c r="BP339" s="23"/>
      <c r="BQ339" s="23"/>
      <c r="BR339" s="23"/>
      <c r="BS339" s="23"/>
      <c r="BT339" s="23"/>
      <c r="BU339" s="23"/>
      <c r="BV339" s="23"/>
      <c r="BW339" s="23"/>
      <c r="BX339" s="23"/>
      <c r="BY339" s="23"/>
      <c r="BZ339" s="23"/>
      <c r="CA339" s="23"/>
      <c r="CB339" s="23"/>
      <c r="CC339" s="23"/>
      <c r="CD339" s="23"/>
      <c r="CE339" s="23"/>
      <c r="CF339" s="23"/>
      <c r="CG339" s="23"/>
      <c r="CH339" s="23"/>
      <c r="CI339" s="23"/>
      <c r="CJ339" s="23"/>
      <c r="CK339" s="23"/>
      <c r="CL339" s="23"/>
      <c r="CM339" s="23"/>
      <c r="CN339" s="23"/>
      <c r="CO339" s="23"/>
      <c r="CP339" s="23"/>
      <c r="CQ339" s="23"/>
      <c r="CR339" s="23"/>
      <c r="CS339" s="23"/>
      <c r="CT339" s="23"/>
      <c r="CU339" s="23"/>
      <c r="CV339" s="23"/>
      <c r="CW339" s="23"/>
      <c r="CX339" s="23"/>
      <c r="CY339" s="23"/>
      <c r="CZ339" s="23"/>
      <c r="DA339" s="23"/>
      <c r="DB339" s="23"/>
      <c r="DC339" s="23"/>
      <c r="DD339" s="23"/>
      <c r="DE339" s="23"/>
      <c r="DF339" s="23"/>
      <c r="DG339" s="23"/>
      <c r="DH339" s="23"/>
      <c r="DI339" s="23"/>
      <c r="DJ339" s="23"/>
      <c r="DK339" s="23"/>
      <c r="DL339" s="23"/>
      <c r="DM339" s="23"/>
      <c r="DN339" s="23"/>
      <c r="DO339" s="23"/>
      <c r="DP339" s="23"/>
      <c r="DQ339" s="23"/>
      <c r="DR339" s="23"/>
      <c r="DS339" s="23"/>
      <c r="DT339" s="23"/>
      <c r="DU339" s="23"/>
      <c r="DV339" s="23"/>
      <c r="DW339" s="23"/>
      <c r="DX339" s="23"/>
      <c r="DY339" s="23"/>
      <c r="DZ339" s="23"/>
      <c r="EA339" s="23"/>
      <c r="EB339" s="23"/>
      <c r="EC339" s="23"/>
      <c r="ED339" s="23"/>
      <c r="EE339" s="23"/>
      <c r="EF339" s="23"/>
      <c r="EG339" s="23"/>
      <c r="EH339" s="23"/>
      <c r="EI339" s="23"/>
      <c r="EJ339" s="23"/>
      <c r="EK339" s="23"/>
      <c r="EL339" s="23"/>
      <c r="EM339" s="23"/>
      <c r="EN339" s="23"/>
      <c r="EO339" s="23"/>
      <c r="EP339" s="23"/>
      <c r="EQ339" s="23"/>
      <c r="ER339" s="23"/>
      <c r="ES339" s="23"/>
      <c r="ET339" s="23"/>
      <c r="EU339" s="23"/>
      <c r="EV339" s="23"/>
      <c r="EW339" s="23"/>
      <c r="EX339" s="23"/>
      <c r="EY339" s="23"/>
      <c r="EZ339" s="23"/>
      <c r="FA339" s="23"/>
      <c r="FB339" s="23"/>
      <c r="FC339" s="23"/>
      <c r="FD339" s="23"/>
      <c r="FE339" s="23"/>
      <c r="FF339" s="23"/>
      <c r="FG339" s="23"/>
      <c r="FH339" s="23"/>
      <c r="FI339" s="23"/>
      <c r="FJ339" s="23"/>
      <c r="FK339" s="23"/>
      <c r="FL339" s="23"/>
      <c r="FM339" s="23"/>
      <c r="FN339" s="23"/>
      <c r="FO339" s="23"/>
      <c r="FP339" s="23"/>
      <c r="FQ339" s="23"/>
      <c r="FR339" s="23"/>
      <c r="FS339" s="23"/>
      <c r="FT339" s="23"/>
      <c r="FU339" s="23"/>
      <c r="FV339" s="23"/>
      <c r="FW339" s="23"/>
      <c r="FX339" s="23"/>
      <c r="FY339" s="23"/>
      <c r="FZ339" s="23"/>
      <c r="GA339" s="23"/>
      <c r="GB339" s="23"/>
      <c r="GC339" s="23"/>
      <c r="GD339" s="23"/>
      <c r="GE339" s="23"/>
      <c r="GF339" s="23"/>
      <c r="GG339" s="23"/>
      <c r="GH339" s="23"/>
      <c r="GI339" s="23"/>
      <c r="GJ339" s="23"/>
      <c r="GK339" s="23"/>
      <c r="GL339" s="23"/>
    </row>
    <row r="340" spans="1:194" ht="13">
      <c r="A340" s="23"/>
      <c r="B340" s="23"/>
      <c r="C340" s="23"/>
      <c r="D340" s="23"/>
      <c r="E340" s="23"/>
      <c r="F340" s="23"/>
      <c r="G340" s="23"/>
      <c r="H340" s="401"/>
      <c r="I340" s="401"/>
      <c r="J340" s="401"/>
      <c r="K340" s="401"/>
      <c r="L340" s="401"/>
      <c r="M340" s="438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23"/>
      <c r="BD340" s="23"/>
      <c r="BE340" s="23"/>
      <c r="BF340" s="23"/>
      <c r="BG340" s="23"/>
      <c r="BH340" s="23"/>
      <c r="BI340" s="23"/>
      <c r="BJ340" s="23"/>
      <c r="BK340" s="23"/>
      <c r="BL340" s="23"/>
      <c r="BM340" s="23"/>
      <c r="BN340" s="23"/>
      <c r="BO340" s="23"/>
      <c r="BP340" s="23"/>
      <c r="BQ340" s="23"/>
      <c r="BR340" s="23"/>
      <c r="BS340" s="23"/>
      <c r="BT340" s="23"/>
      <c r="BU340" s="23"/>
      <c r="BV340" s="23"/>
      <c r="BW340" s="23"/>
      <c r="BX340" s="23"/>
      <c r="BY340" s="23"/>
      <c r="BZ340" s="23"/>
      <c r="CA340" s="23"/>
      <c r="CB340" s="23"/>
      <c r="CC340" s="23"/>
      <c r="CD340" s="23"/>
      <c r="CE340" s="23"/>
      <c r="CF340" s="23"/>
      <c r="CG340" s="23"/>
      <c r="CH340" s="23"/>
      <c r="CI340" s="23"/>
      <c r="CJ340" s="23"/>
      <c r="CK340" s="23"/>
      <c r="CL340" s="23"/>
      <c r="CM340" s="23"/>
      <c r="CN340" s="23"/>
      <c r="CO340" s="23"/>
      <c r="CP340" s="23"/>
      <c r="CQ340" s="23"/>
      <c r="CR340" s="23"/>
      <c r="CS340" s="23"/>
      <c r="CT340" s="23"/>
      <c r="CU340" s="23"/>
      <c r="CV340" s="23"/>
      <c r="CW340" s="23"/>
      <c r="CX340" s="23"/>
      <c r="CY340" s="23"/>
      <c r="CZ340" s="23"/>
      <c r="DA340" s="23"/>
      <c r="DB340" s="23"/>
      <c r="DC340" s="23"/>
      <c r="DD340" s="23"/>
      <c r="DE340" s="23"/>
      <c r="DF340" s="23"/>
      <c r="DG340" s="23"/>
      <c r="DH340" s="23"/>
      <c r="DI340" s="23"/>
      <c r="DJ340" s="23"/>
      <c r="DK340" s="23"/>
      <c r="DL340" s="23"/>
      <c r="DM340" s="23"/>
      <c r="DN340" s="23"/>
      <c r="DO340" s="23"/>
      <c r="DP340" s="23"/>
      <c r="DQ340" s="23"/>
      <c r="DR340" s="23"/>
      <c r="DS340" s="23"/>
      <c r="DT340" s="23"/>
      <c r="DU340" s="23"/>
      <c r="DV340" s="23"/>
      <c r="DW340" s="23"/>
      <c r="DX340" s="23"/>
      <c r="DY340" s="23"/>
      <c r="DZ340" s="23"/>
      <c r="EA340" s="23"/>
      <c r="EB340" s="23"/>
      <c r="EC340" s="23"/>
      <c r="ED340" s="23"/>
      <c r="EE340" s="23"/>
      <c r="EF340" s="23"/>
      <c r="EG340" s="23"/>
      <c r="EH340" s="23"/>
      <c r="EI340" s="23"/>
      <c r="EJ340" s="23"/>
      <c r="EK340" s="23"/>
      <c r="EL340" s="23"/>
      <c r="EM340" s="23"/>
      <c r="EN340" s="23"/>
      <c r="EO340" s="23"/>
      <c r="EP340" s="23"/>
      <c r="EQ340" s="23"/>
      <c r="ER340" s="23"/>
      <c r="ES340" s="23"/>
      <c r="ET340" s="23"/>
      <c r="EU340" s="23"/>
      <c r="EV340" s="23"/>
      <c r="EW340" s="23"/>
      <c r="EX340" s="23"/>
      <c r="EY340" s="23"/>
      <c r="EZ340" s="23"/>
      <c r="FA340" s="23"/>
      <c r="FB340" s="23"/>
      <c r="FC340" s="23"/>
      <c r="FD340" s="23"/>
      <c r="FE340" s="23"/>
      <c r="FF340" s="23"/>
      <c r="FG340" s="23"/>
      <c r="FH340" s="23"/>
      <c r="FI340" s="23"/>
      <c r="FJ340" s="23"/>
      <c r="FK340" s="23"/>
      <c r="FL340" s="23"/>
      <c r="FM340" s="23"/>
      <c r="FN340" s="23"/>
      <c r="FO340" s="23"/>
      <c r="FP340" s="23"/>
      <c r="FQ340" s="23"/>
      <c r="FR340" s="23"/>
      <c r="FS340" s="23"/>
      <c r="FT340" s="23"/>
      <c r="FU340" s="23"/>
      <c r="FV340" s="23"/>
      <c r="FW340" s="23"/>
      <c r="FX340" s="23"/>
      <c r="FY340" s="23"/>
      <c r="FZ340" s="23"/>
      <c r="GA340" s="23"/>
      <c r="GB340" s="23"/>
      <c r="GC340" s="23"/>
      <c r="GD340" s="23"/>
      <c r="GE340" s="23"/>
      <c r="GF340" s="23"/>
      <c r="GG340" s="23"/>
      <c r="GH340" s="23"/>
      <c r="GI340" s="23"/>
      <c r="GJ340" s="23"/>
      <c r="GK340" s="23"/>
      <c r="GL340" s="23"/>
    </row>
    <row r="341" spans="1:194" ht="13">
      <c r="A341" s="23"/>
      <c r="B341" s="23"/>
      <c r="C341" s="23"/>
      <c r="D341" s="23"/>
      <c r="E341" s="23"/>
      <c r="F341" s="23"/>
      <c r="G341" s="23"/>
      <c r="H341" s="401"/>
      <c r="I341" s="401"/>
      <c r="J341" s="401"/>
      <c r="K341" s="401"/>
      <c r="L341" s="401"/>
      <c r="M341" s="438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  <c r="AV341" s="23"/>
      <c r="AW341" s="23"/>
      <c r="AX341" s="23"/>
      <c r="AY341" s="23"/>
      <c r="AZ341" s="23"/>
      <c r="BA341" s="23"/>
      <c r="BB341" s="23"/>
      <c r="BC341" s="23"/>
      <c r="BD341" s="23"/>
      <c r="BE341" s="23"/>
      <c r="BF341" s="23"/>
      <c r="BG341" s="23"/>
      <c r="BH341" s="23"/>
      <c r="BI341" s="23"/>
      <c r="BJ341" s="23"/>
      <c r="BK341" s="23"/>
      <c r="BL341" s="23"/>
      <c r="BM341" s="23"/>
      <c r="BN341" s="23"/>
      <c r="BO341" s="23"/>
      <c r="BP341" s="23"/>
      <c r="BQ341" s="23"/>
      <c r="BR341" s="23"/>
      <c r="BS341" s="23"/>
      <c r="BT341" s="23"/>
      <c r="BU341" s="23"/>
      <c r="BV341" s="23"/>
      <c r="BW341" s="23"/>
      <c r="BX341" s="23"/>
      <c r="BY341" s="23"/>
      <c r="BZ341" s="23"/>
      <c r="CA341" s="23"/>
      <c r="CB341" s="23"/>
      <c r="CC341" s="23"/>
      <c r="CD341" s="23"/>
      <c r="CE341" s="23"/>
      <c r="CF341" s="23"/>
      <c r="CG341" s="23"/>
      <c r="CH341" s="23"/>
      <c r="CI341" s="23"/>
      <c r="CJ341" s="23"/>
      <c r="CK341" s="23"/>
      <c r="CL341" s="23"/>
      <c r="CM341" s="23"/>
      <c r="CN341" s="23"/>
      <c r="CO341" s="23"/>
      <c r="CP341" s="23"/>
      <c r="CQ341" s="23"/>
      <c r="CR341" s="23"/>
      <c r="CS341" s="23"/>
      <c r="CT341" s="23"/>
      <c r="CU341" s="23"/>
      <c r="CV341" s="23"/>
      <c r="CW341" s="23"/>
      <c r="CX341" s="23"/>
      <c r="CY341" s="23"/>
      <c r="CZ341" s="23"/>
      <c r="DA341" s="23"/>
      <c r="DB341" s="23"/>
      <c r="DC341" s="23"/>
      <c r="DD341" s="23"/>
      <c r="DE341" s="23"/>
      <c r="DF341" s="23"/>
      <c r="DG341" s="23"/>
      <c r="DH341" s="23"/>
      <c r="DI341" s="23"/>
      <c r="DJ341" s="23"/>
      <c r="DK341" s="23"/>
      <c r="DL341" s="23"/>
      <c r="DM341" s="23"/>
      <c r="DN341" s="23"/>
      <c r="DO341" s="23"/>
      <c r="DP341" s="23"/>
      <c r="DQ341" s="23"/>
      <c r="DR341" s="23"/>
      <c r="DS341" s="23"/>
      <c r="DT341" s="23"/>
      <c r="DU341" s="23"/>
      <c r="DV341" s="23"/>
      <c r="DW341" s="23"/>
      <c r="DX341" s="23"/>
      <c r="DY341" s="23"/>
      <c r="DZ341" s="23"/>
      <c r="EA341" s="23"/>
      <c r="EB341" s="23"/>
      <c r="EC341" s="23"/>
      <c r="ED341" s="23"/>
      <c r="EE341" s="23"/>
      <c r="EF341" s="23"/>
      <c r="EG341" s="23"/>
      <c r="EH341" s="23"/>
      <c r="EI341" s="23"/>
      <c r="EJ341" s="23"/>
      <c r="EK341" s="23"/>
      <c r="EL341" s="23"/>
      <c r="EM341" s="23"/>
      <c r="EN341" s="23"/>
      <c r="EO341" s="23"/>
      <c r="EP341" s="23"/>
      <c r="EQ341" s="23"/>
      <c r="ER341" s="23"/>
      <c r="ES341" s="23"/>
      <c r="ET341" s="23"/>
      <c r="EU341" s="23"/>
      <c r="EV341" s="23"/>
      <c r="EW341" s="23"/>
      <c r="EX341" s="23"/>
      <c r="EY341" s="23"/>
      <c r="EZ341" s="23"/>
      <c r="FA341" s="23"/>
      <c r="FB341" s="23"/>
      <c r="FC341" s="23"/>
      <c r="FD341" s="23"/>
      <c r="FE341" s="23"/>
      <c r="FF341" s="23"/>
      <c r="FG341" s="23"/>
      <c r="FH341" s="23"/>
      <c r="FI341" s="23"/>
      <c r="FJ341" s="23"/>
      <c r="FK341" s="23"/>
      <c r="FL341" s="23"/>
      <c r="FM341" s="23"/>
      <c r="FN341" s="23"/>
      <c r="FO341" s="23"/>
      <c r="FP341" s="23"/>
      <c r="FQ341" s="23"/>
      <c r="FR341" s="23"/>
      <c r="FS341" s="23"/>
      <c r="FT341" s="23"/>
      <c r="FU341" s="23"/>
      <c r="FV341" s="23"/>
      <c r="FW341" s="23"/>
      <c r="FX341" s="23"/>
      <c r="FY341" s="23"/>
      <c r="FZ341" s="23"/>
      <c r="GA341" s="23"/>
      <c r="GB341" s="23"/>
      <c r="GC341" s="23"/>
      <c r="GD341" s="23"/>
      <c r="GE341" s="23"/>
      <c r="GF341" s="23"/>
      <c r="GG341" s="23"/>
      <c r="GH341" s="23"/>
      <c r="GI341" s="23"/>
      <c r="GJ341" s="23"/>
      <c r="GK341" s="23"/>
      <c r="GL341" s="23"/>
    </row>
    <row r="342" spans="1:194" ht="13">
      <c r="A342" s="23"/>
      <c r="B342" s="23"/>
      <c r="C342" s="23"/>
      <c r="D342" s="23"/>
      <c r="E342" s="23"/>
      <c r="F342" s="23"/>
      <c r="G342" s="23"/>
      <c r="H342" s="401"/>
      <c r="I342" s="401"/>
      <c r="J342" s="401"/>
      <c r="K342" s="401"/>
      <c r="L342" s="401"/>
      <c r="M342" s="438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  <c r="AW342" s="23"/>
      <c r="AX342" s="23"/>
      <c r="AY342" s="23"/>
      <c r="AZ342" s="23"/>
      <c r="BA342" s="23"/>
      <c r="BB342" s="23"/>
      <c r="BC342" s="23"/>
      <c r="BD342" s="23"/>
      <c r="BE342" s="23"/>
      <c r="BF342" s="23"/>
      <c r="BG342" s="23"/>
      <c r="BH342" s="23"/>
      <c r="BI342" s="23"/>
      <c r="BJ342" s="23"/>
      <c r="BK342" s="23"/>
      <c r="BL342" s="23"/>
      <c r="BM342" s="23"/>
      <c r="BN342" s="23"/>
      <c r="BO342" s="23"/>
      <c r="BP342" s="23"/>
      <c r="BQ342" s="23"/>
      <c r="BR342" s="23"/>
      <c r="BS342" s="23"/>
      <c r="BT342" s="23"/>
      <c r="BU342" s="23"/>
      <c r="BV342" s="23"/>
      <c r="BW342" s="23"/>
      <c r="BX342" s="23"/>
      <c r="BY342" s="23"/>
      <c r="BZ342" s="23"/>
      <c r="CA342" s="23"/>
      <c r="CB342" s="23"/>
      <c r="CC342" s="23"/>
      <c r="CD342" s="23"/>
      <c r="CE342" s="23"/>
      <c r="CF342" s="23"/>
      <c r="CG342" s="23"/>
      <c r="CH342" s="23"/>
      <c r="CI342" s="23"/>
      <c r="CJ342" s="23"/>
      <c r="CK342" s="23"/>
      <c r="CL342" s="23"/>
      <c r="CM342" s="23"/>
      <c r="CN342" s="23"/>
      <c r="CO342" s="23"/>
      <c r="CP342" s="23"/>
      <c r="CQ342" s="23"/>
      <c r="CR342" s="23"/>
      <c r="CS342" s="23"/>
      <c r="CT342" s="23"/>
      <c r="CU342" s="23"/>
      <c r="CV342" s="23"/>
      <c r="CW342" s="23"/>
      <c r="CX342" s="23"/>
      <c r="CY342" s="23"/>
      <c r="CZ342" s="23"/>
      <c r="DA342" s="23"/>
      <c r="DB342" s="23"/>
      <c r="DC342" s="23"/>
      <c r="DD342" s="23"/>
      <c r="DE342" s="23"/>
      <c r="DF342" s="23"/>
      <c r="DG342" s="23"/>
      <c r="DH342" s="23"/>
      <c r="DI342" s="23"/>
      <c r="DJ342" s="23"/>
      <c r="DK342" s="23"/>
      <c r="DL342" s="23"/>
      <c r="DM342" s="23"/>
      <c r="DN342" s="23"/>
      <c r="DO342" s="23"/>
      <c r="DP342" s="23"/>
      <c r="DQ342" s="23"/>
      <c r="DR342" s="23"/>
      <c r="DS342" s="23"/>
      <c r="DT342" s="23"/>
      <c r="DU342" s="23"/>
      <c r="DV342" s="23"/>
      <c r="DW342" s="23"/>
      <c r="DX342" s="23"/>
      <c r="DY342" s="23"/>
      <c r="DZ342" s="23"/>
      <c r="EA342" s="23"/>
      <c r="EB342" s="23"/>
      <c r="EC342" s="23"/>
      <c r="ED342" s="23"/>
      <c r="EE342" s="23"/>
      <c r="EF342" s="23"/>
      <c r="EG342" s="23"/>
      <c r="EH342" s="23"/>
      <c r="EI342" s="23"/>
      <c r="EJ342" s="23"/>
      <c r="EK342" s="23"/>
      <c r="EL342" s="23"/>
      <c r="EM342" s="23"/>
      <c r="EN342" s="23"/>
      <c r="EO342" s="23"/>
      <c r="EP342" s="23"/>
      <c r="EQ342" s="23"/>
      <c r="ER342" s="23"/>
      <c r="ES342" s="23"/>
      <c r="ET342" s="23"/>
      <c r="EU342" s="23"/>
      <c r="EV342" s="23"/>
      <c r="EW342" s="23"/>
      <c r="EX342" s="23"/>
      <c r="EY342" s="23"/>
      <c r="EZ342" s="23"/>
      <c r="FA342" s="23"/>
      <c r="FB342" s="23"/>
      <c r="FC342" s="23"/>
      <c r="FD342" s="23"/>
      <c r="FE342" s="23"/>
      <c r="FF342" s="23"/>
      <c r="FG342" s="23"/>
      <c r="FH342" s="23"/>
      <c r="FI342" s="23"/>
      <c r="FJ342" s="23"/>
      <c r="FK342" s="23"/>
      <c r="FL342" s="23"/>
      <c r="FM342" s="23"/>
      <c r="FN342" s="23"/>
      <c r="FO342" s="23"/>
      <c r="FP342" s="23"/>
      <c r="FQ342" s="23"/>
      <c r="FR342" s="23"/>
      <c r="FS342" s="23"/>
      <c r="FT342" s="23"/>
      <c r="FU342" s="23"/>
      <c r="FV342" s="23"/>
      <c r="FW342" s="23"/>
      <c r="FX342" s="23"/>
      <c r="FY342" s="23"/>
      <c r="FZ342" s="23"/>
      <c r="GA342" s="23"/>
      <c r="GB342" s="23"/>
      <c r="GC342" s="23"/>
      <c r="GD342" s="23"/>
      <c r="GE342" s="23"/>
      <c r="GF342" s="23"/>
      <c r="GG342" s="23"/>
      <c r="GH342" s="23"/>
      <c r="GI342" s="23"/>
      <c r="GJ342" s="23"/>
      <c r="GK342" s="23"/>
      <c r="GL342" s="23"/>
    </row>
    <row r="343" spans="1:194" ht="13">
      <c r="A343" s="23"/>
      <c r="B343" s="23"/>
      <c r="C343" s="23"/>
      <c r="D343" s="23"/>
      <c r="E343" s="23"/>
      <c r="F343" s="23"/>
      <c r="G343" s="23"/>
      <c r="H343" s="401"/>
      <c r="I343" s="401"/>
      <c r="J343" s="401"/>
      <c r="K343" s="401"/>
      <c r="L343" s="401"/>
      <c r="M343" s="438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  <c r="AV343" s="23"/>
      <c r="AW343" s="23"/>
      <c r="AX343" s="23"/>
      <c r="AY343" s="23"/>
      <c r="AZ343" s="23"/>
      <c r="BA343" s="23"/>
      <c r="BB343" s="23"/>
      <c r="BC343" s="23"/>
      <c r="BD343" s="23"/>
      <c r="BE343" s="23"/>
      <c r="BF343" s="23"/>
      <c r="BG343" s="23"/>
      <c r="BH343" s="23"/>
      <c r="BI343" s="23"/>
      <c r="BJ343" s="23"/>
      <c r="BK343" s="23"/>
      <c r="BL343" s="23"/>
      <c r="BM343" s="23"/>
      <c r="BN343" s="23"/>
      <c r="BO343" s="23"/>
      <c r="BP343" s="23"/>
      <c r="BQ343" s="23"/>
      <c r="BR343" s="23"/>
      <c r="BS343" s="23"/>
      <c r="BT343" s="23"/>
      <c r="BU343" s="23"/>
      <c r="BV343" s="23"/>
      <c r="BW343" s="23"/>
      <c r="BX343" s="23"/>
      <c r="BY343" s="23"/>
      <c r="BZ343" s="23"/>
      <c r="CA343" s="23"/>
      <c r="CB343" s="23"/>
      <c r="CC343" s="23"/>
      <c r="CD343" s="23"/>
      <c r="CE343" s="23"/>
      <c r="CF343" s="23"/>
      <c r="CG343" s="23"/>
      <c r="CH343" s="23"/>
      <c r="CI343" s="23"/>
      <c r="CJ343" s="23"/>
      <c r="CK343" s="23"/>
      <c r="CL343" s="23"/>
      <c r="CM343" s="23"/>
      <c r="CN343" s="23"/>
      <c r="CO343" s="23"/>
      <c r="CP343" s="23"/>
      <c r="CQ343" s="23"/>
      <c r="CR343" s="23"/>
      <c r="CS343" s="23"/>
      <c r="CT343" s="23"/>
      <c r="CU343" s="23"/>
      <c r="CV343" s="23"/>
      <c r="CW343" s="23"/>
      <c r="CX343" s="23"/>
      <c r="CY343" s="23"/>
      <c r="CZ343" s="23"/>
      <c r="DA343" s="23"/>
      <c r="DB343" s="23"/>
      <c r="DC343" s="23"/>
      <c r="DD343" s="23"/>
      <c r="DE343" s="23"/>
      <c r="DF343" s="23"/>
      <c r="DG343" s="23"/>
      <c r="DH343" s="23"/>
      <c r="DI343" s="23"/>
      <c r="DJ343" s="23"/>
      <c r="DK343" s="23"/>
      <c r="DL343" s="23"/>
      <c r="DM343" s="23"/>
      <c r="DN343" s="23"/>
      <c r="DO343" s="23"/>
      <c r="DP343" s="23"/>
      <c r="DQ343" s="23"/>
      <c r="DR343" s="23"/>
      <c r="DS343" s="23"/>
      <c r="DT343" s="23"/>
      <c r="DU343" s="23"/>
      <c r="DV343" s="23"/>
      <c r="DW343" s="23"/>
      <c r="DX343" s="23"/>
      <c r="DY343" s="23"/>
      <c r="DZ343" s="23"/>
      <c r="EA343" s="23"/>
      <c r="EB343" s="23"/>
      <c r="EC343" s="23"/>
      <c r="ED343" s="23"/>
      <c r="EE343" s="23"/>
      <c r="EF343" s="23"/>
      <c r="EG343" s="23"/>
      <c r="EH343" s="23"/>
      <c r="EI343" s="23"/>
      <c r="EJ343" s="23"/>
      <c r="EK343" s="23"/>
      <c r="EL343" s="23"/>
      <c r="EM343" s="23"/>
      <c r="EN343" s="23"/>
      <c r="EO343" s="23"/>
      <c r="EP343" s="23"/>
      <c r="EQ343" s="23"/>
      <c r="ER343" s="23"/>
      <c r="ES343" s="23"/>
      <c r="ET343" s="23"/>
      <c r="EU343" s="23"/>
      <c r="EV343" s="23"/>
      <c r="EW343" s="23"/>
      <c r="EX343" s="23"/>
      <c r="EY343" s="23"/>
      <c r="EZ343" s="23"/>
      <c r="FA343" s="23"/>
      <c r="FB343" s="23"/>
      <c r="FC343" s="23"/>
      <c r="FD343" s="23"/>
      <c r="FE343" s="23"/>
      <c r="FF343" s="23"/>
      <c r="FG343" s="23"/>
      <c r="FH343" s="23"/>
      <c r="FI343" s="23"/>
      <c r="FJ343" s="23"/>
      <c r="FK343" s="23"/>
      <c r="FL343" s="23"/>
      <c r="FM343" s="23"/>
      <c r="FN343" s="23"/>
      <c r="FO343" s="23"/>
      <c r="FP343" s="23"/>
      <c r="FQ343" s="23"/>
      <c r="FR343" s="23"/>
      <c r="FS343" s="23"/>
      <c r="FT343" s="23"/>
      <c r="FU343" s="23"/>
      <c r="FV343" s="23"/>
      <c r="FW343" s="23"/>
      <c r="FX343" s="23"/>
      <c r="FY343" s="23"/>
      <c r="FZ343" s="23"/>
      <c r="GA343" s="23"/>
      <c r="GB343" s="23"/>
      <c r="GC343" s="23"/>
      <c r="GD343" s="23"/>
      <c r="GE343" s="23"/>
      <c r="GF343" s="23"/>
      <c r="GG343" s="23"/>
      <c r="GH343" s="23"/>
      <c r="GI343" s="23"/>
      <c r="GJ343" s="23"/>
      <c r="GK343" s="23"/>
      <c r="GL343" s="23"/>
    </row>
    <row r="344" spans="1:194" ht="13">
      <c r="A344" s="23"/>
      <c r="B344" s="23"/>
      <c r="C344" s="23"/>
      <c r="D344" s="23"/>
      <c r="E344" s="23"/>
      <c r="F344" s="23"/>
      <c r="G344" s="23"/>
      <c r="H344" s="401"/>
      <c r="I344" s="401"/>
      <c r="J344" s="401"/>
      <c r="K344" s="401"/>
      <c r="L344" s="401"/>
      <c r="M344" s="438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  <c r="AL344" s="23"/>
      <c r="AM344" s="23"/>
      <c r="AN344" s="23"/>
      <c r="AO344" s="23"/>
      <c r="AP344" s="23"/>
      <c r="AQ344" s="23"/>
      <c r="AR344" s="23"/>
      <c r="AS344" s="23"/>
      <c r="AT344" s="23"/>
      <c r="AU344" s="23"/>
      <c r="AV344" s="23"/>
      <c r="AW344" s="23"/>
      <c r="AX344" s="23"/>
      <c r="AY344" s="23"/>
      <c r="AZ344" s="23"/>
      <c r="BA344" s="23"/>
      <c r="BB344" s="23"/>
      <c r="BC344" s="23"/>
      <c r="BD344" s="23"/>
      <c r="BE344" s="23"/>
      <c r="BF344" s="23"/>
      <c r="BG344" s="23"/>
      <c r="BH344" s="23"/>
      <c r="BI344" s="23"/>
      <c r="BJ344" s="23"/>
      <c r="BK344" s="23"/>
      <c r="BL344" s="23"/>
      <c r="BM344" s="23"/>
      <c r="BN344" s="23"/>
      <c r="BO344" s="23"/>
      <c r="BP344" s="23"/>
      <c r="BQ344" s="23"/>
      <c r="BR344" s="23"/>
      <c r="BS344" s="23"/>
      <c r="BT344" s="23"/>
      <c r="BU344" s="23"/>
      <c r="BV344" s="23"/>
      <c r="BW344" s="23"/>
      <c r="BX344" s="23"/>
      <c r="BY344" s="23"/>
      <c r="BZ344" s="23"/>
      <c r="CA344" s="23"/>
      <c r="CB344" s="23"/>
      <c r="CC344" s="23"/>
      <c r="CD344" s="23"/>
      <c r="CE344" s="23"/>
      <c r="CF344" s="23"/>
      <c r="CG344" s="23"/>
      <c r="CH344" s="23"/>
      <c r="CI344" s="23"/>
      <c r="CJ344" s="23"/>
      <c r="CK344" s="23"/>
      <c r="CL344" s="23"/>
      <c r="CM344" s="23"/>
      <c r="CN344" s="23"/>
      <c r="CO344" s="23"/>
      <c r="CP344" s="23"/>
      <c r="CQ344" s="23"/>
      <c r="CR344" s="23"/>
      <c r="CS344" s="23"/>
      <c r="CT344" s="23"/>
      <c r="CU344" s="23"/>
      <c r="CV344" s="23"/>
      <c r="CW344" s="23"/>
      <c r="CX344" s="23"/>
      <c r="CY344" s="23"/>
      <c r="CZ344" s="23"/>
      <c r="DA344" s="23"/>
      <c r="DB344" s="23"/>
      <c r="DC344" s="23"/>
      <c r="DD344" s="23"/>
      <c r="DE344" s="23"/>
      <c r="DF344" s="23"/>
      <c r="DG344" s="23"/>
      <c r="DH344" s="23"/>
      <c r="DI344" s="23"/>
      <c r="DJ344" s="23"/>
      <c r="DK344" s="23"/>
      <c r="DL344" s="23"/>
      <c r="DM344" s="23"/>
      <c r="DN344" s="23"/>
      <c r="DO344" s="23"/>
      <c r="DP344" s="23"/>
      <c r="DQ344" s="23"/>
      <c r="DR344" s="23"/>
      <c r="DS344" s="23"/>
      <c r="DT344" s="23"/>
      <c r="DU344" s="23"/>
      <c r="DV344" s="23"/>
      <c r="DW344" s="23"/>
      <c r="DX344" s="23"/>
      <c r="DY344" s="23"/>
      <c r="DZ344" s="23"/>
      <c r="EA344" s="23"/>
      <c r="EB344" s="23"/>
      <c r="EC344" s="23"/>
      <c r="ED344" s="23"/>
      <c r="EE344" s="23"/>
      <c r="EF344" s="23"/>
      <c r="EG344" s="23"/>
      <c r="EH344" s="23"/>
      <c r="EI344" s="23"/>
      <c r="EJ344" s="23"/>
      <c r="EK344" s="23"/>
      <c r="EL344" s="23"/>
      <c r="EM344" s="23"/>
      <c r="EN344" s="23"/>
      <c r="EO344" s="23"/>
      <c r="EP344" s="23"/>
      <c r="EQ344" s="23"/>
      <c r="ER344" s="23"/>
      <c r="ES344" s="23"/>
      <c r="ET344" s="23"/>
      <c r="EU344" s="23"/>
      <c r="EV344" s="23"/>
      <c r="EW344" s="23"/>
      <c r="EX344" s="23"/>
      <c r="EY344" s="23"/>
      <c r="EZ344" s="23"/>
      <c r="FA344" s="23"/>
      <c r="FB344" s="23"/>
      <c r="FC344" s="23"/>
      <c r="FD344" s="23"/>
      <c r="FE344" s="23"/>
      <c r="FF344" s="23"/>
      <c r="FG344" s="23"/>
      <c r="FH344" s="23"/>
      <c r="FI344" s="23"/>
      <c r="FJ344" s="23"/>
      <c r="FK344" s="23"/>
      <c r="FL344" s="23"/>
      <c r="FM344" s="23"/>
      <c r="FN344" s="23"/>
      <c r="FO344" s="23"/>
      <c r="FP344" s="23"/>
      <c r="FQ344" s="23"/>
      <c r="FR344" s="23"/>
      <c r="FS344" s="23"/>
      <c r="FT344" s="23"/>
      <c r="FU344" s="23"/>
      <c r="FV344" s="23"/>
      <c r="FW344" s="23"/>
      <c r="FX344" s="23"/>
      <c r="FY344" s="23"/>
      <c r="FZ344" s="23"/>
      <c r="GA344" s="23"/>
      <c r="GB344" s="23"/>
      <c r="GC344" s="23"/>
      <c r="GD344" s="23"/>
      <c r="GE344" s="23"/>
      <c r="GF344" s="23"/>
      <c r="GG344" s="23"/>
      <c r="GH344" s="23"/>
      <c r="GI344" s="23"/>
      <c r="GJ344" s="23"/>
      <c r="GK344" s="23"/>
      <c r="GL344" s="23"/>
    </row>
    <row r="345" spans="1:194" ht="13">
      <c r="A345" s="23"/>
      <c r="B345" s="23"/>
      <c r="C345" s="23"/>
      <c r="D345" s="23"/>
      <c r="E345" s="23"/>
      <c r="F345" s="23"/>
      <c r="G345" s="23"/>
      <c r="H345" s="401"/>
      <c r="I345" s="401"/>
      <c r="J345" s="401"/>
      <c r="K345" s="401"/>
      <c r="L345" s="401"/>
      <c r="M345" s="438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  <c r="AL345" s="23"/>
      <c r="AM345" s="23"/>
      <c r="AN345" s="23"/>
      <c r="AO345" s="23"/>
      <c r="AP345" s="23"/>
      <c r="AQ345" s="23"/>
      <c r="AR345" s="23"/>
      <c r="AS345" s="23"/>
      <c r="AT345" s="23"/>
      <c r="AU345" s="23"/>
      <c r="AV345" s="23"/>
      <c r="AW345" s="23"/>
      <c r="AX345" s="23"/>
      <c r="AY345" s="23"/>
      <c r="AZ345" s="23"/>
      <c r="BA345" s="23"/>
      <c r="BB345" s="23"/>
      <c r="BC345" s="23"/>
      <c r="BD345" s="23"/>
      <c r="BE345" s="23"/>
      <c r="BF345" s="23"/>
      <c r="BG345" s="23"/>
      <c r="BH345" s="23"/>
      <c r="BI345" s="23"/>
      <c r="BJ345" s="23"/>
      <c r="BK345" s="23"/>
      <c r="BL345" s="23"/>
      <c r="BM345" s="23"/>
      <c r="BN345" s="23"/>
      <c r="BO345" s="23"/>
      <c r="BP345" s="23"/>
      <c r="BQ345" s="23"/>
      <c r="BR345" s="23"/>
      <c r="BS345" s="23"/>
      <c r="BT345" s="23"/>
      <c r="BU345" s="23"/>
      <c r="BV345" s="23"/>
      <c r="BW345" s="23"/>
      <c r="BX345" s="23"/>
      <c r="BY345" s="23"/>
      <c r="BZ345" s="23"/>
      <c r="CA345" s="23"/>
      <c r="CB345" s="23"/>
      <c r="CC345" s="23"/>
      <c r="CD345" s="23"/>
      <c r="CE345" s="23"/>
      <c r="CF345" s="23"/>
      <c r="CG345" s="23"/>
      <c r="CH345" s="23"/>
      <c r="CI345" s="23"/>
      <c r="CJ345" s="23"/>
      <c r="CK345" s="23"/>
      <c r="CL345" s="23"/>
      <c r="CM345" s="23"/>
      <c r="CN345" s="23"/>
      <c r="CO345" s="23"/>
      <c r="CP345" s="23"/>
      <c r="CQ345" s="23"/>
      <c r="CR345" s="23"/>
      <c r="CS345" s="23"/>
      <c r="CT345" s="23"/>
      <c r="CU345" s="23"/>
      <c r="CV345" s="23"/>
      <c r="CW345" s="23"/>
      <c r="CX345" s="23"/>
      <c r="CY345" s="23"/>
      <c r="CZ345" s="23"/>
      <c r="DA345" s="23"/>
      <c r="DB345" s="23"/>
      <c r="DC345" s="23"/>
      <c r="DD345" s="23"/>
      <c r="DE345" s="23"/>
      <c r="DF345" s="23"/>
      <c r="DG345" s="23"/>
      <c r="DH345" s="23"/>
      <c r="DI345" s="23"/>
      <c r="DJ345" s="23"/>
      <c r="DK345" s="23"/>
      <c r="DL345" s="23"/>
      <c r="DM345" s="23"/>
      <c r="DN345" s="23"/>
      <c r="DO345" s="23"/>
      <c r="DP345" s="23"/>
      <c r="DQ345" s="23"/>
      <c r="DR345" s="23"/>
      <c r="DS345" s="23"/>
      <c r="DT345" s="23"/>
      <c r="DU345" s="23"/>
      <c r="DV345" s="23"/>
      <c r="DW345" s="23"/>
      <c r="DX345" s="23"/>
      <c r="DY345" s="23"/>
      <c r="DZ345" s="23"/>
      <c r="EA345" s="23"/>
      <c r="EB345" s="23"/>
      <c r="EC345" s="23"/>
      <c r="ED345" s="23"/>
      <c r="EE345" s="23"/>
      <c r="EF345" s="23"/>
      <c r="EG345" s="23"/>
      <c r="EH345" s="23"/>
      <c r="EI345" s="23"/>
      <c r="EJ345" s="23"/>
      <c r="EK345" s="23"/>
      <c r="EL345" s="23"/>
      <c r="EM345" s="23"/>
      <c r="EN345" s="23"/>
      <c r="EO345" s="23"/>
      <c r="EP345" s="23"/>
      <c r="EQ345" s="23"/>
      <c r="ER345" s="23"/>
      <c r="ES345" s="23"/>
      <c r="ET345" s="23"/>
      <c r="EU345" s="23"/>
      <c r="EV345" s="23"/>
      <c r="EW345" s="23"/>
      <c r="EX345" s="23"/>
      <c r="EY345" s="23"/>
      <c r="EZ345" s="23"/>
      <c r="FA345" s="23"/>
      <c r="FB345" s="23"/>
      <c r="FC345" s="23"/>
      <c r="FD345" s="23"/>
      <c r="FE345" s="23"/>
      <c r="FF345" s="23"/>
      <c r="FG345" s="23"/>
      <c r="FH345" s="23"/>
      <c r="FI345" s="23"/>
      <c r="FJ345" s="23"/>
      <c r="FK345" s="23"/>
      <c r="FL345" s="23"/>
      <c r="FM345" s="23"/>
      <c r="FN345" s="23"/>
      <c r="FO345" s="23"/>
      <c r="FP345" s="23"/>
      <c r="FQ345" s="23"/>
      <c r="FR345" s="23"/>
      <c r="FS345" s="23"/>
      <c r="FT345" s="23"/>
      <c r="FU345" s="23"/>
      <c r="FV345" s="23"/>
      <c r="FW345" s="23"/>
      <c r="FX345" s="23"/>
      <c r="FY345" s="23"/>
      <c r="FZ345" s="23"/>
      <c r="GA345" s="23"/>
      <c r="GB345" s="23"/>
      <c r="GC345" s="23"/>
      <c r="GD345" s="23"/>
      <c r="GE345" s="23"/>
      <c r="GF345" s="23"/>
      <c r="GG345" s="23"/>
      <c r="GH345" s="23"/>
      <c r="GI345" s="23"/>
      <c r="GJ345" s="23"/>
      <c r="GK345" s="23"/>
      <c r="GL345" s="23"/>
    </row>
    <row r="346" spans="1:194" ht="13">
      <c r="A346" s="23"/>
      <c r="B346" s="23"/>
      <c r="C346" s="23"/>
      <c r="D346" s="23"/>
      <c r="E346" s="23"/>
      <c r="F346" s="23"/>
      <c r="G346" s="23"/>
      <c r="H346" s="401"/>
      <c r="I346" s="401"/>
      <c r="J346" s="401"/>
      <c r="K346" s="401"/>
      <c r="L346" s="401"/>
      <c r="M346" s="438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  <c r="AL346" s="23"/>
      <c r="AM346" s="23"/>
      <c r="AN346" s="23"/>
      <c r="AO346" s="23"/>
      <c r="AP346" s="23"/>
      <c r="AQ346" s="23"/>
      <c r="AR346" s="23"/>
      <c r="AS346" s="23"/>
      <c r="AT346" s="23"/>
      <c r="AU346" s="23"/>
      <c r="AV346" s="23"/>
      <c r="AW346" s="23"/>
      <c r="AX346" s="23"/>
      <c r="AY346" s="23"/>
      <c r="AZ346" s="23"/>
      <c r="BA346" s="23"/>
      <c r="BB346" s="23"/>
      <c r="BC346" s="23"/>
      <c r="BD346" s="23"/>
      <c r="BE346" s="23"/>
      <c r="BF346" s="23"/>
      <c r="BG346" s="23"/>
      <c r="BH346" s="23"/>
      <c r="BI346" s="23"/>
      <c r="BJ346" s="23"/>
      <c r="BK346" s="23"/>
      <c r="BL346" s="23"/>
      <c r="BM346" s="23"/>
      <c r="BN346" s="23"/>
      <c r="BO346" s="23"/>
      <c r="BP346" s="23"/>
      <c r="BQ346" s="23"/>
      <c r="BR346" s="23"/>
      <c r="BS346" s="23"/>
      <c r="BT346" s="23"/>
      <c r="BU346" s="23"/>
      <c r="BV346" s="23"/>
      <c r="BW346" s="23"/>
      <c r="BX346" s="23"/>
      <c r="BY346" s="23"/>
      <c r="BZ346" s="23"/>
      <c r="CA346" s="23"/>
      <c r="CB346" s="23"/>
      <c r="CC346" s="23"/>
      <c r="CD346" s="23"/>
      <c r="CE346" s="23"/>
      <c r="CF346" s="23"/>
      <c r="CG346" s="23"/>
      <c r="CH346" s="23"/>
      <c r="CI346" s="23"/>
      <c r="CJ346" s="23"/>
      <c r="CK346" s="23"/>
      <c r="CL346" s="23"/>
      <c r="CM346" s="23"/>
      <c r="CN346" s="23"/>
      <c r="CO346" s="23"/>
      <c r="CP346" s="23"/>
      <c r="CQ346" s="23"/>
      <c r="CR346" s="23"/>
      <c r="CS346" s="23"/>
      <c r="CT346" s="23"/>
      <c r="CU346" s="23"/>
      <c r="CV346" s="23"/>
      <c r="CW346" s="23"/>
      <c r="CX346" s="23"/>
      <c r="CY346" s="23"/>
      <c r="CZ346" s="23"/>
      <c r="DA346" s="23"/>
      <c r="DB346" s="23"/>
      <c r="DC346" s="23"/>
      <c r="DD346" s="23"/>
      <c r="DE346" s="23"/>
      <c r="DF346" s="23"/>
      <c r="DG346" s="23"/>
      <c r="DH346" s="23"/>
      <c r="DI346" s="23"/>
      <c r="DJ346" s="23"/>
      <c r="DK346" s="23"/>
      <c r="DL346" s="23"/>
      <c r="DM346" s="23"/>
      <c r="DN346" s="23"/>
      <c r="DO346" s="23"/>
      <c r="DP346" s="23"/>
      <c r="DQ346" s="23"/>
      <c r="DR346" s="23"/>
      <c r="DS346" s="23"/>
      <c r="DT346" s="23"/>
      <c r="DU346" s="23"/>
      <c r="DV346" s="23"/>
      <c r="DW346" s="23"/>
      <c r="DX346" s="23"/>
      <c r="DY346" s="23"/>
      <c r="DZ346" s="23"/>
      <c r="EA346" s="23"/>
      <c r="EB346" s="23"/>
      <c r="EC346" s="23"/>
      <c r="ED346" s="23"/>
      <c r="EE346" s="23"/>
      <c r="EF346" s="23"/>
      <c r="EG346" s="23"/>
      <c r="EH346" s="23"/>
      <c r="EI346" s="23"/>
      <c r="EJ346" s="23"/>
      <c r="EK346" s="23"/>
      <c r="EL346" s="23"/>
      <c r="EM346" s="23"/>
      <c r="EN346" s="23"/>
      <c r="EO346" s="23"/>
      <c r="EP346" s="23"/>
      <c r="EQ346" s="23"/>
      <c r="ER346" s="23"/>
      <c r="ES346" s="23"/>
      <c r="ET346" s="23"/>
      <c r="EU346" s="23"/>
      <c r="EV346" s="23"/>
      <c r="EW346" s="23"/>
      <c r="EX346" s="23"/>
      <c r="EY346" s="23"/>
      <c r="EZ346" s="23"/>
      <c r="FA346" s="23"/>
      <c r="FB346" s="23"/>
      <c r="FC346" s="23"/>
      <c r="FD346" s="23"/>
      <c r="FE346" s="23"/>
      <c r="FF346" s="23"/>
      <c r="FG346" s="23"/>
      <c r="FH346" s="23"/>
      <c r="FI346" s="23"/>
      <c r="FJ346" s="23"/>
      <c r="FK346" s="23"/>
      <c r="FL346" s="23"/>
      <c r="FM346" s="23"/>
      <c r="FN346" s="23"/>
      <c r="FO346" s="23"/>
      <c r="FP346" s="23"/>
      <c r="FQ346" s="23"/>
      <c r="FR346" s="23"/>
      <c r="FS346" s="23"/>
      <c r="FT346" s="23"/>
      <c r="FU346" s="23"/>
      <c r="FV346" s="23"/>
      <c r="FW346" s="23"/>
      <c r="FX346" s="23"/>
      <c r="FY346" s="23"/>
      <c r="FZ346" s="23"/>
      <c r="GA346" s="23"/>
      <c r="GB346" s="23"/>
      <c r="GC346" s="23"/>
      <c r="GD346" s="23"/>
      <c r="GE346" s="23"/>
      <c r="GF346" s="23"/>
      <c r="GG346" s="23"/>
      <c r="GH346" s="23"/>
      <c r="GI346" s="23"/>
      <c r="GJ346" s="23"/>
      <c r="GK346" s="23"/>
      <c r="GL346" s="23"/>
    </row>
    <row r="347" spans="1:194" ht="13">
      <c r="A347" s="23"/>
      <c r="B347" s="23"/>
      <c r="C347" s="23"/>
      <c r="D347" s="23"/>
      <c r="E347" s="23"/>
      <c r="F347" s="23"/>
      <c r="G347" s="23"/>
      <c r="H347" s="401"/>
      <c r="I347" s="401"/>
      <c r="J347" s="401"/>
      <c r="K347" s="401"/>
      <c r="L347" s="401"/>
      <c r="M347" s="438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  <c r="AL347" s="23"/>
      <c r="AM347" s="23"/>
      <c r="AN347" s="23"/>
      <c r="AO347" s="23"/>
      <c r="AP347" s="23"/>
      <c r="AQ347" s="23"/>
      <c r="AR347" s="23"/>
      <c r="AS347" s="23"/>
      <c r="AT347" s="23"/>
      <c r="AU347" s="23"/>
      <c r="AV347" s="23"/>
      <c r="AW347" s="23"/>
      <c r="AX347" s="23"/>
      <c r="AY347" s="23"/>
      <c r="AZ347" s="23"/>
      <c r="BA347" s="23"/>
      <c r="BB347" s="23"/>
      <c r="BC347" s="23"/>
      <c r="BD347" s="23"/>
      <c r="BE347" s="23"/>
      <c r="BF347" s="23"/>
      <c r="BG347" s="23"/>
      <c r="BH347" s="23"/>
      <c r="BI347" s="23"/>
      <c r="BJ347" s="23"/>
      <c r="BK347" s="23"/>
      <c r="BL347" s="23"/>
      <c r="BM347" s="23"/>
      <c r="BN347" s="23"/>
      <c r="BO347" s="23"/>
      <c r="BP347" s="23"/>
      <c r="BQ347" s="23"/>
      <c r="BR347" s="23"/>
      <c r="BS347" s="23"/>
      <c r="BT347" s="23"/>
      <c r="BU347" s="23"/>
      <c r="BV347" s="23"/>
      <c r="BW347" s="23"/>
      <c r="BX347" s="23"/>
      <c r="BY347" s="23"/>
      <c r="BZ347" s="23"/>
      <c r="CA347" s="23"/>
      <c r="CB347" s="23"/>
      <c r="CC347" s="23"/>
      <c r="CD347" s="23"/>
      <c r="CE347" s="23"/>
      <c r="CF347" s="23"/>
      <c r="CG347" s="23"/>
      <c r="CH347" s="23"/>
      <c r="CI347" s="23"/>
      <c r="CJ347" s="23"/>
      <c r="CK347" s="23"/>
      <c r="CL347" s="23"/>
      <c r="CM347" s="23"/>
      <c r="CN347" s="23"/>
      <c r="CO347" s="23"/>
      <c r="CP347" s="23"/>
      <c r="CQ347" s="23"/>
      <c r="CR347" s="23"/>
      <c r="CS347" s="23"/>
      <c r="CT347" s="23"/>
      <c r="CU347" s="23"/>
      <c r="CV347" s="23"/>
      <c r="CW347" s="23"/>
      <c r="CX347" s="23"/>
      <c r="CY347" s="23"/>
      <c r="CZ347" s="23"/>
      <c r="DA347" s="23"/>
      <c r="DB347" s="23"/>
      <c r="DC347" s="23"/>
      <c r="DD347" s="23"/>
      <c r="DE347" s="23"/>
      <c r="DF347" s="23"/>
      <c r="DG347" s="23"/>
      <c r="DH347" s="23"/>
      <c r="DI347" s="23"/>
      <c r="DJ347" s="23"/>
      <c r="DK347" s="23"/>
      <c r="DL347" s="23"/>
      <c r="DM347" s="23"/>
      <c r="DN347" s="23"/>
      <c r="DO347" s="23"/>
      <c r="DP347" s="23"/>
      <c r="DQ347" s="23"/>
      <c r="DR347" s="23"/>
      <c r="DS347" s="23"/>
      <c r="DT347" s="23"/>
      <c r="DU347" s="23"/>
      <c r="DV347" s="23"/>
      <c r="DW347" s="23"/>
      <c r="DX347" s="23"/>
      <c r="DY347" s="23"/>
      <c r="DZ347" s="23"/>
      <c r="EA347" s="23"/>
      <c r="EB347" s="23"/>
      <c r="EC347" s="23"/>
      <c r="ED347" s="23"/>
      <c r="EE347" s="23"/>
      <c r="EF347" s="23"/>
      <c r="EG347" s="23"/>
      <c r="EH347" s="23"/>
      <c r="EI347" s="23"/>
      <c r="EJ347" s="23"/>
      <c r="EK347" s="23"/>
      <c r="EL347" s="23"/>
      <c r="EM347" s="23"/>
      <c r="EN347" s="23"/>
      <c r="EO347" s="23"/>
      <c r="EP347" s="23"/>
      <c r="EQ347" s="23"/>
      <c r="ER347" s="23"/>
      <c r="ES347" s="23"/>
      <c r="ET347" s="23"/>
      <c r="EU347" s="23"/>
      <c r="EV347" s="23"/>
      <c r="EW347" s="23"/>
      <c r="EX347" s="23"/>
      <c r="EY347" s="23"/>
      <c r="EZ347" s="23"/>
      <c r="FA347" s="23"/>
      <c r="FB347" s="23"/>
      <c r="FC347" s="23"/>
      <c r="FD347" s="23"/>
      <c r="FE347" s="23"/>
      <c r="FF347" s="23"/>
      <c r="FG347" s="23"/>
      <c r="FH347" s="23"/>
      <c r="FI347" s="23"/>
      <c r="FJ347" s="23"/>
      <c r="FK347" s="23"/>
      <c r="FL347" s="23"/>
      <c r="FM347" s="23"/>
      <c r="FN347" s="23"/>
      <c r="FO347" s="23"/>
      <c r="FP347" s="23"/>
      <c r="FQ347" s="23"/>
      <c r="FR347" s="23"/>
      <c r="FS347" s="23"/>
      <c r="FT347" s="23"/>
      <c r="FU347" s="23"/>
      <c r="FV347" s="23"/>
      <c r="FW347" s="23"/>
      <c r="FX347" s="23"/>
      <c r="FY347" s="23"/>
      <c r="FZ347" s="23"/>
      <c r="GA347" s="23"/>
      <c r="GB347" s="23"/>
      <c r="GC347" s="23"/>
      <c r="GD347" s="23"/>
      <c r="GE347" s="23"/>
      <c r="GF347" s="23"/>
      <c r="GG347" s="23"/>
      <c r="GH347" s="23"/>
      <c r="GI347" s="23"/>
      <c r="GJ347" s="23"/>
      <c r="GK347" s="23"/>
      <c r="GL347" s="23"/>
    </row>
    <row r="348" spans="1:194" ht="13">
      <c r="A348" s="23"/>
      <c r="B348" s="23"/>
      <c r="C348" s="23"/>
      <c r="D348" s="23"/>
      <c r="E348" s="23"/>
      <c r="F348" s="23"/>
      <c r="G348" s="23"/>
      <c r="H348" s="401"/>
      <c r="I348" s="401"/>
      <c r="J348" s="401"/>
      <c r="K348" s="401"/>
      <c r="L348" s="401"/>
      <c r="M348" s="438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  <c r="AW348" s="23"/>
      <c r="AX348" s="23"/>
      <c r="AY348" s="23"/>
      <c r="AZ348" s="23"/>
      <c r="BA348" s="23"/>
      <c r="BB348" s="23"/>
      <c r="BC348" s="23"/>
      <c r="BD348" s="23"/>
      <c r="BE348" s="23"/>
      <c r="BF348" s="23"/>
      <c r="BG348" s="23"/>
      <c r="BH348" s="23"/>
      <c r="BI348" s="23"/>
      <c r="BJ348" s="23"/>
      <c r="BK348" s="23"/>
      <c r="BL348" s="23"/>
      <c r="BM348" s="23"/>
      <c r="BN348" s="23"/>
      <c r="BO348" s="23"/>
      <c r="BP348" s="23"/>
      <c r="BQ348" s="23"/>
      <c r="BR348" s="23"/>
      <c r="BS348" s="23"/>
      <c r="BT348" s="23"/>
      <c r="BU348" s="23"/>
      <c r="BV348" s="23"/>
      <c r="BW348" s="23"/>
      <c r="BX348" s="23"/>
      <c r="BY348" s="23"/>
      <c r="BZ348" s="23"/>
      <c r="CA348" s="23"/>
      <c r="CB348" s="23"/>
      <c r="CC348" s="23"/>
      <c r="CD348" s="23"/>
      <c r="CE348" s="23"/>
      <c r="CF348" s="23"/>
      <c r="CG348" s="23"/>
      <c r="CH348" s="23"/>
      <c r="CI348" s="23"/>
      <c r="CJ348" s="23"/>
      <c r="CK348" s="23"/>
      <c r="CL348" s="23"/>
      <c r="CM348" s="23"/>
      <c r="CN348" s="23"/>
      <c r="CO348" s="23"/>
      <c r="CP348" s="23"/>
      <c r="CQ348" s="23"/>
      <c r="CR348" s="23"/>
      <c r="CS348" s="23"/>
      <c r="CT348" s="23"/>
      <c r="CU348" s="23"/>
      <c r="CV348" s="23"/>
      <c r="CW348" s="23"/>
      <c r="CX348" s="23"/>
      <c r="CY348" s="23"/>
      <c r="CZ348" s="23"/>
      <c r="DA348" s="23"/>
      <c r="DB348" s="23"/>
      <c r="DC348" s="23"/>
      <c r="DD348" s="23"/>
      <c r="DE348" s="23"/>
      <c r="DF348" s="23"/>
      <c r="DG348" s="23"/>
      <c r="DH348" s="23"/>
      <c r="DI348" s="23"/>
      <c r="DJ348" s="23"/>
      <c r="DK348" s="23"/>
      <c r="DL348" s="23"/>
      <c r="DM348" s="23"/>
      <c r="DN348" s="23"/>
      <c r="DO348" s="23"/>
      <c r="DP348" s="23"/>
      <c r="DQ348" s="23"/>
      <c r="DR348" s="23"/>
      <c r="DS348" s="23"/>
      <c r="DT348" s="23"/>
      <c r="DU348" s="23"/>
      <c r="DV348" s="23"/>
      <c r="DW348" s="23"/>
      <c r="DX348" s="23"/>
      <c r="DY348" s="23"/>
      <c r="DZ348" s="23"/>
      <c r="EA348" s="23"/>
      <c r="EB348" s="23"/>
      <c r="EC348" s="23"/>
      <c r="ED348" s="23"/>
      <c r="EE348" s="23"/>
      <c r="EF348" s="23"/>
      <c r="EG348" s="23"/>
      <c r="EH348" s="23"/>
      <c r="EI348" s="23"/>
      <c r="EJ348" s="23"/>
      <c r="EK348" s="23"/>
      <c r="EL348" s="23"/>
      <c r="EM348" s="23"/>
      <c r="EN348" s="23"/>
      <c r="EO348" s="23"/>
      <c r="EP348" s="23"/>
      <c r="EQ348" s="23"/>
      <c r="ER348" s="23"/>
      <c r="ES348" s="23"/>
      <c r="ET348" s="23"/>
      <c r="EU348" s="23"/>
      <c r="EV348" s="23"/>
      <c r="EW348" s="23"/>
      <c r="EX348" s="23"/>
      <c r="EY348" s="23"/>
      <c r="EZ348" s="23"/>
      <c r="FA348" s="23"/>
      <c r="FB348" s="23"/>
      <c r="FC348" s="23"/>
      <c r="FD348" s="23"/>
      <c r="FE348" s="23"/>
      <c r="FF348" s="23"/>
      <c r="FG348" s="23"/>
      <c r="FH348" s="23"/>
      <c r="FI348" s="23"/>
      <c r="FJ348" s="23"/>
      <c r="FK348" s="23"/>
      <c r="FL348" s="23"/>
      <c r="FM348" s="23"/>
      <c r="FN348" s="23"/>
      <c r="FO348" s="23"/>
      <c r="FP348" s="23"/>
      <c r="FQ348" s="23"/>
      <c r="FR348" s="23"/>
      <c r="FS348" s="23"/>
      <c r="FT348" s="23"/>
      <c r="FU348" s="23"/>
      <c r="FV348" s="23"/>
      <c r="FW348" s="23"/>
      <c r="FX348" s="23"/>
      <c r="FY348" s="23"/>
      <c r="FZ348" s="23"/>
      <c r="GA348" s="23"/>
      <c r="GB348" s="23"/>
      <c r="GC348" s="23"/>
      <c r="GD348" s="23"/>
      <c r="GE348" s="23"/>
      <c r="GF348" s="23"/>
      <c r="GG348" s="23"/>
      <c r="GH348" s="23"/>
      <c r="GI348" s="23"/>
      <c r="GJ348" s="23"/>
      <c r="GK348" s="23"/>
      <c r="GL348" s="23"/>
    </row>
    <row r="349" spans="1:194" ht="13">
      <c r="A349" s="23"/>
      <c r="B349" s="23"/>
      <c r="C349" s="23"/>
      <c r="D349" s="23"/>
      <c r="E349" s="23"/>
      <c r="F349" s="23"/>
      <c r="G349" s="23"/>
      <c r="H349" s="401"/>
      <c r="I349" s="401"/>
      <c r="J349" s="401"/>
      <c r="K349" s="401"/>
      <c r="L349" s="401"/>
      <c r="M349" s="438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23"/>
      <c r="BD349" s="23"/>
      <c r="BE349" s="23"/>
      <c r="BF349" s="23"/>
      <c r="BG349" s="23"/>
      <c r="BH349" s="23"/>
      <c r="BI349" s="23"/>
      <c r="BJ349" s="23"/>
      <c r="BK349" s="23"/>
      <c r="BL349" s="23"/>
      <c r="BM349" s="23"/>
      <c r="BN349" s="23"/>
      <c r="BO349" s="23"/>
      <c r="BP349" s="23"/>
      <c r="BQ349" s="23"/>
      <c r="BR349" s="23"/>
      <c r="BS349" s="23"/>
      <c r="BT349" s="23"/>
      <c r="BU349" s="23"/>
      <c r="BV349" s="23"/>
      <c r="BW349" s="23"/>
      <c r="BX349" s="23"/>
      <c r="BY349" s="23"/>
      <c r="BZ349" s="23"/>
      <c r="CA349" s="23"/>
      <c r="CB349" s="23"/>
      <c r="CC349" s="23"/>
      <c r="CD349" s="23"/>
      <c r="CE349" s="23"/>
      <c r="CF349" s="23"/>
      <c r="CG349" s="23"/>
      <c r="CH349" s="23"/>
      <c r="CI349" s="23"/>
      <c r="CJ349" s="23"/>
      <c r="CK349" s="23"/>
      <c r="CL349" s="23"/>
      <c r="CM349" s="23"/>
      <c r="CN349" s="23"/>
      <c r="CO349" s="23"/>
      <c r="CP349" s="23"/>
      <c r="CQ349" s="23"/>
      <c r="CR349" s="23"/>
      <c r="CS349" s="23"/>
      <c r="CT349" s="23"/>
      <c r="CU349" s="23"/>
      <c r="CV349" s="23"/>
      <c r="CW349" s="23"/>
      <c r="CX349" s="23"/>
      <c r="CY349" s="23"/>
      <c r="CZ349" s="23"/>
      <c r="DA349" s="23"/>
      <c r="DB349" s="23"/>
      <c r="DC349" s="23"/>
      <c r="DD349" s="23"/>
      <c r="DE349" s="23"/>
      <c r="DF349" s="23"/>
      <c r="DG349" s="23"/>
      <c r="DH349" s="23"/>
      <c r="DI349" s="23"/>
      <c r="DJ349" s="23"/>
      <c r="DK349" s="23"/>
      <c r="DL349" s="23"/>
      <c r="DM349" s="23"/>
      <c r="DN349" s="23"/>
      <c r="DO349" s="23"/>
      <c r="DP349" s="23"/>
      <c r="DQ349" s="23"/>
      <c r="DR349" s="23"/>
      <c r="DS349" s="23"/>
      <c r="DT349" s="23"/>
      <c r="DU349" s="23"/>
      <c r="DV349" s="23"/>
      <c r="DW349" s="23"/>
      <c r="DX349" s="23"/>
      <c r="DY349" s="23"/>
      <c r="DZ349" s="23"/>
      <c r="EA349" s="23"/>
      <c r="EB349" s="23"/>
      <c r="EC349" s="23"/>
      <c r="ED349" s="23"/>
      <c r="EE349" s="23"/>
      <c r="EF349" s="23"/>
      <c r="EG349" s="23"/>
      <c r="EH349" s="23"/>
      <c r="EI349" s="23"/>
      <c r="EJ349" s="23"/>
      <c r="EK349" s="23"/>
      <c r="EL349" s="23"/>
      <c r="EM349" s="23"/>
      <c r="EN349" s="23"/>
      <c r="EO349" s="23"/>
      <c r="EP349" s="23"/>
      <c r="EQ349" s="23"/>
      <c r="ER349" s="23"/>
      <c r="ES349" s="23"/>
      <c r="ET349" s="23"/>
      <c r="EU349" s="23"/>
      <c r="EV349" s="23"/>
      <c r="EW349" s="23"/>
      <c r="EX349" s="23"/>
      <c r="EY349" s="23"/>
      <c r="EZ349" s="23"/>
      <c r="FA349" s="23"/>
      <c r="FB349" s="23"/>
      <c r="FC349" s="23"/>
      <c r="FD349" s="23"/>
      <c r="FE349" s="23"/>
      <c r="FF349" s="23"/>
      <c r="FG349" s="23"/>
      <c r="FH349" s="23"/>
      <c r="FI349" s="23"/>
      <c r="FJ349" s="23"/>
      <c r="FK349" s="23"/>
      <c r="FL349" s="23"/>
      <c r="FM349" s="23"/>
      <c r="FN349" s="23"/>
      <c r="FO349" s="23"/>
      <c r="FP349" s="23"/>
      <c r="FQ349" s="23"/>
      <c r="FR349" s="23"/>
      <c r="FS349" s="23"/>
      <c r="FT349" s="23"/>
      <c r="FU349" s="23"/>
      <c r="FV349" s="23"/>
      <c r="FW349" s="23"/>
      <c r="FX349" s="23"/>
      <c r="FY349" s="23"/>
      <c r="FZ349" s="23"/>
      <c r="GA349" s="23"/>
      <c r="GB349" s="23"/>
      <c r="GC349" s="23"/>
      <c r="GD349" s="23"/>
      <c r="GE349" s="23"/>
      <c r="GF349" s="23"/>
      <c r="GG349" s="23"/>
      <c r="GH349" s="23"/>
      <c r="GI349" s="23"/>
      <c r="GJ349" s="23"/>
      <c r="GK349" s="23"/>
      <c r="GL349" s="23"/>
    </row>
    <row r="350" spans="1:194" ht="13">
      <c r="A350" s="23"/>
      <c r="B350" s="23"/>
      <c r="C350" s="23"/>
      <c r="D350" s="23"/>
      <c r="E350" s="23"/>
      <c r="F350" s="23"/>
      <c r="G350" s="23"/>
      <c r="H350" s="401"/>
      <c r="I350" s="401"/>
      <c r="J350" s="401"/>
      <c r="K350" s="401"/>
      <c r="L350" s="401"/>
      <c r="M350" s="438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  <c r="AW350" s="23"/>
      <c r="AX350" s="23"/>
      <c r="AY350" s="23"/>
      <c r="AZ350" s="23"/>
      <c r="BA350" s="23"/>
      <c r="BB350" s="23"/>
      <c r="BC350" s="23"/>
      <c r="BD350" s="23"/>
      <c r="BE350" s="23"/>
      <c r="BF350" s="23"/>
      <c r="BG350" s="23"/>
      <c r="BH350" s="23"/>
      <c r="BI350" s="23"/>
      <c r="BJ350" s="23"/>
      <c r="BK350" s="23"/>
      <c r="BL350" s="23"/>
      <c r="BM350" s="23"/>
      <c r="BN350" s="23"/>
      <c r="BO350" s="23"/>
      <c r="BP350" s="23"/>
      <c r="BQ350" s="23"/>
      <c r="BR350" s="23"/>
      <c r="BS350" s="23"/>
      <c r="BT350" s="23"/>
      <c r="BU350" s="23"/>
      <c r="BV350" s="23"/>
      <c r="BW350" s="23"/>
      <c r="BX350" s="23"/>
      <c r="BY350" s="23"/>
      <c r="BZ350" s="23"/>
      <c r="CA350" s="23"/>
      <c r="CB350" s="23"/>
      <c r="CC350" s="23"/>
      <c r="CD350" s="23"/>
      <c r="CE350" s="23"/>
      <c r="CF350" s="23"/>
      <c r="CG350" s="23"/>
      <c r="CH350" s="23"/>
      <c r="CI350" s="23"/>
      <c r="CJ350" s="23"/>
      <c r="CK350" s="23"/>
      <c r="CL350" s="23"/>
      <c r="CM350" s="23"/>
      <c r="CN350" s="23"/>
      <c r="CO350" s="23"/>
      <c r="CP350" s="23"/>
      <c r="CQ350" s="23"/>
      <c r="CR350" s="23"/>
      <c r="CS350" s="23"/>
      <c r="CT350" s="23"/>
      <c r="CU350" s="23"/>
      <c r="CV350" s="23"/>
      <c r="CW350" s="23"/>
      <c r="CX350" s="23"/>
      <c r="CY350" s="23"/>
      <c r="CZ350" s="23"/>
      <c r="DA350" s="23"/>
      <c r="DB350" s="23"/>
      <c r="DC350" s="23"/>
      <c r="DD350" s="23"/>
      <c r="DE350" s="23"/>
      <c r="DF350" s="23"/>
      <c r="DG350" s="23"/>
      <c r="DH350" s="23"/>
      <c r="DI350" s="23"/>
      <c r="DJ350" s="23"/>
      <c r="DK350" s="23"/>
      <c r="DL350" s="23"/>
      <c r="DM350" s="23"/>
      <c r="DN350" s="23"/>
      <c r="DO350" s="23"/>
      <c r="DP350" s="23"/>
      <c r="DQ350" s="23"/>
      <c r="DR350" s="23"/>
      <c r="DS350" s="23"/>
      <c r="DT350" s="23"/>
      <c r="DU350" s="23"/>
      <c r="DV350" s="23"/>
      <c r="DW350" s="23"/>
      <c r="DX350" s="23"/>
      <c r="DY350" s="23"/>
      <c r="DZ350" s="23"/>
      <c r="EA350" s="23"/>
      <c r="EB350" s="23"/>
      <c r="EC350" s="23"/>
      <c r="ED350" s="23"/>
      <c r="EE350" s="23"/>
      <c r="EF350" s="23"/>
      <c r="EG350" s="23"/>
      <c r="EH350" s="23"/>
      <c r="EI350" s="23"/>
      <c r="EJ350" s="23"/>
      <c r="EK350" s="23"/>
      <c r="EL350" s="23"/>
      <c r="EM350" s="23"/>
      <c r="EN350" s="23"/>
      <c r="EO350" s="23"/>
      <c r="EP350" s="23"/>
      <c r="EQ350" s="23"/>
      <c r="ER350" s="23"/>
      <c r="ES350" s="23"/>
      <c r="ET350" s="23"/>
      <c r="EU350" s="23"/>
      <c r="EV350" s="23"/>
      <c r="EW350" s="23"/>
      <c r="EX350" s="23"/>
      <c r="EY350" s="23"/>
      <c r="EZ350" s="23"/>
      <c r="FA350" s="23"/>
      <c r="FB350" s="23"/>
      <c r="FC350" s="23"/>
      <c r="FD350" s="23"/>
      <c r="FE350" s="23"/>
      <c r="FF350" s="23"/>
      <c r="FG350" s="23"/>
      <c r="FH350" s="23"/>
      <c r="FI350" s="23"/>
      <c r="FJ350" s="23"/>
      <c r="FK350" s="23"/>
      <c r="FL350" s="23"/>
      <c r="FM350" s="23"/>
      <c r="FN350" s="23"/>
      <c r="FO350" s="23"/>
      <c r="FP350" s="23"/>
      <c r="FQ350" s="23"/>
      <c r="FR350" s="23"/>
      <c r="FS350" s="23"/>
      <c r="FT350" s="23"/>
      <c r="FU350" s="23"/>
      <c r="FV350" s="23"/>
      <c r="FW350" s="23"/>
      <c r="FX350" s="23"/>
      <c r="FY350" s="23"/>
      <c r="FZ350" s="23"/>
      <c r="GA350" s="23"/>
      <c r="GB350" s="23"/>
      <c r="GC350" s="23"/>
      <c r="GD350" s="23"/>
      <c r="GE350" s="23"/>
      <c r="GF350" s="23"/>
      <c r="GG350" s="23"/>
      <c r="GH350" s="23"/>
      <c r="GI350" s="23"/>
      <c r="GJ350" s="23"/>
      <c r="GK350" s="23"/>
      <c r="GL350" s="23"/>
    </row>
    <row r="351" spans="1:194" ht="13">
      <c r="A351" s="23"/>
      <c r="B351" s="23"/>
      <c r="C351" s="23"/>
      <c r="D351" s="23"/>
      <c r="E351" s="23"/>
      <c r="F351" s="23"/>
      <c r="G351" s="23"/>
      <c r="H351" s="401"/>
      <c r="I351" s="401"/>
      <c r="J351" s="401"/>
      <c r="K351" s="401"/>
      <c r="L351" s="401"/>
      <c r="M351" s="438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  <c r="AW351" s="23"/>
      <c r="AX351" s="23"/>
      <c r="AY351" s="23"/>
      <c r="AZ351" s="23"/>
      <c r="BA351" s="23"/>
      <c r="BB351" s="23"/>
      <c r="BC351" s="23"/>
      <c r="BD351" s="23"/>
      <c r="BE351" s="23"/>
      <c r="BF351" s="23"/>
      <c r="BG351" s="23"/>
      <c r="BH351" s="23"/>
      <c r="BI351" s="23"/>
      <c r="BJ351" s="23"/>
      <c r="BK351" s="23"/>
      <c r="BL351" s="23"/>
      <c r="BM351" s="23"/>
      <c r="BN351" s="23"/>
      <c r="BO351" s="23"/>
      <c r="BP351" s="23"/>
      <c r="BQ351" s="23"/>
      <c r="BR351" s="23"/>
      <c r="BS351" s="23"/>
      <c r="BT351" s="23"/>
      <c r="BU351" s="23"/>
      <c r="BV351" s="23"/>
      <c r="BW351" s="23"/>
      <c r="BX351" s="23"/>
      <c r="BY351" s="23"/>
      <c r="BZ351" s="23"/>
      <c r="CA351" s="23"/>
      <c r="CB351" s="23"/>
      <c r="CC351" s="23"/>
      <c r="CD351" s="23"/>
      <c r="CE351" s="23"/>
      <c r="CF351" s="23"/>
      <c r="CG351" s="23"/>
      <c r="CH351" s="23"/>
      <c r="CI351" s="23"/>
      <c r="CJ351" s="23"/>
      <c r="CK351" s="23"/>
      <c r="CL351" s="23"/>
      <c r="CM351" s="23"/>
      <c r="CN351" s="23"/>
      <c r="CO351" s="23"/>
      <c r="CP351" s="23"/>
      <c r="CQ351" s="23"/>
      <c r="CR351" s="23"/>
      <c r="CS351" s="23"/>
      <c r="CT351" s="23"/>
      <c r="CU351" s="23"/>
      <c r="CV351" s="23"/>
      <c r="CW351" s="23"/>
      <c r="CX351" s="23"/>
      <c r="CY351" s="23"/>
      <c r="CZ351" s="23"/>
      <c r="DA351" s="23"/>
      <c r="DB351" s="23"/>
      <c r="DC351" s="23"/>
      <c r="DD351" s="23"/>
      <c r="DE351" s="23"/>
      <c r="DF351" s="23"/>
      <c r="DG351" s="23"/>
      <c r="DH351" s="23"/>
      <c r="DI351" s="23"/>
      <c r="DJ351" s="23"/>
      <c r="DK351" s="23"/>
      <c r="DL351" s="23"/>
      <c r="DM351" s="23"/>
      <c r="DN351" s="23"/>
      <c r="DO351" s="23"/>
      <c r="DP351" s="23"/>
      <c r="DQ351" s="23"/>
      <c r="DR351" s="23"/>
      <c r="DS351" s="23"/>
      <c r="DT351" s="23"/>
      <c r="DU351" s="23"/>
      <c r="DV351" s="23"/>
      <c r="DW351" s="23"/>
      <c r="DX351" s="23"/>
      <c r="DY351" s="23"/>
      <c r="DZ351" s="23"/>
      <c r="EA351" s="23"/>
      <c r="EB351" s="23"/>
      <c r="EC351" s="23"/>
      <c r="ED351" s="23"/>
      <c r="EE351" s="23"/>
      <c r="EF351" s="23"/>
      <c r="EG351" s="23"/>
      <c r="EH351" s="23"/>
      <c r="EI351" s="23"/>
      <c r="EJ351" s="23"/>
      <c r="EK351" s="23"/>
      <c r="EL351" s="23"/>
      <c r="EM351" s="23"/>
      <c r="EN351" s="23"/>
      <c r="EO351" s="23"/>
      <c r="EP351" s="23"/>
      <c r="EQ351" s="23"/>
      <c r="ER351" s="23"/>
      <c r="ES351" s="23"/>
      <c r="ET351" s="23"/>
      <c r="EU351" s="23"/>
      <c r="EV351" s="23"/>
      <c r="EW351" s="23"/>
      <c r="EX351" s="23"/>
      <c r="EY351" s="23"/>
      <c r="EZ351" s="23"/>
      <c r="FA351" s="23"/>
      <c r="FB351" s="23"/>
      <c r="FC351" s="23"/>
      <c r="FD351" s="23"/>
      <c r="FE351" s="23"/>
      <c r="FF351" s="23"/>
      <c r="FG351" s="23"/>
      <c r="FH351" s="23"/>
      <c r="FI351" s="23"/>
      <c r="FJ351" s="23"/>
      <c r="FK351" s="23"/>
      <c r="FL351" s="23"/>
      <c r="FM351" s="23"/>
      <c r="FN351" s="23"/>
      <c r="FO351" s="23"/>
      <c r="FP351" s="23"/>
      <c r="FQ351" s="23"/>
      <c r="FR351" s="23"/>
      <c r="FS351" s="23"/>
      <c r="FT351" s="23"/>
      <c r="FU351" s="23"/>
      <c r="FV351" s="23"/>
      <c r="FW351" s="23"/>
      <c r="FX351" s="23"/>
      <c r="FY351" s="23"/>
      <c r="FZ351" s="23"/>
      <c r="GA351" s="23"/>
      <c r="GB351" s="23"/>
      <c r="GC351" s="23"/>
      <c r="GD351" s="23"/>
      <c r="GE351" s="23"/>
      <c r="GF351" s="23"/>
      <c r="GG351" s="23"/>
      <c r="GH351" s="23"/>
      <c r="GI351" s="23"/>
      <c r="GJ351" s="23"/>
      <c r="GK351" s="23"/>
      <c r="GL351" s="23"/>
    </row>
    <row r="352" spans="1:194" ht="13">
      <c r="A352" s="23"/>
      <c r="B352" s="23"/>
      <c r="C352" s="23"/>
      <c r="D352" s="23"/>
      <c r="E352" s="23"/>
      <c r="F352" s="23"/>
      <c r="G352" s="23"/>
      <c r="H352" s="401"/>
      <c r="I352" s="401"/>
      <c r="J352" s="401"/>
      <c r="K352" s="401"/>
      <c r="L352" s="401"/>
      <c r="M352" s="438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  <c r="AL352" s="23"/>
      <c r="AM352" s="23"/>
      <c r="AN352" s="23"/>
      <c r="AO352" s="23"/>
      <c r="AP352" s="23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  <c r="BA352" s="23"/>
      <c r="BB352" s="23"/>
      <c r="BC352" s="23"/>
      <c r="BD352" s="23"/>
      <c r="BE352" s="23"/>
      <c r="BF352" s="23"/>
      <c r="BG352" s="23"/>
      <c r="BH352" s="23"/>
      <c r="BI352" s="23"/>
      <c r="BJ352" s="23"/>
      <c r="BK352" s="23"/>
      <c r="BL352" s="23"/>
      <c r="BM352" s="23"/>
      <c r="BN352" s="23"/>
      <c r="BO352" s="23"/>
      <c r="BP352" s="23"/>
      <c r="BQ352" s="23"/>
      <c r="BR352" s="23"/>
      <c r="BS352" s="23"/>
      <c r="BT352" s="23"/>
      <c r="BU352" s="23"/>
      <c r="BV352" s="23"/>
      <c r="BW352" s="23"/>
      <c r="BX352" s="23"/>
      <c r="BY352" s="23"/>
      <c r="BZ352" s="23"/>
      <c r="CA352" s="23"/>
      <c r="CB352" s="23"/>
      <c r="CC352" s="23"/>
      <c r="CD352" s="23"/>
      <c r="CE352" s="23"/>
      <c r="CF352" s="23"/>
      <c r="CG352" s="23"/>
      <c r="CH352" s="23"/>
      <c r="CI352" s="23"/>
      <c r="CJ352" s="23"/>
      <c r="CK352" s="23"/>
      <c r="CL352" s="23"/>
      <c r="CM352" s="23"/>
      <c r="CN352" s="23"/>
      <c r="CO352" s="23"/>
      <c r="CP352" s="23"/>
      <c r="CQ352" s="23"/>
      <c r="CR352" s="23"/>
      <c r="CS352" s="23"/>
      <c r="CT352" s="23"/>
      <c r="CU352" s="23"/>
      <c r="CV352" s="23"/>
      <c r="CW352" s="23"/>
      <c r="CX352" s="23"/>
      <c r="CY352" s="23"/>
      <c r="CZ352" s="23"/>
      <c r="DA352" s="23"/>
      <c r="DB352" s="23"/>
      <c r="DC352" s="23"/>
      <c r="DD352" s="23"/>
      <c r="DE352" s="23"/>
      <c r="DF352" s="23"/>
      <c r="DG352" s="23"/>
      <c r="DH352" s="23"/>
      <c r="DI352" s="23"/>
      <c r="DJ352" s="23"/>
      <c r="DK352" s="23"/>
      <c r="DL352" s="23"/>
      <c r="DM352" s="23"/>
      <c r="DN352" s="23"/>
      <c r="DO352" s="23"/>
      <c r="DP352" s="23"/>
      <c r="DQ352" s="23"/>
      <c r="DR352" s="23"/>
      <c r="DS352" s="23"/>
      <c r="DT352" s="23"/>
      <c r="DU352" s="23"/>
      <c r="DV352" s="23"/>
      <c r="DW352" s="23"/>
      <c r="DX352" s="23"/>
      <c r="DY352" s="23"/>
      <c r="DZ352" s="23"/>
      <c r="EA352" s="23"/>
      <c r="EB352" s="23"/>
      <c r="EC352" s="23"/>
      <c r="ED352" s="23"/>
      <c r="EE352" s="23"/>
      <c r="EF352" s="23"/>
      <c r="EG352" s="23"/>
      <c r="EH352" s="23"/>
      <c r="EI352" s="23"/>
      <c r="EJ352" s="23"/>
      <c r="EK352" s="23"/>
      <c r="EL352" s="23"/>
      <c r="EM352" s="23"/>
      <c r="EN352" s="23"/>
      <c r="EO352" s="23"/>
      <c r="EP352" s="23"/>
      <c r="EQ352" s="23"/>
      <c r="ER352" s="23"/>
      <c r="ES352" s="23"/>
      <c r="ET352" s="23"/>
      <c r="EU352" s="23"/>
      <c r="EV352" s="23"/>
      <c r="EW352" s="23"/>
      <c r="EX352" s="23"/>
      <c r="EY352" s="23"/>
      <c r="EZ352" s="23"/>
      <c r="FA352" s="23"/>
      <c r="FB352" s="23"/>
      <c r="FC352" s="23"/>
      <c r="FD352" s="23"/>
      <c r="FE352" s="23"/>
      <c r="FF352" s="23"/>
      <c r="FG352" s="23"/>
      <c r="FH352" s="23"/>
      <c r="FI352" s="23"/>
      <c r="FJ352" s="23"/>
      <c r="FK352" s="23"/>
      <c r="FL352" s="23"/>
      <c r="FM352" s="23"/>
      <c r="FN352" s="23"/>
      <c r="FO352" s="23"/>
      <c r="FP352" s="23"/>
      <c r="FQ352" s="23"/>
      <c r="FR352" s="23"/>
      <c r="FS352" s="23"/>
      <c r="FT352" s="23"/>
      <c r="FU352" s="23"/>
      <c r="FV352" s="23"/>
      <c r="FW352" s="23"/>
      <c r="FX352" s="23"/>
      <c r="FY352" s="23"/>
      <c r="FZ352" s="23"/>
      <c r="GA352" s="23"/>
      <c r="GB352" s="23"/>
      <c r="GC352" s="23"/>
      <c r="GD352" s="23"/>
      <c r="GE352" s="23"/>
      <c r="GF352" s="23"/>
      <c r="GG352" s="23"/>
      <c r="GH352" s="23"/>
      <c r="GI352" s="23"/>
      <c r="GJ352" s="23"/>
      <c r="GK352" s="23"/>
      <c r="GL352" s="23"/>
    </row>
    <row r="353" spans="1:194" ht="13">
      <c r="A353" s="23"/>
      <c r="B353" s="23"/>
      <c r="C353" s="23"/>
      <c r="D353" s="23"/>
      <c r="E353" s="23"/>
      <c r="F353" s="23"/>
      <c r="G353" s="23"/>
      <c r="H353" s="401"/>
      <c r="I353" s="401"/>
      <c r="J353" s="401"/>
      <c r="K353" s="401"/>
      <c r="L353" s="401"/>
      <c r="M353" s="438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  <c r="AV353" s="23"/>
      <c r="AW353" s="23"/>
      <c r="AX353" s="23"/>
      <c r="AY353" s="23"/>
      <c r="AZ353" s="23"/>
      <c r="BA353" s="23"/>
      <c r="BB353" s="23"/>
      <c r="BC353" s="23"/>
      <c r="BD353" s="23"/>
      <c r="BE353" s="23"/>
      <c r="BF353" s="23"/>
      <c r="BG353" s="23"/>
      <c r="BH353" s="23"/>
      <c r="BI353" s="23"/>
      <c r="BJ353" s="23"/>
      <c r="BK353" s="23"/>
      <c r="BL353" s="23"/>
      <c r="BM353" s="23"/>
      <c r="BN353" s="23"/>
      <c r="BO353" s="23"/>
      <c r="BP353" s="23"/>
      <c r="BQ353" s="23"/>
      <c r="BR353" s="23"/>
      <c r="BS353" s="23"/>
      <c r="BT353" s="23"/>
      <c r="BU353" s="23"/>
      <c r="BV353" s="23"/>
      <c r="BW353" s="23"/>
      <c r="BX353" s="23"/>
      <c r="BY353" s="23"/>
      <c r="BZ353" s="23"/>
      <c r="CA353" s="23"/>
      <c r="CB353" s="23"/>
      <c r="CC353" s="23"/>
      <c r="CD353" s="23"/>
      <c r="CE353" s="23"/>
      <c r="CF353" s="23"/>
      <c r="CG353" s="23"/>
      <c r="CH353" s="23"/>
      <c r="CI353" s="23"/>
      <c r="CJ353" s="23"/>
      <c r="CK353" s="23"/>
      <c r="CL353" s="23"/>
      <c r="CM353" s="23"/>
      <c r="CN353" s="23"/>
      <c r="CO353" s="23"/>
      <c r="CP353" s="23"/>
      <c r="CQ353" s="23"/>
      <c r="CR353" s="23"/>
      <c r="CS353" s="23"/>
      <c r="CT353" s="23"/>
      <c r="CU353" s="23"/>
      <c r="CV353" s="23"/>
      <c r="CW353" s="23"/>
      <c r="CX353" s="23"/>
      <c r="CY353" s="23"/>
      <c r="CZ353" s="23"/>
      <c r="DA353" s="23"/>
      <c r="DB353" s="23"/>
      <c r="DC353" s="23"/>
      <c r="DD353" s="23"/>
      <c r="DE353" s="23"/>
      <c r="DF353" s="23"/>
      <c r="DG353" s="23"/>
      <c r="DH353" s="23"/>
      <c r="DI353" s="23"/>
      <c r="DJ353" s="23"/>
      <c r="DK353" s="23"/>
      <c r="DL353" s="23"/>
      <c r="DM353" s="23"/>
      <c r="DN353" s="23"/>
      <c r="DO353" s="23"/>
      <c r="DP353" s="23"/>
      <c r="DQ353" s="23"/>
      <c r="DR353" s="23"/>
      <c r="DS353" s="23"/>
      <c r="DT353" s="23"/>
      <c r="DU353" s="23"/>
      <c r="DV353" s="23"/>
      <c r="DW353" s="23"/>
      <c r="DX353" s="23"/>
      <c r="DY353" s="23"/>
      <c r="DZ353" s="23"/>
      <c r="EA353" s="23"/>
      <c r="EB353" s="23"/>
      <c r="EC353" s="23"/>
      <c r="ED353" s="23"/>
      <c r="EE353" s="23"/>
      <c r="EF353" s="23"/>
      <c r="EG353" s="23"/>
      <c r="EH353" s="23"/>
      <c r="EI353" s="23"/>
      <c r="EJ353" s="23"/>
      <c r="EK353" s="23"/>
      <c r="EL353" s="23"/>
      <c r="EM353" s="23"/>
      <c r="EN353" s="23"/>
      <c r="EO353" s="23"/>
      <c r="EP353" s="23"/>
      <c r="EQ353" s="23"/>
      <c r="ER353" s="23"/>
      <c r="ES353" s="23"/>
      <c r="ET353" s="23"/>
      <c r="EU353" s="23"/>
      <c r="EV353" s="23"/>
      <c r="EW353" s="23"/>
      <c r="EX353" s="23"/>
      <c r="EY353" s="23"/>
      <c r="EZ353" s="23"/>
      <c r="FA353" s="23"/>
      <c r="FB353" s="23"/>
      <c r="FC353" s="23"/>
      <c r="FD353" s="23"/>
      <c r="FE353" s="23"/>
      <c r="FF353" s="23"/>
      <c r="FG353" s="23"/>
      <c r="FH353" s="23"/>
      <c r="FI353" s="23"/>
      <c r="FJ353" s="23"/>
      <c r="FK353" s="23"/>
      <c r="FL353" s="23"/>
      <c r="FM353" s="23"/>
      <c r="FN353" s="23"/>
      <c r="FO353" s="23"/>
      <c r="FP353" s="23"/>
      <c r="FQ353" s="23"/>
      <c r="FR353" s="23"/>
      <c r="FS353" s="23"/>
      <c r="FT353" s="23"/>
      <c r="FU353" s="23"/>
      <c r="FV353" s="23"/>
      <c r="FW353" s="23"/>
      <c r="FX353" s="23"/>
      <c r="FY353" s="23"/>
      <c r="FZ353" s="23"/>
      <c r="GA353" s="23"/>
      <c r="GB353" s="23"/>
      <c r="GC353" s="23"/>
      <c r="GD353" s="23"/>
      <c r="GE353" s="23"/>
      <c r="GF353" s="23"/>
      <c r="GG353" s="23"/>
      <c r="GH353" s="23"/>
      <c r="GI353" s="23"/>
      <c r="GJ353" s="23"/>
      <c r="GK353" s="23"/>
      <c r="GL353" s="23"/>
    </row>
    <row r="354" spans="1:194" ht="13">
      <c r="A354" s="23"/>
      <c r="B354" s="23"/>
      <c r="C354" s="23"/>
      <c r="D354" s="23"/>
      <c r="E354" s="23"/>
      <c r="F354" s="23"/>
      <c r="G354" s="23"/>
      <c r="H354" s="401"/>
      <c r="I354" s="401"/>
      <c r="J354" s="401"/>
      <c r="K354" s="401"/>
      <c r="L354" s="401"/>
      <c r="M354" s="438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  <c r="AL354" s="23"/>
      <c r="AM354" s="23"/>
      <c r="AN354" s="23"/>
      <c r="AO354" s="23"/>
      <c r="AP354" s="23"/>
      <c r="AQ354" s="23"/>
      <c r="AR354" s="23"/>
      <c r="AS354" s="23"/>
      <c r="AT354" s="23"/>
      <c r="AU354" s="23"/>
      <c r="AV354" s="23"/>
      <c r="AW354" s="23"/>
      <c r="AX354" s="23"/>
      <c r="AY354" s="23"/>
      <c r="AZ354" s="23"/>
      <c r="BA354" s="23"/>
      <c r="BB354" s="23"/>
      <c r="BC354" s="23"/>
      <c r="BD354" s="23"/>
      <c r="BE354" s="23"/>
      <c r="BF354" s="23"/>
      <c r="BG354" s="23"/>
      <c r="BH354" s="23"/>
      <c r="BI354" s="23"/>
      <c r="BJ354" s="23"/>
      <c r="BK354" s="23"/>
      <c r="BL354" s="23"/>
      <c r="BM354" s="23"/>
      <c r="BN354" s="23"/>
      <c r="BO354" s="23"/>
      <c r="BP354" s="23"/>
      <c r="BQ354" s="23"/>
      <c r="BR354" s="23"/>
      <c r="BS354" s="23"/>
      <c r="BT354" s="23"/>
      <c r="BU354" s="23"/>
      <c r="BV354" s="23"/>
      <c r="BW354" s="23"/>
      <c r="BX354" s="23"/>
      <c r="BY354" s="23"/>
      <c r="BZ354" s="23"/>
      <c r="CA354" s="23"/>
      <c r="CB354" s="23"/>
      <c r="CC354" s="23"/>
      <c r="CD354" s="23"/>
      <c r="CE354" s="23"/>
      <c r="CF354" s="23"/>
      <c r="CG354" s="23"/>
      <c r="CH354" s="23"/>
      <c r="CI354" s="23"/>
      <c r="CJ354" s="23"/>
      <c r="CK354" s="23"/>
      <c r="CL354" s="23"/>
      <c r="CM354" s="23"/>
      <c r="CN354" s="23"/>
      <c r="CO354" s="23"/>
      <c r="CP354" s="23"/>
      <c r="CQ354" s="23"/>
      <c r="CR354" s="23"/>
      <c r="CS354" s="23"/>
      <c r="CT354" s="23"/>
      <c r="CU354" s="23"/>
      <c r="CV354" s="23"/>
      <c r="CW354" s="23"/>
      <c r="CX354" s="23"/>
      <c r="CY354" s="23"/>
      <c r="CZ354" s="23"/>
      <c r="DA354" s="23"/>
      <c r="DB354" s="23"/>
      <c r="DC354" s="23"/>
      <c r="DD354" s="23"/>
      <c r="DE354" s="23"/>
      <c r="DF354" s="23"/>
      <c r="DG354" s="23"/>
      <c r="DH354" s="23"/>
      <c r="DI354" s="23"/>
      <c r="DJ354" s="23"/>
      <c r="DK354" s="23"/>
      <c r="DL354" s="23"/>
      <c r="DM354" s="23"/>
      <c r="DN354" s="23"/>
      <c r="DO354" s="23"/>
      <c r="DP354" s="23"/>
      <c r="DQ354" s="23"/>
      <c r="DR354" s="23"/>
      <c r="DS354" s="23"/>
      <c r="DT354" s="23"/>
      <c r="DU354" s="23"/>
      <c r="DV354" s="23"/>
      <c r="DW354" s="23"/>
      <c r="DX354" s="23"/>
      <c r="DY354" s="23"/>
      <c r="DZ354" s="23"/>
      <c r="EA354" s="23"/>
      <c r="EB354" s="23"/>
      <c r="EC354" s="23"/>
      <c r="ED354" s="23"/>
      <c r="EE354" s="23"/>
      <c r="EF354" s="23"/>
      <c r="EG354" s="23"/>
      <c r="EH354" s="23"/>
      <c r="EI354" s="23"/>
      <c r="EJ354" s="23"/>
      <c r="EK354" s="23"/>
      <c r="EL354" s="23"/>
      <c r="EM354" s="23"/>
      <c r="EN354" s="23"/>
      <c r="EO354" s="23"/>
      <c r="EP354" s="23"/>
      <c r="EQ354" s="23"/>
      <c r="ER354" s="23"/>
      <c r="ES354" s="23"/>
      <c r="ET354" s="23"/>
      <c r="EU354" s="23"/>
      <c r="EV354" s="23"/>
      <c r="EW354" s="23"/>
      <c r="EX354" s="23"/>
      <c r="EY354" s="23"/>
      <c r="EZ354" s="23"/>
      <c r="FA354" s="23"/>
      <c r="FB354" s="23"/>
      <c r="FC354" s="23"/>
      <c r="FD354" s="23"/>
      <c r="FE354" s="23"/>
      <c r="FF354" s="23"/>
      <c r="FG354" s="23"/>
      <c r="FH354" s="23"/>
      <c r="FI354" s="23"/>
      <c r="FJ354" s="23"/>
      <c r="FK354" s="23"/>
      <c r="FL354" s="23"/>
      <c r="FM354" s="23"/>
      <c r="FN354" s="23"/>
      <c r="FO354" s="23"/>
      <c r="FP354" s="23"/>
      <c r="FQ354" s="23"/>
      <c r="FR354" s="23"/>
      <c r="FS354" s="23"/>
      <c r="FT354" s="23"/>
      <c r="FU354" s="23"/>
      <c r="FV354" s="23"/>
      <c r="FW354" s="23"/>
      <c r="FX354" s="23"/>
      <c r="FY354" s="23"/>
      <c r="FZ354" s="23"/>
      <c r="GA354" s="23"/>
      <c r="GB354" s="23"/>
      <c r="GC354" s="23"/>
      <c r="GD354" s="23"/>
      <c r="GE354" s="23"/>
      <c r="GF354" s="23"/>
      <c r="GG354" s="23"/>
      <c r="GH354" s="23"/>
      <c r="GI354" s="23"/>
      <c r="GJ354" s="23"/>
      <c r="GK354" s="23"/>
      <c r="GL354" s="23"/>
    </row>
    <row r="355" spans="1:194" ht="13">
      <c r="A355" s="23"/>
      <c r="B355" s="23"/>
      <c r="C355" s="23"/>
      <c r="D355" s="23"/>
      <c r="E355" s="23"/>
      <c r="F355" s="23"/>
      <c r="G355" s="23"/>
      <c r="H355" s="401"/>
      <c r="I355" s="401"/>
      <c r="J355" s="401"/>
      <c r="K355" s="401"/>
      <c r="L355" s="401"/>
      <c r="M355" s="438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  <c r="AL355" s="23"/>
      <c r="AM355" s="23"/>
      <c r="AN355" s="23"/>
      <c r="AO355" s="23"/>
      <c r="AP355" s="23"/>
      <c r="AQ355" s="23"/>
      <c r="AR355" s="23"/>
      <c r="AS355" s="23"/>
      <c r="AT355" s="23"/>
      <c r="AU355" s="23"/>
      <c r="AV355" s="23"/>
      <c r="AW355" s="23"/>
      <c r="AX355" s="23"/>
      <c r="AY355" s="23"/>
      <c r="AZ355" s="23"/>
      <c r="BA355" s="23"/>
      <c r="BB355" s="23"/>
      <c r="BC355" s="23"/>
      <c r="BD355" s="23"/>
      <c r="BE355" s="23"/>
      <c r="BF355" s="23"/>
      <c r="BG355" s="23"/>
      <c r="BH355" s="23"/>
      <c r="BI355" s="23"/>
      <c r="BJ355" s="23"/>
      <c r="BK355" s="23"/>
      <c r="BL355" s="23"/>
      <c r="BM355" s="23"/>
      <c r="BN355" s="23"/>
      <c r="BO355" s="23"/>
      <c r="BP355" s="23"/>
      <c r="BQ355" s="23"/>
      <c r="BR355" s="23"/>
      <c r="BS355" s="23"/>
      <c r="BT355" s="23"/>
      <c r="BU355" s="23"/>
      <c r="BV355" s="23"/>
      <c r="BW355" s="23"/>
      <c r="BX355" s="23"/>
      <c r="BY355" s="23"/>
      <c r="BZ355" s="23"/>
      <c r="CA355" s="23"/>
      <c r="CB355" s="23"/>
      <c r="CC355" s="23"/>
      <c r="CD355" s="23"/>
      <c r="CE355" s="23"/>
      <c r="CF355" s="23"/>
      <c r="CG355" s="23"/>
      <c r="CH355" s="23"/>
      <c r="CI355" s="23"/>
      <c r="CJ355" s="23"/>
      <c r="CK355" s="23"/>
      <c r="CL355" s="23"/>
      <c r="CM355" s="23"/>
      <c r="CN355" s="23"/>
      <c r="CO355" s="23"/>
      <c r="CP355" s="23"/>
      <c r="CQ355" s="23"/>
      <c r="CR355" s="23"/>
      <c r="CS355" s="23"/>
      <c r="CT355" s="23"/>
      <c r="CU355" s="23"/>
      <c r="CV355" s="23"/>
      <c r="CW355" s="23"/>
      <c r="CX355" s="23"/>
      <c r="CY355" s="23"/>
      <c r="CZ355" s="23"/>
      <c r="DA355" s="23"/>
      <c r="DB355" s="23"/>
      <c r="DC355" s="23"/>
      <c r="DD355" s="23"/>
      <c r="DE355" s="23"/>
      <c r="DF355" s="23"/>
      <c r="DG355" s="23"/>
      <c r="DH355" s="23"/>
      <c r="DI355" s="23"/>
      <c r="DJ355" s="23"/>
      <c r="DK355" s="23"/>
      <c r="DL355" s="23"/>
      <c r="DM355" s="23"/>
      <c r="DN355" s="23"/>
      <c r="DO355" s="23"/>
      <c r="DP355" s="23"/>
      <c r="DQ355" s="23"/>
      <c r="DR355" s="23"/>
      <c r="DS355" s="23"/>
      <c r="DT355" s="23"/>
      <c r="DU355" s="23"/>
      <c r="DV355" s="23"/>
      <c r="DW355" s="23"/>
      <c r="DX355" s="23"/>
      <c r="DY355" s="23"/>
      <c r="DZ355" s="23"/>
      <c r="EA355" s="23"/>
      <c r="EB355" s="23"/>
      <c r="EC355" s="23"/>
      <c r="ED355" s="23"/>
      <c r="EE355" s="23"/>
      <c r="EF355" s="23"/>
      <c r="EG355" s="23"/>
      <c r="EH355" s="23"/>
      <c r="EI355" s="23"/>
      <c r="EJ355" s="23"/>
      <c r="EK355" s="23"/>
      <c r="EL355" s="23"/>
      <c r="EM355" s="23"/>
      <c r="EN355" s="23"/>
      <c r="EO355" s="23"/>
      <c r="EP355" s="23"/>
      <c r="EQ355" s="23"/>
      <c r="ER355" s="23"/>
      <c r="ES355" s="23"/>
      <c r="ET355" s="23"/>
      <c r="EU355" s="23"/>
      <c r="EV355" s="23"/>
      <c r="EW355" s="23"/>
      <c r="EX355" s="23"/>
      <c r="EY355" s="23"/>
      <c r="EZ355" s="23"/>
      <c r="FA355" s="23"/>
      <c r="FB355" s="23"/>
      <c r="FC355" s="23"/>
      <c r="FD355" s="23"/>
      <c r="FE355" s="23"/>
      <c r="FF355" s="23"/>
      <c r="FG355" s="23"/>
      <c r="FH355" s="23"/>
      <c r="FI355" s="23"/>
      <c r="FJ355" s="23"/>
      <c r="FK355" s="23"/>
      <c r="FL355" s="23"/>
      <c r="FM355" s="23"/>
      <c r="FN355" s="23"/>
      <c r="FO355" s="23"/>
      <c r="FP355" s="23"/>
      <c r="FQ355" s="23"/>
      <c r="FR355" s="23"/>
      <c r="FS355" s="23"/>
      <c r="FT355" s="23"/>
      <c r="FU355" s="23"/>
      <c r="FV355" s="23"/>
      <c r="FW355" s="23"/>
      <c r="FX355" s="23"/>
      <c r="FY355" s="23"/>
      <c r="FZ355" s="23"/>
      <c r="GA355" s="23"/>
      <c r="GB355" s="23"/>
      <c r="GC355" s="23"/>
      <c r="GD355" s="23"/>
      <c r="GE355" s="23"/>
      <c r="GF355" s="23"/>
      <c r="GG355" s="23"/>
      <c r="GH355" s="23"/>
      <c r="GI355" s="23"/>
      <c r="GJ355" s="23"/>
      <c r="GK355" s="23"/>
      <c r="GL355" s="23"/>
    </row>
    <row r="356" spans="1:194" ht="13">
      <c r="A356" s="23"/>
      <c r="B356" s="23"/>
      <c r="C356" s="23"/>
      <c r="D356" s="23"/>
      <c r="E356" s="23"/>
      <c r="F356" s="23"/>
      <c r="G356" s="23"/>
      <c r="H356" s="401"/>
      <c r="I356" s="401"/>
      <c r="J356" s="401"/>
      <c r="K356" s="401"/>
      <c r="L356" s="401"/>
      <c r="M356" s="438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  <c r="AL356" s="23"/>
      <c r="AM356" s="23"/>
      <c r="AN356" s="23"/>
      <c r="AO356" s="23"/>
      <c r="AP356" s="23"/>
      <c r="AQ356" s="23"/>
      <c r="AR356" s="23"/>
      <c r="AS356" s="23"/>
      <c r="AT356" s="23"/>
      <c r="AU356" s="23"/>
      <c r="AV356" s="23"/>
      <c r="AW356" s="23"/>
      <c r="AX356" s="23"/>
      <c r="AY356" s="23"/>
      <c r="AZ356" s="23"/>
      <c r="BA356" s="23"/>
      <c r="BB356" s="23"/>
      <c r="BC356" s="23"/>
      <c r="BD356" s="23"/>
      <c r="BE356" s="23"/>
      <c r="BF356" s="23"/>
      <c r="BG356" s="23"/>
      <c r="BH356" s="23"/>
      <c r="BI356" s="23"/>
      <c r="BJ356" s="23"/>
      <c r="BK356" s="23"/>
      <c r="BL356" s="23"/>
      <c r="BM356" s="23"/>
      <c r="BN356" s="23"/>
      <c r="BO356" s="23"/>
      <c r="BP356" s="23"/>
      <c r="BQ356" s="23"/>
      <c r="BR356" s="23"/>
      <c r="BS356" s="23"/>
      <c r="BT356" s="23"/>
      <c r="BU356" s="23"/>
      <c r="BV356" s="23"/>
      <c r="BW356" s="23"/>
      <c r="BX356" s="23"/>
      <c r="BY356" s="23"/>
      <c r="BZ356" s="23"/>
      <c r="CA356" s="23"/>
      <c r="CB356" s="23"/>
      <c r="CC356" s="23"/>
      <c r="CD356" s="23"/>
      <c r="CE356" s="23"/>
      <c r="CF356" s="23"/>
      <c r="CG356" s="23"/>
      <c r="CH356" s="23"/>
      <c r="CI356" s="23"/>
      <c r="CJ356" s="23"/>
      <c r="CK356" s="23"/>
      <c r="CL356" s="23"/>
      <c r="CM356" s="23"/>
      <c r="CN356" s="23"/>
      <c r="CO356" s="23"/>
      <c r="CP356" s="23"/>
      <c r="CQ356" s="23"/>
      <c r="CR356" s="23"/>
      <c r="CS356" s="23"/>
      <c r="CT356" s="23"/>
      <c r="CU356" s="23"/>
      <c r="CV356" s="23"/>
      <c r="CW356" s="23"/>
      <c r="CX356" s="23"/>
      <c r="CY356" s="23"/>
      <c r="CZ356" s="23"/>
      <c r="DA356" s="23"/>
      <c r="DB356" s="23"/>
      <c r="DC356" s="23"/>
      <c r="DD356" s="23"/>
      <c r="DE356" s="23"/>
      <c r="DF356" s="23"/>
      <c r="DG356" s="23"/>
      <c r="DH356" s="23"/>
      <c r="DI356" s="23"/>
      <c r="DJ356" s="23"/>
      <c r="DK356" s="23"/>
      <c r="DL356" s="23"/>
      <c r="DM356" s="23"/>
      <c r="DN356" s="23"/>
      <c r="DO356" s="23"/>
      <c r="DP356" s="23"/>
      <c r="DQ356" s="23"/>
      <c r="DR356" s="23"/>
      <c r="DS356" s="23"/>
      <c r="DT356" s="23"/>
      <c r="DU356" s="23"/>
      <c r="DV356" s="23"/>
      <c r="DW356" s="23"/>
      <c r="DX356" s="23"/>
      <c r="DY356" s="23"/>
      <c r="DZ356" s="23"/>
      <c r="EA356" s="23"/>
      <c r="EB356" s="23"/>
      <c r="EC356" s="23"/>
      <c r="ED356" s="23"/>
      <c r="EE356" s="23"/>
      <c r="EF356" s="23"/>
      <c r="EG356" s="23"/>
      <c r="EH356" s="23"/>
      <c r="EI356" s="23"/>
      <c r="EJ356" s="23"/>
      <c r="EK356" s="23"/>
      <c r="EL356" s="23"/>
      <c r="EM356" s="23"/>
      <c r="EN356" s="23"/>
      <c r="EO356" s="23"/>
      <c r="EP356" s="23"/>
      <c r="EQ356" s="23"/>
      <c r="ER356" s="23"/>
      <c r="ES356" s="23"/>
      <c r="ET356" s="23"/>
      <c r="EU356" s="23"/>
      <c r="EV356" s="23"/>
      <c r="EW356" s="23"/>
      <c r="EX356" s="23"/>
      <c r="EY356" s="23"/>
      <c r="EZ356" s="23"/>
      <c r="FA356" s="23"/>
      <c r="FB356" s="23"/>
      <c r="FC356" s="23"/>
      <c r="FD356" s="23"/>
      <c r="FE356" s="23"/>
      <c r="FF356" s="23"/>
      <c r="FG356" s="23"/>
      <c r="FH356" s="23"/>
      <c r="FI356" s="23"/>
      <c r="FJ356" s="23"/>
      <c r="FK356" s="23"/>
      <c r="FL356" s="23"/>
      <c r="FM356" s="23"/>
      <c r="FN356" s="23"/>
      <c r="FO356" s="23"/>
      <c r="FP356" s="23"/>
      <c r="FQ356" s="23"/>
      <c r="FR356" s="23"/>
      <c r="FS356" s="23"/>
      <c r="FT356" s="23"/>
      <c r="FU356" s="23"/>
      <c r="FV356" s="23"/>
      <c r="FW356" s="23"/>
      <c r="FX356" s="23"/>
      <c r="FY356" s="23"/>
      <c r="FZ356" s="23"/>
      <c r="GA356" s="23"/>
      <c r="GB356" s="23"/>
      <c r="GC356" s="23"/>
      <c r="GD356" s="23"/>
      <c r="GE356" s="23"/>
      <c r="GF356" s="23"/>
      <c r="GG356" s="23"/>
      <c r="GH356" s="23"/>
      <c r="GI356" s="23"/>
      <c r="GJ356" s="23"/>
      <c r="GK356" s="23"/>
      <c r="GL356" s="23"/>
    </row>
    <row r="357" spans="1:194" ht="13">
      <c r="A357" s="23"/>
      <c r="B357" s="23"/>
      <c r="C357" s="23"/>
      <c r="D357" s="23"/>
      <c r="E357" s="23"/>
      <c r="F357" s="23"/>
      <c r="G357" s="23"/>
      <c r="H357" s="401"/>
      <c r="I357" s="401"/>
      <c r="J357" s="401"/>
      <c r="K357" s="401"/>
      <c r="L357" s="401"/>
      <c r="M357" s="438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  <c r="BA357" s="23"/>
      <c r="BB357" s="23"/>
      <c r="BC357" s="23"/>
      <c r="BD357" s="23"/>
      <c r="BE357" s="23"/>
      <c r="BF357" s="23"/>
      <c r="BG357" s="23"/>
      <c r="BH357" s="23"/>
      <c r="BI357" s="23"/>
      <c r="BJ357" s="23"/>
      <c r="BK357" s="23"/>
      <c r="BL357" s="23"/>
      <c r="BM357" s="23"/>
      <c r="BN357" s="23"/>
      <c r="BO357" s="23"/>
      <c r="BP357" s="23"/>
      <c r="BQ357" s="23"/>
      <c r="BR357" s="23"/>
      <c r="BS357" s="23"/>
      <c r="BT357" s="23"/>
      <c r="BU357" s="23"/>
      <c r="BV357" s="23"/>
      <c r="BW357" s="23"/>
      <c r="BX357" s="23"/>
      <c r="BY357" s="23"/>
      <c r="BZ357" s="23"/>
      <c r="CA357" s="23"/>
      <c r="CB357" s="23"/>
      <c r="CC357" s="23"/>
      <c r="CD357" s="23"/>
      <c r="CE357" s="23"/>
      <c r="CF357" s="23"/>
      <c r="CG357" s="23"/>
      <c r="CH357" s="23"/>
      <c r="CI357" s="23"/>
      <c r="CJ357" s="23"/>
      <c r="CK357" s="23"/>
      <c r="CL357" s="23"/>
      <c r="CM357" s="23"/>
      <c r="CN357" s="23"/>
      <c r="CO357" s="23"/>
      <c r="CP357" s="23"/>
      <c r="CQ357" s="23"/>
      <c r="CR357" s="23"/>
      <c r="CS357" s="23"/>
      <c r="CT357" s="23"/>
      <c r="CU357" s="23"/>
      <c r="CV357" s="23"/>
      <c r="CW357" s="23"/>
      <c r="CX357" s="23"/>
      <c r="CY357" s="23"/>
      <c r="CZ357" s="23"/>
      <c r="DA357" s="23"/>
      <c r="DB357" s="23"/>
      <c r="DC357" s="23"/>
      <c r="DD357" s="23"/>
      <c r="DE357" s="23"/>
      <c r="DF357" s="23"/>
      <c r="DG357" s="23"/>
      <c r="DH357" s="23"/>
      <c r="DI357" s="23"/>
      <c r="DJ357" s="23"/>
      <c r="DK357" s="23"/>
      <c r="DL357" s="23"/>
      <c r="DM357" s="23"/>
      <c r="DN357" s="23"/>
      <c r="DO357" s="23"/>
      <c r="DP357" s="23"/>
      <c r="DQ357" s="23"/>
      <c r="DR357" s="23"/>
      <c r="DS357" s="23"/>
      <c r="DT357" s="23"/>
      <c r="DU357" s="23"/>
      <c r="DV357" s="23"/>
      <c r="DW357" s="23"/>
      <c r="DX357" s="23"/>
      <c r="DY357" s="23"/>
      <c r="DZ357" s="23"/>
      <c r="EA357" s="23"/>
      <c r="EB357" s="23"/>
      <c r="EC357" s="23"/>
      <c r="ED357" s="23"/>
      <c r="EE357" s="23"/>
      <c r="EF357" s="23"/>
      <c r="EG357" s="23"/>
      <c r="EH357" s="23"/>
      <c r="EI357" s="23"/>
      <c r="EJ357" s="23"/>
      <c r="EK357" s="23"/>
      <c r="EL357" s="23"/>
      <c r="EM357" s="23"/>
      <c r="EN357" s="23"/>
      <c r="EO357" s="23"/>
      <c r="EP357" s="23"/>
      <c r="EQ357" s="23"/>
      <c r="ER357" s="23"/>
      <c r="ES357" s="23"/>
      <c r="ET357" s="23"/>
      <c r="EU357" s="23"/>
      <c r="EV357" s="23"/>
      <c r="EW357" s="23"/>
      <c r="EX357" s="23"/>
      <c r="EY357" s="23"/>
      <c r="EZ357" s="23"/>
      <c r="FA357" s="23"/>
      <c r="FB357" s="23"/>
      <c r="FC357" s="23"/>
      <c r="FD357" s="23"/>
      <c r="FE357" s="23"/>
      <c r="FF357" s="23"/>
      <c r="FG357" s="23"/>
      <c r="FH357" s="23"/>
      <c r="FI357" s="23"/>
      <c r="FJ357" s="23"/>
      <c r="FK357" s="23"/>
      <c r="FL357" s="23"/>
      <c r="FM357" s="23"/>
      <c r="FN357" s="23"/>
      <c r="FO357" s="23"/>
      <c r="FP357" s="23"/>
      <c r="FQ357" s="23"/>
      <c r="FR357" s="23"/>
      <c r="FS357" s="23"/>
      <c r="FT357" s="23"/>
      <c r="FU357" s="23"/>
      <c r="FV357" s="23"/>
      <c r="FW357" s="23"/>
      <c r="FX357" s="23"/>
      <c r="FY357" s="23"/>
      <c r="FZ357" s="23"/>
      <c r="GA357" s="23"/>
      <c r="GB357" s="23"/>
      <c r="GC357" s="23"/>
      <c r="GD357" s="23"/>
      <c r="GE357" s="23"/>
      <c r="GF357" s="23"/>
      <c r="GG357" s="23"/>
      <c r="GH357" s="23"/>
      <c r="GI357" s="23"/>
      <c r="GJ357" s="23"/>
      <c r="GK357" s="23"/>
      <c r="GL357" s="23"/>
    </row>
    <row r="358" spans="1:194" ht="13">
      <c r="A358" s="23"/>
      <c r="B358" s="23"/>
      <c r="C358" s="23"/>
      <c r="D358" s="23"/>
      <c r="E358" s="23"/>
      <c r="F358" s="23"/>
      <c r="G358" s="23"/>
      <c r="H358" s="401"/>
      <c r="I358" s="401"/>
      <c r="J358" s="401"/>
      <c r="K358" s="401"/>
      <c r="L358" s="401"/>
      <c r="M358" s="438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  <c r="AW358" s="23"/>
      <c r="AX358" s="23"/>
      <c r="AY358" s="23"/>
      <c r="AZ358" s="23"/>
      <c r="BA358" s="23"/>
      <c r="BB358" s="23"/>
      <c r="BC358" s="23"/>
      <c r="BD358" s="23"/>
      <c r="BE358" s="23"/>
      <c r="BF358" s="23"/>
      <c r="BG358" s="23"/>
      <c r="BH358" s="23"/>
      <c r="BI358" s="23"/>
      <c r="BJ358" s="23"/>
      <c r="BK358" s="23"/>
      <c r="BL358" s="23"/>
      <c r="BM358" s="23"/>
      <c r="BN358" s="23"/>
      <c r="BO358" s="23"/>
      <c r="BP358" s="23"/>
      <c r="BQ358" s="23"/>
      <c r="BR358" s="23"/>
      <c r="BS358" s="23"/>
      <c r="BT358" s="23"/>
      <c r="BU358" s="23"/>
      <c r="BV358" s="23"/>
      <c r="BW358" s="23"/>
      <c r="BX358" s="23"/>
      <c r="BY358" s="23"/>
      <c r="BZ358" s="23"/>
      <c r="CA358" s="23"/>
      <c r="CB358" s="23"/>
      <c r="CC358" s="23"/>
      <c r="CD358" s="23"/>
      <c r="CE358" s="23"/>
      <c r="CF358" s="23"/>
      <c r="CG358" s="23"/>
      <c r="CH358" s="23"/>
      <c r="CI358" s="23"/>
      <c r="CJ358" s="23"/>
      <c r="CK358" s="23"/>
      <c r="CL358" s="23"/>
      <c r="CM358" s="23"/>
      <c r="CN358" s="23"/>
      <c r="CO358" s="23"/>
      <c r="CP358" s="23"/>
      <c r="CQ358" s="23"/>
      <c r="CR358" s="23"/>
      <c r="CS358" s="23"/>
      <c r="CT358" s="23"/>
      <c r="CU358" s="23"/>
      <c r="CV358" s="23"/>
      <c r="CW358" s="23"/>
      <c r="CX358" s="23"/>
      <c r="CY358" s="23"/>
      <c r="CZ358" s="23"/>
      <c r="DA358" s="23"/>
      <c r="DB358" s="23"/>
      <c r="DC358" s="23"/>
      <c r="DD358" s="23"/>
      <c r="DE358" s="23"/>
      <c r="DF358" s="23"/>
      <c r="DG358" s="23"/>
      <c r="DH358" s="23"/>
      <c r="DI358" s="23"/>
      <c r="DJ358" s="23"/>
      <c r="DK358" s="23"/>
      <c r="DL358" s="23"/>
      <c r="DM358" s="23"/>
      <c r="DN358" s="23"/>
      <c r="DO358" s="23"/>
      <c r="DP358" s="23"/>
      <c r="DQ358" s="23"/>
      <c r="DR358" s="23"/>
      <c r="DS358" s="23"/>
      <c r="DT358" s="23"/>
      <c r="DU358" s="23"/>
      <c r="DV358" s="23"/>
      <c r="DW358" s="23"/>
      <c r="DX358" s="23"/>
      <c r="DY358" s="23"/>
      <c r="DZ358" s="23"/>
      <c r="EA358" s="23"/>
      <c r="EB358" s="23"/>
      <c r="EC358" s="23"/>
      <c r="ED358" s="23"/>
      <c r="EE358" s="23"/>
      <c r="EF358" s="23"/>
      <c r="EG358" s="23"/>
      <c r="EH358" s="23"/>
      <c r="EI358" s="23"/>
      <c r="EJ358" s="23"/>
      <c r="EK358" s="23"/>
      <c r="EL358" s="23"/>
      <c r="EM358" s="23"/>
      <c r="EN358" s="23"/>
      <c r="EO358" s="23"/>
      <c r="EP358" s="23"/>
      <c r="EQ358" s="23"/>
      <c r="ER358" s="23"/>
      <c r="ES358" s="23"/>
      <c r="ET358" s="23"/>
      <c r="EU358" s="23"/>
      <c r="EV358" s="23"/>
      <c r="EW358" s="23"/>
      <c r="EX358" s="23"/>
      <c r="EY358" s="23"/>
      <c r="EZ358" s="23"/>
      <c r="FA358" s="23"/>
      <c r="FB358" s="23"/>
      <c r="FC358" s="23"/>
      <c r="FD358" s="23"/>
      <c r="FE358" s="23"/>
      <c r="FF358" s="23"/>
      <c r="FG358" s="23"/>
      <c r="FH358" s="23"/>
      <c r="FI358" s="23"/>
      <c r="FJ358" s="23"/>
      <c r="FK358" s="23"/>
      <c r="FL358" s="23"/>
      <c r="FM358" s="23"/>
      <c r="FN358" s="23"/>
      <c r="FO358" s="23"/>
      <c r="FP358" s="23"/>
      <c r="FQ358" s="23"/>
      <c r="FR358" s="23"/>
      <c r="FS358" s="23"/>
      <c r="FT358" s="23"/>
      <c r="FU358" s="23"/>
      <c r="FV358" s="23"/>
      <c r="FW358" s="23"/>
      <c r="FX358" s="23"/>
      <c r="FY358" s="23"/>
      <c r="FZ358" s="23"/>
      <c r="GA358" s="23"/>
      <c r="GB358" s="23"/>
      <c r="GC358" s="23"/>
      <c r="GD358" s="23"/>
      <c r="GE358" s="23"/>
      <c r="GF358" s="23"/>
      <c r="GG358" s="23"/>
      <c r="GH358" s="23"/>
      <c r="GI358" s="23"/>
      <c r="GJ358" s="23"/>
      <c r="GK358" s="23"/>
      <c r="GL358" s="23"/>
    </row>
    <row r="359" spans="1:194" ht="13">
      <c r="A359" s="23"/>
      <c r="B359" s="23"/>
      <c r="C359" s="23"/>
      <c r="D359" s="23"/>
      <c r="E359" s="23"/>
      <c r="F359" s="23"/>
      <c r="G359" s="23"/>
      <c r="H359" s="401"/>
      <c r="I359" s="401"/>
      <c r="J359" s="401"/>
      <c r="K359" s="401"/>
      <c r="L359" s="401"/>
      <c r="M359" s="438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  <c r="AW359" s="23"/>
      <c r="AX359" s="23"/>
      <c r="AY359" s="23"/>
      <c r="AZ359" s="23"/>
      <c r="BA359" s="23"/>
      <c r="BB359" s="23"/>
      <c r="BC359" s="23"/>
      <c r="BD359" s="23"/>
      <c r="BE359" s="23"/>
      <c r="BF359" s="23"/>
      <c r="BG359" s="23"/>
      <c r="BH359" s="23"/>
      <c r="BI359" s="23"/>
      <c r="BJ359" s="23"/>
      <c r="BK359" s="23"/>
      <c r="BL359" s="23"/>
      <c r="BM359" s="23"/>
      <c r="BN359" s="23"/>
      <c r="BO359" s="23"/>
      <c r="BP359" s="23"/>
      <c r="BQ359" s="23"/>
      <c r="BR359" s="23"/>
      <c r="BS359" s="23"/>
      <c r="BT359" s="23"/>
      <c r="BU359" s="23"/>
      <c r="BV359" s="23"/>
      <c r="BW359" s="23"/>
      <c r="BX359" s="23"/>
      <c r="BY359" s="23"/>
      <c r="BZ359" s="23"/>
      <c r="CA359" s="23"/>
      <c r="CB359" s="23"/>
      <c r="CC359" s="23"/>
      <c r="CD359" s="23"/>
      <c r="CE359" s="23"/>
      <c r="CF359" s="23"/>
      <c r="CG359" s="23"/>
      <c r="CH359" s="23"/>
      <c r="CI359" s="23"/>
      <c r="CJ359" s="23"/>
      <c r="CK359" s="23"/>
      <c r="CL359" s="23"/>
      <c r="CM359" s="23"/>
      <c r="CN359" s="23"/>
      <c r="CO359" s="23"/>
      <c r="CP359" s="23"/>
      <c r="CQ359" s="23"/>
      <c r="CR359" s="23"/>
      <c r="CS359" s="23"/>
      <c r="CT359" s="23"/>
      <c r="CU359" s="23"/>
      <c r="CV359" s="23"/>
      <c r="CW359" s="23"/>
      <c r="CX359" s="23"/>
      <c r="CY359" s="23"/>
      <c r="CZ359" s="23"/>
      <c r="DA359" s="23"/>
      <c r="DB359" s="23"/>
      <c r="DC359" s="23"/>
      <c r="DD359" s="23"/>
      <c r="DE359" s="23"/>
      <c r="DF359" s="23"/>
      <c r="DG359" s="23"/>
      <c r="DH359" s="23"/>
      <c r="DI359" s="23"/>
      <c r="DJ359" s="23"/>
      <c r="DK359" s="23"/>
      <c r="DL359" s="23"/>
      <c r="DM359" s="23"/>
      <c r="DN359" s="23"/>
      <c r="DO359" s="23"/>
      <c r="DP359" s="23"/>
      <c r="DQ359" s="23"/>
      <c r="DR359" s="23"/>
      <c r="DS359" s="23"/>
      <c r="DT359" s="23"/>
      <c r="DU359" s="23"/>
      <c r="DV359" s="23"/>
      <c r="DW359" s="23"/>
      <c r="DX359" s="23"/>
      <c r="DY359" s="23"/>
      <c r="DZ359" s="23"/>
      <c r="EA359" s="23"/>
      <c r="EB359" s="23"/>
      <c r="EC359" s="23"/>
      <c r="ED359" s="23"/>
      <c r="EE359" s="23"/>
      <c r="EF359" s="23"/>
      <c r="EG359" s="23"/>
      <c r="EH359" s="23"/>
      <c r="EI359" s="23"/>
      <c r="EJ359" s="23"/>
      <c r="EK359" s="23"/>
      <c r="EL359" s="23"/>
      <c r="EM359" s="23"/>
      <c r="EN359" s="23"/>
      <c r="EO359" s="23"/>
      <c r="EP359" s="23"/>
      <c r="EQ359" s="23"/>
      <c r="ER359" s="23"/>
      <c r="ES359" s="23"/>
      <c r="ET359" s="23"/>
      <c r="EU359" s="23"/>
      <c r="EV359" s="23"/>
      <c r="EW359" s="23"/>
      <c r="EX359" s="23"/>
      <c r="EY359" s="23"/>
      <c r="EZ359" s="23"/>
      <c r="FA359" s="23"/>
      <c r="FB359" s="23"/>
      <c r="FC359" s="23"/>
      <c r="FD359" s="23"/>
      <c r="FE359" s="23"/>
      <c r="FF359" s="23"/>
      <c r="FG359" s="23"/>
      <c r="FH359" s="23"/>
      <c r="FI359" s="23"/>
      <c r="FJ359" s="23"/>
      <c r="FK359" s="23"/>
      <c r="FL359" s="23"/>
      <c r="FM359" s="23"/>
      <c r="FN359" s="23"/>
      <c r="FO359" s="23"/>
      <c r="FP359" s="23"/>
      <c r="FQ359" s="23"/>
      <c r="FR359" s="23"/>
      <c r="FS359" s="23"/>
      <c r="FT359" s="23"/>
      <c r="FU359" s="23"/>
      <c r="FV359" s="23"/>
      <c r="FW359" s="23"/>
      <c r="FX359" s="23"/>
      <c r="FY359" s="23"/>
      <c r="FZ359" s="23"/>
      <c r="GA359" s="23"/>
      <c r="GB359" s="23"/>
      <c r="GC359" s="23"/>
      <c r="GD359" s="23"/>
      <c r="GE359" s="23"/>
      <c r="GF359" s="23"/>
      <c r="GG359" s="23"/>
      <c r="GH359" s="23"/>
      <c r="GI359" s="23"/>
      <c r="GJ359" s="23"/>
      <c r="GK359" s="23"/>
      <c r="GL359" s="23"/>
    </row>
    <row r="360" spans="1:194" ht="13">
      <c r="A360" s="23"/>
      <c r="B360" s="23"/>
      <c r="C360" s="23"/>
      <c r="D360" s="23"/>
      <c r="E360" s="23"/>
      <c r="F360" s="23"/>
      <c r="G360" s="23"/>
      <c r="H360" s="401"/>
      <c r="I360" s="401"/>
      <c r="J360" s="401"/>
      <c r="K360" s="401"/>
      <c r="L360" s="401"/>
      <c r="M360" s="438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  <c r="AW360" s="23"/>
      <c r="AX360" s="23"/>
      <c r="AY360" s="23"/>
      <c r="AZ360" s="23"/>
      <c r="BA360" s="23"/>
      <c r="BB360" s="23"/>
      <c r="BC360" s="23"/>
      <c r="BD360" s="23"/>
      <c r="BE360" s="23"/>
      <c r="BF360" s="23"/>
      <c r="BG360" s="23"/>
      <c r="BH360" s="23"/>
      <c r="BI360" s="23"/>
      <c r="BJ360" s="23"/>
      <c r="BK360" s="23"/>
      <c r="BL360" s="23"/>
      <c r="BM360" s="23"/>
      <c r="BN360" s="23"/>
      <c r="BO360" s="23"/>
      <c r="BP360" s="23"/>
      <c r="BQ360" s="23"/>
      <c r="BR360" s="23"/>
      <c r="BS360" s="23"/>
      <c r="BT360" s="23"/>
      <c r="BU360" s="23"/>
      <c r="BV360" s="23"/>
      <c r="BW360" s="23"/>
      <c r="BX360" s="23"/>
      <c r="BY360" s="23"/>
      <c r="BZ360" s="23"/>
      <c r="CA360" s="23"/>
      <c r="CB360" s="23"/>
      <c r="CC360" s="23"/>
      <c r="CD360" s="23"/>
      <c r="CE360" s="23"/>
      <c r="CF360" s="23"/>
      <c r="CG360" s="23"/>
      <c r="CH360" s="23"/>
      <c r="CI360" s="23"/>
      <c r="CJ360" s="23"/>
      <c r="CK360" s="23"/>
      <c r="CL360" s="23"/>
      <c r="CM360" s="23"/>
      <c r="CN360" s="23"/>
      <c r="CO360" s="23"/>
      <c r="CP360" s="23"/>
      <c r="CQ360" s="23"/>
      <c r="CR360" s="23"/>
      <c r="CS360" s="23"/>
      <c r="CT360" s="23"/>
      <c r="CU360" s="23"/>
      <c r="CV360" s="23"/>
      <c r="CW360" s="23"/>
      <c r="CX360" s="23"/>
      <c r="CY360" s="23"/>
      <c r="CZ360" s="23"/>
      <c r="DA360" s="23"/>
      <c r="DB360" s="23"/>
      <c r="DC360" s="23"/>
      <c r="DD360" s="23"/>
      <c r="DE360" s="23"/>
      <c r="DF360" s="23"/>
      <c r="DG360" s="23"/>
      <c r="DH360" s="23"/>
      <c r="DI360" s="23"/>
      <c r="DJ360" s="23"/>
      <c r="DK360" s="23"/>
      <c r="DL360" s="23"/>
      <c r="DM360" s="23"/>
      <c r="DN360" s="23"/>
      <c r="DO360" s="23"/>
      <c r="DP360" s="23"/>
      <c r="DQ360" s="23"/>
      <c r="DR360" s="23"/>
      <c r="DS360" s="23"/>
      <c r="DT360" s="23"/>
      <c r="DU360" s="23"/>
      <c r="DV360" s="23"/>
      <c r="DW360" s="23"/>
      <c r="DX360" s="23"/>
      <c r="DY360" s="23"/>
      <c r="DZ360" s="23"/>
      <c r="EA360" s="23"/>
      <c r="EB360" s="23"/>
      <c r="EC360" s="23"/>
      <c r="ED360" s="23"/>
      <c r="EE360" s="23"/>
      <c r="EF360" s="23"/>
      <c r="EG360" s="23"/>
      <c r="EH360" s="23"/>
      <c r="EI360" s="23"/>
      <c r="EJ360" s="23"/>
      <c r="EK360" s="23"/>
      <c r="EL360" s="23"/>
      <c r="EM360" s="23"/>
      <c r="EN360" s="23"/>
      <c r="EO360" s="23"/>
      <c r="EP360" s="23"/>
      <c r="EQ360" s="23"/>
      <c r="ER360" s="23"/>
      <c r="ES360" s="23"/>
      <c r="ET360" s="23"/>
      <c r="EU360" s="23"/>
      <c r="EV360" s="23"/>
      <c r="EW360" s="23"/>
      <c r="EX360" s="23"/>
      <c r="EY360" s="23"/>
      <c r="EZ360" s="23"/>
      <c r="FA360" s="23"/>
      <c r="FB360" s="23"/>
      <c r="FC360" s="23"/>
      <c r="FD360" s="23"/>
      <c r="FE360" s="23"/>
      <c r="FF360" s="23"/>
      <c r="FG360" s="23"/>
      <c r="FH360" s="23"/>
      <c r="FI360" s="23"/>
      <c r="FJ360" s="23"/>
      <c r="FK360" s="23"/>
      <c r="FL360" s="23"/>
      <c r="FM360" s="23"/>
      <c r="FN360" s="23"/>
      <c r="FO360" s="23"/>
      <c r="FP360" s="23"/>
      <c r="FQ360" s="23"/>
      <c r="FR360" s="23"/>
      <c r="FS360" s="23"/>
      <c r="FT360" s="23"/>
      <c r="FU360" s="23"/>
      <c r="FV360" s="23"/>
      <c r="FW360" s="23"/>
      <c r="FX360" s="23"/>
      <c r="FY360" s="23"/>
      <c r="FZ360" s="23"/>
      <c r="GA360" s="23"/>
      <c r="GB360" s="23"/>
      <c r="GC360" s="23"/>
      <c r="GD360" s="23"/>
      <c r="GE360" s="23"/>
      <c r="GF360" s="23"/>
      <c r="GG360" s="23"/>
      <c r="GH360" s="23"/>
      <c r="GI360" s="23"/>
      <c r="GJ360" s="23"/>
      <c r="GK360" s="23"/>
      <c r="GL360" s="23"/>
    </row>
    <row r="361" spans="1:194" ht="13">
      <c r="A361" s="23"/>
      <c r="B361" s="23"/>
      <c r="C361" s="23"/>
      <c r="D361" s="23"/>
      <c r="E361" s="23"/>
      <c r="F361" s="23"/>
      <c r="G361" s="23"/>
      <c r="H361" s="401"/>
      <c r="I361" s="401"/>
      <c r="J361" s="401"/>
      <c r="K361" s="401"/>
      <c r="L361" s="401"/>
      <c r="M361" s="438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3"/>
      <c r="AX361" s="23"/>
      <c r="AY361" s="23"/>
      <c r="AZ361" s="23"/>
      <c r="BA361" s="23"/>
      <c r="BB361" s="23"/>
      <c r="BC361" s="23"/>
      <c r="BD361" s="23"/>
      <c r="BE361" s="23"/>
      <c r="BF361" s="23"/>
      <c r="BG361" s="23"/>
      <c r="BH361" s="23"/>
      <c r="BI361" s="23"/>
      <c r="BJ361" s="23"/>
      <c r="BK361" s="23"/>
      <c r="BL361" s="23"/>
      <c r="BM361" s="23"/>
      <c r="BN361" s="23"/>
      <c r="BO361" s="23"/>
      <c r="BP361" s="23"/>
      <c r="BQ361" s="23"/>
      <c r="BR361" s="23"/>
      <c r="BS361" s="23"/>
      <c r="BT361" s="23"/>
      <c r="BU361" s="23"/>
      <c r="BV361" s="23"/>
      <c r="BW361" s="23"/>
      <c r="BX361" s="23"/>
      <c r="BY361" s="23"/>
      <c r="BZ361" s="23"/>
      <c r="CA361" s="23"/>
      <c r="CB361" s="23"/>
      <c r="CC361" s="23"/>
      <c r="CD361" s="23"/>
      <c r="CE361" s="23"/>
      <c r="CF361" s="23"/>
      <c r="CG361" s="23"/>
      <c r="CH361" s="23"/>
      <c r="CI361" s="23"/>
      <c r="CJ361" s="23"/>
      <c r="CK361" s="23"/>
      <c r="CL361" s="23"/>
      <c r="CM361" s="23"/>
      <c r="CN361" s="23"/>
      <c r="CO361" s="23"/>
      <c r="CP361" s="23"/>
      <c r="CQ361" s="23"/>
      <c r="CR361" s="23"/>
      <c r="CS361" s="23"/>
      <c r="CT361" s="23"/>
      <c r="CU361" s="23"/>
      <c r="CV361" s="23"/>
      <c r="CW361" s="23"/>
      <c r="CX361" s="23"/>
      <c r="CY361" s="23"/>
      <c r="CZ361" s="23"/>
      <c r="DA361" s="23"/>
      <c r="DB361" s="23"/>
      <c r="DC361" s="23"/>
      <c r="DD361" s="23"/>
      <c r="DE361" s="23"/>
      <c r="DF361" s="23"/>
      <c r="DG361" s="23"/>
      <c r="DH361" s="23"/>
      <c r="DI361" s="23"/>
      <c r="DJ361" s="23"/>
      <c r="DK361" s="23"/>
      <c r="DL361" s="23"/>
      <c r="DM361" s="23"/>
      <c r="DN361" s="23"/>
      <c r="DO361" s="23"/>
      <c r="DP361" s="23"/>
      <c r="DQ361" s="23"/>
      <c r="DR361" s="23"/>
      <c r="DS361" s="23"/>
      <c r="DT361" s="23"/>
      <c r="DU361" s="23"/>
      <c r="DV361" s="23"/>
      <c r="DW361" s="23"/>
      <c r="DX361" s="23"/>
      <c r="DY361" s="23"/>
      <c r="DZ361" s="23"/>
      <c r="EA361" s="23"/>
      <c r="EB361" s="23"/>
      <c r="EC361" s="23"/>
      <c r="ED361" s="23"/>
      <c r="EE361" s="23"/>
      <c r="EF361" s="23"/>
      <c r="EG361" s="23"/>
      <c r="EH361" s="23"/>
      <c r="EI361" s="23"/>
      <c r="EJ361" s="23"/>
      <c r="EK361" s="23"/>
      <c r="EL361" s="23"/>
      <c r="EM361" s="23"/>
      <c r="EN361" s="23"/>
      <c r="EO361" s="23"/>
      <c r="EP361" s="23"/>
      <c r="EQ361" s="23"/>
      <c r="ER361" s="23"/>
      <c r="ES361" s="23"/>
      <c r="ET361" s="23"/>
      <c r="EU361" s="23"/>
      <c r="EV361" s="23"/>
      <c r="EW361" s="23"/>
      <c r="EX361" s="23"/>
      <c r="EY361" s="23"/>
      <c r="EZ361" s="23"/>
      <c r="FA361" s="23"/>
      <c r="FB361" s="23"/>
      <c r="FC361" s="23"/>
      <c r="FD361" s="23"/>
      <c r="FE361" s="23"/>
      <c r="FF361" s="23"/>
      <c r="FG361" s="23"/>
      <c r="FH361" s="23"/>
      <c r="FI361" s="23"/>
      <c r="FJ361" s="23"/>
      <c r="FK361" s="23"/>
      <c r="FL361" s="23"/>
      <c r="FM361" s="23"/>
      <c r="FN361" s="23"/>
      <c r="FO361" s="23"/>
      <c r="FP361" s="23"/>
      <c r="FQ361" s="23"/>
      <c r="FR361" s="23"/>
      <c r="FS361" s="23"/>
      <c r="FT361" s="23"/>
      <c r="FU361" s="23"/>
      <c r="FV361" s="23"/>
      <c r="FW361" s="23"/>
      <c r="FX361" s="23"/>
      <c r="FY361" s="23"/>
      <c r="FZ361" s="23"/>
      <c r="GA361" s="23"/>
      <c r="GB361" s="23"/>
      <c r="GC361" s="23"/>
      <c r="GD361" s="23"/>
      <c r="GE361" s="23"/>
      <c r="GF361" s="23"/>
      <c r="GG361" s="23"/>
      <c r="GH361" s="23"/>
      <c r="GI361" s="23"/>
      <c r="GJ361" s="23"/>
      <c r="GK361" s="23"/>
      <c r="GL361" s="23"/>
    </row>
    <row r="362" spans="1:194" ht="13">
      <c r="A362" s="23"/>
      <c r="B362" s="23"/>
      <c r="C362" s="23"/>
      <c r="D362" s="23"/>
      <c r="E362" s="23"/>
      <c r="F362" s="23"/>
      <c r="G362" s="23"/>
      <c r="H362" s="401"/>
      <c r="I362" s="401"/>
      <c r="J362" s="401"/>
      <c r="K362" s="401"/>
      <c r="L362" s="401"/>
      <c r="M362" s="438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3"/>
      <c r="AX362" s="23"/>
      <c r="AY362" s="23"/>
      <c r="AZ362" s="23"/>
      <c r="BA362" s="23"/>
      <c r="BB362" s="23"/>
      <c r="BC362" s="23"/>
      <c r="BD362" s="23"/>
      <c r="BE362" s="23"/>
      <c r="BF362" s="23"/>
      <c r="BG362" s="23"/>
      <c r="BH362" s="23"/>
      <c r="BI362" s="23"/>
      <c r="BJ362" s="23"/>
      <c r="BK362" s="23"/>
      <c r="BL362" s="23"/>
      <c r="BM362" s="23"/>
      <c r="BN362" s="23"/>
      <c r="BO362" s="23"/>
      <c r="BP362" s="23"/>
      <c r="BQ362" s="23"/>
      <c r="BR362" s="23"/>
      <c r="BS362" s="23"/>
      <c r="BT362" s="23"/>
      <c r="BU362" s="23"/>
      <c r="BV362" s="23"/>
      <c r="BW362" s="23"/>
      <c r="BX362" s="23"/>
      <c r="BY362" s="23"/>
      <c r="BZ362" s="23"/>
      <c r="CA362" s="23"/>
      <c r="CB362" s="23"/>
      <c r="CC362" s="23"/>
      <c r="CD362" s="23"/>
      <c r="CE362" s="23"/>
      <c r="CF362" s="23"/>
      <c r="CG362" s="23"/>
      <c r="CH362" s="23"/>
      <c r="CI362" s="23"/>
      <c r="CJ362" s="23"/>
      <c r="CK362" s="23"/>
      <c r="CL362" s="23"/>
      <c r="CM362" s="23"/>
      <c r="CN362" s="23"/>
      <c r="CO362" s="23"/>
      <c r="CP362" s="23"/>
      <c r="CQ362" s="23"/>
      <c r="CR362" s="23"/>
      <c r="CS362" s="23"/>
      <c r="CT362" s="23"/>
      <c r="CU362" s="23"/>
      <c r="CV362" s="23"/>
      <c r="CW362" s="23"/>
      <c r="CX362" s="23"/>
      <c r="CY362" s="23"/>
      <c r="CZ362" s="23"/>
      <c r="DA362" s="23"/>
      <c r="DB362" s="23"/>
      <c r="DC362" s="23"/>
      <c r="DD362" s="23"/>
      <c r="DE362" s="23"/>
      <c r="DF362" s="23"/>
      <c r="DG362" s="23"/>
      <c r="DH362" s="23"/>
      <c r="DI362" s="23"/>
      <c r="DJ362" s="23"/>
      <c r="DK362" s="23"/>
      <c r="DL362" s="23"/>
      <c r="DM362" s="23"/>
      <c r="DN362" s="23"/>
      <c r="DO362" s="23"/>
      <c r="DP362" s="23"/>
      <c r="DQ362" s="23"/>
      <c r="DR362" s="23"/>
      <c r="DS362" s="23"/>
      <c r="DT362" s="23"/>
      <c r="DU362" s="23"/>
      <c r="DV362" s="23"/>
      <c r="DW362" s="23"/>
      <c r="DX362" s="23"/>
      <c r="DY362" s="23"/>
      <c r="DZ362" s="23"/>
      <c r="EA362" s="23"/>
      <c r="EB362" s="23"/>
      <c r="EC362" s="23"/>
      <c r="ED362" s="23"/>
      <c r="EE362" s="23"/>
      <c r="EF362" s="23"/>
      <c r="EG362" s="23"/>
      <c r="EH362" s="23"/>
      <c r="EI362" s="23"/>
      <c r="EJ362" s="23"/>
      <c r="EK362" s="23"/>
      <c r="EL362" s="23"/>
      <c r="EM362" s="23"/>
      <c r="EN362" s="23"/>
      <c r="EO362" s="23"/>
      <c r="EP362" s="23"/>
      <c r="EQ362" s="23"/>
      <c r="ER362" s="23"/>
      <c r="ES362" s="23"/>
      <c r="ET362" s="23"/>
      <c r="EU362" s="23"/>
      <c r="EV362" s="23"/>
      <c r="EW362" s="23"/>
      <c r="EX362" s="23"/>
      <c r="EY362" s="23"/>
      <c r="EZ362" s="23"/>
      <c r="FA362" s="23"/>
      <c r="FB362" s="23"/>
      <c r="FC362" s="23"/>
      <c r="FD362" s="23"/>
      <c r="FE362" s="23"/>
      <c r="FF362" s="23"/>
      <c r="FG362" s="23"/>
      <c r="FH362" s="23"/>
      <c r="FI362" s="23"/>
      <c r="FJ362" s="23"/>
      <c r="FK362" s="23"/>
      <c r="FL362" s="23"/>
      <c r="FM362" s="23"/>
      <c r="FN362" s="23"/>
      <c r="FO362" s="23"/>
      <c r="FP362" s="23"/>
      <c r="FQ362" s="23"/>
      <c r="FR362" s="23"/>
      <c r="FS362" s="23"/>
      <c r="FT362" s="23"/>
      <c r="FU362" s="23"/>
      <c r="FV362" s="23"/>
      <c r="FW362" s="23"/>
      <c r="FX362" s="23"/>
      <c r="FY362" s="23"/>
      <c r="FZ362" s="23"/>
      <c r="GA362" s="23"/>
      <c r="GB362" s="23"/>
      <c r="GC362" s="23"/>
      <c r="GD362" s="23"/>
      <c r="GE362" s="23"/>
      <c r="GF362" s="23"/>
      <c r="GG362" s="23"/>
      <c r="GH362" s="23"/>
      <c r="GI362" s="23"/>
      <c r="GJ362" s="23"/>
      <c r="GK362" s="23"/>
      <c r="GL362" s="23"/>
    </row>
    <row r="363" spans="1:194" ht="13">
      <c r="A363" s="23"/>
      <c r="B363" s="23"/>
      <c r="C363" s="23"/>
      <c r="D363" s="23"/>
      <c r="E363" s="23"/>
      <c r="F363" s="23"/>
      <c r="G363" s="23"/>
      <c r="H363" s="401"/>
      <c r="I363" s="401"/>
      <c r="J363" s="401"/>
      <c r="K363" s="401"/>
      <c r="L363" s="401"/>
      <c r="M363" s="438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  <c r="AW363" s="23"/>
      <c r="AX363" s="23"/>
      <c r="AY363" s="23"/>
      <c r="AZ363" s="23"/>
      <c r="BA363" s="23"/>
      <c r="BB363" s="23"/>
      <c r="BC363" s="23"/>
      <c r="BD363" s="23"/>
      <c r="BE363" s="23"/>
      <c r="BF363" s="23"/>
      <c r="BG363" s="23"/>
      <c r="BH363" s="23"/>
      <c r="BI363" s="23"/>
      <c r="BJ363" s="23"/>
      <c r="BK363" s="23"/>
      <c r="BL363" s="23"/>
      <c r="BM363" s="23"/>
      <c r="BN363" s="23"/>
      <c r="BO363" s="23"/>
      <c r="BP363" s="23"/>
      <c r="BQ363" s="23"/>
      <c r="BR363" s="23"/>
      <c r="BS363" s="23"/>
      <c r="BT363" s="23"/>
      <c r="BU363" s="23"/>
      <c r="BV363" s="23"/>
      <c r="BW363" s="23"/>
      <c r="BX363" s="23"/>
      <c r="BY363" s="23"/>
      <c r="BZ363" s="23"/>
      <c r="CA363" s="23"/>
      <c r="CB363" s="23"/>
      <c r="CC363" s="23"/>
      <c r="CD363" s="23"/>
      <c r="CE363" s="23"/>
      <c r="CF363" s="23"/>
      <c r="CG363" s="23"/>
      <c r="CH363" s="23"/>
      <c r="CI363" s="23"/>
      <c r="CJ363" s="23"/>
      <c r="CK363" s="23"/>
      <c r="CL363" s="23"/>
      <c r="CM363" s="23"/>
      <c r="CN363" s="23"/>
      <c r="CO363" s="23"/>
      <c r="CP363" s="23"/>
      <c r="CQ363" s="23"/>
      <c r="CR363" s="23"/>
      <c r="CS363" s="23"/>
      <c r="CT363" s="23"/>
      <c r="CU363" s="23"/>
      <c r="CV363" s="23"/>
      <c r="CW363" s="23"/>
      <c r="CX363" s="23"/>
      <c r="CY363" s="23"/>
      <c r="CZ363" s="23"/>
      <c r="DA363" s="23"/>
      <c r="DB363" s="23"/>
      <c r="DC363" s="23"/>
      <c r="DD363" s="23"/>
      <c r="DE363" s="23"/>
      <c r="DF363" s="23"/>
      <c r="DG363" s="23"/>
      <c r="DH363" s="23"/>
      <c r="DI363" s="23"/>
      <c r="DJ363" s="23"/>
      <c r="DK363" s="23"/>
      <c r="DL363" s="23"/>
      <c r="DM363" s="23"/>
      <c r="DN363" s="23"/>
      <c r="DO363" s="23"/>
      <c r="DP363" s="23"/>
      <c r="DQ363" s="23"/>
      <c r="DR363" s="23"/>
      <c r="DS363" s="23"/>
      <c r="DT363" s="23"/>
      <c r="DU363" s="23"/>
      <c r="DV363" s="23"/>
      <c r="DW363" s="23"/>
      <c r="DX363" s="23"/>
      <c r="DY363" s="23"/>
      <c r="DZ363" s="23"/>
      <c r="EA363" s="23"/>
      <c r="EB363" s="23"/>
      <c r="EC363" s="23"/>
      <c r="ED363" s="23"/>
      <c r="EE363" s="23"/>
      <c r="EF363" s="23"/>
      <c r="EG363" s="23"/>
      <c r="EH363" s="23"/>
      <c r="EI363" s="23"/>
      <c r="EJ363" s="23"/>
      <c r="EK363" s="23"/>
      <c r="EL363" s="23"/>
      <c r="EM363" s="23"/>
      <c r="EN363" s="23"/>
      <c r="EO363" s="23"/>
      <c r="EP363" s="23"/>
      <c r="EQ363" s="23"/>
      <c r="ER363" s="23"/>
      <c r="ES363" s="23"/>
      <c r="ET363" s="23"/>
      <c r="EU363" s="23"/>
      <c r="EV363" s="23"/>
      <c r="EW363" s="23"/>
      <c r="EX363" s="23"/>
      <c r="EY363" s="23"/>
      <c r="EZ363" s="23"/>
      <c r="FA363" s="23"/>
      <c r="FB363" s="23"/>
      <c r="FC363" s="23"/>
      <c r="FD363" s="23"/>
      <c r="FE363" s="23"/>
      <c r="FF363" s="23"/>
      <c r="FG363" s="23"/>
      <c r="FH363" s="23"/>
      <c r="FI363" s="23"/>
      <c r="FJ363" s="23"/>
      <c r="FK363" s="23"/>
      <c r="FL363" s="23"/>
      <c r="FM363" s="23"/>
      <c r="FN363" s="23"/>
      <c r="FO363" s="23"/>
      <c r="FP363" s="23"/>
      <c r="FQ363" s="23"/>
      <c r="FR363" s="23"/>
      <c r="FS363" s="23"/>
      <c r="FT363" s="23"/>
      <c r="FU363" s="23"/>
      <c r="FV363" s="23"/>
      <c r="FW363" s="23"/>
      <c r="FX363" s="23"/>
      <c r="FY363" s="23"/>
      <c r="FZ363" s="23"/>
      <c r="GA363" s="23"/>
      <c r="GB363" s="23"/>
      <c r="GC363" s="23"/>
      <c r="GD363" s="23"/>
      <c r="GE363" s="23"/>
      <c r="GF363" s="23"/>
      <c r="GG363" s="23"/>
      <c r="GH363" s="23"/>
      <c r="GI363" s="23"/>
      <c r="GJ363" s="23"/>
      <c r="GK363" s="23"/>
      <c r="GL363" s="23"/>
    </row>
    <row r="364" spans="1:194" ht="13">
      <c r="A364" s="23"/>
      <c r="B364" s="23"/>
      <c r="C364" s="23"/>
      <c r="D364" s="23"/>
      <c r="E364" s="23"/>
      <c r="F364" s="23"/>
      <c r="G364" s="23"/>
      <c r="H364" s="401"/>
      <c r="I364" s="401"/>
      <c r="J364" s="401"/>
      <c r="K364" s="401"/>
      <c r="L364" s="401"/>
      <c r="M364" s="438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  <c r="AW364" s="23"/>
      <c r="AX364" s="23"/>
      <c r="AY364" s="23"/>
      <c r="AZ364" s="23"/>
      <c r="BA364" s="23"/>
      <c r="BB364" s="23"/>
      <c r="BC364" s="23"/>
      <c r="BD364" s="23"/>
      <c r="BE364" s="23"/>
      <c r="BF364" s="23"/>
      <c r="BG364" s="23"/>
      <c r="BH364" s="23"/>
      <c r="BI364" s="23"/>
      <c r="BJ364" s="23"/>
      <c r="BK364" s="23"/>
      <c r="BL364" s="23"/>
      <c r="BM364" s="23"/>
      <c r="BN364" s="23"/>
      <c r="BO364" s="23"/>
      <c r="BP364" s="23"/>
      <c r="BQ364" s="23"/>
      <c r="BR364" s="23"/>
      <c r="BS364" s="23"/>
      <c r="BT364" s="23"/>
      <c r="BU364" s="23"/>
      <c r="BV364" s="23"/>
      <c r="BW364" s="23"/>
      <c r="BX364" s="23"/>
      <c r="BY364" s="23"/>
      <c r="BZ364" s="23"/>
      <c r="CA364" s="23"/>
      <c r="CB364" s="23"/>
      <c r="CC364" s="23"/>
      <c r="CD364" s="23"/>
      <c r="CE364" s="23"/>
      <c r="CF364" s="23"/>
      <c r="CG364" s="23"/>
      <c r="CH364" s="23"/>
      <c r="CI364" s="23"/>
      <c r="CJ364" s="23"/>
      <c r="CK364" s="23"/>
      <c r="CL364" s="23"/>
      <c r="CM364" s="23"/>
      <c r="CN364" s="23"/>
      <c r="CO364" s="23"/>
      <c r="CP364" s="23"/>
      <c r="CQ364" s="23"/>
      <c r="CR364" s="23"/>
      <c r="CS364" s="23"/>
      <c r="CT364" s="23"/>
      <c r="CU364" s="23"/>
      <c r="CV364" s="23"/>
      <c r="CW364" s="23"/>
      <c r="CX364" s="23"/>
      <c r="CY364" s="23"/>
      <c r="CZ364" s="23"/>
      <c r="DA364" s="23"/>
      <c r="DB364" s="23"/>
      <c r="DC364" s="23"/>
      <c r="DD364" s="23"/>
      <c r="DE364" s="23"/>
      <c r="DF364" s="23"/>
      <c r="DG364" s="23"/>
      <c r="DH364" s="23"/>
      <c r="DI364" s="23"/>
      <c r="DJ364" s="23"/>
      <c r="DK364" s="23"/>
      <c r="DL364" s="23"/>
      <c r="DM364" s="23"/>
      <c r="DN364" s="23"/>
      <c r="DO364" s="23"/>
      <c r="DP364" s="23"/>
      <c r="DQ364" s="23"/>
      <c r="DR364" s="23"/>
      <c r="DS364" s="23"/>
      <c r="DT364" s="23"/>
      <c r="DU364" s="23"/>
      <c r="DV364" s="23"/>
      <c r="DW364" s="23"/>
      <c r="DX364" s="23"/>
      <c r="DY364" s="23"/>
      <c r="DZ364" s="23"/>
      <c r="EA364" s="23"/>
      <c r="EB364" s="23"/>
      <c r="EC364" s="23"/>
      <c r="ED364" s="23"/>
      <c r="EE364" s="23"/>
      <c r="EF364" s="23"/>
      <c r="EG364" s="23"/>
      <c r="EH364" s="23"/>
      <c r="EI364" s="23"/>
      <c r="EJ364" s="23"/>
      <c r="EK364" s="23"/>
      <c r="EL364" s="23"/>
      <c r="EM364" s="23"/>
      <c r="EN364" s="23"/>
      <c r="EO364" s="23"/>
      <c r="EP364" s="23"/>
      <c r="EQ364" s="23"/>
      <c r="ER364" s="23"/>
      <c r="ES364" s="23"/>
      <c r="ET364" s="23"/>
      <c r="EU364" s="23"/>
      <c r="EV364" s="23"/>
      <c r="EW364" s="23"/>
      <c r="EX364" s="23"/>
      <c r="EY364" s="23"/>
      <c r="EZ364" s="23"/>
      <c r="FA364" s="23"/>
      <c r="FB364" s="23"/>
      <c r="FC364" s="23"/>
      <c r="FD364" s="23"/>
      <c r="FE364" s="23"/>
      <c r="FF364" s="23"/>
      <c r="FG364" s="23"/>
      <c r="FH364" s="23"/>
      <c r="FI364" s="23"/>
      <c r="FJ364" s="23"/>
      <c r="FK364" s="23"/>
      <c r="FL364" s="23"/>
      <c r="FM364" s="23"/>
      <c r="FN364" s="23"/>
      <c r="FO364" s="23"/>
      <c r="FP364" s="23"/>
      <c r="FQ364" s="23"/>
      <c r="FR364" s="23"/>
      <c r="FS364" s="23"/>
      <c r="FT364" s="23"/>
      <c r="FU364" s="23"/>
      <c r="FV364" s="23"/>
      <c r="FW364" s="23"/>
      <c r="FX364" s="23"/>
      <c r="FY364" s="23"/>
      <c r="FZ364" s="23"/>
      <c r="GA364" s="23"/>
      <c r="GB364" s="23"/>
      <c r="GC364" s="23"/>
      <c r="GD364" s="23"/>
      <c r="GE364" s="23"/>
      <c r="GF364" s="23"/>
      <c r="GG364" s="23"/>
      <c r="GH364" s="23"/>
      <c r="GI364" s="23"/>
      <c r="GJ364" s="23"/>
      <c r="GK364" s="23"/>
      <c r="GL364" s="23"/>
    </row>
    <row r="365" spans="1:194" ht="13">
      <c r="A365" s="23"/>
      <c r="B365" s="23"/>
      <c r="C365" s="23"/>
      <c r="D365" s="23"/>
      <c r="E365" s="23"/>
      <c r="F365" s="23"/>
      <c r="G365" s="23"/>
      <c r="H365" s="401"/>
      <c r="I365" s="401"/>
      <c r="J365" s="401"/>
      <c r="K365" s="401"/>
      <c r="L365" s="401"/>
      <c r="M365" s="438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  <c r="BA365" s="23"/>
      <c r="BB365" s="23"/>
      <c r="BC365" s="23"/>
      <c r="BD365" s="23"/>
      <c r="BE365" s="23"/>
      <c r="BF365" s="23"/>
      <c r="BG365" s="23"/>
      <c r="BH365" s="23"/>
      <c r="BI365" s="23"/>
      <c r="BJ365" s="23"/>
      <c r="BK365" s="23"/>
      <c r="BL365" s="23"/>
      <c r="BM365" s="23"/>
      <c r="BN365" s="23"/>
      <c r="BO365" s="23"/>
      <c r="BP365" s="23"/>
      <c r="BQ365" s="23"/>
      <c r="BR365" s="23"/>
      <c r="BS365" s="23"/>
      <c r="BT365" s="23"/>
      <c r="BU365" s="23"/>
      <c r="BV365" s="23"/>
      <c r="BW365" s="23"/>
      <c r="BX365" s="23"/>
      <c r="BY365" s="23"/>
      <c r="BZ365" s="23"/>
      <c r="CA365" s="23"/>
      <c r="CB365" s="23"/>
      <c r="CC365" s="23"/>
      <c r="CD365" s="23"/>
      <c r="CE365" s="23"/>
      <c r="CF365" s="23"/>
      <c r="CG365" s="23"/>
      <c r="CH365" s="23"/>
      <c r="CI365" s="23"/>
      <c r="CJ365" s="23"/>
      <c r="CK365" s="23"/>
      <c r="CL365" s="23"/>
      <c r="CM365" s="23"/>
      <c r="CN365" s="23"/>
      <c r="CO365" s="23"/>
      <c r="CP365" s="23"/>
      <c r="CQ365" s="23"/>
      <c r="CR365" s="23"/>
      <c r="CS365" s="23"/>
      <c r="CT365" s="23"/>
      <c r="CU365" s="23"/>
      <c r="CV365" s="23"/>
      <c r="CW365" s="23"/>
      <c r="CX365" s="23"/>
      <c r="CY365" s="23"/>
      <c r="CZ365" s="23"/>
      <c r="DA365" s="23"/>
      <c r="DB365" s="23"/>
      <c r="DC365" s="23"/>
      <c r="DD365" s="23"/>
      <c r="DE365" s="23"/>
      <c r="DF365" s="23"/>
      <c r="DG365" s="23"/>
      <c r="DH365" s="23"/>
      <c r="DI365" s="23"/>
      <c r="DJ365" s="23"/>
      <c r="DK365" s="23"/>
      <c r="DL365" s="23"/>
      <c r="DM365" s="23"/>
      <c r="DN365" s="23"/>
      <c r="DO365" s="23"/>
      <c r="DP365" s="23"/>
      <c r="DQ365" s="23"/>
      <c r="DR365" s="23"/>
      <c r="DS365" s="23"/>
      <c r="DT365" s="23"/>
      <c r="DU365" s="23"/>
      <c r="DV365" s="23"/>
      <c r="DW365" s="23"/>
      <c r="DX365" s="23"/>
      <c r="DY365" s="23"/>
      <c r="DZ365" s="23"/>
      <c r="EA365" s="23"/>
      <c r="EB365" s="23"/>
      <c r="EC365" s="23"/>
      <c r="ED365" s="23"/>
      <c r="EE365" s="23"/>
      <c r="EF365" s="23"/>
      <c r="EG365" s="23"/>
      <c r="EH365" s="23"/>
      <c r="EI365" s="23"/>
      <c r="EJ365" s="23"/>
      <c r="EK365" s="23"/>
      <c r="EL365" s="23"/>
      <c r="EM365" s="23"/>
      <c r="EN365" s="23"/>
      <c r="EO365" s="23"/>
      <c r="EP365" s="23"/>
      <c r="EQ365" s="23"/>
      <c r="ER365" s="23"/>
      <c r="ES365" s="23"/>
      <c r="ET365" s="23"/>
      <c r="EU365" s="23"/>
      <c r="EV365" s="23"/>
      <c r="EW365" s="23"/>
      <c r="EX365" s="23"/>
      <c r="EY365" s="23"/>
      <c r="EZ365" s="23"/>
      <c r="FA365" s="23"/>
      <c r="FB365" s="23"/>
      <c r="FC365" s="23"/>
      <c r="FD365" s="23"/>
      <c r="FE365" s="23"/>
      <c r="FF365" s="23"/>
      <c r="FG365" s="23"/>
      <c r="FH365" s="23"/>
      <c r="FI365" s="23"/>
      <c r="FJ365" s="23"/>
      <c r="FK365" s="23"/>
      <c r="FL365" s="23"/>
      <c r="FM365" s="23"/>
      <c r="FN365" s="23"/>
      <c r="FO365" s="23"/>
      <c r="FP365" s="23"/>
      <c r="FQ365" s="23"/>
      <c r="FR365" s="23"/>
      <c r="FS365" s="23"/>
      <c r="FT365" s="23"/>
      <c r="FU365" s="23"/>
      <c r="FV365" s="23"/>
      <c r="FW365" s="23"/>
      <c r="FX365" s="23"/>
      <c r="FY365" s="23"/>
      <c r="FZ365" s="23"/>
      <c r="GA365" s="23"/>
      <c r="GB365" s="23"/>
      <c r="GC365" s="23"/>
      <c r="GD365" s="23"/>
      <c r="GE365" s="23"/>
      <c r="GF365" s="23"/>
      <c r="GG365" s="23"/>
      <c r="GH365" s="23"/>
      <c r="GI365" s="23"/>
      <c r="GJ365" s="23"/>
      <c r="GK365" s="23"/>
      <c r="GL365" s="23"/>
    </row>
    <row r="366" spans="1:194" ht="13">
      <c r="A366" s="23"/>
      <c r="B366" s="23"/>
      <c r="C366" s="23"/>
      <c r="D366" s="23"/>
      <c r="E366" s="23"/>
      <c r="F366" s="23"/>
      <c r="G366" s="23"/>
      <c r="H366" s="401"/>
      <c r="I366" s="401"/>
      <c r="J366" s="401"/>
      <c r="K366" s="401"/>
      <c r="L366" s="401"/>
      <c r="M366" s="438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  <c r="BF366" s="23"/>
      <c r="BG366" s="23"/>
      <c r="BH366" s="23"/>
      <c r="BI366" s="23"/>
      <c r="BJ366" s="23"/>
      <c r="BK366" s="23"/>
      <c r="BL366" s="23"/>
      <c r="BM366" s="23"/>
      <c r="BN366" s="23"/>
      <c r="BO366" s="23"/>
      <c r="BP366" s="23"/>
      <c r="BQ366" s="23"/>
      <c r="BR366" s="23"/>
      <c r="BS366" s="23"/>
      <c r="BT366" s="23"/>
      <c r="BU366" s="23"/>
      <c r="BV366" s="23"/>
      <c r="BW366" s="23"/>
      <c r="BX366" s="23"/>
      <c r="BY366" s="23"/>
      <c r="BZ366" s="23"/>
      <c r="CA366" s="23"/>
      <c r="CB366" s="23"/>
      <c r="CC366" s="23"/>
      <c r="CD366" s="23"/>
      <c r="CE366" s="23"/>
      <c r="CF366" s="23"/>
      <c r="CG366" s="23"/>
      <c r="CH366" s="23"/>
      <c r="CI366" s="23"/>
      <c r="CJ366" s="23"/>
      <c r="CK366" s="23"/>
      <c r="CL366" s="23"/>
      <c r="CM366" s="23"/>
      <c r="CN366" s="23"/>
      <c r="CO366" s="23"/>
      <c r="CP366" s="23"/>
      <c r="CQ366" s="23"/>
      <c r="CR366" s="23"/>
      <c r="CS366" s="23"/>
      <c r="CT366" s="23"/>
      <c r="CU366" s="23"/>
      <c r="CV366" s="23"/>
      <c r="CW366" s="23"/>
      <c r="CX366" s="23"/>
      <c r="CY366" s="23"/>
      <c r="CZ366" s="23"/>
      <c r="DA366" s="23"/>
      <c r="DB366" s="23"/>
      <c r="DC366" s="23"/>
      <c r="DD366" s="23"/>
      <c r="DE366" s="23"/>
      <c r="DF366" s="23"/>
      <c r="DG366" s="23"/>
      <c r="DH366" s="23"/>
      <c r="DI366" s="23"/>
      <c r="DJ366" s="23"/>
      <c r="DK366" s="23"/>
      <c r="DL366" s="23"/>
      <c r="DM366" s="23"/>
      <c r="DN366" s="23"/>
      <c r="DO366" s="23"/>
      <c r="DP366" s="23"/>
      <c r="DQ366" s="23"/>
      <c r="DR366" s="23"/>
      <c r="DS366" s="23"/>
      <c r="DT366" s="23"/>
      <c r="DU366" s="23"/>
      <c r="DV366" s="23"/>
      <c r="DW366" s="23"/>
      <c r="DX366" s="23"/>
      <c r="DY366" s="23"/>
      <c r="DZ366" s="23"/>
      <c r="EA366" s="23"/>
      <c r="EB366" s="23"/>
      <c r="EC366" s="23"/>
      <c r="ED366" s="23"/>
      <c r="EE366" s="23"/>
      <c r="EF366" s="23"/>
      <c r="EG366" s="23"/>
      <c r="EH366" s="23"/>
      <c r="EI366" s="23"/>
      <c r="EJ366" s="23"/>
      <c r="EK366" s="23"/>
      <c r="EL366" s="23"/>
      <c r="EM366" s="23"/>
      <c r="EN366" s="23"/>
      <c r="EO366" s="23"/>
      <c r="EP366" s="23"/>
      <c r="EQ366" s="23"/>
      <c r="ER366" s="23"/>
      <c r="ES366" s="23"/>
      <c r="ET366" s="23"/>
      <c r="EU366" s="23"/>
      <c r="EV366" s="23"/>
      <c r="EW366" s="23"/>
      <c r="EX366" s="23"/>
      <c r="EY366" s="23"/>
      <c r="EZ366" s="23"/>
      <c r="FA366" s="23"/>
      <c r="FB366" s="23"/>
      <c r="FC366" s="23"/>
      <c r="FD366" s="23"/>
      <c r="FE366" s="23"/>
      <c r="FF366" s="23"/>
      <c r="FG366" s="23"/>
      <c r="FH366" s="23"/>
      <c r="FI366" s="23"/>
      <c r="FJ366" s="23"/>
      <c r="FK366" s="23"/>
      <c r="FL366" s="23"/>
      <c r="FM366" s="23"/>
      <c r="FN366" s="23"/>
      <c r="FO366" s="23"/>
      <c r="FP366" s="23"/>
      <c r="FQ366" s="23"/>
      <c r="FR366" s="23"/>
      <c r="FS366" s="23"/>
      <c r="FT366" s="23"/>
      <c r="FU366" s="23"/>
      <c r="FV366" s="23"/>
      <c r="FW366" s="23"/>
      <c r="FX366" s="23"/>
      <c r="FY366" s="23"/>
      <c r="FZ366" s="23"/>
      <c r="GA366" s="23"/>
      <c r="GB366" s="23"/>
      <c r="GC366" s="23"/>
      <c r="GD366" s="23"/>
      <c r="GE366" s="23"/>
      <c r="GF366" s="23"/>
      <c r="GG366" s="23"/>
      <c r="GH366" s="23"/>
      <c r="GI366" s="23"/>
      <c r="GJ366" s="23"/>
      <c r="GK366" s="23"/>
      <c r="GL366" s="23"/>
    </row>
    <row r="367" spans="1:194" ht="13">
      <c r="A367" s="23"/>
      <c r="B367" s="23"/>
      <c r="C367" s="23"/>
      <c r="D367" s="23"/>
      <c r="E367" s="23"/>
      <c r="F367" s="23"/>
      <c r="G367" s="23"/>
      <c r="H367" s="401"/>
      <c r="I367" s="401"/>
      <c r="J367" s="401"/>
      <c r="K367" s="401"/>
      <c r="L367" s="401"/>
      <c r="M367" s="438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23"/>
      <c r="BD367" s="23"/>
      <c r="BE367" s="23"/>
      <c r="BF367" s="23"/>
      <c r="BG367" s="23"/>
      <c r="BH367" s="23"/>
      <c r="BI367" s="23"/>
      <c r="BJ367" s="23"/>
      <c r="BK367" s="23"/>
      <c r="BL367" s="23"/>
      <c r="BM367" s="23"/>
      <c r="BN367" s="23"/>
      <c r="BO367" s="23"/>
      <c r="BP367" s="23"/>
      <c r="BQ367" s="23"/>
      <c r="BR367" s="23"/>
      <c r="BS367" s="23"/>
      <c r="BT367" s="23"/>
      <c r="BU367" s="23"/>
      <c r="BV367" s="23"/>
      <c r="BW367" s="23"/>
      <c r="BX367" s="23"/>
      <c r="BY367" s="23"/>
      <c r="BZ367" s="23"/>
      <c r="CA367" s="23"/>
      <c r="CB367" s="23"/>
      <c r="CC367" s="23"/>
      <c r="CD367" s="23"/>
      <c r="CE367" s="23"/>
      <c r="CF367" s="23"/>
      <c r="CG367" s="23"/>
      <c r="CH367" s="23"/>
      <c r="CI367" s="23"/>
      <c r="CJ367" s="23"/>
      <c r="CK367" s="23"/>
      <c r="CL367" s="23"/>
      <c r="CM367" s="23"/>
      <c r="CN367" s="23"/>
      <c r="CO367" s="23"/>
      <c r="CP367" s="23"/>
      <c r="CQ367" s="23"/>
      <c r="CR367" s="23"/>
      <c r="CS367" s="23"/>
      <c r="CT367" s="23"/>
      <c r="CU367" s="23"/>
      <c r="CV367" s="23"/>
      <c r="CW367" s="23"/>
      <c r="CX367" s="23"/>
      <c r="CY367" s="23"/>
      <c r="CZ367" s="23"/>
      <c r="DA367" s="23"/>
      <c r="DB367" s="23"/>
      <c r="DC367" s="23"/>
      <c r="DD367" s="23"/>
      <c r="DE367" s="23"/>
      <c r="DF367" s="23"/>
      <c r="DG367" s="23"/>
      <c r="DH367" s="23"/>
      <c r="DI367" s="23"/>
      <c r="DJ367" s="23"/>
      <c r="DK367" s="23"/>
      <c r="DL367" s="23"/>
      <c r="DM367" s="23"/>
      <c r="DN367" s="23"/>
      <c r="DO367" s="23"/>
      <c r="DP367" s="23"/>
      <c r="DQ367" s="23"/>
      <c r="DR367" s="23"/>
      <c r="DS367" s="23"/>
      <c r="DT367" s="23"/>
      <c r="DU367" s="23"/>
      <c r="DV367" s="23"/>
      <c r="DW367" s="23"/>
      <c r="DX367" s="23"/>
      <c r="DY367" s="23"/>
      <c r="DZ367" s="23"/>
      <c r="EA367" s="23"/>
      <c r="EB367" s="23"/>
      <c r="EC367" s="23"/>
      <c r="ED367" s="23"/>
      <c r="EE367" s="23"/>
      <c r="EF367" s="23"/>
      <c r="EG367" s="23"/>
      <c r="EH367" s="23"/>
      <c r="EI367" s="23"/>
      <c r="EJ367" s="23"/>
      <c r="EK367" s="23"/>
      <c r="EL367" s="23"/>
      <c r="EM367" s="23"/>
      <c r="EN367" s="23"/>
      <c r="EO367" s="23"/>
      <c r="EP367" s="23"/>
      <c r="EQ367" s="23"/>
      <c r="ER367" s="23"/>
      <c r="ES367" s="23"/>
      <c r="ET367" s="23"/>
      <c r="EU367" s="23"/>
      <c r="EV367" s="23"/>
      <c r="EW367" s="23"/>
      <c r="EX367" s="23"/>
      <c r="EY367" s="23"/>
      <c r="EZ367" s="23"/>
      <c r="FA367" s="23"/>
      <c r="FB367" s="23"/>
      <c r="FC367" s="23"/>
      <c r="FD367" s="23"/>
      <c r="FE367" s="23"/>
      <c r="FF367" s="23"/>
      <c r="FG367" s="23"/>
      <c r="FH367" s="23"/>
      <c r="FI367" s="23"/>
      <c r="FJ367" s="23"/>
      <c r="FK367" s="23"/>
      <c r="FL367" s="23"/>
      <c r="FM367" s="23"/>
      <c r="FN367" s="23"/>
      <c r="FO367" s="23"/>
      <c r="FP367" s="23"/>
      <c r="FQ367" s="23"/>
      <c r="FR367" s="23"/>
      <c r="FS367" s="23"/>
      <c r="FT367" s="23"/>
      <c r="FU367" s="23"/>
      <c r="FV367" s="23"/>
      <c r="FW367" s="23"/>
      <c r="FX367" s="23"/>
      <c r="FY367" s="23"/>
      <c r="FZ367" s="23"/>
      <c r="GA367" s="23"/>
      <c r="GB367" s="23"/>
      <c r="GC367" s="23"/>
      <c r="GD367" s="23"/>
      <c r="GE367" s="23"/>
      <c r="GF367" s="23"/>
      <c r="GG367" s="23"/>
      <c r="GH367" s="23"/>
      <c r="GI367" s="23"/>
      <c r="GJ367" s="23"/>
      <c r="GK367" s="23"/>
      <c r="GL367" s="23"/>
    </row>
    <row r="368" spans="1:194" ht="13">
      <c r="A368" s="23"/>
      <c r="B368" s="23"/>
      <c r="C368" s="23"/>
      <c r="D368" s="23"/>
      <c r="E368" s="23"/>
      <c r="F368" s="23"/>
      <c r="G368" s="23"/>
      <c r="H368" s="401"/>
      <c r="I368" s="401"/>
      <c r="J368" s="401"/>
      <c r="K368" s="401"/>
      <c r="L368" s="401"/>
      <c r="M368" s="438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  <c r="AZ368" s="23"/>
      <c r="BA368" s="23"/>
      <c r="BB368" s="23"/>
      <c r="BC368" s="23"/>
      <c r="BD368" s="23"/>
      <c r="BE368" s="23"/>
      <c r="BF368" s="23"/>
      <c r="BG368" s="23"/>
      <c r="BH368" s="23"/>
      <c r="BI368" s="23"/>
      <c r="BJ368" s="23"/>
      <c r="BK368" s="23"/>
      <c r="BL368" s="23"/>
      <c r="BM368" s="23"/>
      <c r="BN368" s="23"/>
      <c r="BO368" s="23"/>
      <c r="BP368" s="23"/>
      <c r="BQ368" s="23"/>
      <c r="BR368" s="23"/>
      <c r="BS368" s="23"/>
      <c r="BT368" s="23"/>
      <c r="BU368" s="23"/>
      <c r="BV368" s="23"/>
      <c r="BW368" s="23"/>
      <c r="BX368" s="23"/>
      <c r="BY368" s="23"/>
      <c r="BZ368" s="23"/>
      <c r="CA368" s="23"/>
      <c r="CB368" s="23"/>
      <c r="CC368" s="23"/>
      <c r="CD368" s="23"/>
      <c r="CE368" s="23"/>
      <c r="CF368" s="23"/>
      <c r="CG368" s="23"/>
      <c r="CH368" s="23"/>
      <c r="CI368" s="23"/>
      <c r="CJ368" s="23"/>
      <c r="CK368" s="23"/>
      <c r="CL368" s="23"/>
      <c r="CM368" s="23"/>
      <c r="CN368" s="23"/>
      <c r="CO368" s="23"/>
      <c r="CP368" s="23"/>
      <c r="CQ368" s="23"/>
      <c r="CR368" s="23"/>
      <c r="CS368" s="23"/>
      <c r="CT368" s="23"/>
      <c r="CU368" s="23"/>
      <c r="CV368" s="23"/>
      <c r="CW368" s="23"/>
      <c r="CX368" s="23"/>
      <c r="CY368" s="23"/>
      <c r="CZ368" s="23"/>
      <c r="DA368" s="23"/>
      <c r="DB368" s="23"/>
      <c r="DC368" s="23"/>
      <c r="DD368" s="23"/>
      <c r="DE368" s="23"/>
      <c r="DF368" s="23"/>
      <c r="DG368" s="23"/>
      <c r="DH368" s="23"/>
      <c r="DI368" s="23"/>
      <c r="DJ368" s="23"/>
      <c r="DK368" s="23"/>
      <c r="DL368" s="23"/>
      <c r="DM368" s="23"/>
      <c r="DN368" s="23"/>
      <c r="DO368" s="23"/>
      <c r="DP368" s="23"/>
      <c r="DQ368" s="23"/>
      <c r="DR368" s="23"/>
      <c r="DS368" s="23"/>
      <c r="DT368" s="23"/>
      <c r="DU368" s="23"/>
      <c r="DV368" s="23"/>
      <c r="DW368" s="23"/>
      <c r="DX368" s="23"/>
      <c r="DY368" s="23"/>
      <c r="DZ368" s="23"/>
      <c r="EA368" s="23"/>
      <c r="EB368" s="23"/>
      <c r="EC368" s="23"/>
      <c r="ED368" s="23"/>
      <c r="EE368" s="23"/>
      <c r="EF368" s="23"/>
      <c r="EG368" s="23"/>
      <c r="EH368" s="23"/>
      <c r="EI368" s="23"/>
      <c r="EJ368" s="23"/>
      <c r="EK368" s="23"/>
      <c r="EL368" s="23"/>
      <c r="EM368" s="23"/>
      <c r="EN368" s="23"/>
      <c r="EO368" s="23"/>
      <c r="EP368" s="23"/>
      <c r="EQ368" s="23"/>
      <c r="ER368" s="23"/>
      <c r="ES368" s="23"/>
      <c r="ET368" s="23"/>
      <c r="EU368" s="23"/>
      <c r="EV368" s="23"/>
      <c r="EW368" s="23"/>
      <c r="EX368" s="23"/>
      <c r="EY368" s="23"/>
      <c r="EZ368" s="23"/>
      <c r="FA368" s="23"/>
      <c r="FB368" s="23"/>
      <c r="FC368" s="23"/>
      <c r="FD368" s="23"/>
      <c r="FE368" s="23"/>
      <c r="FF368" s="23"/>
      <c r="FG368" s="23"/>
      <c r="FH368" s="23"/>
      <c r="FI368" s="23"/>
      <c r="FJ368" s="23"/>
      <c r="FK368" s="23"/>
      <c r="FL368" s="23"/>
      <c r="FM368" s="23"/>
      <c r="FN368" s="23"/>
      <c r="FO368" s="23"/>
      <c r="FP368" s="23"/>
      <c r="FQ368" s="23"/>
      <c r="FR368" s="23"/>
      <c r="FS368" s="23"/>
      <c r="FT368" s="23"/>
      <c r="FU368" s="23"/>
      <c r="FV368" s="23"/>
      <c r="FW368" s="23"/>
      <c r="FX368" s="23"/>
      <c r="FY368" s="23"/>
      <c r="FZ368" s="23"/>
      <c r="GA368" s="23"/>
      <c r="GB368" s="23"/>
      <c r="GC368" s="23"/>
      <c r="GD368" s="23"/>
      <c r="GE368" s="23"/>
      <c r="GF368" s="23"/>
      <c r="GG368" s="23"/>
      <c r="GH368" s="23"/>
      <c r="GI368" s="23"/>
      <c r="GJ368" s="23"/>
      <c r="GK368" s="23"/>
      <c r="GL368" s="23"/>
    </row>
    <row r="369" spans="1:194" ht="13">
      <c r="A369" s="23"/>
      <c r="B369" s="23"/>
      <c r="C369" s="23"/>
      <c r="D369" s="23"/>
      <c r="E369" s="23"/>
      <c r="F369" s="23"/>
      <c r="G369" s="23"/>
      <c r="H369" s="401"/>
      <c r="I369" s="401"/>
      <c r="J369" s="401"/>
      <c r="K369" s="401"/>
      <c r="L369" s="401"/>
      <c r="M369" s="438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  <c r="AV369" s="23"/>
      <c r="AW369" s="23"/>
      <c r="AX369" s="23"/>
      <c r="AY369" s="23"/>
      <c r="AZ369" s="23"/>
      <c r="BA369" s="23"/>
      <c r="BB369" s="23"/>
      <c r="BC369" s="23"/>
      <c r="BD369" s="23"/>
      <c r="BE369" s="23"/>
      <c r="BF369" s="23"/>
      <c r="BG369" s="23"/>
      <c r="BH369" s="23"/>
      <c r="BI369" s="23"/>
      <c r="BJ369" s="23"/>
      <c r="BK369" s="23"/>
      <c r="BL369" s="23"/>
      <c r="BM369" s="23"/>
      <c r="BN369" s="23"/>
      <c r="BO369" s="23"/>
      <c r="BP369" s="23"/>
      <c r="BQ369" s="23"/>
      <c r="BR369" s="23"/>
      <c r="BS369" s="23"/>
      <c r="BT369" s="23"/>
      <c r="BU369" s="23"/>
      <c r="BV369" s="23"/>
      <c r="BW369" s="23"/>
      <c r="BX369" s="23"/>
      <c r="BY369" s="23"/>
      <c r="BZ369" s="23"/>
      <c r="CA369" s="23"/>
      <c r="CB369" s="23"/>
      <c r="CC369" s="23"/>
      <c r="CD369" s="23"/>
      <c r="CE369" s="23"/>
      <c r="CF369" s="23"/>
      <c r="CG369" s="23"/>
      <c r="CH369" s="23"/>
      <c r="CI369" s="23"/>
      <c r="CJ369" s="23"/>
      <c r="CK369" s="23"/>
      <c r="CL369" s="23"/>
      <c r="CM369" s="23"/>
      <c r="CN369" s="23"/>
      <c r="CO369" s="23"/>
      <c r="CP369" s="23"/>
      <c r="CQ369" s="23"/>
      <c r="CR369" s="23"/>
      <c r="CS369" s="23"/>
      <c r="CT369" s="23"/>
      <c r="CU369" s="23"/>
      <c r="CV369" s="23"/>
      <c r="CW369" s="23"/>
      <c r="CX369" s="23"/>
      <c r="CY369" s="23"/>
      <c r="CZ369" s="23"/>
      <c r="DA369" s="23"/>
      <c r="DB369" s="23"/>
      <c r="DC369" s="23"/>
      <c r="DD369" s="23"/>
      <c r="DE369" s="23"/>
      <c r="DF369" s="23"/>
      <c r="DG369" s="23"/>
      <c r="DH369" s="23"/>
      <c r="DI369" s="23"/>
      <c r="DJ369" s="23"/>
      <c r="DK369" s="23"/>
      <c r="DL369" s="23"/>
      <c r="DM369" s="23"/>
      <c r="DN369" s="23"/>
      <c r="DO369" s="23"/>
      <c r="DP369" s="23"/>
      <c r="DQ369" s="23"/>
      <c r="DR369" s="23"/>
      <c r="DS369" s="23"/>
      <c r="DT369" s="23"/>
      <c r="DU369" s="23"/>
      <c r="DV369" s="23"/>
      <c r="DW369" s="23"/>
      <c r="DX369" s="23"/>
      <c r="DY369" s="23"/>
      <c r="DZ369" s="23"/>
      <c r="EA369" s="23"/>
      <c r="EB369" s="23"/>
      <c r="EC369" s="23"/>
      <c r="ED369" s="23"/>
      <c r="EE369" s="23"/>
      <c r="EF369" s="23"/>
      <c r="EG369" s="23"/>
      <c r="EH369" s="23"/>
      <c r="EI369" s="23"/>
      <c r="EJ369" s="23"/>
      <c r="EK369" s="23"/>
      <c r="EL369" s="23"/>
      <c r="EM369" s="23"/>
      <c r="EN369" s="23"/>
      <c r="EO369" s="23"/>
      <c r="EP369" s="23"/>
      <c r="EQ369" s="23"/>
      <c r="ER369" s="23"/>
      <c r="ES369" s="23"/>
      <c r="ET369" s="23"/>
      <c r="EU369" s="23"/>
      <c r="EV369" s="23"/>
      <c r="EW369" s="23"/>
      <c r="EX369" s="23"/>
      <c r="EY369" s="23"/>
      <c r="EZ369" s="23"/>
      <c r="FA369" s="23"/>
      <c r="FB369" s="23"/>
      <c r="FC369" s="23"/>
      <c r="FD369" s="23"/>
      <c r="FE369" s="23"/>
      <c r="FF369" s="23"/>
      <c r="FG369" s="23"/>
      <c r="FH369" s="23"/>
      <c r="FI369" s="23"/>
      <c r="FJ369" s="23"/>
      <c r="FK369" s="23"/>
      <c r="FL369" s="23"/>
      <c r="FM369" s="23"/>
      <c r="FN369" s="23"/>
      <c r="FO369" s="23"/>
      <c r="FP369" s="23"/>
      <c r="FQ369" s="23"/>
      <c r="FR369" s="23"/>
      <c r="FS369" s="23"/>
      <c r="FT369" s="23"/>
      <c r="FU369" s="23"/>
      <c r="FV369" s="23"/>
      <c r="FW369" s="23"/>
      <c r="FX369" s="23"/>
      <c r="FY369" s="23"/>
      <c r="FZ369" s="23"/>
      <c r="GA369" s="23"/>
      <c r="GB369" s="23"/>
      <c r="GC369" s="23"/>
      <c r="GD369" s="23"/>
      <c r="GE369" s="23"/>
      <c r="GF369" s="23"/>
      <c r="GG369" s="23"/>
      <c r="GH369" s="23"/>
      <c r="GI369" s="23"/>
      <c r="GJ369" s="23"/>
      <c r="GK369" s="23"/>
      <c r="GL369" s="23"/>
    </row>
    <row r="370" spans="1:194" ht="13">
      <c r="A370" s="23"/>
      <c r="B370" s="23"/>
      <c r="C370" s="23"/>
      <c r="D370" s="23"/>
      <c r="E370" s="23"/>
      <c r="F370" s="23"/>
      <c r="G370" s="23"/>
      <c r="H370" s="401"/>
      <c r="I370" s="401"/>
      <c r="J370" s="401"/>
      <c r="K370" s="401"/>
      <c r="L370" s="401"/>
      <c r="M370" s="438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  <c r="AV370" s="23"/>
      <c r="AW370" s="23"/>
      <c r="AX370" s="23"/>
      <c r="AY370" s="23"/>
      <c r="AZ370" s="23"/>
      <c r="BA370" s="23"/>
      <c r="BB370" s="23"/>
      <c r="BC370" s="23"/>
      <c r="BD370" s="23"/>
      <c r="BE370" s="23"/>
      <c r="BF370" s="23"/>
      <c r="BG370" s="23"/>
      <c r="BH370" s="23"/>
      <c r="BI370" s="23"/>
      <c r="BJ370" s="23"/>
      <c r="BK370" s="23"/>
      <c r="BL370" s="23"/>
      <c r="BM370" s="23"/>
      <c r="BN370" s="23"/>
      <c r="BO370" s="23"/>
      <c r="BP370" s="23"/>
      <c r="BQ370" s="23"/>
      <c r="BR370" s="23"/>
      <c r="BS370" s="23"/>
      <c r="BT370" s="23"/>
      <c r="BU370" s="23"/>
      <c r="BV370" s="23"/>
      <c r="BW370" s="23"/>
      <c r="BX370" s="23"/>
      <c r="BY370" s="23"/>
      <c r="BZ370" s="23"/>
      <c r="CA370" s="23"/>
      <c r="CB370" s="23"/>
      <c r="CC370" s="23"/>
      <c r="CD370" s="23"/>
      <c r="CE370" s="23"/>
      <c r="CF370" s="23"/>
      <c r="CG370" s="23"/>
      <c r="CH370" s="23"/>
      <c r="CI370" s="23"/>
      <c r="CJ370" s="23"/>
      <c r="CK370" s="23"/>
      <c r="CL370" s="23"/>
      <c r="CM370" s="23"/>
      <c r="CN370" s="23"/>
      <c r="CO370" s="23"/>
      <c r="CP370" s="23"/>
      <c r="CQ370" s="23"/>
      <c r="CR370" s="23"/>
      <c r="CS370" s="23"/>
      <c r="CT370" s="23"/>
      <c r="CU370" s="23"/>
      <c r="CV370" s="23"/>
      <c r="CW370" s="23"/>
      <c r="CX370" s="23"/>
      <c r="CY370" s="23"/>
      <c r="CZ370" s="23"/>
      <c r="DA370" s="23"/>
      <c r="DB370" s="23"/>
      <c r="DC370" s="23"/>
      <c r="DD370" s="23"/>
      <c r="DE370" s="23"/>
      <c r="DF370" s="23"/>
      <c r="DG370" s="23"/>
      <c r="DH370" s="23"/>
      <c r="DI370" s="23"/>
      <c r="DJ370" s="23"/>
      <c r="DK370" s="23"/>
      <c r="DL370" s="23"/>
      <c r="DM370" s="23"/>
      <c r="DN370" s="23"/>
      <c r="DO370" s="23"/>
      <c r="DP370" s="23"/>
      <c r="DQ370" s="23"/>
      <c r="DR370" s="23"/>
      <c r="DS370" s="23"/>
      <c r="DT370" s="23"/>
      <c r="DU370" s="23"/>
      <c r="DV370" s="23"/>
      <c r="DW370" s="23"/>
      <c r="DX370" s="23"/>
      <c r="DY370" s="23"/>
      <c r="DZ370" s="23"/>
      <c r="EA370" s="23"/>
      <c r="EB370" s="23"/>
      <c r="EC370" s="23"/>
      <c r="ED370" s="23"/>
      <c r="EE370" s="23"/>
      <c r="EF370" s="23"/>
      <c r="EG370" s="23"/>
      <c r="EH370" s="23"/>
      <c r="EI370" s="23"/>
      <c r="EJ370" s="23"/>
      <c r="EK370" s="23"/>
      <c r="EL370" s="23"/>
      <c r="EM370" s="23"/>
      <c r="EN370" s="23"/>
      <c r="EO370" s="23"/>
      <c r="EP370" s="23"/>
      <c r="EQ370" s="23"/>
      <c r="ER370" s="23"/>
      <c r="ES370" s="23"/>
      <c r="ET370" s="23"/>
      <c r="EU370" s="23"/>
      <c r="EV370" s="23"/>
      <c r="EW370" s="23"/>
      <c r="EX370" s="23"/>
      <c r="EY370" s="23"/>
      <c r="EZ370" s="23"/>
      <c r="FA370" s="23"/>
      <c r="FB370" s="23"/>
      <c r="FC370" s="23"/>
      <c r="FD370" s="23"/>
      <c r="FE370" s="23"/>
      <c r="FF370" s="23"/>
      <c r="FG370" s="23"/>
      <c r="FH370" s="23"/>
      <c r="FI370" s="23"/>
      <c r="FJ370" s="23"/>
      <c r="FK370" s="23"/>
      <c r="FL370" s="23"/>
      <c r="FM370" s="23"/>
      <c r="FN370" s="23"/>
      <c r="FO370" s="23"/>
      <c r="FP370" s="23"/>
      <c r="FQ370" s="23"/>
      <c r="FR370" s="23"/>
      <c r="FS370" s="23"/>
      <c r="FT370" s="23"/>
      <c r="FU370" s="23"/>
      <c r="FV370" s="23"/>
      <c r="FW370" s="23"/>
      <c r="FX370" s="23"/>
      <c r="FY370" s="23"/>
      <c r="FZ370" s="23"/>
      <c r="GA370" s="23"/>
      <c r="GB370" s="23"/>
      <c r="GC370" s="23"/>
      <c r="GD370" s="23"/>
      <c r="GE370" s="23"/>
      <c r="GF370" s="23"/>
      <c r="GG370" s="23"/>
      <c r="GH370" s="23"/>
      <c r="GI370" s="23"/>
      <c r="GJ370" s="23"/>
      <c r="GK370" s="23"/>
      <c r="GL370" s="23"/>
    </row>
    <row r="371" spans="1:194" ht="13">
      <c r="A371" s="23"/>
      <c r="B371" s="23"/>
      <c r="C371" s="23"/>
      <c r="D371" s="23"/>
      <c r="E371" s="23"/>
      <c r="F371" s="23"/>
      <c r="G371" s="23"/>
      <c r="H371" s="401"/>
      <c r="I371" s="401"/>
      <c r="J371" s="401"/>
      <c r="K371" s="401"/>
      <c r="L371" s="401"/>
      <c r="M371" s="438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  <c r="AL371" s="23"/>
      <c r="AM371" s="23"/>
      <c r="AN371" s="23"/>
      <c r="AO371" s="23"/>
      <c r="AP371" s="23"/>
      <c r="AQ371" s="23"/>
      <c r="AR371" s="23"/>
      <c r="AS371" s="23"/>
      <c r="AT371" s="23"/>
      <c r="AU371" s="23"/>
      <c r="AV371" s="23"/>
      <c r="AW371" s="23"/>
      <c r="AX371" s="23"/>
      <c r="AY371" s="23"/>
      <c r="AZ371" s="23"/>
      <c r="BA371" s="23"/>
      <c r="BB371" s="23"/>
      <c r="BC371" s="23"/>
      <c r="BD371" s="23"/>
      <c r="BE371" s="23"/>
      <c r="BF371" s="23"/>
      <c r="BG371" s="23"/>
      <c r="BH371" s="23"/>
      <c r="BI371" s="23"/>
      <c r="BJ371" s="23"/>
      <c r="BK371" s="23"/>
      <c r="BL371" s="23"/>
      <c r="BM371" s="23"/>
      <c r="BN371" s="23"/>
      <c r="BO371" s="23"/>
      <c r="BP371" s="23"/>
      <c r="BQ371" s="23"/>
      <c r="BR371" s="23"/>
      <c r="BS371" s="23"/>
      <c r="BT371" s="23"/>
      <c r="BU371" s="23"/>
      <c r="BV371" s="23"/>
      <c r="BW371" s="23"/>
      <c r="BX371" s="23"/>
      <c r="BY371" s="23"/>
      <c r="BZ371" s="23"/>
      <c r="CA371" s="23"/>
      <c r="CB371" s="23"/>
      <c r="CC371" s="23"/>
      <c r="CD371" s="23"/>
      <c r="CE371" s="23"/>
      <c r="CF371" s="23"/>
      <c r="CG371" s="23"/>
      <c r="CH371" s="23"/>
      <c r="CI371" s="23"/>
      <c r="CJ371" s="23"/>
      <c r="CK371" s="23"/>
      <c r="CL371" s="23"/>
      <c r="CM371" s="23"/>
      <c r="CN371" s="23"/>
      <c r="CO371" s="23"/>
      <c r="CP371" s="23"/>
      <c r="CQ371" s="23"/>
      <c r="CR371" s="23"/>
      <c r="CS371" s="23"/>
      <c r="CT371" s="23"/>
      <c r="CU371" s="23"/>
      <c r="CV371" s="23"/>
      <c r="CW371" s="23"/>
      <c r="CX371" s="23"/>
      <c r="CY371" s="23"/>
      <c r="CZ371" s="23"/>
      <c r="DA371" s="23"/>
      <c r="DB371" s="23"/>
      <c r="DC371" s="23"/>
      <c r="DD371" s="23"/>
      <c r="DE371" s="23"/>
      <c r="DF371" s="23"/>
      <c r="DG371" s="23"/>
      <c r="DH371" s="23"/>
      <c r="DI371" s="23"/>
      <c r="DJ371" s="23"/>
      <c r="DK371" s="23"/>
      <c r="DL371" s="23"/>
      <c r="DM371" s="23"/>
      <c r="DN371" s="23"/>
      <c r="DO371" s="23"/>
      <c r="DP371" s="23"/>
      <c r="DQ371" s="23"/>
      <c r="DR371" s="23"/>
      <c r="DS371" s="23"/>
      <c r="DT371" s="23"/>
      <c r="DU371" s="23"/>
      <c r="DV371" s="23"/>
      <c r="DW371" s="23"/>
      <c r="DX371" s="23"/>
      <c r="DY371" s="23"/>
      <c r="DZ371" s="23"/>
      <c r="EA371" s="23"/>
      <c r="EB371" s="23"/>
      <c r="EC371" s="23"/>
      <c r="ED371" s="23"/>
      <c r="EE371" s="23"/>
      <c r="EF371" s="23"/>
      <c r="EG371" s="23"/>
      <c r="EH371" s="23"/>
      <c r="EI371" s="23"/>
      <c r="EJ371" s="23"/>
      <c r="EK371" s="23"/>
      <c r="EL371" s="23"/>
      <c r="EM371" s="23"/>
      <c r="EN371" s="23"/>
      <c r="EO371" s="23"/>
      <c r="EP371" s="23"/>
      <c r="EQ371" s="23"/>
      <c r="ER371" s="23"/>
      <c r="ES371" s="23"/>
      <c r="ET371" s="23"/>
      <c r="EU371" s="23"/>
      <c r="EV371" s="23"/>
      <c r="EW371" s="23"/>
      <c r="EX371" s="23"/>
      <c r="EY371" s="23"/>
      <c r="EZ371" s="23"/>
      <c r="FA371" s="23"/>
      <c r="FB371" s="23"/>
      <c r="FC371" s="23"/>
      <c r="FD371" s="23"/>
      <c r="FE371" s="23"/>
      <c r="FF371" s="23"/>
      <c r="FG371" s="23"/>
      <c r="FH371" s="23"/>
      <c r="FI371" s="23"/>
      <c r="FJ371" s="23"/>
      <c r="FK371" s="23"/>
      <c r="FL371" s="23"/>
      <c r="FM371" s="23"/>
      <c r="FN371" s="23"/>
      <c r="FO371" s="23"/>
      <c r="FP371" s="23"/>
      <c r="FQ371" s="23"/>
      <c r="FR371" s="23"/>
      <c r="FS371" s="23"/>
      <c r="FT371" s="23"/>
      <c r="FU371" s="23"/>
      <c r="FV371" s="23"/>
      <c r="FW371" s="23"/>
      <c r="FX371" s="23"/>
      <c r="FY371" s="23"/>
      <c r="FZ371" s="23"/>
      <c r="GA371" s="23"/>
      <c r="GB371" s="23"/>
      <c r="GC371" s="23"/>
      <c r="GD371" s="23"/>
      <c r="GE371" s="23"/>
      <c r="GF371" s="23"/>
      <c r="GG371" s="23"/>
      <c r="GH371" s="23"/>
      <c r="GI371" s="23"/>
      <c r="GJ371" s="23"/>
      <c r="GK371" s="23"/>
      <c r="GL371" s="23"/>
    </row>
    <row r="372" spans="1:194" ht="13">
      <c r="A372" s="23"/>
      <c r="B372" s="23"/>
      <c r="C372" s="23"/>
      <c r="D372" s="23"/>
      <c r="E372" s="23"/>
      <c r="F372" s="23"/>
      <c r="G372" s="23"/>
      <c r="H372" s="401"/>
      <c r="I372" s="401"/>
      <c r="J372" s="401"/>
      <c r="K372" s="401"/>
      <c r="L372" s="401"/>
      <c r="M372" s="438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  <c r="AL372" s="23"/>
      <c r="AM372" s="23"/>
      <c r="AN372" s="23"/>
      <c r="AO372" s="23"/>
      <c r="AP372" s="23"/>
      <c r="AQ372" s="23"/>
      <c r="AR372" s="23"/>
      <c r="AS372" s="23"/>
      <c r="AT372" s="23"/>
      <c r="AU372" s="23"/>
      <c r="AV372" s="23"/>
      <c r="AW372" s="23"/>
      <c r="AX372" s="23"/>
      <c r="AY372" s="23"/>
      <c r="AZ372" s="23"/>
      <c r="BA372" s="23"/>
      <c r="BB372" s="23"/>
      <c r="BC372" s="23"/>
      <c r="BD372" s="23"/>
      <c r="BE372" s="23"/>
      <c r="BF372" s="23"/>
      <c r="BG372" s="23"/>
      <c r="BH372" s="23"/>
      <c r="BI372" s="23"/>
      <c r="BJ372" s="23"/>
      <c r="BK372" s="23"/>
      <c r="BL372" s="23"/>
      <c r="BM372" s="23"/>
      <c r="BN372" s="23"/>
      <c r="BO372" s="23"/>
      <c r="BP372" s="23"/>
      <c r="BQ372" s="23"/>
      <c r="BR372" s="23"/>
      <c r="BS372" s="23"/>
      <c r="BT372" s="23"/>
      <c r="BU372" s="23"/>
      <c r="BV372" s="23"/>
      <c r="BW372" s="23"/>
      <c r="BX372" s="23"/>
      <c r="BY372" s="23"/>
      <c r="BZ372" s="23"/>
      <c r="CA372" s="23"/>
      <c r="CB372" s="23"/>
      <c r="CC372" s="23"/>
      <c r="CD372" s="23"/>
      <c r="CE372" s="23"/>
      <c r="CF372" s="23"/>
      <c r="CG372" s="23"/>
      <c r="CH372" s="23"/>
      <c r="CI372" s="23"/>
      <c r="CJ372" s="23"/>
      <c r="CK372" s="23"/>
      <c r="CL372" s="23"/>
      <c r="CM372" s="23"/>
      <c r="CN372" s="23"/>
      <c r="CO372" s="23"/>
      <c r="CP372" s="23"/>
      <c r="CQ372" s="23"/>
      <c r="CR372" s="23"/>
      <c r="CS372" s="23"/>
      <c r="CT372" s="23"/>
      <c r="CU372" s="23"/>
      <c r="CV372" s="23"/>
      <c r="CW372" s="23"/>
      <c r="CX372" s="23"/>
      <c r="CY372" s="23"/>
      <c r="CZ372" s="23"/>
      <c r="DA372" s="23"/>
      <c r="DB372" s="23"/>
      <c r="DC372" s="23"/>
      <c r="DD372" s="23"/>
      <c r="DE372" s="23"/>
      <c r="DF372" s="23"/>
      <c r="DG372" s="23"/>
      <c r="DH372" s="23"/>
      <c r="DI372" s="23"/>
      <c r="DJ372" s="23"/>
      <c r="DK372" s="23"/>
      <c r="DL372" s="23"/>
      <c r="DM372" s="23"/>
      <c r="DN372" s="23"/>
      <c r="DO372" s="23"/>
      <c r="DP372" s="23"/>
      <c r="DQ372" s="23"/>
      <c r="DR372" s="23"/>
      <c r="DS372" s="23"/>
      <c r="DT372" s="23"/>
      <c r="DU372" s="23"/>
      <c r="DV372" s="23"/>
      <c r="DW372" s="23"/>
      <c r="DX372" s="23"/>
      <c r="DY372" s="23"/>
      <c r="DZ372" s="23"/>
      <c r="EA372" s="23"/>
      <c r="EB372" s="23"/>
      <c r="EC372" s="23"/>
      <c r="ED372" s="23"/>
      <c r="EE372" s="23"/>
      <c r="EF372" s="23"/>
      <c r="EG372" s="23"/>
      <c r="EH372" s="23"/>
      <c r="EI372" s="23"/>
      <c r="EJ372" s="23"/>
      <c r="EK372" s="23"/>
      <c r="EL372" s="23"/>
      <c r="EM372" s="23"/>
      <c r="EN372" s="23"/>
      <c r="EO372" s="23"/>
      <c r="EP372" s="23"/>
      <c r="EQ372" s="23"/>
      <c r="ER372" s="23"/>
      <c r="ES372" s="23"/>
      <c r="ET372" s="23"/>
      <c r="EU372" s="23"/>
      <c r="EV372" s="23"/>
      <c r="EW372" s="23"/>
      <c r="EX372" s="23"/>
      <c r="EY372" s="23"/>
      <c r="EZ372" s="23"/>
      <c r="FA372" s="23"/>
      <c r="FB372" s="23"/>
      <c r="FC372" s="23"/>
      <c r="FD372" s="23"/>
      <c r="FE372" s="23"/>
      <c r="FF372" s="23"/>
      <c r="FG372" s="23"/>
      <c r="FH372" s="23"/>
      <c r="FI372" s="23"/>
      <c r="FJ372" s="23"/>
      <c r="FK372" s="23"/>
      <c r="FL372" s="23"/>
      <c r="FM372" s="23"/>
      <c r="FN372" s="23"/>
      <c r="FO372" s="23"/>
      <c r="FP372" s="23"/>
      <c r="FQ372" s="23"/>
      <c r="FR372" s="23"/>
      <c r="FS372" s="23"/>
      <c r="FT372" s="23"/>
      <c r="FU372" s="23"/>
      <c r="FV372" s="23"/>
      <c r="FW372" s="23"/>
      <c r="FX372" s="23"/>
      <c r="FY372" s="23"/>
      <c r="FZ372" s="23"/>
      <c r="GA372" s="23"/>
      <c r="GB372" s="23"/>
      <c r="GC372" s="23"/>
      <c r="GD372" s="23"/>
      <c r="GE372" s="23"/>
      <c r="GF372" s="23"/>
      <c r="GG372" s="23"/>
      <c r="GH372" s="23"/>
      <c r="GI372" s="23"/>
      <c r="GJ372" s="23"/>
      <c r="GK372" s="23"/>
      <c r="GL372" s="23"/>
    </row>
    <row r="373" spans="1:194" ht="13">
      <c r="A373" s="23"/>
      <c r="B373" s="23"/>
      <c r="C373" s="23"/>
      <c r="D373" s="23"/>
      <c r="E373" s="23"/>
      <c r="F373" s="23"/>
      <c r="G373" s="23"/>
      <c r="H373" s="401"/>
      <c r="I373" s="401"/>
      <c r="J373" s="401"/>
      <c r="K373" s="401"/>
      <c r="L373" s="401"/>
      <c r="M373" s="438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  <c r="AL373" s="23"/>
      <c r="AM373" s="23"/>
      <c r="AN373" s="23"/>
      <c r="AO373" s="23"/>
      <c r="AP373" s="23"/>
      <c r="AQ373" s="23"/>
      <c r="AR373" s="23"/>
      <c r="AS373" s="23"/>
      <c r="AT373" s="23"/>
      <c r="AU373" s="23"/>
      <c r="AV373" s="23"/>
      <c r="AW373" s="23"/>
      <c r="AX373" s="23"/>
      <c r="AY373" s="23"/>
      <c r="AZ373" s="23"/>
      <c r="BA373" s="23"/>
      <c r="BB373" s="23"/>
      <c r="BC373" s="23"/>
      <c r="BD373" s="23"/>
      <c r="BE373" s="23"/>
      <c r="BF373" s="23"/>
      <c r="BG373" s="23"/>
      <c r="BH373" s="23"/>
      <c r="BI373" s="23"/>
      <c r="BJ373" s="23"/>
      <c r="BK373" s="23"/>
      <c r="BL373" s="23"/>
      <c r="BM373" s="23"/>
      <c r="BN373" s="23"/>
      <c r="BO373" s="23"/>
      <c r="BP373" s="23"/>
      <c r="BQ373" s="23"/>
      <c r="BR373" s="23"/>
      <c r="BS373" s="23"/>
      <c r="BT373" s="23"/>
      <c r="BU373" s="23"/>
      <c r="BV373" s="23"/>
      <c r="BW373" s="23"/>
      <c r="BX373" s="23"/>
      <c r="BY373" s="23"/>
      <c r="BZ373" s="23"/>
      <c r="CA373" s="23"/>
      <c r="CB373" s="23"/>
      <c r="CC373" s="23"/>
      <c r="CD373" s="23"/>
      <c r="CE373" s="23"/>
      <c r="CF373" s="23"/>
      <c r="CG373" s="23"/>
      <c r="CH373" s="23"/>
      <c r="CI373" s="23"/>
      <c r="CJ373" s="23"/>
      <c r="CK373" s="23"/>
      <c r="CL373" s="23"/>
      <c r="CM373" s="23"/>
      <c r="CN373" s="23"/>
      <c r="CO373" s="23"/>
      <c r="CP373" s="23"/>
      <c r="CQ373" s="23"/>
      <c r="CR373" s="23"/>
      <c r="CS373" s="23"/>
      <c r="CT373" s="23"/>
      <c r="CU373" s="23"/>
      <c r="CV373" s="23"/>
      <c r="CW373" s="23"/>
      <c r="CX373" s="23"/>
      <c r="CY373" s="23"/>
      <c r="CZ373" s="23"/>
      <c r="DA373" s="23"/>
      <c r="DB373" s="23"/>
      <c r="DC373" s="23"/>
      <c r="DD373" s="23"/>
      <c r="DE373" s="23"/>
      <c r="DF373" s="23"/>
      <c r="DG373" s="23"/>
      <c r="DH373" s="23"/>
      <c r="DI373" s="23"/>
      <c r="DJ373" s="23"/>
      <c r="DK373" s="23"/>
      <c r="DL373" s="23"/>
      <c r="DM373" s="23"/>
      <c r="DN373" s="23"/>
      <c r="DO373" s="23"/>
      <c r="DP373" s="23"/>
      <c r="DQ373" s="23"/>
      <c r="DR373" s="23"/>
      <c r="DS373" s="23"/>
      <c r="DT373" s="23"/>
      <c r="DU373" s="23"/>
      <c r="DV373" s="23"/>
      <c r="DW373" s="23"/>
      <c r="DX373" s="23"/>
      <c r="DY373" s="23"/>
      <c r="DZ373" s="23"/>
      <c r="EA373" s="23"/>
      <c r="EB373" s="23"/>
      <c r="EC373" s="23"/>
      <c r="ED373" s="23"/>
      <c r="EE373" s="23"/>
      <c r="EF373" s="23"/>
      <c r="EG373" s="23"/>
      <c r="EH373" s="23"/>
      <c r="EI373" s="23"/>
      <c r="EJ373" s="23"/>
      <c r="EK373" s="23"/>
      <c r="EL373" s="23"/>
      <c r="EM373" s="23"/>
      <c r="EN373" s="23"/>
      <c r="EO373" s="23"/>
      <c r="EP373" s="23"/>
      <c r="EQ373" s="23"/>
      <c r="ER373" s="23"/>
      <c r="ES373" s="23"/>
      <c r="ET373" s="23"/>
      <c r="EU373" s="23"/>
      <c r="EV373" s="23"/>
      <c r="EW373" s="23"/>
      <c r="EX373" s="23"/>
      <c r="EY373" s="23"/>
      <c r="EZ373" s="23"/>
      <c r="FA373" s="23"/>
      <c r="FB373" s="23"/>
      <c r="FC373" s="23"/>
      <c r="FD373" s="23"/>
      <c r="FE373" s="23"/>
      <c r="FF373" s="23"/>
      <c r="FG373" s="23"/>
      <c r="FH373" s="23"/>
      <c r="FI373" s="23"/>
      <c r="FJ373" s="23"/>
      <c r="FK373" s="23"/>
      <c r="FL373" s="23"/>
      <c r="FM373" s="23"/>
      <c r="FN373" s="23"/>
      <c r="FO373" s="23"/>
      <c r="FP373" s="23"/>
      <c r="FQ373" s="23"/>
      <c r="FR373" s="23"/>
      <c r="FS373" s="23"/>
      <c r="FT373" s="23"/>
      <c r="FU373" s="23"/>
      <c r="FV373" s="23"/>
      <c r="FW373" s="23"/>
      <c r="FX373" s="23"/>
      <c r="FY373" s="23"/>
      <c r="FZ373" s="23"/>
      <c r="GA373" s="23"/>
      <c r="GB373" s="23"/>
      <c r="GC373" s="23"/>
      <c r="GD373" s="23"/>
      <c r="GE373" s="23"/>
      <c r="GF373" s="23"/>
      <c r="GG373" s="23"/>
      <c r="GH373" s="23"/>
      <c r="GI373" s="23"/>
      <c r="GJ373" s="23"/>
      <c r="GK373" s="23"/>
      <c r="GL373" s="23"/>
    </row>
    <row r="374" spans="1:194" ht="13">
      <c r="A374" s="23"/>
      <c r="B374" s="23"/>
      <c r="C374" s="23"/>
      <c r="D374" s="23"/>
      <c r="E374" s="23"/>
      <c r="F374" s="23"/>
      <c r="G374" s="23"/>
      <c r="H374" s="401"/>
      <c r="I374" s="401"/>
      <c r="J374" s="401"/>
      <c r="K374" s="401"/>
      <c r="L374" s="401"/>
      <c r="M374" s="438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  <c r="AL374" s="23"/>
      <c r="AM374" s="23"/>
      <c r="AN374" s="23"/>
      <c r="AO374" s="23"/>
      <c r="AP374" s="23"/>
      <c r="AQ374" s="23"/>
      <c r="AR374" s="23"/>
      <c r="AS374" s="23"/>
      <c r="AT374" s="23"/>
      <c r="AU374" s="23"/>
      <c r="AV374" s="23"/>
      <c r="AW374" s="23"/>
      <c r="AX374" s="23"/>
      <c r="AY374" s="23"/>
      <c r="AZ374" s="23"/>
      <c r="BA374" s="23"/>
      <c r="BB374" s="23"/>
      <c r="BC374" s="23"/>
      <c r="BD374" s="23"/>
      <c r="BE374" s="23"/>
      <c r="BF374" s="23"/>
      <c r="BG374" s="23"/>
      <c r="BH374" s="23"/>
      <c r="BI374" s="23"/>
      <c r="BJ374" s="23"/>
      <c r="BK374" s="23"/>
      <c r="BL374" s="23"/>
      <c r="BM374" s="23"/>
      <c r="BN374" s="23"/>
      <c r="BO374" s="23"/>
      <c r="BP374" s="23"/>
      <c r="BQ374" s="23"/>
      <c r="BR374" s="23"/>
      <c r="BS374" s="23"/>
      <c r="BT374" s="23"/>
      <c r="BU374" s="23"/>
      <c r="BV374" s="23"/>
      <c r="BW374" s="23"/>
      <c r="BX374" s="23"/>
      <c r="BY374" s="23"/>
      <c r="BZ374" s="23"/>
      <c r="CA374" s="23"/>
      <c r="CB374" s="23"/>
      <c r="CC374" s="23"/>
      <c r="CD374" s="23"/>
      <c r="CE374" s="23"/>
      <c r="CF374" s="23"/>
      <c r="CG374" s="23"/>
      <c r="CH374" s="23"/>
      <c r="CI374" s="23"/>
      <c r="CJ374" s="23"/>
      <c r="CK374" s="23"/>
      <c r="CL374" s="23"/>
      <c r="CM374" s="23"/>
      <c r="CN374" s="23"/>
      <c r="CO374" s="23"/>
      <c r="CP374" s="23"/>
      <c r="CQ374" s="23"/>
      <c r="CR374" s="23"/>
      <c r="CS374" s="23"/>
      <c r="CT374" s="23"/>
      <c r="CU374" s="23"/>
      <c r="CV374" s="23"/>
      <c r="CW374" s="23"/>
      <c r="CX374" s="23"/>
      <c r="CY374" s="23"/>
      <c r="CZ374" s="23"/>
      <c r="DA374" s="23"/>
      <c r="DB374" s="23"/>
      <c r="DC374" s="23"/>
      <c r="DD374" s="23"/>
      <c r="DE374" s="23"/>
      <c r="DF374" s="23"/>
      <c r="DG374" s="23"/>
      <c r="DH374" s="23"/>
      <c r="DI374" s="23"/>
      <c r="DJ374" s="23"/>
      <c r="DK374" s="23"/>
      <c r="DL374" s="23"/>
      <c r="DM374" s="23"/>
      <c r="DN374" s="23"/>
      <c r="DO374" s="23"/>
      <c r="DP374" s="23"/>
      <c r="DQ374" s="23"/>
      <c r="DR374" s="23"/>
      <c r="DS374" s="23"/>
      <c r="DT374" s="23"/>
      <c r="DU374" s="23"/>
      <c r="DV374" s="23"/>
      <c r="DW374" s="23"/>
      <c r="DX374" s="23"/>
      <c r="DY374" s="23"/>
      <c r="DZ374" s="23"/>
      <c r="EA374" s="23"/>
      <c r="EB374" s="23"/>
      <c r="EC374" s="23"/>
      <c r="ED374" s="23"/>
      <c r="EE374" s="23"/>
      <c r="EF374" s="23"/>
      <c r="EG374" s="23"/>
      <c r="EH374" s="23"/>
      <c r="EI374" s="23"/>
      <c r="EJ374" s="23"/>
      <c r="EK374" s="23"/>
      <c r="EL374" s="23"/>
      <c r="EM374" s="23"/>
      <c r="EN374" s="23"/>
      <c r="EO374" s="23"/>
      <c r="EP374" s="23"/>
      <c r="EQ374" s="23"/>
      <c r="ER374" s="23"/>
      <c r="ES374" s="23"/>
      <c r="ET374" s="23"/>
      <c r="EU374" s="23"/>
      <c r="EV374" s="23"/>
      <c r="EW374" s="23"/>
      <c r="EX374" s="23"/>
      <c r="EY374" s="23"/>
      <c r="EZ374" s="23"/>
      <c r="FA374" s="23"/>
      <c r="FB374" s="23"/>
      <c r="FC374" s="23"/>
      <c r="FD374" s="23"/>
      <c r="FE374" s="23"/>
      <c r="FF374" s="23"/>
      <c r="FG374" s="23"/>
      <c r="FH374" s="23"/>
      <c r="FI374" s="23"/>
      <c r="FJ374" s="23"/>
      <c r="FK374" s="23"/>
      <c r="FL374" s="23"/>
      <c r="FM374" s="23"/>
      <c r="FN374" s="23"/>
      <c r="FO374" s="23"/>
      <c r="FP374" s="23"/>
      <c r="FQ374" s="23"/>
      <c r="FR374" s="23"/>
      <c r="FS374" s="23"/>
      <c r="FT374" s="23"/>
      <c r="FU374" s="23"/>
      <c r="FV374" s="23"/>
      <c r="FW374" s="23"/>
      <c r="FX374" s="23"/>
      <c r="FY374" s="23"/>
      <c r="FZ374" s="23"/>
      <c r="GA374" s="23"/>
      <c r="GB374" s="23"/>
      <c r="GC374" s="23"/>
      <c r="GD374" s="23"/>
      <c r="GE374" s="23"/>
      <c r="GF374" s="23"/>
      <c r="GG374" s="23"/>
      <c r="GH374" s="23"/>
      <c r="GI374" s="23"/>
      <c r="GJ374" s="23"/>
      <c r="GK374" s="23"/>
      <c r="GL374" s="23"/>
    </row>
    <row r="375" spans="1:194" ht="13">
      <c r="A375" s="23"/>
      <c r="B375" s="23"/>
      <c r="C375" s="23"/>
      <c r="D375" s="23"/>
      <c r="E375" s="23"/>
      <c r="F375" s="23"/>
      <c r="G375" s="23"/>
      <c r="H375" s="401"/>
      <c r="I375" s="401"/>
      <c r="J375" s="401"/>
      <c r="K375" s="401"/>
      <c r="L375" s="401"/>
      <c r="M375" s="438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  <c r="AL375" s="23"/>
      <c r="AM375" s="23"/>
      <c r="AN375" s="23"/>
      <c r="AO375" s="23"/>
      <c r="AP375" s="23"/>
      <c r="AQ375" s="23"/>
      <c r="AR375" s="23"/>
      <c r="AS375" s="23"/>
      <c r="AT375" s="23"/>
      <c r="AU375" s="23"/>
      <c r="AV375" s="23"/>
      <c r="AW375" s="23"/>
      <c r="AX375" s="23"/>
      <c r="AY375" s="23"/>
      <c r="AZ375" s="23"/>
      <c r="BA375" s="23"/>
      <c r="BB375" s="23"/>
      <c r="BC375" s="23"/>
      <c r="BD375" s="23"/>
      <c r="BE375" s="23"/>
      <c r="BF375" s="23"/>
      <c r="BG375" s="23"/>
      <c r="BH375" s="23"/>
      <c r="BI375" s="23"/>
      <c r="BJ375" s="23"/>
      <c r="BK375" s="23"/>
      <c r="BL375" s="23"/>
      <c r="BM375" s="23"/>
      <c r="BN375" s="23"/>
      <c r="BO375" s="23"/>
      <c r="BP375" s="23"/>
      <c r="BQ375" s="23"/>
      <c r="BR375" s="23"/>
      <c r="BS375" s="23"/>
      <c r="BT375" s="23"/>
      <c r="BU375" s="23"/>
      <c r="BV375" s="23"/>
      <c r="BW375" s="23"/>
      <c r="BX375" s="23"/>
      <c r="BY375" s="23"/>
      <c r="BZ375" s="23"/>
      <c r="CA375" s="23"/>
      <c r="CB375" s="23"/>
      <c r="CC375" s="23"/>
      <c r="CD375" s="23"/>
      <c r="CE375" s="23"/>
      <c r="CF375" s="23"/>
      <c r="CG375" s="23"/>
      <c r="CH375" s="23"/>
      <c r="CI375" s="23"/>
      <c r="CJ375" s="23"/>
      <c r="CK375" s="23"/>
      <c r="CL375" s="23"/>
      <c r="CM375" s="23"/>
      <c r="CN375" s="23"/>
      <c r="CO375" s="23"/>
      <c r="CP375" s="23"/>
      <c r="CQ375" s="23"/>
      <c r="CR375" s="23"/>
      <c r="CS375" s="23"/>
      <c r="CT375" s="23"/>
      <c r="CU375" s="23"/>
      <c r="CV375" s="23"/>
      <c r="CW375" s="23"/>
      <c r="CX375" s="23"/>
      <c r="CY375" s="23"/>
      <c r="CZ375" s="23"/>
      <c r="DA375" s="23"/>
      <c r="DB375" s="23"/>
      <c r="DC375" s="23"/>
      <c r="DD375" s="23"/>
      <c r="DE375" s="23"/>
      <c r="DF375" s="23"/>
      <c r="DG375" s="23"/>
      <c r="DH375" s="23"/>
      <c r="DI375" s="23"/>
      <c r="DJ375" s="23"/>
      <c r="DK375" s="23"/>
      <c r="DL375" s="23"/>
      <c r="DM375" s="23"/>
      <c r="DN375" s="23"/>
      <c r="DO375" s="23"/>
      <c r="DP375" s="23"/>
      <c r="DQ375" s="23"/>
      <c r="DR375" s="23"/>
      <c r="DS375" s="23"/>
      <c r="DT375" s="23"/>
      <c r="DU375" s="23"/>
      <c r="DV375" s="23"/>
      <c r="DW375" s="23"/>
      <c r="DX375" s="23"/>
      <c r="DY375" s="23"/>
      <c r="DZ375" s="23"/>
      <c r="EA375" s="23"/>
      <c r="EB375" s="23"/>
      <c r="EC375" s="23"/>
      <c r="ED375" s="23"/>
      <c r="EE375" s="23"/>
      <c r="EF375" s="23"/>
      <c r="EG375" s="23"/>
      <c r="EH375" s="23"/>
      <c r="EI375" s="23"/>
      <c r="EJ375" s="23"/>
      <c r="EK375" s="23"/>
      <c r="EL375" s="23"/>
      <c r="EM375" s="23"/>
      <c r="EN375" s="23"/>
      <c r="EO375" s="23"/>
      <c r="EP375" s="23"/>
      <c r="EQ375" s="23"/>
      <c r="ER375" s="23"/>
      <c r="ES375" s="23"/>
      <c r="ET375" s="23"/>
      <c r="EU375" s="23"/>
      <c r="EV375" s="23"/>
      <c r="EW375" s="23"/>
      <c r="EX375" s="23"/>
      <c r="EY375" s="23"/>
      <c r="EZ375" s="23"/>
      <c r="FA375" s="23"/>
      <c r="FB375" s="23"/>
      <c r="FC375" s="23"/>
      <c r="FD375" s="23"/>
      <c r="FE375" s="23"/>
      <c r="FF375" s="23"/>
      <c r="FG375" s="23"/>
      <c r="FH375" s="23"/>
      <c r="FI375" s="23"/>
      <c r="FJ375" s="23"/>
      <c r="FK375" s="23"/>
      <c r="FL375" s="23"/>
      <c r="FM375" s="23"/>
      <c r="FN375" s="23"/>
      <c r="FO375" s="23"/>
      <c r="FP375" s="23"/>
      <c r="FQ375" s="23"/>
      <c r="FR375" s="23"/>
      <c r="FS375" s="23"/>
      <c r="FT375" s="23"/>
      <c r="FU375" s="23"/>
      <c r="FV375" s="23"/>
      <c r="FW375" s="23"/>
      <c r="FX375" s="23"/>
      <c r="FY375" s="23"/>
      <c r="FZ375" s="23"/>
      <c r="GA375" s="23"/>
      <c r="GB375" s="23"/>
      <c r="GC375" s="23"/>
      <c r="GD375" s="23"/>
      <c r="GE375" s="23"/>
      <c r="GF375" s="23"/>
      <c r="GG375" s="23"/>
      <c r="GH375" s="23"/>
      <c r="GI375" s="23"/>
      <c r="GJ375" s="23"/>
      <c r="GK375" s="23"/>
      <c r="GL375" s="23"/>
    </row>
    <row r="376" spans="1:194" ht="13">
      <c r="A376" s="23"/>
      <c r="B376" s="23"/>
      <c r="C376" s="23"/>
      <c r="D376" s="23"/>
      <c r="E376" s="23"/>
      <c r="F376" s="23"/>
      <c r="G376" s="23"/>
      <c r="H376" s="401"/>
      <c r="I376" s="401"/>
      <c r="J376" s="401"/>
      <c r="K376" s="401"/>
      <c r="L376" s="401"/>
      <c r="M376" s="438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  <c r="AL376" s="23"/>
      <c r="AM376" s="23"/>
      <c r="AN376" s="23"/>
      <c r="AO376" s="23"/>
      <c r="AP376" s="23"/>
      <c r="AQ376" s="23"/>
      <c r="AR376" s="23"/>
      <c r="AS376" s="23"/>
      <c r="AT376" s="23"/>
      <c r="AU376" s="23"/>
      <c r="AV376" s="23"/>
      <c r="AW376" s="23"/>
      <c r="AX376" s="23"/>
      <c r="AY376" s="23"/>
      <c r="AZ376" s="23"/>
      <c r="BA376" s="23"/>
      <c r="BB376" s="23"/>
      <c r="BC376" s="23"/>
      <c r="BD376" s="23"/>
      <c r="BE376" s="23"/>
      <c r="BF376" s="23"/>
      <c r="BG376" s="23"/>
      <c r="BH376" s="23"/>
      <c r="BI376" s="23"/>
      <c r="BJ376" s="23"/>
      <c r="BK376" s="23"/>
      <c r="BL376" s="23"/>
      <c r="BM376" s="23"/>
      <c r="BN376" s="23"/>
      <c r="BO376" s="23"/>
      <c r="BP376" s="23"/>
      <c r="BQ376" s="23"/>
      <c r="BR376" s="23"/>
      <c r="BS376" s="23"/>
      <c r="BT376" s="23"/>
      <c r="BU376" s="23"/>
      <c r="BV376" s="23"/>
      <c r="BW376" s="23"/>
      <c r="BX376" s="23"/>
      <c r="BY376" s="23"/>
      <c r="BZ376" s="23"/>
      <c r="CA376" s="23"/>
      <c r="CB376" s="23"/>
      <c r="CC376" s="23"/>
      <c r="CD376" s="23"/>
      <c r="CE376" s="23"/>
      <c r="CF376" s="23"/>
      <c r="CG376" s="23"/>
      <c r="CH376" s="23"/>
      <c r="CI376" s="23"/>
      <c r="CJ376" s="23"/>
      <c r="CK376" s="23"/>
      <c r="CL376" s="23"/>
      <c r="CM376" s="23"/>
      <c r="CN376" s="23"/>
      <c r="CO376" s="23"/>
      <c r="CP376" s="23"/>
      <c r="CQ376" s="23"/>
      <c r="CR376" s="23"/>
      <c r="CS376" s="23"/>
      <c r="CT376" s="23"/>
      <c r="CU376" s="23"/>
      <c r="CV376" s="23"/>
      <c r="CW376" s="23"/>
      <c r="CX376" s="23"/>
      <c r="CY376" s="23"/>
      <c r="CZ376" s="23"/>
      <c r="DA376" s="23"/>
      <c r="DB376" s="23"/>
      <c r="DC376" s="23"/>
      <c r="DD376" s="23"/>
      <c r="DE376" s="23"/>
      <c r="DF376" s="23"/>
      <c r="DG376" s="23"/>
      <c r="DH376" s="23"/>
      <c r="DI376" s="23"/>
      <c r="DJ376" s="23"/>
      <c r="DK376" s="23"/>
      <c r="DL376" s="23"/>
      <c r="DM376" s="23"/>
      <c r="DN376" s="23"/>
      <c r="DO376" s="23"/>
      <c r="DP376" s="23"/>
      <c r="DQ376" s="23"/>
      <c r="DR376" s="23"/>
      <c r="DS376" s="23"/>
      <c r="DT376" s="23"/>
      <c r="DU376" s="23"/>
      <c r="DV376" s="23"/>
      <c r="DW376" s="23"/>
      <c r="DX376" s="23"/>
      <c r="DY376" s="23"/>
      <c r="DZ376" s="23"/>
      <c r="EA376" s="23"/>
      <c r="EB376" s="23"/>
      <c r="EC376" s="23"/>
      <c r="ED376" s="23"/>
      <c r="EE376" s="23"/>
      <c r="EF376" s="23"/>
      <c r="EG376" s="23"/>
      <c r="EH376" s="23"/>
      <c r="EI376" s="23"/>
      <c r="EJ376" s="23"/>
      <c r="EK376" s="23"/>
      <c r="EL376" s="23"/>
      <c r="EM376" s="23"/>
      <c r="EN376" s="23"/>
      <c r="EO376" s="23"/>
      <c r="EP376" s="23"/>
      <c r="EQ376" s="23"/>
      <c r="ER376" s="23"/>
      <c r="ES376" s="23"/>
      <c r="ET376" s="23"/>
      <c r="EU376" s="23"/>
      <c r="EV376" s="23"/>
      <c r="EW376" s="23"/>
      <c r="EX376" s="23"/>
      <c r="EY376" s="23"/>
      <c r="EZ376" s="23"/>
      <c r="FA376" s="23"/>
      <c r="FB376" s="23"/>
      <c r="FC376" s="23"/>
      <c r="FD376" s="23"/>
      <c r="FE376" s="23"/>
      <c r="FF376" s="23"/>
      <c r="FG376" s="23"/>
      <c r="FH376" s="23"/>
      <c r="FI376" s="23"/>
      <c r="FJ376" s="23"/>
      <c r="FK376" s="23"/>
      <c r="FL376" s="23"/>
      <c r="FM376" s="23"/>
      <c r="FN376" s="23"/>
      <c r="FO376" s="23"/>
      <c r="FP376" s="23"/>
      <c r="FQ376" s="23"/>
      <c r="FR376" s="23"/>
      <c r="FS376" s="23"/>
      <c r="FT376" s="23"/>
      <c r="FU376" s="23"/>
      <c r="FV376" s="23"/>
      <c r="FW376" s="23"/>
      <c r="FX376" s="23"/>
      <c r="FY376" s="23"/>
      <c r="FZ376" s="23"/>
      <c r="GA376" s="23"/>
      <c r="GB376" s="23"/>
      <c r="GC376" s="23"/>
      <c r="GD376" s="23"/>
      <c r="GE376" s="23"/>
      <c r="GF376" s="23"/>
      <c r="GG376" s="23"/>
      <c r="GH376" s="23"/>
      <c r="GI376" s="23"/>
      <c r="GJ376" s="23"/>
      <c r="GK376" s="23"/>
      <c r="GL376" s="23"/>
    </row>
    <row r="377" spans="1:194" ht="13">
      <c r="A377" s="23"/>
      <c r="B377" s="23"/>
      <c r="C377" s="23"/>
      <c r="D377" s="23"/>
      <c r="E377" s="23"/>
      <c r="F377" s="23"/>
      <c r="G377" s="23"/>
      <c r="H377" s="401"/>
      <c r="I377" s="401"/>
      <c r="J377" s="401"/>
      <c r="K377" s="401"/>
      <c r="L377" s="401"/>
      <c r="M377" s="438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  <c r="AL377" s="23"/>
      <c r="AM377" s="23"/>
      <c r="AN377" s="23"/>
      <c r="AO377" s="23"/>
      <c r="AP377" s="23"/>
      <c r="AQ377" s="23"/>
      <c r="AR377" s="23"/>
      <c r="AS377" s="23"/>
      <c r="AT377" s="23"/>
      <c r="AU377" s="23"/>
      <c r="AV377" s="23"/>
      <c r="AW377" s="23"/>
      <c r="AX377" s="23"/>
      <c r="AY377" s="23"/>
      <c r="AZ377" s="23"/>
      <c r="BA377" s="23"/>
      <c r="BB377" s="23"/>
      <c r="BC377" s="23"/>
      <c r="BD377" s="23"/>
      <c r="BE377" s="23"/>
      <c r="BF377" s="23"/>
      <c r="BG377" s="23"/>
      <c r="BH377" s="23"/>
      <c r="BI377" s="23"/>
      <c r="BJ377" s="23"/>
      <c r="BK377" s="23"/>
      <c r="BL377" s="23"/>
      <c r="BM377" s="23"/>
      <c r="BN377" s="23"/>
      <c r="BO377" s="23"/>
      <c r="BP377" s="23"/>
      <c r="BQ377" s="23"/>
      <c r="BR377" s="23"/>
      <c r="BS377" s="23"/>
      <c r="BT377" s="23"/>
      <c r="BU377" s="23"/>
      <c r="BV377" s="23"/>
      <c r="BW377" s="23"/>
      <c r="BX377" s="23"/>
      <c r="BY377" s="23"/>
      <c r="BZ377" s="23"/>
      <c r="CA377" s="23"/>
      <c r="CB377" s="23"/>
      <c r="CC377" s="23"/>
      <c r="CD377" s="23"/>
      <c r="CE377" s="23"/>
      <c r="CF377" s="23"/>
      <c r="CG377" s="23"/>
      <c r="CH377" s="23"/>
      <c r="CI377" s="23"/>
      <c r="CJ377" s="23"/>
      <c r="CK377" s="23"/>
      <c r="CL377" s="23"/>
      <c r="CM377" s="23"/>
      <c r="CN377" s="23"/>
      <c r="CO377" s="23"/>
      <c r="CP377" s="23"/>
      <c r="CQ377" s="23"/>
      <c r="CR377" s="23"/>
      <c r="CS377" s="23"/>
      <c r="CT377" s="23"/>
      <c r="CU377" s="23"/>
      <c r="CV377" s="23"/>
      <c r="CW377" s="23"/>
      <c r="CX377" s="23"/>
      <c r="CY377" s="23"/>
      <c r="CZ377" s="23"/>
      <c r="DA377" s="23"/>
      <c r="DB377" s="23"/>
      <c r="DC377" s="23"/>
      <c r="DD377" s="23"/>
      <c r="DE377" s="23"/>
      <c r="DF377" s="23"/>
      <c r="DG377" s="23"/>
      <c r="DH377" s="23"/>
      <c r="DI377" s="23"/>
      <c r="DJ377" s="23"/>
      <c r="DK377" s="23"/>
      <c r="DL377" s="23"/>
      <c r="DM377" s="23"/>
      <c r="DN377" s="23"/>
      <c r="DO377" s="23"/>
      <c r="DP377" s="23"/>
      <c r="DQ377" s="23"/>
      <c r="DR377" s="23"/>
      <c r="DS377" s="23"/>
      <c r="DT377" s="23"/>
      <c r="DU377" s="23"/>
      <c r="DV377" s="23"/>
      <c r="DW377" s="23"/>
      <c r="DX377" s="23"/>
      <c r="DY377" s="23"/>
      <c r="DZ377" s="23"/>
      <c r="EA377" s="23"/>
      <c r="EB377" s="23"/>
      <c r="EC377" s="23"/>
      <c r="ED377" s="23"/>
      <c r="EE377" s="23"/>
      <c r="EF377" s="23"/>
      <c r="EG377" s="23"/>
      <c r="EH377" s="23"/>
      <c r="EI377" s="23"/>
      <c r="EJ377" s="23"/>
      <c r="EK377" s="23"/>
      <c r="EL377" s="23"/>
      <c r="EM377" s="23"/>
      <c r="EN377" s="23"/>
      <c r="EO377" s="23"/>
      <c r="EP377" s="23"/>
      <c r="EQ377" s="23"/>
      <c r="ER377" s="23"/>
      <c r="ES377" s="23"/>
      <c r="ET377" s="23"/>
      <c r="EU377" s="23"/>
      <c r="EV377" s="23"/>
      <c r="EW377" s="23"/>
      <c r="EX377" s="23"/>
      <c r="EY377" s="23"/>
      <c r="EZ377" s="23"/>
      <c r="FA377" s="23"/>
      <c r="FB377" s="23"/>
      <c r="FC377" s="23"/>
      <c r="FD377" s="23"/>
      <c r="FE377" s="23"/>
      <c r="FF377" s="23"/>
      <c r="FG377" s="23"/>
      <c r="FH377" s="23"/>
      <c r="FI377" s="23"/>
      <c r="FJ377" s="23"/>
      <c r="FK377" s="23"/>
      <c r="FL377" s="23"/>
      <c r="FM377" s="23"/>
      <c r="FN377" s="23"/>
      <c r="FO377" s="23"/>
      <c r="FP377" s="23"/>
      <c r="FQ377" s="23"/>
      <c r="FR377" s="23"/>
      <c r="FS377" s="23"/>
      <c r="FT377" s="23"/>
      <c r="FU377" s="23"/>
      <c r="FV377" s="23"/>
      <c r="FW377" s="23"/>
      <c r="FX377" s="23"/>
      <c r="FY377" s="23"/>
      <c r="FZ377" s="23"/>
      <c r="GA377" s="23"/>
      <c r="GB377" s="23"/>
      <c r="GC377" s="23"/>
      <c r="GD377" s="23"/>
      <c r="GE377" s="23"/>
      <c r="GF377" s="23"/>
      <c r="GG377" s="23"/>
      <c r="GH377" s="23"/>
      <c r="GI377" s="23"/>
      <c r="GJ377" s="23"/>
      <c r="GK377" s="23"/>
      <c r="GL377" s="23"/>
    </row>
    <row r="378" spans="1:194" ht="13">
      <c r="A378" s="23"/>
      <c r="B378" s="23"/>
      <c r="C378" s="23"/>
      <c r="D378" s="23"/>
      <c r="E378" s="23"/>
      <c r="F378" s="23"/>
      <c r="G378" s="23"/>
      <c r="H378" s="401"/>
      <c r="I378" s="401"/>
      <c r="J378" s="401"/>
      <c r="K378" s="401"/>
      <c r="L378" s="401"/>
      <c r="M378" s="438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  <c r="AL378" s="23"/>
      <c r="AM378" s="23"/>
      <c r="AN378" s="23"/>
      <c r="AO378" s="23"/>
      <c r="AP378" s="23"/>
      <c r="AQ378" s="23"/>
      <c r="AR378" s="23"/>
      <c r="AS378" s="23"/>
      <c r="AT378" s="23"/>
      <c r="AU378" s="23"/>
      <c r="AV378" s="23"/>
      <c r="AW378" s="23"/>
      <c r="AX378" s="23"/>
      <c r="AY378" s="23"/>
      <c r="AZ378" s="23"/>
      <c r="BA378" s="23"/>
      <c r="BB378" s="23"/>
      <c r="BC378" s="23"/>
      <c r="BD378" s="23"/>
      <c r="BE378" s="23"/>
      <c r="BF378" s="23"/>
      <c r="BG378" s="23"/>
      <c r="BH378" s="23"/>
      <c r="BI378" s="23"/>
      <c r="BJ378" s="23"/>
      <c r="BK378" s="23"/>
      <c r="BL378" s="23"/>
      <c r="BM378" s="23"/>
      <c r="BN378" s="23"/>
      <c r="BO378" s="23"/>
      <c r="BP378" s="23"/>
      <c r="BQ378" s="23"/>
      <c r="BR378" s="23"/>
      <c r="BS378" s="23"/>
      <c r="BT378" s="23"/>
      <c r="BU378" s="23"/>
      <c r="BV378" s="23"/>
      <c r="BW378" s="23"/>
      <c r="BX378" s="23"/>
      <c r="BY378" s="23"/>
      <c r="BZ378" s="23"/>
      <c r="CA378" s="23"/>
      <c r="CB378" s="23"/>
      <c r="CC378" s="23"/>
      <c r="CD378" s="23"/>
      <c r="CE378" s="23"/>
      <c r="CF378" s="23"/>
      <c r="CG378" s="23"/>
      <c r="CH378" s="23"/>
      <c r="CI378" s="23"/>
      <c r="CJ378" s="23"/>
      <c r="CK378" s="23"/>
      <c r="CL378" s="23"/>
      <c r="CM378" s="23"/>
      <c r="CN378" s="23"/>
      <c r="CO378" s="23"/>
      <c r="CP378" s="23"/>
      <c r="CQ378" s="23"/>
      <c r="CR378" s="23"/>
      <c r="CS378" s="23"/>
      <c r="CT378" s="23"/>
      <c r="CU378" s="23"/>
      <c r="CV378" s="23"/>
      <c r="CW378" s="23"/>
      <c r="CX378" s="23"/>
      <c r="CY378" s="23"/>
      <c r="CZ378" s="23"/>
      <c r="DA378" s="23"/>
      <c r="DB378" s="23"/>
      <c r="DC378" s="23"/>
      <c r="DD378" s="23"/>
      <c r="DE378" s="23"/>
      <c r="DF378" s="23"/>
      <c r="DG378" s="23"/>
      <c r="DH378" s="23"/>
      <c r="DI378" s="23"/>
      <c r="DJ378" s="23"/>
      <c r="DK378" s="23"/>
      <c r="DL378" s="23"/>
      <c r="DM378" s="23"/>
      <c r="DN378" s="23"/>
      <c r="DO378" s="23"/>
      <c r="DP378" s="23"/>
      <c r="DQ378" s="23"/>
      <c r="DR378" s="23"/>
      <c r="DS378" s="23"/>
      <c r="DT378" s="23"/>
      <c r="DU378" s="23"/>
      <c r="DV378" s="23"/>
      <c r="DW378" s="23"/>
      <c r="DX378" s="23"/>
      <c r="DY378" s="23"/>
      <c r="DZ378" s="23"/>
      <c r="EA378" s="23"/>
      <c r="EB378" s="23"/>
      <c r="EC378" s="23"/>
      <c r="ED378" s="23"/>
      <c r="EE378" s="23"/>
      <c r="EF378" s="23"/>
      <c r="EG378" s="23"/>
      <c r="EH378" s="23"/>
      <c r="EI378" s="23"/>
      <c r="EJ378" s="23"/>
      <c r="EK378" s="23"/>
      <c r="EL378" s="23"/>
      <c r="EM378" s="23"/>
      <c r="EN378" s="23"/>
      <c r="EO378" s="23"/>
      <c r="EP378" s="23"/>
      <c r="EQ378" s="23"/>
      <c r="ER378" s="23"/>
      <c r="ES378" s="23"/>
      <c r="ET378" s="23"/>
      <c r="EU378" s="23"/>
      <c r="EV378" s="23"/>
      <c r="EW378" s="23"/>
      <c r="EX378" s="23"/>
      <c r="EY378" s="23"/>
      <c r="EZ378" s="23"/>
      <c r="FA378" s="23"/>
      <c r="FB378" s="23"/>
      <c r="FC378" s="23"/>
      <c r="FD378" s="23"/>
      <c r="FE378" s="23"/>
      <c r="FF378" s="23"/>
      <c r="FG378" s="23"/>
      <c r="FH378" s="23"/>
      <c r="FI378" s="23"/>
      <c r="FJ378" s="23"/>
      <c r="FK378" s="23"/>
      <c r="FL378" s="23"/>
      <c r="FM378" s="23"/>
      <c r="FN378" s="23"/>
      <c r="FO378" s="23"/>
      <c r="FP378" s="23"/>
      <c r="FQ378" s="23"/>
      <c r="FR378" s="23"/>
      <c r="FS378" s="23"/>
      <c r="FT378" s="23"/>
      <c r="FU378" s="23"/>
      <c r="FV378" s="23"/>
      <c r="FW378" s="23"/>
      <c r="FX378" s="23"/>
      <c r="FY378" s="23"/>
      <c r="FZ378" s="23"/>
      <c r="GA378" s="23"/>
      <c r="GB378" s="23"/>
      <c r="GC378" s="23"/>
      <c r="GD378" s="23"/>
      <c r="GE378" s="23"/>
      <c r="GF378" s="23"/>
      <c r="GG378" s="23"/>
      <c r="GH378" s="23"/>
      <c r="GI378" s="23"/>
      <c r="GJ378" s="23"/>
      <c r="GK378" s="23"/>
      <c r="GL378" s="23"/>
    </row>
    <row r="379" spans="1:194" ht="13">
      <c r="A379" s="23"/>
      <c r="B379" s="23"/>
      <c r="C379" s="23"/>
      <c r="D379" s="23"/>
      <c r="E379" s="23"/>
      <c r="F379" s="23"/>
      <c r="G379" s="23"/>
      <c r="H379" s="401"/>
      <c r="I379" s="401"/>
      <c r="J379" s="401"/>
      <c r="K379" s="401"/>
      <c r="L379" s="401"/>
      <c r="M379" s="438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  <c r="AL379" s="23"/>
      <c r="AM379" s="23"/>
      <c r="AN379" s="23"/>
      <c r="AO379" s="23"/>
      <c r="AP379" s="23"/>
      <c r="AQ379" s="23"/>
      <c r="AR379" s="23"/>
      <c r="AS379" s="23"/>
      <c r="AT379" s="23"/>
      <c r="AU379" s="23"/>
      <c r="AV379" s="23"/>
      <c r="AW379" s="23"/>
      <c r="AX379" s="23"/>
      <c r="AY379" s="23"/>
      <c r="AZ379" s="23"/>
      <c r="BA379" s="23"/>
      <c r="BB379" s="23"/>
      <c r="BC379" s="23"/>
      <c r="BD379" s="23"/>
      <c r="BE379" s="23"/>
      <c r="BF379" s="23"/>
      <c r="BG379" s="23"/>
      <c r="BH379" s="23"/>
      <c r="BI379" s="23"/>
      <c r="BJ379" s="23"/>
      <c r="BK379" s="23"/>
      <c r="BL379" s="23"/>
      <c r="BM379" s="23"/>
      <c r="BN379" s="23"/>
      <c r="BO379" s="23"/>
      <c r="BP379" s="23"/>
      <c r="BQ379" s="23"/>
      <c r="BR379" s="23"/>
      <c r="BS379" s="23"/>
      <c r="BT379" s="23"/>
      <c r="BU379" s="23"/>
      <c r="BV379" s="23"/>
      <c r="BW379" s="23"/>
      <c r="BX379" s="23"/>
      <c r="BY379" s="23"/>
      <c r="BZ379" s="23"/>
      <c r="CA379" s="23"/>
      <c r="CB379" s="23"/>
      <c r="CC379" s="23"/>
      <c r="CD379" s="23"/>
      <c r="CE379" s="23"/>
      <c r="CF379" s="23"/>
      <c r="CG379" s="23"/>
      <c r="CH379" s="23"/>
      <c r="CI379" s="23"/>
      <c r="CJ379" s="23"/>
      <c r="CK379" s="23"/>
      <c r="CL379" s="23"/>
      <c r="CM379" s="23"/>
      <c r="CN379" s="23"/>
      <c r="CO379" s="23"/>
      <c r="CP379" s="23"/>
      <c r="CQ379" s="23"/>
      <c r="CR379" s="23"/>
      <c r="CS379" s="23"/>
      <c r="CT379" s="23"/>
      <c r="CU379" s="23"/>
      <c r="CV379" s="23"/>
      <c r="CW379" s="23"/>
      <c r="CX379" s="23"/>
      <c r="CY379" s="23"/>
      <c r="CZ379" s="23"/>
      <c r="DA379" s="23"/>
      <c r="DB379" s="23"/>
      <c r="DC379" s="23"/>
      <c r="DD379" s="23"/>
      <c r="DE379" s="23"/>
      <c r="DF379" s="23"/>
      <c r="DG379" s="23"/>
      <c r="DH379" s="23"/>
      <c r="DI379" s="23"/>
      <c r="DJ379" s="23"/>
      <c r="DK379" s="23"/>
      <c r="DL379" s="23"/>
      <c r="DM379" s="23"/>
      <c r="DN379" s="23"/>
      <c r="DO379" s="23"/>
      <c r="DP379" s="23"/>
      <c r="DQ379" s="23"/>
      <c r="DR379" s="23"/>
      <c r="DS379" s="23"/>
      <c r="DT379" s="23"/>
      <c r="DU379" s="23"/>
      <c r="DV379" s="23"/>
      <c r="DW379" s="23"/>
      <c r="DX379" s="23"/>
      <c r="DY379" s="23"/>
      <c r="DZ379" s="23"/>
      <c r="EA379" s="23"/>
      <c r="EB379" s="23"/>
      <c r="EC379" s="23"/>
      <c r="ED379" s="23"/>
      <c r="EE379" s="23"/>
      <c r="EF379" s="23"/>
      <c r="EG379" s="23"/>
      <c r="EH379" s="23"/>
      <c r="EI379" s="23"/>
      <c r="EJ379" s="23"/>
      <c r="EK379" s="23"/>
      <c r="EL379" s="23"/>
      <c r="EM379" s="23"/>
      <c r="EN379" s="23"/>
      <c r="EO379" s="23"/>
      <c r="EP379" s="23"/>
      <c r="EQ379" s="23"/>
      <c r="ER379" s="23"/>
      <c r="ES379" s="23"/>
      <c r="ET379" s="23"/>
      <c r="EU379" s="23"/>
      <c r="EV379" s="23"/>
      <c r="EW379" s="23"/>
      <c r="EX379" s="23"/>
      <c r="EY379" s="23"/>
      <c r="EZ379" s="23"/>
      <c r="FA379" s="23"/>
      <c r="FB379" s="23"/>
      <c r="FC379" s="23"/>
      <c r="FD379" s="23"/>
      <c r="FE379" s="23"/>
      <c r="FF379" s="23"/>
      <c r="FG379" s="23"/>
      <c r="FH379" s="23"/>
      <c r="FI379" s="23"/>
      <c r="FJ379" s="23"/>
      <c r="FK379" s="23"/>
      <c r="FL379" s="23"/>
      <c r="FM379" s="23"/>
      <c r="FN379" s="23"/>
      <c r="FO379" s="23"/>
      <c r="FP379" s="23"/>
      <c r="FQ379" s="23"/>
      <c r="FR379" s="23"/>
      <c r="FS379" s="23"/>
      <c r="FT379" s="23"/>
      <c r="FU379" s="23"/>
      <c r="FV379" s="23"/>
      <c r="FW379" s="23"/>
      <c r="FX379" s="23"/>
      <c r="FY379" s="23"/>
      <c r="FZ379" s="23"/>
      <c r="GA379" s="23"/>
      <c r="GB379" s="23"/>
      <c r="GC379" s="23"/>
      <c r="GD379" s="23"/>
      <c r="GE379" s="23"/>
      <c r="GF379" s="23"/>
      <c r="GG379" s="23"/>
      <c r="GH379" s="23"/>
      <c r="GI379" s="23"/>
      <c r="GJ379" s="23"/>
      <c r="GK379" s="23"/>
      <c r="GL379" s="23"/>
    </row>
    <row r="380" spans="1:194" ht="13">
      <c r="A380" s="23"/>
      <c r="B380" s="23"/>
      <c r="C380" s="23"/>
      <c r="D380" s="23"/>
      <c r="E380" s="23"/>
      <c r="F380" s="23"/>
      <c r="G380" s="23"/>
      <c r="H380" s="401"/>
      <c r="I380" s="401"/>
      <c r="J380" s="401"/>
      <c r="K380" s="401"/>
      <c r="L380" s="401"/>
      <c r="M380" s="438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  <c r="AW380" s="23"/>
      <c r="AX380" s="23"/>
      <c r="AY380" s="23"/>
      <c r="AZ380" s="23"/>
      <c r="BA380" s="23"/>
      <c r="BB380" s="23"/>
      <c r="BC380" s="23"/>
      <c r="BD380" s="23"/>
      <c r="BE380" s="23"/>
      <c r="BF380" s="23"/>
      <c r="BG380" s="23"/>
      <c r="BH380" s="23"/>
      <c r="BI380" s="23"/>
      <c r="BJ380" s="23"/>
      <c r="BK380" s="23"/>
      <c r="BL380" s="23"/>
      <c r="BM380" s="23"/>
      <c r="BN380" s="23"/>
      <c r="BO380" s="23"/>
      <c r="BP380" s="23"/>
      <c r="BQ380" s="23"/>
      <c r="BR380" s="23"/>
      <c r="BS380" s="23"/>
      <c r="BT380" s="23"/>
      <c r="BU380" s="23"/>
      <c r="BV380" s="23"/>
      <c r="BW380" s="23"/>
      <c r="BX380" s="23"/>
      <c r="BY380" s="23"/>
      <c r="BZ380" s="23"/>
      <c r="CA380" s="23"/>
      <c r="CB380" s="23"/>
      <c r="CC380" s="23"/>
      <c r="CD380" s="23"/>
      <c r="CE380" s="23"/>
      <c r="CF380" s="23"/>
      <c r="CG380" s="23"/>
      <c r="CH380" s="23"/>
      <c r="CI380" s="23"/>
      <c r="CJ380" s="23"/>
      <c r="CK380" s="23"/>
      <c r="CL380" s="23"/>
      <c r="CM380" s="23"/>
      <c r="CN380" s="23"/>
      <c r="CO380" s="23"/>
      <c r="CP380" s="23"/>
      <c r="CQ380" s="23"/>
      <c r="CR380" s="23"/>
      <c r="CS380" s="23"/>
      <c r="CT380" s="23"/>
      <c r="CU380" s="23"/>
      <c r="CV380" s="23"/>
      <c r="CW380" s="23"/>
      <c r="CX380" s="23"/>
      <c r="CY380" s="23"/>
      <c r="CZ380" s="23"/>
      <c r="DA380" s="23"/>
      <c r="DB380" s="23"/>
      <c r="DC380" s="23"/>
      <c r="DD380" s="23"/>
      <c r="DE380" s="23"/>
      <c r="DF380" s="23"/>
      <c r="DG380" s="23"/>
      <c r="DH380" s="23"/>
      <c r="DI380" s="23"/>
      <c r="DJ380" s="23"/>
      <c r="DK380" s="23"/>
      <c r="DL380" s="23"/>
      <c r="DM380" s="23"/>
      <c r="DN380" s="23"/>
      <c r="DO380" s="23"/>
      <c r="DP380" s="23"/>
      <c r="DQ380" s="23"/>
      <c r="DR380" s="23"/>
      <c r="DS380" s="23"/>
      <c r="DT380" s="23"/>
      <c r="DU380" s="23"/>
      <c r="DV380" s="23"/>
      <c r="DW380" s="23"/>
      <c r="DX380" s="23"/>
      <c r="DY380" s="23"/>
      <c r="DZ380" s="23"/>
      <c r="EA380" s="23"/>
      <c r="EB380" s="23"/>
      <c r="EC380" s="23"/>
      <c r="ED380" s="23"/>
      <c r="EE380" s="23"/>
      <c r="EF380" s="23"/>
      <c r="EG380" s="23"/>
      <c r="EH380" s="23"/>
      <c r="EI380" s="23"/>
      <c r="EJ380" s="23"/>
      <c r="EK380" s="23"/>
      <c r="EL380" s="23"/>
      <c r="EM380" s="23"/>
      <c r="EN380" s="23"/>
      <c r="EO380" s="23"/>
      <c r="EP380" s="23"/>
      <c r="EQ380" s="23"/>
      <c r="ER380" s="23"/>
      <c r="ES380" s="23"/>
      <c r="ET380" s="23"/>
      <c r="EU380" s="23"/>
      <c r="EV380" s="23"/>
      <c r="EW380" s="23"/>
      <c r="EX380" s="23"/>
      <c r="EY380" s="23"/>
      <c r="EZ380" s="23"/>
      <c r="FA380" s="23"/>
      <c r="FB380" s="23"/>
      <c r="FC380" s="23"/>
      <c r="FD380" s="23"/>
      <c r="FE380" s="23"/>
      <c r="FF380" s="23"/>
      <c r="FG380" s="23"/>
      <c r="FH380" s="23"/>
      <c r="FI380" s="23"/>
      <c r="FJ380" s="23"/>
      <c r="FK380" s="23"/>
      <c r="FL380" s="23"/>
      <c r="FM380" s="23"/>
      <c r="FN380" s="23"/>
      <c r="FO380" s="23"/>
      <c r="FP380" s="23"/>
      <c r="FQ380" s="23"/>
      <c r="FR380" s="23"/>
      <c r="FS380" s="23"/>
      <c r="FT380" s="23"/>
      <c r="FU380" s="23"/>
      <c r="FV380" s="23"/>
      <c r="FW380" s="23"/>
      <c r="FX380" s="23"/>
      <c r="FY380" s="23"/>
      <c r="FZ380" s="23"/>
      <c r="GA380" s="23"/>
      <c r="GB380" s="23"/>
      <c r="GC380" s="23"/>
      <c r="GD380" s="23"/>
      <c r="GE380" s="23"/>
      <c r="GF380" s="23"/>
      <c r="GG380" s="23"/>
      <c r="GH380" s="23"/>
      <c r="GI380" s="23"/>
      <c r="GJ380" s="23"/>
      <c r="GK380" s="23"/>
      <c r="GL380" s="23"/>
    </row>
    <row r="381" spans="1:194" ht="13">
      <c r="A381" s="23"/>
      <c r="B381" s="23"/>
      <c r="C381" s="23"/>
      <c r="D381" s="23"/>
      <c r="E381" s="23"/>
      <c r="F381" s="23"/>
      <c r="G381" s="23"/>
      <c r="H381" s="401"/>
      <c r="I381" s="401"/>
      <c r="J381" s="401"/>
      <c r="K381" s="401"/>
      <c r="L381" s="401"/>
      <c r="M381" s="438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  <c r="AL381" s="23"/>
      <c r="AM381" s="23"/>
      <c r="AN381" s="23"/>
      <c r="AO381" s="23"/>
      <c r="AP381" s="23"/>
      <c r="AQ381" s="23"/>
      <c r="AR381" s="23"/>
      <c r="AS381" s="23"/>
      <c r="AT381" s="23"/>
      <c r="AU381" s="23"/>
      <c r="AV381" s="23"/>
      <c r="AW381" s="23"/>
      <c r="AX381" s="23"/>
      <c r="AY381" s="23"/>
      <c r="AZ381" s="23"/>
      <c r="BA381" s="23"/>
      <c r="BB381" s="23"/>
      <c r="BC381" s="23"/>
      <c r="BD381" s="23"/>
      <c r="BE381" s="23"/>
      <c r="BF381" s="23"/>
      <c r="BG381" s="23"/>
      <c r="BH381" s="23"/>
      <c r="BI381" s="23"/>
      <c r="BJ381" s="23"/>
      <c r="BK381" s="23"/>
      <c r="BL381" s="23"/>
      <c r="BM381" s="23"/>
      <c r="BN381" s="23"/>
      <c r="BO381" s="23"/>
      <c r="BP381" s="23"/>
      <c r="BQ381" s="23"/>
      <c r="BR381" s="23"/>
      <c r="BS381" s="23"/>
      <c r="BT381" s="23"/>
      <c r="BU381" s="23"/>
      <c r="BV381" s="23"/>
      <c r="BW381" s="23"/>
      <c r="BX381" s="23"/>
      <c r="BY381" s="23"/>
      <c r="BZ381" s="23"/>
      <c r="CA381" s="23"/>
      <c r="CB381" s="23"/>
      <c r="CC381" s="23"/>
      <c r="CD381" s="23"/>
      <c r="CE381" s="23"/>
      <c r="CF381" s="23"/>
      <c r="CG381" s="23"/>
      <c r="CH381" s="23"/>
      <c r="CI381" s="23"/>
      <c r="CJ381" s="23"/>
      <c r="CK381" s="23"/>
      <c r="CL381" s="23"/>
      <c r="CM381" s="23"/>
      <c r="CN381" s="23"/>
      <c r="CO381" s="23"/>
      <c r="CP381" s="23"/>
      <c r="CQ381" s="23"/>
      <c r="CR381" s="23"/>
      <c r="CS381" s="23"/>
      <c r="CT381" s="23"/>
      <c r="CU381" s="23"/>
      <c r="CV381" s="23"/>
      <c r="CW381" s="23"/>
      <c r="CX381" s="23"/>
      <c r="CY381" s="23"/>
      <c r="CZ381" s="23"/>
      <c r="DA381" s="23"/>
      <c r="DB381" s="23"/>
      <c r="DC381" s="23"/>
      <c r="DD381" s="23"/>
      <c r="DE381" s="23"/>
      <c r="DF381" s="23"/>
      <c r="DG381" s="23"/>
      <c r="DH381" s="23"/>
      <c r="DI381" s="23"/>
      <c r="DJ381" s="23"/>
      <c r="DK381" s="23"/>
      <c r="DL381" s="23"/>
      <c r="DM381" s="23"/>
      <c r="DN381" s="23"/>
      <c r="DO381" s="23"/>
      <c r="DP381" s="23"/>
      <c r="DQ381" s="23"/>
      <c r="DR381" s="23"/>
      <c r="DS381" s="23"/>
      <c r="DT381" s="23"/>
      <c r="DU381" s="23"/>
      <c r="DV381" s="23"/>
      <c r="DW381" s="23"/>
      <c r="DX381" s="23"/>
      <c r="DY381" s="23"/>
      <c r="DZ381" s="23"/>
      <c r="EA381" s="23"/>
      <c r="EB381" s="23"/>
      <c r="EC381" s="23"/>
      <c r="ED381" s="23"/>
      <c r="EE381" s="23"/>
      <c r="EF381" s="23"/>
      <c r="EG381" s="23"/>
      <c r="EH381" s="23"/>
      <c r="EI381" s="23"/>
      <c r="EJ381" s="23"/>
      <c r="EK381" s="23"/>
      <c r="EL381" s="23"/>
      <c r="EM381" s="23"/>
      <c r="EN381" s="23"/>
      <c r="EO381" s="23"/>
      <c r="EP381" s="23"/>
      <c r="EQ381" s="23"/>
      <c r="ER381" s="23"/>
      <c r="ES381" s="23"/>
      <c r="ET381" s="23"/>
      <c r="EU381" s="23"/>
      <c r="EV381" s="23"/>
      <c r="EW381" s="23"/>
      <c r="EX381" s="23"/>
      <c r="EY381" s="23"/>
      <c r="EZ381" s="23"/>
      <c r="FA381" s="23"/>
      <c r="FB381" s="23"/>
      <c r="FC381" s="23"/>
      <c r="FD381" s="23"/>
      <c r="FE381" s="23"/>
      <c r="FF381" s="23"/>
      <c r="FG381" s="23"/>
      <c r="FH381" s="23"/>
      <c r="FI381" s="23"/>
      <c r="FJ381" s="23"/>
      <c r="FK381" s="23"/>
      <c r="FL381" s="23"/>
      <c r="FM381" s="23"/>
      <c r="FN381" s="23"/>
      <c r="FO381" s="23"/>
      <c r="FP381" s="23"/>
      <c r="FQ381" s="23"/>
      <c r="FR381" s="23"/>
      <c r="FS381" s="23"/>
      <c r="FT381" s="23"/>
      <c r="FU381" s="23"/>
      <c r="FV381" s="23"/>
      <c r="FW381" s="23"/>
      <c r="FX381" s="23"/>
      <c r="FY381" s="23"/>
      <c r="FZ381" s="23"/>
      <c r="GA381" s="23"/>
      <c r="GB381" s="23"/>
      <c r="GC381" s="23"/>
      <c r="GD381" s="23"/>
      <c r="GE381" s="23"/>
      <c r="GF381" s="23"/>
      <c r="GG381" s="23"/>
      <c r="GH381" s="23"/>
      <c r="GI381" s="23"/>
      <c r="GJ381" s="23"/>
      <c r="GK381" s="23"/>
      <c r="GL381" s="23"/>
    </row>
    <row r="382" spans="1:194" ht="13">
      <c r="A382" s="23"/>
      <c r="B382" s="23"/>
      <c r="C382" s="23"/>
      <c r="D382" s="23"/>
      <c r="E382" s="23"/>
      <c r="F382" s="23"/>
      <c r="G382" s="23"/>
      <c r="H382" s="401"/>
      <c r="I382" s="401"/>
      <c r="J382" s="401"/>
      <c r="K382" s="401"/>
      <c r="L382" s="401"/>
      <c r="M382" s="438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  <c r="AL382" s="23"/>
      <c r="AM382" s="23"/>
      <c r="AN382" s="23"/>
      <c r="AO382" s="23"/>
      <c r="AP382" s="23"/>
      <c r="AQ382" s="23"/>
      <c r="AR382" s="23"/>
      <c r="AS382" s="23"/>
      <c r="AT382" s="23"/>
      <c r="AU382" s="23"/>
      <c r="AV382" s="23"/>
      <c r="AW382" s="23"/>
      <c r="AX382" s="23"/>
      <c r="AY382" s="23"/>
      <c r="AZ382" s="23"/>
      <c r="BA382" s="23"/>
      <c r="BB382" s="23"/>
      <c r="BC382" s="23"/>
      <c r="BD382" s="23"/>
      <c r="BE382" s="23"/>
      <c r="BF382" s="23"/>
      <c r="BG382" s="23"/>
      <c r="BH382" s="23"/>
      <c r="BI382" s="23"/>
      <c r="BJ382" s="23"/>
      <c r="BK382" s="23"/>
      <c r="BL382" s="23"/>
      <c r="BM382" s="23"/>
      <c r="BN382" s="23"/>
      <c r="BO382" s="23"/>
      <c r="BP382" s="23"/>
      <c r="BQ382" s="23"/>
      <c r="BR382" s="23"/>
      <c r="BS382" s="23"/>
      <c r="BT382" s="23"/>
      <c r="BU382" s="23"/>
      <c r="BV382" s="23"/>
      <c r="BW382" s="23"/>
      <c r="BX382" s="23"/>
      <c r="BY382" s="23"/>
      <c r="BZ382" s="23"/>
      <c r="CA382" s="23"/>
      <c r="CB382" s="23"/>
      <c r="CC382" s="23"/>
      <c r="CD382" s="23"/>
      <c r="CE382" s="23"/>
      <c r="CF382" s="23"/>
      <c r="CG382" s="23"/>
      <c r="CH382" s="23"/>
      <c r="CI382" s="23"/>
      <c r="CJ382" s="23"/>
      <c r="CK382" s="23"/>
      <c r="CL382" s="23"/>
      <c r="CM382" s="23"/>
      <c r="CN382" s="23"/>
      <c r="CO382" s="23"/>
      <c r="CP382" s="23"/>
      <c r="CQ382" s="23"/>
      <c r="CR382" s="23"/>
      <c r="CS382" s="23"/>
      <c r="CT382" s="23"/>
      <c r="CU382" s="23"/>
      <c r="CV382" s="23"/>
      <c r="CW382" s="23"/>
      <c r="CX382" s="23"/>
      <c r="CY382" s="23"/>
      <c r="CZ382" s="23"/>
      <c r="DA382" s="23"/>
      <c r="DB382" s="23"/>
      <c r="DC382" s="23"/>
      <c r="DD382" s="23"/>
      <c r="DE382" s="23"/>
      <c r="DF382" s="23"/>
      <c r="DG382" s="23"/>
      <c r="DH382" s="23"/>
      <c r="DI382" s="23"/>
      <c r="DJ382" s="23"/>
      <c r="DK382" s="23"/>
      <c r="DL382" s="23"/>
      <c r="DM382" s="23"/>
      <c r="DN382" s="23"/>
      <c r="DO382" s="23"/>
      <c r="DP382" s="23"/>
      <c r="DQ382" s="23"/>
      <c r="DR382" s="23"/>
      <c r="DS382" s="23"/>
      <c r="DT382" s="23"/>
      <c r="DU382" s="23"/>
      <c r="DV382" s="23"/>
      <c r="DW382" s="23"/>
      <c r="DX382" s="23"/>
      <c r="DY382" s="23"/>
      <c r="DZ382" s="23"/>
      <c r="EA382" s="23"/>
      <c r="EB382" s="23"/>
      <c r="EC382" s="23"/>
      <c r="ED382" s="23"/>
      <c r="EE382" s="23"/>
      <c r="EF382" s="23"/>
      <c r="EG382" s="23"/>
      <c r="EH382" s="23"/>
      <c r="EI382" s="23"/>
      <c r="EJ382" s="23"/>
      <c r="EK382" s="23"/>
      <c r="EL382" s="23"/>
      <c r="EM382" s="23"/>
      <c r="EN382" s="23"/>
      <c r="EO382" s="23"/>
      <c r="EP382" s="23"/>
      <c r="EQ382" s="23"/>
      <c r="ER382" s="23"/>
      <c r="ES382" s="23"/>
      <c r="ET382" s="23"/>
      <c r="EU382" s="23"/>
      <c r="EV382" s="23"/>
      <c r="EW382" s="23"/>
      <c r="EX382" s="23"/>
      <c r="EY382" s="23"/>
      <c r="EZ382" s="23"/>
      <c r="FA382" s="23"/>
      <c r="FB382" s="23"/>
      <c r="FC382" s="23"/>
      <c r="FD382" s="23"/>
      <c r="FE382" s="23"/>
      <c r="FF382" s="23"/>
      <c r="FG382" s="23"/>
      <c r="FH382" s="23"/>
      <c r="FI382" s="23"/>
      <c r="FJ382" s="23"/>
      <c r="FK382" s="23"/>
      <c r="FL382" s="23"/>
      <c r="FM382" s="23"/>
      <c r="FN382" s="23"/>
      <c r="FO382" s="23"/>
      <c r="FP382" s="23"/>
      <c r="FQ382" s="23"/>
      <c r="FR382" s="23"/>
      <c r="FS382" s="23"/>
      <c r="FT382" s="23"/>
      <c r="FU382" s="23"/>
      <c r="FV382" s="23"/>
      <c r="FW382" s="23"/>
      <c r="FX382" s="23"/>
      <c r="FY382" s="23"/>
      <c r="FZ382" s="23"/>
      <c r="GA382" s="23"/>
      <c r="GB382" s="23"/>
      <c r="GC382" s="23"/>
      <c r="GD382" s="23"/>
      <c r="GE382" s="23"/>
      <c r="GF382" s="23"/>
      <c r="GG382" s="23"/>
      <c r="GH382" s="23"/>
      <c r="GI382" s="23"/>
      <c r="GJ382" s="23"/>
      <c r="GK382" s="23"/>
      <c r="GL382" s="23"/>
    </row>
    <row r="383" spans="1:194" ht="13">
      <c r="A383" s="23"/>
      <c r="B383" s="23"/>
      <c r="C383" s="23"/>
      <c r="D383" s="23"/>
      <c r="E383" s="23"/>
      <c r="F383" s="23"/>
      <c r="G383" s="23"/>
      <c r="H383" s="401"/>
      <c r="I383" s="401"/>
      <c r="J383" s="401"/>
      <c r="K383" s="401"/>
      <c r="L383" s="401"/>
      <c r="M383" s="438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  <c r="AL383" s="23"/>
      <c r="AM383" s="23"/>
      <c r="AN383" s="23"/>
      <c r="AO383" s="23"/>
      <c r="AP383" s="23"/>
      <c r="AQ383" s="23"/>
      <c r="AR383" s="23"/>
      <c r="AS383" s="23"/>
      <c r="AT383" s="23"/>
      <c r="AU383" s="23"/>
      <c r="AV383" s="23"/>
      <c r="AW383" s="23"/>
      <c r="AX383" s="23"/>
      <c r="AY383" s="23"/>
      <c r="AZ383" s="23"/>
      <c r="BA383" s="23"/>
      <c r="BB383" s="23"/>
      <c r="BC383" s="23"/>
      <c r="BD383" s="23"/>
      <c r="BE383" s="23"/>
      <c r="BF383" s="23"/>
      <c r="BG383" s="23"/>
      <c r="BH383" s="23"/>
      <c r="BI383" s="23"/>
      <c r="BJ383" s="23"/>
      <c r="BK383" s="23"/>
      <c r="BL383" s="23"/>
      <c r="BM383" s="23"/>
      <c r="BN383" s="23"/>
      <c r="BO383" s="23"/>
      <c r="BP383" s="23"/>
      <c r="BQ383" s="23"/>
      <c r="BR383" s="23"/>
      <c r="BS383" s="23"/>
      <c r="BT383" s="23"/>
      <c r="BU383" s="23"/>
      <c r="BV383" s="23"/>
      <c r="BW383" s="23"/>
      <c r="BX383" s="23"/>
      <c r="BY383" s="23"/>
      <c r="BZ383" s="23"/>
      <c r="CA383" s="23"/>
      <c r="CB383" s="23"/>
      <c r="CC383" s="23"/>
      <c r="CD383" s="23"/>
      <c r="CE383" s="23"/>
      <c r="CF383" s="23"/>
      <c r="CG383" s="23"/>
      <c r="CH383" s="23"/>
      <c r="CI383" s="23"/>
      <c r="CJ383" s="23"/>
      <c r="CK383" s="23"/>
      <c r="CL383" s="23"/>
      <c r="CM383" s="23"/>
      <c r="CN383" s="23"/>
      <c r="CO383" s="23"/>
      <c r="CP383" s="23"/>
      <c r="CQ383" s="23"/>
      <c r="CR383" s="23"/>
      <c r="CS383" s="23"/>
      <c r="CT383" s="23"/>
      <c r="CU383" s="23"/>
      <c r="CV383" s="23"/>
      <c r="CW383" s="23"/>
      <c r="CX383" s="23"/>
      <c r="CY383" s="23"/>
      <c r="CZ383" s="23"/>
      <c r="DA383" s="23"/>
      <c r="DB383" s="23"/>
      <c r="DC383" s="23"/>
      <c r="DD383" s="23"/>
      <c r="DE383" s="23"/>
      <c r="DF383" s="23"/>
      <c r="DG383" s="23"/>
      <c r="DH383" s="23"/>
      <c r="DI383" s="23"/>
      <c r="DJ383" s="23"/>
      <c r="DK383" s="23"/>
      <c r="DL383" s="23"/>
      <c r="DM383" s="23"/>
      <c r="DN383" s="23"/>
      <c r="DO383" s="23"/>
      <c r="DP383" s="23"/>
      <c r="DQ383" s="23"/>
      <c r="DR383" s="23"/>
      <c r="DS383" s="23"/>
      <c r="DT383" s="23"/>
      <c r="DU383" s="23"/>
      <c r="DV383" s="23"/>
      <c r="DW383" s="23"/>
      <c r="DX383" s="23"/>
      <c r="DY383" s="23"/>
      <c r="DZ383" s="23"/>
      <c r="EA383" s="23"/>
      <c r="EB383" s="23"/>
      <c r="EC383" s="23"/>
      <c r="ED383" s="23"/>
      <c r="EE383" s="23"/>
      <c r="EF383" s="23"/>
      <c r="EG383" s="23"/>
      <c r="EH383" s="23"/>
      <c r="EI383" s="23"/>
      <c r="EJ383" s="23"/>
      <c r="EK383" s="23"/>
      <c r="EL383" s="23"/>
      <c r="EM383" s="23"/>
      <c r="EN383" s="23"/>
      <c r="EO383" s="23"/>
      <c r="EP383" s="23"/>
      <c r="EQ383" s="23"/>
      <c r="ER383" s="23"/>
      <c r="ES383" s="23"/>
      <c r="ET383" s="23"/>
      <c r="EU383" s="23"/>
      <c r="EV383" s="23"/>
      <c r="EW383" s="23"/>
      <c r="EX383" s="23"/>
      <c r="EY383" s="23"/>
      <c r="EZ383" s="23"/>
      <c r="FA383" s="23"/>
      <c r="FB383" s="23"/>
      <c r="FC383" s="23"/>
      <c r="FD383" s="23"/>
      <c r="FE383" s="23"/>
      <c r="FF383" s="23"/>
      <c r="FG383" s="23"/>
      <c r="FH383" s="23"/>
      <c r="FI383" s="23"/>
      <c r="FJ383" s="23"/>
      <c r="FK383" s="23"/>
      <c r="FL383" s="23"/>
      <c r="FM383" s="23"/>
      <c r="FN383" s="23"/>
      <c r="FO383" s="23"/>
      <c r="FP383" s="23"/>
      <c r="FQ383" s="23"/>
      <c r="FR383" s="23"/>
      <c r="FS383" s="23"/>
      <c r="FT383" s="23"/>
      <c r="FU383" s="23"/>
      <c r="FV383" s="23"/>
      <c r="FW383" s="23"/>
      <c r="FX383" s="23"/>
      <c r="FY383" s="23"/>
      <c r="FZ383" s="23"/>
      <c r="GA383" s="23"/>
      <c r="GB383" s="23"/>
      <c r="GC383" s="23"/>
      <c r="GD383" s="23"/>
      <c r="GE383" s="23"/>
      <c r="GF383" s="23"/>
      <c r="GG383" s="23"/>
      <c r="GH383" s="23"/>
      <c r="GI383" s="23"/>
      <c r="GJ383" s="23"/>
      <c r="GK383" s="23"/>
      <c r="GL383" s="23"/>
    </row>
    <row r="384" spans="1:194" ht="13">
      <c r="A384" s="23"/>
      <c r="B384" s="23"/>
      <c r="C384" s="23"/>
      <c r="D384" s="23"/>
      <c r="E384" s="23"/>
      <c r="F384" s="23"/>
      <c r="G384" s="23"/>
      <c r="H384" s="401"/>
      <c r="I384" s="401"/>
      <c r="J384" s="401"/>
      <c r="K384" s="401"/>
      <c r="L384" s="401"/>
      <c r="M384" s="438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  <c r="AL384" s="23"/>
      <c r="AM384" s="23"/>
      <c r="AN384" s="23"/>
      <c r="AO384" s="23"/>
      <c r="AP384" s="23"/>
      <c r="AQ384" s="23"/>
      <c r="AR384" s="23"/>
      <c r="AS384" s="23"/>
      <c r="AT384" s="23"/>
      <c r="AU384" s="23"/>
      <c r="AV384" s="23"/>
      <c r="AW384" s="23"/>
      <c r="AX384" s="23"/>
      <c r="AY384" s="23"/>
      <c r="AZ384" s="23"/>
      <c r="BA384" s="23"/>
      <c r="BB384" s="23"/>
      <c r="BC384" s="23"/>
      <c r="BD384" s="23"/>
      <c r="BE384" s="23"/>
      <c r="BF384" s="23"/>
      <c r="BG384" s="23"/>
      <c r="BH384" s="23"/>
      <c r="BI384" s="23"/>
      <c r="BJ384" s="23"/>
      <c r="BK384" s="23"/>
      <c r="BL384" s="23"/>
      <c r="BM384" s="23"/>
      <c r="BN384" s="23"/>
      <c r="BO384" s="23"/>
      <c r="BP384" s="23"/>
      <c r="BQ384" s="23"/>
      <c r="BR384" s="23"/>
      <c r="BS384" s="23"/>
      <c r="BT384" s="23"/>
      <c r="BU384" s="23"/>
      <c r="BV384" s="23"/>
      <c r="BW384" s="23"/>
      <c r="BX384" s="23"/>
      <c r="BY384" s="23"/>
      <c r="BZ384" s="23"/>
      <c r="CA384" s="23"/>
      <c r="CB384" s="23"/>
      <c r="CC384" s="23"/>
      <c r="CD384" s="23"/>
      <c r="CE384" s="23"/>
      <c r="CF384" s="23"/>
      <c r="CG384" s="23"/>
      <c r="CH384" s="23"/>
      <c r="CI384" s="23"/>
      <c r="CJ384" s="23"/>
      <c r="CK384" s="23"/>
      <c r="CL384" s="23"/>
      <c r="CM384" s="23"/>
      <c r="CN384" s="23"/>
      <c r="CO384" s="23"/>
      <c r="CP384" s="23"/>
      <c r="CQ384" s="23"/>
      <c r="CR384" s="23"/>
      <c r="CS384" s="23"/>
      <c r="CT384" s="23"/>
      <c r="CU384" s="23"/>
      <c r="CV384" s="23"/>
      <c r="CW384" s="23"/>
      <c r="CX384" s="23"/>
      <c r="CY384" s="23"/>
      <c r="CZ384" s="23"/>
      <c r="DA384" s="23"/>
      <c r="DB384" s="23"/>
      <c r="DC384" s="23"/>
      <c r="DD384" s="23"/>
      <c r="DE384" s="23"/>
      <c r="DF384" s="23"/>
      <c r="DG384" s="23"/>
      <c r="DH384" s="23"/>
      <c r="DI384" s="23"/>
      <c r="DJ384" s="23"/>
      <c r="DK384" s="23"/>
      <c r="DL384" s="23"/>
      <c r="DM384" s="23"/>
      <c r="DN384" s="23"/>
      <c r="DO384" s="23"/>
      <c r="DP384" s="23"/>
      <c r="DQ384" s="23"/>
      <c r="DR384" s="23"/>
      <c r="DS384" s="23"/>
      <c r="DT384" s="23"/>
      <c r="DU384" s="23"/>
      <c r="DV384" s="23"/>
      <c r="DW384" s="23"/>
      <c r="DX384" s="23"/>
      <c r="DY384" s="23"/>
      <c r="DZ384" s="23"/>
      <c r="EA384" s="23"/>
      <c r="EB384" s="23"/>
      <c r="EC384" s="23"/>
      <c r="ED384" s="23"/>
      <c r="EE384" s="23"/>
      <c r="EF384" s="23"/>
      <c r="EG384" s="23"/>
      <c r="EH384" s="23"/>
      <c r="EI384" s="23"/>
      <c r="EJ384" s="23"/>
      <c r="EK384" s="23"/>
      <c r="EL384" s="23"/>
      <c r="EM384" s="23"/>
      <c r="EN384" s="23"/>
      <c r="EO384" s="23"/>
      <c r="EP384" s="23"/>
      <c r="EQ384" s="23"/>
      <c r="ER384" s="23"/>
      <c r="ES384" s="23"/>
      <c r="ET384" s="23"/>
      <c r="EU384" s="23"/>
      <c r="EV384" s="23"/>
      <c r="EW384" s="23"/>
      <c r="EX384" s="23"/>
      <c r="EY384" s="23"/>
      <c r="EZ384" s="23"/>
      <c r="FA384" s="23"/>
      <c r="FB384" s="23"/>
      <c r="FC384" s="23"/>
      <c r="FD384" s="23"/>
      <c r="FE384" s="23"/>
      <c r="FF384" s="23"/>
      <c r="FG384" s="23"/>
      <c r="FH384" s="23"/>
      <c r="FI384" s="23"/>
      <c r="FJ384" s="23"/>
      <c r="FK384" s="23"/>
      <c r="FL384" s="23"/>
      <c r="FM384" s="23"/>
      <c r="FN384" s="23"/>
      <c r="FO384" s="23"/>
      <c r="FP384" s="23"/>
      <c r="FQ384" s="23"/>
      <c r="FR384" s="23"/>
      <c r="FS384" s="23"/>
      <c r="FT384" s="23"/>
      <c r="FU384" s="23"/>
      <c r="FV384" s="23"/>
      <c r="FW384" s="23"/>
      <c r="FX384" s="23"/>
      <c r="FY384" s="23"/>
      <c r="FZ384" s="23"/>
      <c r="GA384" s="23"/>
      <c r="GB384" s="23"/>
      <c r="GC384" s="23"/>
      <c r="GD384" s="23"/>
      <c r="GE384" s="23"/>
      <c r="GF384" s="23"/>
      <c r="GG384" s="23"/>
      <c r="GH384" s="23"/>
      <c r="GI384" s="23"/>
      <c r="GJ384" s="23"/>
      <c r="GK384" s="23"/>
      <c r="GL384" s="23"/>
    </row>
    <row r="385" spans="1:194" ht="13">
      <c r="A385" s="23"/>
      <c r="B385" s="23"/>
      <c r="C385" s="23"/>
      <c r="D385" s="23"/>
      <c r="E385" s="23"/>
      <c r="F385" s="23"/>
      <c r="G385" s="23"/>
      <c r="H385" s="401"/>
      <c r="I385" s="401"/>
      <c r="J385" s="401"/>
      <c r="K385" s="401"/>
      <c r="L385" s="401"/>
      <c r="M385" s="438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  <c r="AL385" s="23"/>
      <c r="AM385" s="23"/>
      <c r="AN385" s="23"/>
      <c r="AO385" s="23"/>
      <c r="AP385" s="23"/>
      <c r="AQ385" s="23"/>
      <c r="AR385" s="23"/>
      <c r="AS385" s="23"/>
      <c r="AT385" s="23"/>
      <c r="AU385" s="23"/>
      <c r="AV385" s="23"/>
      <c r="AW385" s="23"/>
      <c r="AX385" s="23"/>
      <c r="AY385" s="23"/>
      <c r="AZ385" s="23"/>
      <c r="BA385" s="23"/>
      <c r="BB385" s="23"/>
      <c r="BC385" s="23"/>
      <c r="BD385" s="23"/>
      <c r="BE385" s="23"/>
      <c r="BF385" s="23"/>
      <c r="BG385" s="23"/>
      <c r="BH385" s="23"/>
      <c r="BI385" s="23"/>
      <c r="BJ385" s="23"/>
      <c r="BK385" s="23"/>
      <c r="BL385" s="23"/>
      <c r="BM385" s="23"/>
      <c r="BN385" s="23"/>
      <c r="BO385" s="23"/>
      <c r="BP385" s="23"/>
      <c r="BQ385" s="23"/>
      <c r="BR385" s="23"/>
      <c r="BS385" s="23"/>
      <c r="BT385" s="23"/>
      <c r="BU385" s="23"/>
      <c r="BV385" s="23"/>
      <c r="BW385" s="23"/>
      <c r="BX385" s="23"/>
      <c r="BY385" s="23"/>
      <c r="BZ385" s="23"/>
      <c r="CA385" s="23"/>
      <c r="CB385" s="23"/>
      <c r="CC385" s="23"/>
      <c r="CD385" s="23"/>
      <c r="CE385" s="23"/>
      <c r="CF385" s="23"/>
      <c r="CG385" s="23"/>
      <c r="CH385" s="23"/>
      <c r="CI385" s="23"/>
      <c r="CJ385" s="23"/>
      <c r="CK385" s="23"/>
      <c r="CL385" s="23"/>
      <c r="CM385" s="23"/>
      <c r="CN385" s="23"/>
      <c r="CO385" s="23"/>
      <c r="CP385" s="23"/>
      <c r="CQ385" s="23"/>
      <c r="CR385" s="23"/>
      <c r="CS385" s="23"/>
      <c r="CT385" s="23"/>
      <c r="CU385" s="23"/>
      <c r="CV385" s="23"/>
      <c r="CW385" s="23"/>
      <c r="CX385" s="23"/>
      <c r="CY385" s="23"/>
      <c r="CZ385" s="23"/>
      <c r="DA385" s="23"/>
      <c r="DB385" s="23"/>
      <c r="DC385" s="23"/>
      <c r="DD385" s="23"/>
      <c r="DE385" s="23"/>
      <c r="DF385" s="23"/>
      <c r="DG385" s="23"/>
      <c r="DH385" s="23"/>
      <c r="DI385" s="23"/>
      <c r="DJ385" s="23"/>
      <c r="DK385" s="23"/>
      <c r="DL385" s="23"/>
      <c r="DM385" s="23"/>
      <c r="DN385" s="23"/>
      <c r="DO385" s="23"/>
      <c r="DP385" s="23"/>
      <c r="DQ385" s="23"/>
      <c r="DR385" s="23"/>
      <c r="DS385" s="23"/>
      <c r="DT385" s="23"/>
      <c r="DU385" s="23"/>
      <c r="DV385" s="23"/>
      <c r="DW385" s="23"/>
      <c r="DX385" s="23"/>
      <c r="DY385" s="23"/>
      <c r="DZ385" s="23"/>
      <c r="EA385" s="23"/>
      <c r="EB385" s="23"/>
      <c r="EC385" s="23"/>
      <c r="ED385" s="23"/>
      <c r="EE385" s="23"/>
      <c r="EF385" s="23"/>
      <c r="EG385" s="23"/>
      <c r="EH385" s="23"/>
      <c r="EI385" s="23"/>
      <c r="EJ385" s="23"/>
      <c r="EK385" s="23"/>
      <c r="EL385" s="23"/>
      <c r="EM385" s="23"/>
      <c r="EN385" s="23"/>
      <c r="EO385" s="23"/>
      <c r="EP385" s="23"/>
      <c r="EQ385" s="23"/>
      <c r="ER385" s="23"/>
      <c r="ES385" s="23"/>
      <c r="ET385" s="23"/>
      <c r="EU385" s="23"/>
      <c r="EV385" s="23"/>
      <c r="EW385" s="23"/>
      <c r="EX385" s="23"/>
      <c r="EY385" s="23"/>
      <c r="EZ385" s="23"/>
      <c r="FA385" s="23"/>
      <c r="FB385" s="23"/>
      <c r="FC385" s="23"/>
      <c r="FD385" s="23"/>
      <c r="FE385" s="23"/>
      <c r="FF385" s="23"/>
      <c r="FG385" s="23"/>
      <c r="FH385" s="23"/>
      <c r="FI385" s="23"/>
      <c r="FJ385" s="23"/>
      <c r="FK385" s="23"/>
      <c r="FL385" s="23"/>
      <c r="FM385" s="23"/>
      <c r="FN385" s="23"/>
      <c r="FO385" s="23"/>
      <c r="FP385" s="23"/>
      <c r="FQ385" s="23"/>
      <c r="FR385" s="23"/>
      <c r="FS385" s="23"/>
      <c r="FT385" s="23"/>
      <c r="FU385" s="23"/>
      <c r="FV385" s="23"/>
      <c r="FW385" s="23"/>
      <c r="FX385" s="23"/>
      <c r="FY385" s="23"/>
      <c r="FZ385" s="23"/>
      <c r="GA385" s="23"/>
      <c r="GB385" s="23"/>
      <c r="GC385" s="23"/>
      <c r="GD385" s="23"/>
      <c r="GE385" s="23"/>
      <c r="GF385" s="23"/>
      <c r="GG385" s="23"/>
      <c r="GH385" s="23"/>
      <c r="GI385" s="23"/>
      <c r="GJ385" s="23"/>
      <c r="GK385" s="23"/>
      <c r="GL385" s="23"/>
    </row>
    <row r="386" spans="1:194" ht="13">
      <c r="A386" s="23"/>
      <c r="B386" s="23"/>
      <c r="C386" s="23"/>
      <c r="D386" s="23"/>
      <c r="E386" s="23"/>
      <c r="F386" s="23"/>
      <c r="G386" s="23"/>
      <c r="H386" s="401"/>
      <c r="I386" s="401"/>
      <c r="J386" s="401"/>
      <c r="K386" s="401"/>
      <c r="L386" s="401"/>
      <c r="M386" s="438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  <c r="AL386" s="23"/>
      <c r="AM386" s="23"/>
      <c r="AN386" s="23"/>
      <c r="AO386" s="23"/>
      <c r="AP386" s="23"/>
      <c r="AQ386" s="23"/>
      <c r="AR386" s="23"/>
      <c r="AS386" s="23"/>
      <c r="AT386" s="23"/>
      <c r="AU386" s="23"/>
      <c r="AV386" s="23"/>
      <c r="AW386" s="23"/>
      <c r="AX386" s="23"/>
      <c r="AY386" s="23"/>
      <c r="AZ386" s="23"/>
      <c r="BA386" s="23"/>
      <c r="BB386" s="23"/>
      <c r="BC386" s="23"/>
      <c r="BD386" s="23"/>
      <c r="BE386" s="23"/>
      <c r="BF386" s="23"/>
      <c r="BG386" s="23"/>
      <c r="BH386" s="23"/>
      <c r="BI386" s="23"/>
      <c r="BJ386" s="23"/>
      <c r="BK386" s="23"/>
      <c r="BL386" s="23"/>
      <c r="BM386" s="23"/>
      <c r="BN386" s="23"/>
      <c r="BO386" s="23"/>
      <c r="BP386" s="23"/>
      <c r="BQ386" s="23"/>
      <c r="BR386" s="23"/>
      <c r="BS386" s="23"/>
      <c r="BT386" s="23"/>
      <c r="BU386" s="23"/>
      <c r="BV386" s="23"/>
      <c r="BW386" s="23"/>
      <c r="BX386" s="23"/>
      <c r="BY386" s="23"/>
      <c r="BZ386" s="23"/>
      <c r="CA386" s="23"/>
      <c r="CB386" s="23"/>
      <c r="CC386" s="23"/>
      <c r="CD386" s="23"/>
      <c r="CE386" s="23"/>
      <c r="CF386" s="23"/>
      <c r="CG386" s="23"/>
      <c r="CH386" s="23"/>
      <c r="CI386" s="23"/>
      <c r="CJ386" s="23"/>
      <c r="CK386" s="23"/>
      <c r="CL386" s="23"/>
      <c r="CM386" s="23"/>
      <c r="CN386" s="23"/>
      <c r="CO386" s="23"/>
      <c r="CP386" s="23"/>
      <c r="CQ386" s="23"/>
      <c r="CR386" s="23"/>
      <c r="CS386" s="23"/>
      <c r="CT386" s="23"/>
      <c r="CU386" s="23"/>
      <c r="CV386" s="23"/>
      <c r="CW386" s="23"/>
      <c r="CX386" s="23"/>
      <c r="CY386" s="23"/>
      <c r="CZ386" s="23"/>
      <c r="DA386" s="23"/>
      <c r="DB386" s="23"/>
      <c r="DC386" s="23"/>
      <c r="DD386" s="23"/>
      <c r="DE386" s="23"/>
      <c r="DF386" s="23"/>
      <c r="DG386" s="23"/>
      <c r="DH386" s="23"/>
      <c r="DI386" s="23"/>
      <c r="DJ386" s="23"/>
      <c r="DK386" s="23"/>
      <c r="DL386" s="23"/>
      <c r="DM386" s="23"/>
      <c r="DN386" s="23"/>
      <c r="DO386" s="23"/>
      <c r="DP386" s="23"/>
      <c r="DQ386" s="23"/>
      <c r="DR386" s="23"/>
      <c r="DS386" s="23"/>
      <c r="DT386" s="23"/>
      <c r="DU386" s="23"/>
      <c r="DV386" s="23"/>
      <c r="DW386" s="23"/>
      <c r="DX386" s="23"/>
      <c r="DY386" s="23"/>
      <c r="DZ386" s="23"/>
      <c r="EA386" s="23"/>
      <c r="EB386" s="23"/>
      <c r="EC386" s="23"/>
      <c r="ED386" s="23"/>
      <c r="EE386" s="23"/>
      <c r="EF386" s="23"/>
      <c r="EG386" s="23"/>
      <c r="EH386" s="23"/>
      <c r="EI386" s="23"/>
      <c r="EJ386" s="23"/>
      <c r="EK386" s="23"/>
      <c r="EL386" s="23"/>
      <c r="EM386" s="23"/>
      <c r="EN386" s="23"/>
      <c r="EO386" s="23"/>
      <c r="EP386" s="23"/>
      <c r="EQ386" s="23"/>
      <c r="ER386" s="23"/>
      <c r="ES386" s="23"/>
      <c r="ET386" s="23"/>
      <c r="EU386" s="23"/>
      <c r="EV386" s="23"/>
      <c r="EW386" s="23"/>
      <c r="EX386" s="23"/>
      <c r="EY386" s="23"/>
      <c r="EZ386" s="23"/>
      <c r="FA386" s="23"/>
      <c r="FB386" s="23"/>
      <c r="FC386" s="23"/>
      <c r="FD386" s="23"/>
      <c r="FE386" s="23"/>
      <c r="FF386" s="23"/>
      <c r="FG386" s="23"/>
      <c r="FH386" s="23"/>
      <c r="FI386" s="23"/>
      <c r="FJ386" s="23"/>
      <c r="FK386" s="23"/>
      <c r="FL386" s="23"/>
      <c r="FM386" s="23"/>
      <c r="FN386" s="23"/>
      <c r="FO386" s="23"/>
      <c r="FP386" s="23"/>
      <c r="FQ386" s="23"/>
      <c r="FR386" s="23"/>
      <c r="FS386" s="23"/>
      <c r="FT386" s="23"/>
      <c r="FU386" s="23"/>
      <c r="FV386" s="23"/>
      <c r="FW386" s="23"/>
      <c r="FX386" s="23"/>
      <c r="FY386" s="23"/>
      <c r="FZ386" s="23"/>
      <c r="GA386" s="23"/>
      <c r="GB386" s="23"/>
      <c r="GC386" s="23"/>
      <c r="GD386" s="23"/>
      <c r="GE386" s="23"/>
      <c r="GF386" s="23"/>
      <c r="GG386" s="23"/>
      <c r="GH386" s="23"/>
      <c r="GI386" s="23"/>
      <c r="GJ386" s="23"/>
      <c r="GK386" s="23"/>
      <c r="GL386" s="23"/>
    </row>
    <row r="387" spans="1:194" ht="13">
      <c r="A387" s="23"/>
      <c r="B387" s="23"/>
      <c r="C387" s="23"/>
      <c r="D387" s="23"/>
      <c r="E387" s="23"/>
      <c r="F387" s="23"/>
      <c r="G387" s="23"/>
      <c r="H387" s="401"/>
      <c r="I387" s="401"/>
      <c r="J387" s="401"/>
      <c r="K387" s="401"/>
      <c r="L387" s="401"/>
      <c r="M387" s="438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  <c r="AL387" s="23"/>
      <c r="AM387" s="23"/>
      <c r="AN387" s="23"/>
      <c r="AO387" s="23"/>
      <c r="AP387" s="23"/>
      <c r="AQ387" s="23"/>
      <c r="AR387" s="23"/>
      <c r="AS387" s="23"/>
      <c r="AT387" s="23"/>
      <c r="AU387" s="23"/>
      <c r="AV387" s="23"/>
      <c r="AW387" s="23"/>
      <c r="AX387" s="23"/>
      <c r="AY387" s="23"/>
      <c r="AZ387" s="23"/>
      <c r="BA387" s="23"/>
      <c r="BB387" s="23"/>
      <c r="BC387" s="23"/>
      <c r="BD387" s="23"/>
      <c r="BE387" s="23"/>
      <c r="BF387" s="23"/>
      <c r="BG387" s="23"/>
      <c r="BH387" s="23"/>
      <c r="BI387" s="23"/>
      <c r="BJ387" s="23"/>
      <c r="BK387" s="23"/>
      <c r="BL387" s="23"/>
      <c r="BM387" s="23"/>
      <c r="BN387" s="23"/>
      <c r="BO387" s="23"/>
      <c r="BP387" s="23"/>
      <c r="BQ387" s="23"/>
      <c r="BR387" s="23"/>
      <c r="BS387" s="23"/>
      <c r="BT387" s="23"/>
      <c r="BU387" s="23"/>
      <c r="BV387" s="23"/>
      <c r="BW387" s="23"/>
      <c r="BX387" s="23"/>
      <c r="BY387" s="23"/>
      <c r="BZ387" s="23"/>
      <c r="CA387" s="23"/>
      <c r="CB387" s="23"/>
      <c r="CC387" s="23"/>
      <c r="CD387" s="23"/>
      <c r="CE387" s="23"/>
      <c r="CF387" s="23"/>
      <c r="CG387" s="23"/>
      <c r="CH387" s="23"/>
      <c r="CI387" s="23"/>
      <c r="CJ387" s="23"/>
      <c r="CK387" s="23"/>
      <c r="CL387" s="23"/>
      <c r="CM387" s="23"/>
      <c r="CN387" s="23"/>
      <c r="CO387" s="23"/>
      <c r="CP387" s="23"/>
      <c r="CQ387" s="23"/>
      <c r="CR387" s="23"/>
      <c r="CS387" s="23"/>
      <c r="CT387" s="23"/>
      <c r="CU387" s="23"/>
      <c r="CV387" s="23"/>
      <c r="CW387" s="23"/>
      <c r="CX387" s="23"/>
      <c r="CY387" s="23"/>
      <c r="CZ387" s="23"/>
      <c r="DA387" s="23"/>
      <c r="DB387" s="23"/>
      <c r="DC387" s="23"/>
      <c r="DD387" s="23"/>
      <c r="DE387" s="23"/>
      <c r="DF387" s="23"/>
      <c r="DG387" s="23"/>
      <c r="DH387" s="23"/>
      <c r="DI387" s="23"/>
      <c r="DJ387" s="23"/>
      <c r="DK387" s="23"/>
      <c r="DL387" s="23"/>
      <c r="DM387" s="23"/>
      <c r="DN387" s="23"/>
      <c r="DO387" s="23"/>
      <c r="DP387" s="23"/>
      <c r="DQ387" s="23"/>
      <c r="DR387" s="23"/>
      <c r="DS387" s="23"/>
      <c r="DT387" s="23"/>
      <c r="DU387" s="23"/>
      <c r="DV387" s="23"/>
      <c r="DW387" s="23"/>
      <c r="DX387" s="23"/>
      <c r="DY387" s="23"/>
      <c r="DZ387" s="23"/>
      <c r="EA387" s="23"/>
      <c r="EB387" s="23"/>
      <c r="EC387" s="23"/>
      <c r="ED387" s="23"/>
      <c r="EE387" s="23"/>
      <c r="EF387" s="23"/>
      <c r="EG387" s="23"/>
      <c r="EH387" s="23"/>
      <c r="EI387" s="23"/>
      <c r="EJ387" s="23"/>
      <c r="EK387" s="23"/>
      <c r="EL387" s="23"/>
      <c r="EM387" s="23"/>
      <c r="EN387" s="23"/>
      <c r="EO387" s="23"/>
      <c r="EP387" s="23"/>
      <c r="EQ387" s="23"/>
      <c r="ER387" s="23"/>
      <c r="ES387" s="23"/>
      <c r="ET387" s="23"/>
      <c r="EU387" s="23"/>
      <c r="EV387" s="23"/>
      <c r="EW387" s="23"/>
      <c r="EX387" s="23"/>
      <c r="EY387" s="23"/>
      <c r="EZ387" s="23"/>
      <c r="FA387" s="23"/>
      <c r="FB387" s="23"/>
      <c r="FC387" s="23"/>
      <c r="FD387" s="23"/>
      <c r="FE387" s="23"/>
      <c r="FF387" s="23"/>
      <c r="FG387" s="23"/>
      <c r="FH387" s="23"/>
      <c r="FI387" s="23"/>
      <c r="FJ387" s="23"/>
      <c r="FK387" s="23"/>
      <c r="FL387" s="23"/>
      <c r="FM387" s="23"/>
      <c r="FN387" s="23"/>
      <c r="FO387" s="23"/>
      <c r="FP387" s="23"/>
      <c r="FQ387" s="23"/>
      <c r="FR387" s="23"/>
      <c r="FS387" s="23"/>
      <c r="FT387" s="23"/>
      <c r="FU387" s="23"/>
      <c r="FV387" s="23"/>
      <c r="FW387" s="23"/>
      <c r="FX387" s="23"/>
      <c r="FY387" s="23"/>
      <c r="FZ387" s="23"/>
      <c r="GA387" s="23"/>
      <c r="GB387" s="23"/>
      <c r="GC387" s="23"/>
      <c r="GD387" s="23"/>
      <c r="GE387" s="23"/>
      <c r="GF387" s="23"/>
      <c r="GG387" s="23"/>
      <c r="GH387" s="23"/>
      <c r="GI387" s="23"/>
      <c r="GJ387" s="23"/>
      <c r="GK387" s="23"/>
      <c r="GL387" s="23"/>
    </row>
    <row r="388" spans="1:194" ht="13">
      <c r="A388" s="23"/>
      <c r="B388" s="23"/>
      <c r="C388" s="23"/>
      <c r="D388" s="23"/>
      <c r="E388" s="23"/>
      <c r="F388" s="23"/>
      <c r="G388" s="23"/>
      <c r="H388" s="401"/>
      <c r="I388" s="401"/>
      <c r="J388" s="401"/>
      <c r="K388" s="401"/>
      <c r="L388" s="401"/>
      <c r="M388" s="438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  <c r="AV388" s="23"/>
      <c r="AW388" s="23"/>
      <c r="AX388" s="23"/>
      <c r="AY388" s="23"/>
      <c r="AZ388" s="23"/>
      <c r="BA388" s="23"/>
      <c r="BB388" s="23"/>
      <c r="BC388" s="23"/>
      <c r="BD388" s="23"/>
      <c r="BE388" s="23"/>
      <c r="BF388" s="23"/>
      <c r="BG388" s="23"/>
      <c r="BH388" s="23"/>
      <c r="BI388" s="23"/>
      <c r="BJ388" s="23"/>
      <c r="BK388" s="23"/>
      <c r="BL388" s="23"/>
      <c r="BM388" s="23"/>
      <c r="BN388" s="23"/>
      <c r="BO388" s="23"/>
      <c r="BP388" s="23"/>
      <c r="BQ388" s="23"/>
      <c r="BR388" s="23"/>
      <c r="BS388" s="23"/>
      <c r="BT388" s="23"/>
      <c r="BU388" s="23"/>
      <c r="BV388" s="23"/>
      <c r="BW388" s="23"/>
      <c r="BX388" s="23"/>
      <c r="BY388" s="23"/>
      <c r="BZ388" s="23"/>
      <c r="CA388" s="23"/>
      <c r="CB388" s="23"/>
      <c r="CC388" s="23"/>
      <c r="CD388" s="23"/>
      <c r="CE388" s="23"/>
      <c r="CF388" s="23"/>
      <c r="CG388" s="23"/>
      <c r="CH388" s="23"/>
      <c r="CI388" s="23"/>
      <c r="CJ388" s="23"/>
      <c r="CK388" s="23"/>
      <c r="CL388" s="23"/>
      <c r="CM388" s="23"/>
      <c r="CN388" s="23"/>
      <c r="CO388" s="23"/>
      <c r="CP388" s="23"/>
      <c r="CQ388" s="23"/>
      <c r="CR388" s="23"/>
      <c r="CS388" s="23"/>
      <c r="CT388" s="23"/>
      <c r="CU388" s="23"/>
      <c r="CV388" s="23"/>
      <c r="CW388" s="23"/>
      <c r="CX388" s="23"/>
      <c r="CY388" s="23"/>
      <c r="CZ388" s="23"/>
      <c r="DA388" s="23"/>
      <c r="DB388" s="23"/>
      <c r="DC388" s="23"/>
      <c r="DD388" s="23"/>
      <c r="DE388" s="23"/>
      <c r="DF388" s="23"/>
      <c r="DG388" s="23"/>
      <c r="DH388" s="23"/>
      <c r="DI388" s="23"/>
      <c r="DJ388" s="23"/>
      <c r="DK388" s="23"/>
      <c r="DL388" s="23"/>
      <c r="DM388" s="23"/>
      <c r="DN388" s="23"/>
      <c r="DO388" s="23"/>
      <c r="DP388" s="23"/>
      <c r="DQ388" s="23"/>
      <c r="DR388" s="23"/>
      <c r="DS388" s="23"/>
      <c r="DT388" s="23"/>
      <c r="DU388" s="23"/>
      <c r="DV388" s="23"/>
      <c r="DW388" s="23"/>
      <c r="DX388" s="23"/>
      <c r="DY388" s="23"/>
      <c r="DZ388" s="23"/>
      <c r="EA388" s="23"/>
      <c r="EB388" s="23"/>
      <c r="EC388" s="23"/>
      <c r="ED388" s="23"/>
      <c r="EE388" s="23"/>
      <c r="EF388" s="23"/>
      <c r="EG388" s="23"/>
      <c r="EH388" s="23"/>
      <c r="EI388" s="23"/>
      <c r="EJ388" s="23"/>
      <c r="EK388" s="23"/>
      <c r="EL388" s="23"/>
      <c r="EM388" s="23"/>
      <c r="EN388" s="23"/>
      <c r="EO388" s="23"/>
      <c r="EP388" s="23"/>
      <c r="EQ388" s="23"/>
      <c r="ER388" s="23"/>
      <c r="ES388" s="23"/>
      <c r="ET388" s="23"/>
      <c r="EU388" s="23"/>
      <c r="EV388" s="23"/>
      <c r="EW388" s="23"/>
      <c r="EX388" s="23"/>
      <c r="EY388" s="23"/>
      <c r="EZ388" s="23"/>
      <c r="FA388" s="23"/>
      <c r="FB388" s="23"/>
      <c r="FC388" s="23"/>
      <c r="FD388" s="23"/>
      <c r="FE388" s="23"/>
      <c r="FF388" s="23"/>
      <c r="FG388" s="23"/>
      <c r="FH388" s="23"/>
      <c r="FI388" s="23"/>
      <c r="FJ388" s="23"/>
      <c r="FK388" s="23"/>
      <c r="FL388" s="23"/>
      <c r="FM388" s="23"/>
      <c r="FN388" s="23"/>
      <c r="FO388" s="23"/>
      <c r="FP388" s="23"/>
      <c r="FQ388" s="23"/>
      <c r="FR388" s="23"/>
      <c r="FS388" s="23"/>
      <c r="FT388" s="23"/>
      <c r="FU388" s="23"/>
      <c r="FV388" s="23"/>
      <c r="FW388" s="23"/>
      <c r="FX388" s="23"/>
      <c r="FY388" s="23"/>
      <c r="FZ388" s="23"/>
      <c r="GA388" s="23"/>
      <c r="GB388" s="23"/>
      <c r="GC388" s="23"/>
      <c r="GD388" s="23"/>
      <c r="GE388" s="23"/>
      <c r="GF388" s="23"/>
      <c r="GG388" s="23"/>
      <c r="GH388" s="23"/>
      <c r="GI388" s="23"/>
      <c r="GJ388" s="23"/>
      <c r="GK388" s="23"/>
      <c r="GL388" s="23"/>
    </row>
    <row r="389" spans="1:194" ht="13">
      <c r="A389" s="23"/>
      <c r="B389" s="23"/>
      <c r="C389" s="23"/>
      <c r="D389" s="23"/>
      <c r="E389" s="23"/>
      <c r="F389" s="23"/>
      <c r="G389" s="23"/>
      <c r="H389" s="401"/>
      <c r="I389" s="401"/>
      <c r="J389" s="401"/>
      <c r="K389" s="401"/>
      <c r="L389" s="401"/>
      <c r="M389" s="438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  <c r="AL389" s="23"/>
      <c r="AM389" s="23"/>
      <c r="AN389" s="23"/>
      <c r="AO389" s="23"/>
      <c r="AP389" s="23"/>
      <c r="AQ389" s="23"/>
      <c r="AR389" s="23"/>
      <c r="AS389" s="23"/>
      <c r="AT389" s="23"/>
      <c r="AU389" s="23"/>
      <c r="AV389" s="23"/>
      <c r="AW389" s="23"/>
      <c r="AX389" s="23"/>
      <c r="AY389" s="23"/>
      <c r="AZ389" s="23"/>
      <c r="BA389" s="23"/>
      <c r="BB389" s="23"/>
      <c r="BC389" s="23"/>
      <c r="BD389" s="23"/>
      <c r="BE389" s="23"/>
      <c r="BF389" s="23"/>
      <c r="BG389" s="23"/>
      <c r="BH389" s="23"/>
      <c r="BI389" s="23"/>
      <c r="BJ389" s="23"/>
      <c r="BK389" s="23"/>
      <c r="BL389" s="23"/>
      <c r="BM389" s="23"/>
      <c r="BN389" s="23"/>
      <c r="BO389" s="23"/>
      <c r="BP389" s="23"/>
      <c r="BQ389" s="23"/>
      <c r="BR389" s="23"/>
      <c r="BS389" s="23"/>
      <c r="BT389" s="23"/>
      <c r="BU389" s="23"/>
      <c r="BV389" s="23"/>
      <c r="BW389" s="23"/>
      <c r="BX389" s="23"/>
      <c r="BY389" s="23"/>
      <c r="BZ389" s="23"/>
      <c r="CA389" s="23"/>
      <c r="CB389" s="23"/>
      <c r="CC389" s="23"/>
      <c r="CD389" s="23"/>
      <c r="CE389" s="23"/>
      <c r="CF389" s="23"/>
      <c r="CG389" s="23"/>
      <c r="CH389" s="23"/>
      <c r="CI389" s="23"/>
      <c r="CJ389" s="23"/>
      <c r="CK389" s="23"/>
      <c r="CL389" s="23"/>
      <c r="CM389" s="23"/>
      <c r="CN389" s="23"/>
      <c r="CO389" s="23"/>
      <c r="CP389" s="23"/>
      <c r="CQ389" s="23"/>
      <c r="CR389" s="23"/>
      <c r="CS389" s="23"/>
      <c r="CT389" s="23"/>
      <c r="CU389" s="23"/>
      <c r="CV389" s="23"/>
      <c r="CW389" s="23"/>
      <c r="CX389" s="23"/>
      <c r="CY389" s="23"/>
      <c r="CZ389" s="23"/>
      <c r="DA389" s="23"/>
      <c r="DB389" s="23"/>
      <c r="DC389" s="23"/>
      <c r="DD389" s="23"/>
      <c r="DE389" s="23"/>
      <c r="DF389" s="23"/>
      <c r="DG389" s="23"/>
      <c r="DH389" s="23"/>
      <c r="DI389" s="23"/>
      <c r="DJ389" s="23"/>
      <c r="DK389" s="23"/>
      <c r="DL389" s="23"/>
      <c r="DM389" s="23"/>
      <c r="DN389" s="23"/>
      <c r="DO389" s="23"/>
      <c r="DP389" s="23"/>
      <c r="DQ389" s="23"/>
      <c r="DR389" s="23"/>
      <c r="DS389" s="23"/>
      <c r="DT389" s="23"/>
      <c r="DU389" s="23"/>
      <c r="DV389" s="23"/>
      <c r="DW389" s="23"/>
      <c r="DX389" s="23"/>
      <c r="DY389" s="23"/>
      <c r="DZ389" s="23"/>
      <c r="EA389" s="23"/>
      <c r="EB389" s="23"/>
      <c r="EC389" s="23"/>
      <c r="ED389" s="23"/>
      <c r="EE389" s="23"/>
      <c r="EF389" s="23"/>
      <c r="EG389" s="23"/>
      <c r="EH389" s="23"/>
      <c r="EI389" s="23"/>
      <c r="EJ389" s="23"/>
      <c r="EK389" s="23"/>
      <c r="EL389" s="23"/>
      <c r="EM389" s="23"/>
      <c r="EN389" s="23"/>
      <c r="EO389" s="23"/>
      <c r="EP389" s="23"/>
      <c r="EQ389" s="23"/>
      <c r="ER389" s="23"/>
      <c r="ES389" s="23"/>
      <c r="ET389" s="23"/>
      <c r="EU389" s="23"/>
      <c r="EV389" s="23"/>
      <c r="EW389" s="23"/>
      <c r="EX389" s="23"/>
      <c r="EY389" s="23"/>
      <c r="EZ389" s="23"/>
      <c r="FA389" s="23"/>
      <c r="FB389" s="23"/>
      <c r="FC389" s="23"/>
      <c r="FD389" s="23"/>
      <c r="FE389" s="23"/>
      <c r="FF389" s="23"/>
      <c r="FG389" s="23"/>
      <c r="FH389" s="23"/>
      <c r="FI389" s="23"/>
      <c r="FJ389" s="23"/>
      <c r="FK389" s="23"/>
      <c r="FL389" s="23"/>
      <c r="FM389" s="23"/>
      <c r="FN389" s="23"/>
      <c r="FO389" s="23"/>
      <c r="FP389" s="23"/>
      <c r="FQ389" s="23"/>
      <c r="FR389" s="23"/>
      <c r="FS389" s="23"/>
      <c r="FT389" s="23"/>
      <c r="FU389" s="23"/>
      <c r="FV389" s="23"/>
      <c r="FW389" s="23"/>
      <c r="FX389" s="23"/>
      <c r="FY389" s="23"/>
      <c r="FZ389" s="23"/>
      <c r="GA389" s="23"/>
      <c r="GB389" s="23"/>
      <c r="GC389" s="23"/>
      <c r="GD389" s="23"/>
      <c r="GE389" s="23"/>
      <c r="GF389" s="23"/>
      <c r="GG389" s="23"/>
      <c r="GH389" s="23"/>
      <c r="GI389" s="23"/>
      <c r="GJ389" s="23"/>
      <c r="GK389" s="23"/>
      <c r="GL389" s="23"/>
    </row>
    <row r="390" spans="1:194" ht="13">
      <c r="A390" s="23"/>
      <c r="B390" s="23"/>
      <c r="C390" s="23"/>
      <c r="D390" s="23"/>
      <c r="E390" s="23"/>
      <c r="F390" s="23"/>
      <c r="G390" s="23"/>
      <c r="H390" s="401"/>
      <c r="I390" s="401"/>
      <c r="J390" s="401"/>
      <c r="K390" s="401"/>
      <c r="L390" s="401"/>
      <c r="M390" s="438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  <c r="AL390" s="23"/>
      <c r="AM390" s="23"/>
      <c r="AN390" s="23"/>
      <c r="AO390" s="23"/>
      <c r="AP390" s="23"/>
      <c r="AQ390" s="23"/>
      <c r="AR390" s="23"/>
      <c r="AS390" s="23"/>
      <c r="AT390" s="23"/>
      <c r="AU390" s="23"/>
      <c r="AV390" s="23"/>
      <c r="AW390" s="23"/>
      <c r="AX390" s="23"/>
      <c r="AY390" s="23"/>
      <c r="AZ390" s="23"/>
      <c r="BA390" s="23"/>
      <c r="BB390" s="23"/>
      <c r="BC390" s="23"/>
      <c r="BD390" s="23"/>
      <c r="BE390" s="23"/>
      <c r="BF390" s="23"/>
      <c r="BG390" s="23"/>
      <c r="BH390" s="23"/>
      <c r="BI390" s="23"/>
      <c r="BJ390" s="23"/>
      <c r="BK390" s="23"/>
      <c r="BL390" s="23"/>
      <c r="BM390" s="23"/>
      <c r="BN390" s="23"/>
      <c r="BO390" s="23"/>
      <c r="BP390" s="23"/>
      <c r="BQ390" s="23"/>
      <c r="BR390" s="23"/>
      <c r="BS390" s="23"/>
      <c r="BT390" s="23"/>
      <c r="BU390" s="23"/>
      <c r="BV390" s="23"/>
      <c r="BW390" s="23"/>
      <c r="BX390" s="23"/>
      <c r="BY390" s="23"/>
      <c r="BZ390" s="23"/>
      <c r="CA390" s="23"/>
      <c r="CB390" s="23"/>
      <c r="CC390" s="23"/>
      <c r="CD390" s="23"/>
      <c r="CE390" s="23"/>
      <c r="CF390" s="23"/>
      <c r="CG390" s="23"/>
      <c r="CH390" s="23"/>
      <c r="CI390" s="23"/>
      <c r="CJ390" s="23"/>
      <c r="CK390" s="23"/>
      <c r="CL390" s="23"/>
      <c r="CM390" s="23"/>
      <c r="CN390" s="23"/>
      <c r="CO390" s="23"/>
      <c r="CP390" s="23"/>
      <c r="CQ390" s="23"/>
      <c r="CR390" s="23"/>
      <c r="CS390" s="23"/>
      <c r="CT390" s="23"/>
      <c r="CU390" s="23"/>
      <c r="CV390" s="23"/>
      <c r="CW390" s="23"/>
      <c r="CX390" s="23"/>
      <c r="CY390" s="23"/>
      <c r="CZ390" s="23"/>
      <c r="DA390" s="23"/>
      <c r="DB390" s="23"/>
      <c r="DC390" s="23"/>
      <c r="DD390" s="23"/>
      <c r="DE390" s="23"/>
      <c r="DF390" s="23"/>
      <c r="DG390" s="23"/>
      <c r="DH390" s="23"/>
      <c r="DI390" s="23"/>
      <c r="DJ390" s="23"/>
      <c r="DK390" s="23"/>
      <c r="DL390" s="23"/>
      <c r="DM390" s="23"/>
      <c r="DN390" s="23"/>
      <c r="DO390" s="23"/>
      <c r="DP390" s="23"/>
      <c r="DQ390" s="23"/>
      <c r="DR390" s="23"/>
      <c r="DS390" s="23"/>
      <c r="DT390" s="23"/>
      <c r="DU390" s="23"/>
      <c r="DV390" s="23"/>
      <c r="DW390" s="23"/>
      <c r="DX390" s="23"/>
      <c r="DY390" s="23"/>
      <c r="DZ390" s="23"/>
      <c r="EA390" s="23"/>
      <c r="EB390" s="23"/>
      <c r="EC390" s="23"/>
      <c r="ED390" s="23"/>
      <c r="EE390" s="23"/>
      <c r="EF390" s="23"/>
      <c r="EG390" s="23"/>
      <c r="EH390" s="23"/>
      <c r="EI390" s="23"/>
      <c r="EJ390" s="23"/>
      <c r="EK390" s="23"/>
      <c r="EL390" s="23"/>
      <c r="EM390" s="23"/>
      <c r="EN390" s="23"/>
      <c r="EO390" s="23"/>
      <c r="EP390" s="23"/>
      <c r="EQ390" s="23"/>
      <c r="ER390" s="23"/>
      <c r="ES390" s="23"/>
      <c r="ET390" s="23"/>
      <c r="EU390" s="23"/>
      <c r="EV390" s="23"/>
      <c r="EW390" s="23"/>
      <c r="EX390" s="23"/>
      <c r="EY390" s="23"/>
      <c r="EZ390" s="23"/>
      <c r="FA390" s="23"/>
      <c r="FB390" s="23"/>
      <c r="FC390" s="23"/>
      <c r="FD390" s="23"/>
      <c r="FE390" s="23"/>
      <c r="FF390" s="23"/>
      <c r="FG390" s="23"/>
      <c r="FH390" s="23"/>
      <c r="FI390" s="23"/>
      <c r="FJ390" s="23"/>
      <c r="FK390" s="23"/>
      <c r="FL390" s="23"/>
      <c r="FM390" s="23"/>
      <c r="FN390" s="23"/>
      <c r="FO390" s="23"/>
      <c r="FP390" s="23"/>
      <c r="FQ390" s="23"/>
      <c r="FR390" s="23"/>
      <c r="FS390" s="23"/>
      <c r="FT390" s="23"/>
      <c r="FU390" s="23"/>
      <c r="FV390" s="23"/>
      <c r="FW390" s="23"/>
      <c r="FX390" s="23"/>
      <c r="FY390" s="23"/>
      <c r="FZ390" s="23"/>
      <c r="GA390" s="23"/>
      <c r="GB390" s="23"/>
      <c r="GC390" s="23"/>
      <c r="GD390" s="23"/>
      <c r="GE390" s="23"/>
      <c r="GF390" s="23"/>
      <c r="GG390" s="23"/>
      <c r="GH390" s="23"/>
      <c r="GI390" s="23"/>
      <c r="GJ390" s="23"/>
      <c r="GK390" s="23"/>
      <c r="GL390" s="23"/>
    </row>
    <row r="391" spans="1:194" ht="13">
      <c r="A391" s="23"/>
      <c r="B391" s="23"/>
      <c r="C391" s="23"/>
      <c r="D391" s="23"/>
      <c r="E391" s="23"/>
      <c r="F391" s="23"/>
      <c r="G391" s="23"/>
      <c r="H391" s="401"/>
      <c r="I391" s="401"/>
      <c r="J391" s="401"/>
      <c r="K391" s="401"/>
      <c r="L391" s="401"/>
      <c r="M391" s="438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  <c r="AL391" s="23"/>
      <c r="AM391" s="23"/>
      <c r="AN391" s="23"/>
      <c r="AO391" s="23"/>
      <c r="AP391" s="23"/>
      <c r="AQ391" s="23"/>
      <c r="AR391" s="23"/>
      <c r="AS391" s="23"/>
      <c r="AT391" s="23"/>
      <c r="AU391" s="23"/>
      <c r="AV391" s="23"/>
      <c r="AW391" s="23"/>
      <c r="AX391" s="23"/>
      <c r="AY391" s="23"/>
      <c r="AZ391" s="23"/>
      <c r="BA391" s="23"/>
      <c r="BB391" s="23"/>
      <c r="BC391" s="23"/>
      <c r="BD391" s="23"/>
      <c r="BE391" s="23"/>
      <c r="BF391" s="23"/>
      <c r="BG391" s="23"/>
      <c r="BH391" s="23"/>
      <c r="BI391" s="23"/>
      <c r="BJ391" s="23"/>
      <c r="BK391" s="23"/>
      <c r="BL391" s="23"/>
      <c r="BM391" s="23"/>
      <c r="BN391" s="23"/>
      <c r="BO391" s="23"/>
      <c r="BP391" s="23"/>
      <c r="BQ391" s="23"/>
      <c r="BR391" s="23"/>
      <c r="BS391" s="23"/>
      <c r="BT391" s="23"/>
      <c r="BU391" s="23"/>
      <c r="BV391" s="23"/>
      <c r="BW391" s="23"/>
      <c r="BX391" s="23"/>
      <c r="BY391" s="23"/>
      <c r="BZ391" s="23"/>
      <c r="CA391" s="23"/>
      <c r="CB391" s="23"/>
      <c r="CC391" s="23"/>
      <c r="CD391" s="23"/>
      <c r="CE391" s="23"/>
      <c r="CF391" s="23"/>
      <c r="CG391" s="23"/>
      <c r="CH391" s="23"/>
      <c r="CI391" s="23"/>
      <c r="CJ391" s="23"/>
      <c r="CK391" s="23"/>
      <c r="CL391" s="23"/>
      <c r="CM391" s="23"/>
      <c r="CN391" s="23"/>
      <c r="CO391" s="23"/>
      <c r="CP391" s="23"/>
      <c r="CQ391" s="23"/>
      <c r="CR391" s="23"/>
      <c r="CS391" s="23"/>
      <c r="CT391" s="23"/>
      <c r="CU391" s="23"/>
      <c r="CV391" s="23"/>
      <c r="CW391" s="23"/>
      <c r="CX391" s="23"/>
      <c r="CY391" s="23"/>
      <c r="CZ391" s="23"/>
      <c r="DA391" s="23"/>
      <c r="DB391" s="23"/>
      <c r="DC391" s="23"/>
      <c r="DD391" s="23"/>
      <c r="DE391" s="23"/>
      <c r="DF391" s="23"/>
      <c r="DG391" s="23"/>
      <c r="DH391" s="23"/>
      <c r="DI391" s="23"/>
      <c r="DJ391" s="23"/>
      <c r="DK391" s="23"/>
      <c r="DL391" s="23"/>
      <c r="DM391" s="23"/>
      <c r="DN391" s="23"/>
      <c r="DO391" s="23"/>
      <c r="DP391" s="23"/>
      <c r="DQ391" s="23"/>
      <c r="DR391" s="23"/>
      <c r="DS391" s="23"/>
      <c r="DT391" s="23"/>
      <c r="DU391" s="23"/>
      <c r="DV391" s="23"/>
      <c r="DW391" s="23"/>
      <c r="DX391" s="23"/>
      <c r="DY391" s="23"/>
      <c r="DZ391" s="23"/>
      <c r="EA391" s="23"/>
      <c r="EB391" s="23"/>
      <c r="EC391" s="23"/>
      <c r="ED391" s="23"/>
      <c r="EE391" s="23"/>
      <c r="EF391" s="23"/>
      <c r="EG391" s="23"/>
      <c r="EH391" s="23"/>
      <c r="EI391" s="23"/>
      <c r="EJ391" s="23"/>
      <c r="EK391" s="23"/>
      <c r="EL391" s="23"/>
      <c r="EM391" s="23"/>
      <c r="EN391" s="23"/>
      <c r="EO391" s="23"/>
      <c r="EP391" s="23"/>
      <c r="EQ391" s="23"/>
      <c r="ER391" s="23"/>
      <c r="ES391" s="23"/>
      <c r="ET391" s="23"/>
      <c r="EU391" s="23"/>
      <c r="EV391" s="23"/>
      <c r="EW391" s="23"/>
      <c r="EX391" s="23"/>
      <c r="EY391" s="23"/>
      <c r="EZ391" s="23"/>
      <c r="FA391" s="23"/>
      <c r="FB391" s="23"/>
      <c r="FC391" s="23"/>
      <c r="FD391" s="23"/>
      <c r="FE391" s="23"/>
      <c r="FF391" s="23"/>
      <c r="FG391" s="23"/>
      <c r="FH391" s="23"/>
      <c r="FI391" s="23"/>
      <c r="FJ391" s="23"/>
      <c r="FK391" s="23"/>
      <c r="FL391" s="23"/>
      <c r="FM391" s="23"/>
      <c r="FN391" s="23"/>
      <c r="FO391" s="23"/>
      <c r="FP391" s="23"/>
      <c r="FQ391" s="23"/>
      <c r="FR391" s="23"/>
      <c r="FS391" s="23"/>
      <c r="FT391" s="23"/>
      <c r="FU391" s="23"/>
      <c r="FV391" s="23"/>
      <c r="FW391" s="23"/>
      <c r="FX391" s="23"/>
      <c r="FY391" s="23"/>
      <c r="FZ391" s="23"/>
      <c r="GA391" s="23"/>
      <c r="GB391" s="23"/>
      <c r="GC391" s="23"/>
      <c r="GD391" s="23"/>
      <c r="GE391" s="23"/>
      <c r="GF391" s="23"/>
      <c r="GG391" s="23"/>
      <c r="GH391" s="23"/>
      <c r="GI391" s="23"/>
      <c r="GJ391" s="23"/>
      <c r="GK391" s="23"/>
      <c r="GL391" s="23"/>
    </row>
    <row r="392" spans="1:194" ht="13">
      <c r="A392" s="23"/>
      <c r="B392" s="23"/>
      <c r="C392" s="23"/>
      <c r="D392" s="23"/>
      <c r="E392" s="23"/>
      <c r="F392" s="23"/>
      <c r="G392" s="23"/>
      <c r="H392" s="401"/>
      <c r="I392" s="401"/>
      <c r="J392" s="401"/>
      <c r="K392" s="401"/>
      <c r="L392" s="401"/>
      <c r="M392" s="438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  <c r="AL392" s="23"/>
      <c r="AM392" s="23"/>
      <c r="AN392" s="23"/>
      <c r="AO392" s="23"/>
      <c r="AP392" s="23"/>
      <c r="AQ392" s="23"/>
      <c r="AR392" s="23"/>
      <c r="AS392" s="23"/>
      <c r="AT392" s="23"/>
      <c r="AU392" s="23"/>
      <c r="AV392" s="23"/>
      <c r="AW392" s="23"/>
      <c r="AX392" s="23"/>
      <c r="AY392" s="23"/>
      <c r="AZ392" s="23"/>
      <c r="BA392" s="23"/>
      <c r="BB392" s="23"/>
      <c r="BC392" s="23"/>
      <c r="BD392" s="23"/>
      <c r="BE392" s="23"/>
      <c r="BF392" s="23"/>
      <c r="BG392" s="23"/>
      <c r="BH392" s="23"/>
      <c r="BI392" s="23"/>
      <c r="BJ392" s="23"/>
      <c r="BK392" s="23"/>
      <c r="BL392" s="23"/>
      <c r="BM392" s="23"/>
      <c r="BN392" s="23"/>
      <c r="BO392" s="23"/>
      <c r="BP392" s="23"/>
      <c r="BQ392" s="23"/>
      <c r="BR392" s="23"/>
      <c r="BS392" s="23"/>
      <c r="BT392" s="23"/>
      <c r="BU392" s="23"/>
      <c r="BV392" s="23"/>
      <c r="BW392" s="23"/>
      <c r="BX392" s="23"/>
      <c r="BY392" s="23"/>
      <c r="BZ392" s="23"/>
      <c r="CA392" s="23"/>
      <c r="CB392" s="23"/>
      <c r="CC392" s="23"/>
      <c r="CD392" s="23"/>
      <c r="CE392" s="23"/>
      <c r="CF392" s="23"/>
      <c r="CG392" s="23"/>
      <c r="CH392" s="23"/>
      <c r="CI392" s="23"/>
      <c r="CJ392" s="23"/>
      <c r="CK392" s="23"/>
      <c r="CL392" s="23"/>
      <c r="CM392" s="23"/>
      <c r="CN392" s="23"/>
      <c r="CO392" s="23"/>
      <c r="CP392" s="23"/>
      <c r="CQ392" s="23"/>
      <c r="CR392" s="23"/>
      <c r="CS392" s="23"/>
      <c r="CT392" s="23"/>
      <c r="CU392" s="23"/>
      <c r="CV392" s="23"/>
      <c r="CW392" s="23"/>
      <c r="CX392" s="23"/>
      <c r="CY392" s="23"/>
      <c r="CZ392" s="23"/>
      <c r="DA392" s="23"/>
      <c r="DB392" s="23"/>
      <c r="DC392" s="23"/>
      <c r="DD392" s="23"/>
      <c r="DE392" s="23"/>
      <c r="DF392" s="23"/>
      <c r="DG392" s="23"/>
      <c r="DH392" s="23"/>
      <c r="DI392" s="23"/>
      <c r="DJ392" s="23"/>
      <c r="DK392" s="23"/>
      <c r="DL392" s="23"/>
      <c r="DM392" s="23"/>
      <c r="DN392" s="23"/>
      <c r="DO392" s="23"/>
      <c r="DP392" s="23"/>
      <c r="DQ392" s="23"/>
      <c r="DR392" s="23"/>
      <c r="DS392" s="23"/>
      <c r="DT392" s="23"/>
      <c r="DU392" s="23"/>
      <c r="DV392" s="23"/>
      <c r="DW392" s="23"/>
      <c r="DX392" s="23"/>
      <c r="DY392" s="23"/>
      <c r="DZ392" s="23"/>
      <c r="EA392" s="23"/>
      <c r="EB392" s="23"/>
      <c r="EC392" s="23"/>
      <c r="ED392" s="23"/>
      <c r="EE392" s="23"/>
      <c r="EF392" s="23"/>
      <c r="EG392" s="23"/>
      <c r="EH392" s="23"/>
      <c r="EI392" s="23"/>
      <c r="EJ392" s="23"/>
      <c r="EK392" s="23"/>
      <c r="EL392" s="23"/>
      <c r="EM392" s="23"/>
      <c r="EN392" s="23"/>
      <c r="EO392" s="23"/>
      <c r="EP392" s="23"/>
      <c r="EQ392" s="23"/>
      <c r="ER392" s="23"/>
      <c r="ES392" s="23"/>
      <c r="ET392" s="23"/>
      <c r="EU392" s="23"/>
      <c r="EV392" s="23"/>
      <c r="EW392" s="23"/>
      <c r="EX392" s="23"/>
      <c r="EY392" s="23"/>
      <c r="EZ392" s="23"/>
      <c r="FA392" s="23"/>
      <c r="FB392" s="23"/>
      <c r="FC392" s="23"/>
      <c r="FD392" s="23"/>
      <c r="FE392" s="23"/>
      <c r="FF392" s="23"/>
      <c r="FG392" s="23"/>
      <c r="FH392" s="23"/>
      <c r="FI392" s="23"/>
      <c r="FJ392" s="23"/>
      <c r="FK392" s="23"/>
      <c r="FL392" s="23"/>
      <c r="FM392" s="23"/>
      <c r="FN392" s="23"/>
      <c r="FO392" s="23"/>
      <c r="FP392" s="23"/>
      <c r="FQ392" s="23"/>
      <c r="FR392" s="23"/>
      <c r="FS392" s="23"/>
      <c r="FT392" s="23"/>
      <c r="FU392" s="23"/>
      <c r="FV392" s="23"/>
      <c r="FW392" s="23"/>
      <c r="FX392" s="23"/>
      <c r="FY392" s="23"/>
      <c r="FZ392" s="23"/>
      <c r="GA392" s="23"/>
      <c r="GB392" s="23"/>
      <c r="GC392" s="23"/>
      <c r="GD392" s="23"/>
      <c r="GE392" s="23"/>
      <c r="GF392" s="23"/>
      <c r="GG392" s="23"/>
      <c r="GH392" s="23"/>
      <c r="GI392" s="23"/>
      <c r="GJ392" s="23"/>
      <c r="GK392" s="23"/>
      <c r="GL392" s="23"/>
    </row>
    <row r="393" spans="1:194" ht="13">
      <c r="A393" s="23"/>
      <c r="B393" s="23"/>
      <c r="C393" s="23"/>
      <c r="D393" s="23"/>
      <c r="E393" s="23"/>
      <c r="F393" s="23"/>
      <c r="G393" s="23"/>
      <c r="H393" s="401"/>
      <c r="I393" s="401"/>
      <c r="J393" s="401"/>
      <c r="K393" s="401"/>
      <c r="L393" s="401"/>
      <c r="M393" s="438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3"/>
      <c r="AX393" s="23"/>
      <c r="AY393" s="23"/>
      <c r="AZ393" s="23"/>
      <c r="BA393" s="23"/>
      <c r="BB393" s="23"/>
      <c r="BC393" s="23"/>
      <c r="BD393" s="23"/>
      <c r="BE393" s="23"/>
      <c r="BF393" s="23"/>
      <c r="BG393" s="23"/>
      <c r="BH393" s="23"/>
      <c r="BI393" s="23"/>
      <c r="BJ393" s="23"/>
      <c r="BK393" s="23"/>
      <c r="BL393" s="23"/>
      <c r="BM393" s="23"/>
      <c r="BN393" s="23"/>
      <c r="BO393" s="23"/>
      <c r="BP393" s="23"/>
      <c r="BQ393" s="23"/>
      <c r="BR393" s="23"/>
      <c r="BS393" s="23"/>
      <c r="BT393" s="23"/>
      <c r="BU393" s="23"/>
      <c r="BV393" s="23"/>
      <c r="BW393" s="23"/>
      <c r="BX393" s="23"/>
      <c r="BY393" s="23"/>
      <c r="BZ393" s="23"/>
      <c r="CA393" s="23"/>
      <c r="CB393" s="23"/>
      <c r="CC393" s="23"/>
      <c r="CD393" s="23"/>
      <c r="CE393" s="23"/>
      <c r="CF393" s="23"/>
      <c r="CG393" s="23"/>
      <c r="CH393" s="23"/>
      <c r="CI393" s="23"/>
      <c r="CJ393" s="23"/>
      <c r="CK393" s="23"/>
      <c r="CL393" s="23"/>
      <c r="CM393" s="23"/>
      <c r="CN393" s="23"/>
      <c r="CO393" s="23"/>
      <c r="CP393" s="23"/>
      <c r="CQ393" s="23"/>
      <c r="CR393" s="23"/>
      <c r="CS393" s="23"/>
      <c r="CT393" s="23"/>
      <c r="CU393" s="23"/>
      <c r="CV393" s="23"/>
      <c r="CW393" s="23"/>
      <c r="CX393" s="23"/>
      <c r="CY393" s="23"/>
      <c r="CZ393" s="23"/>
      <c r="DA393" s="23"/>
      <c r="DB393" s="23"/>
      <c r="DC393" s="23"/>
      <c r="DD393" s="23"/>
      <c r="DE393" s="23"/>
      <c r="DF393" s="23"/>
      <c r="DG393" s="23"/>
      <c r="DH393" s="23"/>
      <c r="DI393" s="23"/>
      <c r="DJ393" s="23"/>
      <c r="DK393" s="23"/>
      <c r="DL393" s="23"/>
      <c r="DM393" s="23"/>
      <c r="DN393" s="23"/>
      <c r="DO393" s="23"/>
      <c r="DP393" s="23"/>
      <c r="DQ393" s="23"/>
      <c r="DR393" s="23"/>
      <c r="DS393" s="23"/>
      <c r="DT393" s="23"/>
      <c r="DU393" s="23"/>
      <c r="DV393" s="23"/>
      <c r="DW393" s="23"/>
      <c r="DX393" s="23"/>
      <c r="DY393" s="23"/>
      <c r="DZ393" s="23"/>
      <c r="EA393" s="23"/>
      <c r="EB393" s="23"/>
      <c r="EC393" s="23"/>
      <c r="ED393" s="23"/>
      <c r="EE393" s="23"/>
      <c r="EF393" s="23"/>
      <c r="EG393" s="23"/>
      <c r="EH393" s="23"/>
      <c r="EI393" s="23"/>
      <c r="EJ393" s="23"/>
      <c r="EK393" s="23"/>
      <c r="EL393" s="23"/>
      <c r="EM393" s="23"/>
      <c r="EN393" s="23"/>
      <c r="EO393" s="23"/>
      <c r="EP393" s="23"/>
      <c r="EQ393" s="23"/>
      <c r="ER393" s="23"/>
      <c r="ES393" s="23"/>
      <c r="ET393" s="23"/>
      <c r="EU393" s="23"/>
      <c r="EV393" s="23"/>
      <c r="EW393" s="23"/>
      <c r="EX393" s="23"/>
      <c r="EY393" s="23"/>
      <c r="EZ393" s="23"/>
      <c r="FA393" s="23"/>
      <c r="FB393" s="23"/>
      <c r="FC393" s="23"/>
      <c r="FD393" s="23"/>
      <c r="FE393" s="23"/>
      <c r="FF393" s="23"/>
      <c r="FG393" s="23"/>
      <c r="FH393" s="23"/>
      <c r="FI393" s="23"/>
      <c r="FJ393" s="23"/>
      <c r="FK393" s="23"/>
      <c r="FL393" s="23"/>
      <c r="FM393" s="23"/>
      <c r="FN393" s="23"/>
      <c r="FO393" s="23"/>
      <c r="FP393" s="23"/>
      <c r="FQ393" s="23"/>
      <c r="FR393" s="23"/>
      <c r="FS393" s="23"/>
      <c r="FT393" s="23"/>
      <c r="FU393" s="23"/>
      <c r="FV393" s="23"/>
      <c r="FW393" s="23"/>
      <c r="FX393" s="23"/>
      <c r="FY393" s="23"/>
      <c r="FZ393" s="23"/>
      <c r="GA393" s="23"/>
      <c r="GB393" s="23"/>
      <c r="GC393" s="23"/>
      <c r="GD393" s="23"/>
      <c r="GE393" s="23"/>
      <c r="GF393" s="23"/>
      <c r="GG393" s="23"/>
      <c r="GH393" s="23"/>
      <c r="GI393" s="23"/>
      <c r="GJ393" s="23"/>
      <c r="GK393" s="23"/>
      <c r="GL393" s="23"/>
    </row>
    <row r="394" spans="1:194" ht="13">
      <c r="A394" s="23"/>
      <c r="B394" s="23"/>
      <c r="C394" s="23"/>
      <c r="D394" s="23"/>
      <c r="E394" s="23"/>
      <c r="F394" s="23"/>
      <c r="G394" s="23"/>
      <c r="H394" s="401"/>
      <c r="I394" s="401"/>
      <c r="J394" s="401"/>
      <c r="K394" s="401"/>
      <c r="L394" s="401"/>
      <c r="M394" s="438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  <c r="AL394" s="23"/>
      <c r="AM394" s="23"/>
      <c r="AN394" s="23"/>
      <c r="AO394" s="23"/>
      <c r="AP394" s="23"/>
      <c r="AQ394" s="23"/>
      <c r="AR394" s="23"/>
      <c r="AS394" s="23"/>
      <c r="AT394" s="23"/>
      <c r="AU394" s="23"/>
      <c r="AV394" s="23"/>
      <c r="AW394" s="23"/>
      <c r="AX394" s="23"/>
      <c r="AY394" s="23"/>
      <c r="AZ394" s="23"/>
      <c r="BA394" s="23"/>
      <c r="BB394" s="23"/>
      <c r="BC394" s="23"/>
      <c r="BD394" s="23"/>
      <c r="BE394" s="23"/>
      <c r="BF394" s="23"/>
      <c r="BG394" s="23"/>
      <c r="BH394" s="23"/>
      <c r="BI394" s="23"/>
      <c r="BJ394" s="23"/>
      <c r="BK394" s="23"/>
      <c r="BL394" s="23"/>
      <c r="BM394" s="23"/>
      <c r="BN394" s="23"/>
      <c r="BO394" s="23"/>
      <c r="BP394" s="23"/>
      <c r="BQ394" s="23"/>
      <c r="BR394" s="23"/>
      <c r="BS394" s="23"/>
      <c r="BT394" s="23"/>
      <c r="BU394" s="23"/>
      <c r="BV394" s="23"/>
      <c r="BW394" s="23"/>
      <c r="BX394" s="23"/>
      <c r="BY394" s="23"/>
      <c r="BZ394" s="23"/>
      <c r="CA394" s="23"/>
      <c r="CB394" s="23"/>
      <c r="CC394" s="23"/>
      <c r="CD394" s="23"/>
      <c r="CE394" s="23"/>
      <c r="CF394" s="23"/>
      <c r="CG394" s="23"/>
      <c r="CH394" s="23"/>
      <c r="CI394" s="23"/>
      <c r="CJ394" s="23"/>
      <c r="CK394" s="23"/>
      <c r="CL394" s="23"/>
      <c r="CM394" s="23"/>
      <c r="CN394" s="23"/>
      <c r="CO394" s="23"/>
      <c r="CP394" s="23"/>
      <c r="CQ394" s="23"/>
      <c r="CR394" s="23"/>
      <c r="CS394" s="23"/>
      <c r="CT394" s="23"/>
      <c r="CU394" s="23"/>
      <c r="CV394" s="23"/>
      <c r="CW394" s="23"/>
      <c r="CX394" s="23"/>
      <c r="CY394" s="23"/>
      <c r="CZ394" s="23"/>
      <c r="DA394" s="23"/>
      <c r="DB394" s="23"/>
      <c r="DC394" s="23"/>
      <c r="DD394" s="23"/>
      <c r="DE394" s="23"/>
      <c r="DF394" s="23"/>
      <c r="DG394" s="23"/>
      <c r="DH394" s="23"/>
      <c r="DI394" s="23"/>
      <c r="DJ394" s="23"/>
      <c r="DK394" s="23"/>
      <c r="DL394" s="23"/>
      <c r="DM394" s="23"/>
      <c r="DN394" s="23"/>
      <c r="DO394" s="23"/>
      <c r="DP394" s="23"/>
      <c r="DQ394" s="23"/>
      <c r="DR394" s="23"/>
      <c r="DS394" s="23"/>
      <c r="DT394" s="23"/>
      <c r="DU394" s="23"/>
      <c r="DV394" s="23"/>
      <c r="DW394" s="23"/>
      <c r="DX394" s="23"/>
      <c r="DY394" s="23"/>
      <c r="DZ394" s="23"/>
      <c r="EA394" s="23"/>
      <c r="EB394" s="23"/>
      <c r="EC394" s="23"/>
      <c r="ED394" s="23"/>
      <c r="EE394" s="23"/>
      <c r="EF394" s="23"/>
      <c r="EG394" s="23"/>
      <c r="EH394" s="23"/>
      <c r="EI394" s="23"/>
      <c r="EJ394" s="23"/>
      <c r="EK394" s="23"/>
      <c r="EL394" s="23"/>
      <c r="EM394" s="23"/>
      <c r="EN394" s="23"/>
      <c r="EO394" s="23"/>
      <c r="EP394" s="23"/>
      <c r="EQ394" s="23"/>
      <c r="ER394" s="23"/>
      <c r="ES394" s="23"/>
      <c r="ET394" s="23"/>
      <c r="EU394" s="23"/>
      <c r="EV394" s="23"/>
      <c r="EW394" s="23"/>
      <c r="EX394" s="23"/>
      <c r="EY394" s="23"/>
      <c r="EZ394" s="23"/>
      <c r="FA394" s="23"/>
      <c r="FB394" s="23"/>
      <c r="FC394" s="23"/>
      <c r="FD394" s="23"/>
      <c r="FE394" s="23"/>
      <c r="FF394" s="23"/>
      <c r="FG394" s="23"/>
      <c r="FH394" s="23"/>
      <c r="FI394" s="23"/>
      <c r="FJ394" s="23"/>
      <c r="FK394" s="23"/>
      <c r="FL394" s="23"/>
      <c r="FM394" s="23"/>
      <c r="FN394" s="23"/>
      <c r="FO394" s="23"/>
      <c r="FP394" s="23"/>
      <c r="FQ394" s="23"/>
      <c r="FR394" s="23"/>
      <c r="FS394" s="23"/>
      <c r="FT394" s="23"/>
      <c r="FU394" s="23"/>
      <c r="FV394" s="23"/>
      <c r="FW394" s="23"/>
      <c r="FX394" s="23"/>
      <c r="FY394" s="23"/>
      <c r="FZ394" s="23"/>
      <c r="GA394" s="23"/>
      <c r="GB394" s="23"/>
      <c r="GC394" s="23"/>
      <c r="GD394" s="23"/>
      <c r="GE394" s="23"/>
      <c r="GF394" s="23"/>
      <c r="GG394" s="23"/>
      <c r="GH394" s="23"/>
      <c r="GI394" s="23"/>
      <c r="GJ394" s="23"/>
      <c r="GK394" s="23"/>
      <c r="GL394" s="23"/>
    </row>
    <row r="395" spans="1:194" ht="13">
      <c r="A395" s="23"/>
      <c r="B395" s="23"/>
      <c r="C395" s="23"/>
      <c r="D395" s="23"/>
      <c r="E395" s="23"/>
      <c r="F395" s="23"/>
      <c r="G395" s="23"/>
      <c r="H395" s="401"/>
      <c r="I395" s="401"/>
      <c r="J395" s="401"/>
      <c r="K395" s="401"/>
      <c r="L395" s="401"/>
      <c r="M395" s="438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  <c r="AL395" s="23"/>
      <c r="AM395" s="23"/>
      <c r="AN395" s="23"/>
      <c r="AO395" s="23"/>
      <c r="AP395" s="23"/>
      <c r="AQ395" s="23"/>
      <c r="AR395" s="23"/>
      <c r="AS395" s="23"/>
      <c r="AT395" s="23"/>
      <c r="AU395" s="23"/>
      <c r="AV395" s="23"/>
      <c r="AW395" s="23"/>
      <c r="AX395" s="23"/>
      <c r="AY395" s="23"/>
      <c r="AZ395" s="23"/>
      <c r="BA395" s="23"/>
      <c r="BB395" s="23"/>
      <c r="BC395" s="23"/>
      <c r="BD395" s="23"/>
      <c r="BE395" s="23"/>
      <c r="BF395" s="23"/>
      <c r="BG395" s="23"/>
      <c r="BH395" s="23"/>
      <c r="BI395" s="23"/>
      <c r="BJ395" s="23"/>
      <c r="BK395" s="23"/>
      <c r="BL395" s="23"/>
      <c r="BM395" s="23"/>
      <c r="BN395" s="23"/>
      <c r="BO395" s="23"/>
      <c r="BP395" s="23"/>
      <c r="BQ395" s="23"/>
      <c r="BR395" s="23"/>
      <c r="BS395" s="23"/>
      <c r="BT395" s="23"/>
      <c r="BU395" s="23"/>
      <c r="BV395" s="23"/>
      <c r="BW395" s="23"/>
      <c r="BX395" s="23"/>
      <c r="BY395" s="23"/>
      <c r="BZ395" s="23"/>
      <c r="CA395" s="23"/>
      <c r="CB395" s="23"/>
      <c r="CC395" s="23"/>
      <c r="CD395" s="23"/>
      <c r="CE395" s="23"/>
      <c r="CF395" s="23"/>
      <c r="CG395" s="23"/>
      <c r="CH395" s="23"/>
      <c r="CI395" s="23"/>
      <c r="CJ395" s="23"/>
      <c r="CK395" s="23"/>
      <c r="CL395" s="23"/>
      <c r="CM395" s="23"/>
      <c r="CN395" s="23"/>
      <c r="CO395" s="23"/>
      <c r="CP395" s="23"/>
      <c r="CQ395" s="23"/>
      <c r="CR395" s="23"/>
      <c r="CS395" s="23"/>
      <c r="CT395" s="23"/>
      <c r="CU395" s="23"/>
      <c r="CV395" s="23"/>
      <c r="CW395" s="23"/>
      <c r="CX395" s="23"/>
      <c r="CY395" s="23"/>
      <c r="CZ395" s="23"/>
      <c r="DA395" s="23"/>
      <c r="DB395" s="23"/>
      <c r="DC395" s="23"/>
      <c r="DD395" s="23"/>
      <c r="DE395" s="23"/>
      <c r="DF395" s="23"/>
      <c r="DG395" s="23"/>
      <c r="DH395" s="23"/>
      <c r="DI395" s="23"/>
      <c r="DJ395" s="23"/>
      <c r="DK395" s="23"/>
      <c r="DL395" s="23"/>
      <c r="DM395" s="23"/>
      <c r="DN395" s="23"/>
      <c r="DO395" s="23"/>
      <c r="DP395" s="23"/>
      <c r="DQ395" s="23"/>
      <c r="DR395" s="23"/>
      <c r="DS395" s="23"/>
      <c r="DT395" s="23"/>
      <c r="DU395" s="23"/>
      <c r="DV395" s="23"/>
      <c r="DW395" s="23"/>
      <c r="DX395" s="23"/>
      <c r="DY395" s="23"/>
      <c r="DZ395" s="23"/>
      <c r="EA395" s="23"/>
      <c r="EB395" s="23"/>
      <c r="EC395" s="23"/>
      <c r="ED395" s="23"/>
      <c r="EE395" s="23"/>
      <c r="EF395" s="23"/>
      <c r="EG395" s="23"/>
      <c r="EH395" s="23"/>
      <c r="EI395" s="23"/>
      <c r="EJ395" s="23"/>
      <c r="EK395" s="23"/>
      <c r="EL395" s="23"/>
      <c r="EM395" s="23"/>
      <c r="EN395" s="23"/>
      <c r="EO395" s="23"/>
      <c r="EP395" s="23"/>
      <c r="EQ395" s="23"/>
      <c r="ER395" s="23"/>
      <c r="ES395" s="23"/>
      <c r="ET395" s="23"/>
      <c r="EU395" s="23"/>
      <c r="EV395" s="23"/>
      <c r="EW395" s="23"/>
      <c r="EX395" s="23"/>
      <c r="EY395" s="23"/>
      <c r="EZ395" s="23"/>
      <c r="FA395" s="23"/>
      <c r="FB395" s="23"/>
      <c r="FC395" s="23"/>
      <c r="FD395" s="23"/>
      <c r="FE395" s="23"/>
      <c r="FF395" s="23"/>
      <c r="FG395" s="23"/>
      <c r="FH395" s="23"/>
      <c r="FI395" s="23"/>
      <c r="FJ395" s="23"/>
      <c r="FK395" s="23"/>
      <c r="FL395" s="23"/>
      <c r="FM395" s="23"/>
      <c r="FN395" s="23"/>
      <c r="FO395" s="23"/>
      <c r="FP395" s="23"/>
      <c r="FQ395" s="23"/>
      <c r="FR395" s="23"/>
      <c r="FS395" s="23"/>
      <c r="FT395" s="23"/>
      <c r="FU395" s="23"/>
      <c r="FV395" s="23"/>
      <c r="FW395" s="23"/>
      <c r="FX395" s="23"/>
      <c r="FY395" s="23"/>
      <c r="FZ395" s="23"/>
      <c r="GA395" s="23"/>
      <c r="GB395" s="23"/>
      <c r="GC395" s="23"/>
      <c r="GD395" s="23"/>
      <c r="GE395" s="23"/>
      <c r="GF395" s="23"/>
      <c r="GG395" s="23"/>
      <c r="GH395" s="23"/>
      <c r="GI395" s="23"/>
      <c r="GJ395" s="23"/>
      <c r="GK395" s="23"/>
      <c r="GL395" s="23"/>
    </row>
    <row r="396" spans="1:194" ht="13">
      <c r="A396" s="23"/>
      <c r="B396" s="23"/>
      <c r="C396" s="23"/>
      <c r="D396" s="23"/>
      <c r="E396" s="23"/>
      <c r="F396" s="23"/>
      <c r="G396" s="23"/>
      <c r="H396" s="401"/>
      <c r="I396" s="401"/>
      <c r="J396" s="401"/>
      <c r="K396" s="401"/>
      <c r="L396" s="401"/>
      <c r="M396" s="438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  <c r="AV396" s="23"/>
      <c r="AW396" s="23"/>
      <c r="AX396" s="23"/>
      <c r="AY396" s="23"/>
      <c r="AZ396" s="23"/>
      <c r="BA396" s="23"/>
      <c r="BB396" s="23"/>
      <c r="BC396" s="23"/>
      <c r="BD396" s="23"/>
      <c r="BE396" s="23"/>
      <c r="BF396" s="23"/>
      <c r="BG396" s="23"/>
      <c r="BH396" s="23"/>
      <c r="BI396" s="23"/>
      <c r="BJ396" s="23"/>
      <c r="BK396" s="23"/>
      <c r="BL396" s="23"/>
      <c r="BM396" s="23"/>
      <c r="BN396" s="23"/>
      <c r="BO396" s="23"/>
      <c r="BP396" s="23"/>
      <c r="BQ396" s="23"/>
      <c r="BR396" s="23"/>
      <c r="BS396" s="23"/>
      <c r="BT396" s="23"/>
      <c r="BU396" s="23"/>
      <c r="BV396" s="23"/>
      <c r="BW396" s="23"/>
      <c r="BX396" s="23"/>
      <c r="BY396" s="23"/>
      <c r="BZ396" s="23"/>
      <c r="CA396" s="23"/>
      <c r="CB396" s="23"/>
      <c r="CC396" s="23"/>
      <c r="CD396" s="23"/>
      <c r="CE396" s="23"/>
      <c r="CF396" s="23"/>
      <c r="CG396" s="23"/>
      <c r="CH396" s="23"/>
      <c r="CI396" s="23"/>
      <c r="CJ396" s="23"/>
      <c r="CK396" s="23"/>
      <c r="CL396" s="23"/>
      <c r="CM396" s="23"/>
      <c r="CN396" s="23"/>
      <c r="CO396" s="23"/>
      <c r="CP396" s="23"/>
      <c r="CQ396" s="23"/>
      <c r="CR396" s="23"/>
      <c r="CS396" s="23"/>
      <c r="CT396" s="23"/>
      <c r="CU396" s="23"/>
      <c r="CV396" s="23"/>
      <c r="CW396" s="23"/>
      <c r="CX396" s="23"/>
      <c r="CY396" s="23"/>
      <c r="CZ396" s="23"/>
      <c r="DA396" s="23"/>
      <c r="DB396" s="23"/>
      <c r="DC396" s="23"/>
      <c r="DD396" s="23"/>
      <c r="DE396" s="23"/>
      <c r="DF396" s="23"/>
      <c r="DG396" s="23"/>
      <c r="DH396" s="23"/>
      <c r="DI396" s="23"/>
      <c r="DJ396" s="23"/>
      <c r="DK396" s="23"/>
      <c r="DL396" s="23"/>
      <c r="DM396" s="23"/>
      <c r="DN396" s="23"/>
      <c r="DO396" s="23"/>
      <c r="DP396" s="23"/>
      <c r="DQ396" s="23"/>
      <c r="DR396" s="23"/>
      <c r="DS396" s="23"/>
      <c r="DT396" s="23"/>
      <c r="DU396" s="23"/>
      <c r="DV396" s="23"/>
      <c r="DW396" s="23"/>
      <c r="DX396" s="23"/>
      <c r="DY396" s="23"/>
      <c r="DZ396" s="23"/>
      <c r="EA396" s="23"/>
      <c r="EB396" s="23"/>
      <c r="EC396" s="23"/>
      <c r="ED396" s="23"/>
      <c r="EE396" s="23"/>
      <c r="EF396" s="23"/>
      <c r="EG396" s="23"/>
      <c r="EH396" s="23"/>
      <c r="EI396" s="23"/>
      <c r="EJ396" s="23"/>
      <c r="EK396" s="23"/>
      <c r="EL396" s="23"/>
      <c r="EM396" s="23"/>
      <c r="EN396" s="23"/>
      <c r="EO396" s="23"/>
      <c r="EP396" s="23"/>
      <c r="EQ396" s="23"/>
      <c r="ER396" s="23"/>
      <c r="ES396" s="23"/>
      <c r="ET396" s="23"/>
      <c r="EU396" s="23"/>
      <c r="EV396" s="23"/>
      <c r="EW396" s="23"/>
      <c r="EX396" s="23"/>
      <c r="EY396" s="23"/>
      <c r="EZ396" s="23"/>
      <c r="FA396" s="23"/>
      <c r="FB396" s="23"/>
      <c r="FC396" s="23"/>
      <c r="FD396" s="23"/>
      <c r="FE396" s="23"/>
      <c r="FF396" s="23"/>
      <c r="FG396" s="23"/>
      <c r="FH396" s="23"/>
      <c r="FI396" s="23"/>
      <c r="FJ396" s="23"/>
      <c r="FK396" s="23"/>
      <c r="FL396" s="23"/>
      <c r="FM396" s="23"/>
      <c r="FN396" s="23"/>
      <c r="FO396" s="23"/>
      <c r="FP396" s="23"/>
      <c r="FQ396" s="23"/>
      <c r="FR396" s="23"/>
      <c r="FS396" s="23"/>
      <c r="FT396" s="23"/>
      <c r="FU396" s="23"/>
      <c r="FV396" s="23"/>
      <c r="FW396" s="23"/>
      <c r="FX396" s="23"/>
      <c r="FY396" s="23"/>
      <c r="FZ396" s="23"/>
      <c r="GA396" s="23"/>
      <c r="GB396" s="23"/>
      <c r="GC396" s="23"/>
      <c r="GD396" s="23"/>
      <c r="GE396" s="23"/>
      <c r="GF396" s="23"/>
      <c r="GG396" s="23"/>
      <c r="GH396" s="23"/>
      <c r="GI396" s="23"/>
      <c r="GJ396" s="23"/>
      <c r="GK396" s="23"/>
      <c r="GL396" s="23"/>
    </row>
    <row r="397" spans="1:194" ht="13">
      <c r="A397" s="23"/>
      <c r="B397" s="23"/>
      <c r="C397" s="23"/>
      <c r="D397" s="23"/>
      <c r="E397" s="23"/>
      <c r="F397" s="23"/>
      <c r="G397" s="23"/>
      <c r="H397" s="401"/>
      <c r="I397" s="401"/>
      <c r="J397" s="401"/>
      <c r="K397" s="401"/>
      <c r="L397" s="401"/>
      <c r="M397" s="438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  <c r="AL397" s="23"/>
      <c r="AM397" s="23"/>
      <c r="AN397" s="23"/>
      <c r="AO397" s="23"/>
      <c r="AP397" s="23"/>
      <c r="AQ397" s="23"/>
      <c r="AR397" s="23"/>
      <c r="AS397" s="23"/>
      <c r="AT397" s="23"/>
      <c r="AU397" s="23"/>
      <c r="AV397" s="23"/>
      <c r="AW397" s="23"/>
      <c r="AX397" s="23"/>
      <c r="AY397" s="23"/>
      <c r="AZ397" s="23"/>
      <c r="BA397" s="23"/>
      <c r="BB397" s="23"/>
      <c r="BC397" s="23"/>
      <c r="BD397" s="23"/>
      <c r="BE397" s="23"/>
      <c r="BF397" s="23"/>
      <c r="BG397" s="23"/>
      <c r="BH397" s="23"/>
      <c r="BI397" s="23"/>
      <c r="BJ397" s="23"/>
      <c r="BK397" s="23"/>
      <c r="BL397" s="23"/>
      <c r="BM397" s="23"/>
      <c r="BN397" s="23"/>
      <c r="BO397" s="23"/>
      <c r="BP397" s="23"/>
      <c r="BQ397" s="23"/>
      <c r="BR397" s="23"/>
      <c r="BS397" s="23"/>
      <c r="BT397" s="23"/>
      <c r="BU397" s="23"/>
      <c r="BV397" s="23"/>
      <c r="BW397" s="23"/>
      <c r="BX397" s="23"/>
      <c r="BY397" s="23"/>
      <c r="BZ397" s="23"/>
      <c r="CA397" s="23"/>
      <c r="CB397" s="23"/>
      <c r="CC397" s="23"/>
      <c r="CD397" s="23"/>
      <c r="CE397" s="23"/>
      <c r="CF397" s="23"/>
      <c r="CG397" s="23"/>
      <c r="CH397" s="23"/>
      <c r="CI397" s="23"/>
      <c r="CJ397" s="23"/>
      <c r="CK397" s="23"/>
      <c r="CL397" s="23"/>
      <c r="CM397" s="23"/>
      <c r="CN397" s="23"/>
      <c r="CO397" s="23"/>
      <c r="CP397" s="23"/>
      <c r="CQ397" s="23"/>
      <c r="CR397" s="23"/>
      <c r="CS397" s="23"/>
      <c r="CT397" s="23"/>
      <c r="CU397" s="23"/>
      <c r="CV397" s="23"/>
      <c r="CW397" s="23"/>
      <c r="CX397" s="23"/>
      <c r="CY397" s="23"/>
      <c r="CZ397" s="23"/>
      <c r="DA397" s="23"/>
      <c r="DB397" s="23"/>
      <c r="DC397" s="23"/>
      <c r="DD397" s="23"/>
      <c r="DE397" s="23"/>
      <c r="DF397" s="23"/>
      <c r="DG397" s="23"/>
      <c r="DH397" s="23"/>
      <c r="DI397" s="23"/>
      <c r="DJ397" s="23"/>
      <c r="DK397" s="23"/>
      <c r="DL397" s="23"/>
      <c r="DM397" s="23"/>
      <c r="DN397" s="23"/>
      <c r="DO397" s="23"/>
      <c r="DP397" s="23"/>
      <c r="DQ397" s="23"/>
      <c r="DR397" s="23"/>
      <c r="DS397" s="23"/>
      <c r="DT397" s="23"/>
      <c r="DU397" s="23"/>
      <c r="DV397" s="23"/>
      <c r="DW397" s="23"/>
      <c r="DX397" s="23"/>
      <c r="DY397" s="23"/>
      <c r="DZ397" s="23"/>
      <c r="EA397" s="23"/>
      <c r="EB397" s="23"/>
      <c r="EC397" s="23"/>
      <c r="ED397" s="23"/>
      <c r="EE397" s="23"/>
      <c r="EF397" s="23"/>
      <c r="EG397" s="23"/>
      <c r="EH397" s="23"/>
      <c r="EI397" s="23"/>
      <c r="EJ397" s="23"/>
      <c r="EK397" s="23"/>
      <c r="EL397" s="23"/>
      <c r="EM397" s="23"/>
      <c r="EN397" s="23"/>
      <c r="EO397" s="23"/>
      <c r="EP397" s="23"/>
      <c r="EQ397" s="23"/>
      <c r="ER397" s="23"/>
      <c r="ES397" s="23"/>
      <c r="ET397" s="23"/>
      <c r="EU397" s="23"/>
      <c r="EV397" s="23"/>
      <c r="EW397" s="23"/>
      <c r="EX397" s="23"/>
      <c r="EY397" s="23"/>
      <c r="EZ397" s="23"/>
      <c r="FA397" s="23"/>
      <c r="FB397" s="23"/>
      <c r="FC397" s="23"/>
      <c r="FD397" s="23"/>
      <c r="FE397" s="23"/>
      <c r="FF397" s="23"/>
      <c r="FG397" s="23"/>
      <c r="FH397" s="23"/>
      <c r="FI397" s="23"/>
      <c r="FJ397" s="23"/>
      <c r="FK397" s="23"/>
      <c r="FL397" s="23"/>
      <c r="FM397" s="23"/>
      <c r="FN397" s="23"/>
      <c r="FO397" s="23"/>
      <c r="FP397" s="23"/>
      <c r="FQ397" s="23"/>
      <c r="FR397" s="23"/>
      <c r="FS397" s="23"/>
      <c r="FT397" s="23"/>
      <c r="FU397" s="23"/>
      <c r="FV397" s="23"/>
      <c r="FW397" s="23"/>
      <c r="FX397" s="23"/>
      <c r="FY397" s="23"/>
      <c r="FZ397" s="23"/>
      <c r="GA397" s="23"/>
      <c r="GB397" s="23"/>
      <c r="GC397" s="23"/>
      <c r="GD397" s="23"/>
      <c r="GE397" s="23"/>
      <c r="GF397" s="23"/>
      <c r="GG397" s="23"/>
      <c r="GH397" s="23"/>
      <c r="GI397" s="23"/>
      <c r="GJ397" s="23"/>
      <c r="GK397" s="23"/>
      <c r="GL397" s="23"/>
    </row>
    <row r="398" spans="1:194" ht="13">
      <c r="A398" s="23"/>
      <c r="B398" s="23"/>
      <c r="C398" s="23"/>
      <c r="D398" s="23"/>
      <c r="E398" s="23"/>
      <c r="F398" s="23"/>
      <c r="G398" s="23"/>
      <c r="H398" s="401"/>
      <c r="I398" s="401"/>
      <c r="J398" s="401"/>
      <c r="K398" s="401"/>
      <c r="L398" s="401"/>
      <c r="M398" s="438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  <c r="AL398" s="23"/>
      <c r="AM398" s="23"/>
      <c r="AN398" s="23"/>
      <c r="AO398" s="23"/>
      <c r="AP398" s="23"/>
      <c r="AQ398" s="23"/>
      <c r="AR398" s="23"/>
      <c r="AS398" s="23"/>
      <c r="AT398" s="23"/>
      <c r="AU398" s="23"/>
      <c r="AV398" s="23"/>
      <c r="AW398" s="23"/>
      <c r="AX398" s="23"/>
      <c r="AY398" s="23"/>
      <c r="AZ398" s="23"/>
      <c r="BA398" s="23"/>
      <c r="BB398" s="23"/>
      <c r="BC398" s="23"/>
      <c r="BD398" s="23"/>
      <c r="BE398" s="23"/>
      <c r="BF398" s="23"/>
      <c r="BG398" s="23"/>
      <c r="BH398" s="23"/>
      <c r="BI398" s="23"/>
      <c r="BJ398" s="23"/>
      <c r="BK398" s="23"/>
      <c r="BL398" s="23"/>
      <c r="BM398" s="23"/>
      <c r="BN398" s="23"/>
      <c r="BO398" s="23"/>
      <c r="BP398" s="23"/>
      <c r="BQ398" s="23"/>
      <c r="BR398" s="23"/>
      <c r="BS398" s="23"/>
      <c r="BT398" s="23"/>
      <c r="BU398" s="23"/>
      <c r="BV398" s="23"/>
      <c r="BW398" s="23"/>
      <c r="BX398" s="23"/>
      <c r="BY398" s="23"/>
      <c r="BZ398" s="23"/>
      <c r="CA398" s="23"/>
      <c r="CB398" s="23"/>
      <c r="CC398" s="23"/>
      <c r="CD398" s="23"/>
      <c r="CE398" s="23"/>
      <c r="CF398" s="23"/>
      <c r="CG398" s="23"/>
      <c r="CH398" s="23"/>
      <c r="CI398" s="23"/>
      <c r="CJ398" s="23"/>
      <c r="CK398" s="23"/>
      <c r="CL398" s="23"/>
      <c r="CM398" s="23"/>
      <c r="CN398" s="23"/>
      <c r="CO398" s="23"/>
      <c r="CP398" s="23"/>
      <c r="CQ398" s="23"/>
      <c r="CR398" s="23"/>
      <c r="CS398" s="23"/>
      <c r="CT398" s="23"/>
      <c r="CU398" s="23"/>
      <c r="CV398" s="23"/>
      <c r="CW398" s="23"/>
      <c r="CX398" s="23"/>
      <c r="CY398" s="23"/>
      <c r="CZ398" s="23"/>
      <c r="DA398" s="23"/>
      <c r="DB398" s="23"/>
      <c r="DC398" s="23"/>
      <c r="DD398" s="23"/>
      <c r="DE398" s="23"/>
      <c r="DF398" s="23"/>
      <c r="DG398" s="23"/>
      <c r="DH398" s="23"/>
      <c r="DI398" s="23"/>
      <c r="DJ398" s="23"/>
      <c r="DK398" s="23"/>
      <c r="DL398" s="23"/>
      <c r="DM398" s="23"/>
      <c r="DN398" s="23"/>
      <c r="DO398" s="23"/>
      <c r="DP398" s="23"/>
      <c r="DQ398" s="23"/>
      <c r="DR398" s="23"/>
      <c r="DS398" s="23"/>
      <c r="DT398" s="23"/>
      <c r="DU398" s="23"/>
      <c r="DV398" s="23"/>
      <c r="DW398" s="23"/>
      <c r="DX398" s="23"/>
      <c r="DY398" s="23"/>
      <c r="DZ398" s="23"/>
      <c r="EA398" s="23"/>
      <c r="EB398" s="23"/>
      <c r="EC398" s="23"/>
      <c r="ED398" s="23"/>
      <c r="EE398" s="23"/>
      <c r="EF398" s="23"/>
      <c r="EG398" s="23"/>
      <c r="EH398" s="23"/>
      <c r="EI398" s="23"/>
      <c r="EJ398" s="23"/>
      <c r="EK398" s="23"/>
      <c r="EL398" s="23"/>
      <c r="EM398" s="23"/>
      <c r="EN398" s="23"/>
      <c r="EO398" s="23"/>
      <c r="EP398" s="23"/>
      <c r="EQ398" s="23"/>
      <c r="ER398" s="23"/>
      <c r="ES398" s="23"/>
      <c r="ET398" s="23"/>
      <c r="EU398" s="23"/>
      <c r="EV398" s="23"/>
      <c r="EW398" s="23"/>
      <c r="EX398" s="23"/>
      <c r="EY398" s="23"/>
      <c r="EZ398" s="23"/>
      <c r="FA398" s="23"/>
      <c r="FB398" s="23"/>
      <c r="FC398" s="23"/>
      <c r="FD398" s="23"/>
      <c r="FE398" s="23"/>
      <c r="FF398" s="23"/>
      <c r="FG398" s="23"/>
      <c r="FH398" s="23"/>
      <c r="FI398" s="23"/>
      <c r="FJ398" s="23"/>
      <c r="FK398" s="23"/>
      <c r="FL398" s="23"/>
      <c r="FM398" s="23"/>
      <c r="FN398" s="23"/>
      <c r="FO398" s="23"/>
      <c r="FP398" s="23"/>
      <c r="FQ398" s="23"/>
      <c r="FR398" s="23"/>
      <c r="FS398" s="23"/>
      <c r="FT398" s="23"/>
      <c r="FU398" s="23"/>
      <c r="FV398" s="23"/>
      <c r="FW398" s="23"/>
      <c r="FX398" s="23"/>
      <c r="FY398" s="23"/>
      <c r="FZ398" s="23"/>
      <c r="GA398" s="23"/>
      <c r="GB398" s="23"/>
      <c r="GC398" s="23"/>
      <c r="GD398" s="23"/>
      <c r="GE398" s="23"/>
      <c r="GF398" s="23"/>
      <c r="GG398" s="23"/>
      <c r="GH398" s="23"/>
      <c r="GI398" s="23"/>
      <c r="GJ398" s="23"/>
      <c r="GK398" s="23"/>
      <c r="GL398" s="23"/>
    </row>
    <row r="399" spans="1:194" ht="13">
      <c r="A399" s="23"/>
      <c r="B399" s="23"/>
      <c r="C399" s="23"/>
      <c r="D399" s="23"/>
      <c r="E399" s="23"/>
      <c r="F399" s="23"/>
      <c r="G399" s="23"/>
      <c r="H399" s="401"/>
      <c r="I399" s="401"/>
      <c r="J399" s="401"/>
      <c r="K399" s="401"/>
      <c r="L399" s="401"/>
      <c r="M399" s="438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  <c r="AL399" s="23"/>
      <c r="AM399" s="23"/>
      <c r="AN399" s="23"/>
      <c r="AO399" s="23"/>
      <c r="AP399" s="23"/>
      <c r="AQ399" s="23"/>
      <c r="AR399" s="23"/>
      <c r="AS399" s="23"/>
      <c r="AT399" s="23"/>
      <c r="AU399" s="23"/>
      <c r="AV399" s="23"/>
      <c r="AW399" s="23"/>
      <c r="AX399" s="23"/>
      <c r="AY399" s="23"/>
      <c r="AZ399" s="23"/>
      <c r="BA399" s="23"/>
      <c r="BB399" s="23"/>
      <c r="BC399" s="23"/>
      <c r="BD399" s="23"/>
      <c r="BE399" s="23"/>
      <c r="BF399" s="23"/>
      <c r="BG399" s="23"/>
      <c r="BH399" s="23"/>
      <c r="BI399" s="23"/>
      <c r="BJ399" s="23"/>
      <c r="BK399" s="23"/>
      <c r="BL399" s="23"/>
      <c r="BM399" s="23"/>
      <c r="BN399" s="23"/>
      <c r="BO399" s="23"/>
      <c r="BP399" s="23"/>
      <c r="BQ399" s="23"/>
      <c r="BR399" s="23"/>
      <c r="BS399" s="23"/>
      <c r="BT399" s="23"/>
      <c r="BU399" s="23"/>
      <c r="BV399" s="23"/>
      <c r="BW399" s="23"/>
      <c r="BX399" s="23"/>
      <c r="BY399" s="23"/>
      <c r="BZ399" s="23"/>
      <c r="CA399" s="23"/>
      <c r="CB399" s="23"/>
      <c r="CC399" s="23"/>
      <c r="CD399" s="23"/>
      <c r="CE399" s="23"/>
      <c r="CF399" s="23"/>
      <c r="CG399" s="23"/>
      <c r="CH399" s="23"/>
      <c r="CI399" s="23"/>
      <c r="CJ399" s="23"/>
      <c r="CK399" s="23"/>
      <c r="CL399" s="23"/>
      <c r="CM399" s="23"/>
      <c r="CN399" s="23"/>
      <c r="CO399" s="23"/>
      <c r="CP399" s="23"/>
      <c r="CQ399" s="23"/>
      <c r="CR399" s="23"/>
      <c r="CS399" s="23"/>
      <c r="CT399" s="23"/>
      <c r="CU399" s="23"/>
      <c r="CV399" s="23"/>
      <c r="CW399" s="23"/>
      <c r="CX399" s="23"/>
      <c r="CY399" s="23"/>
      <c r="CZ399" s="23"/>
      <c r="DA399" s="23"/>
      <c r="DB399" s="23"/>
      <c r="DC399" s="23"/>
      <c r="DD399" s="23"/>
      <c r="DE399" s="23"/>
      <c r="DF399" s="23"/>
      <c r="DG399" s="23"/>
      <c r="DH399" s="23"/>
      <c r="DI399" s="23"/>
      <c r="DJ399" s="23"/>
      <c r="DK399" s="23"/>
      <c r="DL399" s="23"/>
      <c r="DM399" s="23"/>
      <c r="DN399" s="23"/>
      <c r="DO399" s="23"/>
      <c r="DP399" s="23"/>
      <c r="DQ399" s="23"/>
      <c r="DR399" s="23"/>
      <c r="DS399" s="23"/>
      <c r="DT399" s="23"/>
      <c r="DU399" s="23"/>
      <c r="DV399" s="23"/>
      <c r="DW399" s="23"/>
      <c r="DX399" s="23"/>
      <c r="DY399" s="23"/>
      <c r="DZ399" s="23"/>
      <c r="EA399" s="23"/>
      <c r="EB399" s="23"/>
      <c r="EC399" s="23"/>
      <c r="ED399" s="23"/>
      <c r="EE399" s="23"/>
      <c r="EF399" s="23"/>
      <c r="EG399" s="23"/>
      <c r="EH399" s="23"/>
      <c r="EI399" s="23"/>
      <c r="EJ399" s="23"/>
      <c r="EK399" s="23"/>
      <c r="EL399" s="23"/>
      <c r="EM399" s="23"/>
      <c r="EN399" s="23"/>
      <c r="EO399" s="23"/>
      <c r="EP399" s="23"/>
      <c r="EQ399" s="23"/>
      <c r="ER399" s="23"/>
      <c r="ES399" s="23"/>
      <c r="ET399" s="23"/>
      <c r="EU399" s="23"/>
      <c r="EV399" s="23"/>
      <c r="EW399" s="23"/>
      <c r="EX399" s="23"/>
      <c r="EY399" s="23"/>
      <c r="EZ399" s="23"/>
      <c r="FA399" s="23"/>
      <c r="FB399" s="23"/>
      <c r="FC399" s="23"/>
      <c r="FD399" s="23"/>
      <c r="FE399" s="23"/>
      <c r="FF399" s="23"/>
      <c r="FG399" s="23"/>
      <c r="FH399" s="23"/>
      <c r="FI399" s="23"/>
      <c r="FJ399" s="23"/>
      <c r="FK399" s="23"/>
      <c r="FL399" s="23"/>
      <c r="FM399" s="23"/>
      <c r="FN399" s="23"/>
      <c r="FO399" s="23"/>
      <c r="FP399" s="23"/>
      <c r="FQ399" s="23"/>
      <c r="FR399" s="23"/>
      <c r="FS399" s="23"/>
      <c r="FT399" s="23"/>
      <c r="FU399" s="23"/>
      <c r="FV399" s="23"/>
      <c r="FW399" s="23"/>
      <c r="FX399" s="23"/>
      <c r="FY399" s="23"/>
      <c r="FZ399" s="23"/>
      <c r="GA399" s="23"/>
      <c r="GB399" s="23"/>
      <c r="GC399" s="23"/>
      <c r="GD399" s="23"/>
      <c r="GE399" s="23"/>
      <c r="GF399" s="23"/>
      <c r="GG399" s="23"/>
      <c r="GH399" s="23"/>
      <c r="GI399" s="23"/>
      <c r="GJ399" s="23"/>
      <c r="GK399" s="23"/>
      <c r="GL399" s="23"/>
    </row>
    <row r="400" spans="1:194" ht="13">
      <c r="A400" s="23"/>
      <c r="B400" s="23"/>
      <c r="C400" s="23"/>
      <c r="D400" s="23"/>
      <c r="E400" s="23"/>
      <c r="F400" s="23"/>
      <c r="G400" s="23"/>
      <c r="H400" s="401"/>
      <c r="I400" s="401"/>
      <c r="J400" s="401"/>
      <c r="K400" s="401"/>
      <c r="L400" s="401"/>
      <c r="M400" s="438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  <c r="AL400" s="23"/>
      <c r="AM400" s="23"/>
      <c r="AN400" s="23"/>
      <c r="AO400" s="23"/>
      <c r="AP400" s="23"/>
      <c r="AQ400" s="23"/>
      <c r="AR400" s="23"/>
      <c r="AS400" s="23"/>
      <c r="AT400" s="23"/>
      <c r="AU400" s="23"/>
      <c r="AV400" s="23"/>
      <c r="AW400" s="23"/>
      <c r="AX400" s="23"/>
      <c r="AY400" s="23"/>
      <c r="AZ400" s="23"/>
      <c r="BA400" s="23"/>
      <c r="BB400" s="23"/>
      <c r="BC400" s="23"/>
      <c r="BD400" s="23"/>
      <c r="BE400" s="23"/>
      <c r="BF400" s="23"/>
      <c r="BG400" s="23"/>
      <c r="BH400" s="23"/>
      <c r="BI400" s="23"/>
      <c r="BJ400" s="23"/>
      <c r="BK400" s="23"/>
      <c r="BL400" s="23"/>
      <c r="BM400" s="23"/>
      <c r="BN400" s="23"/>
      <c r="BO400" s="23"/>
      <c r="BP400" s="23"/>
      <c r="BQ400" s="23"/>
      <c r="BR400" s="23"/>
      <c r="BS400" s="23"/>
      <c r="BT400" s="23"/>
      <c r="BU400" s="23"/>
      <c r="BV400" s="23"/>
      <c r="BW400" s="23"/>
      <c r="BX400" s="23"/>
      <c r="BY400" s="23"/>
      <c r="BZ400" s="23"/>
      <c r="CA400" s="23"/>
      <c r="CB400" s="23"/>
      <c r="CC400" s="23"/>
      <c r="CD400" s="23"/>
      <c r="CE400" s="23"/>
      <c r="CF400" s="23"/>
      <c r="CG400" s="23"/>
      <c r="CH400" s="23"/>
      <c r="CI400" s="23"/>
      <c r="CJ400" s="23"/>
      <c r="CK400" s="23"/>
      <c r="CL400" s="23"/>
      <c r="CM400" s="23"/>
      <c r="CN400" s="23"/>
      <c r="CO400" s="23"/>
      <c r="CP400" s="23"/>
      <c r="CQ400" s="23"/>
      <c r="CR400" s="23"/>
      <c r="CS400" s="23"/>
      <c r="CT400" s="23"/>
      <c r="CU400" s="23"/>
      <c r="CV400" s="23"/>
      <c r="CW400" s="23"/>
      <c r="CX400" s="23"/>
      <c r="CY400" s="23"/>
      <c r="CZ400" s="23"/>
      <c r="DA400" s="23"/>
      <c r="DB400" s="23"/>
      <c r="DC400" s="23"/>
      <c r="DD400" s="23"/>
      <c r="DE400" s="23"/>
      <c r="DF400" s="23"/>
      <c r="DG400" s="23"/>
      <c r="DH400" s="23"/>
      <c r="DI400" s="23"/>
      <c r="DJ400" s="23"/>
      <c r="DK400" s="23"/>
      <c r="DL400" s="23"/>
      <c r="DM400" s="23"/>
      <c r="DN400" s="23"/>
      <c r="DO400" s="23"/>
      <c r="DP400" s="23"/>
      <c r="DQ400" s="23"/>
      <c r="DR400" s="23"/>
      <c r="DS400" s="23"/>
      <c r="DT400" s="23"/>
      <c r="DU400" s="23"/>
      <c r="DV400" s="23"/>
      <c r="DW400" s="23"/>
      <c r="DX400" s="23"/>
      <c r="DY400" s="23"/>
      <c r="DZ400" s="23"/>
      <c r="EA400" s="23"/>
      <c r="EB400" s="23"/>
      <c r="EC400" s="23"/>
      <c r="ED400" s="23"/>
      <c r="EE400" s="23"/>
      <c r="EF400" s="23"/>
      <c r="EG400" s="23"/>
      <c r="EH400" s="23"/>
      <c r="EI400" s="23"/>
      <c r="EJ400" s="23"/>
      <c r="EK400" s="23"/>
      <c r="EL400" s="23"/>
      <c r="EM400" s="23"/>
      <c r="EN400" s="23"/>
      <c r="EO400" s="23"/>
      <c r="EP400" s="23"/>
      <c r="EQ400" s="23"/>
      <c r="ER400" s="23"/>
      <c r="ES400" s="23"/>
      <c r="ET400" s="23"/>
      <c r="EU400" s="23"/>
      <c r="EV400" s="23"/>
      <c r="EW400" s="23"/>
      <c r="EX400" s="23"/>
      <c r="EY400" s="23"/>
      <c r="EZ400" s="23"/>
      <c r="FA400" s="23"/>
      <c r="FB400" s="23"/>
      <c r="FC400" s="23"/>
      <c r="FD400" s="23"/>
      <c r="FE400" s="23"/>
      <c r="FF400" s="23"/>
      <c r="FG400" s="23"/>
      <c r="FH400" s="23"/>
      <c r="FI400" s="23"/>
      <c r="FJ400" s="23"/>
      <c r="FK400" s="23"/>
      <c r="FL400" s="23"/>
      <c r="FM400" s="23"/>
      <c r="FN400" s="23"/>
      <c r="FO400" s="23"/>
      <c r="FP400" s="23"/>
      <c r="FQ400" s="23"/>
      <c r="FR400" s="23"/>
      <c r="FS400" s="23"/>
      <c r="FT400" s="23"/>
      <c r="FU400" s="23"/>
      <c r="FV400" s="23"/>
      <c r="FW400" s="23"/>
      <c r="FX400" s="23"/>
      <c r="FY400" s="23"/>
      <c r="FZ400" s="23"/>
      <c r="GA400" s="23"/>
      <c r="GB400" s="23"/>
      <c r="GC400" s="23"/>
      <c r="GD400" s="23"/>
      <c r="GE400" s="23"/>
      <c r="GF400" s="23"/>
      <c r="GG400" s="23"/>
      <c r="GH400" s="23"/>
      <c r="GI400" s="23"/>
      <c r="GJ400" s="23"/>
      <c r="GK400" s="23"/>
      <c r="GL400" s="23"/>
    </row>
    <row r="401" spans="1:194" ht="13">
      <c r="A401" s="23"/>
      <c r="B401" s="23"/>
      <c r="C401" s="23"/>
      <c r="D401" s="23"/>
      <c r="E401" s="23"/>
      <c r="F401" s="23"/>
      <c r="G401" s="23"/>
      <c r="H401" s="401"/>
      <c r="I401" s="401"/>
      <c r="J401" s="401"/>
      <c r="K401" s="401"/>
      <c r="L401" s="401"/>
      <c r="M401" s="438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  <c r="AL401" s="23"/>
      <c r="AM401" s="23"/>
      <c r="AN401" s="23"/>
      <c r="AO401" s="23"/>
      <c r="AP401" s="23"/>
      <c r="AQ401" s="23"/>
      <c r="AR401" s="23"/>
      <c r="AS401" s="23"/>
      <c r="AT401" s="23"/>
      <c r="AU401" s="23"/>
      <c r="AV401" s="23"/>
      <c r="AW401" s="23"/>
      <c r="AX401" s="23"/>
      <c r="AY401" s="23"/>
      <c r="AZ401" s="23"/>
      <c r="BA401" s="23"/>
      <c r="BB401" s="23"/>
      <c r="BC401" s="23"/>
      <c r="BD401" s="23"/>
      <c r="BE401" s="23"/>
      <c r="BF401" s="23"/>
      <c r="BG401" s="23"/>
      <c r="BH401" s="23"/>
      <c r="BI401" s="23"/>
      <c r="BJ401" s="23"/>
      <c r="BK401" s="23"/>
      <c r="BL401" s="23"/>
      <c r="BM401" s="23"/>
      <c r="BN401" s="23"/>
      <c r="BO401" s="23"/>
      <c r="BP401" s="23"/>
      <c r="BQ401" s="23"/>
      <c r="BR401" s="23"/>
      <c r="BS401" s="23"/>
      <c r="BT401" s="23"/>
      <c r="BU401" s="23"/>
      <c r="BV401" s="23"/>
      <c r="BW401" s="23"/>
      <c r="BX401" s="23"/>
      <c r="BY401" s="23"/>
      <c r="BZ401" s="23"/>
      <c r="CA401" s="23"/>
      <c r="CB401" s="23"/>
      <c r="CC401" s="23"/>
      <c r="CD401" s="23"/>
      <c r="CE401" s="23"/>
      <c r="CF401" s="23"/>
      <c r="CG401" s="23"/>
      <c r="CH401" s="23"/>
      <c r="CI401" s="23"/>
      <c r="CJ401" s="23"/>
      <c r="CK401" s="23"/>
      <c r="CL401" s="23"/>
      <c r="CM401" s="23"/>
      <c r="CN401" s="23"/>
      <c r="CO401" s="23"/>
      <c r="CP401" s="23"/>
      <c r="CQ401" s="23"/>
      <c r="CR401" s="23"/>
      <c r="CS401" s="23"/>
      <c r="CT401" s="23"/>
      <c r="CU401" s="23"/>
      <c r="CV401" s="23"/>
      <c r="CW401" s="23"/>
      <c r="CX401" s="23"/>
      <c r="CY401" s="23"/>
      <c r="CZ401" s="23"/>
      <c r="DA401" s="23"/>
      <c r="DB401" s="23"/>
      <c r="DC401" s="23"/>
      <c r="DD401" s="23"/>
      <c r="DE401" s="23"/>
      <c r="DF401" s="23"/>
      <c r="DG401" s="23"/>
      <c r="DH401" s="23"/>
      <c r="DI401" s="23"/>
      <c r="DJ401" s="23"/>
      <c r="DK401" s="23"/>
      <c r="DL401" s="23"/>
      <c r="DM401" s="23"/>
      <c r="DN401" s="23"/>
      <c r="DO401" s="23"/>
      <c r="DP401" s="23"/>
      <c r="DQ401" s="23"/>
      <c r="DR401" s="23"/>
      <c r="DS401" s="23"/>
      <c r="DT401" s="23"/>
      <c r="DU401" s="23"/>
      <c r="DV401" s="23"/>
      <c r="DW401" s="23"/>
      <c r="DX401" s="23"/>
      <c r="DY401" s="23"/>
      <c r="DZ401" s="23"/>
      <c r="EA401" s="23"/>
      <c r="EB401" s="23"/>
      <c r="EC401" s="23"/>
      <c r="ED401" s="23"/>
      <c r="EE401" s="23"/>
      <c r="EF401" s="23"/>
      <c r="EG401" s="23"/>
      <c r="EH401" s="23"/>
      <c r="EI401" s="23"/>
      <c r="EJ401" s="23"/>
      <c r="EK401" s="23"/>
      <c r="EL401" s="23"/>
      <c r="EM401" s="23"/>
      <c r="EN401" s="23"/>
      <c r="EO401" s="23"/>
      <c r="EP401" s="23"/>
      <c r="EQ401" s="23"/>
      <c r="ER401" s="23"/>
      <c r="ES401" s="23"/>
      <c r="ET401" s="23"/>
      <c r="EU401" s="23"/>
      <c r="EV401" s="23"/>
      <c r="EW401" s="23"/>
      <c r="EX401" s="23"/>
      <c r="EY401" s="23"/>
      <c r="EZ401" s="23"/>
      <c r="FA401" s="23"/>
      <c r="FB401" s="23"/>
      <c r="FC401" s="23"/>
      <c r="FD401" s="23"/>
      <c r="FE401" s="23"/>
      <c r="FF401" s="23"/>
      <c r="FG401" s="23"/>
      <c r="FH401" s="23"/>
      <c r="FI401" s="23"/>
      <c r="FJ401" s="23"/>
      <c r="FK401" s="23"/>
      <c r="FL401" s="23"/>
      <c r="FM401" s="23"/>
      <c r="FN401" s="23"/>
      <c r="FO401" s="23"/>
      <c r="FP401" s="23"/>
      <c r="FQ401" s="23"/>
      <c r="FR401" s="23"/>
      <c r="FS401" s="23"/>
      <c r="FT401" s="23"/>
      <c r="FU401" s="23"/>
      <c r="FV401" s="23"/>
      <c r="FW401" s="23"/>
      <c r="FX401" s="23"/>
      <c r="FY401" s="23"/>
      <c r="FZ401" s="23"/>
      <c r="GA401" s="23"/>
      <c r="GB401" s="23"/>
      <c r="GC401" s="23"/>
      <c r="GD401" s="23"/>
      <c r="GE401" s="23"/>
      <c r="GF401" s="23"/>
      <c r="GG401" s="23"/>
      <c r="GH401" s="23"/>
      <c r="GI401" s="23"/>
      <c r="GJ401" s="23"/>
      <c r="GK401" s="23"/>
      <c r="GL401" s="23"/>
    </row>
    <row r="402" spans="1:194" ht="13">
      <c r="A402" s="23"/>
      <c r="B402" s="23"/>
      <c r="C402" s="23"/>
      <c r="D402" s="23"/>
      <c r="E402" s="23"/>
      <c r="F402" s="23"/>
      <c r="G402" s="23"/>
      <c r="H402" s="401"/>
      <c r="I402" s="401"/>
      <c r="J402" s="401"/>
      <c r="K402" s="401"/>
      <c r="L402" s="401"/>
      <c r="M402" s="438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  <c r="AL402" s="23"/>
      <c r="AM402" s="23"/>
      <c r="AN402" s="23"/>
      <c r="AO402" s="23"/>
      <c r="AP402" s="23"/>
      <c r="AQ402" s="23"/>
      <c r="AR402" s="23"/>
      <c r="AS402" s="23"/>
      <c r="AT402" s="23"/>
      <c r="AU402" s="23"/>
      <c r="AV402" s="23"/>
      <c r="AW402" s="23"/>
      <c r="AX402" s="23"/>
      <c r="AY402" s="23"/>
      <c r="AZ402" s="23"/>
      <c r="BA402" s="23"/>
      <c r="BB402" s="23"/>
      <c r="BC402" s="23"/>
      <c r="BD402" s="23"/>
      <c r="BE402" s="23"/>
      <c r="BF402" s="23"/>
      <c r="BG402" s="23"/>
      <c r="BH402" s="23"/>
      <c r="BI402" s="23"/>
      <c r="BJ402" s="23"/>
      <c r="BK402" s="23"/>
      <c r="BL402" s="23"/>
      <c r="BM402" s="23"/>
      <c r="BN402" s="23"/>
      <c r="BO402" s="23"/>
      <c r="BP402" s="23"/>
      <c r="BQ402" s="23"/>
      <c r="BR402" s="23"/>
      <c r="BS402" s="23"/>
      <c r="BT402" s="23"/>
      <c r="BU402" s="23"/>
      <c r="BV402" s="23"/>
      <c r="BW402" s="23"/>
      <c r="BX402" s="23"/>
      <c r="BY402" s="23"/>
      <c r="BZ402" s="23"/>
      <c r="CA402" s="23"/>
      <c r="CB402" s="23"/>
      <c r="CC402" s="23"/>
      <c r="CD402" s="23"/>
      <c r="CE402" s="23"/>
      <c r="CF402" s="23"/>
      <c r="CG402" s="23"/>
      <c r="CH402" s="23"/>
      <c r="CI402" s="23"/>
      <c r="CJ402" s="23"/>
      <c r="CK402" s="23"/>
      <c r="CL402" s="23"/>
      <c r="CM402" s="23"/>
      <c r="CN402" s="23"/>
      <c r="CO402" s="23"/>
      <c r="CP402" s="23"/>
      <c r="CQ402" s="23"/>
      <c r="CR402" s="23"/>
      <c r="CS402" s="23"/>
      <c r="CT402" s="23"/>
      <c r="CU402" s="23"/>
      <c r="CV402" s="23"/>
      <c r="CW402" s="23"/>
      <c r="CX402" s="23"/>
      <c r="CY402" s="23"/>
      <c r="CZ402" s="23"/>
      <c r="DA402" s="23"/>
      <c r="DB402" s="23"/>
      <c r="DC402" s="23"/>
      <c r="DD402" s="23"/>
      <c r="DE402" s="23"/>
      <c r="DF402" s="23"/>
      <c r="DG402" s="23"/>
      <c r="DH402" s="23"/>
      <c r="DI402" s="23"/>
      <c r="DJ402" s="23"/>
      <c r="DK402" s="23"/>
      <c r="DL402" s="23"/>
      <c r="DM402" s="23"/>
      <c r="DN402" s="23"/>
      <c r="DO402" s="23"/>
      <c r="DP402" s="23"/>
      <c r="DQ402" s="23"/>
      <c r="DR402" s="23"/>
      <c r="DS402" s="23"/>
      <c r="DT402" s="23"/>
      <c r="DU402" s="23"/>
      <c r="DV402" s="23"/>
      <c r="DW402" s="23"/>
      <c r="DX402" s="23"/>
      <c r="DY402" s="23"/>
      <c r="DZ402" s="23"/>
      <c r="EA402" s="23"/>
      <c r="EB402" s="23"/>
      <c r="EC402" s="23"/>
      <c r="ED402" s="23"/>
      <c r="EE402" s="23"/>
      <c r="EF402" s="23"/>
      <c r="EG402" s="23"/>
      <c r="EH402" s="23"/>
      <c r="EI402" s="23"/>
      <c r="EJ402" s="23"/>
      <c r="EK402" s="23"/>
      <c r="EL402" s="23"/>
      <c r="EM402" s="23"/>
      <c r="EN402" s="23"/>
      <c r="EO402" s="23"/>
      <c r="EP402" s="23"/>
      <c r="EQ402" s="23"/>
      <c r="ER402" s="23"/>
      <c r="ES402" s="23"/>
      <c r="ET402" s="23"/>
      <c r="EU402" s="23"/>
      <c r="EV402" s="23"/>
      <c r="EW402" s="23"/>
      <c r="EX402" s="23"/>
      <c r="EY402" s="23"/>
      <c r="EZ402" s="23"/>
      <c r="FA402" s="23"/>
      <c r="FB402" s="23"/>
      <c r="FC402" s="23"/>
      <c r="FD402" s="23"/>
      <c r="FE402" s="23"/>
      <c r="FF402" s="23"/>
      <c r="FG402" s="23"/>
      <c r="FH402" s="23"/>
      <c r="FI402" s="23"/>
      <c r="FJ402" s="23"/>
      <c r="FK402" s="23"/>
      <c r="FL402" s="23"/>
      <c r="FM402" s="23"/>
      <c r="FN402" s="23"/>
      <c r="FO402" s="23"/>
      <c r="FP402" s="23"/>
      <c r="FQ402" s="23"/>
      <c r="FR402" s="23"/>
      <c r="FS402" s="23"/>
      <c r="FT402" s="23"/>
      <c r="FU402" s="23"/>
      <c r="FV402" s="23"/>
      <c r="FW402" s="23"/>
      <c r="FX402" s="23"/>
      <c r="FY402" s="23"/>
      <c r="FZ402" s="23"/>
      <c r="GA402" s="23"/>
      <c r="GB402" s="23"/>
      <c r="GC402" s="23"/>
      <c r="GD402" s="23"/>
      <c r="GE402" s="23"/>
      <c r="GF402" s="23"/>
      <c r="GG402" s="23"/>
      <c r="GH402" s="23"/>
      <c r="GI402" s="23"/>
      <c r="GJ402" s="23"/>
      <c r="GK402" s="23"/>
      <c r="GL402" s="23"/>
    </row>
    <row r="403" spans="1:194" ht="13">
      <c r="A403" s="23"/>
      <c r="B403" s="23"/>
      <c r="C403" s="23"/>
      <c r="D403" s="23"/>
      <c r="E403" s="23"/>
      <c r="F403" s="23"/>
      <c r="G403" s="23"/>
      <c r="H403" s="401"/>
      <c r="I403" s="401"/>
      <c r="J403" s="401"/>
      <c r="K403" s="401"/>
      <c r="L403" s="401"/>
      <c r="M403" s="438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  <c r="AL403" s="23"/>
      <c r="AM403" s="23"/>
      <c r="AN403" s="23"/>
      <c r="AO403" s="23"/>
      <c r="AP403" s="23"/>
      <c r="AQ403" s="23"/>
      <c r="AR403" s="23"/>
      <c r="AS403" s="23"/>
      <c r="AT403" s="23"/>
      <c r="AU403" s="23"/>
      <c r="AV403" s="23"/>
      <c r="AW403" s="23"/>
      <c r="AX403" s="23"/>
      <c r="AY403" s="23"/>
      <c r="AZ403" s="23"/>
      <c r="BA403" s="23"/>
      <c r="BB403" s="23"/>
      <c r="BC403" s="23"/>
      <c r="BD403" s="23"/>
      <c r="BE403" s="23"/>
      <c r="BF403" s="23"/>
      <c r="BG403" s="23"/>
      <c r="BH403" s="23"/>
      <c r="BI403" s="23"/>
      <c r="BJ403" s="23"/>
      <c r="BK403" s="23"/>
      <c r="BL403" s="23"/>
      <c r="BM403" s="23"/>
      <c r="BN403" s="23"/>
      <c r="BO403" s="23"/>
      <c r="BP403" s="23"/>
      <c r="BQ403" s="23"/>
      <c r="BR403" s="23"/>
      <c r="BS403" s="23"/>
      <c r="BT403" s="23"/>
      <c r="BU403" s="23"/>
      <c r="BV403" s="23"/>
      <c r="BW403" s="23"/>
      <c r="BX403" s="23"/>
      <c r="BY403" s="23"/>
      <c r="BZ403" s="23"/>
      <c r="CA403" s="23"/>
      <c r="CB403" s="23"/>
      <c r="CC403" s="23"/>
      <c r="CD403" s="23"/>
      <c r="CE403" s="23"/>
      <c r="CF403" s="23"/>
      <c r="CG403" s="23"/>
      <c r="CH403" s="23"/>
      <c r="CI403" s="23"/>
      <c r="CJ403" s="23"/>
      <c r="CK403" s="23"/>
      <c r="CL403" s="23"/>
      <c r="CM403" s="23"/>
      <c r="CN403" s="23"/>
      <c r="CO403" s="23"/>
      <c r="CP403" s="23"/>
      <c r="CQ403" s="23"/>
      <c r="CR403" s="23"/>
      <c r="CS403" s="23"/>
      <c r="CT403" s="23"/>
      <c r="CU403" s="23"/>
      <c r="CV403" s="23"/>
      <c r="CW403" s="23"/>
      <c r="CX403" s="23"/>
      <c r="CY403" s="23"/>
      <c r="CZ403" s="23"/>
      <c r="DA403" s="23"/>
      <c r="DB403" s="23"/>
      <c r="DC403" s="23"/>
      <c r="DD403" s="23"/>
      <c r="DE403" s="23"/>
      <c r="DF403" s="23"/>
      <c r="DG403" s="23"/>
      <c r="DH403" s="23"/>
      <c r="DI403" s="23"/>
      <c r="DJ403" s="23"/>
      <c r="DK403" s="23"/>
      <c r="DL403" s="23"/>
      <c r="DM403" s="23"/>
      <c r="DN403" s="23"/>
      <c r="DO403" s="23"/>
      <c r="DP403" s="23"/>
      <c r="DQ403" s="23"/>
      <c r="DR403" s="23"/>
      <c r="DS403" s="23"/>
      <c r="DT403" s="23"/>
      <c r="DU403" s="23"/>
      <c r="DV403" s="23"/>
      <c r="DW403" s="23"/>
      <c r="DX403" s="23"/>
      <c r="DY403" s="23"/>
      <c r="DZ403" s="23"/>
      <c r="EA403" s="23"/>
      <c r="EB403" s="23"/>
      <c r="EC403" s="23"/>
      <c r="ED403" s="23"/>
      <c r="EE403" s="23"/>
      <c r="EF403" s="23"/>
      <c r="EG403" s="23"/>
      <c r="EH403" s="23"/>
      <c r="EI403" s="23"/>
      <c r="EJ403" s="23"/>
      <c r="EK403" s="23"/>
      <c r="EL403" s="23"/>
      <c r="EM403" s="23"/>
      <c r="EN403" s="23"/>
      <c r="EO403" s="23"/>
      <c r="EP403" s="23"/>
      <c r="EQ403" s="23"/>
      <c r="ER403" s="23"/>
      <c r="ES403" s="23"/>
      <c r="ET403" s="23"/>
      <c r="EU403" s="23"/>
      <c r="EV403" s="23"/>
      <c r="EW403" s="23"/>
      <c r="EX403" s="23"/>
      <c r="EY403" s="23"/>
      <c r="EZ403" s="23"/>
      <c r="FA403" s="23"/>
      <c r="FB403" s="23"/>
      <c r="FC403" s="23"/>
      <c r="FD403" s="23"/>
      <c r="FE403" s="23"/>
      <c r="FF403" s="23"/>
      <c r="FG403" s="23"/>
      <c r="FH403" s="23"/>
      <c r="FI403" s="23"/>
      <c r="FJ403" s="23"/>
      <c r="FK403" s="23"/>
      <c r="FL403" s="23"/>
      <c r="FM403" s="23"/>
      <c r="FN403" s="23"/>
      <c r="FO403" s="23"/>
      <c r="FP403" s="23"/>
      <c r="FQ403" s="23"/>
      <c r="FR403" s="23"/>
      <c r="FS403" s="23"/>
      <c r="FT403" s="23"/>
      <c r="FU403" s="23"/>
      <c r="FV403" s="23"/>
      <c r="FW403" s="23"/>
      <c r="FX403" s="23"/>
      <c r="FY403" s="23"/>
      <c r="FZ403" s="23"/>
      <c r="GA403" s="23"/>
      <c r="GB403" s="23"/>
      <c r="GC403" s="23"/>
      <c r="GD403" s="23"/>
      <c r="GE403" s="23"/>
      <c r="GF403" s="23"/>
      <c r="GG403" s="23"/>
      <c r="GH403" s="23"/>
      <c r="GI403" s="23"/>
      <c r="GJ403" s="23"/>
      <c r="GK403" s="23"/>
      <c r="GL403" s="23"/>
    </row>
    <row r="404" spans="1:194" ht="13">
      <c r="A404" s="23"/>
      <c r="B404" s="23"/>
      <c r="C404" s="23"/>
      <c r="D404" s="23"/>
      <c r="E404" s="23"/>
      <c r="F404" s="23"/>
      <c r="G404" s="23"/>
      <c r="H404" s="401"/>
      <c r="I404" s="401"/>
      <c r="J404" s="401"/>
      <c r="K404" s="401"/>
      <c r="L404" s="401"/>
      <c r="M404" s="438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  <c r="AL404" s="23"/>
      <c r="AM404" s="23"/>
      <c r="AN404" s="23"/>
      <c r="AO404" s="23"/>
      <c r="AP404" s="23"/>
      <c r="AQ404" s="23"/>
      <c r="AR404" s="23"/>
      <c r="AS404" s="23"/>
      <c r="AT404" s="23"/>
      <c r="AU404" s="23"/>
      <c r="AV404" s="23"/>
      <c r="AW404" s="23"/>
      <c r="AX404" s="23"/>
      <c r="AY404" s="23"/>
      <c r="AZ404" s="23"/>
      <c r="BA404" s="23"/>
      <c r="BB404" s="23"/>
      <c r="BC404" s="23"/>
      <c r="BD404" s="23"/>
      <c r="BE404" s="23"/>
      <c r="BF404" s="23"/>
      <c r="BG404" s="23"/>
      <c r="BH404" s="23"/>
      <c r="BI404" s="23"/>
      <c r="BJ404" s="23"/>
      <c r="BK404" s="23"/>
      <c r="BL404" s="23"/>
      <c r="BM404" s="23"/>
      <c r="BN404" s="23"/>
      <c r="BO404" s="23"/>
      <c r="BP404" s="23"/>
      <c r="BQ404" s="23"/>
      <c r="BR404" s="23"/>
      <c r="BS404" s="23"/>
      <c r="BT404" s="23"/>
      <c r="BU404" s="23"/>
      <c r="BV404" s="23"/>
      <c r="BW404" s="23"/>
      <c r="BX404" s="23"/>
      <c r="BY404" s="23"/>
      <c r="BZ404" s="23"/>
      <c r="CA404" s="23"/>
      <c r="CB404" s="23"/>
      <c r="CC404" s="23"/>
      <c r="CD404" s="23"/>
      <c r="CE404" s="23"/>
      <c r="CF404" s="23"/>
      <c r="CG404" s="23"/>
      <c r="CH404" s="23"/>
      <c r="CI404" s="23"/>
      <c r="CJ404" s="23"/>
      <c r="CK404" s="23"/>
      <c r="CL404" s="23"/>
      <c r="CM404" s="23"/>
      <c r="CN404" s="23"/>
      <c r="CO404" s="23"/>
      <c r="CP404" s="23"/>
      <c r="CQ404" s="23"/>
      <c r="CR404" s="23"/>
      <c r="CS404" s="23"/>
      <c r="CT404" s="23"/>
      <c r="CU404" s="23"/>
      <c r="CV404" s="23"/>
      <c r="CW404" s="23"/>
      <c r="CX404" s="23"/>
      <c r="CY404" s="23"/>
      <c r="CZ404" s="23"/>
      <c r="DA404" s="23"/>
      <c r="DB404" s="23"/>
      <c r="DC404" s="23"/>
      <c r="DD404" s="23"/>
      <c r="DE404" s="23"/>
      <c r="DF404" s="23"/>
      <c r="DG404" s="23"/>
      <c r="DH404" s="23"/>
      <c r="DI404" s="23"/>
      <c r="DJ404" s="23"/>
      <c r="DK404" s="23"/>
      <c r="DL404" s="23"/>
      <c r="DM404" s="23"/>
      <c r="DN404" s="23"/>
      <c r="DO404" s="23"/>
      <c r="DP404" s="23"/>
      <c r="DQ404" s="23"/>
      <c r="DR404" s="23"/>
      <c r="DS404" s="23"/>
      <c r="DT404" s="23"/>
      <c r="DU404" s="23"/>
      <c r="DV404" s="23"/>
      <c r="DW404" s="23"/>
      <c r="DX404" s="23"/>
      <c r="DY404" s="23"/>
      <c r="DZ404" s="23"/>
      <c r="EA404" s="23"/>
      <c r="EB404" s="23"/>
      <c r="EC404" s="23"/>
      <c r="ED404" s="23"/>
      <c r="EE404" s="23"/>
      <c r="EF404" s="23"/>
      <c r="EG404" s="23"/>
      <c r="EH404" s="23"/>
      <c r="EI404" s="23"/>
      <c r="EJ404" s="23"/>
      <c r="EK404" s="23"/>
      <c r="EL404" s="23"/>
      <c r="EM404" s="23"/>
      <c r="EN404" s="23"/>
      <c r="EO404" s="23"/>
      <c r="EP404" s="23"/>
      <c r="EQ404" s="23"/>
      <c r="ER404" s="23"/>
      <c r="ES404" s="23"/>
      <c r="ET404" s="23"/>
      <c r="EU404" s="23"/>
      <c r="EV404" s="23"/>
      <c r="EW404" s="23"/>
      <c r="EX404" s="23"/>
      <c r="EY404" s="23"/>
      <c r="EZ404" s="23"/>
      <c r="FA404" s="23"/>
      <c r="FB404" s="23"/>
      <c r="FC404" s="23"/>
      <c r="FD404" s="23"/>
      <c r="FE404" s="23"/>
      <c r="FF404" s="23"/>
      <c r="FG404" s="23"/>
      <c r="FH404" s="23"/>
      <c r="FI404" s="23"/>
      <c r="FJ404" s="23"/>
      <c r="FK404" s="23"/>
      <c r="FL404" s="23"/>
      <c r="FM404" s="23"/>
      <c r="FN404" s="23"/>
      <c r="FO404" s="23"/>
      <c r="FP404" s="23"/>
      <c r="FQ404" s="23"/>
      <c r="FR404" s="23"/>
      <c r="FS404" s="23"/>
      <c r="FT404" s="23"/>
      <c r="FU404" s="23"/>
      <c r="FV404" s="23"/>
      <c r="FW404" s="23"/>
      <c r="FX404" s="23"/>
      <c r="FY404" s="23"/>
      <c r="FZ404" s="23"/>
      <c r="GA404" s="23"/>
      <c r="GB404" s="23"/>
      <c r="GC404" s="23"/>
      <c r="GD404" s="23"/>
      <c r="GE404" s="23"/>
      <c r="GF404" s="23"/>
      <c r="GG404" s="23"/>
      <c r="GH404" s="23"/>
      <c r="GI404" s="23"/>
      <c r="GJ404" s="23"/>
      <c r="GK404" s="23"/>
      <c r="GL404" s="23"/>
    </row>
    <row r="405" spans="1:194" ht="13">
      <c r="A405" s="23"/>
      <c r="B405" s="23"/>
      <c r="C405" s="23"/>
      <c r="D405" s="23"/>
      <c r="E405" s="23"/>
      <c r="F405" s="23"/>
      <c r="G405" s="23"/>
      <c r="H405" s="401"/>
      <c r="I405" s="401"/>
      <c r="J405" s="401"/>
      <c r="K405" s="401"/>
      <c r="L405" s="401"/>
      <c r="M405" s="438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  <c r="AL405" s="23"/>
      <c r="AM405" s="23"/>
      <c r="AN405" s="23"/>
      <c r="AO405" s="23"/>
      <c r="AP405" s="23"/>
      <c r="AQ405" s="23"/>
      <c r="AR405" s="23"/>
      <c r="AS405" s="23"/>
      <c r="AT405" s="23"/>
      <c r="AU405" s="23"/>
      <c r="AV405" s="23"/>
      <c r="AW405" s="23"/>
      <c r="AX405" s="23"/>
      <c r="AY405" s="23"/>
      <c r="AZ405" s="23"/>
      <c r="BA405" s="23"/>
      <c r="BB405" s="23"/>
      <c r="BC405" s="23"/>
      <c r="BD405" s="23"/>
      <c r="BE405" s="23"/>
      <c r="BF405" s="23"/>
      <c r="BG405" s="23"/>
      <c r="BH405" s="23"/>
      <c r="BI405" s="23"/>
      <c r="BJ405" s="23"/>
      <c r="BK405" s="23"/>
      <c r="BL405" s="23"/>
      <c r="BM405" s="23"/>
      <c r="BN405" s="23"/>
      <c r="BO405" s="23"/>
      <c r="BP405" s="23"/>
      <c r="BQ405" s="23"/>
      <c r="BR405" s="23"/>
      <c r="BS405" s="23"/>
      <c r="BT405" s="23"/>
      <c r="BU405" s="23"/>
      <c r="BV405" s="23"/>
      <c r="BW405" s="23"/>
      <c r="BX405" s="23"/>
      <c r="BY405" s="23"/>
      <c r="BZ405" s="23"/>
      <c r="CA405" s="23"/>
      <c r="CB405" s="23"/>
      <c r="CC405" s="23"/>
      <c r="CD405" s="23"/>
      <c r="CE405" s="23"/>
      <c r="CF405" s="23"/>
      <c r="CG405" s="23"/>
      <c r="CH405" s="23"/>
      <c r="CI405" s="23"/>
      <c r="CJ405" s="23"/>
      <c r="CK405" s="23"/>
      <c r="CL405" s="23"/>
      <c r="CM405" s="23"/>
      <c r="CN405" s="23"/>
      <c r="CO405" s="23"/>
      <c r="CP405" s="23"/>
      <c r="CQ405" s="23"/>
      <c r="CR405" s="23"/>
      <c r="CS405" s="23"/>
      <c r="CT405" s="23"/>
      <c r="CU405" s="23"/>
      <c r="CV405" s="23"/>
      <c r="CW405" s="23"/>
      <c r="CX405" s="23"/>
      <c r="CY405" s="23"/>
      <c r="CZ405" s="23"/>
      <c r="DA405" s="23"/>
      <c r="DB405" s="23"/>
      <c r="DC405" s="23"/>
      <c r="DD405" s="23"/>
      <c r="DE405" s="23"/>
      <c r="DF405" s="23"/>
      <c r="DG405" s="23"/>
      <c r="DH405" s="23"/>
      <c r="DI405" s="23"/>
      <c r="DJ405" s="23"/>
      <c r="DK405" s="23"/>
      <c r="DL405" s="23"/>
      <c r="DM405" s="23"/>
      <c r="DN405" s="23"/>
      <c r="DO405" s="23"/>
      <c r="DP405" s="23"/>
      <c r="DQ405" s="23"/>
      <c r="DR405" s="23"/>
      <c r="DS405" s="23"/>
      <c r="DT405" s="23"/>
      <c r="DU405" s="23"/>
      <c r="DV405" s="23"/>
      <c r="DW405" s="23"/>
      <c r="DX405" s="23"/>
      <c r="DY405" s="23"/>
      <c r="DZ405" s="23"/>
      <c r="EA405" s="23"/>
      <c r="EB405" s="23"/>
      <c r="EC405" s="23"/>
      <c r="ED405" s="23"/>
      <c r="EE405" s="23"/>
      <c r="EF405" s="23"/>
      <c r="EG405" s="23"/>
      <c r="EH405" s="23"/>
      <c r="EI405" s="23"/>
      <c r="EJ405" s="23"/>
      <c r="EK405" s="23"/>
      <c r="EL405" s="23"/>
      <c r="EM405" s="23"/>
      <c r="EN405" s="23"/>
      <c r="EO405" s="23"/>
      <c r="EP405" s="23"/>
      <c r="EQ405" s="23"/>
      <c r="ER405" s="23"/>
      <c r="ES405" s="23"/>
      <c r="ET405" s="23"/>
      <c r="EU405" s="23"/>
      <c r="EV405" s="23"/>
      <c r="EW405" s="23"/>
      <c r="EX405" s="23"/>
      <c r="EY405" s="23"/>
      <c r="EZ405" s="23"/>
      <c r="FA405" s="23"/>
      <c r="FB405" s="23"/>
      <c r="FC405" s="23"/>
      <c r="FD405" s="23"/>
      <c r="FE405" s="23"/>
      <c r="FF405" s="23"/>
      <c r="FG405" s="23"/>
      <c r="FH405" s="23"/>
      <c r="FI405" s="23"/>
      <c r="FJ405" s="23"/>
      <c r="FK405" s="23"/>
      <c r="FL405" s="23"/>
      <c r="FM405" s="23"/>
      <c r="FN405" s="23"/>
      <c r="FO405" s="23"/>
      <c r="FP405" s="23"/>
      <c r="FQ405" s="23"/>
      <c r="FR405" s="23"/>
      <c r="FS405" s="23"/>
      <c r="FT405" s="23"/>
      <c r="FU405" s="23"/>
      <c r="FV405" s="23"/>
      <c r="FW405" s="23"/>
      <c r="FX405" s="23"/>
      <c r="FY405" s="23"/>
      <c r="FZ405" s="23"/>
      <c r="GA405" s="23"/>
      <c r="GB405" s="23"/>
      <c r="GC405" s="23"/>
      <c r="GD405" s="23"/>
      <c r="GE405" s="23"/>
      <c r="GF405" s="23"/>
      <c r="GG405" s="23"/>
      <c r="GH405" s="23"/>
      <c r="GI405" s="23"/>
      <c r="GJ405" s="23"/>
      <c r="GK405" s="23"/>
      <c r="GL405" s="23"/>
    </row>
    <row r="406" spans="1:194" ht="13">
      <c r="A406" s="23"/>
      <c r="B406" s="23"/>
      <c r="C406" s="23"/>
      <c r="D406" s="23"/>
      <c r="E406" s="23"/>
      <c r="F406" s="23"/>
      <c r="G406" s="23"/>
      <c r="H406" s="401"/>
      <c r="I406" s="401"/>
      <c r="J406" s="401"/>
      <c r="K406" s="401"/>
      <c r="L406" s="401"/>
      <c r="M406" s="438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  <c r="AL406" s="23"/>
      <c r="AM406" s="23"/>
      <c r="AN406" s="23"/>
      <c r="AO406" s="23"/>
      <c r="AP406" s="23"/>
      <c r="AQ406" s="23"/>
      <c r="AR406" s="23"/>
      <c r="AS406" s="23"/>
      <c r="AT406" s="23"/>
      <c r="AU406" s="23"/>
      <c r="AV406" s="23"/>
      <c r="AW406" s="23"/>
      <c r="AX406" s="23"/>
      <c r="AY406" s="23"/>
      <c r="AZ406" s="23"/>
      <c r="BA406" s="23"/>
      <c r="BB406" s="23"/>
      <c r="BC406" s="23"/>
      <c r="BD406" s="23"/>
      <c r="BE406" s="23"/>
      <c r="BF406" s="23"/>
      <c r="BG406" s="23"/>
      <c r="BH406" s="23"/>
      <c r="BI406" s="23"/>
      <c r="BJ406" s="23"/>
      <c r="BK406" s="23"/>
      <c r="BL406" s="23"/>
      <c r="BM406" s="23"/>
      <c r="BN406" s="23"/>
      <c r="BO406" s="23"/>
      <c r="BP406" s="23"/>
      <c r="BQ406" s="23"/>
      <c r="BR406" s="23"/>
      <c r="BS406" s="23"/>
      <c r="BT406" s="23"/>
      <c r="BU406" s="23"/>
      <c r="BV406" s="23"/>
      <c r="BW406" s="23"/>
      <c r="BX406" s="23"/>
      <c r="BY406" s="23"/>
      <c r="BZ406" s="23"/>
      <c r="CA406" s="23"/>
      <c r="CB406" s="23"/>
      <c r="CC406" s="23"/>
      <c r="CD406" s="23"/>
      <c r="CE406" s="23"/>
      <c r="CF406" s="23"/>
      <c r="CG406" s="23"/>
      <c r="CH406" s="23"/>
      <c r="CI406" s="23"/>
      <c r="CJ406" s="23"/>
      <c r="CK406" s="23"/>
      <c r="CL406" s="23"/>
      <c r="CM406" s="23"/>
      <c r="CN406" s="23"/>
      <c r="CO406" s="23"/>
      <c r="CP406" s="23"/>
      <c r="CQ406" s="23"/>
      <c r="CR406" s="23"/>
      <c r="CS406" s="23"/>
      <c r="CT406" s="23"/>
      <c r="CU406" s="23"/>
      <c r="CV406" s="23"/>
      <c r="CW406" s="23"/>
      <c r="CX406" s="23"/>
      <c r="CY406" s="23"/>
      <c r="CZ406" s="23"/>
      <c r="DA406" s="23"/>
      <c r="DB406" s="23"/>
      <c r="DC406" s="23"/>
      <c r="DD406" s="23"/>
      <c r="DE406" s="23"/>
      <c r="DF406" s="23"/>
      <c r="DG406" s="23"/>
      <c r="DH406" s="23"/>
      <c r="DI406" s="23"/>
      <c r="DJ406" s="23"/>
      <c r="DK406" s="23"/>
      <c r="DL406" s="23"/>
      <c r="DM406" s="23"/>
      <c r="DN406" s="23"/>
      <c r="DO406" s="23"/>
      <c r="DP406" s="23"/>
      <c r="DQ406" s="23"/>
      <c r="DR406" s="23"/>
      <c r="DS406" s="23"/>
      <c r="DT406" s="23"/>
      <c r="DU406" s="23"/>
      <c r="DV406" s="23"/>
      <c r="DW406" s="23"/>
      <c r="DX406" s="23"/>
      <c r="DY406" s="23"/>
      <c r="DZ406" s="23"/>
      <c r="EA406" s="23"/>
      <c r="EB406" s="23"/>
      <c r="EC406" s="23"/>
      <c r="ED406" s="23"/>
      <c r="EE406" s="23"/>
      <c r="EF406" s="23"/>
      <c r="EG406" s="23"/>
      <c r="EH406" s="23"/>
      <c r="EI406" s="23"/>
      <c r="EJ406" s="23"/>
      <c r="EK406" s="23"/>
      <c r="EL406" s="23"/>
      <c r="EM406" s="23"/>
      <c r="EN406" s="23"/>
      <c r="EO406" s="23"/>
      <c r="EP406" s="23"/>
      <c r="EQ406" s="23"/>
      <c r="ER406" s="23"/>
      <c r="ES406" s="23"/>
      <c r="ET406" s="23"/>
      <c r="EU406" s="23"/>
      <c r="EV406" s="23"/>
      <c r="EW406" s="23"/>
      <c r="EX406" s="23"/>
      <c r="EY406" s="23"/>
      <c r="EZ406" s="23"/>
      <c r="FA406" s="23"/>
      <c r="FB406" s="23"/>
      <c r="FC406" s="23"/>
      <c r="FD406" s="23"/>
      <c r="FE406" s="23"/>
      <c r="FF406" s="23"/>
      <c r="FG406" s="23"/>
      <c r="FH406" s="23"/>
      <c r="FI406" s="23"/>
      <c r="FJ406" s="23"/>
      <c r="FK406" s="23"/>
      <c r="FL406" s="23"/>
      <c r="FM406" s="23"/>
      <c r="FN406" s="23"/>
      <c r="FO406" s="23"/>
      <c r="FP406" s="23"/>
      <c r="FQ406" s="23"/>
      <c r="FR406" s="23"/>
      <c r="FS406" s="23"/>
      <c r="FT406" s="23"/>
      <c r="FU406" s="23"/>
      <c r="FV406" s="23"/>
      <c r="FW406" s="23"/>
      <c r="FX406" s="23"/>
      <c r="FY406" s="23"/>
      <c r="FZ406" s="23"/>
      <c r="GA406" s="23"/>
      <c r="GB406" s="23"/>
      <c r="GC406" s="23"/>
      <c r="GD406" s="23"/>
      <c r="GE406" s="23"/>
      <c r="GF406" s="23"/>
      <c r="GG406" s="23"/>
      <c r="GH406" s="23"/>
      <c r="GI406" s="23"/>
      <c r="GJ406" s="23"/>
      <c r="GK406" s="23"/>
      <c r="GL406" s="23"/>
    </row>
    <row r="407" spans="1:194" ht="13">
      <c r="A407" s="23"/>
      <c r="B407" s="23"/>
      <c r="C407" s="23"/>
      <c r="D407" s="23"/>
      <c r="E407" s="23"/>
      <c r="F407" s="23"/>
      <c r="G407" s="23"/>
      <c r="H407" s="401"/>
      <c r="I407" s="401"/>
      <c r="J407" s="401"/>
      <c r="K407" s="401"/>
      <c r="L407" s="401"/>
      <c r="M407" s="438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  <c r="AL407" s="23"/>
      <c r="AM407" s="23"/>
      <c r="AN407" s="23"/>
      <c r="AO407" s="23"/>
      <c r="AP407" s="23"/>
      <c r="AQ407" s="23"/>
      <c r="AR407" s="23"/>
      <c r="AS407" s="23"/>
      <c r="AT407" s="23"/>
      <c r="AU407" s="23"/>
      <c r="AV407" s="23"/>
      <c r="AW407" s="23"/>
      <c r="AX407" s="23"/>
      <c r="AY407" s="23"/>
      <c r="AZ407" s="23"/>
      <c r="BA407" s="23"/>
      <c r="BB407" s="23"/>
      <c r="BC407" s="23"/>
      <c r="BD407" s="23"/>
      <c r="BE407" s="23"/>
      <c r="BF407" s="23"/>
      <c r="BG407" s="23"/>
      <c r="BH407" s="23"/>
      <c r="BI407" s="23"/>
      <c r="BJ407" s="23"/>
      <c r="BK407" s="23"/>
      <c r="BL407" s="23"/>
      <c r="BM407" s="23"/>
      <c r="BN407" s="23"/>
      <c r="BO407" s="23"/>
      <c r="BP407" s="23"/>
      <c r="BQ407" s="23"/>
      <c r="BR407" s="23"/>
      <c r="BS407" s="23"/>
      <c r="BT407" s="23"/>
      <c r="BU407" s="23"/>
      <c r="BV407" s="23"/>
      <c r="BW407" s="23"/>
      <c r="BX407" s="23"/>
      <c r="BY407" s="23"/>
      <c r="BZ407" s="23"/>
      <c r="CA407" s="23"/>
      <c r="CB407" s="23"/>
      <c r="CC407" s="23"/>
      <c r="CD407" s="23"/>
      <c r="CE407" s="23"/>
      <c r="CF407" s="23"/>
      <c r="CG407" s="23"/>
      <c r="CH407" s="23"/>
      <c r="CI407" s="23"/>
      <c r="CJ407" s="23"/>
      <c r="CK407" s="23"/>
      <c r="CL407" s="23"/>
      <c r="CM407" s="23"/>
      <c r="CN407" s="23"/>
      <c r="CO407" s="23"/>
      <c r="CP407" s="23"/>
      <c r="CQ407" s="23"/>
      <c r="CR407" s="23"/>
      <c r="CS407" s="23"/>
      <c r="CT407" s="23"/>
      <c r="CU407" s="23"/>
      <c r="CV407" s="23"/>
      <c r="CW407" s="23"/>
      <c r="CX407" s="23"/>
      <c r="CY407" s="23"/>
      <c r="CZ407" s="23"/>
      <c r="DA407" s="23"/>
      <c r="DB407" s="23"/>
      <c r="DC407" s="23"/>
      <c r="DD407" s="23"/>
      <c r="DE407" s="23"/>
      <c r="DF407" s="23"/>
      <c r="DG407" s="23"/>
      <c r="DH407" s="23"/>
      <c r="DI407" s="23"/>
      <c r="DJ407" s="23"/>
      <c r="DK407" s="23"/>
      <c r="DL407" s="23"/>
      <c r="DM407" s="23"/>
      <c r="DN407" s="23"/>
      <c r="DO407" s="23"/>
      <c r="DP407" s="23"/>
      <c r="DQ407" s="23"/>
      <c r="DR407" s="23"/>
      <c r="DS407" s="23"/>
      <c r="DT407" s="23"/>
      <c r="DU407" s="23"/>
      <c r="DV407" s="23"/>
      <c r="DW407" s="23"/>
      <c r="DX407" s="23"/>
      <c r="DY407" s="23"/>
      <c r="DZ407" s="23"/>
      <c r="EA407" s="23"/>
      <c r="EB407" s="23"/>
      <c r="EC407" s="23"/>
      <c r="ED407" s="23"/>
      <c r="EE407" s="23"/>
      <c r="EF407" s="23"/>
      <c r="EG407" s="23"/>
      <c r="EH407" s="23"/>
      <c r="EI407" s="23"/>
      <c r="EJ407" s="23"/>
      <c r="EK407" s="23"/>
      <c r="EL407" s="23"/>
      <c r="EM407" s="23"/>
      <c r="EN407" s="23"/>
      <c r="EO407" s="23"/>
      <c r="EP407" s="23"/>
      <c r="EQ407" s="23"/>
      <c r="ER407" s="23"/>
      <c r="ES407" s="23"/>
      <c r="ET407" s="23"/>
      <c r="EU407" s="23"/>
      <c r="EV407" s="23"/>
      <c r="EW407" s="23"/>
      <c r="EX407" s="23"/>
      <c r="EY407" s="23"/>
      <c r="EZ407" s="23"/>
      <c r="FA407" s="23"/>
      <c r="FB407" s="23"/>
      <c r="FC407" s="23"/>
      <c r="FD407" s="23"/>
      <c r="FE407" s="23"/>
      <c r="FF407" s="23"/>
      <c r="FG407" s="23"/>
      <c r="FH407" s="23"/>
      <c r="FI407" s="23"/>
      <c r="FJ407" s="23"/>
      <c r="FK407" s="23"/>
      <c r="FL407" s="23"/>
      <c r="FM407" s="23"/>
      <c r="FN407" s="23"/>
      <c r="FO407" s="23"/>
      <c r="FP407" s="23"/>
      <c r="FQ407" s="23"/>
      <c r="FR407" s="23"/>
      <c r="FS407" s="23"/>
      <c r="FT407" s="23"/>
      <c r="FU407" s="23"/>
      <c r="FV407" s="23"/>
      <c r="FW407" s="23"/>
      <c r="FX407" s="23"/>
      <c r="FY407" s="23"/>
      <c r="FZ407" s="23"/>
      <c r="GA407" s="23"/>
      <c r="GB407" s="23"/>
      <c r="GC407" s="23"/>
      <c r="GD407" s="23"/>
      <c r="GE407" s="23"/>
      <c r="GF407" s="23"/>
      <c r="GG407" s="23"/>
      <c r="GH407" s="23"/>
      <c r="GI407" s="23"/>
      <c r="GJ407" s="23"/>
      <c r="GK407" s="23"/>
      <c r="GL407" s="23"/>
    </row>
    <row r="408" spans="1:194" ht="13">
      <c r="A408" s="23"/>
      <c r="B408" s="23"/>
      <c r="C408" s="23"/>
      <c r="D408" s="23"/>
      <c r="E408" s="23"/>
      <c r="F408" s="23"/>
      <c r="G408" s="23"/>
      <c r="H408" s="401"/>
      <c r="I408" s="401"/>
      <c r="J408" s="401"/>
      <c r="K408" s="401"/>
      <c r="L408" s="401"/>
      <c r="M408" s="438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  <c r="AL408" s="23"/>
      <c r="AM408" s="23"/>
      <c r="AN408" s="23"/>
      <c r="AO408" s="23"/>
      <c r="AP408" s="23"/>
      <c r="AQ408" s="23"/>
      <c r="AR408" s="23"/>
      <c r="AS408" s="23"/>
      <c r="AT408" s="23"/>
      <c r="AU408" s="23"/>
      <c r="AV408" s="23"/>
      <c r="AW408" s="23"/>
      <c r="AX408" s="23"/>
      <c r="AY408" s="23"/>
      <c r="AZ408" s="23"/>
      <c r="BA408" s="23"/>
      <c r="BB408" s="23"/>
      <c r="BC408" s="23"/>
      <c r="BD408" s="23"/>
      <c r="BE408" s="23"/>
      <c r="BF408" s="23"/>
      <c r="BG408" s="23"/>
      <c r="BH408" s="23"/>
      <c r="BI408" s="23"/>
      <c r="BJ408" s="23"/>
      <c r="BK408" s="23"/>
      <c r="BL408" s="23"/>
      <c r="BM408" s="23"/>
      <c r="BN408" s="23"/>
      <c r="BO408" s="23"/>
      <c r="BP408" s="23"/>
      <c r="BQ408" s="23"/>
      <c r="BR408" s="23"/>
      <c r="BS408" s="23"/>
      <c r="BT408" s="23"/>
      <c r="BU408" s="23"/>
      <c r="BV408" s="23"/>
      <c r="BW408" s="23"/>
      <c r="BX408" s="23"/>
      <c r="BY408" s="23"/>
      <c r="BZ408" s="23"/>
      <c r="CA408" s="23"/>
      <c r="CB408" s="23"/>
      <c r="CC408" s="23"/>
      <c r="CD408" s="23"/>
      <c r="CE408" s="23"/>
      <c r="CF408" s="23"/>
      <c r="CG408" s="23"/>
      <c r="CH408" s="23"/>
      <c r="CI408" s="23"/>
      <c r="CJ408" s="23"/>
      <c r="CK408" s="23"/>
      <c r="CL408" s="23"/>
      <c r="CM408" s="23"/>
      <c r="CN408" s="23"/>
      <c r="CO408" s="23"/>
      <c r="CP408" s="23"/>
      <c r="CQ408" s="23"/>
      <c r="CR408" s="23"/>
      <c r="CS408" s="23"/>
      <c r="CT408" s="23"/>
      <c r="CU408" s="23"/>
      <c r="CV408" s="23"/>
      <c r="CW408" s="23"/>
      <c r="CX408" s="23"/>
      <c r="CY408" s="23"/>
      <c r="CZ408" s="23"/>
      <c r="DA408" s="23"/>
      <c r="DB408" s="23"/>
      <c r="DC408" s="23"/>
      <c r="DD408" s="23"/>
      <c r="DE408" s="23"/>
      <c r="DF408" s="23"/>
      <c r="DG408" s="23"/>
      <c r="DH408" s="23"/>
      <c r="DI408" s="23"/>
      <c r="DJ408" s="23"/>
      <c r="DK408" s="23"/>
      <c r="DL408" s="23"/>
      <c r="DM408" s="23"/>
      <c r="DN408" s="23"/>
      <c r="DO408" s="23"/>
      <c r="DP408" s="23"/>
      <c r="DQ408" s="23"/>
      <c r="DR408" s="23"/>
      <c r="DS408" s="23"/>
      <c r="DT408" s="23"/>
      <c r="DU408" s="23"/>
      <c r="DV408" s="23"/>
      <c r="DW408" s="23"/>
      <c r="DX408" s="23"/>
      <c r="DY408" s="23"/>
      <c r="DZ408" s="23"/>
      <c r="EA408" s="23"/>
      <c r="EB408" s="23"/>
      <c r="EC408" s="23"/>
      <c r="ED408" s="23"/>
      <c r="EE408" s="23"/>
      <c r="EF408" s="23"/>
      <c r="EG408" s="23"/>
      <c r="EH408" s="23"/>
      <c r="EI408" s="23"/>
      <c r="EJ408" s="23"/>
      <c r="EK408" s="23"/>
      <c r="EL408" s="23"/>
      <c r="EM408" s="23"/>
      <c r="EN408" s="23"/>
      <c r="EO408" s="23"/>
      <c r="EP408" s="23"/>
      <c r="EQ408" s="23"/>
      <c r="ER408" s="23"/>
      <c r="ES408" s="23"/>
      <c r="ET408" s="23"/>
      <c r="EU408" s="23"/>
      <c r="EV408" s="23"/>
      <c r="EW408" s="23"/>
      <c r="EX408" s="23"/>
      <c r="EY408" s="23"/>
      <c r="EZ408" s="23"/>
      <c r="FA408" s="23"/>
      <c r="FB408" s="23"/>
      <c r="FC408" s="23"/>
      <c r="FD408" s="23"/>
      <c r="FE408" s="23"/>
      <c r="FF408" s="23"/>
      <c r="FG408" s="23"/>
      <c r="FH408" s="23"/>
      <c r="FI408" s="23"/>
      <c r="FJ408" s="23"/>
      <c r="FK408" s="23"/>
      <c r="FL408" s="23"/>
      <c r="FM408" s="23"/>
      <c r="FN408" s="23"/>
      <c r="FO408" s="23"/>
      <c r="FP408" s="23"/>
      <c r="FQ408" s="23"/>
      <c r="FR408" s="23"/>
      <c r="FS408" s="23"/>
      <c r="FT408" s="23"/>
      <c r="FU408" s="23"/>
      <c r="FV408" s="23"/>
      <c r="FW408" s="23"/>
      <c r="FX408" s="23"/>
      <c r="FY408" s="23"/>
      <c r="FZ408" s="23"/>
      <c r="GA408" s="23"/>
      <c r="GB408" s="23"/>
      <c r="GC408" s="23"/>
      <c r="GD408" s="23"/>
      <c r="GE408" s="23"/>
      <c r="GF408" s="23"/>
      <c r="GG408" s="23"/>
      <c r="GH408" s="23"/>
      <c r="GI408" s="23"/>
      <c r="GJ408" s="23"/>
      <c r="GK408" s="23"/>
      <c r="GL408" s="23"/>
    </row>
    <row r="409" spans="1:194" ht="13">
      <c r="A409" s="23"/>
      <c r="B409" s="23"/>
      <c r="C409" s="23"/>
      <c r="D409" s="23"/>
      <c r="E409" s="23"/>
      <c r="F409" s="23"/>
      <c r="G409" s="23"/>
      <c r="H409" s="401"/>
      <c r="I409" s="401"/>
      <c r="J409" s="401"/>
      <c r="K409" s="401"/>
      <c r="L409" s="401"/>
      <c r="M409" s="438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  <c r="AL409" s="23"/>
      <c r="AM409" s="23"/>
      <c r="AN409" s="23"/>
      <c r="AO409" s="23"/>
      <c r="AP409" s="23"/>
      <c r="AQ409" s="23"/>
      <c r="AR409" s="23"/>
      <c r="AS409" s="23"/>
      <c r="AT409" s="23"/>
      <c r="AU409" s="23"/>
      <c r="AV409" s="23"/>
      <c r="AW409" s="23"/>
      <c r="AX409" s="23"/>
      <c r="AY409" s="23"/>
      <c r="AZ409" s="23"/>
      <c r="BA409" s="23"/>
      <c r="BB409" s="23"/>
      <c r="BC409" s="23"/>
      <c r="BD409" s="23"/>
      <c r="BE409" s="23"/>
      <c r="BF409" s="23"/>
      <c r="BG409" s="23"/>
      <c r="BH409" s="23"/>
      <c r="BI409" s="23"/>
      <c r="BJ409" s="23"/>
      <c r="BK409" s="23"/>
      <c r="BL409" s="23"/>
      <c r="BM409" s="23"/>
      <c r="BN409" s="23"/>
      <c r="BO409" s="23"/>
      <c r="BP409" s="23"/>
      <c r="BQ409" s="23"/>
      <c r="BR409" s="23"/>
      <c r="BS409" s="23"/>
      <c r="BT409" s="23"/>
      <c r="BU409" s="23"/>
      <c r="BV409" s="23"/>
      <c r="BW409" s="23"/>
      <c r="BX409" s="23"/>
      <c r="BY409" s="23"/>
      <c r="BZ409" s="23"/>
      <c r="CA409" s="23"/>
      <c r="CB409" s="23"/>
      <c r="CC409" s="23"/>
      <c r="CD409" s="23"/>
      <c r="CE409" s="23"/>
      <c r="CF409" s="23"/>
      <c r="CG409" s="23"/>
      <c r="CH409" s="23"/>
      <c r="CI409" s="23"/>
      <c r="CJ409" s="23"/>
      <c r="CK409" s="23"/>
      <c r="CL409" s="23"/>
      <c r="CM409" s="23"/>
      <c r="CN409" s="23"/>
      <c r="CO409" s="23"/>
      <c r="CP409" s="23"/>
      <c r="CQ409" s="23"/>
      <c r="CR409" s="23"/>
      <c r="CS409" s="23"/>
      <c r="CT409" s="23"/>
      <c r="CU409" s="23"/>
      <c r="CV409" s="23"/>
      <c r="CW409" s="23"/>
      <c r="CX409" s="23"/>
      <c r="CY409" s="23"/>
      <c r="CZ409" s="23"/>
      <c r="DA409" s="23"/>
      <c r="DB409" s="23"/>
      <c r="DC409" s="23"/>
      <c r="DD409" s="23"/>
      <c r="DE409" s="23"/>
      <c r="DF409" s="23"/>
      <c r="DG409" s="23"/>
      <c r="DH409" s="23"/>
      <c r="DI409" s="23"/>
      <c r="DJ409" s="23"/>
      <c r="DK409" s="23"/>
      <c r="DL409" s="23"/>
      <c r="DM409" s="23"/>
      <c r="DN409" s="23"/>
      <c r="DO409" s="23"/>
      <c r="DP409" s="23"/>
      <c r="DQ409" s="23"/>
      <c r="DR409" s="23"/>
      <c r="DS409" s="23"/>
      <c r="DT409" s="23"/>
      <c r="DU409" s="23"/>
      <c r="DV409" s="23"/>
      <c r="DW409" s="23"/>
      <c r="DX409" s="23"/>
      <c r="DY409" s="23"/>
      <c r="DZ409" s="23"/>
      <c r="EA409" s="23"/>
      <c r="EB409" s="23"/>
      <c r="EC409" s="23"/>
      <c r="ED409" s="23"/>
      <c r="EE409" s="23"/>
      <c r="EF409" s="23"/>
      <c r="EG409" s="23"/>
      <c r="EH409" s="23"/>
      <c r="EI409" s="23"/>
      <c r="EJ409" s="23"/>
      <c r="EK409" s="23"/>
      <c r="EL409" s="23"/>
      <c r="EM409" s="23"/>
      <c r="EN409" s="23"/>
      <c r="EO409" s="23"/>
      <c r="EP409" s="23"/>
      <c r="EQ409" s="23"/>
      <c r="ER409" s="23"/>
      <c r="ES409" s="23"/>
      <c r="ET409" s="23"/>
      <c r="EU409" s="23"/>
      <c r="EV409" s="23"/>
      <c r="EW409" s="23"/>
      <c r="EX409" s="23"/>
      <c r="EY409" s="23"/>
      <c r="EZ409" s="23"/>
      <c r="FA409" s="23"/>
      <c r="FB409" s="23"/>
      <c r="FC409" s="23"/>
      <c r="FD409" s="23"/>
      <c r="FE409" s="23"/>
      <c r="FF409" s="23"/>
      <c r="FG409" s="23"/>
      <c r="FH409" s="23"/>
      <c r="FI409" s="23"/>
      <c r="FJ409" s="23"/>
      <c r="FK409" s="23"/>
      <c r="FL409" s="23"/>
      <c r="FM409" s="23"/>
      <c r="FN409" s="23"/>
      <c r="FO409" s="23"/>
      <c r="FP409" s="23"/>
      <c r="FQ409" s="23"/>
      <c r="FR409" s="23"/>
      <c r="FS409" s="23"/>
      <c r="FT409" s="23"/>
      <c r="FU409" s="23"/>
      <c r="FV409" s="23"/>
      <c r="FW409" s="23"/>
      <c r="FX409" s="23"/>
      <c r="FY409" s="23"/>
      <c r="FZ409" s="23"/>
      <c r="GA409" s="23"/>
      <c r="GB409" s="23"/>
      <c r="GC409" s="23"/>
      <c r="GD409" s="23"/>
      <c r="GE409" s="23"/>
      <c r="GF409" s="23"/>
      <c r="GG409" s="23"/>
      <c r="GH409" s="23"/>
      <c r="GI409" s="23"/>
      <c r="GJ409" s="23"/>
      <c r="GK409" s="23"/>
      <c r="GL409" s="23"/>
    </row>
    <row r="410" spans="1:194" ht="13">
      <c r="A410" s="23"/>
      <c r="B410" s="23"/>
      <c r="C410" s="23"/>
      <c r="D410" s="23"/>
      <c r="E410" s="23"/>
      <c r="F410" s="23"/>
      <c r="G410" s="23"/>
      <c r="H410" s="401"/>
      <c r="I410" s="401"/>
      <c r="J410" s="401"/>
      <c r="K410" s="401"/>
      <c r="L410" s="401"/>
      <c r="M410" s="438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  <c r="AL410" s="23"/>
      <c r="AM410" s="23"/>
      <c r="AN410" s="23"/>
      <c r="AO410" s="23"/>
      <c r="AP410" s="23"/>
      <c r="AQ410" s="23"/>
      <c r="AR410" s="23"/>
      <c r="AS410" s="23"/>
      <c r="AT410" s="23"/>
      <c r="AU410" s="23"/>
      <c r="AV410" s="23"/>
      <c r="AW410" s="23"/>
      <c r="AX410" s="23"/>
      <c r="AY410" s="23"/>
      <c r="AZ410" s="23"/>
      <c r="BA410" s="23"/>
      <c r="BB410" s="23"/>
      <c r="BC410" s="23"/>
      <c r="BD410" s="23"/>
      <c r="BE410" s="23"/>
      <c r="BF410" s="23"/>
      <c r="BG410" s="23"/>
      <c r="BH410" s="23"/>
      <c r="BI410" s="23"/>
      <c r="BJ410" s="23"/>
      <c r="BK410" s="23"/>
      <c r="BL410" s="23"/>
      <c r="BM410" s="23"/>
      <c r="BN410" s="23"/>
      <c r="BO410" s="23"/>
      <c r="BP410" s="23"/>
      <c r="BQ410" s="23"/>
      <c r="BR410" s="23"/>
      <c r="BS410" s="23"/>
      <c r="BT410" s="23"/>
      <c r="BU410" s="23"/>
      <c r="BV410" s="23"/>
      <c r="BW410" s="23"/>
      <c r="BX410" s="23"/>
      <c r="BY410" s="23"/>
      <c r="BZ410" s="23"/>
      <c r="CA410" s="23"/>
      <c r="CB410" s="23"/>
      <c r="CC410" s="23"/>
      <c r="CD410" s="23"/>
      <c r="CE410" s="23"/>
      <c r="CF410" s="23"/>
      <c r="CG410" s="23"/>
      <c r="CH410" s="23"/>
      <c r="CI410" s="23"/>
      <c r="CJ410" s="23"/>
      <c r="CK410" s="23"/>
      <c r="CL410" s="23"/>
      <c r="CM410" s="23"/>
      <c r="CN410" s="23"/>
      <c r="CO410" s="23"/>
      <c r="CP410" s="23"/>
      <c r="CQ410" s="23"/>
      <c r="CR410" s="23"/>
      <c r="CS410" s="23"/>
      <c r="CT410" s="23"/>
      <c r="CU410" s="23"/>
      <c r="CV410" s="23"/>
      <c r="CW410" s="23"/>
      <c r="CX410" s="23"/>
      <c r="CY410" s="23"/>
      <c r="CZ410" s="23"/>
      <c r="DA410" s="23"/>
      <c r="DB410" s="23"/>
      <c r="DC410" s="23"/>
      <c r="DD410" s="23"/>
      <c r="DE410" s="23"/>
      <c r="DF410" s="23"/>
      <c r="DG410" s="23"/>
      <c r="DH410" s="23"/>
      <c r="DI410" s="23"/>
      <c r="DJ410" s="23"/>
      <c r="DK410" s="23"/>
      <c r="DL410" s="23"/>
      <c r="DM410" s="23"/>
      <c r="DN410" s="23"/>
      <c r="DO410" s="23"/>
      <c r="DP410" s="23"/>
      <c r="DQ410" s="23"/>
      <c r="DR410" s="23"/>
      <c r="DS410" s="23"/>
      <c r="DT410" s="23"/>
      <c r="DU410" s="23"/>
      <c r="DV410" s="23"/>
      <c r="DW410" s="23"/>
      <c r="DX410" s="23"/>
      <c r="DY410" s="23"/>
      <c r="DZ410" s="23"/>
      <c r="EA410" s="23"/>
      <c r="EB410" s="23"/>
      <c r="EC410" s="23"/>
      <c r="ED410" s="23"/>
      <c r="EE410" s="23"/>
      <c r="EF410" s="23"/>
      <c r="EG410" s="23"/>
      <c r="EH410" s="23"/>
      <c r="EI410" s="23"/>
      <c r="EJ410" s="23"/>
      <c r="EK410" s="23"/>
      <c r="EL410" s="23"/>
      <c r="EM410" s="23"/>
      <c r="EN410" s="23"/>
      <c r="EO410" s="23"/>
      <c r="EP410" s="23"/>
      <c r="EQ410" s="23"/>
      <c r="ER410" s="23"/>
      <c r="ES410" s="23"/>
      <c r="ET410" s="23"/>
      <c r="EU410" s="23"/>
      <c r="EV410" s="23"/>
      <c r="EW410" s="23"/>
      <c r="EX410" s="23"/>
      <c r="EY410" s="23"/>
      <c r="EZ410" s="23"/>
      <c r="FA410" s="23"/>
      <c r="FB410" s="23"/>
      <c r="FC410" s="23"/>
      <c r="FD410" s="23"/>
      <c r="FE410" s="23"/>
      <c r="FF410" s="23"/>
      <c r="FG410" s="23"/>
      <c r="FH410" s="23"/>
      <c r="FI410" s="23"/>
      <c r="FJ410" s="23"/>
      <c r="FK410" s="23"/>
      <c r="FL410" s="23"/>
      <c r="FM410" s="23"/>
      <c r="FN410" s="23"/>
      <c r="FO410" s="23"/>
      <c r="FP410" s="23"/>
      <c r="FQ410" s="23"/>
      <c r="FR410" s="23"/>
      <c r="FS410" s="23"/>
      <c r="FT410" s="23"/>
      <c r="FU410" s="23"/>
      <c r="FV410" s="23"/>
      <c r="FW410" s="23"/>
      <c r="FX410" s="23"/>
      <c r="FY410" s="23"/>
      <c r="FZ410" s="23"/>
      <c r="GA410" s="23"/>
      <c r="GB410" s="23"/>
      <c r="GC410" s="23"/>
      <c r="GD410" s="23"/>
      <c r="GE410" s="23"/>
      <c r="GF410" s="23"/>
      <c r="GG410" s="23"/>
      <c r="GH410" s="23"/>
      <c r="GI410" s="23"/>
      <c r="GJ410" s="23"/>
      <c r="GK410" s="23"/>
      <c r="GL410" s="23"/>
    </row>
    <row r="411" spans="1:194" ht="13">
      <c r="A411" s="23"/>
      <c r="B411" s="23"/>
      <c r="C411" s="23"/>
      <c r="D411" s="23"/>
      <c r="E411" s="23"/>
      <c r="F411" s="23"/>
      <c r="G411" s="23"/>
      <c r="H411" s="401"/>
      <c r="I411" s="401"/>
      <c r="J411" s="401"/>
      <c r="K411" s="401"/>
      <c r="L411" s="401"/>
      <c r="M411" s="438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  <c r="AL411" s="23"/>
      <c r="AM411" s="23"/>
      <c r="AN411" s="23"/>
      <c r="AO411" s="23"/>
      <c r="AP411" s="23"/>
      <c r="AQ411" s="23"/>
      <c r="AR411" s="23"/>
      <c r="AS411" s="23"/>
      <c r="AT411" s="23"/>
      <c r="AU411" s="23"/>
      <c r="AV411" s="23"/>
      <c r="AW411" s="23"/>
      <c r="AX411" s="23"/>
      <c r="AY411" s="23"/>
      <c r="AZ411" s="23"/>
      <c r="BA411" s="23"/>
      <c r="BB411" s="23"/>
      <c r="BC411" s="23"/>
      <c r="BD411" s="23"/>
      <c r="BE411" s="23"/>
      <c r="BF411" s="23"/>
      <c r="BG411" s="23"/>
      <c r="BH411" s="23"/>
      <c r="BI411" s="23"/>
      <c r="BJ411" s="23"/>
      <c r="BK411" s="23"/>
      <c r="BL411" s="23"/>
      <c r="BM411" s="23"/>
      <c r="BN411" s="23"/>
      <c r="BO411" s="23"/>
      <c r="BP411" s="23"/>
      <c r="BQ411" s="23"/>
      <c r="BR411" s="23"/>
      <c r="BS411" s="23"/>
      <c r="BT411" s="23"/>
      <c r="BU411" s="23"/>
      <c r="BV411" s="23"/>
      <c r="BW411" s="23"/>
      <c r="BX411" s="23"/>
      <c r="BY411" s="23"/>
      <c r="BZ411" s="23"/>
      <c r="CA411" s="23"/>
      <c r="CB411" s="23"/>
      <c r="CC411" s="23"/>
      <c r="CD411" s="23"/>
      <c r="CE411" s="23"/>
      <c r="CF411" s="23"/>
      <c r="CG411" s="23"/>
      <c r="CH411" s="23"/>
      <c r="CI411" s="23"/>
      <c r="CJ411" s="23"/>
      <c r="CK411" s="23"/>
      <c r="CL411" s="23"/>
      <c r="CM411" s="23"/>
      <c r="CN411" s="23"/>
      <c r="CO411" s="23"/>
      <c r="CP411" s="23"/>
      <c r="CQ411" s="23"/>
      <c r="CR411" s="23"/>
      <c r="CS411" s="23"/>
      <c r="CT411" s="23"/>
      <c r="CU411" s="23"/>
      <c r="CV411" s="23"/>
      <c r="CW411" s="23"/>
      <c r="CX411" s="23"/>
      <c r="CY411" s="23"/>
      <c r="CZ411" s="23"/>
      <c r="DA411" s="23"/>
      <c r="DB411" s="23"/>
      <c r="DC411" s="23"/>
      <c r="DD411" s="23"/>
      <c r="DE411" s="23"/>
      <c r="DF411" s="23"/>
      <c r="DG411" s="23"/>
      <c r="DH411" s="23"/>
      <c r="DI411" s="23"/>
      <c r="DJ411" s="23"/>
      <c r="DK411" s="23"/>
      <c r="DL411" s="23"/>
      <c r="DM411" s="23"/>
      <c r="DN411" s="23"/>
      <c r="DO411" s="23"/>
      <c r="DP411" s="23"/>
      <c r="DQ411" s="23"/>
      <c r="DR411" s="23"/>
      <c r="DS411" s="23"/>
      <c r="DT411" s="23"/>
      <c r="DU411" s="23"/>
      <c r="DV411" s="23"/>
      <c r="DW411" s="23"/>
      <c r="DX411" s="23"/>
      <c r="DY411" s="23"/>
      <c r="DZ411" s="23"/>
      <c r="EA411" s="23"/>
      <c r="EB411" s="23"/>
      <c r="EC411" s="23"/>
      <c r="ED411" s="23"/>
      <c r="EE411" s="23"/>
      <c r="EF411" s="23"/>
      <c r="EG411" s="23"/>
      <c r="EH411" s="23"/>
      <c r="EI411" s="23"/>
      <c r="EJ411" s="23"/>
      <c r="EK411" s="23"/>
      <c r="EL411" s="23"/>
      <c r="EM411" s="23"/>
      <c r="EN411" s="23"/>
      <c r="EO411" s="23"/>
      <c r="EP411" s="23"/>
      <c r="EQ411" s="23"/>
      <c r="ER411" s="23"/>
      <c r="ES411" s="23"/>
      <c r="ET411" s="23"/>
      <c r="EU411" s="23"/>
      <c r="EV411" s="23"/>
      <c r="EW411" s="23"/>
      <c r="EX411" s="23"/>
      <c r="EY411" s="23"/>
      <c r="EZ411" s="23"/>
      <c r="FA411" s="23"/>
      <c r="FB411" s="23"/>
      <c r="FC411" s="23"/>
      <c r="FD411" s="23"/>
      <c r="FE411" s="23"/>
      <c r="FF411" s="23"/>
      <c r="FG411" s="23"/>
      <c r="FH411" s="23"/>
      <c r="FI411" s="23"/>
      <c r="FJ411" s="23"/>
      <c r="FK411" s="23"/>
      <c r="FL411" s="23"/>
      <c r="FM411" s="23"/>
      <c r="FN411" s="23"/>
      <c r="FO411" s="23"/>
      <c r="FP411" s="23"/>
      <c r="FQ411" s="23"/>
      <c r="FR411" s="23"/>
      <c r="FS411" s="23"/>
      <c r="FT411" s="23"/>
      <c r="FU411" s="23"/>
      <c r="FV411" s="23"/>
      <c r="FW411" s="23"/>
      <c r="FX411" s="23"/>
      <c r="FY411" s="23"/>
      <c r="FZ411" s="23"/>
      <c r="GA411" s="23"/>
      <c r="GB411" s="23"/>
      <c r="GC411" s="23"/>
      <c r="GD411" s="23"/>
      <c r="GE411" s="23"/>
      <c r="GF411" s="23"/>
      <c r="GG411" s="23"/>
      <c r="GH411" s="23"/>
      <c r="GI411" s="23"/>
      <c r="GJ411" s="23"/>
      <c r="GK411" s="23"/>
      <c r="GL411" s="23"/>
    </row>
    <row r="412" spans="1:194" ht="13">
      <c r="A412" s="23"/>
      <c r="B412" s="23"/>
      <c r="C412" s="23"/>
      <c r="D412" s="23"/>
      <c r="E412" s="23"/>
      <c r="F412" s="23"/>
      <c r="G412" s="23"/>
      <c r="H412" s="401"/>
      <c r="I412" s="401"/>
      <c r="J412" s="401"/>
      <c r="K412" s="401"/>
      <c r="L412" s="401"/>
      <c r="M412" s="438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  <c r="AL412" s="23"/>
      <c r="AM412" s="23"/>
      <c r="AN412" s="23"/>
      <c r="AO412" s="23"/>
      <c r="AP412" s="23"/>
      <c r="AQ412" s="23"/>
      <c r="AR412" s="23"/>
      <c r="AS412" s="23"/>
      <c r="AT412" s="23"/>
      <c r="AU412" s="23"/>
      <c r="AV412" s="23"/>
      <c r="AW412" s="23"/>
      <c r="AX412" s="23"/>
      <c r="AY412" s="23"/>
      <c r="AZ412" s="23"/>
      <c r="BA412" s="23"/>
      <c r="BB412" s="23"/>
      <c r="BC412" s="23"/>
      <c r="BD412" s="23"/>
      <c r="BE412" s="23"/>
      <c r="BF412" s="23"/>
      <c r="BG412" s="23"/>
      <c r="BH412" s="23"/>
      <c r="BI412" s="23"/>
      <c r="BJ412" s="23"/>
      <c r="BK412" s="23"/>
      <c r="BL412" s="23"/>
      <c r="BM412" s="23"/>
      <c r="BN412" s="23"/>
      <c r="BO412" s="23"/>
      <c r="BP412" s="23"/>
      <c r="BQ412" s="23"/>
      <c r="BR412" s="23"/>
      <c r="BS412" s="23"/>
      <c r="BT412" s="23"/>
      <c r="BU412" s="23"/>
      <c r="BV412" s="23"/>
      <c r="BW412" s="23"/>
      <c r="BX412" s="23"/>
      <c r="BY412" s="23"/>
      <c r="BZ412" s="23"/>
      <c r="CA412" s="23"/>
      <c r="CB412" s="23"/>
      <c r="CC412" s="23"/>
      <c r="CD412" s="23"/>
      <c r="CE412" s="23"/>
      <c r="CF412" s="23"/>
      <c r="CG412" s="23"/>
      <c r="CH412" s="23"/>
      <c r="CI412" s="23"/>
      <c r="CJ412" s="23"/>
      <c r="CK412" s="23"/>
      <c r="CL412" s="23"/>
      <c r="CM412" s="23"/>
      <c r="CN412" s="23"/>
      <c r="CO412" s="23"/>
      <c r="CP412" s="23"/>
      <c r="CQ412" s="23"/>
      <c r="CR412" s="23"/>
      <c r="CS412" s="23"/>
      <c r="CT412" s="23"/>
      <c r="CU412" s="23"/>
      <c r="CV412" s="23"/>
      <c r="CW412" s="23"/>
      <c r="CX412" s="23"/>
      <c r="CY412" s="23"/>
      <c r="CZ412" s="23"/>
      <c r="DA412" s="23"/>
      <c r="DB412" s="23"/>
      <c r="DC412" s="23"/>
      <c r="DD412" s="23"/>
      <c r="DE412" s="23"/>
      <c r="DF412" s="23"/>
      <c r="DG412" s="23"/>
      <c r="DH412" s="23"/>
      <c r="DI412" s="23"/>
      <c r="DJ412" s="23"/>
      <c r="DK412" s="23"/>
      <c r="DL412" s="23"/>
      <c r="DM412" s="23"/>
      <c r="DN412" s="23"/>
      <c r="DO412" s="23"/>
      <c r="DP412" s="23"/>
      <c r="DQ412" s="23"/>
      <c r="DR412" s="23"/>
      <c r="DS412" s="23"/>
      <c r="DT412" s="23"/>
      <c r="DU412" s="23"/>
      <c r="DV412" s="23"/>
      <c r="DW412" s="23"/>
      <c r="DX412" s="23"/>
      <c r="DY412" s="23"/>
      <c r="DZ412" s="23"/>
      <c r="EA412" s="23"/>
      <c r="EB412" s="23"/>
      <c r="EC412" s="23"/>
      <c r="ED412" s="23"/>
      <c r="EE412" s="23"/>
      <c r="EF412" s="23"/>
      <c r="EG412" s="23"/>
      <c r="EH412" s="23"/>
      <c r="EI412" s="23"/>
      <c r="EJ412" s="23"/>
      <c r="EK412" s="23"/>
      <c r="EL412" s="23"/>
      <c r="EM412" s="23"/>
      <c r="EN412" s="23"/>
      <c r="EO412" s="23"/>
      <c r="EP412" s="23"/>
      <c r="EQ412" s="23"/>
      <c r="ER412" s="23"/>
      <c r="ES412" s="23"/>
      <c r="ET412" s="23"/>
      <c r="EU412" s="23"/>
      <c r="EV412" s="23"/>
      <c r="EW412" s="23"/>
      <c r="EX412" s="23"/>
      <c r="EY412" s="23"/>
      <c r="EZ412" s="23"/>
      <c r="FA412" s="23"/>
      <c r="FB412" s="23"/>
      <c r="FC412" s="23"/>
      <c r="FD412" s="23"/>
      <c r="FE412" s="23"/>
      <c r="FF412" s="23"/>
      <c r="FG412" s="23"/>
      <c r="FH412" s="23"/>
      <c r="FI412" s="23"/>
      <c r="FJ412" s="23"/>
      <c r="FK412" s="23"/>
      <c r="FL412" s="23"/>
      <c r="FM412" s="23"/>
      <c r="FN412" s="23"/>
      <c r="FO412" s="23"/>
      <c r="FP412" s="23"/>
      <c r="FQ412" s="23"/>
      <c r="FR412" s="23"/>
      <c r="FS412" s="23"/>
      <c r="FT412" s="23"/>
      <c r="FU412" s="23"/>
      <c r="FV412" s="23"/>
      <c r="FW412" s="23"/>
      <c r="FX412" s="23"/>
      <c r="FY412" s="23"/>
      <c r="FZ412" s="23"/>
      <c r="GA412" s="23"/>
      <c r="GB412" s="23"/>
      <c r="GC412" s="23"/>
      <c r="GD412" s="23"/>
      <c r="GE412" s="23"/>
      <c r="GF412" s="23"/>
      <c r="GG412" s="23"/>
      <c r="GH412" s="23"/>
      <c r="GI412" s="23"/>
      <c r="GJ412" s="23"/>
      <c r="GK412" s="23"/>
      <c r="GL412" s="23"/>
    </row>
    <row r="413" spans="1:194" ht="13">
      <c r="A413" s="23"/>
      <c r="B413" s="23"/>
      <c r="C413" s="23"/>
      <c r="D413" s="23"/>
      <c r="E413" s="23"/>
      <c r="F413" s="23"/>
      <c r="G413" s="23"/>
      <c r="H413" s="401"/>
      <c r="I413" s="401"/>
      <c r="J413" s="401"/>
      <c r="K413" s="401"/>
      <c r="L413" s="401"/>
      <c r="M413" s="438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  <c r="AL413" s="23"/>
      <c r="AM413" s="23"/>
      <c r="AN413" s="23"/>
      <c r="AO413" s="23"/>
      <c r="AP413" s="23"/>
      <c r="AQ413" s="23"/>
      <c r="AR413" s="23"/>
      <c r="AS413" s="23"/>
      <c r="AT413" s="23"/>
      <c r="AU413" s="23"/>
      <c r="AV413" s="23"/>
      <c r="AW413" s="23"/>
      <c r="AX413" s="23"/>
      <c r="AY413" s="23"/>
      <c r="AZ413" s="23"/>
      <c r="BA413" s="23"/>
      <c r="BB413" s="23"/>
      <c r="BC413" s="23"/>
      <c r="BD413" s="23"/>
      <c r="BE413" s="23"/>
      <c r="BF413" s="23"/>
      <c r="BG413" s="23"/>
      <c r="BH413" s="23"/>
      <c r="BI413" s="23"/>
      <c r="BJ413" s="23"/>
      <c r="BK413" s="23"/>
      <c r="BL413" s="23"/>
      <c r="BM413" s="23"/>
      <c r="BN413" s="23"/>
      <c r="BO413" s="23"/>
      <c r="BP413" s="23"/>
      <c r="BQ413" s="23"/>
      <c r="BR413" s="23"/>
      <c r="BS413" s="23"/>
      <c r="BT413" s="23"/>
      <c r="BU413" s="23"/>
      <c r="BV413" s="23"/>
      <c r="BW413" s="23"/>
      <c r="BX413" s="23"/>
      <c r="BY413" s="23"/>
      <c r="BZ413" s="23"/>
      <c r="CA413" s="23"/>
      <c r="CB413" s="23"/>
      <c r="CC413" s="23"/>
      <c r="CD413" s="23"/>
      <c r="CE413" s="23"/>
      <c r="CF413" s="23"/>
      <c r="CG413" s="23"/>
      <c r="CH413" s="23"/>
      <c r="CI413" s="23"/>
      <c r="CJ413" s="23"/>
      <c r="CK413" s="23"/>
      <c r="CL413" s="23"/>
      <c r="CM413" s="23"/>
      <c r="CN413" s="23"/>
      <c r="CO413" s="23"/>
      <c r="CP413" s="23"/>
      <c r="CQ413" s="23"/>
      <c r="CR413" s="23"/>
      <c r="CS413" s="23"/>
      <c r="CT413" s="23"/>
      <c r="CU413" s="23"/>
      <c r="CV413" s="23"/>
      <c r="CW413" s="23"/>
      <c r="CX413" s="23"/>
      <c r="CY413" s="23"/>
      <c r="CZ413" s="23"/>
      <c r="DA413" s="23"/>
      <c r="DB413" s="23"/>
      <c r="DC413" s="23"/>
      <c r="DD413" s="23"/>
      <c r="DE413" s="23"/>
      <c r="DF413" s="23"/>
      <c r="DG413" s="23"/>
      <c r="DH413" s="23"/>
      <c r="DI413" s="23"/>
      <c r="DJ413" s="23"/>
      <c r="DK413" s="23"/>
      <c r="DL413" s="23"/>
      <c r="DM413" s="23"/>
      <c r="DN413" s="23"/>
      <c r="DO413" s="23"/>
      <c r="DP413" s="23"/>
      <c r="DQ413" s="23"/>
      <c r="DR413" s="23"/>
      <c r="DS413" s="23"/>
      <c r="DT413" s="23"/>
      <c r="DU413" s="23"/>
      <c r="DV413" s="23"/>
      <c r="DW413" s="23"/>
      <c r="DX413" s="23"/>
      <c r="DY413" s="23"/>
      <c r="DZ413" s="23"/>
      <c r="EA413" s="23"/>
      <c r="EB413" s="23"/>
      <c r="EC413" s="23"/>
      <c r="ED413" s="23"/>
      <c r="EE413" s="23"/>
      <c r="EF413" s="23"/>
      <c r="EG413" s="23"/>
      <c r="EH413" s="23"/>
      <c r="EI413" s="23"/>
      <c r="EJ413" s="23"/>
      <c r="EK413" s="23"/>
      <c r="EL413" s="23"/>
      <c r="EM413" s="23"/>
      <c r="EN413" s="23"/>
      <c r="EO413" s="23"/>
      <c r="EP413" s="23"/>
      <c r="EQ413" s="23"/>
      <c r="ER413" s="23"/>
      <c r="ES413" s="23"/>
      <c r="ET413" s="23"/>
      <c r="EU413" s="23"/>
      <c r="EV413" s="23"/>
      <c r="EW413" s="23"/>
      <c r="EX413" s="23"/>
      <c r="EY413" s="23"/>
      <c r="EZ413" s="23"/>
      <c r="FA413" s="23"/>
      <c r="FB413" s="23"/>
      <c r="FC413" s="23"/>
      <c r="FD413" s="23"/>
      <c r="FE413" s="23"/>
      <c r="FF413" s="23"/>
      <c r="FG413" s="23"/>
      <c r="FH413" s="23"/>
      <c r="FI413" s="23"/>
      <c r="FJ413" s="23"/>
      <c r="FK413" s="23"/>
      <c r="FL413" s="23"/>
      <c r="FM413" s="23"/>
      <c r="FN413" s="23"/>
      <c r="FO413" s="23"/>
      <c r="FP413" s="23"/>
      <c r="FQ413" s="23"/>
      <c r="FR413" s="23"/>
      <c r="FS413" s="23"/>
      <c r="FT413" s="23"/>
      <c r="FU413" s="23"/>
      <c r="FV413" s="23"/>
      <c r="FW413" s="23"/>
      <c r="FX413" s="23"/>
      <c r="FY413" s="23"/>
      <c r="FZ413" s="23"/>
      <c r="GA413" s="23"/>
      <c r="GB413" s="23"/>
      <c r="GC413" s="23"/>
      <c r="GD413" s="23"/>
      <c r="GE413" s="23"/>
      <c r="GF413" s="23"/>
      <c r="GG413" s="23"/>
      <c r="GH413" s="23"/>
      <c r="GI413" s="23"/>
      <c r="GJ413" s="23"/>
      <c r="GK413" s="23"/>
      <c r="GL413" s="23"/>
    </row>
    <row r="414" spans="1:194" ht="13">
      <c r="A414" s="23"/>
      <c r="B414" s="23"/>
      <c r="C414" s="23"/>
      <c r="D414" s="23"/>
      <c r="E414" s="23"/>
      <c r="F414" s="23"/>
      <c r="G414" s="23"/>
      <c r="H414" s="401"/>
      <c r="I414" s="401"/>
      <c r="J414" s="401"/>
      <c r="K414" s="401"/>
      <c r="L414" s="401"/>
      <c r="M414" s="438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  <c r="AL414" s="23"/>
      <c r="AM414" s="23"/>
      <c r="AN414" s="23"/>
      <c r="AO414" s="23"/>
      <c r="AP414" s="23"/>
      <c r="AQ414" s="23"/>
      <c r="AR414" s="23"/>
      <c r="AS414" s="23"/>
      <c r="AT414" s="23"/>
      <c r="AU414" s="23"/>
      <c r="AV414" s="23"/>
      <c r="AW414" s="23"/>
      <c r="AX414" s="23"/>
      <c r="AY414" s="23"/>
      <c r="AZ414" s="23"/>
      <c r="BA414" s="23"/>
      <c r="BB414" s="23"/>
      <c r="BC414" s="23"/>
      <c r="BD414" s="23"/>
      <c r="BE414" s="23"/>
      <c r="BF414" s="23"/>
      <c r="BG414" s="23"/>
      <c r="BH414" s="23"/>
      <c r="BI414" s="23"/>
      <c r="BJ414" s="23"/>
      <c r="BK414" s="23"/>
      <c r="BL414" s="23"/>
      <c r="BM414" s="23"/>
      <c r="BN414" s="23"/>
      <c r="BO414" s="23"/>
      <c r="BP414" s="23"/>
      <c r="BQ414" s="23"/>
      <c r="BR414" s="23"/>
      <c r="BS414" s="23"/>
      <c r="BT414" s="23"/>
      <c r="BU414" s="23"/>
      <c r="BV414" s="23"/>
      <c r="BW414" s="23"/>
      <c r="BX414" s="23"/>
      <c r="BY414" s="23"/>
      <c r="BZ414" s="23"/>
      <c r="CA414" s="23"/>
      <c r="CB414" s="23"/>
      <c r="CC414" s="23"/>
      <c r="CD414" s="23"/>
      <c r="CE414" s="23"/>
      <c r="CF414" s="23"/>
      <c r="CG414" s="23"/>
      <c r="CH414" s="23"/>
      <c r="CI414" s="23"/>
      <c r="CJ414" s="23"/>
      <c r="CK414" s="23"/>
      <c r="CL414" s="23"/>
      <c r="CM414" s="23"/>
      <c r="CN414" s="23"/>
      <c r="CO414" s="23"/>
      <c r="CP414" s="23"/>
      <c r="CQ414" s="23"/>
      <c r="CR414" s="23"/>
      <c r="CS414" s="23"/>
      <c r="CT414" s="23"/>
      <c r="CU414" s="23"/>
      <c r="CV414" s="23"/>
      <c r="CW414" s="23"/>
      <c r="CX414" s="23"/>
      <c r="CY414" s="23"/>
      <c r="CZ414" s="23"/>
      <c r="DA414" s="23"/>
      <c r="DB414" s="23"/>
      <c r="DC414" s="23"/>
      <c r="DD414" s="23"/>
      <c r="DE414" s="23"/>
      <c r="DF414" s="23"/>
      <c r="DG414" s="23"/>
      <c r="DH414" s="23"/>
      <c r="DI414" s="23"/>
      <c r="DJ414" s="23"/>
      <c r="DK414" s="23"/>
      <c r="DL414" s="23"/>
      <c r="DM414" s="23"/>
      <c r="DN414" s="23"/>
      <c r="DO414" s="23"/>
      <c r="DP414" s="23"/>
      <c r="DQ414" s="23"/>
      <c r="DR414" s="23"/>
      <c r="DS414" s="23"/>
      <c r="DT414" s="23"/>
      <c r="DU414" s="23"/>
      <c r="DV414" s="23"/>
      <c r="DW414" s="23"/>
      <c r="DX414" s="23"/>
      <c r="DY414" s="23"/>
      <c r="DZ414" s="23"/>
      <c r="EA414" s="23"/>
      <c r="EB414" s="23"/>
      <c r="EC414" s="23"/>
      <c r="ED414" s="23"/>
      <c r="EE414" s="23"/>
      <c r="EF414" s="23"/>
      <c r="EG414" s="23"/>
      <c r="EH414" s="23"/>
      <c r="EI414" s="23"/>
      <c r="EJ414" s="23"/>
      <c r="EK414" s="23"/>
      <c r="EL414" s="23"/>
      <c r="EM414" s="23"/>
      <c r="EN414" s="23"/>
      <c r="EO414" s="23"/>
      <c r="EP414" s="23"/>
      <c r="EQ414" s="23"/>
      <c r="ER414" s="23"/>
      <c r="ES414" s="23"/>
      <c r="ET414" s="23"/>
      <c r="EU414" s="23"/>
      <c r="EV414" s="23"/>
      <c r="EW414" s="23"/>
      <c r="EX414" s="23"/>
      <c r="EY414" s="23"/>
      <c r="EZ414" s="23"/>
      <c r="FA414" s="23"/>
      <c r="FB414" s="23"/>
      <c r="FC414" s="23"/>
      <c r="FD414" s="23"/>
      <c r="FE414" s="23"/>
      <c r="FF414" s="23"/>
      <c r="FG414" s="23"/>
      <c r="FH414" s="23"/>
      <c r="FI414" s="23"/>
      <c r="FJ414" s="23"/>
      <c r="FK414" s="23"/>
      <c r="FL414" s="23"/>
      <c r="FM414" s="23"/>
      <c r="FN414" s="23"/>
      <c r="FO414" s="23"/>
      <c r="FP414" s="23"/>
      <c r="FQ414" s="23"/>
      <c r="FR414" s="23"/>
      <c r="FS414" s="23"/>
      <c r="FT414" s="23"/>
      <c r="FU414" s="23"/>
      <c r="FV414" s="23"/>
      <c r="FW414" s="23"/>
      <c r="FX414" s="23"/>
      <c r="FY414" s="23"/>
      <c r="FZ414" s="23"/>
      <c r="GA414" s="23"/>
      <c r="GB414" s="23"/>
      <c r="GC414" s="23"/>
      <c r="GD414" s="23"/>
      <c r="GE414" s="23"/>
      <c r="GF414" s="23"/>
      <c r="GG414" s="23"/>
      <c r="GH414" s="23"/>
      <c r="GI414" s="23"/>
      <c r="GJ414" s="23"/>
      <c r="GK414" s="23"/>
      <c r="GL414" s="23"/>
    </row>
    <row r="415" spans="1:194" ht="13">
      <c r="A415" s="23"/>
      <c r="B415" s="23"/>
      <c r="C415" s="23"/>
      <c r="D415" s="23"/>
      <c r="E415" s="23"/>
      <c r="F415" s="23"/>
      <c r="G415" s="23"/>
      <c r="H415" s="401"/>
      <c r="I415" s="401"/>
      <c r="J415" s="401"/>
      <c r="K415" s="401"/>
      <c r="L415" s="401"/>
      <c r="M415" s="438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  <c r="AL415" s="23"/>
      <c r="AM415" s="23"/>
      <c r="AN415" s="23"/>
      <c r="AO415" s="23"/>
      <c r="AP415" s="23"/>
      <c r="AQ415" s="23"/>
      <c r="AR415" s="23"/>
      <c r="AS415" s="23"/>
      <c r="AT415" s="23"/>
      <c r="AU415" s="23"/>
      <c r="AV415" s="23"/>
      <c r="AW415" s="23"/>
      <c r="AX415" s="23"/>
      <c r="AY415" s="23"/>
      <c r="AZ415" s="23"/>
      <c r="BA415" s="23"/>
      <c r="BB415" s="23"/>
      <c r="BC415" s="23"/>
      <c r="BD415" s="23"/>
      <c r="BE415" s="23"/>
      <c r="BF415" s="23"/>
      <c r="BG415" s="23"/>
      <c r="BH415" s="23"/>
      <c r="BI415" s="23"/>
      <c r="BJ415" s="23"/>
      <c r="BK415" s="23"/>
      <c r="BL415" s="23"/>
      <c r="BM415" s="23"/>
      <c r="BN415" s="23"/>
      <c r="BO415" s="23"/>
      <c r="BP415" s="23"/>
      <c r="BQ415" s="23"/>
      <c r="BR415" s="23"/>
      <c r="BS415" s="23"/>
      <c r="BT415" s="23"/>
      <c r="BU415" s="23"/>
      <c r="BV415" s="23"/>
      <c r="BW415" s="23"/>
      <c r="BX415" s="23"/>
      <c r="BY415" s="23"/>
      <c r="BZ415" s="23"/>
      <c r="CA415" s="23"/>
      <c r="CB415" s="23"/>
      <c r="CC415" s="23"/>
      <c r="CD415" s="23"/>
      <c r="CE415" s="23"/>
      <c r="CF415" s="23"/>
      <c r="CG415" s="23"/>
      <c r="CH415" s="23"/>
      <c r="CI415" s="23"/>
      <c r="CJ415" s="23"/>
      <c r="CK415" s="23"/>
      <c r="CL415" s="23"/>
      <c r="CM415" s="23"/>
      <c r="CN415" s="23"/>
      <c r="CO415" s="23"/>
      <c r="CP415" s="23"/>
      <c r="CQ415" s="23"/>
      <c r="CR415" s="23"/>
      <c r="CS415" s="23"/>
      <c r="CT415" s="23"/>
      <c r="CU415" s="23"/>
      <c r="CV415" s="23"/>
      <c r="CW415" s="23"/>
      <c r="CX415" s="23"/>
      <c r="CY415" s="23"/>
      <c r="CZ415" s="23"/>
      <c r="DA415" s="23"/>
      <c r="DB415" s="23"/>
      <c r="DC415" s="23"/>
      <c r="DD415" s="23"/>
      <c r="DE415" s="23"/>
      <c r="DF415" s="23"/>
      <c r="DG415" s="23"/>
      <c r="DH415" s="23"/>
      <c r="DI415" s="23"/>
      <c r="DJ415" s="23"/>
      <c r="DK415" s="23"/>
      <c r="DL415" s="23"/>
      <c r="DM415" s="23"/>
      <c r="DN415" s="23"/>
      <c r="DO415" s="23"/>
      <c r="DP415" s="23"/>
      <c r="DQ415" s="23"/>
      <c r="DR415" s="23"/>
      <c r="DS415" s="23"/>
      <c r="DT415" s="23"/>
      <c r="DU415" s="23"/>
      <c r="DV415" s="23"/>
      <c r="DW415" s="23"/>
      <c r="DX415" s="23"/>
      <c r="DY415" s="23"/>
      <c r="DZ415" s="23"/>
      <c r="EA415" s="23"/>
      <c r="EB415" s="23"/>
      <c r="EC415" s="23"/>
      <c r="ED415" s="23"/>
      <c r="EE415" s="23"/>
      <c r="EF415" s="23"/>
      <c r="EG415" s="23"/>
      <c r="EH415" s="23"/>
      <c r="EI415" s="23"/>
      <c r="EJ415" s="23"/>
      <c r="EK415" s="23"/>
      <c r="EL415" s="23"/>
      <c r="EM415" s="23"/>
      <c r="EN415" s="23"/>
      <c r="EO415" s="23"/>
      <c r="EP415" s="23"/>
      <c r="EQ415" s="23"/>
      <c r="ER415" s="23"/>
      <c r="ES415" s="23"/>
      <c r="ET415" s="23"/>
      <c r="EU415" s="23"/>
      <c r="EV415" s="23"/>
      <c r="EW415" s="23"/>
      <c r="EX415" s="23"/>
      <c r="EY415" s="23"/>
      <c r="EZ415" s="23"/>
      <c r="FA415" s="23"/>
      <c r="FB415" s="23"/>
      <c r="FC415" s="23"/>
      <c r="FD415" s="23"/>
      <c r="FE415" s="23"/>
      <c r="FF415" s="23"/>
      <c r="FG415" s="23"/>
      <c r="FH415" s="23"/>
      <c r="FI415" s="23"/>
      <c r="FJ415" s="23"/>
      <c r="FK415" s="23"/>
      <c r="FL415" s="23"/>
      <c r="FM415" s="23"/>
      <c r="FN415" s="23"/>
      <c r="FO415" s="23"/>
      <c r="FP415" s="23"/>
      <c r="FQ415" s="23"/>
      <c r="FR415" s="23"/>
      <c r="FS415" s="23"/>
      <c r="FT415" s="23"/>
      <c r="FU415" s="23"/>
      <c r="FV415" s="23"/>
      <c r="FW415" s="23"/>
      <c r="FX415" s="23"/>
      <c r="FY415" s="23"/>
      <c r="FZ415" s="23"/>
      <c r="GA415" s="23"/>
      <c r="GB415" s="23"/>
      <c r="GC415" s="23"/>
      <c r="GD415" s="23"/>
      <c r="GE415" s="23"/>
      <c r="GF415" s="23"/>
      <c r="GG415" s="23"/>
      <c r="GH415" s="23"/>
      <c r="GI415" s="23"/>
      <c r="GJ415" s="23"/>
      <c r="GK415" s="23"/>
      <c r="GL415" s="23"/>
    </row>
    <row r="416" spans="1:194" ht="13">
      <c r="A416" s="23"/>
      <c r="B416" s="23"/>
      <c r="C416" s="23"/>
      <c r="D416" s="23"/>
      <c r="E416" s="23"/>
      <c r="F416" s="23"/>
      <c r="G416" s="23"/>
      <c r="H416" s="401"/>
      <c r="I416" s="401"/>
      <c r="J416" s="401"/>
      <c r="K416" s="401"/>
      <c r="L416" s="401"/>
      <c r="M416" s="438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  <c r="AL416" s="23"/>
      <c r="AM416" s="23"/>
      <c r="AN416" s="23"/>
      <c r="AO416" s="23"/>
      <c r="AP416" s="23"/>
      <c r="AQ416" s="23"/>
      <c r="AR416" s="23"/>
      <c r="AS416" s="23"/>
      <c r="AT416" s="23"/>
      <c r="AU416" s="23"/>
      <c r="AV416" s="23"/>
      <c r="AW416" s="23"/>
      <c r="AX416" s="23"/>
      <c r="AY416" s="23"/>
      <c r="AZ416" s="23"/>
      <c r="BA416" s="23"/>
      <c r="BB416" s="23"/>
      <c r="BC416" s="23"/>
      <c r="BD416" s="23"/>
      <c r="BE416" s="23"/>
      <c r="BF416" s="23"/>
      <c r="BG416" s="23"/>
      <c r="BH416" s="23"/>
      <c r="BI416" s="23"/>
      <c r="BJ416" s="23"/>
      <c r="BK416" s="23"/>
      <c r="BL416" s="23"/>
      <c r="BM416" s="23"/>
      <c r="BN416" s="23"/>
      <c r="BO416" s="23"/>
      <c r="BP416" s="23"/>
      <c r="BQ416" s="23"/>
      <c r="BR416" s="23"/>
      <c r="BS416" s="23"/>
      <c r="BT416" s="23"/>
      <c r="BU416" s="23"/>
      <c r="BV416" s="23"/>
      <c r="BW416" s="23"/>
      <c r="BX416" s="23"/>
      <c r="BY416" s="23"/>
      <c r="BZ416" s="23"/>
      <c r="CA416" s="23"/>
      <c r="CB416" s="23"/>
      <c r="CC416" s="23"/>
      <c r="CD416" s="23"/>
      <c r="CE416" s="23"/>
      <c r="CF416" s="23"/>
      <c r="CG416" s="23"/>
      <c r="CH416" s="23"/>
      <c r="CI416" s="23"/>
      <c r="CJ416" s="23"/>
      <c r="CK416" s="23"/>
      <c r="CL416" s="23"/>
      <c r="CM416" s="23"/>
      <c r="CN416" s="23"/>
      <c r="CO416" s="23"/>
      <c r="CP416" s="23"/>
      <c r="CQ416" s="23"/>
      <c r="CR416" s="23"/>
      <c r="CS416" s="23"/>
      <c r="CT416" s="23"/>
      <c r="CU416" s="23"/>
      <c r="CV416" s="23"/>
      <c r="CW416" s="23"/>
      <c r="CX416" s="23"/>
      <c r="CY416" s="23"/>
      <c r="CZ416" s="23"/>
      <c r="DA416" s="23"/>
      <c r="DB416" s="23"/>
      <c r="DC416" s="23"/>
      <c r="DD416" s="23"/>
      <c r="DE416" s="23"/>
      <c r="DF416" s="23"/>
      <c r="DG416" s="23"/>
      <c r="DH416" s="23"/>
      <c r="DI416" s="23"/>
      <c r="DJ416" s="23"/>
      <c r="DK416" s="23"/>
      <c r="DL416" s="23"/>
      <c r="DM416" s="23"/>
      <c r="DN416" s="23"/>
      <c r="DO416" s="23"/>
      <c r="DP416" s="23"/>
      <c r="DQ416" s="23"/>
      <c r="DR416" s="23"/>
      <c r="DS416" s="23"/>
      <c r="DT416" s="23"/>
      <c r="DU416" s="23"/>
      <c r="DV416" s="23"/>
      <c r="DW416" s="23"/>
      <c r="DX416" s="23"/>
      <c r="DY416" s="23"/>
      <c r="DZ416" s="23"/>
      <c r="EA416" s="23"/>
      <c r="EB416" s="23"/>
      <c r="EC416" s="23"/>
      <c r="ED416" s="23"/>
      <c r="EE416" s="23"/>
      <c r="EF416" s="23"/>
      <c r="EG416" s="23"/>
      <c r="EH416" s="23"/>
      <c r="EI416" s="23"/>
      <c r="EJ416" s="23"/>
      <c r="EK416" s="23"/>
      <c r="EL416" s="23"/>
      <c r="EM416" s="23"/>
      <c r="EN416" s="23"/>
      <c r="EO416" s="23"/>
      <c r="EP416" s="23"/>
      <c r="EQ416" s="23"/>
      <c r="ER416" s="23"/>
      <c r="ES416" s="23"/>
      <c r="ET416" s="23"/>
      <c r="EU416" s="23"/>
      <c r="EV416" s="23"/>
      <c r="EW416" s="23"/>
      <c r="EX416" s="23"/>
      <c r="EY416" s="23"/>
      <c r="EZ416" s="23"/>
      <c r="FA416" s="23"/>
      <c r="FB416" s="23"/>
      <c r="FC416" s="23"/>
      <c r="FD416" s="23"/>
      <c r="FE416" s="23"/>
      <c r="FF416" s="23"/>
      <c r="FG416" s="23"/>
      <c r="FH416" s="23"/>
      <c r="FI416" s="23"/>
      <c r="FJ416" s="23"/>
      <c r="FK416" s="23"/>
      <c r="FL416" s="23"/>
      <c r="FM416" s="23"/>
      <c r="FN416" s="23"/>
      <c r="FO416" s="23"/>
      <c r="FP416" s="23"/>
      <c r="FQ416" s="23"/>
      <c r="FR416" s="23"/>
      <c r="FS416" s="23"/>
      <c r="FT416" s="23"/>
      <c r="FU416" s="23"/>
      <c r="FV416" s="23"/>
      <c r="FW416" s="23"/>
      <c r="FX416" s="23"/>
      <c r="FY416" s="23"/>
      <c r="FZ416" s="23"/>
      <c r="GA416" s="23"/>
      <c r="GB416" s="23"/>
      <c r="GC416" s="23"/>
      <c r="GD416" s="23"/>
      <c r="GE416" s="23"/>
      <c r="GF416" s="23"/>
      <c r="GG416" s="23"/>
      <c r="GH416" s="23"/>
      <c r="GI416" s="23"/>
      <c r="GJ416" s="23"/>
      <c r="GK416" s="23"/>
      <c r="GL416" s="23"/>
    </row>
    <row r="417" spans="1:194" ht="13">
      <c r="A417" s="23"/>
      <c r="B417" s="23"/>
      <c r="C417" s="23"/>
      <c r="D417" s="23"/>
      <c r="E417" s="23"/>
      <c r="F417" s="23"/>
      <c r="G417" s="23"/>
      <c r="H417" s="401"/>
      <c r="I417" s="401"/>
      <c r="J417" s="401"/>
      <c r="K417" s="401"/>
      <c r="L417" s="401"/>
      <c r="M417" s="438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  <c r="AL417" s="23"/>
      <c r="AM417" s="23"/>
      <c r="AN417" s="23"/>
      <c r="AO417" s="23"/>
      <c r="AP417" s="23"/>
      <c r="AQ417" s="23"/>
      <c r="AR417" s="23"/>
      <c r="AS417" s="23"/>
      <c r="AT417" s="23"/>
      <c r="AU417" s="23"/>
      <c r="AV417" s="23"/>
      <c r="AW417" s="23"/>
      <c r="AX417" s="23"/>
      <c r="AY417" s="23"/>
      <c r="AZ417" s="23"/>
      <c r="BA417" s="23"/>
      <c r="BB417" s="23"/>
      <c r="BC417" s="23"/>
      <c r="BD417" s="23"/>
      <c r="BE417" s="23"/>
      <c r="BF417" s="23"/>
      <c r="BG417" s="23"/>
      <c r="BH417" s="23"/>
      <c r="BI417" s="23"/>
      <c r="BJ417" s="23"/>
      <c r="BK417" s="23"/>
      <c r="BL417" s="23"/>
      <c r="BM417" s="23"/>
      <c r="BN417" s="23"/>
      <c r="BO417" s="23"/>
      <c r="BP417" s="23"/>
      <c r="BQ417" s="23"/>
      <c r="BR417" s="23"/>
      <c r="BS417" s="23"/>
      <c r="BT417" s="23"/>
      <c r="BU417" s="23"/>
      <c r="BV417" s="23"/>
      <c r="BW417" s="23"/>
      <c r="BX417" s="23"/>
      <c r="BY417" s="23"/>
      <c r="BZ417" s="23"/>
      <c r="CA417" s="23"/>
      <c r="CB417" s="23"/>
      <c r="CC417" s="23"/>
      <c r="CD417" s="23"/>
      <c r="CE417" s="23"/>
      <c r="CF417" s="23"/>
      <c r="CG417" s="23"/>
      <c r="CH417" s="23"/>
      <c r="CI417" s="23"/>
      <c r="CJ417" s="23"/>
      <c r="CK417" s="23"/>
      <c r="CL417" s="23"/>
      <c r="CM417" s="23"/>
      <c r="CN417" s="23"/>
      <c r="CO417" s="23"/>
      <c r="CP417" s="23"/>
      <c r="CQ417" s="23"/>
      <c r="CR417" s="23"/>
      <c r="CS417" s="23"/>
      <c r="CT417" s="23"/>
      <c r="CU417" s="23"/>
      <c r="CV417" s="23"/>
      <c r="CW417" s="23"/>
      <c r="CX417" s="23"/>
      <c r="CY417" s="23"/>
      <c r="CZ417" s="23"/>
      <c r="DA417" s="23"/>
      <c r="DB417" s="23"/>
      <c r="DC417" s="23"/>
      <c r="DD417" s="23"/>
      <c r="DE417" s="23"/>
      <c r="DF417" s="23"/>
      <c r="DG417" s="23"/>
      <c r="DH417" s="23"/>
      <c r="DI417" s="23"/>
      <c r="DJ417" s="23"/>
      <c r="DK417" s="23"/>
      <c r="DL417" s="23"/>
      <c r="DM417" s="23"/>
      <c r="DN417" s="23"/>
      <c r="DO417" s="23"/>
      <c r="DP417" s="23"/>
      <c r="DQ417" s="23"/>
      <c r="DR417" s="23"/>
      <c r="DS417" s="23"/>
      <c r="DT417" s="23"/>
      <c r="DU417" s="23"/>
      <c r="DV417" s="23"/>
      <c r="DW417" s="23"/>
      <c r="DX417" s="23"/>
      <c r="DY417" s="23"/>
      <c r="DZ417" s="23"/>
      <c r="EA417" s="23"/>
      <c r="EB417" s="23"/>
      <c r="EC417" s="23"/>
      <c r="ED417" s="23"/>
      <c r="EE417" s="23"/>
      <c r="EF417" s="23"/>
      <c r="EG417" s="23"/>
      <c r="EH417" s="23"/>
      <c r="EI417" s="23"/>
      <c r="EJ417" s="23"/>
      <c r="EK417" s="23"/>
      <c r="EL417" s="23"/>
      <c r="EM417" s="23"/>
      <c r="EN417" s="23"/>
      <c r="EO417" s="23"/>
      <c r="EP417" s="23"/>
      <c r="EQ417" s="23"/>
      <c r="ER417" s="23"/>
      <c r="ES417" s="23"/>
      <c r="ET417" s="23"/>
      <c r="EU417" s="23"/>
      <c r="EV417" s="23"/>
      <c r="EW417" s="23"/>
      <c r="EX417" s="23"/>
      <c r="EY417" s="23"/>
      <c r="EZ417" s="23"/>
      <c r="FA417" s="23"/>
      <c r="FB417" s="23"/>
      <c r="FC417" s="23"/>
      <c r="FD417" s="23"/>
      <c r="FE417" s="23"/>
      <c r="FF417" s="23"/>
      <c r="FG417" s="23"/>
      <c r="FH417" s="23"/>
      <c r="FI417" s="23"/>
      <c r="FJ417" s="23"/>
      <c r="FK417" s="23"/>
      <c r="FL417" s="23"/>
      <c r="FM417" s="23"/>
      <c r="FN417" s="23"/>
      <c r="FO417" s="23"/>
      <c r="FP417" s="23"/>
      <c r="FQ417" s="23"/>
      <c r="FR417" s="23"/>
      <c r="FS417" s="23"/>
      <c r="FT417" s="23"/>
      <c r="FU417" s="23"/>
      <c r="FV417" s="23"/>
      <c r="FW417" s="23"/>
      <c r="FX417" s="23"/>
      <c r="FY417" s="23"/>
      <c r="FZ417" s="23"/>
      <c r="GA417" s="23"/>
      <c r="GB417" s="23"/>
      <c r="GC417" s="23"/>
      <c r="GD417" s="23"/>
      <c r="GE417" s="23"/>
      <c r="GF417" s="23"/>
      <c r="GG417" s="23"/>
      <c r="GH417" s="23"/>
      <c r="GI417" s="23"/>
      <c r="GJ417" s="23"/>
      <c r="GK417" s="23"/>
      <c r="GL417" s="23"/>
    </row>
    <row r="418" spans="1:194" ht="13">
      <c r="A418" s="23"/>
      <c r="B418" s="23"/>
      <c r="C418" s="23"/>
      <c r="D418" s="23"/>
      <c r="E418" s="23"/>
      <c r="F418" s="23"/>
      <c r="G418" s="23"/>
      <c r="H418" s="401"/>
      <c r="I418" s="401"/>
      <c r="J418" s="401"/>
      <c r="K418" s="401"/>
      <c r="L418" s="401"/>
      <c r="M418" s="438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  <c r="AL418" s="23"/>
      <c r="AM418" s="23"/>
      <c r="AN418" s="23"/>
      <c r="AO418" s="23"/>
      <c r="AP418" s="23"/>
      <c r="AQ418" s="23"/>
      <c r="AR418" s="23"/>
      <c r="AS418" s="23"/>
      <c r="AT418" s="23"/>
      <c r="AU418" s="23"/>
      <c r="AV418" s="23"/>
      <c r="AW418" s="23"/>
      <c r="AX418" s="23"/>
      <c r="AY418" s="23"/>
      <c r="AZ418" s="23"/>
      <c r="BA418" s="23"/>
      <c r="BB418" s="23"/>
      <c r="BC418" s="23"/>
      <c r="BD418" s="23"/>
      <c r="BE418" s="23"/>
      <c r="BF418" s="23"/>
      <c r="BG418" s="23"/>
      <c r="BH418" s="23"/>
      <c r="BI418" s="23"/>
      <c r="BJ418" s="23"/>
      <c r="BK418" s="23"/>
      <c r="BL418" s="23"/>
      <c r="BM418" s="23"/>
      <c r="BN418" s="23"/>
      <c r="BO418" s="23"/>
      <c r="BP418" s="23"/>
      <c r="BQ418" s="23"/>
      <c r="BR418" s="23"/>
      <c r="BS418" s="23"/>
      <c r="BT418" s="23"/>
      <c r="BU418" s="23"/>
      <c r="BV418" s="23"/>
      <c r="BW418" s="23"/>
      <c r="BX418" s="23"/>
      <c r="BY418" s="23"/>
      <c r="BZ418" s="23"/>
      <c r="CA418" s="23"/>
      <c r="CB418" s="23"/>
      <c r="CC418" s="23"/>
      <c r="CD418" s="23"/>
      <c r="CE418" s="23"/>
      <c r="CF418" s="23"/>
      <c r="CG418" s="23"/>
      <c r="CH418" s="23"/>
      <c r="CI418" s="23"/>
      <c r="CJ418" s="23"/>
      <c r="CK418" s="23"/>
      <c r="CL418" s="23"/>
      <c r="CM418" s="23"/>
      <c r="CN418" s="23"/>
      <c r="CO418" s="23"/>
      <c r="CP418" s="23"/>
      <c r="CQ418" s="23"/>
      <c r="CR418" s="23"/>
      <c r="CS418" s="23"/>
      <c r="CT418" s="23"/>
      <c r="CU418" s="23"/>
      <c r="CV418" s="23"/>
      <c r="CW418" s="23"/>
      <c r="CX418" s="23"/>
      <c r="CY418" s="23"/>
      <c r="CZ418" s="23"/>
      <c r="DA418" s="23"/>
      <c r="DB418" s="23"/>
      <c r="DC418" s="23"/>
      <c r="DD418" s="23"/>
      <c r="DE418" s="23"/>
      <c r="DF418" s="23"/>
      <c r="DG418" s="23"/>
      <c r="DH418" s="23"/>
      <c r="DI418" s="23"/>
      <c r="DJ418" s="23"/>
      <c r="DK418" s="23"/>
      <c r="DL418" s="23"/>
      <c r="DM418" s="23"/>
      <c r="DN418" s="23"/>
      <c r="DO418" s="23"/>
      <c r="DP418" s="23"/>
      <c r="DQ418" s="23"/>
      <c r="DR418" s="23"/>
      <c r="DS418" s="23"/>
      <c r="DT418" s="23"/>
      <c r="DU418" s="23"/>
      <c r="DV418" s="23"/>
      <c r="DW418" s="23"/>
      <c r="DX418" s="23"/>
      <c r="DY418" s="23"/>
      <c r="DZ418" s="23"/>
      <c r="EA418" s="23"/>
      <c r="EB418" s="23"/>
      <c r="EC418" s="23"/>
      <c r="ED418" s="23"/>
      <c r="EE418" s="23"/>
      <c r="EF418" s="23"/>
      <c r="EG418" s="23"/>
      <c r="EH418" s="23"/>
      <c r="EI418" s="23"/>
      <c r="EJ418" s="23"/>
      <c r="EK418" s="23"/>
      <c r="EL418" s="23"/>
      <c r="EM418" s="23"/>
      <c r="EN418" s="23"/>
      <c r="EO418" s="23"/>
      <c r="EP418" s="23"/>
      <c r="EQ418" s="23"/>
      <c r="ER418" s="23"/>
      <c r="ES418" s="23"/>
      <c r="ET418" s="23"/>
      <c r="EU418" s="23"/>
      <c r="EV418" s="23"/>
      <c r="EW418" s="23"/>
      <c r="EX418" s="23"/>
      <c r="EY418" s="23"/>
      <c r="EZ418" s="23"/>
      <c r="FA418" s="23"/>
      <c r="FB418" s="23"/>
      <c r="FC418" s="23"/>
      <c r="FD418" s="23"/>
      <c r="FE418" s="23"/>
      <c r="FF418" s="23"/>
      <c r="FG418" s="23"/>
      <c r="FH418" s="23"/>
      <c r="FI418" s="23"/>
      <c r="FJ418" s="23"/>
      <c r="FK418" s="23"/>
      <c r="FL418" s="23"/>
      <c r="FM418" s="23"/>
      <c r="FN418" s="23"/>
      <c r="FO418" s="23"/>
      <c r="FP418" s="23"/>
      <c r="FQ418" s="23"/>
      <c r="FR418" s="23"/>
      <c r="FS418" s="23"/>
      <c r="FT418" s="23"/>
      <c r="FU418" s="23"/>
      <c r="FV418" s="23"/>
      <c r="FW418" s="23"/>
      <c r="FX418" s="23"/>
      <c r="FY418" s="23"/>
      <c r="FZ418" s="23"/>
      <c r="GA418" s="23"/>
      <c r="GB418" s="23"/>
      <c r="GC418" s="23"/>
      <c r="GD418" s="23"/>
      <c r="GE418" s="23"/>
      <c r="GF418" s="23"/>
      <c r="GG418" s="23"/>
      <c r="GH418" s="23"/>
      <c r="GI418" s="23"/>
      <c r="GJ418" s="23"/>
      <c r="GK418" s="23"/>
      <c r="GL418" s="23"/>
    </row>
    <row r="419" spans="1:194" ht="13">
      <c r="A419" s="23"/>
      <c r="B419" s="23"/>
      <c r="C419" s="23"/>
      <c r="D419" s="23"/>
      <c r="E419" s="23"/>
      <c r="F419" s="23"/>
      <c r="G419" s="23"/>
      <c r="H419" s="401"/>
      <c r="I419" s="401"/>
      <c r="J419" s="401"/>
      <c r="K419" s="401"/>
      <c r="L419" s="401"/>
      <c r="M419" s="438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  <c r="AL419" s="23"/>
      <c r="AM419" s="23"/>
      <c r="AN419" s="23"/>
      <c r="AO419" s="23"/>
      <c r="AP419" s="23"/>
      <c r="AQ419" s="23"/>
      <c r="AR419" s="23"/>
      <c r="AS419" s="23"/>
      <c r="AT419" s="23"/>
      <c r="AU419" s="23"/>
      <c r="AV419" s="23"/>
      <c r="AW419" s="23"/>
      <c r="AX419" s="23"/>
      <c r="AY419" s="23"/>
      <c r="AZ419" s="23"/>
      <c r="BA419" s="23"/>
      <c r="BB419" s="23"/>
      <c r="BC419" s="23"/>
      <c r="BD419" s="23"/>
      <c r="BE419" s="23"/>
      <c r="BF419" s="23"/>
      <c r="BG419" s="23"/>
      <c r="BH419" s="23"/>
      <c r="BI419" s="23"/>
      <c r="BJ419" s="23"/>
      <c r="BK419" s="23"/>
      <c r="BL419" s="23"/>
      <c r="BM419" s="23"/>
      <c r="BN419" s="23"/>
      <c r="BO419" s="23"/>
      <c r="BP419" s="23"/>
      <c r="BQ419" s="23"/>
      <c r="BR419" s="23"/>
      <c r="BS419" s="23"/>
      <c r="BT419" s="23"/>
      <c r="BU419" s="23"/>
      <c r="BV419" s="23"/>
      <c r="BW419" s="23"/>
      <c r="BX419" s="23"/>
      <c r="BY419" s="23"/>
      <c r="BZ419" s="23"/>
      <c r="CA419" s="23"/>
      <c r="CB419" s="23"/>
      <c r="CC419" s="23"/>
      <c r="CD419" s="23"/>
      <c r="CE419" s="23"/>
      <c r="CF419" s="23"/>
      <c r="CG419" s="23"/>
      <c r="CH419" s="23"/>
      <c r="CI419" s="23"/>
      <c r="CJ419" s="23"/>
      <c r="CK419" s="23"/>
      <c r="CL419" s="23"/>
      <c r="CM419" s="23"/>
      <c r="CN419" s="23"/>
      <c r="CO419" s="23"/>
      <c r="CP419" s="23"/>
      <c r="CQ419" s="23"/>
      <c r="CR419" s="23"/>
      <c r="CS419" s="23"/>
      <c r="CT419" s="23"/>
      <c r="CU419" s="23"/>
      <c r="CV419" s="23"/>
      <c r="CW419" s="23"/>
      <c r="CX419" s="23"/>
      <c r="CY419" s="23"/>
      <c r="CZ419" s="23"/>
      <c r="DA419" s="23"/>
      <c r="DB419" s="23"/>
      <c r="DC419" s="23"/>
      <c r="DD419" s="23"/>
      <c r="DE419" s="23"/>
      <c r="DF419" s="23"/>
      <c r="DG419" s="23"/>
      <c r="DH419" s="23"/>
      <c r="DI419" s="23"/>
      <c r="DJ419" s="23"/>
      <c r="DK419" s="23"/>
      <c r="DL419" s="23"/>
      <c r="DM419" s="23"/>
      <c r="DN419" s="23"/>
      <c r="DO419" s="23"/>
      <c r="DP419" s="23"/>
      <c r="DQ419" s="23"/>
      <c r="DR419" s="23"/>
      <c r="DS419" s="23"/>
      <c r="DT419" s="23"/>
      <c r="DU419" s="23"/>
      <c r="DV419" s="23"/>
      <c r="DW419" s="23"/>
      <c r="DX419" s="23"/>
      <c r="DY419" s="23"/>
      <c r="DZ419" s="23"/>
      <c r="EA419" s="23"/>
      <c r="EB419" s="23"/>
      <c r="EC419" s="23"/>
      <c r="ED419" s="23"/>
      <c r="EE419" s="23"/>
      <c r="EF419" s="23"/>
      <c r="EG419" s="23"/>
      <c r="EH419" s="23"/>
      <c r="EI419" s="23"/>
      <c r="EJ419" s="23"/>
      <c r="EK419" s="23"/>
      <c r="EL419" s="23"/>
      <c r="EM419" s="23"/>
      <c r="EN419" s="23"/>
      <c r="EO419" s="23"/>
      <c r="EP419" s="23"/>
      <c r="EQ419" s="23"/>
      <c r="ER419" s="23"/>
      <c r="ES419" s="23"/>
      <c r="ET419" s="23"/>
      <c r="EU419" s="23"/>
      <c r="EV419" s="23"/>
      <c r="EW419" s="23"/>
      <c r="EX419" s="23"/>
      <c r="EY419" s="23"/>
      <c r="EZ419" s="23"/>
      <c r="FA419" s="23"/>
      <c r="FB419" s="23"/>
      <c r="FC419" s="23"/>
      <c r="FD419" s="23"/>
      <c r="FE419" s="23"/>
      <c r="FF419" s="23"/>
      <c r="FG419" s="23"/>
      <c r="FH419" s="23"/>
      <c r="FI419" s="23"/>
      <c r="FJ419" s="23"/>
      <c r="FK419" s="23"/>
      <c r="FL419" s="23"/>
      <c r="FM419" s="23"/>
      <c r="FN419" s="23"/>
      <c r="FO419" s="23"/>
      <c r="FP419" s="23"/>
      <c r="FQ419" s="23"/>
      <c r="FR419" s="23"/>
      <c r="FS419" s="23"/>
      <c r="FT419" s="23"/>
      <c r="FU419" s="23"/>
      <c r="FV419" s="23"/>
      <c r="FW419" s="23"/>
      <c r="FX419" s="23"/>
      <c r="FY419" s="23"/>
      <c r="FZ419" s="23"/>
      <c r="GA419" s="23"/>
      <c r="GB419" s="23"/>
      <c r="GC419" s="23"/>
      <c r="GD419" s="23"/>
      <c r="GE419" s="23"/>
      <c r="GF419" s="23"/>
      <c r="GG419" s="23"/>
      <c r="GH419" s="23"/>
      <c r="GI419" s="23"/>
      <c r="GJ419" s="23"/>
      <c r="GK419" s="23"/>
      <c r="GL419" s="23"/>
    </row>
    <row r="420" spans="1:194" ht="13">
      <c r="A420" s="23"/>
      <c r="B420" s="23"/>
      <c r="C420" s="23"/>
      <c r="D420" s="23"/>
      <c r="E420" s="23"/>
      <c r="F420" s="23"/>
      <c r="G420" s="23"/>
      <c r="H420" s="401"/>
      <c r="I420" s="401"/>
      <c r="J420" s="401"/>
      <c r="K420" s="401"/>
      <c r="L420" s="401"/>
      <c r="M420" s="438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  <c r="AL420" s="23"/>
      <c r="AM420" s="23"/>
      <c r="AN420" s="23"/>
      <c r="AO420" s="23"/>
      <c r="AP420" s="23"/>
      <c r="AQ420" s="23"/>
      <c r="AR420" s="23"/>
      <c r="AS420" s="23"/>
      <c r="AT420" s="23"/>
      <c r="AU420" s="23"/>
      <c r="AV420" s="23"/>
      <c r="AW420" s="23"/>
      <c r="AX420" s="23"/>
      <c r="AY420" s="23"/>
      <c r="AZ420" s="23"/>
      <c r="BA420" s="23"/>
      <c r="BB420" s="23"/>
      <c r="BC420" s="23"/>
      <c r="BD420" s="23"/>
      <c r="BE420" s="23"/>
      <c r="BF420" s="23"/>
      <c r="BG420" s="23"/>
      <c r="BH420" s="23"/>
      <c r="BI420" s="23"/>
      <c r="BJ420" s="23"/>
      <c r="BK420" s="23"/>
      <c r="BL420" s="23"/>
      <c r="BM420" s="23"/>
      <c r="BN420" s="23"/>
      <c r="BO420" s="23"/>
      <c r="BP420" s="23"/>
      <c r="BQ420" s="23"/>
      <c r="BR420" s="23"/>
      <c r="BS420" s="23"/>
      <c r="BT420" s="23"/>
      <c r="BU420" s="23"/>
      <c r="BV420" s="23"/>
      <c r="BW420" s="23"/>
      <c r="BX420" s="23"/>
      <c r="BY420" s="23"/>
      <c r="BZ420" s="23"/>
      <c r="CA420" s="23"/>
      <c r="CB420" s="23"/>
      <c r="CC420" s="23"/>
      <c r="CD420" s="23"/>
      <c r="CE420" s="23"/>
      <c r="CF420" s="23"/>
      <c r="CG420" s="23"/>
      <c r="CH420" s="23"/>
      <c r="CI420" s="23"/>
      <c r="CJ420" s="23"/>
      <c r="CK420" s="23"/>
      <c r="CL420" s="23"/>
      <c r="CM420" s="23"/>
      <c r="CN420" s="23"/>
      <c r="CO420" s="23"/>
      <c r="CP420" s="23"/>
      <c r="CQ420" s="23"/>
      <c r="CR420" s="23"/>
      <c r="CS420" s="23"/>
      <c r="CT420" s="23"/>
      <c r="CU420" s="23"/>
      <c r="CV420" s="23"/>
      <c r="CW420" s="23"/>
      <c r="CX420" s="23"/>
      <c r="CY420" s="23"/>
      <c r="CZ420" s="23"/>
      <c r="DA420" s="23"/>
      <c r="DB420" s="23"/>
      <c r="DC420" s="23"/>
      <c r="DD420" s="23"/>
      <c r="DE420" s="23"/>
      <c r="DF420" s="23"/>
      <c r="DG420" s="23"/>
      <c r="DH420" s="23"/>
      <c r="DI420" s="23"/>
      <c r="DJ420" s="23"/>
      <c r="DK420" s="23"/>
      <c r="DL420" s="23"/>
      <c r="DM420" s="23"/>
      <c r="DN420" s="23"/>
      <c r="DO420" s="23"/>
      <c r="DP420" s="23"/>
      <c r="DQ420" s="23"/>
      <c r="DR420" s="23"/>
      <c r="DS420" s="23"/>
      <c r="DT420" s="23"/>
      <c r="DU420" s="23"/>
      <c r="DV420" s="23"/>
      <c r="DW420" s="23"/>
      <c r="DX420" s="23"/>
      <c r="DY420" s="23"/>
      <c r="DZ420" s="23"/>
      <c r="EA420" s="23"/>
      <c r="EB420" s="23"/>
      <c r="EC420" s="23"/>
      <c r="ED420" s="23"/>
      <c r="EE420" s="23"/>
      <c r="EF420" s="23"/>
      <c r="EG420" s="23"/>
      <c r="EH420" s="23"/>
      <c r="EI420" s="23"/>
      <c r="EJ420" s="23"/>
      <c r="EK420" s="23"/>
      <c r="EL420" s="23"/>
      <c r="EM420" s="23"/>
      <c r="EN420" s="23"/>
      <c r="EO420" s="23"/>
      <c r="EP420" s="23"/>
      <c r="EQ420" s="23"/>
      <c r="ER420" s="23"/>
      <c r="ES420" s="23"/>
      <c r="ET420" s="23"/>
      <c r="EU420" s="23"/>
      <c r="EV420" s="23"/>
      <c r="EW420" s="23"/>
      <c r="EX420" s="23"/>
      <c r="EY420" s="23"/>
      <c r="EZ420" s="23"/>
      <c r="FA420" s="23"/>
      <c r="FB420" s="23"/>
      <c r="FC420" s="23"/>
      <c r="FD420" s="23"/>
      <c r="FE420" s="23"/>
      <c r="FF420" s="23"/>
      <c r="FG420" s="23"/>
      <c r="FH420" s="23"/>
      <c r="FI420" s="23"/>
      <c r="FJ420" s="23"/>
      <c r="FK420" s="23"/>
      <c r="FL420" s="23"/>
      <c r="FM420" s="23"/>
      <c r="FN420" s="23"/>
      <c r="FO420" s="23"/>
      <c r="FP420" s="23"/>
      <c r="FQ420" s="23"/>
      <c r="FR420" s="23"/>
      <c r="FS420" s="23"/>
      <c r="FT420" s="23"/>
      <c r="FU420" s="23"/>
      <c r="FV420" s="23"/>
      <c r="FW420" s="23"/>
      <c r="FX420" s="23"/>
      <c r="FY420" s="23"/>
      <c r="FZ420" s="23"/>
      <c r="GA420" s="23"/>
      <c r="GB420" s="23"/>
      <c r="GC420" s="23"/>
      <c r="GD420" s="23"/>
      <c r="GE420" s="23"/>
      <c r="GF420" s="23"/>
      <c r="GG420" s="23"/>
      <c r="GH420" s="23"/>
      <c r="GI420" s="23"/>
      <c r="GJ420" s="23"/>
      <c r="GK420" s="23"/>
      <c r="GL420" s="23"/>
    </row>
    <row r="421" spans="1:194" ht="13">
      <c r="A421" s="23"/>
      <c r="B421" s="23"/>
      <c r="C421" s="23"/>
      <c r="D421" s="23"/>
      <c r="E421" s="23"/>
      <c r="F421" s="23"/>
      <c r="G421" s="23"/>
      <c r="H421" s="401"/>
      <c r="I421" s="401"/>
      <c r="J421" s="401"/>
      <c r="K421" s="401"/>
      <c r="L421" s="401"/>
      <c r="M421" s="438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  <c r="AL421" s="23"/>
      <c r="AM421" s="23"/>
      <c r="AN421" s="23"/>
      <c r="AO421" s="23"/>
      <c r="AP421" s="23"/>
      <c r="AQ421" s="23"/>
      <c r="AR421" s="23"/>
      <c r="AS421" s="23"/>
      <c r="AT421" s="23"/>
      <c r="AU421" s="23"/>
      <c r="AV421" s="23"/>
      <c r="AW421" s="23"/>
      <c r="AX421" s="23"/>
      <c r="AY421" s="23"/>
      <c r="AZ421" s="23"/>
      <c r="BA421" s="23"/>
      <c r="BB421" s="23"/>
      <c r="BC421" s="23"/>
      <c r="BD421" s="23"/>
      <c r="BE421" s="23"/>
      <c r="BF421" s="23"/>
      <c r="BG421" s="23"/>
      <c r="BH421" s="23"/>
      <c r="BI421" s="23"/>
      <c r="BJ421" s="23"/>
      <c r="BK421" s="23"/>
      <c r="BL421" s="23"/>
      <c r="BM421" s="23"/>
      <c r="BN421" s="23"/>
      <c r="BO421" s="23"/>
      <c r="BP421" s="23"/>
      <c r="BQ421" s="23"/>
      <c r="BR421" s="23"/>
      <c r="BS421" s="23"/>
      <c r="BT421" s="23"/>
      <c r="BU421" s="23"/>
      <c r="BV421" s="23"/>
      <c r="BW421" s="23"/>
      <c r="BX421" s="23"/>
      <c r="BY421" s="23"/>
      <c r="BZ421" s="23"/>
      <c r="CA421" s="23"/>
      <c r="CB421" s="23"/>
      <c r="CC421" s="23"/>
      <c r="CD421" s="23"/>
      <c r="CE421" s="23"/>
      <c r="CF421" s="23"/>
      <c r="CG421" s="23"/>
      <c r="CH421" s="23"/>
      <c r="CI421" s="23"/>
      <c r="CJ421" s="23"/>
      <c r="CK421" s="23"/>
      <c r="CL421" s="23"/>
      <c r="CM421" s="23"/>
      <c r="CN421" s="23"/>
      <c r="CO421" s="23"/>
      <c r="CP421" s="23"/>
      <c r="CQ421" s="23"/>
      <c r="CR421" s="23"/>
      <c r="CS421" s="23"/>
      <c r="CT421" s="23"/>
      <c r="CU421" s="23"/>
      <c r="CV421" s="23"/>
      <c r="CW421" s="23"/>
      <c r="CX421" s="23"/>
      <c r="CY421" s="23"/>
      <c r="CZ421" s="23"/>
      <c r="DA421" s="23"/>
      <c r="DB421" s="23"/>
      <c r="DC421" s="23"/>
      <c r="DD421" s="23"/>
      <c r="DE421" s="23"/>
      <c r="DF421" s="23"/>
      <c r="DG421" s="23"/>
      <c r="DH421" s="23"/>
      <c r="DI421" s="23"/>
      <c r="DJ421" s="23"/>
      <c r="DK421" s="23"/>
      <c r="DL421" s="23"/>
      <c r="DM421" s="23"/>
      <c r="DN421" s="23"/>
      <c r="DO421" s="23"/>
      <c r="DP421" s="23"/>
      <c r="DQ421" s="23"/>
      <c r="DR421" s="23"/>
      <c r="DS421" s="23"/>
      <c r="DT421" s="23"/>
      <c r="DU421" s="23"/>
      <c r="DV421" s="23"/>
      <c r="DW421" s="23"/>
      <c r="DX421" s="23"/>
      <c r="DY421" s="23"/>
      <c r="DZ421" s="23"/>
      <c r="EA421" s="23"/>
      <c r="EB421" s="23"/>
      <c r="EC421" s="23"/>
      <c r="ED421" s="23"/>
      <c r="EE421" s="23"/>
      <c r="EF421" s="23"/>
      <c r="EG421" s="23"/>
      <c r="EH421" s="23"/>
      <c r="EI421" s="23"/>
      <c r="EJ421" s="23"/>
      <c r="EK421" s="23"/>
      <c r="EL421" s="23"/>
      <c r="EM421" s="23"/>
      <c r="EN421" s="23"/>
      <c r="EO421" s="23"/>
      <c r="EP421" s="23"/>
      <c r="EQ421" s="23"/>
      <c r="ER421" s="23"/>
      <c r="ES421" s="23"/>
      <c r="ET421" s="23"/>
      <c r="EU421" s="23"/>
      <c r="EV421" s="23"/>
      <c r="EW421" s="23"/>
      <c r="EX421" s="23"/>
      <c r="EY421" s="23"/>
      <c r="EZ421" s="23"/>
      <c r="FA421" s="23"/>
      <c r="FB421" s="23"/>
      <c r="FC421" s="23"/>
      <c r="FD421" s="23"/>
      <c r="FE421" s="23"/>
      <c r="FF421" s="23"/>
      <c r="FG421" s="23"/>
      <c r="FH421" s="23"/>
      <c r="FI421" s="23"/>
      <c r="FJ421" s="23"/>
      <c r="FK421" s="23"/>
      <c r="FL421" s="23"/>
      <c r="FM421" s="23"/>
      <c r="FN421" s="23"/>
      <c r="FO421" s="23"/>
      <c r="FP421" s="23"/>
      <c r="FQ421" s="23"/>
      <c r="FR421" s="23"/>
      <c r="FS421" s="23"/>
      <c r="FT421" s="23"/>
      <c r="FU421" s="23"/>
      <c r="FV421" s="23"/>
      <c r="FW421" s="23"/>
      <c r="FX421" s="23"/>
      <c r="FY421" s="23"/>
      <c r="FZ421" s="23"/>
      <c r="GA421" s="23"/>
      <c r="GB421" s="23"/>
      <c r="GC421" s="23"/>
      <c r="GD421" s="23"/>
      <c r="GE421" s="23"/>
      <c r="GF421" s="23"/>
      <c r="GG421" s="23"/>
      <c r="GH421" s="23"/>
      <c r="GI421" s="23"/>
      <c r="GJ421" s="23"/>
      <c r="GK421" s="23"/>
      <c r="GL421" s="23"/>
    </row>
    <row r="422" spans="1:194" ht="13">
      <c r="A422" s="23"/>
      <c r="B422" s="23"/>
      <c r="C422" s="23"/>
      <c r="D422" s="23"/>
      <c r="E422" s="23"/>
      <c r="F422" s="23"/>
      <c r="G422" s="23"/>
      <c r="H422" s="401"/>
      <c r="I422" s="401"/>
      <c r="J422" s="401"/>
      <c r="K422" s="401"/>
      <c r="L422" s="401"/>
      <c r="M422" s="438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  <c r="AL422" s="23"/>
      <c r="AM422" s="23"/>
      <c r="AN422" s="23"/>
      <c r="AO422" s="23"/>
      <c r="AP422" s="23"/>
      <c r="AQ422" s="23"/>
      <c r="AR422" s="23"/>
      <c r="AS422" s="23"/>
      <c r="AT422" s="23"/>
      <c r="AU422" s="23"/>
      <c r="AV422" s="23"/>
      <c r="AW422" s="23"/>
      <c r="AX422" s="23"/>
      <c r="AY422" s="23"/>
      <c r="AZ422" s="23"/>
      <c r="BA422" s="23"/>
      <c r="BB422" s="23"/>
      <c r="BC422" s="23"/>
      <c r="BD422" s="23"/>
      <c r="BE422" s="23"/>
      <c r="BF422" s="23"/>
      <c r="BG422" s="23"/>
      <c r="BH422" s="23"/>
      <c r="BI422" s="23"/>
      <c r="BJ422" s="23"/>
      <c r="BK422" s="23"/>
      <c r="BL422" s="23"/>
      <c r="BM422" s="23"/>
      <c r="BN422" s="23"/>
      <c r="BO422" s="23"/>
      <c r="BP422" s="23"/>
      <c r="BQ422" s="23"/>
      <c r="BR422" s="23"/>
      <c r="BS422" s="23"/>
      <c r="BT422" s="23"/>
      <c r="BU422" s="23"/>
      <c r="BV422" s="23"/>
      <c r="BW422" s="23"/>
      <c r="BX422" s="23"/>
      <c r="BY422" s="23"/>
      <c r="BZ422" s="23"/>
      <c r="CA422" s="23"/>
      <c r="CB422" s="23"/>
      <c r="CC422" s="23"/>
      <c r="CD422" s="23"/>
      <c r="CE422" s="23"/>
      <c r="CF422" s="23"/>
      <c r="CG422" s="23"/>
      <c r="CH422" s="23"/>
      <c r="CI422" s="23"/>
      <c r="CJ422" s="23"/>
      <c r="CK422" s="23"/>
      <c r="CL422" s="23"/>
      <c r="CM422" s="23"/>
      <c r="CN422" s="23"/>
      <c r="CO422" s="23"/>
      <c r="CP422" s="23"/>
      <c r="CQ422" s="23"/>
      <c r="CR422" s="23"/>
      <c r="CS422" s="23"/>
      <c r="CT422" s="23"/>
      <c r="CU422" s="23"/>
      <c r="CV422" s="23"/>
      <c r="CW422" s="23"/>
      <c r="CX422" s="23"/>
      <c r="CY422" s="23"/>
      <c r="CZ422" s="23"/>
      <c r="DA422" s="23"/>
      <c r="DB422" s="23"/>
      <c r="DC422" s="23"/>
      <c r="DD422" s="23"/>
      <c r="DE422" s="23"/>
      <c r="DF422" s="23"/>
      <c r="DG422" s="23"/>
      <c r="DH422" s="23"/>
      <c r="DI422" s="23"/>
      <c r="DJ422" s="23"/>
      <c r="DK422" s="23"/>
      <c r="DL422" s="23"/>
      <c r="DM422" s="23"/>
      <c r="DN422" s="23"/>
      <c r="DO422" s="23"/>
      <c r="DP422" s="23"/>
      <c r="DQ422" s="23"/>
      <c r="DR422" s="23"/>
      <c r="DS422" s="23"/>
      <c r="DT422" s="23"/>
      <c r="DU422" s="23"/>
      <c r="DV422" s="23"/>
      <c r="DW422" s="23"/>
      <c r="DX422" s="23"/>
      <c r="DY422" s="23"/>
      <c r="DZ422" s="23"/>
      <c r="EA422" s="23"/>
      <c r="EB422" s="23"/>
      <c r="EC422" s="23"/>
      <c r="ED422" s="23"/>
      <c r="EE422" s="23"/>
      <c r="EF422" s="23"/>
      <c r="EG422" s="23"/>
      <c r="EH422" s="23"/>
      <c r="EI422" s="23"/>
      <c r="EJ422" s="23"/>
      <c r="EK422" s="23"/>
      <c r="EL422" s="23"/>
      <c r="EM422" s="23"/>
      <c r="EN422" s="23"/>
      <c r="EO422" s="23"/>
      <c r="EP422" s="23"/>
      <c r="EQ422" s="23"/>
      <c r="ER422" s="23"/>
      <c r="ES422" s="23"/>
      <c r="ET422" s="23"/>
      <c r="EU422" s="23"/>
      <c r="EV422" s="23"/>
      <c r="EW422" s="23"/>
      <c r="EX422" s="23"/>
      <c r="EY422" s="23"/>
      <c r="EZ422" s="23"/>
      <c r="FA422" s="23"/>
      <c r="FB422" s="23"/>
      <c r="FC422" s="23"/>
      <c r="FD422" s="23"/>
      <c r="FE422" s="23"/>
      <c r="FF422" s="23"/>
      <c r="FG422" s="23"/>
      <c r="FH422" s="23"/>
      <c r="FI422" s="23"/>
      <c r="FJ422" s="23"/>
      <c r="FK422" s="23"/>
      <c r="FL422" s="23"/>
      <c r="FM422" s="23"/>
      <c r="FN422" s="23"/>
      <c r="FO422" s="23"/>
      <c r="FP422" s="23"/>
      <c r="FQ422" s="23"/>
      <c r="FR422" s="23"/>
      <c r="FS422" s="23"/>
      <c r="FT422" s="23"/>
      <c r="FU422" s="23"/>
      <c r="FV422" s="23"/>
      <c r="FW422" s="23"/>
      <c r="FX422" s="23"/>
      <c r="FY422" s="23"/>
      <c r="FZ422" s="23"/>
      <c r="GA422" s="23"/>
      <c r="GB422" s="23"/>
      <c r="GC422" s="23"/>
      <c r="GD422" s="23"/>
      <c r="GE422" s="23"/>
      <c r="GF422" s="23"/>
      <c r="GG422" s="23"/>
      <c r="GH422" s="23"/>
      <c r="GI422" s="23"/>
      <c r="GJ422" s="23"/>
      <c r="GK422" s="23"/>
      <c r="GL422" s="23"/>
    </row>
    <row r="423" spans="1:194" ht="13">
      <c r="A423" s="23"/>
      <c r="B423" s="23"/>
      <c r="C423" s="23"/>
      <c r="D423" s="23"/>
      <c r="E423" s="23"/>
      <c r="F423" s="23"/>
      <c r="G423" s="23"/>
      <c r="H423" s="401"/>
      <c r="I423" s="401"/>
      <c r="J423" s="401"/>
      <c r="K423" s="401"/>
      <c r="L423" s="401"/>
      <c r="M423" s="438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  <c r="AL423" s="23"/>
      <c r="AM423" s="23"/>
      <c r="AN423" s="23"/>
      <c r="AO423" s="23"/>
      <c r="AP423" s="23"/>
      <c r="AQ423" s="23"/>
      <c r="AR423" s="23"/>
      <c r="AS423" s="23"/>
      <c r="AT423" s="23"/>
      <c r="AU423" s="23"/>
      <c r="AV423" s="23"/>
      <c r="AW423" s="23"/>
      <c r="AX423" s="23"/>
      <c r="AY423" s="23"/>
      <c r="AZ423" s="23"/>
      <c r="BA423" s="23"/>
      <c r="BB423" s="23"/>
      <c r="BC423" s="23"/>
      <c r="BD423" s="23"/>
      <c r="BE423" s="23"/>
      <c r="BF423" s="23"/>
      <c r="BG423" s="23"/>
      <c r="BH423" s="23"/>
      <c r="BI423" s="23"/>
      <c r="BJ423" s="23"/>
      <c r="BK423" s="23"/>
      <c r="BL423" s="23"/>
      <c r="BM423" s="23"/>
      <c r="BN423" s="23"/>
      <c r="BO423" s="23"/>
      <c r="BP423" s="23"/>
      <c r="BQ423" s="23"/>
      <c r="BR423" s="23"/>
      <c r="BS423" s="23"/>
      <c r="BT423" s="23"/>
      <c r="BU423" s="23"/>
      <c r="BV423" s="23"/>
      <c r="BW423" s="23"/>
      <c r="BX423" s="23"/>
      <c r="BY423" s="23"/>
      <c r="BZ423" s="23"/>
      <c r="CA423" s="23"/>
      <c r="CB423" s="23"/>
      <c r="CC423" s="23"/>
      <c r="CD423" s="23"/>
      <c r="CE423" s="23"/>
      <c r="CF423" s="23"/>
      <c r="CG423" s="23"/>
      <c r="CH423" s="23"/>
      <c r="CI423" s="23"/>
      <c r="CJ423" s="23"/>
      <c r="CK423" s="23"/>
      <c r="CL423" s="23"/>
      <c r="CM423" s="23"/>
      <c r="CN423" s="23"/>
      <c r="CO423" s="23"/>
      <c r="CP423" s="23"/>
      <c r="CQ423" s="23"/>
      <c r="CR423" s="23"/>
      <c r="CS423" s="23"/>
      <c r="CT423" s="23"/>
      <c r="CU423" s="23"/>
      <c r="CV423" s="23"/>
      <c r="CW423" s="23"/>
      <c r="CX423" s="23"/>
      <c r="CY423" s="23"/>
      <c r="CZ423" s="23"/>
      <c r="DA423" s="23"/>
      <c r="DB423" s="23"/>
      <c r="DC423" s="23"/>
      <c r="DD423" s="23"/>
      <c r="DE423" s="23"/>
      <c r="DF423" s="23"/>
      <c r="DG423" s="23"/>
      <c r="DH423" s="23"/>
      <c r="DI423" s="23"/>
      <c r="DJ423" s="23"/>
      <c r="DK423" s="23"/>
      <c r="DL423" s="23"/>
      <c r="DM423" s="23"/>
      <c r="DN423" s="23"/>
      <c r="DO423" s="23"/>
      <c r="DP423" s="23"/>
      <c r="DQ423" s="23"/>
      <c r="DR423" s="23"/>
      <c r="DS423" s="23"/>
      <c r="DT423" s="23"/>
      <c r="DU423" s="23"/>
      <c r="DV423" s="23"/>
      <c r="DW423" s="23"/>
      <c r="DX423" s="23"/>
      <c r="DY423" s="23"/>
      <c r="DZ423" s="23"/>
      <c r="EA423" s="23"/>
      <c r="EB423" s="23"/>
      <c r="EC423" s="23"/>
      <c r="ED423" s="23"/>
      <c r="EE423" s="23"/>
      <c r="EF423" s="23"/>
      <c r="EG423" s="23"/>
      <c r="EH423" s="23"/>
      <c r="EI423" s="23"/>
      <c r="EJ423" s="23"/>
      <c r="EK423" s="23"/>
      <c r="EL423" s="23"/>
      <c r="EM423" s="23"/>
      <c r="EN423" s="23"/>
      <c r="EO423" s="23"/>
      <c r="EP423" s="23"/>
      <c r="EQ423" s="23"/>
      <c r="ER423" s="23"/>
      <c r="ES423" s="23"/>
      <c r="ET423" s="23"/>
      <c r="EU423" s="23"/>
      <c r="EV423" s="23"/>
      <c r="EW423" s="23"/>
      <c r="EX423" s="23"/>
      <c r="EY423" s="23"/>
      <c r="EZ423" s="23"/>
      <c r="FA423" s="23"/>
      <c r="FB423" s="23"/>
      <c r="FC423" s="23"/>
      <c r="FD423" s="23"/>
      <c r="FE423" s="23"/>
      <c r="FF423" s="23"/>
      <c r="FG423" s="23"/>
      <c r="FH423" s="23"/>
      <c r="FI423" s="23"/>
      <c r="FJ423" s="23"/>
      <c r="FK423" s="23"/>
      <c r="FL423" s="23"/>
      <c r="FM423" s="23"/>
      <c r="FN423" s="23"/>
      <c r="FO423" s="23"/>
      <c r="FP423" s="23"/>
      <c r="FQ423" s="23"/>
      <c r="FR423" s="23"/>
      <c r="FS423" s="23"/>
      <c r="FT423" s="23"/>
      <c r="FU423" s="23"/>
      <c r="FV423" s="23"/>
      <c r="FW423" s="23"/>
      <c r="FX423" s="23"/>
      <c r="FY423" s="23"/>
      <c r="FZ423" s="23"/>
      <c r="GA423" s="23"/>
      <c r="GB423" s="23"/>
      <c r="GC423" s="23"/>
      <c r="GD423" s="23"/>
      <c r="GE423" s="23"/>
      <c r="GF423" s="23"/>
      <c r="GG423" s="23"/>
      <c r="GH423" s="23"/>
      <c r="GI423" s="23"/>
      <c r="GJ423" s="23"/>
      <c r="GK423" s="23"/>
      <c r="GL423" s="23"/>
    </row>
    <row r="424" spans="1:194" ht="13">
      <c r="A424" s="23"/>
      <c r="B424" s="23"/>
      <c r="C424" s="23"/>
      <c r="D424" s="23"/>
      <c r="E424" s="23"/>
      <c r="F424" s="23"/>
      <c r="G424" s="23"/>
      <c r="H424" s="401"/>
      <c r="I424" s="401"/>
      <c r="J424" s="401"/>
      <c r="K424" s="401"/>
      <c r="L424" s="401"/>
      <c r="M424" s="438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  <c r="AL424" s="23"/>
      <c r="AM424" s="23"/>
      <c r="AN424" s="23"/>
      <c r="AO424" s="23"/>
      <c r="AP424" s="23"/>
      <c r="AQ424" s="23"/>
      <c r="AR424" s="23"/>
      <c r="AS424" s="23"/>
      <c r="AT424" s="23"/>
      <c r="AU424" s="23"/>
      <c r="AV424" s="23"/>
      <c r="AW424" s="23"/>
      <c r="AX424" s="23"/>
      <c r="AY424" s="23"/>
      <c r="AZ424" s="23"/>
      <c r="BA424" s="23"/>
      <c r="BB424" s="23"/>
      <c r="BC424" s="23"/>
      <c r="BD424" s="23"/>
      <c r="BE424" s="23"/>
      <c r="BF424" s="23"/>
      <c r="BG424" s="23"/>
      <c r="BH424" s="23"/>
      <c r="BI424" s="23"/>
      <c r="BJ424" s="23"/>
      <c r="BK424" s="23"/>
      <c r="BL424" s="23"/>
      <c r="BM424" s="23"/>
      <c r="BN424" s="23"/>
      <c r="BO424" s="23"/>
      <c r="BP424" s="23"/>
      <c r="BQ424" s="23"/>
      <c r="BR424" s="23"/>
      <c r="BS424" s="23"/>
      <c r="BT424" s="23"/>
      <c r="BU424" s="23"/>
      <c r="BV424" s="23"/>
      <c r="BW424" s="23"/>
      <c r="BX424" s="23"/>
      <c r="BY424" s="23"/>
      <c r="BZ424" s="23"/>
      <c r="CA424" s="23"/>
      <c r="CB424" s="23"/>
      <c r="CC424" s="23"/>
      <c r="CD424" s="23"/>
      <c r="CE424" s="23"/>
      <c r="CF424" s="23"/>
      <c r="CG424" s="23"/>
      <c r="CH424" s="23"/>
      <c r="CI424" s="23"/>
      <c r="CJ424" s="23"/>
      <c r="CK424" s="23"/>
      <c r="CL424" s="23"/>
      <c r="CM424" s="23"/>
      <c r="CN424" s="23"/>
      <c r="CO424" s="23"/>
      <c r="CP424" s="23"/>
      <c r="CQ424" s="23"/>
      <c r="CR424" s="23"/>
      <c r="CS424" s="23"/>
      <c r="CT424" s="23"/>
      <c r="CU424" s="23"/>
      <c r="CV424" s="23"/>
      <c r="CW424" s="23"/>
      <c r="CX424" s="23"/>
      <c r="CY424" s="23"/>
      <c r="CZ424" s="23"/>
      <c r="DA424" s="23"/>
      <c r="DB424" s="23"/>
      <c r="DC424" s="23"/>
      <c r="DD424" s="23"/>
      <c r="DE424" s="23"/>
      <c r="DF424" s="23"/>
      <c r="DG424" s="23"/>
      <c r="DH424" s="23"/>
      <c r="DI424" s="23"/>
      <c r="DJ424" s="23"/>
      <c r="DK424" s="23"/>
      <c r="DL424" s="23"/>
      <c r="DM424" s="23"/>
      <c r="DN424" s="23"/>
      <c r="DO424" s="23"/>
      <c r="DP424" s="23"/>
      <c r="DQ424" s="23"/>
      <c r="DR424" s="23"/>
      <c r="DS424" s="23"/>
      <c r="DT424" s="23"/>
      <c r="DU424" s="23"/>
      <c r="DV424" s="23"/>
      <c r="DW424" s="23"/>
      <c r="DX424" s="23"/>
      <c r="DY424" s="23"/>
      <c r="DZ424" s="23"/>
      <c r="EA424" s="23"/>
      <c r="EB424" s="23"/>
      <c r="EC424" s="23"/>
      <c r="ED424" s="23"/>
      <c r="EE424" s="23"/>
      <c r="EF424" s="23"/>
      <c r="EG424" s="23"/>
      <c r="EH424" s="23"/>
      <c r="EI424" s="23"/>
      <c r="EJ424" s="23"/>
      <c r="EK424" s="23"/>
      <c r="EL424" s="23"/>
      <c r="EM424" s="23"/>
      <c r="EN424" s="23"/>
      <c r="EO424" s="23"/>
      <c r="EP424" s="23"/>
      <c r="EQ424" s="23"/>
      <c r="ER424" s="23"/>
      <c r="ES424" s="23"/>
      <c r="ET424" s="23"/>
      <c r="EU424" s="23"/>
      <c r="EV424" s="23"/>
      <c r="EW424" s="23"/>
      <c r="EX424" s="23"/>
      <c r="EY424" s="23"/>
      <c r="EZ424" s="23"/>
      <c r="FA424" s="23"/>
      <c r="FB424" s="23"/>
      <c r="FC424" s="23"/>
      <c r="FD424" s="23"/>
      <c r="FE424" s="23"/>
      <c r="FF424" s="23"/>
      <c r="FG424" s="23"/>
      <c r="FH424" s="23"/>
      <c r="FI424" s="23"/>
      <c r="FJ424" s="23"/>
      <c r="FK424" s="23"/>
      <c r="FL424" s="23"/>
      <c r="FM424" s="23"/>
      <c r="FN424" s="23"/>
      <c r="FO424" s="23"/>
      <c r="FP424" s="23"/>
      <c r="FQ424" s="23"/>
      <c r="FR424" s="23"/>
      <c r="FS424" s="23"/>
      <c r="FT424" s="23"/>
      <c r="FU424" s="23"/>
      <c r="FV424" s="23"/>
      <c r="FW424" s="23"/>
      <c r="FX424" s="23"/>
      <c r="FY424" s="23"/>
      <c r="FZ424" s="23"/>
      <c r="GA424" s="23"/>
      <c r="GB424" s="23"/>
      <c r="GC424" s="23"/>
      <c r="GD424" s="23"/>
      <c r="GE424" s="23"/>
      <c r="GF424" s="23"/>
      <c r="GG424" s="23"/>
      <c r="GH424" s="23"/>
      <c r="GI424" s="23"/>
      <c r="GJ424" s="23"/>
      <c r="GK424" s="23"/>
      <c r="GL424" s="23"/>
    </row>
    <row r="425" spans="1:194" ht="13">
      <c r="A425" s="23"/>
      <c r="B425" s="23"/>
      <c r="C425" s="23"/>
      <c r="D425" s="23"/>
      <c r="E425" s="23"/>
      <c r="F425" s="23"/>
      <c r="G425" s="23"/>
      <c r="H425" s="401"/>
      <c r="I425" s="401"/>
      <c r="J425" s="401"/>
      <c r="K425" s="401"/>
      <c r="L425" s="401"/>
      <c r="M425" s="438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  <c r="AL425" s="23"/>
      <c r="AM425" s="23"/>
      <c r="AN425" s="23"/>
      <c r="AO425" s="23"/>
      <c r="AP425" s="23"/>
      <c r="AQ425" s="23"/>
      <c r="AR425" s="23"/>
      <c r="AS425" s="23"/>
      <c r="AT425" s="23"/>
      <c r="AU425" s="23"/>
      <c r="AV425" s="23"/>
      <c r="AW425" s="23"/>
      <c r="AX425" s="23"/>
      <c r="AY425" s="23"/>
      <c r="AZ425" s="23"/>
      <c r="BA425" s="23"/>
      <c r="BB425" s="23"/>
      <c r="BC425" s="23"/>
      <c r="BD425" s="23"/>
      <c r="BE425" s="23"/>
      <c r="BF425" s="23"/>
      <c r="BG425" s="23"/>
      <c r="BH425" s="23"/>
      <c r="BI425" s="23"/>
      <c r="BJ425" s="23"/>
      <c r="BK425" s="23"/>
      <c r="BL425" s="23"/>
      <c r="BM425" s="23"/>
      <c r="BN425" s="23"/>
      <c r="BO425" s="23"/>
      <c r="BP425" s="23"/>
      <c r="BQ425" s="23"/>
      <c r="BR425" s="23"/>
      <c r="BS425" s="23"/>
      <c r="BT425" s="23"/>
      <c r="BU425" s="23"/>
      <c r="BV425" s="23"/>
      <c r="BW425" s="23"/>
      <c r="BX425" s="23"/>
      <c r="BY425" s="23"/>
      <c r="BZ425" s="23"/>
      <c r="CA425" s="23"/>
      <c r="CB425" s="23"/>
      <c r="CC425" s="23"/>
      <c r="CD425" s="23"/>
      <c r="CE425" s="23"/>
      <c r="CF425" s="23"/>
      <c r="CG425" s="23"/>
      <c r="CH425" s="23"/>
      <c r="CI425" s="23"/>
      <c r="CJ425" s="23"/>
      <c r="CK425" s="23"/>
      <c r="CL425" s="23"/>
      <c r="CM425" s="23"/>
      <c r="CN425" s="23"/>
      <c r="CO425" s="23"/>
      <c r="CP425" s="23"/>
      <c r="CQ425" s="23"/>
      <c r="CR425" s="23"/>
      <c r="CS425" s="23"/>
      <c r="CT425" s="23"/>
      <c r="CU425" s="23"/>
      <c r="CV425" s="23"/>
      <c r="CW425" s="23"/>
      <c r="CX425" s="23"/>
      <c r="CY425" s="23"/>
      <c r="CZ425" s="23"/>
      <c r="DA425" s="23"/>
      <c r="DB425" s="23"/>
      <c r="DC425" s="23"/>
      <c r="DD425" s="23"/>
      <c r="DE425" s="23"/>
      <c r="DF425" s="23"/>
      <c r="DG425" s="23"/>
      <c r="DH425" s="23"/>
      <c r="DI425" s="23"/>
      <c r="DJ425" s="23"/>
      <c r="DK425" s="23"/>
      <c r="DL425" s="23"/>
      <c r="DM425" s="23"/>
      <c r="DN425" s="23"/>
      <c r="DO425" s="23"/>
      <c r="DP425" s="23"/>
      <c r="DQ425" s="23"/>
      <c r="DR425" s="23"/>
      <c r="DS425" s="23"/>
      <c r="DT425" s="23"/>
      <c r="DU425" s="23"/>
      <c r="DV425" s="23"/>
      <c r="DW425" s="23"/>
      <c r="DX425" s="23"/>
      <c r="DY425" s="23"/>
      <c r="DZ425" s="23"/>
      <c r="EA425" s="23"/>
      <c r="EB425" s="23"/>
      <c r="EC425" s="23"/>
      <c r="ED425" s="23"/>
      <c r="EE425" s="23"/>
      <c r="EF425" s="23"/>
      <c r="EG425" s="23"/>
      <c r="EH425" s="23"/>
      <c r="EI425" s="23"/>
      <c r="EJ425" s="23"/>
      <c r="EK425" s="23"/>
      <c r="EL425" s="23"/>
      <c r="EM425" s="23"/>
      <c r="EN425" s="23"/>
      <c r="EO425" s="23"/>
      <c r="EP425" s="23"/>
      <c r="EQ425" s="23"/>
      <c r="ER425" s="23"/>
      <c r="ES425" s="23"/>
      <c r="ET425" s="23"/>
      <c r="EU425" s="23"/>
      <c r="EV425" s="23"/>
      <c r="EW425" s="23"/>
      <c r="EX425" s="23"/>
      <c r="EY425" s="23"/>
      <c r="EZ425" s="23"/>
      <c r="FA425" s="23"/>
      <c r="FB425" s="23"/>
      <c r="FC425" s="23"/>
      <c r="FD425" s="23"/>
      <c r="FE425" s="23"/>
      <c r="FF425" s="23"/>
      <c r="FG425" s="23"/>
      <c r="FH425" s="23"/>
      <c r="FI425" s="23"/>
      <c r="FJ425" s="23"/>
      <c r="FK425" s="23"/>
      <c r="FL425" s="23"/>
      <c r="FM425" s="23"/>
      <c r="FN425" s="23"/>
      <c r="FO425" s="23"/>
      <c r="FP425" s="23"/>
      <c r="FQ425" s="23"/>
      <c r="FR425" s="23"/>
      <c r="FS425" s="23"/>
      <c r="FT425" s="23"/>
      <c r="FU425" s="23"/>
      <c r="FV425" s="23"/>
      <c r="FW425" s="23"/>
      <c r="FX425" s="23"/>
      <c r="FY425" s="23"/>
      <c r="FZ425" s="23"/>
      <c r="GA425" s="23"/>
      <c r="GB425" s="23"/>
      <c r="GC425" s="23"/>
      <c r="GD425" s="23"/>
      <c r="GE425" s="23"/>
      <c r="GF425" s="23"/>
      <c r="GG425" s="23"/>
      <c r="GH425" s="23"/>
      <c r="GI425" s="23"/>
      <c r="GJ425" s="23"/>
      <c r="GK425" s="23"/>
      <c r="GL425" s="23"/>
    </row>
    <row r="426" spans="1:194" ht="13">
      <c r="A426" s="23"/>
      <c r="B426" s="23"/>
      <c r="C426" s="23"/>
      <c r="D426" s="23"/>
      <c r="E426" s="23"/>
      <c r="F426" s="23"/>
      <c r="G426" s="23"/>
      <c r="H426" s="401"/>
      <c r="I426" s="401"/>
      <c r="J426" s="401"/>
      <c r="K426" s="401"/>
      <c r="L426" s="401"/>
      <c r="M426" s="438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  <c r="AL426" s="23"/>
      <c r="AM426" s="23"/>
      <c r="AN426" s="23"/>
      <c r="AO426" s="23"/>
      <c r="AP426" s="23"/>
      <c r="AQ426" s="23"/>
      <c r="AR426" s="23"/>
      <c r="AS426" s="23"/>
      <c r="AT426" s="23"/>
      <c r="AU426" s="23"/>
      <c r="AV426" s="23"/>
      <c r="AW426" s="23"/>
      <c r="AX426" s="23"/>
      <c r="AY426" s="23"/>
      <c r="AZ426" s="23"/>
      <c r="BA426" s="23"/>
      <c r="BB426" s="23"/>
      <c r="BC426" s="23"/>
      <c r="BD426" s="23"/>
      <c r="BE426" s="23"/>
      <c r="BF426" s="23"/>
      <c r="BG426" s="23"/>
      <c r="BH426" s="23"/>
      <c r="BI426" s="23"/>
      <c r="BJ426" s="23"/>
      <c r="BK426" s="23"/>
      <c r="BL426" s="23"/>
      <c r="BM426" s="23"/>
      <c r="BN426" s="23"/>
      <c r="BO426" s="23"/>
      <c r="BP426" s="23"/>
      <c r="BQ426" s="23"/>
      <c r="BR426" s="23"/>
      <c r="BS426" s="23"/>
      <c r="BT426" s="23"/>
      <c r="BU426" s="23"/>
      <c r="BV426" s="23"/>
      <c r="BW426" s="23"/>
      <c r="BX426" s="23"/>
      <c r="BY426" s="23"/>
      <c r="BZ426" s="23"/>
      <c r="CA426" s="23"/>
      <c r="CB426" s="23"/>
      <c r="CC426" s="23"/>
      <c r="CD426" s="23"/>
      <c r="CE426" s="23"/>
      <c r="CF426" s="23"/>
      <c r="CG426" s="23"/>
      <c r="CH426" s="23"/>
      <c r="CI426" s="23"/>
      <c r="CJ426" s="23"/>
      <c r="CK426" s="23"/>
      <c r="CL426" s="23"/>
      <c r="CM426" s="23"/>
      <c r="CN426" s="23"/>
      <c r="CO426" s="23"/>
      <c r="CP426" s="23"/>
      <c r="CQ426" s="23"/>
      <c r="CR426" s="23"/>
      <c r="CS426" s="23"/>
      <c r="CT426" s="23"/>
      <c r="CU426" s="23"/>
      <c r="CV426" s="23"/>
      <c r="CW426" s="23"/>
      <c r="CX426" s="23"/>
      <c r="CY426" s="23"/>
      <c r="CZ426" s="23"/>
      <c r="DA426" s="23"/>
      <c r="DB426" s="23"/>
      <c r="DC426" s="23"/>
      <c r="DD426" s="23"/>
      <c r="DE426" s="23"/>
      <c r="DF426" s="23"/>
      <c r="DG426" s="23"/>
      <c r="DH426" s="23"/>
      <c r="DI426" s="23"/>
      <c r="DJ426" s="23"/>
      <c r="DK426" s="23"/>
      <c r="DL426" s="23"/>
      <c r="DM426" s="23"/>
      <c r="DN426" s="23"/>
      <c r="DO426" s="23"/>
      <c r="DP426" s="23"/>
      <c r="DQ426" s="23"/>
      <c r="DR426" s="23"/>
      <c r="DS426" s="23"/>
      <c r="DT426" s="23"/>
      <c r="DU426" s="23"/>
      <c r="DV426" s="23"/>
      <c r="DW426" s="23"/>
      <c r="DX426" s="23"/>
      <c r="DY426" s="23"/>
      <c r="DZ426" s="23"/>
      <c r="EA426" s="23"/>
      <c r="EB426" s="23"/>
      <c r="EC426" s="23"/>
      <c r="ED426" s="23"/>
      <c r="EE426" s="23"/>
      <c r="EF426" s="23"/>
      <c r="EG426" s="23"/>
      <c r="EH426" s="23"/>
      <c r="EI426" s="23"/>
      <c r="EJ426" s="23"/>
      <c r="EK426" s="23"/>
      <c r="EL426" s="23"/>
      <c r="EM426" s="23"/>
      <c r="EN426" s="23"/>
      <c r="EO426" s="23"/>
      <c r="EP426" s="23"/>
      <c r="EQ426" s="23"/>
      <c r="ER426" s="23"/>
      <c r="ES426" s="23"/>
      <c r="ET426" s="23"/>
      <c r="EU426" s="23"/>
      <c r="EV426" s="23"/>
      <c r="EW426" s="23"/>
      <c r="EX426" s="23"/>
      <c r="EY426" s="23"/>
      <c r="EZ426" s="23"/>
      <c r="FA426" s="23"/>
      <c r="FB426" s="23"/>
      <c r="FC426" s="23"/>
      <c r="FD426" s="23"/>
      <c r="FE426" s="23"/>
      <c r="FF426" s="23"/>
      <c r="FG426" s="23"/>
      <c r="FH426" s="23"/>
      <c r="FI426" s="23"/>
      <c r="FJ426" s="23"/>
      <c r="FK426" s="23"/>
      <c r="FL426" s="23"/>
      <c r="FM426" s="23"/>
      <c r="FN426" s="23"/>
      <c r="FO426" s="23"/>
      <c r="FP426" s="23"/>
      <c r="FQ426" s="23"/>
      <c r="FR426" s="23"/>
      <c r="FS426" s="23"/>
      <c r="FT426" s="23"/>
      <c r="FU426" s="23"/>
      <c r="FV426" s="23"/>
      <c r="FW426" s="23"/>
      <c r="FX426" s="23"/>
      <c r="FY426" s="23"/>
      <c r="FZ426" s="23"/>
      <c r="GA426" s="23"/>
      <c r="GB426" s="23"/>
      <c r="GC426" s="23"/>
      <c r="GD426" s="23"/>
      <c r="GE426" s="23"/>
      <c r="GF426" s="23"/>
      <c r="GG426" s="23"/>
      <c r="GH426" s="23"/>
      <c r="GI426" s="23"/>
      <c r="GJ426" s="23"/>
      <c r="GK426" s="23"/>
      <c r="GL426" s="23"/>
    </row>
    <row r="427" spans="1:194" ht="13">
      <c r="A427" s="23"/>
      <c r="B427" s="23"/>
      <c r="C427" s="23"/>
      <c r="D427" s="23"/>
      <c r="E427" s="23"/>
      <c r="F427" s="23"/>
      <c r="G427" s="23"/>
      <c r="H427" s="401"/>
      <c r="I427" s="401"/>
      <c r="J427" s="401"/>
      <c r="K427" s="401"/>
      <c r="L427" s="401"/>
      <c r="M427" s="438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  <c r="AL427" s="23"/>
      <c r="AM427" s="23"/>
      <c r="AN427" s="23"/>
      <c r="AO427" s="23"/>
      <c r="AP427" s="23"/>
      <c r="AQ427" s="23"/>
      <c r="AR427" s="23"/>
      <c r="AS427" s="23"/>
      <c r="AT427" s="23"/>
      <c r="AU427" s="23"/>
      <c r="AV427" s="23"/>
      <c r="AW427" s="23"/>
      <c r="AX427" s="23"/>
      <c r="AY427" s="23"/>
      <c r="AZ427" s="23"/>
      <c r="BA427" s="23"/>
      <c r="BB427" s="23"/>
      <c r="BC427" s="23"/>
      <c r="BD427" s="23"/>
      <c r="BE427" s="23"/>
      <c r="BF427" s="23"/>
      <c r="BG427" s="23"/>
      <c r="BH427" s="23"/>
      <c r="BI427" s="23"/>
      <c r="BJ427" s="23"/>
      <c r="BK427" s="23"/>
      <c r="BL427" s="23"/>
      <c r="BM427" s="23"/>
      <c r="BN427" s="23"/>
      <c r="BO427" s="23"/>
      <c r="BP427" s="23"/>
      <c r="BQ427" s="23"/>
      <c r="BR427" s="23"/>
      <c r="BS427" s="23"/>
      <c r="BT427" s="23"/>
      <c r="BU427" s="23"/>
      <c r="BV427" s="23"/>
      <c r="BW427" s="23"/>
      <c r="BX427" s="23"/>
      <c r="BY427" s="23"/>
      <c r="BZ427" s="23"/>
      <c r="CA427" s="23"/>
      <c r="CB427" s="23"/>
      <c r="CC427" s="23"/>
      <c r="CD427" s="23"/>
      <c r="CE427" s="23"/>
      <c r="CF427" s="23"/>
      <c r="CG427" s="23"/>
      <c r="CH427" s="23"/>
      <c r="CI427" s="23"/>
      <c r="CJ427" s="23"/>
      <c r="CK427" s="23"/>
      <c r="CL427" s="23"/>
      <c r="CM427" s="23"/>
      <c r="CN427" s="23"/>
      <c r="CO427" s="23"/>
      <c r="CP427" s="23"/>
      <c r="CQ427" s="23"/>
      <c r="CR427" s="23"/>
      <c r="CS427" s="23"/>
      <c r="CT427" s="23"/>
      <c r="CU427" s="23"/>
      <c r="CV427" s="23"/>
      <c r="CW427" s="23"/>
      <c r="CX427" s="23"/>
      <c r="CY427" s="23"/>
      <c r="CZ427" s="23"/>
      <c r="DA427" s="23"/>
      <c r="DB427" s="23"/>
      <c r="DC427" s="23"/>
      <c r="DD427" s="23"/>
      <c r="DE427" s="23"/>
      <c r="DF427" s="23"/>
      <c r="DG427" s="23"/>
      <c r="DH427" s="23"/>
      <c r="DI427" s="23"/>
      <c r="DJ427" s="23"/>
      <c r="DK427" s="23"/>
      <c r="DL427" s="23"/>
      <c r="DM427" s="23"/>
      <c r="DN427" s="23"/>
      <c r="DO427" s="23"/>
      <c r="DP427" s="23"/>
      <c r="DQ427" s="23"/>
      <c r="DR427" s="23"/>
      <c r="DS427" s="23"/>
      <c r="DT427" s="23"/>
      <c r="DU427" s="23"/>
      <c r="DV427" s="23"/>
      <c r="DW427" s="23"/>
      <c r="DX427" s="23"/>
      <c r="DY427" s="23"/>
      <c r="DZ427" s="23"/>
      <c r="EA427" s="23"/>
      <c r="EB427" s="23"/>
      <c r="EC427" s="23"/>
      <c r="ED427" s="23"/>
      <c r="EE427" s="23"/>
      <c r="EF427" s="23"/>
      <c r="EG427" s="23"/>
      <c r="EH427" s="23"/>
      <c r="EI427" s="23"/>
      <c r="EJ427" s="23"/>
      <c r="EK427" s="23"/>
      <c r="EL427" s="23"/>
      <c r="EM427" s="23"/>
      <c r="EN427" s="23"/>
      <c r="EO427" s="23"/>
      <c r="EP427" s="23"/>
      <c r="EQ427" s="23"/>
      <c r="ER427" s="23"/>
      <c r="ES427" s="23"/>
      <c r="ET427" s="23"/>
      <c r="EU427" s="23"/>
      <c r="EV427" s="23"/>
      <c r="EW427" s="23"/>
      <c r="EX427" s="23"/>
      <c r="EY427" s="23"/>
      <c r="EZ427" s="23"/>
      <c r="FA427" s="23"/>
      <c r="FB427" s="23"/>
      <c r="FC427" s="23"/>
      <c r="FD427" s="23"/>
      <c r="FE427" s="23"/>
      <c r="FF427" s="23"/>
      <c r="FG427" s="23"/>
      <c r="FH427" s="23"/>
      <c r="FI427" s="23"/>
      <c r="FJ427" s="23"/>
      <c r="FK427" s="23"/>
      <c r="FL427" s="23"/>
      <c r="FM427" s="23"/>
      <c r="FN427" s="23"/>
      <c r="FO427" s="23"/>
      <c r="FP427" s="23"/>
      <c r="FQ427" s="23"/>
      <c r="FR427" s="23"/>
      <c r="FS427" s="23"/>
      <c r="FT427" s="23"/>
      <c r="FU427" s="23"/>
      <c r="FV427" s="23"/>
      <c r="FW427" s="23"/>
      <c r="FX427" s="23"/>
      <c r="FY427" s="23"/>
      <c r="FZ427" s="23"/>
      <c r="GA427" s="23"/>
      <c r="GB427" s="23"/>
      <c r="GC427" s="23"/>
      <c r="GD427" s="23"/>
      <c r="GE427" s="23"/>
      <c r="GF427" s="23"/>
      <c r="GG427" s="23"/>
      <c r="GH427" s="23"/>
      <c r="GI427" s="23"/>
      <c r="GJ427" s="23"/>
      <c r="GK427" s="23"/>
      <c r="GL427" s="23"/>
    </row>
    <row r="428" spans="1:194" ht="13">
      <c r="A428" s="23"/>
      <c r="B428" s="23"/>
      <c r="C428" s="23"/>
      <c r="D428" s="23"/>
      <c r="E428" s="23"/>
      <c r="F428" s="23"/>
      <c r="G428" s="23"/>
      <c r="H428" s="401"/>
      <c r="I428" s="401"/>
      <c r="J428" s="401"/>
      <c r="K428" s="401"/>
      <c r="L428" s="401"/>
      <c r="M428" s="438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  <c r="AL428" s="23"/>
      <c r="AM428" s="23"/>
      <c r="AN428" s="23"/>
      <c r="AO428" s="23"/>
      <c r="AP428" s="23"/>
      <c r="AQ428" s="23"/>
      <c r="AR428" s="23"/>
      <c r="AS428" s="23"/>
      <c r="AT428" s="23"/>
      <c r="AU428" s="23"/>
      <c r="AV428" s="23"/>
      <c r="AW428" s="23"/>
      <c r="AX428" s="23"/>
      <c r="AY428" s="23"/>
      <c r="AZ428" s="23"/>
      <c r="BA428" s="23"/>
      <c r="BB428" s="23"/>
      <c r="BC428" s="23"/>
      <c r="BD428" s="23"/>
      <c r="BE428" s="23"/>
      <c r="BF428" s="23"/>
      <c r="BG428" s="23"/>
      <c r="BH428" s="23"/>
      <c r="BI428" s="23"/>
      <c r="BJ428" s="23"/>
      <c r="BK428" s="23"/>
      <c r="BL428" s="23"/>
      <c r="BM428" s="23"/>
      <c r="BN428" s="23"/>
      <c r="BO428" s="23"/>
      <c r="BP428" s="23"/>
      <c r="BQ428" s="23"/>
      <c r="BR428" s="23"/>
      <c r="BS428" s="23"/>
      <c r="BT428" s="23"/>
      <c r="BU428" s="23"/>
      <c r="BV428" s="23"/>
      <c r="BW428" s="23"/>
      <c r="BX428" s="23"/>
      <c r="BY428" s="23"/>
      <c r="BZ428" s="23"/>
      <c r="CA428" s="23"/>
      <c r="CB428" s="23"/>
      <c r="CC428" s="23"/>
      <c r="CD428" s="23"/>
      <c r="CE428" s="23"/>
      <c r="CF428" s="23"/>
      <c r="CG428" s="23"/>
      <c r="CH428" s="23"/>
      <c r="CI428" s="23"/>
      <c r="CJ428" s="23"/>
      <c r="CK428" s="23"/>
      <c r="CL428" s="23"/>
      <c r="CM428" s="23"/>
      <c r="CN428" s="23"/>
      <c r="CO428" s="23"/>
      <c r="CP428" s="23"/>
      <c r="CQ428" s="23"/>
      <c r="CR428" s="23"/>
      <c r="CS428" s="23"/>
      <c r="CT428" s="23"/>
      <c r="CU428" s="23"/>
      <c r="CV428" s="23"/>
      <c r="CW428" s="23"/>
      <c r="CX428" s="23"/>
      <c r="CY428" s="23"/>
      <c r="CZ428" s="23"/>
      <c r="DA428" s="23"/>
      <c r="DB428" s="23"/>
      <c r="DC428" s="23"/>
      <c r="DD428" s="23"/>
      <c r="DE428" s="23"/>
      <c r="DF428" s="23"/>
      <c r="DG428" s="23"/>
      <c r="DH428" s="23"/>
      <c r="DI428" s="23"/>
      <c r="DJ428" s="23"/>
      <c r="DK428" s="23"/>
      <c r="DL428" s="23"/>
      <c r="DM428" s="23"/>
      <c r="DN428" s="23"/>
      <c r="DO428" s="23"/>
      <c r="DP428" s="23"/>
      <c r="DQ428" s="23"/>
      <c r="DR428" s="23"/>
      <c r="DS428" s="23"/>
      <c r="DT428" s="23"/>
      <c r="DU428" s="23"/>
      <c r="DV428" s="23"/>
      <c r="DW428" s="23"/>
      <c r="DX428" s="23"/>
      <c r="DY428" s="23"/>
      <c r="DZ428" s="23"/>
      <c r="EA428" s="23"/>
      <c r="EB428" s="23"/>
      <c r="EC428" s="23"/>
      <c r="ED428" s="23"/>
      <c r="EE428" s="23"/>
      <c r="EF428" s="23"/>
      <c r="EG428" s="23"/>
      <c r="EH428" s="23"/>
      <c r="EI428" s="23"/>
      <c r="EJ428" s="23"/>
      <c r="EK428" s="23"/>
      <c r="EL428" s="23"/>
      <c r="EM428" s="23"/>
      <c r="EN428" s="23"/>
      <c r="EO428" s="23"/>
      <c r="EP428" s="23"/>
      <c r="EQ428" s="23"/>
      <c r="ER428" s="23"/>
      <c r="ES428" s="23"/>
      <c r="ET428" s="23"/>
      <c r="EU428" s="23"/>
      <c r="EV428" s="23"/>
      <c r="EW428" s="23"/>
      <c r="EX428" s="23"/>
      <c r="EY428" s="23"/>
      <c r="EZ428" s="23"/>
      <c r="FA428" s="23"/>
      <c r="FB428" s="23"/>
      <c r="FC428" s="23"/>
      <c r="FD428" s="23"/>
      <c r="FE428" s="23"/>
      <c r="FF428" s="23"/>
      <c r="FG428" s="23"/>
      <c r="FH428" s="23"/>
      <c r="FI428" s="23"/>
      <c r="FJ428" s="23"/>
      <c r="FK428" s="23"/>
      <c r="FL428" s="23"/>
      <c r="FM428" s="23"/>
      <c r="FN428" s="23"/>
      <c r="FO428" s="23"/>
      <c r="FP428" s="23"/>
      <c r="FQ428" s="23"/>
      <c r="FR428" s="23"/>
      <c r="FS428" s="23"/>
      <c r="FT428" s="23"/>
      <c r="FU428" s="23"/>
      <c r="FV428" s="23"/>
      <c r="FW428" s="23"/>
      <c r="FX428" s="23"/>
      <c r="FY428" s="23"/>
      <c r="FZ428" s="23"/>
      <c r="GA428" s="23"/>
      <c r="GB428" s="23"/>
      <c r="GC428" s="23"/>
      <c r="GD428" s="23"/>
      <c r="GE428" s="23"/>
      <c r="GF428" s="23"/>
      <c r="GG428" s="23"/>
      <c r="GH428" s="23"/>
      <c r="GI428" s="23"/>
      <c r="GJ428" s="23"/>
      <c r="GK428" s="23"/>
      <c r="GL428" s="23"/>
    </row>
    <row r="429" spans="1:194" ht="13">
      <c r="A429" s="23"/>
      <c r="B429" s="23"/>
      <c r="C429" s="23"/>
      <c r="D429" s="23"/>
      <c r="E429" s="23"/>
      <c r="F429" s="23"/>
      <c r="G429" s="23"/>
      <c r="H429" s="401"/>
      <c r="I429" s="401"/>
      <c r="J429" s="401"/>
      <c r="K429" s="401"/>
      <c r="L429" s="401"/>
      <c r="M429" s="438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  <c r="AL429" s="23"/>
      <c r="AM429" s="23"/>
      <c r="AN429" s="23"/>
      <c r="AO429" s="23"/>
      <c r="AP429" s="23"/>
      <c r="AQ429" s="23"/>
      <c r="AR429" s="23"/>
      <c r="AS429" s="23"/>
      <c r="AT429" s="23"/>
      <c r="AU429" s="23"/>
      <c r="AV429" s="23"/>
      <c r="AW429" s="23"/>
      <c r="AX429" s="23"/>
      <c r="AY429" s="23"/>
      <c r="AZ429" s="23"/>
      <c r="BA429" s="23"/>
      <c r="BB429" s="23"/>
      <c r="BC429" s="23"/>
      <c r="BD429" s="23"/>
      <c r="BE429" s="23"/>
      <c r="BF429" s="23"/>
      <c r="BG429" s="23"/>
      <c r="BH429" s="23"/>
      <c r="BI429" s="23"/>
      <c r="BJ429" s="23"/>
      <c r="BK429" s="23"/>
      <c r="BL429" s="23"/>
      <c r="BM429" s="23"/>
      <c r="BN429" s="23"/>
      <c r="BO429" s="23"/>
      <c r="BP429" s="23"/>
      <c r="BQ429" s="23"/>
      <c r="BR429" s="23"/>
      <c r="BS429" s="23"/>
      <c r="BT429" s="23"/>
      <c r="BU429" s="23"/>
      <c r="BV429" s="23"/>
      <c r="BW429" s="23"/>
      <c r="BX429" s="23"/>
      <c r="BY429" s="23"/>
      <c r="BZ429" s="23"/>
      <c r="CA429" s="23"/>
      <c r="CB429" s="23"/>
      <c r="CC429" s="23"/>
      <c r="CD429" s="23"/>
      <c r="CE429" s="23"/>
      <c r="CF429" s="23"/>
      <c r="CG429" s="23"/>
      <c r="CH429" s="23"/>
      <c r="CI429" s="23"/>
      <c r="CJ429" s="23"/>
      <c r="CK429" s="23"/>
      <c r="CL429" s="23"/>
      <c r="CM429" s="23"/>
      <c r="CN429" s="23"/>
      <c r="CO429" s="23"/>
      <c r="CP429" s="23"/>
      <c r="CQ429" s="23"/>
      <c r="CR429" s="23"/>
      <c r="CS429" s="23"/>
      <c r="CT429" s="23"/>
      <c r="CU429" s="23"/>
      <c r="CV429" s="23"/>
      <c r="CW429" s="23"/>
      <c r="CX429" s="23"/>
      <c r="CY429" s="23"/>
      <c r="CZ429" s="23"/>
      <c r="DA429" s="23"/>
      <c r="DB429" s="23"/>
      <c r="DC429" s="23"/>
      <c r="DD429" s="23"/>
      <c r="DE429" s="23"/>
      <c r="DF429" s="23"/>
      <c r="DG429" s="23"/>
      <c r="DH429" s="23"/>
      <c r="DI429" s="23"/>
      <c r="DJ429" s="23"/>
      <c r="DK429" s="23"/>
      <c r="DL429" s="23"/>
      <c r="DM429" s="23"/>
      <c r="DN429" s="23"/>
      <c r="DO429" s="23"/>
      <c r="DP429" s="23"/>
      <c r="DQ429" s="23"/>
      <c r="DR429" s="23"/>
      <c r="DS429" s="23"/>
      <c r="DT429" s="23"/>
      <c r="DU429" s="23"/>
      <c r="DV429" s="23"/>
      <c r="DW429" s="23"/>
      <c r="DX429" s="23"/>
      <c r="DY429" s="23"/>
      <c r="DZ429" s="23"/>
      <c r="EA429" s="23"/>
      <c r="EB429" s="23"/>
      <c r="EC429" s="23"/>
      <c r="ED429" s="23"/>
      <c r="EE429" s="23"/>
      <c r="EF429" s="23"/>
      <c r="EG429" s="23"/>
      <c r="EH429" s="23"/>
      <c r="EI429" s="23"/>
      <c r="EJ429" s="23"/>
      <c r="EK429" s="23"/>
      <c r="EL429" s="23"/>
      <c r="EM429" s="23"/>
      <c r="EN429" s="23"/>
      <c r="EO429" s="23"/>
      <c r="EP429" s="23"/>
      <c r="EQ429" s="23"/>
      <c r="ER429" s="23"/>
      <c r="ES429" s="23"/>
      <c r="ET429" s="23"/>
      <c r="EU429" s="23"/>
      <c r="EV429" s="23"/>
      <c r="EW429" s="23"/>
      <c r="EX429" s="23"/>
      <c r="EY429" s="23"/>
      <c r="EZ429" s="23"/>
      <c r="FA429" s="23"/>
      <c r="FB429" s="23"/>
      <c r="FC429" s="23"/>
      <c r="FD429" s="23"/>
      <c r="FE429" s="23"/>
      <c r="FF429" s="23"/>
      <c r="FG429" s="23"/>
      <c r="FH429" s="23"/>
      <c r="FI429" s="23"/>
      <c r="FJ429" s="23"/>
      <c r="FK429" s="23"/>
      <c r="FL429" s="23"/>
      <c r="FM429" s="23"/>
      <c r="FN429" s="23"/>
      <c r="FO429" s="23"/>
      <c r="FP429" s="23"/>
      <c r="FQ429" s="23"/>
      <c r="FR429" s="23"/>
      <c r="FS429" s="23"/>
      <c r="FT429" s="23"/>
      <c r="FU429" s="23"/>
      <c r="FV429" s="23"/>
      <c r="FW429" s="23"/>
      <c r="FX429" s="23"/>
      <c r="FY429" s="23"/>
      <c r="FZ429" s="23"/>
      <c r="GA429" s="23"/>
      <c r="GB429" s="23"/>
      <c r="GC429" s="23"/>
      <c r="GD429" s="23"/>
      <c r="GE429" s="23"/>
      <c r="GF429" s="23"/>
      <c r="GG429" s="23"/>
      <c r="GH429" s="23"/>
      <c r="GI429" s="23"/>
      <c r="GJ429" s="23"/>
      <c r="GK429" s="23"/>
      <c r="GL429" s="23"/>
    </row>
    <row r="430" spans="1:194" ht="13">
      <c r="A430" s="23"/>
      <c r="B430" s="23"/>
      <c r="C430" s="23"/>
      <c r="D430" s="23"/>
      <c r="E430" s="23"/>
      <c r="F430" s="23"/>
      <c r="G430" s="23"/>
      <c r="H430" s="401"/>
      <c r="I430" s="401"/>
      <c r="J430" s="401"/>
      <c r="K430" s="401"/>
      <c r="L430" s="401"/>
      <c r="M430" s="438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  <c r="AL430" s="23"/>
      <c r="AM430" s="23"/>
      <c r="AN430" s="23"/>
      <c r="AO430" s="23"/>
      <c r="AP430" s="23"/>
      <c r="AQ430" s="23"/>
      <c r="AR430" s="23"/>
      <c r="AS430" s="23"/>
      <c r="AT430" s="23"/>
      <c r="AU430" s="23"/>
      <c r="AV430" s="23"/>
      <c r="AW430" s="23"/>
      <c r="AX430" s="23"/>
      <c r="AY430" s="23"/>
      <c r="AZ430" s="23"/>
      <c r="BA430" s="23"/>
      <c r="BB430" s="23"/>
      <c r="BC430" s="23"/>
      <c r="BD430" s="23"/>
      <c r="BE430" s="23"/>
      <c r="BF430" s="23"/>
      <c r="BG430" s="23"/>
      <c r="BH430" s="23"/>
      <c r="BI430" s="23"/>
      <c r="BJ430" s="23"/>
      <c r="BK430" s="23"/>
      <c r="BL430" s="23"/>
      <c r="BM430" s="23"/>
      <c r="BN430" s="23"/>
      <c r="BO430" s="23"/>
      <c r="BP430" s="23"/>
      <c r="BQ430" s="23"/>
      <c r="BR430" s="23"/>
      <c r="BS430" s="23"/>
      <c r="BT430" s="23"/>
      <c r="BU430" s="23"/>
      <c r="BV430" s="23"/>
      <c r="BW430" s="23"/>
      <c r="BX430" s="23"/>
      <c r="BY430" s="23"/>
      <c r="BZ430" s="23"/>
      <c r="CA430" s="23"/>
      <c r="CB430" s="23"/>
      <c r="CC430" s="23"/>
      <c r="CD430" s="23"/>
      <c r="CE430" s="23"/>
      <c r="CF430" s="23"/>
      <c r="CG430" s="23"/>
      <c r="CH430" s="23"/>
      <c r="CI430" s="23"/>
      <c r="CJ430" s="23"/>
      <c r="CK430" s="23"/>
      <c r="CL430" s="23"/>
      <c r="CM430" s="23"/>
      <c r="CN430" s="23"/>
      <c r="CO430" s="23"/>
      <c r="CP430" s="23"/>
      <c r="CQ430" s="23"/>
      <c r="CR430" s="23"/>
      <c r="CS430" s="23"/>
      <c r="CT430" s="23"/>
      <c r="CU430" s="23"/>
      <c r="CV430" s="23"/>
      <c r="CW430" s="23"/>
      <c r="CX430" s="23"/>
      <c r="CY430" s="23"/>
      <c r="CZ430" s="23"/>
      <c r="DA430" s="23"/>
      <c r="DB430" s="23"/>
      <c r="DC430" s="23"/>
      <c r="DD430" s="23"/>
      <c r="DE430" s="23"/>
      <c r="DF430" s="23"/>
      <c r="DG430" s="23"/>
      <c r="DH430" s="23"/>
      <c r="DI430" s="23"/>
      <c r="DJ430" s="23"/>
      <c r="DK430" s="23"/>
      <c r="DL430" s="23"/>
      <c r="DM430" s="23"/>
      <c r="DN430" s="23"/>
      <c r="DO430" s="23"/>
      <c r="DP430" s="23"/>
      <c r="DQ430" s="23"/>
      <c r="DR430" s="23"/>
      <c r="DS430" s="23"/>
      <c r="DT430" s="23"/>
      <c r="DU430" s="23"/>
      <c r="DV430" s="23"/>
      <c r="DW430" s="23"/>
      <c r="DX430" s="23"/>
      <c r="DY430" s="23"/>
      <c r="DZ430" s="23"/>
      <c r="EA430" s="23"/>
      <c r="EB430" s="23"/>
      <c r="EC430" s="23"/>
      <c r="ED430" s="23"/>
      <c r="EE430" s="23"/>
      <c r="EF430" s="23"/>
      <c r="EG430" s="23"/>
      <c r="EH430" s="23"/>
      <c r="EI430" s="23"/>
      <c r="EJ430" s="23"/>
      <c r="EK430" s="23"/>
      <c r="EL430" s="23"/>
      <c r="EM430" s="23"/>
      <c r="EN430" s="23"/>
      <c r="EO430" s="23"/>
      <c r="EP430" s="23"/>
      <c r="EQ430" s="23"/>
      <c r="ER430" s="23"/>
      <c r="ES430" s="23"/>
      <c r="ET430" s="23"/>
      <c r="EU430" s="23"/>
      <c r="EV430" s="23"/>
      <c r="EW430" s="23"/>
      <c r="EX430" s="23"/>
      <c r="EY430" s="23"/>
      <c r="EZ430" s="23"/>
      <c r="FA430" s="23"/>
      <c r="FB430" s="23"/>
      <c r="FC430" s="23"/>
      <c r="FD430" s="23"/>
      <c r="FE430" s="23"/>
      <c r="FF430" s="23"/>
      <c r="FG430" s="23"/>
      <c r="FH430" s="23"/>
      <c r="FI430" s="23"/>
      <c r="FJ430" s="23"/>
      <c r="FK430" s="23"/>
      <c r="FL430" s="23"/>
      <c r="FM430" s="23"/>
      <c r="FN430" s="23"/>
      <c r="FO430" s="23"/>
      <c r="FP430" s="23"/>
      <c r="FQ430" s="23"/>
      <c r="FR430" s="23"/>
      <c r="FS430" s="23"/>
      <c r="FT430" s="23"/>
      <c r="FU430" s="23"/>
      <c r="FV430" s="23"/>
      <c r="FW430" s="23"/>
      <c r="FX430" s="23"/>
      <c r="FY430" s="23"/>
      <c r="FZ430" s="23"/>
      <c r="GA430" s="23"/>
      <c r="GB430" s="23"/>
      <c r="GC430" s="23"/>
      <c r="GD430" s="23"/>
      <c r="GE430" s="23"/>
      <c r="GF430" s="23"/>
      <c r="GG430" s="23"/>
      <c r="GH430" s="23"/>
      <c r="GI430" s="23"/>
      <c r="GJ430" s="23"/>
      <c r="GK430" s="23"/>
      <c r="GL430" s="23"/>
    </row>
    <row r="431" spans="1:194" ht="13">
      <c r="A431" s="23"/>
      <c r="B431" s="23"/>
      <c r="C431" s="23"/>
      <c r="D431" s="23"/>
      <c r="E431" s="23"/>
      <c r="F431" s="23"/>
      <c r="G431" s="23"/>
      <c r="H431" s="401"/>
      <c r="I431" s="401"/>
      <c r="J431" s="401"/>
      <c r="K431" s="401"/>
      <c r="L431" s="401"/>
      <c r="M431" s="438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  <c r="AL431" s="23"/>
      <c r="AM431" s="23"/>
      <c r="AN431" s="23"/>
      <c r="AO431" s="23"/>
      <c r="AP431" s="23"/>
      <c r="AQ431" s="23"/>
      <c r="AR431" s="23"/>
      <c r="AS431" s="23"/>
      <c r="AT431" s="23"/>
      <c r="AU431" s="23"/>
      <c r="AV431" s="23"/>
      <c r="AW431" s="23"/>
      <c r="AX431" s="23"/>
      <c r="AY431" s="23"/>
      <c r="AZ431" s="23"/>
      <c r="BA431" s="23"/>
      <c r="BB431" s="23"/>
      <c r="BC431" s="23"/>
      <c r="BD431" s="23"/>
      <c r="BE431" s="23"/>
      <c r="BF431" s="23"/>
      <c r="BG431" s="23"/>
      <c r="BH431" s="23"/>
      <c r="BI431" s="23"/>
      <c r="BJ431" s="23"/>
      <c r="BK431" s="23"/>
      <c r="BL431" s="23"/>
      <c r="BM431" s="23"/>
      <c r="BN431" s="23"/>
      <c r="BO431" s="23"/>
      <c r="BP431" s="23"/>
      <c r="BQ431" s="23"/>
      <c r="BR431" s="23"/>
      <c r="BS431" s="23"/>
      <c r="BT431" s="23"/>
      <c r="BU431" s="23"/>
      <c r="BV431" s="23"/>
      <c r="BW431" s="23"/>
      <c r="BX431" s="23"/>
      <c r="BY431" s="23"/>
      <c r="BZ431" s="23"/>
      <c r="CA431" s="23"/>
      <c r="CB431" s="23"/>
      <c r="CC431" s="23"/>
      <c r="CD431" s="23"/>
      <c r="CE431" s="23"/>
      <c r="CF431" s="23"/>
      <c r="CG431" s="23"/>
      <c r="CH431" s="23"/>
      <c r="CI431" s="23"/>
      <c r="CJ431" s="23"/>
      <c r="CK431" s="23"/>
      <c r="CL431" s="23"/>
      <c r="CM431" s="23"/>
      <c r="CN431" s="23"/>
      <c r="CO431" s="23"/>
      <c r="CP431" s="23"/>
      <c r="CQ431" s="23"/>
      <c r="CR431" s="23"/>
      <c r="CS431" s="23"/>
      <c r="CT431" s="23"/>
      <c r="CU431" s="23"/>
      <c r="CV431" s="23"/>
      <c r="CW431" s="23"/>
      <c r="CX431" s="23"/>
      <c r="CY431" s="23"/>
      <c r="CZ431" s="23"/>
      <c r="DA431" s="23"/>
      <c r="DB431" s="23"/>
      <c r="DC431" s="23"/>
      <c r="DD431" s="23"/>
      <c r="DE431" s="23"/>
      <c r="DF431" s="23"/>
      <c r="DG431" s="23"/>
      <c r="DH431" s="23"/>
      <c r="DI431" s="23"/>
      <c r="DJ431" s="23"/>
      <c r="DK431" s="23"/>
      <c r="DL431" s="23"/>
      <c r="DM431" s="23"/>
      <c r="DN431" s="23"/>
      <c r="DO431" s="23"/>
      <c r="DP431" s="23"/>
      <c r="DQ431" s="23"/>
      <c r="DR431" s="23"/>
      <c r="DS431" s="23"/>
      <c r="DT431" s="23"/>
      <c r="DU431" s="23"/>
      <c r="DV431" s="23"/>
      <c r="DW431" s="23"/>
      <c r="DX431" s="23"/>
      <c r="DY431" s="23"/>
      <c r="DZ431" s="23"/>
      <c r="EA431" s="23"/>
      <c r="EB431" s="23"/>
      <c r="EC431" s="23"/>
      <c r="ED431" s="23"/>
      <c r="EE431" s="23"/>
      <c r="EF431" s="23"/>
      <c r="EG431" s="23"/>
      <c r="EH431" s="23"/>
      <c r="EI431" s="23"/>
      <c r="EJ431" s="23"/>
      <c r="EK431" s="23"/>
      <c r="EL431" s="23"/>
      <c r="EM431" s="23"/>
      <c r="EN431" s="23"/>
      <c r="EO431" s="23"/>
      <c r="EP431" s="23"/>
      <c r="EQ431" s="23"/>
      <c r="ER431" s="23"/>
      <c r="ES431" s="23"/>
      <c r="ET431" s="23"/>
      <c r="EU431" s="23"/>
      <c r="EV431" s="23"/>
      <c r="EW431" s="23"/>
      <c r="EX431" s="23"/>
      <c r="EY431" s="23"/>
      <c r="EZ431" s="23"/>
      <c r="FA431" s="23"/>
      <c r="FB431" s="23"/>
      <c r="FC431" s="23"/>
      <c r="FD431" s="23"/>
      <c r="FE431" s="23"/>
      <c r="FF431" s="23"/>
      <c r="FG431" s="23"/>
      <c r="FH431" s="23"/>
      <c r="FI431" s="23"/>
      <c r="FJ431" s="23"/>
      <c r="FK431" s="23"/>
      <c r="FL431" s="23"/>
      <c r="FM431" s="23"/>
      <c r="FN431" s="23"/>
      <c r="FO431" s="23"/>
      <c r="FP431" s="23"/>
      <c r="FQ431" s="23"/>
      <c r="FR431" s="23"/>
      <c r="FS431" s="23"/>
      <c r="FT431" s="23"/>
      <c r="FU431" s="23"/>
      <c r="FV431" s="23"/>
      <c r="FW431" s="23"/>
      <c r="FX431" s="23"/>
      <c r="FY431" s="23"/>
      <c r="FZ431" s="23"/>
      <c r="GA431" s="23"/>
      <c r="GB431" s="23"/>
      <c r="GC431" s="23"/>
      <c r="GD431" s="23"/>
      <c r="GE431" s="23"/>
      <c r="GF431" s="23"/>
      <c r="GG431" s="23"/>
      <c r="GH431" s="23"/>
      <c r="GI431" s="23"/>
      <c r="GJ431" s="23"/>
      <c r="GK431" s="23"/>
      <c r="GL431" s="23"/>
    </row>
    <row r="432" spans="1:194" ht="13">
      <c r="A432" s="23"/>
      <c r="B432" s="23"/>
      <c r="C432" s="23"/>
      <c r="D432" s="23"/>
      <c r="E432" s="23"/>
      <c r="F432" s="23"/>
      <c r="G432" s="23"/>
      <c r="H432" s="401"/>
      <c r="I432" s="401"/>
      <c r="J432" s="401"/>
      <c r="K432" s="401"/>
      <c r="L432" s="401"/>
      <c r="M432" s="438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  <c r="AL432" s="23"/>
      <c r="AM432" s="23"/>
      <c r="AN432" s="23"/>
      <c r="AO432" s="23"/>
      <c r="AP432" s="23"/>
      <c r="AQ432" s="23"/>
      <c r="AR432" s="23"/>
      <c r="AS432" s="23"/>
      <c r="AT432" s="23"/>
      <c r="AU432" s="23"/>
      <c r="AV432" s="23"/>
      <c r="AW432" s="23"/>
      <c r="AX432" s="23"/>
      <c r="AY432" s="23"/>
      <c r="AZ432" s="23"/>
      <c r="BA432" s="23"/>
      <c r="BB432" s="23"/>
      <c r="BC432" s="23"/>
      <c r="BD432" s="23"/>
      <c r="BE432" s="23"/>
      <c r="BF432" s="23"/>
      <c r="BG432" s="23"/>
      <c r="BH432" s="23"/>
      <c r="BI432" s="23"/>
      <c r="BJ432" s="23"/>
      <c r="BK432" s="23"/>
      <c r="BL432" s="23"/>
      <c r="BM432" s="23"/>
      <c r="BN432" s="23"/>
      <c r="BO432" s="23"/>
      <c r="BP432" s="23"/>
      <c r="BQ432" s="23"/>
      <c r="BR432" s="23"/>
      <c r="BS432" s="23"/>
      <c r="BT432" s="23"/>
      <c r="BU432" s="23"/>
      <c r="BV432" s="23"/>
      <c r="BW432" s="23"/>
      <c r="BX432" s="23"/>
      <c r="BY432" s="23"/>
      <c r="BZ432" s="23"/>
      <c r="CA432" s="23"/>
      <c r="CB432" s="23"/>
      <c r="CC432" s="23"/>
      <c r="CD432" s="23"/>
      <c r="CE432" s="23"/>
      <c r="CF432" s="23"/>
      <c r="CG432" s="23"/>
      <c r="CH432" s="23"/>
      <c r="CI432" s="23"/>
      <c r="CJ432" s="23"/>
      <c r="CK432" s="23"/>
      <c r="CL432" s="23"/>
      <c r="CM432" s="23"/>
      <c r="CN432" s="23"/>
      <c r="CO432" s="23"/>
      <c r="CP432" s="23"/>
      <c r="CQ432" s="23"/>
      <c r="CR432" s="23"/>
      <c r="CS432" s="23"/>
      <c r="CT432" s="23"/>
      <c r="CU432" s="23"/>
      <c r="CV432" s="23"/>
      <c r="CW432" s="23"/>
      <c r="CX432" s="23"/>
      <c r="CY432" s="23"/>
      <c r="CZ432" s="23"/>
      <c r="DA432" s="23"/>
      <c r="DB432" s="23"/>
      <c r="DC432" s="23"/>
      <c r="DD432" s="23"/>
      <c r="DE432" s="23"/>
      <c r="DF432" s="23"/>
      <c r="DG432" s="23"/>
      <c r="DH432" s="23"/>
      <c r="DI432" s="23"/>
      <c r="DJ432" s="23"/>
      <c r="DK432" s="23"/>
      <c r="DL432" s="23"/>
      <c r="DM432" s="23"/>
      <c r="DN432" s="23"/>
      <c r="DO432" s="23"/>
      <c r="DP432" s="23"/>
      <c r="DQ432" s="23"/>
      <c r="DR432" s="23"/>
      <c r="DS432" s="23"/>
      <c r="DT432" s="23"/>
      <c r="DU432" s="23"/>
      <c r="DV432" s="23"/>
      <c r="DW432" s="23"/>
      <c r="DX432" s="23"/>
      <c r="DY432" s="23"/>
      <c r="DZ432" s="23"/>
      <c r="EA432" s="23"/>
      <c r="EB432" s="23"/>
      <c r="EC432" s="23"/>
      <c r="ED432" s="23"/>
      <c r="EE432" s="23"/>
      <c r="EF432" s="23"/>
      <c r="EG432" s="23"/>
      <c r="EH432" s="23"/>
      <c r="EI432" s="23"/>
      <c r="EJ432" s="23"/>
      <c r="EK432" s="23"/>
      <c r="EL432" s="23"/>
      <c r="EM432" s="23"/>
      <c r="EN432" s="23"/>
      <c r="EO432" s="23"/>
      <c r="EP432" s="23"/>
      <c r="EQ432" s="23"/>
      <c r="ER432" s="23"/>
      <c r="ES432" s="23"/>
      <c r="ET432" s="23"/>
      <c r="EU432" s="23"/>
      <c r="EV432" s="23"/>
      <c r="EW432" s="23"/>
      <c r="EX432" s="23"/>
      <c r="EY432" s="23"/>
      <c r="EZ432" s="23"/>
      <c r="FA432" s="23"/>
      <c r="FB432" s="23"/>
      <c r="FC432" s="23"/>
      <c r="FD432" s="23"/>
      <c r="FE432" s="23"/>
      <c r="FF432" s="23"/>
      <c r="FG432" s="23"/>
      <c r="FH432" s="23"/>
      <c r="FI432" s="23"/>
      <c r="FJ432" s="23"/>
      <c r="FK432" s="23"/>
      <c r="FL432" s="23"/>
      <c r="FM432" s="23"/>
      <c r="FN432" s="23"/>
      <c r="FO432" s="23"/>
      <c r="FP432" s="23"/>
      <c r="FQ432" s="23"/>
      <c r="FR432" s="23"/>
      <c r="FS432" s="23"/>
      <c r="FT432" s="23"/>
      <c r="FU432" s="23"/>
      <c r="FV432" s="23"/>
      <c r="FW432" s="23"/>
      <c r="FX432" s="23"/>
      <c r="FY432" s="23"/>
      <c r="FZ432" s="23"/>
      <c r="GA432" s="23"/>
      <c r="GB432" s="23"/>
      <c r="GC432" s="23"/>
      <c r="GD432" s="23"/>
      <c r="GE432" s="23"/>
      <c r="GF432" s="23"/>
      <c r="GG432" s="23"/>
      <c r="GH432" s="23"/>
      <c r="GI432" s="23"/>
      <c r="GJ432" s="23"/>
      <c r="GK432" s="23"/>
      <c r="GL432" s="23"/>
    </row>
    <row r="433" spans="1:194" ht="13">
      <c r="A433" s="23"/>
      <c r="B433" s="23"/>
      <c r="C433" s="23"/>
      <c r="D433" s="23"/>
      <c r="E433" s="23"/>
      <c r="F433" s="23"/>
      <c r="G433" s="23"/>
      <c r="H433" s="401"/>
      <c r="I433" s="401"/>
      <c r="J433" s="401"/>
      <c r="K433" s="401"/>
      <c r="L433" s="401"/>
      <c r="M433" s="438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  <c r="AL433" s="23"/>
      <c r="AM433" s="23"/>
      <c r="AN433" s="23"/>
      <c r="AO433" s="23"/>
      <c r="AP433" s="23"/>
      <c r="AQ433" s="23"/>
      <c r="AR433" s="23"/>
      <c r="AS433" s="23"/>
      <c r="AT433" s="23"/>
      <c r="AU433" s="23"/>
      <c r="AV433" s="23"/>
      <c r="AW433" s="23"/>
      <c r="AX433" s="23"/>
      <c r="AY433" s="23"/>
      <c r="AZ433" s="23"/>
      <c r="BA433" s="23"/>
      <c r="BB433" s="23"/>
      <c r="BC433" s="23"/>
      <c r="BD433" s="23"/>
      <c r="BE433" s="23"/>
      <c r="BF433" s="23"/>
      <c r="BG433" s="23"/>
      <c r="BH433" s="23"/>
      <c r="BI433" s="23"/>
      <c r="BJ433" s="23"/>
      <c r="BK433" s="23"/>
      <c r="BL433" s="23"/>
      <c r="BM433" s="23"/>
      <c r="BN433" s="23"/>
      <c r="BO433" s="23"/>
      <c r="BP433" s="23"/>
      <c r="BQ433" s="23"/>
      <c r="BR433" s="23"/>
      <c r="BS433" s="23"/>
      <c r="BT433" s="23"/>
      <c r="BU433" s="23"/>
      <c r="BV433" s="23"/>
      <c r="BW433" s="23"/>
      <c r="BX433" s="23"/>
      <c r="BY433" s="23"/>
      <c r="BZ433" s="23"/>
      <c r="CA433" s="23"/>
      <c r="CB433" s="23"/>
      <c r="CC433" s="23"/>
      <c r="CD433" s="23"/>
      <c r="CE433" s="23"/>
      <c r="CF433" s="23"/>
      <c r="CG433" s="23"/>
      <c r="CH433" s="23"/>
      <c r="CI433" s="23"/>
      <c r="CJ433" s="23"/>
      <c r="CK433" s="23"/>
      <c r="CL433" s="23"/>
      <c r="CM433" s="23"/>
      <c r="CN433" s="23"/>
      <c r="CO433" s="23"/>
      <c r="CP433" s="23"/>
      <c r="CQ433" s="23"/>
      <c r="CR433" s="23"/>
      <c r="CS433" s="23"/>
      <c r="CT433" s="23"/>
      <c r="CU433" s="23"/>
      <c r="CV433" s="23"/>
      <c r="CW433" s="23"/>
      <c r="CX433" s="23"/>
      <c r="CY433" s="23"/>
      <c r="CZ433" s="23"/>
      <c r="DA433" s="23"/>
      <c r="DB433" s="23"/>
      <c r="DC433" s="23"/>
      <c r="DD433" s="23"/>
      <c r="DE433" s="23"/>
      <c r="DF433" s="23"/>
      <c r="DG433" s="23"/>
      <c r="DH433" s="23"/>
      <c r="DI433" s="23"/>
      <c r="DJ433" s="23"/>
      <c r="DK433" s="23"/>
      <c r="DL433" s="23"/>
      <c r="DM433" s="23"/>
      <c r="DN433" s="23"/>
      <c r="DO433" s="23"/>
      <c r="DP433" s="23"/>
      <c r="DQ433" s="23"/>
      <c r="DR433" s="23"/>
      <c r="DS433" s="23"/>
      <c r="DT433" s="23"/>
      <c r="DU433" s="23"/>
      <c r="DV433" s="23"/>
      <c r="DW433" s="23"/>
      <c r="DX433" s="23"/>
      <c r="DY433" s="23"/>
      <c r="DZ433" s="23"/>
      <c r="EA433" s="23"/>
      <c r="EB433" s="23"/>
      <c r="EC433" s="23"/>
      <c r="ED433" s="23"/>
      <c r="EE433" s="23"/>
      <c r="EF433" s="23"/>
      <c r="EG433" s="23"/>
      <c r="EH433" s="23"/>
      <c r="EI433" s="23"/>
      <c r="EJ433" s="23"/>
      <c r="EK433" s="23"/>
      <c r="EL433" s="23"/>
      <c r="EM433" s="23"/>
      <c r="EN433" s="23"/>
      <c r="EO433" s="23"/>
      <c r="EP433" s="23"/>
      <c r="EQ433" s="23"/>
      <c r="ER433" s="23"/>
      <c r="ES433" s="23"/>
      <c r="ET433" s="23"/>
      <c r="EU433" s="23"/>
      <c r="EV433" s="23"/>
      <c r="EW433" s="23"/>
      <c r="EX433" s="23"/>
      <c r="EY433" s="23"/>
      <c r="EZ433" s="23"/>
      <c r="FA433" s="23"/>
      <c r="FB433" s="23"/>
      <c r="FC433" s="23"/>
      <c r="FD433" s="23"/>
      <c r="FE433" s="23"/>
      <c r="FF433" s="23"/>
      <c r="FG433" s="23"/>
      <c r="FH433" s="23"/>
      <c r="FI433" s="23"/>
      <c r="FJ433" s="23"/>
      <c r="FK433" s="23"/>
      <c r="FL433" s="23"/>
      <c r="FM433" s="23"/>
      <c r="FN433" s="23"/>
      <c r="FO433" s="23"/>
      <c r="FP433" s="23"/>
      <c r="FQ433" s="23"/>
      <c r="FR433" s="23"/>
      <c r="FS433" s="23"/>
      <c r="FT433" s="23"/>
      <c r="FU433" s="23"/>
      <c r="FV433" s="23"/>
      <c r="FW433" s="23"/>
      <c r="FX433" s="23"/>
      <c r="FY433" s="23"/>
      <c r="FZ433" s="23"/>
      <c r="GA433" s="23"/>
      <c r="GB433" s="23"/>
      <c r="GC433" s="23"/>
      <c r="GD433" s="23"/>
      <c r="GE433" s="23"/>
      <c r="GF433" s="23"/>
      <c r="GG433" s="23"/>
      <c r="GH433" s="23"/>
      <c r="GI433" s="23"/>
      <c r="GJ433" s="23"/>
      <c r="GK433" s="23"/>
      <c r="GL433" s="23"/>
    </row>
    <row r="434" spans="1:194" ht="13">
      <c r="A434" s="23"/>
      <c r="B434" s="23"/>
      <c r="C434" s="23"/>
      <c r="D434" s="23"/>
      <c r="E434" s="23"/>
      <c r="F434" s="23"/>
      <c r="G434" s="23"/>
      <c r="H434" s="401"/>
      <c r="I434" s="401"/>
      <c r="J434" s="401"/>
      <c r="K434" s="401"/>
      <c r="L434" s="401"/>
      <c r="M434" s="438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  <c r="AL434" s="23"/>
      <c r="AM434" s="23"/>
      <c r="AN434" s="23"/>
      <c r="AO434" s="23"/>
      <c r="AP434" s="23"/>
      <c r="AQ434" s="23"/>
      <c r="AR434" s="23"/>
      <c r="AS434" s="23"/>
      <c r="AT434" s="23"/>
      <c r="AU434" s="23"/>
      <c r="AV434" s="23"/>
      <c r="AW434" s="23"/>
      <c r="AX434" s="23"/>
      <c r="AY434" s="23"/>
      <c r="AZ434" s="23"/>
      <c r="BA434" s="23"/>
      <c r="BB434" s="23"/>
      <c r="BC434" s="23"/>
      <c r="BD434" s="23"/>
      <c r="BE434" s="23"/>
      <c r="BF434" s="23"/>
      <c r="BG434" s="23"/>
      <c r="BH434" s="23"/>
      <c r="BI434" s="23"/>
      <c r="BJ434" s="23"/>
      <c r="BK434" s="23"/>
      <c r="BL434" s="23"/>
      <c r="BM434" s="23"/>
      <c r="BN434" s="23"/>
      <c r="BO434" s="23"/>
      <c r="BP434" s="23"/>
      <c r="BQ434" s="23"/>
      <c r="BR434" s="23"/>
      <c r="BS434" s="23"/>
      <c r="BT434" s="23"/>
      <c r="BU434" s="23"/>
      <c r="BV434" s="23"/>
      <c r="BW434" s="23"/>
      <c r="BX434" s="23"/>
      <c r="BY434" s="23"/>
      <c r="BZ434" s="23"/>
      <c r="CA434" s="23"/>
      <c r="CB434" s="23"/>
      <c r="CC434" s="23"/>
      <c r="CD434" s="23"/>
      <c r="CE434" s="23"/>
      <c r="CF434" s="23"/>
      <c r="CG434" s="23"/>
      <c r="CH434" s="23"/>
      <c r="CI434" s="23"/>
      <c r="CJ434" s="23"/>
      <c r="CK434" s="23"/>
      <c r="CL434" s="23"/>
      <c r="CM434" s="23"/>
      <c r="CN434" s="23"/>
      <c r="CO434" s="23"/>
      <c r="CP434" s="23"/>
      <c r="CQ434" s="23"/>
      <c r="CR434" s="23"/>
      <c r="CS434" s="23"/>
      <c r="CT434" s="23"/>
      <c r="CU434" s="23"/>
      <c r="CV434" s="23"/>
      <c r="CW434" s="23"/>
      <c r="CX434" s="23"/>
      <c r="CY434" s="23"/>
      <c r="CZ434" s="23"/>
      <c r="DA434" s="23"/>
      <c r="DB434" s="23"/>
      <c r="DC434" s="23"/>
      <c r="DD434" s="23"/>
      <c r="DE434" s="23"/>
      <c r="DF434" s="23"/>
      <c r="DG434" s="23"/>
      <c r="DH434" s="23"/>
      <c r="DI434" s="23"/>
      <c r="DJ434" s="23"/>
      <c r="DK434" s="23"/>
      <c r="DL434" s="23"/>
      <c r="DM434" s="23"/>
      <c r="DN434" s="23"/>
      <c r="DO434" s="23"/>
      <c r="DP434" s="23"/>
      <c r="DQ434" s="23"/>
      <c r="DR434" s="23"/>
      <c r="DS434" s="23"/>
      <c r="DT434" s="23"/>
      <c r="DU434" s="23"/>
      <c r="DV434" s="23"/>
      <c r="DW434" s="23"/>
      <c r="DX434" s="23"/>
      <c r="DY434" s="23"/>
      <c r="DZ434" s="23"/>
      <c r="EA434" s="23"/>
      <c r="EB434" s="23"/>
      <c r="EC434" s="23"/>
      <c r="ED434" s="23"/>
      <c r="EE434" s="23"/>
      <c r="EF434" s="23"/>
      <c r="EG434" s="23"/>
      <c r="EH434" s="23"/>
      <c r="EI434" s="23"/>
      <c r="EJ434" s="23"/>
      <c r="EK434" s="23"/>
      <c r="EL434" s="23"/>
      <c r="EM434" s="23"/>
      <c r="EN434" s="23"/>
      <c r="EO434" s="23"/>
      <c r="EP434" s="23"/>
      <c r="EQ434" s="23"/>
      <c r="ER434" s="23"/>
      <c r="ES434" s="23"/>
      <c r="ET434" s="23"/>
      <c r="EU434" s="23"/>
      <c r="EV434" s="23"/>
      <c r="EW434" s="23"/>
      <c r="EX434" s="23"/>
      <c r="EY434" s="23"/>
      <c r="EZ434" s="23"/>
      <c r="FA434" s="23"/>
      <c r="FB434" s="23"/>
      <c r="FC434" s="23"/>
      <c r="FD434" s="23"/>
      <c r="FE434" s="23"/>
      <c r="FF434" s="23"/>
      <c r="FG434" s="23"/>
      <c r="FH434" s="23"/>
      <c r="FI434" s="23"/>
      <c r="FJ434" s="23"/>
      <c r="FK434" s="23"/>
      <c r="FL434" s="23"/>
      <c r="FM434" s="23"/>
      <c r="FN434" s="23"/>
      <c r="FO434" s="23"/>
      <c r="FP434" s="23"/>
      <c r="FQ434" s="23"/>
      <c r="FR434" s="23"/>
      <c r="FS434" s="23"/>
      <c r="FT434" s="23"/>
      <c r="FU434" s="23"/>
      <c r="FV434" s="23"/>
      <c r="FW434" s="23"/>
      <c r="FX434" s="23"/>
      <c r="FY434" s="23"/>
      <c r="FZ434" s="23"/>
      <c r="GA434" s="23"/>
      <c r="GB434" s="23"/>
      <c r="GC434" s="23"/>
      <c r="GD434" s="23"/>
      <c r="GE434" s="23"/>
      <c r="GF434" s="23"/>
      <c r="GG434" s="23"/>
      <c r="GH434" s="23"/>
      <c r="GI434" s="23"/>
      <c r="GJ434" s="23"/>
      <c r="GK434" s="23"/>
      <c r="GL434" s="23"/>
    </row>
    <row r="435" spans="1:194" ht="13">
      <c r="A435" s="23"/>
      <c r="B435" s="23"/>
      <c r="C435" s="23"/>
      <c r="D435" s="23"/>
      <c r="E435" s="23"/>
      <c r="F435" s="23"/>
      <c r="G435" s="23"/>
      <c r="H435" s="401"/>
      <c r="I435" s="401"/>
      <c r="J435" s="401"/>
      <c r="K435" s="401"/>
      <c r="L435" s="401"/>
      <c r="M435" s="438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  <c r="AL435" s="23"/>
      <c r="AM435" s="23"/>
      <c r="AN435" s="23"/>
      <c r="AO435" s="23"/>
      <c r="AP435" s="23"/>
      <c r="AQ435" s="23"/>
      <c r="AR435" s="23"/>
      <c r="AS435" s="23"/>
      <c r="AT435" s="23"/>
      <c r="AU435" s="23"/>
      <c r="AV435" s="23"/>
      <c r="AW435" s="23"/>
      <c r="AX435" s="23"/>
      <c r="AY435" s="23"/>
      <c r="AZ435" s="23"/>
      <c r="BA435" s="23"/>
      <c r="BB435" s="23"/>
      <c r="BC435" s="23"/>
      <c r="BD435" s="23"/>
      <c r="BE435" s="23"/>
      <c r="BF435" s="23"/>
      <c r="BG435" s="23"/>
      <c r="BH435" s="23"/>
      <c r="BI435" s="23"/>
      <c r="BJ435" s="23"/>
      <c r="BK435" s="23"/>
      <c r="BL435" s="23"/>
      <c r="BM435" s="23"/>
      <c r="BN435" s="23"/>
      <c r="BO435" s="23"/>
      <c r="BP435" s="23"/>
      <c r="BQ435" s="23"/>
      <c r="BR435" s="23"/>
      <c r="BS435" s="23"/>
      <c r="BT435" s="23"/>
      <c r="BU435" s="23"/>
      <c r="BV435" s="23"/>
      <c r="BW435" s="23"/>
      <c r="BX435" s="23"/>
      <c r="BY435" s="23"/>
      <c r="BZ435" s="23"/>
      <c r="CA435" s="23"/>
      <c r="CB435" s="23"/>
      <c r="CC435" s="23"/>
      <c r="CD435" s="23"/>
      <c r="CE435" s="23"/>
      <c r="CF435" s="23"/>
      <c r="CG435" s="23"/>
      <c r="CH435" s="23"/>
      <c r="CI435" s="23"/>
      <c r="CJ435" s="23"/>
      <c r="CK435" s="23"/>
      <c r="CL435" s="23"/>
      <c r="CM435" s="23"/>
      <c r="CN435" s="23"/>
      <c r="CO435" s="23"/>
      <c r="CP435" s="23"/>
      <c r="CQ435" s="23"/>
      <c r="CR435" s="23"/>
      <c r="CS435" s="23"/>
      <c r="CT435" s="23"/>
      <c r="CU435" s="23"/>
      <c r="CV435" s="23"/>
      <c r="CW435" s="23"/>
      <c r="CX435" s="23"/>
      <c r="CY435" s="23"/>
      <c r="CZ435" s="23"/>
      <c r="DA435" s="23"/>
      <c r="DB435" s="23"/>
      <c r="DC435" s="23"/>
      <c r="DD435" s="23"/>
      <c r="DE435" s="23"/>
      <c r="DF435" s="23"/>
      <c r="DG435" s="23"/>
      <c r="DH435" s="23"/>
      <c r="DI435" s="23"/>
      <c r="DJ435" s="23"/>
      <c r="DK435" s="23"/>
      <c r="DL435" s="23"/>
      <c r="DM435" s="23"/>
      <c r="DN435" s="23"/>
      <c r="DO435" s="23"/>
      <c r="DP435" s="23"/>
      <c r="DQ435" s="23"/>
      <c r="DR435" s="23"/>
      <c r="DS435" s="23"/>
      <c r="DT435" s="23"/>
      <c r="DU435" s="23"/>
      <c r="DV435" s="23"/>
      <c r="DW435" s="23"/>
      <c r="DX435" s="23"/>
      <c r="DY435" s="23"/>
      <c r="DZ435" s="23"/>
      <c r="EA435" s="23"/>
      <c r="EB435" s="23"/>
      <c r="EC435" s="23"/>
      <c r="ED435" s="23"/>
      <c r="EE435" s="23"/>
      <c r="EF435" s="23"/>
      <c r="EG435" s="23"/>
      <c r="EH435" s="23"/>
      <c r="EI435" s="23"/>
      <c r="EJ435" s="23"/>
      <c r="EK435" s="23"/>
      <c r="EL435" s="23"/>
      <c r="EM435" s="23"/>
      <c r="EN435" s="23"/>
      <c r="EO435" s="23"/>
      <c r="EP435" s="23"/>
      <c r="EQ435" s="23"/>
      <c r="ER435" s="23"/>
      <c r="ES435" s="23"/>
      <c r="ET435" s="23"/>
      <c r="EU435" s="23"/>
      <c r="EV435" s="23"/>
      <c r="EW435" s="23"/>
      <c r="EX435" s="23"/>
      <c r="EY435" s="23"/>
      <c r="EZ435" s="23"/>
      <c r="FA435" s="23"/>
      <c r="FB435" s="23"/>
      <c r="FC435" s="23"/>
      <c r="FD435" s="23"/>
      <c r="FE435" s="23"/>
      <c r="FF435" s="23"/>
      <c r="FG435" s="23"/>
      <c r="FH435" s="23"/>
      <c r="FI435" s="23"/>
      <c r="FJ435" s="23"/>
      <c r="FK435" s="23"/>
      <c r="FL435" s="23"/>
      <c r="FM435" s="23"/>
      <c r="FN435" s="23"/>
      <c r="FO435" s="23"/>
      <c r="FP435" s="23"/>
      <c r="FQ435" s="23"/>
      <c r="FR435" s="23"/>
      <c r="FS435" s="23"/>
      <c r="FT435" s="23"/>
      <c r="FU435" s="23"/>
      <c r="FV435" s="23"/>
      <c r="FW435" s="23"/>
      <c r="FX435" s="23"/>
      <c r="FY435" s="23"/>
      <c r="FZ435" s="23"/>
      <c r="GA435" s="23"/>
      <c r="GB435" s="23"/>
      <c r="GC435" s="23"/>
      <c r="GD435" s="23"/>
      <c r="GE435" s="23"/>
      <c r="GF435" s="23"/>
      <c r="GG435" s="23"/>
      <c r="GH435" s="23"/>
      <c r="GI435" s="23"/>
      <c r="GJ435" s="23"/>
      <c r="GK435" s="23"/>
      <c r="GL435" s="23"/>
    </row>
    <row r="436" spans="1:194" ht="13">
      <c r="A436" s="23"/>
      <c r="B436" s="23"/>
      <c r="C436" s="23"/>
      <c r="D436" s="23"/>
      <c r="E436" s="23"/>
      <c r="F436" s="23"/>
      <c r="G436" s="23"/>
      <c r="H436" s="401"/>
      <c r="I436" s="401"/>
      <c r="J436" s="401"/>
      <c r="K436" s="401"/>
      <c r="L436" s="401"/>
      <c r="M436" s="438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  <c r="AL436" s="23"/>
      <c r="AM436" s="23"/>
      <c r="AN436" s="23"/>
      <c r="AO436" s="23"/>
      <c r="AP436" s="23"/>
      <c r="AQ436" s="23"/>
      <c r="AR436" s="23"/>
      <c r="AS436" s="23"/>
      <c r="AT436" s="23"/>
      <c r="AU436" s="23"/>
      <c r="AV436" s="23"/>
      <c r="AW436" s="23"/>
      <c r="AX436" s="23"/>
      <c r="AY436" s="23"/>
      <c r="AZ436" s="23"/>
      <c r="BA436" s="23"/>
      <c r="BB436" s="23"/>
      <c r="BC436" s="23"/>
      <c r="BD436" s="23"/>
      <c r="BE436" s="23"/>
      <c r="BF436" s="23"/>
      <c r="BG436" s="23"/>
      <c r="BH436" s="23"/>
      <c r="BI436" s="23"/>
      <c r="BJ436" s="23"/>
      <c r="BK436" s="23"/>
      <c r="BL436" s="23"/>
      <c r="BM436" s="23"/>
      <c r="BN436" s="23"/>
      <c r="BO436" s="23"/>
      <c r="BP436" s="23"/>
      <c r="BQ436" s="23"/>
      <c r="BR436" s="23"/>
      <c r="BS436" s="23"/>
      <c r="BT436" s="23"/>
      <c r="BU436" s="23"/>
      <c r="BV436" s="23"/>
      <c r="BW436" s="23"/>
      <c r="BX436" s="23"/>
      <c r="BY436" s="23"/>
      <c r="BZ436" s="23"/>
      <c r="CA436" s="23"/>
      <c r="CB436" s="23"/>
      <c r="CC436" s="23"/>
      <c r="CD436" s="23"/>
      <c r="CE436" s="23"/>
      <c r="CF436" s="23"/>
      <c r="CG436" s="23"/>
      <c r="CH436" s="23"/>
      <c r="CI436" s="23"/>
      <c r="CJ436" s="23"/>
      <c r="CK436" s="23"/>
      <c r="CL436" s="23"/>
      <c r="CM436" s="23"/>
      <c r="CN436" s="23"/>
      <c r="CO436" s="23"/>
      <c r="CP436" s="23"/>
      <c r="CQ436" s="23"/>
      <c r="CR436" s="23"/>
      <c r="CS436" s="23"/>
      <c r="CT436" s="23"/>
      <c r="CU436" s="23"/>
      <c r="CV436" s="23"/>
      <c r="CW436" s="23"/>
      <c r="CX436" s="23"/>
      <c r="CY436" s="23"/>
      <c r="CZ436" s="23"/>
      <c r="DA436" s="23"/>
      <c r="DB436" s="23"/>
      <c r="DC436" s="23"/>
      <c r="DD436" s="23"/>
      <c r="DE436" s="23"/>
      <c r="DF436" s="23"/>
      <c r="DG436" s="23"/>
      <c r="DH436" s="23"/>
      <c r="DI436" s="23"/>
      <c r="DJ436" s="23"/>
      <c r="DK436" s="23"/>
      <c r="DL436" s="23"/>
      <c r="DM436" s="23"/>
      <c r="DN436" s="23"/>
      <c r="DO436" s="23"/>
      <c r="DP436" s="23"/>
      <c r="DQ436" s="23"/>
      <c r="DR436" s="23"/>
      <c r="DS436" s="23"/>
      <c r="DT436" s="23"/>
      <c r="DU436" s="23"/>
      <c r="DV436" s="23"/>
      <c r="DW436" s="23"/>
      <c r="DX436" s="23"/>
      <c r="DY436" s="23"/>
      <c r="DZ436" s="23"/>
      <c r="EA436" s="23"/>
      <c r="EB436" s="23"/>
      <c r="EC436" s="23"/>
      <c r="ED436" s="23"/>
      <c r="EE436" s="23"/>
      <c r="EF436" s="23"/>
      <c r="EG436" s="23"/>
      <c r="EH436" s="23"/>
      <c r="EI436" s="23"/>
      <c r="EJ436" s="23"/>
      <c r="EK436" s="23"/>
      <c r="EL436" s="23"/>
      <c r="EM436" s="23"/>
      <c r="EN436" s="23"/>
      <c r="EO436" s="23"/>
      <c r="EP436" s="23"/>
      <c r="EQ436" s="23"/>
      <c r="ER436" s="23"/>
      <c r="ES436" s="23"/>
      <c r="ET436" s="23"/>
      <c r="EU436" s="23"/>
      <c r="EV436" s="23"/>
      <c r="EW436" s="23"/>
      <c r="EX436" s="23"/>
      <c r="EY436" s="23"/>
      <c r="EZ436" s="23"/>
      <c r="FA436" s="23"/>
      <c r="FB436" s="23"/>
      <c r="FC436" s="23"/>
      <c r="FD436" s="23"/>
      <c r="FE436" s="23"/>
      <c r="FF436" s="23"/>
      <c r="FG436" s="23"/>
      <c r="FH436" s="23"/>
      <c r="FI436" s="23"/>
      <c r="FJ436" s="23"/>
      <c r="FK436" s="23"/>
      <c r="FL436" s="23"/>
      <c r="FM436" s="23"/>
      <c r="FN436" s="23"/>
      <c r="FO436" s="23"/>
      <c r="FP436" s="23"/>
      <c r="FQ436" s="23"/>
      <c r="FR436" s="23"/>
      <c r="FS436" s="23"/>
      <c r="FT436" s="23"/>
      <c r="FU436" s="23"/>
      <c r="FV436" s="23"/>
      <c r="FW436" s="23"/>
      <c r="FX436" s="23"/>
      <c r="FY436" s="23"/>
      <c r="FZ436" s="23"/>
      <c r="GA436" s="23"/>
      <c r="GB436" s="23"/>
      <c r="GC436" s="23"/>
      <c r="GD436" s="23"/>
      <c r="GE436" s="23"/>
      <c r="GF436" s="23"/>
      <c r="GG436" s="23"/>
      <c r="GH436" s="23"/>
      <c r="GI436" s="23"/>
      <c r="GJ436" s="23"/>
      <c r="GK436" s="23"/>
      <c r="GL436" s="23"/>
    </row>
    <row r="437" spans="1:194" ht="13">
      <c r="A437" s="23"/>
      <c r="B437" s="23"/>
      <c r="C437" s="23"/>
      <c r="D437" s="23"/>
      <c r="E437" s="23"/>
      <c r="F437" s="23"/>
      <c r="G437" s="23"/>
      <c r="H437" s="401"/>
      <c r="I437" s="401"/>
      <c r="J437" s="401"/>
      <c r="K437" s="401"/>
      <c r="L437" s="401"/>
      <c r="M437" s="438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  <c r="AL437" s="23"/>
      <c r="AM437" s="23"/>
      <c r="AN437" s="23"/>
      <c r="AO437" s="23"/>
      <c r="AP437" s="23"/>
      <c r="AQ437" s="23"/>
      <c r="AR437" s="23"/>
      <c r="AS437" s="23"/>
      <c r="AT437" s="23"/>
      <c r="AU437" s="23"/>
      <c r="AV437" s="23"/>
      <c r="AW437" s="23"/>
      <c r="AX437" s="23"/>
      <c r="AY437" s="23"/>
      <c r="AZ437" s="23"/>
      <c r="BA437" s="23"/>
      <c r="BB437" s="23"/>
      <c r="BC437" s="23"/>
      <c r="BD437" s="23"/>
      <c r="BE437" s="23"/>
      <c r="BF437" s="23"/>
      <c r="BG437" s="23"/>
      <c r="BH437" s="23"/>
      <c r="BI437" s="23"/>
      <c r="BJ437" s="23"/>
      <c r="BK437" s="23"/>
      <c r="BL437" s="23"/>
      <c r="BM437" s="23"/>
      <c r="BN437" s="23"/>
      <c r="BO437" s="23"/>
      <c r="BP437" s="23"/>
      <c r="BQ437" s="23"/>
      <c r="BR437" s="23"/>
      <c r="BS437" s="23"/>
      <c r="BT437" s="23"/>
      <c r="BU437" s="23"/>
      <c r="BV437" s="23"/>
      <c r="BW437" s="23"/>
      <c r="BX437" s="23"/>
      <c r="BY437" s="23"/>
      <c r="BZ437" s="23"/>
      <c r="CA437" s="23"/>
      <c r="CB437" s="23"/>
      <c r="CC437" s="23"/>
      <c r="CD437" s="23"/>
      <c r="CE437" s="23"/>
      <c r="CF437" s="23"/>
      <c r="CG437" s="23"/>
      <c r="CH437" s="23"/>
      <c r="CI437" s="23"/>
      <c r="CJ437" s="23"/>
      <c r="CK437" s="23"/>
      <c r="CL437" s="23"/>
      <c r="CM437" s="23"/>
      <c r="CN437" s="23"/>
      <c r="CO437" s="23"/>
      <c r="CP437" s="23"/>
      <c r="CQ437" s="23"/>
      <c r="CR437" s="23"/>
      <c r="CS437" s="23"/>
      <c r="CT437" s="23"/>
      <c r="CU437" s="23"/>
      <c r="CV437" s="23"/>
      <c r="CW437" s="23"/>
      <c r="CX437" s="23"/>
      <c r="CY437" s="23"/>
      <c r="CZ437" s="23"/>
      <c r="DA437" s="23"/>
      <c r="DB437" s="23"/>
      <c r="DC437" s="23"/>
      <c r="DD437" s="23"/>
      <c r="DE437" s="23"/>
      <c r="DF437" s="23"/>
      <c r="DG437" s="23"/>
      <c r="DH437" s="23"/>
      <c r="DI437" s="23"/>
      <c r="DJ437" s="23"/>
      <c r="DK437" s="23"/>
      <c r="DL437" s="23"/>
      <c r="DM437" s="23"/>
      <c r="DN437" s="23"/>
      <c r="DO437" s="23"/>
      <c r="DP437" s="23"/>
      <c r="DQ437" s="23"/>
      <c r="DR437" s="23"/>
      <c r="DS437" s="23"/>
      <c r="DT437" s="23"/>
      <c r="DU437" s="23"/>
      <c r="DV437" s="23"/>
      <c r="DW437" s="23"/>
      <c r="DX437" s="23"/>
      <c r="DY437" s="23"/>
      <c r="DZ437" s="23"/>
      <c r="EA437" s="23"/>
      <c r="EB437" s="23"/>
      <c r="EC437" s="23"/>
      <c r="ED437" s="23"/>
      <c r="EE437" s="23"/>
      <c r="EF437" s="23"/>
      <c r="EG437" s="23"/>
      <c r="EH437" s="23"/>
      <c r="EI437" s="23"/>
      <c r="EJ437" s="23"/>
      <c r="EK437" s="23"/>
      <c r="EL437" s="23"/>
      <c r="EM437" s="23"/>
      <c r="EN437" s="23"/>
      <c r="EO437" s="23"/>
      <c r="EP437" s="23"/>
      <c r="EQ437" s="23"/>
      <c r="ER437" s="23"/>
      <c r="ES437" s="23"/>
      <c r="ET437" s="23"/>
      <c r="EU437" s="23"/>
      <c r="EV437" s="23"/>
      <c r="EW437" s="23"/>
      <c r="EX437" s="23"/>
      <c r="EY437" s="23"/>
      <c r="EZ437" s="23"/>
      <c r="FA437" s="23"/>
      <c r="FB437" s="23"/>
      <c r="FC437" s="23"/>
      <c r="FD437" s="23"/>
      <c r="FE437" s="23"/>
      <c r="FF437" s="23"/>
      <c r="FG437" s="23"/>
      <c r="FH437" s="23"/>
      <c r="FI437" s="23"/>
      <c r="FJ437" s="23"/>
      <c r="FK437" s="23"/>
      <c r="FL437" s="23"/>
      <c r="FM437" s="23"/>
      <c r="FN437" s="23"/>
      <c r="FO437" s="23"/>
      <c r="FP437" s="23"/>
      <c r="FQ437" s="23"/>
      <c r="FR437" s="23"/>
      <c r="FS437" s="23"/>
      <c r="FT437" s="23"/>
      <c r="FU437" s="23"/>
      <c r="FV437" s="23"/>
      <c r="FW437" s="23"/>
      <c r="FX437" s="23"/>
      <c r="FY437" s="23"/>
      <c r="FZ437" s="23"/>
      <c r="GA437" s="23"/>
      <c r="GB437" s="23"/>
      <c r="GC437" s="23"/>
      <c r="GD437" s="23"/>
      <c r="GE437" s="23"/>
      <c r="GF437" s="23"/>
      <c r="GG437" s="23"/>
      <c r="GH437" s="23"/>
      <c r="GI437" s="23"/>
      <c r="GJ437" s="23"/>
      <c r="GK437" s="23"/>
      <c r="GL437" s="23"/>
    </row>
    <row r="438" spans="1:194" ht="13">
      <c r="A438" s="23"/>
      <c r="B438" s="23"/>
      <c r="C438" s="23"/>
      <c r="D438" s="23"/>
      <c r="E438" s="23"/>
      <c r="F438" s="23"/>
      <c r="G438" s="23"/>
      <c r="H438" s="401"/>
      <c r="I438" s="401"/>
      <c r="J438" s="401"/>
      <c r="K438" s="401"/>
      <c r="L438" s="401"/>
      <c r="M438" s="438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  <c r="AL438" s="23"/>
      <c r="AM438" s="23"/>
      <c r="AN438" s="23"/>
      <c r="AO438" s="23"/>
      <c r="AP438" s="23"/>
      <c r="AQ438" s="23"/>
      <c r="AR438" s="23"/>
      <c r="AS438" s="23"/>
      <c r="AT438" s="23"/>
      <c r="AU438" s="23"/>
      <c r="AV438" s="23"/>
      <c r="AW438" s="23"/>
      <c r="AX438" s="23"/>
      <c r="AY438" s="23"/>
      <c r="AZ438" s="23"/>
      <c r="BA438" s="23"/>
      <c r="BB438" s="23"/>
      <c r="BC438" s="23"/>
      <c r="BD438" s="23"/>
      <c r="BE438" s="23"/>
      <c r="BF438" s="23"/>
      <c r="BG438" s="23"/>
      <c r="BH438" s="23"/>
      <c r="BI438" s="23"/>
      <c r="BJ438" s="23"/>
      <c r="BK438" s="23"/>
      <c r="BL438" s="23"/>
      <c r="BM438" s="23"/>
      <c r="BN438" s="23"/>
      <c r="BO438" s="23"/>
      <c r="BP438" s="23"/>
      <c r="BQ438" s="23"/>
      <c r="BR438" s="23"/>
      <c r="BS438" s="23"/>
      <c r="BT438" s="23"/>
      <c r="BU438" s="23"/>
      <c r="BV438" s="23"/>
      <c r="BW438" s="23"/>
      <c r="BX438" s="23"/>
      <c r="BY438" s="23"/>
      <c r="BZ438" s="23"/>
      <c r="CA438" s="23"/>
      <c r="CB438" s="23"/>
      <c r="CC438" s="23"/>
      <c r="CD438" s="23"/>
      <c r="CE438" s="23"/>
      <c r="CF438" s="23"/>
      <c r="CG438" s="23"/>
      <c r="CH438" s="23"/>
      <c r="CI438" s="23"/>
      <c r="CJ438" s="23"/>
      <c r="CK438" s="23"/>
      <c r="CL438" s="23"/>
      <c r="CM438" s="23"/>
      <c r="CN438" s="23"/>
      <c r="CO438" s="23"/>
      <c r="CP438" s="23"/>
      <c r="CQ438" s="23"/>
      <c r="CR438" s="23"/>
      <c r="CS438" s="23"/>
      <c r="CT438" s="23"/>
      <c r="CU438" s="23"/>
      <c r="CV438" s="23"/>
      <c r="CW438" s="23"/>
      <c r="CX438" s="23"/>
      <c r="CY438" s="23"/>
      <c r="CZ438" s="23"/>
      <c r="DA438" s="23"/>
      <c r="DB438" s="23"/>
      <c r="DC438" s="23"/>
      <c r="DD438" s="23"/>
      <c r="DE438" s="23"/>
      <c r="DF438" s="23"/>
      <c r="DG438" s="23"/>
      <c r="DH438" s="23"/>
      <c r="DI438" s="23"/>
      <c r="DJ438" s="23"/>
      <c r="DK438" s="23"/>
      <c r="DL438" s="23"/>
      <c r="DM438" s="23"/>
      <c r="DN438" s="23"/>
      <c r="DO438" s="23"/>
      <c r="DP438" s="23"/>
      <c r="DQ438" s="23"/>
      <c r="DR438" s="23"/>
      <c r="DS438" s="23"/>
      <c r="DT438" s="23"/>
      <c r="DU438" s="23"/>
      <c r="DV438" s="23"/>
      <c r="DW438" s="23"/>
      <c r="DX438" s="23"/>
      <c r="DY438" s="23"/>
      <c r="DZ438" s="23"/>
      <c r="EA438" s="23"/>
      <c r="EB438" s="23"/>
      <c r="EC438" s="23"/>
      <c r="ED438" s="23"/>
      <c r="EE438" s="23"/>
      <c r="EF438" s="23"/>
      <c r="EG438" s="23"/>
      <c r="EH438" s="23"/>
      <c r="EI438" s="23"/>
      <c r="EJ438" s="23"/>
      <c r="EK438" s="23"/>
      <c r="EL438" s="23"/>
      <c r="EM438" s="23"/>
      <c r="EN438" s="23"/>
      <c r="EO438" s="23"/>
      <c r="EP438" s="23"/>
      <c r="EQ438" s="23"/>
      <c r="ER438" s="23"/>
      <c r="ES438" s="23"/>
      <c r="ET438" s="23"/>
      <c r="EU438" s="23"/>
      <c r="EV438" s="23"/>
      <c r="EW438" s="23"/>
      <c r="EX438" s="23"/>
      <c r="EY438" s="23"/>
      <c r="EZ438" s="23"/>
      <c r="FA438" s="23"/>
      <c r="FB438" s="23"/>
      <c r="FC438" s="23"/>
      <c r="FD438" s="23"/>
      <c r="FE438" s="23"/>
      <c r="FF438" s="23"/>
      <c r="FG438" s="23"/>
      <c r="FH438" s="23"/>
      <c r="FI438" s="23"/>
      <c r="FJ438" s="23"/>
      <c r="FK438" s="23"/>
      <c r="FL438" s="23"/>
      <c r="FM438" s="23"/>
      <c r="FN438" s="23"/>
      <c r="FO438" s="23"/>
      <c r="FP438" s="23"/>
      <c r="FQ438" s="23"/>
      <c r="FR438" s="23"/>
      <c r="FS438" s="23"/>
      <c r="FT438" s="23"/>
      <c r="FU438" s="23"/>
      <c r="FV438" s="23"/>
      <c r="FW438" s="23"/>
      <c r="FX438" s="23"/>
      <c r="FY438" s="23"/>
      <c r="FZ438" s="23"/>
      <c r="GA438" s="23"/>
      <c r="GB438" s="23"/>
      <c r="GC438" s="23"/>
      <c r="GD438" s="23"/>
      <c r="GE438" s="23"/>
      <c r="GF438" s="23"/>
      <c r="GG438" s="23"/>
      <c r="GH438" s="23"/>
      <c r="GI438" s="23"/>
      <c r="GJ438" s="23"/>
      <c r="GK438" s="23"/>
      <c r="GL438" s="23"/>
    </row>
    <row r="439" spans="1:194" ht="13">
      <c r="A439" s="23"/>
      <c r="B439" s="23"/>
      <c r="C439" s="23"/>
      <c r="D439" s="23"/>
      <c r="E439" s="23"/>
      <c r="F439" s="23"/>
      <c r="G439" s="23"/>
      <c r="H439" s="401"/>
      <c r="I439" s="401"/>
      <c r="J439" s="401"/>
      <c r="K439" s="401"/>
      <c r="L439" s="401"/>
      <c r="M439" s="438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  <c r="AL439" s="23"/>
      <c r="AM439" s="23"/>
      <c r="AN439" s="23"/>
      <c r="AO439" s="23"/>
      <c r="AP439" s="23"/>
      <c r="AQ439" s="23"/>
      <c r="AR439" s="23"/>
      <c r="AS439" s="23"/>
      <c r="AT439" s="23"/>
      <c r="AU439" s="23"/>
      <c r="AV439" s="23"/>
      <c r="AW439" s="23"/>
      <c r="AX439" s="23"/>
      <c r="AY439" s="23"/>
      <c r="AZ439" s="23"/>
      <c r="BA439" s="23"/>
      <c r="BB439" s="23"/>
      <c r="BC439" s="23"/>
      <c r="BD439" s="23"/>
      <c r="BE439" s="23"/>
      <c r="BF439" s="23"/>
      <c r="BG439" s="23"/>
      <c r="BH439" s="23"/>
      <c r="BI439" s="23"/>
      <c r="BJ439" s="23"/>
      <c r="BK439" s="23"/>
      <c r="BL439" s="23"/>
      <c r="BM439" s="23"/>
      <c r="BN439" s="23"/>
      <c r="BO439" s="23"/>
      <c r="BP439" s="23"/>
      <c r="BQ439" s="23"/>
      <c r="BR439" s="23"/>
      <c r="BS439" s="23"/>
      <c r="BT439" s="23"/>
      <c r="BU439" s="23"/>
      <c r="BV439" s="23"/>
      <c r="BW439" s="23"/>
      <c r="BX439" s="23"/>
      <c r="BY439" s="23"/>
      <c r="BZ439" s="23"/>
      <c r="CA439" s="23"/>
      <c r="CB439" s="23"/>
      <c r="CC439" s="23"/>
      <c r="CD439" s="23"/>
      <c r="CE439" s="23"/>
      <c r="CF439" s="23"/>
      <c r="CG439" s="23"/>
      <c r="CH439" s="23"/>
      <c r="CI439" s="23"/>
      <c r="CJ439" s="23"/>
      <c r="CK439" s="23"/>
      <c r="CL439" s="23"/>
      <c r="CM439" s="23"/>
      <c r="CN439" s="23"/>
      <c r="CO439" s="23"/>
      <c r="CP439" s="23"/>
      <c r="CQ439" s="23"/>
      <c r="CR439" s="23"/>
      <c r="CS439" s="23"/>
      <c r="CT439" s="23"/>
      <c r="CU439" s="23"/>
      <c r="CV439" s="23"/>
      <c r="CW439" s="23"/>
      <c r="CX439" s="23"/>
      <c r="CY439" s="23"/>
      <c r="CZ439" s="23"/>
      <c r="DA439" s="23"/>
      <c r="DB439" s="23"/>
      <c r="DC439" s="23"/>
      <c r="DD439" s="23"/>
      <c r="DE439" s="23"/>
      <c r="DF439" s="23"/>
      <c r="DG439" s="23"/>
      <c r="DH439" s="23"/>
      <c r="DI439" s="23"/>
      <c r="DJ439" s="23"/>
      <c r="DK439" s="23"/>
      <c r="DL439" s="23"/>
      <c r="DM439" s="23"/>
      <c r="DN439" s="23"/>
      <c r="DO439" s="23"/>
      <c r="DP439" s="23"/>
      <c r="DQ439" s="23"/>
      <c r="DR439" s="23"/>
      <c r="DS439" s="23"/>
      <c r="DT439" s="23"/>
      <c r="DU439" s="23"/>
      <c r="DV439" s="23"/>
      <c r="DW439" s="23"/>
      <c r="DX439" s="23"/>
      <c r="DY439" s="23"/>
      <c r="DZ439" s="23"/>
      <c r="EA439" s="23"/>
      <c r="EB439" s="23"/>
      <c r="EC439" s="23"/>
      <c r="ED439" s="23"/>
      <c r="EE439" s="23"/>
      <c r="EF439" s="23"/>
      <c r="EG439" s="23"/>
      <c r="EH439" s="23"/>
      <c r="EI439" s="23"/>
      <c r="EJ439" s="23"/>
      <c r="EK439" s="23"/>
      <c r="EL439" s="23"/>
      <c r="EM439" s="23"/>
      <c r="EN439" s="23"/>
      <c r="EO439" s="23"/>
      <c r="EP439" s="23"/>
      <c r="EQ439" s="23"/>
      <c r="ER439" s="23"/>
      <c r="ES439" s="23"/>
      <c r="ET439" s="23"/>
      <c r="EU439" s="23"/>
      <c r="EV439" s="23"/>
      <c r="EW439" s="23"/>
      <c r="EX439" s="23"/>
      <c r="EY439" s="23"/>
      <c r="EZ439" s="23"/>
      <c r="FA439" s="23"/>
      <c r="FB439" s="23"/>
      <c r="FC439" s="23"/>
      <c r="FD439" s="23"/>
      <c r="FE439" s="23"/>
      <c r="FF439" s="23"/>
      <c r="FG439" s="23"/>
      <c r="FH439" s="23"/>
      <c r="FI439" s="23"/>
      <c r="FJ439" s="23"/>
      <c r="FK439" s="23"/>
      <c r="FL439" s="23"/>
      <c r="FM439" s="23"/>
      <c r="FN439" s="23"/>
      <c r="FO439" s="23"/>
      <c r="FP439" s="23"/>
      <c r="FQ439" s="23"/>
      <c r="FR439" s="23"/>
      <c r="FS439" s="23"/>
      <c r="FT439" s="23"/>
      <c r="FU439" s="23"/>
      <c r="FV439" s="23"/>
      <c r="FW439" s="23"/>
      <c r="FX439" s="23"/>
      <c r="FY439" s="23"/>
      <c r="FZ439" s="23"/>
      <c r="GA439" s="23"/>
      <c r="GB439" s="23"/>
      <c r="GC439" s="23"/>
      <c r="GD439" s="23"/>
      <c r="GE439" s="23"/>
      <c r="GF439" s="23"/>
      <c r="GG439" s="23"/>
      <c r="GH439" s="23"/>
      <c r="GI439" s="23"/>
      <c r="GJ439" s="23"/>
      <c r="GK439" s="23"/>
      <c r="GL439" s="23"/>
    </row>
    <row r="440" spans="1:194" ht="13">
      <c r="A440" s="23"/>
      <c r="B440" s="23"/>
      <c r="C440" s="23"/>
      <c r="D440" s="23"/>
      <c r="E440" s="23"/>
      <c r="F440" s="23"/>
      <c r="G440" s="23"/>
      <c r="H440" s="401"/>
      <c r="I440" s="401"/>
      <c r="J440" s="401"/>
      <c r="K440" s="401"/>
      <c r="L440" s="401"/>
      <c r="M440" s="438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  <c r="AL440" s="23"/>
      <c r="AM440" s="23"/>
      <c r="AN440" s="23"/>
      <c r="AO440" s="23"/>
      <c r="AP440" s="23"/>
      <c r="AQ440" s="23"/>
      <c r="AR440" s="23"/>
      <c r="AS440" s="23"/>
      <c r="AT440" s="23"/>
      <c r="AU440" s="23"/>
      <c r="AV440" s="23"/>
      <c r="AW440" s="23"/>
      <c r="AX440" s="23"/>
      <c r="AY440" s="23"/>
      <c r="AZ440" s="23"/>
      <c r="BA440" s="23"/>
      <c r="BB440" s="23"/>
      <c r="BC440" s="23"/>
      <c r="BD440" s="23"/>
      <c r="BE440" s="23"/>
      <c r="BF440" s="23"/>
      <c r="BG440" s="23"/>
      <c r="BH440" s="23"/>
      <c r="BI440" s="23"/>
      <c r="BJ440" s="23"/>
      <c r="BK440" s="23"/>
      <c r="BL440" s="23"/>
      <c r="BM440" s="23"/>
      <c r="BN440" s="23"/>
      <c r="BO440" s="23"/>
      <c r="BP440" s="23"/>
      <c r="BQ440" s="23"/>
      <c r="BR440" s="23"/>
      <c r="BS440" s="23"/>
      <c r="BT440" s="23"/>
      <c r="BU440" s="23"/>
      <c r="BV440" s="23"/>
      <c r="BW440" s="23"/>
      <c r="BX440" s="23"/>
      <c r="BY440" s="23"/>
      <c r="BZ440" s="23"/>
      <c r="CA440" s="23"/>
      <c r="CB440" s="23"/>
      <c r="CC440" s="23"/>
      <c r="CD440" s="23"/>
      <c r="CE440" s="23"/>
      <c r="CF440" s="23"/>
      <c r="CG440" s="23"/>
      <c r="CH440" s="23"/>
      <c r="CI440" s="23"/>
      <c r="CJ440" s="23"/>
      <c r="CK440" s="23"/>
      <c r="CL440" s="23"/>
      <c r="CM440" s="23"/>
      <c r="CN440" s="23"/>
      <c r="CO440" s="23"/>
      <c r="CP440" s="23"/>
      <c r="CQ440" s="23"/>
      <c r="CR440" s="23"/>
      <c r="CS440" s="23"/>
      <c r="CT440" s="23"/>
      <c r="CU440" s="23"/>
      <c r="CV440" s="23"/>
      <c r="CW440" s="23"/>
      <c r="CX440" s="23"/>
      <c r="CY440" s="23"/>
      <c r="CZ440" s="23"/>
      <c r="DA440" s="23"/>
      <c r="DB440" s="23"/>
      <c r="DC440" s="23"/>
      <c r="DD440" s="23"/>
      <c r="DE440" s="23"/>
      <c r="DF440" s="23"/>
      <c r="DG440" s="23"/>
      <c r="DH440" s="23"/>
      <c r="DI440" s="23"/>
      <c r="DJ440" s="23"/>
      <c r="DK440" s="23"/>
      <c r="DL440" s="23"/>
      <c r="DM440" s="23"/>
      <c r="DN440" s="23"/>
      <c r="DO440" s="23"/>
      <c r="DP440" s="23"/>
      <c r="DQ440" s="23"/>
      <c r="DR440" s="23"/>
      <c r="DS440" s="23"/>
      <c r="DT440" s="23"/>
      <c r="DU440" s="23"/>
      <c r="DV440" s="23"/>
      <c r="DW440" s="23"/>
      <c r="DX440" s="23"/>
      <c r="DY440" s="23"/>
      <c r="DZ440" s="23"/>
      <c r="EA440" s="23"/>
      <c r="EB440" s="23"/>
      <c r="EC440" s="23"/>
      <c r="ED440" s="23"/>
      <c r="EE440" s="23"/>
      <c r="EF440" s="23"/>
      <c r="EG440" s="23"/>
      <c r="EH440" s="23"/>
      <c r="EI440" s="23"/>
      <c r="EJ440" s="23"/>
      <c r="EK440" s="23"/>
      <c r="EL440" s="23"/>
      <c r="EM440" s="23"/>
      <c r="EN440" s="23"/>
      <c r="EO440" s="23"/>
      <c r="EP440" s="23"/>
      <c r="EQ440" s="23"/>
      <c r="ER440" s="23"/>
      <c r="ES440" s="23"/>
      <c r="ET440" s="23"/>
      <c r="EU440" s="23"/>
      <c r="EV440" s="23"/>
      <c r="EW440" s="23"/>
      <c r="EX440" s="23"/>
      <c r="EY440" s="23"/>
      <c r="EZ440" s="23"/>
      <c r="FA440" s="23"/>
      <c r="FB440" s="23"/>
      <c r="FC440" s="23"/>
      <c r="FD440" s="23"/>
      <c r="FE440" s="23"/>
      <c r="FF440" s="23"/>
      <c r="FG440" s="23"/>
      <c r="FH440" s="23"/>
      <c r="FI440" s="23"/>
      <c r="FJ440" s="23"/>
      <c r="FK440" s="23"/>
      <c r="FL440" s="23"/>
      <c r="FM440" s="23"/>
      <c r="FN440" s="23"/>
      <c r="FO440" s="23"/>
      <c r="FP440" s="23"/>
      <c r="FQ440" s="23"/>
      <c r="FR440" s="23"/>
      <c r="FS440" s="23"/>
      <c r="FT440" s="23"/>
      <c r="FU440" s="23"/>
      <c r="FV440" s="23"/>
      <c r="FW440" s="23"/>
      <c r="FX440" s="23"/>
      <c r="FY440" s="23"/>
      <c r="FZ440" s="23"/>
      <c r="GA440" s="23"/>
      <c r="GB440" s="23"/>
      <c r="GC440" s="23"/>
      <c r="GD440" s="23"/>
      <c r="GE440" s="23"/>
      <c r="GF440" s="23"/>
      <c r="GG440" s="23"/>
      <c r="GH440" s="23"/>
      <c r="GI440" s="23"/>
      <c r="GJ440" s="23"/>
      <c r="GK440" s="23"/>
      <c r="GL440" s="23"/>
    </row>
    <row r="441" spans="1:194" ht="13">
      <c r="A441" s="23"/>
      <c r="B441" s="23"/>
      <c r="C441" s="23"/>
      <c r="D441" s="23"/>
      <c r="E441" s="23"/>
      <c r="F441" s="23"/>
      <c r="G441" s="23"/>
      <c r="H441" s="401"/>
      <c r="I441" s="401"/>
      <c r="J441" s="401"/>
      <c r="K441" s="401"/>
      <c r="L441" s="401"/>
      <c r="M441" s="438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  <c r="AL441" s="23"/>
      <c r="AM441" s="23"/>
      <c r="AN441" s="23"/>
      <c r="AO441" s="23"/>
      <c r="AP441" s="23"/>
      <c r="AQ441" s="23"/>
      <c r="AR441" s="23"/>
      <c r="AS441" s="23"/>
      <c r="AT441" s="23"/>
      <c r="AU441" s="23"/>
      <c r="AV441" s="23"/>
      <c r="AW441" s="23"/>
      <c r="AX441" s="23"/>
      <c r="AY441" s="23"/>
      <c r="AZ441" s="23"/>
      <c r="BA441" s="23"/>
      <c r="BB441" s="23"/>
      <c r="BC441" s="23"/>
      <c r="BD441" s="23"/>
      <c r="BE441" s="23"/>
      <c r="BF441" s="23"/>
      <c r="BG441" s="23"/>
      <c r="BH441" s="23"/>
      <c r="BI441" s="23"/>
      <c r="BJ441" s="23"/>
      <c r="BK441" s="23"/>
      <c r="BL441" s="23"/>
      <c r="BM441" s="23"/>
      <c r="BN441" s="23"/>
      <c r="BO441" s="23"/>
      <c r="BP441" s="23"/>
      <c r="BQ441" s="23"/>
      <c r="BR441" s="23"/>
      <c r="BS441" s="23"/>
      <c r="BT441" s="23"/>
      <c r="BU441" s="23"/>
      <c r="BV441" s="23"/>
      <c r="BW441" s="23"/>
      <c r="BX441" s="23"/>
      <c r="BY441" s="23"/>
      <c r="BZ441" s="23"/>
      <c r="CA441" s="23"/>
      <c r="CB441" s="23"/>
      <c r="CC441" s="23"/>
      <c r="CD441" s="23"/>
      <c r="CE441" s="23"/>
      <c r="CF441" s="23"/>
      <c r="CG441" s="23"/>
      <c r="CH441" s="23"/>
      <c r="CI441" s="23"/>
      <c r="CJ441" s="23"/>
      <c r="CK441" s="23"/>
      <c r="CL441" s="23"/>
      <c r="CM441" s="23"/>
      <c r="CN441" s="23"/>
      <c r="CO441" s="23"/>
      <c r="CP441" s="23"/>
      <c r="CQ441" s="23"/>
      <c r="CR441" s="23"/>
      <c r="CS441" s="23"/>
      <c r="CT441" s="23"/>
      <c r="CU441" s="23"/>
      <c r="CV441" s="23"/>
      <c r="CW441" s="23"/>
      <c r="CX441" s="23"/>
      <c r="CY441" s="23"/>
      <c r="CZ441" s="23"/>
      <c r="DA441" s="23"/>
      <c r="DB441" s="23"/>
      <c r="DC441" s="23"/>
      <c r="DD441" s="23"/>
      <c r="DE441" s="23"/>
      <c r="DF441" s="23"/>
      <c r="DG441" s="23"/>
      <c r="DH441" s="23"/>
      <c r="DI441" s="23"/>
      <c r="DJ441" s="23"/>
      <c r="DK441" s="23"/>
      <c r="DL441" s="23"/>
      <c r="DM441" s="23"/>
      <c r="DN441" s="23"/>
      <c r="DO441" s="23"/>
      <c r="DP441" s="23"/>
      <c r="DQ441" s="23"/>
      <c r="DR441" s="23"/>
      <c r="DS441" s="23"/>
      <c r="DT441" s="23"/>
      <c r="DU441" s="23"/>
      <c r="DV441" s="23"/>
      <c r="DW441" s="23"/>
      <c r="DX441" s="23"/>
      <c r="DY441" s="23"/>
      <c r="DZ441" s="23"/>
      <c r="EA441" s="23"/>
      <c r="EB441" s="23"/>
      <c r="EC441" s="23"/>
      <c r="ED441" s="23"/>
      <c r="EE441" s="23"/>
      <c r="EF441" s="23"/>
      <c r="EG441" s="23"/>
      <c r="EH441" s="23"/>
      <c r="EI441" s="23"/>
      <c r="EJ441" s="23"/>
      <c r="EK441" s="23"/>
      <c r="EL441" s="23"/>
      <c r="EM441" s="23"/>
      <c r="EN441" s="23"/>
      <c r="EO441" s="23"/>
      <c r="EP441" s="23"/>
      <c r="EQ441" s="23"/>
      <c r="ER441" s="23"/>
      <c r="ES441" s="23"/>
      <c r="ET441" s="23"/>
      <c r="EU441" s="23"/>
      <c r="EV441" s="23"/>
      <c r="EW441" s="23"/>
      <c r="EX441" s="23"/>
      <c r="EY441" s="23"/>
      <c r="EZ441" s="23"/>
      <c r="FA441" s="23"/>
      <c r="FB441" s="23"/>
      <c r="FC441" s="23"/>
      <c r="FD441" s="23"/>
      <c r="FE441" s="23"/>
      <c r="FF441" s="23"/>
      <c r="FG441" s="23"/>
      <c r="FH441" s="23"/>
      <c r="FI441" s="23"/>
      <c r="FJ441" s="23"/>
      <c r="FK441" s="23"/>
      <c r="FL441" s="23"/>
      <c r="FM441" s="23"/>
      <c r="FN441" s="23"/>
      <c r="FO441" s="23"/>
      <c r="FP441" s="23"/>
      <c r="FQ441" s="23"/>
      <c r="FR441" s="23"/>
      <c r="FS441" s="23"/>
      <c r="FT441" s="23"/>
      <c r="FU441" s="23"/>
      <c r="FV441" s="23"/>
      <c r="FW441" s="23"/>
      <c r="FX441" s="23"/>
      <c r="FY441" s="23"/>
      <c r="FZ441" s="23"/>
      <c r="GA441" s="23"/>
      <c r="GB441" s="23"/>
      <c r="GC441" s="23"/>
      <c r="GD441" s="23"/>
      <c r="GE441" s="23"/>
      <c r="GF441" s="23"/>
      <c r="GG441" s="23"/>
      <c r="GH441" s="23"/>
      <c r="GI441" s="23"/>
      <c r="GJ441" s="23"/>
      <c r="GK441" s="23"/>
      <c r="GL441" s="23"/>
    </row>
    <row r="442" spans="1:194" ht="13">
      <c r="A442" s="23"/>
      <c r="B442" s="23"/>
      <c r="C442" s="23"/>
      <c r="D442" s="23"/>
      <c r="E442" s="23"/>
      <c r="F442" s="23"/>
      <c r="G442" s="23"/>
      <c r="H442" s="401"/>
      <c r="I442" s="401"/>
      <c r="J442" s="401"/>
      <c r="K442" s="401"/>
      <c r="L442" s="401"/>
      <c r="M442" s="438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  <c r="AV442" s="23"/>
      <c r="AW442" s="23"/>
      <c r="AX442" s="23"/>
      <c r="AY442" s="23"/>
      <c r="AZ442" s="23"/>
      <c r="BA442" s="23"/>
      <c r="BB442" s="23"/>
      <c r="BC442" s="23"/>
      <c r="BD442" s="23"/>
      <c r="BE442" s="23"/>
      <c r="BF442" s="23"/>
      <c r="BG442" s="23"/>
      <c r="BH442" s="23"/>
      <c r="BI442" s="23"/>
      <c r="BJ442" s="23"/>
      <c r="BK442" s="23"/>
      <c r="BL442" s="23"/>
      <c r="BM442" s="23"/>
      <c r="BN442" s="23"/>
      <c r="BO442" s="23"/>
      <c r="BP442" s="23"/>
      <c r="BQ442" s="23"/>
      <c r="BR442" s="23"/>
      <c r="BS442" s="23"/>
      <c r="BT442" s="23"/>
      <c r="BU442" s="23"/>
      <c r="BV442" s="23"/>
      <c r="BW442" s="23"/>
      <c r="BX442" s="23"/>
      <c r="BY442" s="23"/>
      <c r="BZ442" s="23"/>
      <c r="CA442" s="23"/>
      <c r="CB442" s="23"/>
      <c r="CC442" s="23"/>
      <c r="CD442" s="23"/>
      <c r="CE442" s="23"/>
      <c r="CF442" s="23"/>
      <c r="CG442" s="23"/>
      <c r="CH442" s="23"/>
      <c r="CI442" s="23"/>
      <c r="CJ442" s="23"/>
      <c r="CK442" s="23"/>
      <c r="CL442" s="23"/>
      <c r="CM442" s="23"/>
      <c r="CN442" s="23"/>
      <c r="CO442" s="23"/>
      <c r="CP442" s="23"/>
      <c r="CQ442" s="23"/>
      <c r="CR442" s="23"/>
      <c r="CS442" s="23"/>
      <c r="CT442" s="23"/>
      <c r="CU442" s="23"/>
      <c r="CV442" s="23"/>
      <c r="CW442" s="23"/>
      <c r="CX442" s="23"/>
      <c r="CY442" s="23"/>
      <c r="CZ442" s="23"/>
      <c r="DA442" s="23"/>
      <c r="DB442" s="23"/>
      <c r="DC442" s="23"/>
      <c r="DD442" s="23"/>
      <c r="DE442" s="23"/>
      <c r="DF442" s="23"/>
      <c r="DG442" s="23"/>
      <c r="DH442" s="23"/>
      <c r="DI442" s="23"/>
      <c r="DJ442" s="23"/>
      <c r="DK442" s="23"/>
      <c r="DL442" s="23"/>
      <c r="DM442" s="23"/>
      <c r="DN442" s="23"/>
      <c r="DO442" s="23"/>
      <c r="DP442" s="23"/>
      <c r="DQ442" s="23"/>
      <c r="DR442" s="23"/>
      <c r="DS442" s="23"/>
      <c r="DT442" s="23"/>
      <c r="DU442" s="23"/>
      <c r="DV442" s="23"/>
      <c r="DW442" s="23"/>
      <c r="DX442" s="23"/>
      <c r="DY442" s="23"/>
      <c r="DZ442" s="23"/>
      <c r="EA442" s="23"/>
      <c r="EB442" s="23"/>
      <c r="EC442" s="23"/>
      <c r="ED442" s="23"/>
      <c r="EE442" s="23"/>
      <c r="EF442" s="23"/>
      <c r="EG442" s="23"/>
      <c r="EH442" s="23"/>
      <c r="EI442" s="23"/>
      <c r="EJ442" s="23"/>
      <c r="EK442" s="23"/>
      <c r="EL442" s="23"/>
      <c r="EM442" s="23"/>
      <c r="EN442" s="23"/>
      <c r="EO442" s="23"/>
      <c r="EP442" s="23"/>
      <c r="EQ442" s="23"/>
      <c r="ER442" s="23"/>
      <c r="ES442" s="23"/>
      <c r="ET442" s="23"/>
      <c r="EU442" s="23"/>
      <c r="EV442" s="23"/>
      <c r="EW442" s="23"/>
      <c r="EX442" s="23"/>
      <c r="EY442" s="23"/>
      <c r="EZ442" s="23"/>
      <c r="FA442" s="23"/>
      <c r="FB442" s="23"/>
      <c r="FC442" s="23"/>
      <c r="FD442" s="23"/>
      <c r="FE442" s="23"/>
      <c r="FF442" s="23"/>
      <c r="FG442" s="23"/>
      <c r="FH442" s="23"/>
      <c r="FI442" s="23"/>
      <c r="FJ442" s="23"/>
      <c r="FK442" s="23"/>
      <c r="FL442" s="23"/>
      <c r="FM442" s="23"/>
      <c r="FN442" s="23"/>
      <c r="FO442" s="23"/>
      <c r="FP442" s="23"/>
      <c r="FQ442" s="23"/>
      <c r="FR442" s="23"/>
      <c r="FS442" s="23"/>
      <c r="FT442" s="23"/>
      <c r="FU442" s="23"/>
      <c r="FV442" s="23"/>
      <c r="FW442" s="23"/>
      <c r="FX442" s="23"/>
      <c r="FY442" s="23"/>
      <c r="FZ442" s="23"/>
      <c r="GA442" s="23"/>
      <c r="GB442" s="23"/>
      <c r="GC442" s="23"/>
      <c r="GD442" s="23"/>
      <c r="GE442" s="23"/>
      <c r="GF442" s="23"/>
      <c r="GG442" s="23"/>
      <c r="GH442" s="23"/>
      <c r="GI442" s="23"/>
      <c r="GJ442" s="23"/>
      <c r="GK442" s="23"/>
      <c r="GL442" s="23"/>
    </row>
    <row r="443" spans="1:194" ht="13">
      <c r="A443" s="23"/>
      <c r="B443" s="23"/>
      <c r="C443" s="23"/>
      <c r="D443" s="23"/>
      <c r="E443" s="23"/>
      <c r="F443" s="23"/>
      <c r="G443" s="23"/>
      <c r="H443" s="401"/>
      <c r="I443" s="401"/>
      <c r="J443" s="401"/>
      <c r="K443" s="401"/>
      <c r="L443" s="401"/>
      <c r="M443" s="438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  <c r="AL443" s="23"/>
      <c r="AM443" s="23"/>
      <c r="AN443" s="23"/>
      <c r="AO443" s="23"/>
      <c r="AP443" s="23"/>
      <c r="AQ443" s="23"/>
      <c r="AR443" s="23"/>
      <c r="AS443" s="23"/>
      <c r="AT443" s="23"/>
      <c r="AU443" s="23"/>
      <c r="AV443" s="23"/>
      <c r="AW443" s="23"/>
      <c r="AX443" s="23"/>
      <c r="AY443" s="23"/>
      <c r="AZ443" s="23"/>
      <c r="BA443" s="23"/>
      <c r="BB443" s="23"/>
      <c r="BC443" s="23"/>
      <c r="BD443" s="23"/>
      <c r="BE443" s="23"/>
      <c r="BF443" s="23"/>
      <c r="BG443" s="23"/>
      <c r="BH443" s="23"/>
      <c r="BI443" s="23"/>
      <c r="BJ443" s="23"/>
      <c r="BK443" s="23"/>
      <c r="BL443" s="23"/>
      <c r="BM443" s="23"/>
      <c r="BN443" s="23"/>
      <c r="BO443" s="23"/>
      <c r="BP443" s="23"/>
      <c r="BQ443" s="23"/>
      <c r="BR443" s="23"/>
      <c r="BS443" s="23"/>
      <c r="BT443" s="23"/>
      <c r="BU443" s="23"/>
      <c r="BV443" s="23"/>
      <c r="BW443" s="23"/>
      <c r="BX443" s="23"/>
      <c r="BY443" s="23"/>
      <c r="BZ443" s="23"/>
      <c r="CA443" s="23"/>
      <c r="CB443" s="23"/>
      <c r="CC443" s="23"/>
      <c r="CD443" s="23"/>
      <c r="CE443" s="23"/>
      <c r="CF443" s="23"/>
      <c r="CG443" s="23"/>
      <c r="CH443" s="23"/>
      <c r="CI443" s="23"/>
      <c r="CJ443" s="23"/>
      <c r="CK443" s="23"/>
      <c r="CL443" s="23"/>
      <c r="CM443" s="23"/>
      <c r="CN443" s="23"/>
      <c r="CO443" s="23"/>
      <c r="CP443" s="23"/>
      <c r="CQ443" s="23"/>
      <c r="CR443" s="23"/>
      <c r="CS443" s="23"/>
      <c r="CT443" s="23"/>
      <c r="CU443" s="23"/>
      <c r="CV443" s="23"/>
      <c r="CW443" s="23"/>
      <c r="CX443" s="23"/>
      <c r="CY443" s="23"/>
      <c r="CZ443" s="23"/>
      <c r="DA443" s="23"/>
      <c r="DB443" s="23"/>
      <c r="DC443" s="23"/>
      <c r="DD443" s="23"/>
      <c r="DE443" s="23"/>
      <c r="DF443" s="23"/>
      <c r="DG443" s="23"/>
      <c r="DH443" s="23"/>
      <c r="DI443" s="23"/>
      <c r="DJ443" s="23"/>
      <c r="DK443" s="23"/>
      <c r="DL443" s="23"/>
      <c r="DM443" s="23"/>
      <c r="DN443" s="23"/>
      <c r="DO443" s="23"/>
      <c r="DP443" s="23"/>
      <c r="DQ443" s="23"/>
      <c r="DR443" s="23"/>
      <c r="DS443" s="23"/>
      <c r="DT443" s="23"/>
      <c r="DU443" s="23"/>
      <c r="DV443" s="23"/>
      <c r="DW443" s="23"/>
      <c r="DX443" s="23"/>
      <c r="DY443" s="23"/>
      <c r="DZ443" s="23"/>
      <c r="EA443" s="23"/>
      <c r="EB443" s="23"/>
      <c r="EC443" s="23"/>
      <c r="ED443" s="23"/>
      <c r="EE443" s="23"/>
      <c r="EF443" s="23"/>
      <c r="EG443" s="23"/>
      <c r="EH443" s="23"/>
      <c r="EI443" s="23"/>
      <c r="EJ443" s="23"/>
      <c r="EK443" s="23"/>
      <c r="EL443" s="23"/>
      <c r="EM443" s="23"/>
      <c r="EN443" s="23"/>
      <c r="EO443" s="23"/>
      <c r="EP443" s="23"/>
      <c r="EQ443" s="23"/>
      <c r="ER443" s="23"/>
      <c r="ES443" s="23"/>
      <c r="ET443" s="23"/>
      <c r="EU443" s="23"/>
      <c r="EV443" s="23"/>
      <c r="EW443" s="23"/>
      <c r="EX443" s="23"/>
      <c r="EY443" s="23"/>
      <c r="EZ443" s="23"/>
      <c r="FA443" s="23"/>
      <c r="FB443" s="23"/>
      <c r="FC443" s="23"/>
      <c r="FD443" s="23"/>
      <c r="FE443" s="23"/>
      <c r="FF443" s="23"/>
      <c r="FG443" s="23"/>
      <c r="FH443" s="23"/>
      <c r="FI443" s="23"/>
      <c r="FJ443" s="23"/>
      <c r="FK443" s="23"/>
      <c r="FL443" s="23"/>
      <c r="FM443" s="23"/>
      <c r="FN443" s="23"/>
      <c r="FO443" s="23"/>
      <c r="FP443" s="23"/>
      <c r="FQ443" s="23"/>
      <c r="FR443" s="23"/>
      <c r="FS443" s="23"/>
      <c r="FT443" s="23"/>
      <c r="FU443" s="23"/>
      <c r="FV443" s="23"/>
      <c r="FW443" s="23"/>
      <c r="FX443" s="23"/>
      <c r="FY443" s="23"/>
      <c r="FZ443" s="23"/>
      <c r="GA443" s="23"/>
      <c r="GB443" s="23"/>
      <c r="GC443" s="23"/>
      <c r="GD443" s="23"/>
      <c r="GE443" s="23"/>
      <c r="GF443" s="23"/>
      <c r="GG443" s="23"/>
      <c r="GH443" s="23"/>
      <c r="GI443" s="23"/>
      <c r="GJ443" s="23"/>
      <c r="GK443" s="23"/>
      <c r="GL443" s="23"/>
    </row>
    <row r="444" spans="1:194" ht="13">
      <c r="A444" s="23"/>
      <c r="B444" s="23"/>
      <c r="C444" s="23"/>
      <c r="D444" s="23"/>
      <c r="E444" s="23"/>
      <c r="F444" s="23"/>
      <c r="G444" s="23"/>
      <c r="H444" s="401"/>
      <c r="I444" s="401"/>
      <c r="J444" s="401"/>
      <c r="K444" s="401"/>
      <c r="L444" s="401"/>
      <c r="M444" s="438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  <c r="AL444" s="23"/>
      <c r="AM444" s="23"/>
      <c r="AN444" s="23"/>
      <c r="AO444" s="23"/>
      <c r="AP444" s="23"/>
      <c r="AQ444" s="23"/>
      <c r="AR444" s="23"/>
      <c r="AS444" s="23"/>
      <c r="AT444" s="23"/>
      <c r="AU444" s="23"/>
      <c r="AV444" s="23"/>
      <c r="AW444" s="23"/>
      <c r="AX444" s="23"/>
      <c r="AY444" s="23"/>
      <c r="AZ444" s="23"/>
      <c r="BA444" s="23"/>
      <c r="BB444" s="23"/>
      <c r="BC444" s="23"/>
      <c r="BD444" s="23"/>
      <c r="BE444" s="23"/>
      <c r="BF444" s="23"/>
      <c r="BG444" s="23"/>
      <c r="BH444" s="23"/>
      <c r="BI444" s="23"/>
      <c r="BJ444" s="23"/>
      <c r="BK444" s="23"/>
      <c r="BL444" s="23"/>
      <c r="BM444" s="23"/>
      <c r="BN444" s="23"/>
      <c r="BO444" s="23"/>
      <c r="BP444" s="23"/>
      <c r="BQ444" s="23"/>
      <c r="BR444" s="23"/>
      <c r="BS444" s="23"/>
      <c r="BT444" s="23"/>
      <c r="BU444" s="23"/>
      <c r="BV444" s="23"/>
      <c r="BW444" s="23"/>
      <c r="BX444" s="23"/>
      <c r="BY444" s="23"/>
      <c r="BZ444" s="23"/>
      <c r="CA444" s="23"/>
      <c r="CB444" s="23"/>
      <c r="CC444" s="23"/>
      <c r="CD444" s="23"/>
      <c r="CE444" s="23"/>
      <c r="CF444" s="23"/>
      <c r="CG444" s="23"/>
      <c r="CH444" s="23"/>
      <c r="CI444" s="23"/>
      <c r="CJ444" s="23"/>
      <c r="CK444" s="23"/>
      <c r="CL444" s="23"/>
      <c r="CM444" s="23"/>
      <c r="CN444" s="23"/>
      <c r="CO444" s="23"/>
      <c r="CP444" s="23"/>
      <c r="CQ444" s="23"/>
      <c r="CR444" s="23"/>
      <c r="CS444" s="23"/>
      <c r="CT444" s="23"/>
      <c r="CU444" s="23"/>
      <c r="CV444" s="23"/>
      <c r="CW444" s="23"/>
      <c r="CX444" s="23"/>
      <c r="CY444" s="23"/>
      <c r="CZ444" s="23"/>
      <c r="DA444" s="23"/>
      <c r="DB444" s="23"/>
      <c r="DC444" s="23"/>
      <c r="DD444" s="23"/>
      <c r="DE444" s="23"/>
      <c r="DF444" s="23"/>
      <c r="DG444" s="23"/>
      <c r="DH444" s="23"/>
      <c r="DI444" s="23"/>
      <c r="DJ444" s="23"/>
      <c r="DK444" s="23"/>
      <c r="DL444" s="23"/>
      <c r="DM444" s="23"/>
      <c r="DN444" s="23"/>
      <c r="DO444" s="23"/>
      <c r="DP444" s="23"/>
      <c r="DQ444" s="23"/>
      <c r="DR444" s="23"/>
      <c r="DS444" s="23"/>
      <c r="DT444" s="23"/>
      <c r="DU444" s="23"/>
      <c r="DV444" s="23"/>
      <c r="DW444" s="23"/>
      <c r="DX444" s="23"/>
      <c r="DY444" s="23"/>
      <c r="DZ444" s="23"/>
      <c r="EA444" s="23"/>
      <c r="EB444" s="23"/>
      <c r="EC444" s="23"/>
      <c r="ED444" s="23"/>
      <c r="EE444" s="23"/>
      <c r="EF444" s="23"/>
      <c r="EG444" s="23"/>
      <c r="EH444" s="23"/>
      <c r="EI444" s="23"/>
      <c r="EJ444" s="23"/>
      <c r="EK444" s="23"/>
      <c r="EL444" s="23"/>
      <c r="EM444" s="23"/>
      <c r="EN444" s="23"/>
      <c r="EO444" s="23"/>
      <c r="EP444" s="23"/>
      <c r="EQ444" s="23"/>
      <c r="ER444" s="23"/>
      <c r="ES444" s="23"/>
      <c r="ET444" s="23"/>
      <c r="EU444" s="23"/>
      <c r="EV444" s="23"/>
      <c r="EW444" s="23"/>
      <c r="EX444" s="23"/>
      <c r="EY444" s="23"/>
      <c r="EZ444" s="23"/>
      <c r="FA444" s="23"/>
      <c r="FB444" s="23"/>
      <c r="FC444" s="23"/>
      <c r="FD444" s="23"/>
      <c r="FE444" s="23"/>
      <c r="FF444" s="23"/>
      <c r="FG444" s="23"/>
      <c r="FH444" s="23"/>
      <c r="FI444" s="23"/>
      <c r="FJ444" s="23"/>
      <c r="FK444" s="23"/>
      <c r="FL444" s="23"/>
      <c r="FM444" s="23"/>
      <c r="FN444" s="23"/>
      <c r="FO444" s="23"/>
      <c r="FP444" s="23"/>
      <c r="FQ444" s="23"/>
      <c r="FR444" s="23"/>
      <c r="FS444" s="23"/>
      <c r="FT444" s="23"/>
      <c r="FU444" s="23"/>
      <c r="FV444" s="23"/>
      <c r="FW444" s="23"/>
      <c r="FX444" s="23"/>
      <c r="FY444" s="23"/>
      <c r="FZ444" s="23"/>
      <c r="GA444" s="23"/>
      <c r="GB444" s="23"/>
      <c r="GC444" s="23"/>
      <c r="GD444" s="23"/>
      <c r="GE444" s="23"/>
      <c r="GF444" s="23"/>
      <c r="GG444" s="23"/>
      <c r="GH444" s="23"/>
      <c r="GI444" s="23"/>
      <c r="GJ444" s="23"/>
      <c r="GK444" s="23"/>
      <c r="GL444" s="23"/>
    </row>
    <row r="445" spans="1:194" ht="13">
      <c r="A445" s="23"/>
      <c r="B445" s="23"/>
      <c r="C445" s="23"/>
      <c r="D445" s="23"/>
      <c r="E445" s="23"/>
      <c r="F445" s="23"/>
      <c r="G445" s="23"/>
      <c r="H445" s="401"/>
      <c r="I445" s="401"/>
      <c r="J445" s="401"/>
      <c r="K445" s="401"/>
      <c r="L445" s="401"/>
      <c r="M445" s="438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  <c r="AL445" s="23"/>
      <c r="AM445" s="23"/>
      <c r="AN445" s="23"/>
      <c r="AO445" s="23"/>
      <c r="AP445" s="23"/>
      <c r="AQ445" s="23"/>
      <c r="AR445" s="23"/>
      <c r="AS445" s="23"/>
      <c r="AT445" s="23"/>
      <c r="AU445" s="23"/>
      <c r="AV445" s="23"/>
      <c r="AW445" s="23"/>
      <c r="AX445" s="23"/>
      <c r="AY445" s="23"/>
      <c r="AZ445" s="23"/>
      <c r="BA445" s="23"/>
      <c r="BB445" s="23"/>
      <c r="BC445" s="23"/>
      <c r="BD445" s="23"/>
      <c r="BE445" s="23"/>
      <c r="BF445" s="23"/>
      <c r="BG445" s="23"/>
      <c r="BH445" s="23"/>
      <c r="BI445" s="23"/>
      <c r="BJ445" s="23"/>
      <c r="BK445" s="23"/>
      <c r="BL445" s="23"/>
      <c r="BM445" s="23"/>
      <c r="BN445" s="23"/>
      <c r="BO445" s="23"/>
      <c r="BP445" s="23"/>
      <c r="BQ445" s="23"/>
      <c r="BR445" s="23"/>
      <c r="BS445" s="23"/>
      <c r="BT445" s="23"/>
      <c r="BU445" s="23"/>
      <c r="BV445" s="23"/>
      <c r="BW445" s="23"/>
      <c r="BX445" s="23"/>
      <c r="BY445" s="23"/>
      <c r="BZ445" s="23"/>
      <c r="CA445" s="23"/>
      <c r="CB445" s="23"/>
      <c r="CC445" s="23"/>
      <c r="CD445" s="23"/>
      <c r="CE445" s="23"/>
      <c r="CF445" s="23"/>
      <c r="CG445" s="23"/>
      <c r="CH445" s="23"/>
      <c r="CI445" s="23"/>
      <c r="CJ445" s="23"/>
      <c r="CK445" s="23"/>
      <c r="CL445" s="23"/>
      <c r="CM445" s="23"/>
      <c r="CN445" s="23"/>
      <c r="CO445" s="23"/>
      <c r="CP445" s="23"/>
      <c r="CQ445" s="23"/>
      <c r="CR445" s="23"/>
      <c r="CS445" s="23"/>
      <c r="CT445" s="23"/>
      <c r="CU445" s="23"/>
      <c r="CV445" s="23"/>
      <c r="CW445" s="23"/>
      <c r="CX445" s="23"/>
      <c r="CY445" s="23"/>
      <c r="CZ445" s="23"/>
      <c r="DA445" s="23"/>
      <c r="DB445" s="23"/>
      <c r="DC445" s="23"/>
      <c r="DD445" s="23"/>
      <c r="DE445" s="23"/>
      <c r="DF445" s="23"/>
      <c r="DG445" s="23"/>
      <c r="DH445" s="23"/>
      <c r="DI445" s="23"/>
      <c r="DJ445" s="23"/>
      <c r="DK445" s="23"/>
      <c r="DL445" s="23"/>
      <c r="DM445" s="23"/>
      <c r="DN445" s="23"/>
      <c r="DO445" s="23"/>
      <c r="DP445" s="23"/>
      <c r="DQ445" s="23"/>
      <c r="DR445" s="23"/>
      <c r="DS445" s="23"/>
      <c r="DT445" s="23"/>
      <c r="DU445" s="23"/>
      <c r="DV445" s="23"/>
      <c r="DW445" s="23"/>
      <c r="DX445" s="23"/>
      <c r="DY445" s="23"/>
      <c r="DZ445" s="23"/>
      <c r="EA445" s="23"/>
      <c r="EB445" s="23"/>
      <c r="EC445" s="23"/>
      <c r="ED445" s="23"/>
      <c r="EE445" s="23"/>
      <c r="EF445" s="23"/>
      <c r="EG445" s="23"/>
      <c r="EH445" s="23"/>
      <c r="EI445" s="23"/>
      <c r="EJ445" s="23"/>
      <c r="EK445" s="23"/>
      <c r="EL445" s="23"/>
      <c r="EM445" s="23"/>
      <c r="EN445" s="23"/>
      <c r="EO445" s="23"/>
      <c r="EP445" s="23"/>
      <c r="EQ445" s="23"/>
      <c r="ER445" s="23"/>
      <c r="ES445" s="23"/>
      <c r="ET445" s="23"/>
      <c r="EU445" s="23"/>
      <c r="EV445" s="23"/>
      <c r="EW445" s="23"/>
      <c r="EX445" s="23"/>
      <c r="EY445" s="23"/>
      <c r="EZ445" s="23"/>
      <c r="FA445" s="23"/>
      <c r="FB445" s="23"/>
      <c r="FC445" s="23"/>
      <c r="FD445" s="23"/>
      <c r="FE445" s="23"/>
      <c r="FF445" s="23"/>
      <c r="FG445" s="23"/>
      <c r="FH445" s="23"/>
      <c r="FI445" s="23"/>
      <c r="FJ445" s="23"/>
      <c r="FK445" s="23"/>
      <c r="FL445" s="23"/>
      <c r="FM445" s="23"/>
      <c r="FN445" s="23"/>
      <c r="FO445" s="23"/>
      <c r="FP445" s="23"/>
      <c r="FQ445" s="23"/>
      <c r="FR445" s="23"/>
      <c r="FS445" s="23"/>
      <c r="FT445" s="23"/>
      <c r="FU445" s="23"/>
      <c r="FV445" s="23"/>
      <c r="FW445" s="23"/>
      <c r="FX445" s="23"/>
      <c r="FY445" s="23"/>
      <c r="FZ445" s="23"/>
      <c r="GA445" s="23"/>
      <c r="GB445" s="23"/>
      <c r="GC445" s="23"/>
      <c r="GD445" s="23"/>
      <c r="GE445" s="23"/>
      <c r="GF445" s="23"/>
      <c r="GG445" s="23"/>
      <c r="GH445" s="23"/>
      <c r="GI445" s="23"/>
      <c r="GJ445" s="23"/>
      <c r="GK445" s="23"/>
      <c r="GL445" s="23"/>
    </row>
    <row r="446" spans="1:194" ht="13">
      <c r="A446" s="23"/>
      <c r="B446" s="23"/>
      <c r="C446" s="23"/>
      <c r="D446" s="23"/>
      <c r="E446" s="23"/>
      <c r="F446" s="23"/>
      <c r="G446" s="23"/>
      <c r="H446" s="401"/>
      <c r="I446" s="401"/>
      <c r="J446" s="401"/>
      <c r="K446" s="401"/>
      <c r="L446" s="401"/>
      <c r="M446" s="438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  <c r="AL446" s="23"/>
      <c r="AM446" s="23"/>
      <c r="AN446" s="23"/>
      <c r="AO446" s="23"/>
      <c r="AP446" s="23"/>
      <c r="AQ446" s="23"/>
      <c r="AR446" s="23"/>
      <c r="AS446" s="23"/>
      <c r="AT446" s="23"/>
      <c r="AU446" s="23"/>
      <c r="AV446" s="23"/>
      <c r="AW446" s="23"/>
      <c r="AX446" s="23"/>
      <c r="AY446" s="23"/>
      <c r="AZ446" s="23"/>
      <c r="BA446" s="23"/>
      <c r="BB446" s="23"/>
      <c r="BC446" s="23"/>
      <c r="BD446" s="23"/>
      <c r="BE446" s="23"/>
      <c r="BF446" s="23"/>
      <c r="BG446" s="23"/>
      <c r="BH446" s="23"/>
      <c r="BI446" s="23"/>
      <c r="BJ446" s="23"/>
      <c r="BK446" s="23"/>
      <c r="BL446" s="23"/>
      <c r="BM446" s="23"/>
      <c r="BN446" s="23"/>
      <c r="BO446" s="23"/>
      <c r="BP446" s="23"/>
      <c r="BQ446" s="23"/>
      <c r="BR446" s="23"/>
      <c r="BS446" s="23"/>
      <c r="BT446" s="23"/>
      <c r="BU446" s="23"/>
      <c r="BV446" s="23"/>
      <c r="BW446" s="23"/>
      <c r="BX446" s="23"/>
      <c r="BY446" s="23"/>
      <c r="BZ446" s="23"/>
      <c r="CA446" s="23"/>
      <c r="CB446" s="23"/>
      <c r="CC446" s="23"/>
      <c r="CD446" s="23"/>
      <c r="CE446" s="23"/>
      <c r="CF446" s="23"/>
      <c r="CG446" s="23"/>
      <c r="CH446" s="23"/>
      <c r="CI446" s="23"/>
      <c r="CJ446" s="23"/>
      <c r="CK446" s="23"/>
      <c r="CL446" s="23"/>
      <c r="CM446" s="23"/>
      <c r="CN446" s="23"/>
      <c r="CO446" s="23"/>
      <c r="CP446" s="23"/>
      <c r="CQ446" s="23"/>
      <c r="CR446" s="23"/>
      <c r="CS446" s="23"/>
      <c r="CT446" s="23"/>
      <c r="CU446" s="23"/>
      <c r="CV446" s="23"/>
      <c r="CW446" s="23"/>
      <c r="CX446" s="23"/>
      <c r="CY446" s="23"/>
      <c r="CZ446" s="23"/>
      <c r="DA446" s="23"/>
      <c r="DB446" s="23"/>
      <c r="DC446" s="23"/>
      <c r="DD446" s="23"/>
      <c r="DE446" s="23"/>
      <c r="DF446" s="23"/>
      <c r="DG446" s="23"/>
      <c r="DH446" s="23"/>
      <c r="DI446" s="23"/>
      <c r="DJ446" s="23"/>
      <c r="DK446" s="23"/>
      <c r="DL446" s="23"/>
      <c r="DM446" s="23"/>
      <c r="DN446" s="23"/>
      <c r="DO446" s="23"/>
      <c r="DP446" s="23"/>
      <c r="DQ446" s="23"/>
      <c r="DR446" s="23"/>
      <c r="DS446" s="23"/>
      <c r="DT446" s="23"/>
      <c r="DU446" s="23"/>
      <c r="DV446" s="23"/>
      <c r="DW446" s="23"/>
      <c r="DX446" s="23"/>
      <c r="DY446" s="23"/>
      <c r="DZ446" s="23"/>
      <c r="EA446" s="23"/>
      <c r="EB446" s="23"/>
      <c r="EC446" s="23"/>
      <c r="ED446" s="23"/>
      <c r="EE446" s="23"/>
      <c r="EF446" s="23"/>
      <c r="EG446" s="23"/>
      <c r="EH446" s="23"/>
      <c r="EI446" s="23"/>
      <c r="EJ446" s="23"/>
      <c r="EK446" s="23"/>
      <c r="EL446" s="23"/>
      <c r="EM446" s="23"/>
      <c r="EN446" s="23"/>
      <c r="EO446" s="23"/>
      <c r="EP446" s="23"/>
      <c r="EQ446" s="23"/>
      <c r="ER446" s="23"/>
      <c r="ES446" s="23"/>
      <c r="ET446" s="23"/>
      <c r="EU446" s="23"/>
      <c r="EV446" s="23"/>
      <c r="EW446" s="23"/>
      <c r="EX446" s="23"/>
      <c r="EY446" s="23"/>
      <c r="EZ446" s="23"/>
      <c r="FA446" s="23"/>
      <c r="FB446" s="23"/>
      <c r="FC446" s="23"/>
      <c r="FD446" s="23"/>
      <c r="FE446" s="23"/>
      <c r="FF446" s="23"/>
      <c r="FG446" s="23"/>
      <c r="FH446" s="23"/>
      <c r="FI446" s="23"/>
      <c r="FJ446" s="23"/>
      <c r="FK446" s="23"/>
      <c r="FL446" s="23"/>
      <c r="FM446" s="23"/>
      <c r="FN446" s="23"/>
      <c r="FO446" s="23"/>
      <c r="FP446" s="23"/>
      <c r="FQ446" s="23"/>
      <c r="FR446" s="23"/>
      <c r="FS446" s="23"/>
      <c r="FT446" s="23"/>
      <c r="FU446" s="23"/>
      <c r="FV446" s="23"/>
      <c r="FW446" s="23"/>
      <c r="FX446" s="23"/>
      <c r="FY446" s="23"/>
      <c r="FZ446" s="23"/>
      <c r="GA446" s="23"/>
      <c r="GB446" s="23"/>
      <c r="GC446" s="23"/>
      <c r="GD446" s="23"/>
      <c r="GE446" s="23"/>
      <c r="GF446" s="23"/>
      <c r="GG446" s="23"/>
      <c r="GH446" s="23"/>
      <c r="GI446" s="23"/>
      <c r="GJ446" s="23"/>
      <c r="GK446" s="23"/>
      <c r="GL446" s="23"/>
    </row>
    <row r="447" spans="1:194" ht="13">
      <c r="A447" s="23"/>
      <c r="B447" s="23"/>
      <c r="C447" s="23"/>
      <c r="D447" s="23"/>
      <c r="E447" s="23"/>
      <c r="F447" s="23"/>
      <c r="G447" s="23"/>
      <c r="H447" s="401"/>
      <c r="I447" s="401"/>
      <c r="J447" s="401"/>
      <c r="K447" s="401"/>
      <c r="L447" s="401"/>
      <c r="M447" s="438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  <c r="AL447" s="23"/>
      <c r="AM447" s="23"/>
      <c r="AN447" s="23"/>
      <c r="AO447" s="23"/>
      <c r="AP447" s="23"/>
      <c r="AQ447" s="23"/>
      <c r="AR447" s="23"/>
      <c r="AS447" s="23"/>
      <c r="AT447" s="23"/>
      <c r="AU447" s="23"/>
      <c r="AV447" s="23"/>
      <c r="AW447" s="23"/>
      <c r="AX447" s="23"/>
      <c r="AY447" s="23"/>
      <c r="AZ447" s="23"/>
      <c r="BA447" s="23"/>
      <c r="BB447" s="23"/>
      <c r="BC447" s="23"/>
      <c r="BD447" s="23"/>
      <c r="BE447" s="23"/>
      <c r="BF447" s="23"/>
      <c r="BG447" s="23"/>
      <c r="BH447" s="23"/>
      <c r="BI447" s="23"/>
      <c r="BJ447" s="23"/>
      <c r="BK447" s="23"/>
      <c r="BL447" s="23"/>
      <c r="BM447" s="23"/>
      <c r="BN447" s="23"/>
      <c r="BO447" s="23"/>
      <c r="BP447" s="23"/>
      <c r="BQ447" s="23"/>
      <c r="BR447" s="23"/>
      <c r="BS447" s="23"/>
      <c r="BT447" s="23"/>
      <c r="BU447" s="23"/>
      <c r="BV447" s="23"/>
      <c r="BW447" s="23"/>
      <c r="BX447" s="23"/>
      <c r="BY447" s="23"/>
      <c r="BZ447" s="23"/>
      <c r="CA447" s="23"/>
      <c r="CB447" s="23"/>
      <c r="CC447" s="23"/>
      <c r="CD447" s="23"/>
      <c r="CE447" s="23"/>
      <c r="CF447" s="23"/>
      <c r="CG447" s="23"/>
      <c r="CH447" s="23"/>
      <c r="CI447" s="23"/>
      <c r="CJ447" s="23"/>
      <c r="CK447" s="23"/>
      <c r="CL447" s="23"/>
      <c r="CM447" s="23"/>
      <c r="CN447" s="23"/>
      <c r="CO447" s="23"/>
      <c r="CP447" s="23"/>
      <c r="CQ447" s="23"/>
      <c r="CR447" s="23"/>
      <c r="CS447" s="23"/>
      <c r="CT447" s="23"/>
      <c r="CU447" s="23"/>
      <c r="CV447" s="23"/>
      <c r="CW447" s="23"/>
      <c r="CX447" s="23"/>
      <c r="CY447" s="23"/>
      <c r="CZ447" s="23"/>
      <c r="DA447" s="23"/>
      <c r="DB447" s="23"/>
      <c r="DC447" s="23"/>
      <c r="DD447" s="23"/>
      <c r="DE447" s="23"/>
      <c r="DF447" s="23"/>
      <c r="DG447" s="23"/>
      <c r="DH447" s="23"/>
      <c r="DI447" s="23"/>
      <c r="DJ447" s="23"/>
      <c r="DK447" s="23"/>
      <c r="DL447" s="23"/>
      <c r="DM447" s="23"/>
      <c r="DN447" s="23"/>
      <c r="DO447" s="23"/>
      <c r="DP447" s="23"/>
      <c r="DQ447" s="23"/>
      <c r="DR447" s="23"/>
      <c r="DS447" s="23"/>
      <c r="DT447" s="23"/>
      <c r="DU447" s="23"/>
      <c r="DV447" s="23"/>
      <c r="DW447" s="23"/>
      <c r="DX447" s="23"/>
      <c r="DY447" s="23"/>
      <c r="DZ447" s="23"/>
      <c r="EA447" s="23"/>
      <c r="EB447" s="23"/>
      <c r="EC447" s="23"/>
      <c r="ED447" s="23"/>
      <c r="EE447" s="23"/>
      <c r="EF447" s="23"/>
      <c r="EG447" s="23"/>
      <c r="EH447" s="23"/>
      <c r="EI447" s="23"/>
      <c r="EJ447" s="23"/>
      <c r="EK447" s="23"/>
      <c r="EL447" s="23"/>
      <c r="EM447" s="23"/>
      <c r="EN447" s="23"/>
      <c r="EO447" s="23"/>
      <c r="EP447" s="23"/>
      <c r="EQ447" s="23"/>
      <c r="ER447" s="23"/>
      <c r="ES447" s="23"/>
      <c r="ET447" s="23"/>
      <c r="EU447" s="23"/>
      <c r="EV447" s="23"/>
      <c r="EW447" s="23"/>
      <c r="EX447" s="23"/>
      <c r="EY447" s="23"/>
      <c r="EZ447" s="23"/>
      <c r="FA447" s="23"/>
      <c r="FB447" s="23"/>
      <c r="FC447" s="23"/>
      <c r="FD447" s="23"/>
      <c r="FE447" s="23"/>
      <c r="FF447" s="23"/>
      <c r="FG447" s="23"/>
      <c r="FH447" s="23"/>
      <c r="FI447" s="23"/>
      <c r="FJ447" s="23"/>
      <c r="FK447" s="23"/>
      <c r="FL447" s="23"/>
      <c r="FM447" s="23"/>
      <c r="FN447" s="23"/>
      <c r="FO447" s="23"/>
      <c r="FP447" s="23"/>
      <c r="FQ447" s="23"/>
      <c r="FR447" s="23"/>
      <c r="FS447" s="23"/>
      <c r="FT447" s="23"/>
      <c r="FU447" s="23"/>
      <c r="FV447" s="23"/>
      <c r="FW447" s="23"/>
      <c r="FX447" s="23"/>
      <c r="FY447" s="23"/>
      <c r="FZ447" s="23"/>
      <c r="GA447" s="23"/>
      <c r="GB447" s="23"/>
      <c r="GC447" s="23"/>
      <c r="GD447" s="23"/>
      <c r="GE447" s="23"/>
      <c r="GF447" s="23"/>
      <c r="GG447" s="23"/>
      <c r="GH447" s="23"/>
      <c r="GI447" s="23"/>
      <c r="GJ447" s="23"/>
      <c r="GK447" s="23"/>
      <c r="GL447" s="23"/>
    </row>
    <row r="448" spans="1:194" ht="13">
      <c r="A448" s="23"/>
      <c r="B448" s="23"/>
      <c r="C448" s="23"/>
      <c r="D448" s="23"/>
      <c r="E448" s="23"/>
      <c r="F448" s="23"/>
      <c r="G448" s="23"/>
      <c r="H448" s="401"/>
      <c r="I448" s="401"/>
      <c r="J448" s="401"/>
      <c r="K448" s="401"/>
      <c r="L448" s="401"/>
      <c r="M448" s="438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  <c r="AL448" s="23"/>
      <c r="AM448" s="23"/>
      <c r="AN448" s="23"/>
      <c r="AO448" s="23"/>
      <c r="AP448" s="23"/>
      <c r="AQ448" s="23"/>
      <c r="AR448" s="23"/>
      <c r="AS448" s="23"/>
      <c r="AT448" s="23"/>
      <c r="AU448" s="23"/>
      <c r="AV448" s="23"/>
      <c r="AW448" s="23"/>
      <c r="AX448" s="23"/>
      <c r="AY448" s="23"/>
      <c r="AZ448" s="23"/>
      <c r="BA448" s="23"/>
      <c r="BB448" s="23"/>
      <c r="BC448" s="23"/>
      <c r="BD448" s="23"/>
      <c r="BE448" s="23"/>
      <c r="BF448" s="23"/>
      <c r="BG448" s="23"/>
      <c r="BH448" s="23"/>
      <c r="BI448" s="23"/>
      <c r="BJ448" s="23"/>
      <c r="BK448" s="23"/>
      <c r="BL448" s="23"/>
      <c r="BM448" s="23"/>
      <c r="BN448" s="23"/>
      <c r="BO448" s="23"/>
      <c r="BP448" s="23"/>
      <c r="BQ448" s="23"/>
      <c r="BR448" s="23"/>
      <c r="BS448" s="23"/>
      <c r="BT448" s="23"/>
      <c r="BU448" s="23"/>
      <c r="BV448" s="23"/>
      <c r="BW448" s="23"/>
      <c r="BX448" s="23"/>
      <c r="BY448" s="23"/>
      <c r="BZ448" s="23"/>
      <c r="CA448" s="23"/>
      <c r="CB448" s="23"/>
      <c r="CC448" s="23"/>
      <c r="CD448" s="23"/>
      <c r="CE448" s="23"/>
      <c r="CF448" s="23"/>
      <c r="CG448" s="23"/>
      <c r="CH448" s="23"/>
      <c r="CI448" s="23"/>
      <c r="CJ448" s="23"/>
      <c r="CK448" s="23"/>
      <c r="CL448" s="23"/>
      <c r="CM448" s="23"/>
      <c r="CN448" s="23"/>
      <c r="CO448" s="23"/>
      <c r="CP448" s="23"/>
      <c r="CQ448" s="23"/>
      <c r="CR448" s="23"/>
      <c r="CS448" s="23"/>
      <c r="CT448" s="23"/>
      <c r="CU448" s="23"/>
      <c r="CV448" s="23"/>
      <c r="CW448" s="23"/>
      <c r="CX448" s="23"/>
      <c r="CY448" s="23"/>
      <c r="CZ448" s="23"/>
      <c r="DA448" s="23"/>
      <c r="DB448" s="23"/>
      <c r="DC448" s="23"/>
      <c r="DD448" s="23"/>
      <c r="DE448" s="23"/>
      <c r="DF448" s="23"/>
      <c r="DG448" s="23"/>
      <c r="DH448" s="23"/>
      <c r="DI448" s="23"/>
      <c r="DJ448" s="23"/>
      <c r="DK448" s="23"/>
      <c r="DL448" s="23"/>
      <c r="DM448" s="23"/>
      <c r="DN448" s="23"/>
      <c r="DO448" s="23"/>
      <c r="DP448" s="23"/>
      <c r="DQ448" s="23"/>
      <c r="DR448" s="23"/>
      <c r="DS448" s="23"/>
      <c r="DT448" s="23"/>
      <c r="DU448" s="23"/>
      <c r="DV448" s="23"/>
      <c r="DW448" s="23"/>
      <c r="DX448" s="23"/>
      <c r="DY448" s="23"/>
      <c r="DZ448" s="23"/>
      <c r="EA448" s="23"/>
      <c r="EB448" s="23"/>
      <c r="EC448" s="23"/>
      <c r="ED448" s="23"/>
      <c r="EE448" s="23"/>
      <c r="EF448" s="23"/>
      <c r="EG448" s="23"/>
      <c r="EH448" s="23"/>
      <c r="EI448" s="23"/>
      <c r="EJ448" s="23"/>
      <c r="EK448" s="23"/>
      <c r="EL448" s="23"/>
      <c r="EM448" s="23"/>
      <c r="EN448" s="23"/>
      <c r="EO448" s="23"/>
      <c r="EP448" s="23"/>
      <c r="EQ448" s="23"/>
      <c r="ER448" s="23"/>
      <c r="ES448" s="23"/>
      <c r="ET448" s="23"/>
      <c r="EU448" s="23"/>
      <c r="EV448" s="23"/>
      <c r="EW448" s="23"/>
      <c r="EX448" s="23"/>
      <c r="EY448" s="23"/>
      <c r="EZ448" s="23"/>
      <c r="FA448" s="23"/>
      <c r="FB448" s="23"/>
      <c r="FC448" s="23"/>
      <c r="FD448" s="23"/>
      <c r="FE448" s="23"/>
      <c r="FF448" s="23"/>
      <c r="FG448" s="23"/>
      <c r="FH448" s="23"/>
      <c r="FI448" s="23"/>
      <c r="FJ448" s="23"/>
      <c r="FK448" s="23"/>
      <c r="FL448" s="23"/>
      <c r="FM448" s="23"/>
      <c r="FN448" s="23"/>
      <c r="FO448" s="23"/>
      <c r="FP448" s="23"/>
      <c r="FQ448" s="23"/>
      <c r="FR448" s="23"/>
      <c r="FS448" s="23"/>
      <c r="FT448" s="23"/>
      <c r="FU448" s="23"/>
      <c r="FV448" s="23"/>
      <c r="FW448" s="23"/>
      <c r="FX448" s="23"/>
      <c r="FY448" s="23"/>
      <c r="FZ448" s="23"/>
      <c r="GA448" s="23"/>
      <c r="GB448" s="23"/>
      <c r="GC448" s="23"/>
      <c r="GD448" s="23"/>
      <c r="GE448" s="23"/>
      <c r="GF448" s="23"/>
      <c r="GG448" s="23"/>
      <c r="GH448" s="23"/>
      <c r="GI448" s="23"/>
      <c r="GJ448" s="23"/>
      <c r="GK448" s="23"/>
      <c r="GL448" s="23"/>
    </row>
    <row r="449" spans="1:194" ht="13">
      <c r="A449" s="23"/>
      <c r="B449" s="23"/>
      <c r="C449" s="23"/>
      <c r="D449" s="23"/>
      <c r="E449" s="23"/>
      <c r="F449" s="23"/>
      <c r="G449" s="23"/>
      <c r="H449" s="401"/>
      <c r="I449" s="401"/>
      <c r="J449" s="401"/>
      <c r="K449" s="401"/>
      <c r="L449" s="401"/>
      <c r="M449" s="438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  <c r="AL449" s="23"/>
      <c r="AM449" s="23"/>
      <c r="AN449" s="23"/>
      <c r="AO449" s="23"/>
      <c r="AP449" s="23"/>
      <c r="AQ449" s="23"/>
      <c r="AR449" s="23"/>
      <c r="AS449" s="23"/>
      <c r="AT449" s="23"/>
      <c r="AU449" s="23"/>
      <c r="AV449" s="23"/>
      <c r="AW449" s="23"/>
      <c r="AX449" s="23"/>
      <c r="AY449" s="23"/>
      <c r="AZ449" s="23"/>
      <c r="BA449" s="23"/>
      <c r="BB449" s="23"/>
      <c r="BC449" s="23"/>
      <c r="BD449" s="23"/>
      <c r="BE449" s="23"/>
      <c r="BF449" s="23"/>
      <c r="BG449" s="23"/>
      <c r="BH449" s="23"/>
      <c r="BI449" s="23"/>
      <c r="BJ449" s="23"/>
      <c r="BK449" s="23"/>
      <c r="BL449" s="23"/>
      <c r="BM449" s="23"/>
      <c r="BN449" s="23"/>
      <c r="BO449" s="23"/>
      <c r="BP449" s="23"/>
      <c r="BQ449" s="23"/>
      <c r="BR449" s="23"/>
      <c r="BS449" s="23"/>
      <c r="BT449" s="23"/>
      <c r="BU449" s="23"/>
      <c r="BV449" s="23"/>
      <c r="BW449" s="23"/>
      <c r="BX449" s="23"/>
      <c r="BY449" s="23"/>
      <c r="BZ449" s="23"/>
      <c r="CA449" s="23"/>
      <c r="CB449" s="23"/>
      <c r="CC449" s="23"/>
      <c r="CD449" s="23"/>
      <c r="CE449" s="23"/>
      <c r="CF449" s="23"/>
      <c r="CG449" s="23"/>
      <c r="CH449" s="23"/>
      <c r="CI449" s="23"/>
      <c r="CJ449" s="23"/>
      <c r="CK449" s="23"/>
      <c r="CL449" s="23"/>
      <c r="CM449" s="23"/>
      <c r="CN449" s="23"/>
      <c r="CO449" s="23"/>
      <c r="CP449" s="23"/>
      <c r="CQ449" s="23"/>
      <c r="CR449" s="23"/>
      <c r="CS449" s="23"/>
      <c r="CT449" s="23"/>
      <c r="CU449" s="23"/>
      <c r="CV449" s="23"/>
      <c r="CW449" s="23"/>
      <c r="CX449" s="23"/>
      <c r="CY449" s="23"/>
      <c r="CZ449" s="23"/>
      <c r="DA449" s="23"/>
      <c r="DB449" s="23"/>
      <c r="DC449" s="23"/>
      <c r="DD449" s="23"/>
      <c r="DE449" s="23"/>
      <c r="DF449" s="23"/>
      <c r="DG449" s="23"/>
      <c r="DH449" s="23"/>
      <c r="DI449" s="23"/>
      <c r="DJ449" s="23"/>
      <c r="DK449" s="23"/>
      <c r="DL449" s="23"/>
      <c r="DM449" s="23"/>
      <c r="DN449" s="23"/>
      <c r="DO449" s="23"/>
      <c r="DP449" s="23"/>
      <c r="DQ449" s="23"/>
      <c r="DR449" s="23"/>
      <c r="DS449" s="23"/>
      <c r="DT449" s="23"/>
      <c r="DU449" s="23"/>
      <c r="DV449" s="23"/>
      <c r="DW449" s="23"/>
      <c r="DX449" s="23"/>
      <c r="DY449" s="23"/>
      <c r="DZ449" s="23"/>
      <c r="EA449" s="23"/>
      <c r="EB449" s="23"/>
      <c r="EC449" s="23"/>
      <c r="ED449" s="23"/>
      <c r="EE449" s="23"/>
      <c r="EF449" s="23"/>
      <c r="EG449" s="23"/>
      <c r="EH449" s="23"/>
      <c r="EI449" s="23"/>
      <c r="EJ449" s="23"/>
      <c r="EK449" s="23"/>
      <c r="EL449" s="23"/>
      <c r="EM449" s="23"/>
      <c r="EN449" s="23"/>
      <c r="EO449" s="23"/>
      <c r="EP449" s="23"/>
      <c r="EQ449" s="23"/>
      <c r="ER449" s="23"/>
      <c r="ES449" s="23"/>
      <c r="ET449" s="23"/>
      <c r="EU449" s="23"/>
      <c r="EV449" s="23"/>
      <c r="EW449" s="23"/>
      <c r="EX449" s="23"/>
      <c r="EY449" s="23"/>
      <c r="EZ449" s="23"/>
      <c r="FA449" s="23"/>
      <c r="FB449" s="23"/>
      <c r="FC449" s="23"/>
      <c r="FD449" s="23"/>
      <c r="FE449" s="23"/>
      <c r="FF449" s="23"/>
      <c r="FG449" s="23"/>
      <c r="FH449" s="23"/>
      <c r="FI449" s="23"/>
      <c r="FJ449" s="23"/>
      <c r="FK449" s="23"/>
      <c r="FL449" s="23"/>
      <c r="FM449" s="23"/>
      <c r="FN449" s="23"/>
      <c r="FO449" s="23"/>
      <c r="FP449" s="23"/>
      <c r="FQ449" s="23"/>
      <c r="FR449" s="23"/>
      <c r="FS449" s="23"/>
      <c r="FT449" s="23"/>
      <c r="FU449" s="23"/>
      <c r="FV449" s="23"/>
      <c r="FW449" s="23"/>
      <c r="FX449" s="23"/>
      <c r="FY449" s="23"/>
      <c r="FZ449" s="23"/>
      <c r="GA449" s="23"/>
      <c r="GB449" s="23"/>
      <c r="GC449" s="23"/>
      <c r="GD449" s="23"/>
      <c r="GE449" s="23"/>
      <c r="GF449" s="23"/>
      <c r="GG449" s="23"/>
      <c r="GH449" s="23"/>
      <c r="GI449" s="23"/>
      <c r="GJ449" s="23"/>
      <c r="GK449" s="23"/>
      <c r="GL449" s="23"/>
    </row>
    <row r="450" spans="1:194" ht="13">
      <c r="A450" s="23"/>
      <c r="B450" s="23"/>
      <c r="C450" s="23"/>
      <c r="D450" s="23"/>
      <c r="E450" s="23"/>
      <c r="F450" s="23"/>
      <c r="G450" s="23"/>
      <c r="H450" s="401"/>
      <c r="I450" s="401"/>
      <c r="J450" s="401"/>
      <c r="K450" s="401"/>
      <c r="L450" s="401"/>
      <c r="M450" s="438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  <c r="AL450" s="23"/>
      <c r="AM450" s="23"/>
      <c r="AN450" s="23"/>
      <c r="AO450" s="23"/>
      <c r="AP450" s="23"/>
      <c r="AQ450" s="23"/>
      <c r="AR450" s="23"/>
      <c r="AS450" s="23"/>
      <c r="AT450" s="23"/>
      <c r="AU450" s="23"/>
      <c r="AV450" s="23"/>
      <c r="AW450" s="23"/>
      <c r="AX450" s="23"/>
      <c r="AY450" s="23"/>
      <c r="AZ450" s="23"/>
      <c r="BA450" s="23"/>
      <c r="BB450" s="23"/>
      <c r="BC450" s="23"/>
      <c r="BD450" s="23"/>
      <c r="BE450" s="23"/>
      <c r="BF450" s="23"/>
      <c r="BG450" s="23"/>
      <c r="BH450" s="23"/>
      <c r="BI450" s="23"/>
      <c r="BJ450" s="23"/>
      <c r="BK450" s="23"/>
      <c r="BL450" s="23"/>
      <c r="BM450" s="23"/>
      <c r="BN450" s="23"/>
      <c r="BO450" s="23"/>
      <c r="BP450" s="23"/>
      <c r="BQ450" s="23"/>
      <c r="BR450" s="23"/>
      <c r="BS450" s="23"/>
      <c r="BT450" s="23"/>
      <c r="BU450" s="23"/>
      <c r="BV450" s="23"/>
      <c r="BW450" s="23"/>
      <c r="BX450" s="23"/>
      <c r="BY450" s="23"/>
      <c r="BZ450" s="23"/>
      <c r="CA450" s="23"/>
      <c r="CB450" s="23"/>
      <c r="CC450" s="23"/>
      <c r="CD450" s="23"/>
      <c r="CE450" s="23"/>
      <c r="CF450" s="23"/>
      <c r="CG450" s="23"/>
      <c r="CH450" s="23"/>
      <c r="CI450" s="23"/>
      <c r="CJ450" s="23"/>
      <c r="CK450" s="23"/>
      <c r="CL450" s="23"/>
      <c r="CM450" s="23"/>
      <c r="CN450" s="23"/>
      <c r="CO450" s="23"/>
      <c r="CP450" s="23"/>
      <c r="CQ450" s="23"/>
      <c r="CR450" s="23"/>
      <c r="CS450" s="23"/>
      <c r="CT450" s="23"/>
      <c r="CU450" s="23"/>
      <c r="CV450" s="23"/>
      <c r="CW450" s="23"/>
      <c r="CX450" s="23"/>
      <c r="CY450" s="23"/>
      <c r="CZ450" s="23"/>
      <c r="DA450" s="23"/>
      <c r="DB450" s="23"/>
      <c r="DC450" s="23"/>
      <c r="DD450" s="23"/>
      <c r="DE450" s="23"/>
      <c r="DF450" s="23"/>
      <c r="DG450" s="23"/>
      <c r="DH450" s="23"/>
      <c r="DI450" s="23"/>
      <c r="DJ450" s="23"/>
      <c r="DK450" s="23"/>
      <c r="DL450" s="23"/>
      <c r="DM450" s="23"/>
      <c r="DN450" s="23"/>
      <c r="DO450" s="23"/>
      <c r="DP450" s="23"/>
      <c r="DQ450" s="23"/>
      <c r="DR450" s="23"/>
      <c r="DS450" s="23"/>
      <c r="DT450" s="23"/>
      <c r="DU450" s="23"/>
      <c r="DV450" s="23"/>
      <c r="DW450" s="23"/>
      <c r="DX450" s="23"/>
      <c r="DY450" s="23"/>
      <c r="DZ450" s="23"/>
      <c r="EA450" s="23"/>
      <c r="EB450" s="23"/>
      <c r="EC450" s="23"/>
      <c r="ED450" s="23"/>
      <c r="EE450" s="23"/>
      <c r="EF450" s="23"/>
      <c r="EG450" s="23"/>
      <c r="EH450" s="23"/>
      <c r="EI450" s="23"/>
      <c r="EJ450" s="23"/>
      <c r="EK450" s="23"/>
      <c r="EL450" s="23"/>
      <c r="EM450" s="23"/>
      <c r="EN450" s="23"/>
      <c r="EO450" s="23"/>
      <c r="EP450" s="23"/>
      <c r="EQ450" s="23"/>
      <c r="ER450" s="23"/>
      <c r="ES450" s="23"/>
      <c r="ET450" s="23"/>
      <c r="EU450" s="23"/>
      <c r="EV450" s="23"/>
      <c r="EW450" s="23"/>
      <c r="EX450" s="23"/>
      <c r="EY450" s="23"/>
      <c r="EZ450" s="23"/>
      <c r="FA450" s="23"/>
      <c r="FB450" s="23"/>
      <c r="FC450" s="23"/>
      <c r="FD450" s="23"/>
      <c r="FE450" s="23"/>
      <c r="FF450" s="23"/>
      <c r="FG450" s="23"/>
      <c r="FH450" s="23"/>
      <c r="FI450" s="23"/>
      <c r="FJ450" s="23"/>
      <c r="FK450" s="23"/>
      <c r="FL450" s="23"/>
      <c r="FM450" s="23"/>
      <c r="FN450" s="23"/>
      <c r="FO450" s="23"/>
      <c r="FP450" s="23"/>
      <c r="FQ450" s="23"/>
      <c r="FR450" s="23"/>
      <c r="FS450" s="23"/>
      <c r="FT450" s="23"/>
      <c r="FU450" s="23"/>
      <c r="FV450" s="23"/>
      <c r="FW450" s="23"/>
      <c r="FX450" s="23"/>
      <c r="FY450" s="23"/>
      <c r="FZ450" s="23"/>
      <c r="GA450" s="23"/>
      <c r="GB450" s="23"/>
      <c r="GC450" s="23"/>
      <c r="GD450" s="23"/>
      <c r="GE450" s="23"/>
      <c r="GF450" s="23"/>
      <c r="GG450" s="23"/>
      <c r="GH450" s="23"/>
      <c r="GI450" s="23"/>
      <c r="GJ450" s="23"/>
      <c r="GK450" s="23"/>
      <c r="GL450" s="23"/>
    </row>
    <row r="451" spans="1:194" ht="13">
      <c r="A451" s="23"/>
      <c r="B451" s="23"/>
      <c r="C451" s="23"/>
      <c r="D451" s="23"/>
      <c r="E451" s="23"/>
      <c r="F451" s="23"/>
      <c r="G451" s="23"/>
      <c r="H451" s="401"/>
      <c r="I451" s="401"/>
      <c r="J451" s="401"/>
      <c r="K451" s="401"/>
      <c r="L451" s="401"/>
      <c r="M451" s="438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  <c r="AL451" s="23"/>
      <c r="AM451" s="23"/>
      <c r="AN451" s="23"/>
      <c r="AO451" s="23"/>
      <c r="AP451" s="23"/>
      <c r="AQ451" s="23"/>
      <c r="AR451" s="23"/>
      <c r="AS451" s="23"/>
      <c r="AT451" s="23"/>
      <c r="AU451" s="23"/>
      <c r="AV451" s="23"/>
      <c r="AW451" s="23"/>
      <c r="AX451" s="23"/>
      <c r="AY451" s="23"/>
      <c r="AZ451" s="23"/>
      <c r="BA451" s="23"/>
      <c r="BB451" s="23"/>
      <c r="BC451" s="23"/>
      <c r="BD451" s="23"/>
      <c r="BE451" s="23"/>
      <c r="BF451" s="23"/>
      <c r="BG451" s="23"/>
      <c r="BH451" s="23"/>
      <c r="BI451" s="23"/>
      <c r="BJ451" s="23"/>
      <c r="BK451" s="23"/>
      <c r="BL451" s="23"/>
      <c r="BM451" s="23"/>
      <c r="BN451" s="23"/>
      <c r="BO451" s="23"/>
      <c r="BP451" s="23"/>
      <c r="BQ451" s="23"/>
      <c r="BR451" s="23"/>
      <c r="BS451" s="23"/>
      <c r="BT451" s="23"/>
      <c r="BU451" s="23"/>
      <c r="BV451" s="23"/>
      <c r="BW451" s="23"/>
      <c r="BX451" s="23"/>
      <c r="BY451" s="23"/>
      <c r="BZ451" s="23"/>
      <c r="CA451" s="23"/>
      <c r="CB451" s="23"/>
      <c r="CC451" s="23"/>
      <c r="CD451" s="23"/>
      <c r="CE451" s="23"/>
      <c r="CF451" s="23"/>
      <c r="CG451" s="23"/>
      <c r="CH451" s="23"/>
      <c r="CI451" s="23"/>
      <c r="CJ451" s="23"/>
      <c r="CK451" s="23"/>
      <c r="CL451" s="23"/>
      <c r="CM451" s="23"/>
      <c r="CN451" s="23"/>
      <c r="CO451" s="23"/>
      <c r="CP451" s="23"/>
      <c r="CQ451" s="23"/>
      <c r="CR451" s="23"/>
      <c r="CS451" s="23"/>
      <c r="CT451" s="23"/>
      <c r="CU451" s="23"/>
      <c r="CV451" s="23"/>
      <c r="CW451" s="23"/>
      <c r="CX451" s="23"/>
      <c r="CY451" s="23"/>
      <c r="CZ451" s="23"/>
      <c r="DA451" s="23"/>
      <c r="DB451" s="23"/>
      <c r="DC451" s="23"/>
      <c r="DD451" s="23"/>
      <c r="DE451" s="23"/>
      <c r="DF451" s="23"/>
      <c r="DG451" s="23"/>
      <c r="DH451" s="23"/>
      <c r="DI451" s="23"/>
      <c r="DJ451" s="23"/>
      <c r="DK451" s="23"/>
      <c r="DL451" s="23"/>
      <c r="DM451" s="23"/>
      <c r="DN451" s="23"/>
      <c r="DO451" s="23"/>
      <c r="DP451" s="23"/>
      <c r="DQ451" s="23"/>
      <c r="DR451" s="23"/>
      <c r="DS451" s="23"/>
      <c r="DT451" s="23"/>
      <c r="DU451" s="23"/>
      <c r="DV451" s="23"/>
      <c r="DW451" s="23"/>
      <c r="DX451" s="23"/>
      <c r="DY451" s="23"/>
      <c r="DZ451" s="23"/>
      <c r="EA451" s="23"/>
      <c r="EB451" s="23"/>
      <c r="EC451" s="23"/>
      <c r="ED451" s="23"/>
      <c r="EE451" s="23"/>
      <c r="EF451" s="23"/>
      <c r="EG451" s="23"/>
      <c r="EH451" s="23"/>
      <c r="EI451" s="23"/>
      <c r="EJ451" s="23"/>
      <c r="EK451" s="23"/>
      <c r="EL451" s="23"/>
      <c r="EM451" s="23"/>
      <c r="EN451" s="23"/>
      <c r="EO451" s="23"/>
      <c r="EP451" s="23"/>
      <c r="EQ451" s="23"/>
      <c r="ER451" s="23"/>
      <c r="ES451" s="23"/>
      <c r="ET451" s="23"/>
      <c r="EU451" s="23"/>
      <c r="EV451" s="23"/>
      <c r="EW451" s="23"/>
      <c r="EX451" s="23"/>
      <c r="EY451" s="23"/>
      <c r="EZ451" s="23"/>
      <c r="FA451" s="23"/>
      <c r="FB451" s="23"/>
      <c r="FC451" s="23"/>
      <c r="FD451" s="23"/>
      <c r="FE451" s="23"/>
      <c r="FF451" s="23"/>
      <c r="FG451" s="23"/>
      <c r="FH451" s="23"/>
      <c r="FI451" s="23"/>
      <c r="FJ451" s="23"/>
      <c r="FK451" s="23"/>
      <c r="FL451" s="23"/>
      <c r="FM451" s="23"/>
      <c r="FN451" s="23"/>
      <c r="FO451" s="23"/>
      <c r="FP451" s="23"/>
      <c r="FQ451" s="23"/>
      <c r="FR451" s="23"/>
      <c r="FS451" s="23"/>
      <c r="FT451" s="23"/>
      <c r="FU451" s="23"/>
      <c r="FV451" s="23"/>
      <c r="FW451" s="23"/>
      <c r="FX451" s="23"/>
      <c r="FY451" s="23"/>
      <c r="FZ451" s="23"/>
      <c r="GA451" s="23"/>
      <c r="GB451" s="23"/>
      <c r="GC451" s="23"/>
      <c r="GD451" s="23"/>
      <c r="GE451" s="23"/>
      <c r="GF451" s="23"/>
      <c r="GG451" s="23"/>
      <c r="GH451" s="23"/>
      <c r="GI451" s="23"/>
      <c r="GJ451" s="23"/>
      <c r="GK451" s="23"/>
      <c r="GL451" s="23"/>
    </row>
    <row r="452" spans="1:194" ht="13">
      <c r="A452" s="23"/>
      <c r="B452" s="23"/>
      <c r="C452" s="23"/>
      <c r="D452" s="23"/>
      <c r="E452" s="23"/>
      <c r="F452" s="23"/>
      <c r="G452" s="23"/>
      <c r="H452" s="401"/>
      <c r="I452" s="401"/>
      <c r="J452" s="401"/>
      <c r="K452" s="401"/>
      <c r="L452" s="401"/>
      <c r="M452" s="438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  <c r="AL452" s="23"/>
      <c r="AM452" s="23"/>
      <c r="AN452" s="23"/>
      <c r="AO452" s="23"/>
      <c r="AP452" s="23"/>
      <c r="AQ452" s="23"/>
      <c r="AR452" s="23"/>
      <c r="AS452" s="23"/>
      <c r="AT452" s="23"/>
      <c r="AU452" s="23"/>
      <c r="AV452" s="23"/>
      <c r="AW452" s="23"/>
      <c r="AX452" s="23"/>
      <c r="AY452" s="23"/>
      <c r="AZ452" s="23"/>
      <c r="BA452" s="23"/>
      <c r="BB452" s="23"/>
      <c r="BC452" s="23"/>
      <c r="BD452" s="23"/>
      <c r="BE452" s="23"/>
      <c r="BF452" s="23"/>
      <c r="BG452" s="23"/>
      <c r="BH452" s="23"/>
      <c r="BI452" s="23"/>
      <c r="BJ452" s="23"/>
      <c r="BK452" s="23"/>
      <c r="BL452" s="23"/>
      <c r="BM452" s="23"/>
      <c r="BN452" s="23"/>
      <c r="BO452" s="23"/>
      <c r="BP452" s="23"/>
      <c r="BQ452" s="23"/>
      <c r="BR452" s="23"/>
      <c r="BS452" s="23"/>
      <c r="BT452" s="23"/>
      <c r="BU452" s="23"/>
      <c r="BV452" s="23"/>
      <c r="BW452" s="23"/>
      <c r="BX452" s="23"/>
      <c r="BY452" s="23"/>
      <c r="BZ452" s="23"/>
      <c r="CA452" s="23"/>
      <c r="CB452" s="23"/>
      <c r="CC452" s="23"/>
      <c r="CD452" s="23"/>
      <c r="CE452" s="23"/>
      <c r="CF452" s="23"/>
      <c r="CG452" s="23"/>
      <c r="CH452" s="23"/>
      <c r="CI452" s="23"/>
      <c r="CJ452" s="23"/>
      <c r="CK452" s="23"/>
      <c r="CL452" s="23"/>
      <c r="CM452" s="23"/>
      <c r="CN452" s="23"/>
      <c r="CO452" s="23"/>
      <c r="CP452" s="23"/>
      <c r="CQ452" s="23"/>
      <c r="CR452" s="23"/>
      <c r="CS452" s="23"/>
      <c r="CT452" s="23"/>
      <c r="CU452" s="23"/>
      <c r="CV452" s="23"/>
      <c r="CW452" s="23"/>
      <c r="CX452" s="23"/>
      <c r="CY452" s="23"/>
      <c r="CZ452" s="23"/>
      <c r="DA452" s="23"/>
      <c r="DB452" s="23"/>
      <c r="DC452" s="23"/>
      <c r="DD452" s="23"/>
      <c r="DE452" s="23"/>
      <c r="DF452" s="23"/>
      <c r="DG452" s="23"/>
      <c r="DH452" s="23"/>
      <c r="DI452" s="23"/>
      <c r="DJ452" s="23"/>
      <c r="DK452" s="23"/>
      <c r="DL452" s="23"/>
      <c r="DM452" s="23"/>
      <c r="DN452" s="23"/>
      <c r="DO452" s="23"/>
      <c r="DP452" s="23"/>
      <c r="DQ452" s="23"/>
      <c r="DR452" s="23"/>
      <c r="DS452" s="23"/>
      <c r="DT452" s="23"/>
      <c r="DU452" s="23"/>
      <c r="DV452" s="23"/>
      <c r="DW452" s="23"/>
      <c r="DX452" s="23"/>
      <c r="DY452" s="23"/>
      <c r="DZ452" s="23"/>
      <c r="EA452" s="23"/>
      <c r="EB452" s="23"/>
      <c r="EC452" s="23"/>
      <c r="ED452" s="23"/>
      <c r="EE452" s="23"/>
      <c r="EF452" s="23"/>
      <c r="EG452" s="23"/>
      <c r="EH452" s="23"/>
      <c r="EI452" s="23"/>
      <c r="EJ452" s="23"/>
      <c r="EK452" s="23"/>
      <c r="EL452" s="23"/>
      <c r="EM452" s="23"/>
      <c r="EN452" s="23"/>
      <c r="EO452" s="23"/>
      <c r="EP452" s="23"/>
      <c r="EQ452" s="23"/>
      <c r="ER452" s="23"/>
      <c r="ES452" s="23"/>
      <c r="ET452" s="23"/>
      <c r="EU452" s="23"/>
      <c r="EV452" s="23"/>
      <c r="EW452" s="23"/>
      <c r="EX452" s="23"/>
      <c r="EY452" s="23"/>
      <c r="EZ452" s="23"/>
      <c r="FA452" s="23"/>
      <c r="FB452" s="23"/>
      <c r="FC452" s="23"/>
      <c r="FD452" s="23"/>
      <c r="FE452" s="23"/>
      <c r="FF452" s="23"/>
      <c r="FG452" s="23"/>
      <c r="FH452" s="23"/>
      <c r="FI452" s="23"/>
      <c r="FJ452" s="23"/>
      <c r="FK452" s="23"/>
      <c r="FL452" s="23"/>
      <c r="FM452" s="23"/>
      <c r="FN452" s="23"/>
      <c r="FO452" s="23"/>
      <c r="FP452" s="23"/>
      <c r="FQ452" s="23"/>
      <c r="FR452" s="23"/>
      <c r="FS452" s="23"/>
      <c r="FT452" s="23"/>
      <c r="FU452" s="23"/>
      <c r="FV452" s="23"/>
      <c r="FW452" s="23"/>
      <c r="FX452" s="23"/>
      <c r="FY452" s="23"/>
      <c r="FZ452" s="23"/>
      <c r="GA452" s="23"/>
      <c r="GB452" s="23"/>
      <c r="GC452" s="23"/>
      <c r="GD452" s="23"/>
      <c r="GE452" s="23"/>
      <c r="GF452" s="23"/>
      <c r="GG452" s="23"/>
      <c r="GH452" s="23"/>
      <c r="GI452" s="23"/>
      <c r="GJ452" s="23"/>
      <c r="GK452" s="23"/>
      <c r="GL452" s="23"/>
    </row>
    <row r="453" spans="1:194" ht="13">
      <c r="A453" s="23"/>
      <c r="B453" s="23"/>
      <c r="C453" s="23"/>
      <c r="D453" s="23"/>
      <c r="E453" s="23"/>
      <c r="F453" s="23"/>
      <c r="G453" s="23"/>
      <c r="H453" s="401"/>
      <c r="I453" s="401"/>
      <c r="J453" s="401"/>
      <c r="K453" s="401"/>
      <c r="L453" s="401"/>
      <c r="M453" s="438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  <c r="AL453" s="23"/>
      <c r="AM453" s="23"/>
      <c r="AN453" s="23"/>
      <c r="AO453" s="23"/>
      <c r="AP453" s="23"/>
      <c r="AQ453" s="23"/>
      <c r="AR453" s="23"/>
      <c r="AS453" s="23"/>
      <c r="AT453" s="23"/>
      <c r="AU453" s="23"/>
      <c r="AV453" s="23"/>
      <c r="AW453" s="23"/>
      <c r="AX453" s="23"/>
      <c r="AY453" s="23"/>
      <c r="AZ453" s="23"/>
      <c r="BA453" s="23"/>
      <c r="BB453" s="23"/>
      <c r="BC453" s="23"/>
      <c r="BD453" s="23"/>
      <c r="BE453" s="23"/>
      <c r="BF453" s="23"/>
      <c r="BG453" s="23"/>
      <c r="BH453" s="23"/>
      <c r="BI453" s="23"/>
      <c r="BJ453" s="23"/>
      <c r="BK453" s="23"/>
      <c r="BL453" s="23"/>
      <c r="BM453" s="23"/>
      <c r="BN453" s="23"/>
      <c r="BO453" s="23"/>
      <c r="BP453" s="23"/>
      <c r="BQ453" s="23"/>
      <c r="BR453" s="23"/>
      <c r="BS453" s="23"/>
      <c r="BT453" s="23"/>
      <c r="BU453" s="23"/>
      <c r="BV453" s="23"/>
      <c r="BW453" s="23"/>
      <c r="BX453" s="23"/>
      <c r="BY453" s="23"/>
      <c r="BZ453" s="23"/>
      <c r="CA453" s="23"/>
      <c r="CB453" s="23"/>
      <c r="CC453" s="23"/>
      <c r="CD453" s="23"/>
      <c r="CE453" s="23"/>
      <c r="CF453" s="23"/>
      <c r="CG453" s="23"/>
      <c r="CH453" s="23"/>
      <c r="CI453" s="23"/>
      <c r="CJ453" s="23"/>
      <c r="CK453" s="23"/>
      <c r="CL453" s="23"/>
      <c r="CM453" s="23"/>
      <c r="CN453" s="23"/>
      <c r="CO453" s="23"/>
      <c r="CP453" s="23"/>
      <c r="CQ453" s="23"/>
      <c r="CR453" s="23"/>
      <c r="CS453" s="23"/>
      <c r="CT453" s="23"/>
      <c r="CU453" s="23"/>
      <c r="CV453" s="23"/>
      <c r="CW453" s="23"/>
      <c r="CX453" s="23"/>
      <c r="CY453" s="23"/>
      <c r="CZ453" s="23"/>
      <c r="DA453" s="23"/>
      <c r="DB453" s="23"/>
      <c r="DC453" s="23"/>
      <c r="DD453" s="23"/>
      <c r="DE453" s="23"/>
      <c r="DF453" s="23"/>
      <c r="DG453" s="23"/>
      <c r="DH453" s="23"/>
      <c r="DI453" s="23"/>
      <c r="DJ453" s="23"/>
      <c r="DK453" s="23"/>
      <c r="DL453" s="23"/>
      <c r="DM453" s="23"/>
      <c r="DN453" s="23"/>
      <c r="DO453" s="23"/>
      <c r="DP453" s="23"/>
      <c r="DQ453" s="23"/>
      <c r="DR453" s="23"/>
      <c r="DS453" s="23"/>
      <c r="DT453" s="23"/>
      <c r="DU453" s="23"/>
      <c r="DV453" s="23"/>
      <c r="DW453" s="23"/>
      <c r="DX453" s="23"/>
      <c r="DY453" s="23"/>
      <c r="DZ453" s="23"/>
      <c r="EA453" s="23"/>
      <c r="EB453" s="23"/>
      <c r="EC453" s="23"/>
      <c r="ED453" s="23"/>
      <c r="EE453" s="23"/>
      <c r="EF453" s="23"/>
      <c r="EG453" s="23"/>
      <c r="EH453" s="23"/>
      <c r="EI453" s="23"/>
      <c r="EJ453" s="23"/>
      <c r="EK453" s="23"/>
      <c r="EL453" s="23"/>
      <c r="EM453" s="23"/>
      <c r="EN453" s="23"/>
      <c r="EO453" s="23"/>
      <c r="EP453" s="23"/>
      <c r="EQ453" s="23"/>
      <c r="ER453" s="23"/>
      <c r="ES453" s="23"/>
      <c r="ET453" s="23"/>
      <c r="EU453" s="23"/>
      <c r="EV453" s="23"/>
      <c r="EW453" s="23"/>
      <c r="EX453" s="23"/>
      <c r="EY453" s="23"/>
      <c r="EZ453" s="23"/>
      <c r="FA453" s="23"/>
      <c r="FB453" s="23"/>
      <c r="FC453" s="23"/>
      <c r="FD453" s="23"/>
      <c r="FE453" s="23"/>
      <c r="FF453" s="23"/>
      <c r="FG453" s="23"/>
      <c r="FH453" s="23"/>
      <c r="FI453" s="23"/>
      <c r="FJ453" s="23"/>
      <c r="FK453" s="23"/>
      <c r="FL453" s="23"/>
      <c r="FM453" s="23"/>
      <c r="FN453" s="23"/>
      <c r="FO453" s="23"/>
      <c r="FP453" s="23"/>
      <c r="FQ453" s="23"/>
      <c r="FR453" s="23"/>
      <c r="FS453" s="23"/>
      <c r="FT453" s="23"/>
      <c r="FU453" s="23"/>
      <c r="FV453" s="23"/>
      <c r="FW453" s="23"/>
      <c r="FX453" s="23"/>
      <c r="FY453" s="23"/>
      <c r="FZ453" s="23"/>
      <c r="GA453" s="23"/>
      <c r="GB453" s="23"/>
      <c r="GC453" s="23"/>
      <c r="GD453" s="23"/>
      <c r="GE453" s="23"/>
      <c r="GF453" s="23"/>
      <c r="GG453" s="23"/>
      <c r="GH453" s="23"/>
      <c r="GI453" s="23"/>
      <c r="GJ453" s="23"/>
      <c r="GK453" s="23"/>
      <c r="GL453" s="23"/>
    </row>
    <row r="454" spans="1:194" ht="13">
      <c r="A454" s="23"/>
      <c r="B454" s="23"/>
      <c r="C454" s="23"/>
      <c r="D454" s="23"/>
      <c r="E454" s="23"/>
      <c r="F454" s="23"/>
      <c r="G454" s="23"/>
      <c r="H454" s="401"/>
      <c r="I454" s="401"/>
      <c r="J454" s="401"/>
      <c r="K454" s="401"/>
      <c r="L454" s="401"/>
      <c r="M454" s="438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  <c r="AL454" s="23"/>
      <c r="AM454" s="23"/>
      <c r="AN454" s="23"/>
      <c r="AO454" s="23"/>
      <c r="AP454" s="23"/>
      <c r="AQ454" s="23"/>
      <c r="AR454" s="23"/>
      <c r="AS454" s="23"/>
      <c r="AT454" s="23"/>
      <c r="AU454" s="23"/>
      <c r="AV454" s="23"/>
      <c r="AW454" s="23"/>
      <c r="AX454" s="23"/>
      <c r="AY454" s="23"/>
      <c r="AZ454" s="23"/>
      <c r="BA454" s="23"/>
      <c r="BB454" s="23"/>
      <c r="BC454" s="23"/>
      <c r="BD454" s="23"/>
      <c r="BE454" s="23"/>
      <c r="BF454" s="23"/>
      <c r="BG454" s="23"/>
      <c r="BH454" s="23"/>
      <c r="BI454" s="23"/>
      <c r="BJ454" s="23"/>
      <c r="BK454" s="23"/>
      <c r="BL454" s="23"/>
      <c r="BM454" s="23"/>
      <c r="BN454" s="23"/>
      <c r="BO454" s="23"/>
      <c r="BP454" s="23"/>
      <c r="BQ454" s="23"/>
      <c r="BR454" s="23"/>
      <c r="BS454" s="23"/>
      <c r="BT454" s="23"/>
      <c r="BU454" s="23"/>
      <c r="BV454" s="23"/>
      <c r="BW454" s="23"/>
      <c r="BX454" s="23"/>
      <c r="BY454" s="23"/>
      <c r="BZ454" s="23"/>
      <c r="CA454" s="23"/>
      <c r="CB454" s="23"/>
      <c r="CC454" s="23"/>
      <c r="CD454" s="23"/>
      <c r="CE454" s="23"/>
      <c r="CF454" s="23"/>
      <c r="CG454" s="23"/>
      <c r="CH454" s="23"/>
      <c r="CI454" s="23"/>
      <c r="CJ454" s="23"/>
      <c r="CK454" s="23"/>
      <c r="CL454" s="23"/>
      <c r="CM454" s="23"/>
      <c r="CN454" s="23"/>
      <c r="CO454" s="23"/>
      <c r="CP454" s="23"/>
      <c r="CQ454" s="23"/>
      <c r="CR454" s="23"/>
      <c r="CS454" s="23"/>
      <c r="CT454" s="23"/>
      <c r="CU454" s="23"/>
      <c r="CV454" s="23"/>
      <c r="CW454" s="23"/>
      <c r="CX454" s="23"/>
      <c r="CY454" s="23"/>
      <c r="CZ454" s="23"/>
      <c r="DA454" s="23"/>
      <c r="DB454" s="23"/>
      <c r="DC454" s="23"/>
      <c r="DD454" s="23"/>
      <c r="DE454" s="23"/>
      <c r="DF454" s="23"/>
      <c r="DG454" s="23"/>
      <c r="DH454" s="23"/>
      <c r="DI454" s="23"/>
      <c r="DJ454" s="23"/>
      <c r="DK454" s="23"/>
      <c r="DL454" s="23"/>
      <c r="DM454" s="23"/>
      <c r="DN454" s="23"/>
      <c r="DO454" s="23"/>
      <c r="DP454" s="23"/>
      <c r="DQ454" s="23"/>
      <c r="DR454" s="23"/>
      <c r="DS454" s="23"/>
      <c r="DT454" s="23"/>
      <c r="DU454" s="23"/>
      <c r="DV454" s="23"/>
      <c r="DW454" s="23"/>
      <c r="DX454" s="23"/>
      <c r="DY454" s="23"/>
      <c r="DZ454" s="23"/>
      <c r="EA454" s="23"/>
      <c r="EB454" s="23"/>
      <c r="EC454" s="23"/>
      <c r="ED454" s="23"/>
      <c r="EE454" s="23"/>
      <c r="EF454" s="23"/>
      <c r="EG454" s="23"/>
      <c r="EH454" s="23"/>
      <c r="EI454" s="23"/>
      <c r="EJ454" s="23"/>
      <c r="EK454" s="23"/>
      <c r="EL454" s="23"/>
      <c r="EM454" s="23"/>
      <c r="EN454" s="23"/>
      <c r="EO454" s="23"/>
      <c r="EP454" s="23"/>
      <c r="EQ454" s="23"/>
      <c r="ER454" s="23"/>
      <c r="ES454" s="23"/>
      <c r="ET454" s="23"/>
      <c r="EU454" s="23"/>
      <c r="EV454" s="23"/>
      <c r="EW454" s="23"/>
      <c r="EX454" s="23"/>
      <c r="EY454" s="23"/>
      <c r="EZ454" s="23"/>
      <c r="FA454" s="23"/>
      <c r="FB454" s="23"/>
      <c r="FC454" s="23"/>
      <c r="FD454" s="23"/>
      <c r="FE454" s="23"/>
      <c r="FF454" s="23"/>
      <c r="FG454" s="23"/>
      <c r="FH454" s="23"/>
      <c r="FI454" s="23"/>
      <c r="FJ454" s="23"/>
      <c r="FK454" s="23"/>
      <c r="FL454" s="23"/>
      <c r="FM454" s="23"/>
      <c r="FN454" s="23"/>
      <c r="FO454" s="23"/>
      <c r="FP454" s="23"/>
      <c r="FQ454" s="23"/>
      <c r="FR454" s="23"/>
      <c r="FS454" s="23"/>
      <c r="FT454" s="23"/>
      <c r="FU454" s="23"/>
      <c r="FV454" s="23"/>
      <c r="FW454" s="23"/>
      <c r="FX454" s="23"/>
      <c r="FY454" s="23"/>
      <c r="FZ454" s="23"/>
      <c r="GA454" s="23"/>
      <c r="GB454" s="23"/>
      <c r="GC454" s="23"/>
      <c r="GD454" s="23"/>
      <c r="GE454" s="23"/>
      <c r="GF454" s="23"/>
      <c r="GG454" s="23"/>
      <c r="GH454" s="23"/>
      <c r="GI454" s="23"/>
      <c r="GJ454" s="23"/>
      <c r="GK454" s="23"/>
      <c r="GL454" s="23"/>
    </row>
    <row r="455" spans="1:194" ht="13">
      <c r="A455" s="23"/>
      <c r="B455" s="23"/>
      <c r="C455" s="23"/>
      <c r="D455" s="23"/>
      <c r="E455" s="23"/>
      <c r="F455" s="23"/>
      <c r="G455" s="23"/>
      <c r="H455" s="401"/>
      <c r="I455" s="401"/>
      <c r="J455" s="401"/>
      <c r="K455" s="401"/>
      <c r="L455" s="401"/>
      <c r="M455" s="438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  <c r="AL455" s="23"/>
      <c r="AM455" s="23"/>
      <c r="AN455" s="23"/>
      <c r="AO455" s="23"/>
      <c r="AP455" s="23"/>
      <c r="AQ455" s="23"/>
      <c r="AR455" s="23"/>
      <c r="AS455" s="23"/>
      <c r="AT455" s="23"/>
      <c r="AU455" s="23"/>
      <c r="AV455" s="23"/>
      <c r="AW455" s="23"/>
      <c r="AX455" s="23"/>
      <c r="AY455" s="23"/>
      <c r="AZ455" s="23"/>
      <c r="BA455" s="23"/>
      <c r="BB455" s="23"/>
      <c r="BC455" s="23"/>
      <c r="BD455" s="23"/>
      <c r="BE455" s="23"/>
      <c r="BF455" s="23"/>
      <c r="BG455" s="23"/>
      <c r="BH455" s="23"/>
      <c r="BI455" s="23"/>
      <c r="BJ455" s="23"/>
      <c r="BK455" s="23"/>
      <c r="BL455" s="23"/>
      <c r="BM455" s="23"/>
      <c r="BN455" s="23"/>
      <c r="BO455" s="23"/>
      <c r="BP455" s="23"/>
      <c r="BQ455" s="23"/>
      <c r="BR455" s="23"/>
      <c r="BS455" s="23"/>
      <c r="BT455" s="23"/>
      <c r="BU455" s="23"/>
      <c r="BV455" s="23"/>
      <c r="BW455" s="23"/>
      <c r="BX455" s="23"/>
      <c r="BY455" s="23"/>
      <c r="BZ455" s="23"/>
      <c r="CA455" s="23"/>
      <c r="CB455" s="23"/>
      <c r="CC455" s="23"/>
      <c r="CD455" s="23"/>
      <c r="CE455" s="23"/>
      <c r="CF455" s="23"/>
      <c r="CG455" s="23"/>
      <c r="CH455" s="23"/>
      <c r="CI455" s="23"/>
      <c r="CJ455" s="23"/>
      <c r="CK455" s="23"/>
      <c r="CL455" s="23"/>
      <c r="CM455" s="23"/>
      <c r="CN455" s="23"/>
      <c r="CO455" s="23"/>
      <c r="CP455" s="23"/>
      <c r="CQ455" s="23"/>
      <c r="CR455" s="23"/>
      <c r="CS455" s="23"/>
      <c r="CT455" s="23"/>
      <c r="CU455" s="23"/>
      <c r="CV455" s="23"/>
      <c r="CW455" s="23"/>
      <c r="CX455" s="23"/>
      <c r="CY455" s="23"/>
      <c r="CZ455" s="23"/>
      <c r="DA455" s="23"/>
      <c r="DB455" s="23"/>
      <c r="DC455" s="23"/>
      <c r="DD455" s="23"/>
      <c r="DE455" s="23"/>
      <c r="DF455" s="23"/>
      <c r="DG455" s="23"/>
      <c r="DH455" s="23"/>
      <c r="DI455" s="23"/>
      <c r="DJ455" s="23"/>
      <c r="DK455" s="23"/>
      <c r="DL455" s="23"/>
      <c r="DM455" s="23"/>
      <c r="DN455" s="23"/>
      <c r="DO455" s="23"/>
      <c r="DP455" s="23"/>
      <c r="DQ455" s="23"/>
      <c r="DR455" s="23"/>
      <c r="DS455" s="23"/>
      <c r="DT455" s="23"/>
      <c r="DU455" s="23"/>
      <c r="DV455" s="23"/>
      <c r="DW455" s="23"/>
      <c r="DX455" s="23"/>
      <c r="DY455" s="23"/>
      <c r="DZ455" s="23"/>
      <c r="EA455" s="23"/>
      <c r="EB455" s="23"/>
      <c r="EC455" s="23"/>
      <c r="ED455" s="23"/>
      <c r="EE455" s="23"/>
      <c r="EF455" s="23"/>
      <c r="EG455" s="23"/>
      <c r="EH455" s="23"/>
      <c r="EI455" s="23"/>
      <c r="EJ455" s="23"/>
      <c r="EK455" s="23"/>
      <c r="EL455" s="23"/>
      <c r="EM455" s="23"/>
      <c r="EN455" s="23"/>
      <c r="EO455" s="23"/>
      <c r="EP455" s="23"/>
      <c r="EQ455" s="23"/>
      <c r="ER455" s="23"/>
      <c r="ES455" s="23"/>
      <c r="ET455" s="23"/>
      <c r="EU455" s="23"/>
      <c r="EV455" s="23"/>
      <c r="EW455" s="23"/>
      <c r="EX455" s="23"/>
      <c r="EY455" s="23"/>
      <c r="EZ455" s="23"/>
      <c r="FA455" s="23"/>
      <c r="FB455" s="23"/>
      <c r="FC455" s="23"/>
      <c r="FD455" s="23"/>
      <c r="FE455" s="23"/>
      <c r="FF455" s="23"/>
      <c r="FG455" s="23"/>
      <c r="FH455" s="23"/>
      <c r="FI455" s="23"/>
      <c r="FJ455" s="23"/>
      <c r="FK455" s="23"/>
      <c r="FL455" s="23"/>
      <c r="FM455" s="23"/>
      <c r="FN455" s="23"/>
      <c r="FO455" s="23"/>
      <c r="FP455" s="23"/>
      <c r="FQ455" s="23"/>
      <c r="FR455" s="23"/>
      <c r="FS455" s="23"/>
      <c r="FT455" s="23"/>
      <c r="FU455" s="23"/>
      <c r="FV455" s="23"/>
      <c r="FW455" s="23"/>
      <c r="FX455" s="23"/>
      <c r="FY455" s="23"/>
      <c r="FZ455" s="23"/>
      <c r="GA455" s="23"/>
      <c r="GB455" s="23"/>
      <c r="GC455" s="23"/>
      <c r="GD455" s="23"/>
      <c r="GE455" s="23"/>
      <c r="GF455" s="23"/>
      <c r="GG455" s="23"/>
      <c r="GH455" s="23"/>
      <c r="GI455" s="23"/>
      <c r="GJ455" s="23"/>
      <c r="GK455" s="23"/>
      <c r="GL455" s="23"/>
    </row>
    <row r="456" spans="1:194" ht="13">
      <c r="A456" s="23"/>
      <c r="B456" s="23"/>
      <c r="C456" s="23"/>
      <c r="D456" s="23"/>
      <c r="E456" s="23"/>
      <c r="F456" s="23"/>
      <c r="G456" s="23"/>
      <c r="H456" s="401"/>
      <c r="I456" s="401"/>
      <c r="J456" s="401"/>
      <c r="K456" s="401"/>
      <c r="L456" s="401"/>
      <c r="M456" s="438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  <c r="AL456" s="23"/>
      <c r="AM456" s="23"/>
      <c r="AN456" s="23"/>
      <c r="AO456" s="23"/>
      <c r="AP456" s="23"/>
      <c r="AQ456" s="23"/>
      <c r="AR456" s="23"/>
      <c r="AS456" s="23"/>
      <c r="AT456" s="23"/>
      <c r="AU456" s="23"/>
      <c r="AV456" s="23"/>
      <c r="AW456" s="23"/>
      <c r="AX456" s="23"/>
      <c r="AY456" s="23"/>
      <c r="AZ456" s="23"/>
      <c r="BA456" s="23"/>
      <c r="BB456" s="23"/>
      <c r="BC456" s="23"/>
      <c r="BD456" s="23"/>
      <c r="BE456" s="23"/>
      <c r="BF456" s="23"/>
      <c r="BG456" s="23"/>
      <c r="BH456" s="23"/>
      <c r="BI456" s="23"/>
      <c r="BJ456" s="23"/>
      <c r="BK456" s="23"/>
      <c r="BL456" s="23"/>
      <c r="BM456" s="23"/>
      <c r="BN456" s="23"/>
      <c r="BO456" s="23"/>
      <c r="BP456" s="23"/>
      <c r="BQ456" s="23"/>
      <c r="BR456" s="23"/>
      <c r="BS456" s="23"/>
      <c r="BT456" s="23"/>
      <c r="BU456" s="23"/>
      <c r="BV456" s="23"/>
      <c r="BW456" s="23"/>
      <c r="BX456" s="23"/>
      <c r="BY456" s="23"/>
      <c r="BZ456" s="23"/>
      <c r="CA456" s="23"/>
      <c r="CB456" s="23"/>
      <c r="CC456" s="23"/>
      <c r="CD456" s="23"/>
      <c r="CE456" s="23"/>
      <c r="CF456" s="23"/>
      <c r="CG456" s="23"/>
      <c r="CH456" s="23"/>
      <c r="CI456" s="23"/>
      <c r="CJ456" s="23"/>
      <c r="CK456" s="23"/>
      <c r="CL456" s="23"/>
      <c r="CM456" s="23"/>
      <c r="CN456" s="23"/>
      <c r="CO456" s="23"/>
      <c r="CP456" s="23"/>
      <c r="CQ456" s="23"/>
      <c r="CR456" s="23"/>
      <c r="CS456" s="23"/>
      <c r="CT456" s="23"/>
      <c r="CU456" s="23"/>
      <c r="CV456" s="23"/>
      <c r="CW456" s="23"/>
      <c r="CX456" s="23"/>
      <c r="CY456" s="23"/>
      <c r="CZ456" s="23"/>
      <c r="DA456" s="23"/>
      <c r="DB456" s="23"/>
      <c r="DC456" s="23"/>
      <c r="DD456" s="23"/>
      <c r="DE456" s="23"/>
      <c r="DF456" s="23"/>
      <c r="DG456" s="23"/>
      <c r="DH456" s="23"/>
      <c r="DI456" s="23"/>
      <c r="DJ456" s="23"/>
      <c r="DK456" s="23"/>
      <c r="DL456" s="23"/>
      <c r="DM456" s="23"/>
      <c r="DN456" s="23"/>
      <c r="DO456" s="23"/>
      <c r="DP456" s="23"/>
      <c r="DQ456" s="23"/>
      <c r="DR456" s="23"/>
      <c r="DS456" s="23"/>
      <c r="DT456" s="23"/>
      <c r="DU456" s="23"/>
      <c r="DV456" s="23"/>
      <c r="DW456" s="23"/>
      <c r="DX456" s="23"/>
      <c r="DY456" s="23"/>
      <c r="DZ456" s="23"/>
      <c r="EA456" s="23"/>
      <c r="EB456" s="23"/>
      <c r="EC456" s="23"/>
      <c r="ED456" s="23"/>
      <c r="EE456" s="23"/>
      <c r="EF456" s="23"/>
      <c r="EG456" s="23"/>
      <c r="EH456" s="23"/>
      <c r="EI456" s="23"/>
      <c r="EJ456" s="23"/>
      <c r="EK456" s="23"/>
      <c r="EL456" s="23"/>
      <c r="EM456" s="23"/>
      <c r="EN456" s="23"/>
      <c r="EO456" s="23"/>
      <c r="EP456" s="23"/>
      <c r="EQ456" s="23"/>
      <c r="ER456" s="23"/>
      <c r="ES456" s="23"/>
      <c r="ET456" s="23"/>
      <c r="EU456" s="23"/>
      <c r="EV456" s="23"/>
      <c r="EW456" s="23"/>
      <c r="EX456" s="23"/>
      <c r="EY456" s="23"/>
      <c r="EZ456" s="23"/>
      <c r="FA456" s="23"/>
      <c r="FB456" s="23"/>
      <c r="FC456" s="23"/>
      <c r="FD456" s="23"/>
      <c r="FE456" s="23"/>
      <c r="FF456" s="23"/>
      <c r="FG456" s="23"/>
      <c r="FH456" s="23"/>
      <c r="FI456" s="23"/>
      <c r="FJ456" s="23"/>
      <c r="FK456" s="23"/>
      <c r="FL456" s="23"/>
      <c r="FM456" s="23"/>
      <c r="FN456" s="23"/>
      <c r="FO456" s="23"/>
      <c r="FP456" s="23"/>
      <c r="FQ456" s="23"/>
      <c r="FR456" s="23"/>
      <c r="FS456" s="23"/>
      <c r="FT456" s="23"/>
      <c r="FU456" s="23"/>
      <c r="FV456" s="23"/>
      <c r="FW456" s="23"/>
      <c r="FX456" s="23"/>
      <c r="FY456" s="23"/>
      <c r="FZ456" s="23"/>
      <c r="GA456" s="23"/>
      <c r="GB456" s="23"/>
      <c r="GC456" s="23"/>
      <c r="GD456" s="23"/>
      <c r="GE456" s="23"/>
      <c r="GF456" s="23"/>
      <c r="GG456" s="23"/>
      <c r="GH456" s="23"/>
      <c r="GI456" s="23"/>
      <c r="GJ456" s="23"/>
      <c r="GK456" s="23"/>
      <c r="GL456" s="23"/>
    </row>
    <row r="457" spans="1:194" ht="13">
      <c r="A457" s="23"/>
      <c r="B457" s="23"/>
      <c r="C457" s="23"/>
      <c r="D457" s="23"/>
      <c r="E457" s="23"/>
      <c r="F457" s="23"/>
      <c r="G457" s="23"/>
      <c r="H457" s="401"/>
      <c r="I457" s="401"/>
      <c r="J457" s="401"/>
      <c r="K457" s="401"/>
      <c r="L457" s="401"/>
      <c r="M457" s="438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  <c r="AL457" s="23"/>
      <c r="AM457" s="23"/>
      <c r="AN457" s="23"/>
      <c r="AO457" s="23"/>
      <c r="AP457" s="23"/>
      <c r="AQ457" s="23"/>
      <c r="AR457" s="23"/>
      <c r="AS457" s="23"/>
      <c r="AT457" s="23"/>
      <c r="AU457" s="23"/>
      <c r="AV457" s="23"/>
      <c r="AW457" s="23"/>
      <c r="AX457" s="23"/>
      <c r="AY457" s="23"/>
      <c r="AZ457" s="23"/>
      <c r="BA457" s="23"/>
      <c r="BB457" s="23"/>
      <c r="BC457" s="23"/>
      <c r="BD457" s="23"/>
      <c r="BE457" s="23"/>
      <c r="BF457" s="23"/>
      <c r="BG457" s="23"/>
      <c r="BH457" s="23"/>
      <c r="BI457" s="23"/>
      <c r="BJ457" s="23"/>
      <c r="BK457" s="23"/>
      <c r="BL457" s="23"/>
      <c r="BM457" s="23"/>
      <c r="BN457" s="23"/>
      <c r="BO457" s="23"/>
      <c r="BP457" s="23"/>
      <c r="BQ457" s="23"/>
      <c r="BR457" s="23"/>
      <c r="BS457" s="23"/>
      <c r="BT457" s="23"/>
      <c r="BU457" s="23"/>
      <c r="BV457" s="23"/>
      <c r="BW457" s="23"/>
      <c r="BX457" s="23"/>
      <c r="BY457" s="23"/>
      <c r="BZ457" s="23"/>
      <c r="CA457" s="23"/>
      <c r="CB457" s="23"/>
      <c r="CC457" s="23"/>
      <c r="CD457" s="23"/>
      <c r="CE457" s="23"/>
      <c r="CF457" s="23"/>
      <c r="CG457" s="23"/>
      <c r="CH457" s="23"/>
      <c r="CI457" s="23"/>
      <c r="CJ457" s="23"/>
      <c r="CK457" s="23"/>
      <c r="CL457" s="23"/>
      <c r="CM457" s="23"/>
      <c r="CN457" s="23"/>
      <c r="CO457" s="23"/>
      <c r="CP457" s="23"/>
      <c r="CQ457" s="23"/>
      <c r="CR457" s="23"/>
      <c r="CS457" s="23"/>
      <c r="CT457" s="23"/>
      <c r="CU457" s="23"/>
      <c r="CV457" s="23"/>
      <c r="CW457" s="23"/>
      <c r="CX457" s="23"/>
      <c r="CY457" s="23"/>
      <c r="CZ457" s="23"/>
      <c r="DA457" s="23"/>
      <c r="DB457" s="23"/>
      <c r="DC457" s="23"/>
      <c r="DD457" s="23"/>
      <c r="DE457" s="23"/>
      <c r="DF457" s="23"/>
      <c r="DG457" s="23"/>
      <c r="DH457" s="23"/>
      <c r="DI457" s="23"/>
      <c r="DJ457" s="23"/>
      <c r="DK457" s="23"/>
      <c r="DL457" s="23"/>
      <c r="DM457" s="23"/>
      <c r="DN457" s="23"/>
      <c r="DO457" s="23"/>
      <c r="DP457" s="23"/>
      <c r="DQ457" s="23"/>
      <c r="DR457" s="23"/>
      <c r="DS457" s="23"/>
      <c r="DT457" s="23"/>
      <c r="DU457" s="23"/>
      <c r="DV457" s="23"/>
      <c r="DW457" s="23"/>
      <c r="DX457" s="23"/>
      <c r="DY457" s="23"/>
      <c r="DZ457" s="23"/>
      <c r="EA457" s="23"/>
      <c r="EB457" s="23"/>
      <c r="EC457" s="23"/>
      <c r="ED457" s="23"/>
      <c r="EE457" s="23"/>
      <c r="EF457" s="23"/>
      <c r="EG457" s="23"/>
      <c r="EH457" s="23"/>
      <c r="EI457" s="23"/>
      <c r="EJ457" s="23"/>
      <c r="EK457" s="23"/>
      <c r="EL457" s="23"/>
      <c r="EM457" s="23"/>
      <c r="EN457" s="23"/>
      <c r="EO457" s="23"/>
      <c r="EP457" s="23"/>
      <c r="EQ457" s="23"/>
      <c r="ER457" s="23"/>
      <c r="ES457" s="23"/>
      <c r="ET457" s="23"/>
      <c r="EU457" s="23"/>
      <c r="EV457" s="23"/>
      <c r="EW457" s="23"/>
      <c r="EX457" s="23"/>
      <c r="EY457" s="23"/>
      <c r="EZ457" s="23"/>
      <c r="FA457" s="23"/>
      <c r="FB457" s="23"/>
      <c r="FC457" s="23"/>
      <c r="FD457" s="23"/>
      <c r="FE457" s="23"/>
      <c r="FF457" s="23"/>
      <c r="FG457" s="23"/>
      <c r="FH457" s="23"/>
      <c r="FI457" s="23"/>
      <c r="FJ457" s="23"/>
      <c r="FK457" s="23"/>
      <c r="FL457" s="23"/>
      <c r="FM457" s="23"/>
      <c r="FN457" s="23"/>
      <c r="FO457" s="23"/>
      <c r="FP457" s="23"/>
      <c r="FQ457" s="23"/>
      <c r="FR457" s="23"/>
      <c r="FS457" s="23"/>
      <c r="FT457" s="23"/>
      <c r="FU457" s="23"/>
      <c r="FV457" s="23"/>
      <c r="FW457" s="23"/>
      <c r="FX457" s="23"/>
      <c r="FY457" s="23"/>
      <c r="FZ457" s="23"/>
      <c r="GA457" s="23"/>
      <c r="GB457" s="23"/>
      <c r="GC457" s="23"/>
      <c r="GD457" s="23"/>
      <c r="GE457" s="23"/>
      <c r="GF457" s="23"/>
      <c r="GG457" s="23"/>
      <c r="GH457" s="23"/>
      <c r="GI457" s="23"/>
      <c r="GJ457" s="23"/>
      <c r="GK457" s="23"/>
      <c r="GL457" s="23"/>
    </row>
    <row r="458" spans="1:194" ht="13">
      <c r="A458" s="23"/>
      <c r="B458" s="23"/>
      <c r="C458" s="23"/>
      <c r="D458" s="23"/>
      <c r="E458" s="23"/>
      <c r="F458" s="23"/>
      <c r="G458" s="23"/>
      <c r="H458" s="401"/>
      <c r="I458" s="401"/>
      <c r="J458" s="401"/>
      <c r="K458" s="401"/>
      <c r="L458" s="401"/>
      <c r="M458" s="438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  <c r="AL458" s="23"/>
      <c r="AM458" s="23"/>
      <c r="AN458" s="23"/>
      <c r="AO458" s="23"/>
      <c r="AP458" s="23"/>
      <c r="AQ458" s="23"/>
      <c r="AR458" s="23"/>
      <c r="AS458" s="23"/>
      <c r="AT458" s="23"/>
      <c r="AU458" s="23"/>
      <c r="AV458" s="23"/>
      <c r="AW458" s="23"/>
      <c r="AX458" s="23"/>
      <c r="AY458" s="23"/>
      <c r="AZ458" s="23"/>
      <c r="BA458" s="23"/>
      <c r="BB458" s="23"/>
      <c r="BC458" s="23"/>
      <c r="BD458" s="23"/>
      <c r="BE458" s="23"/>
      <c r="BF458" s="23"/>
      <c r="BG458" s="23"/>
      <c r="BH458" s="23"/>
      <c r="BI458" s="23"/>
      <c r="BJ458" s="23"/>
      <c r="BK458" s="23"/>
      <c r="BL458" s="23"/>
      <c r="BM458" s="23"/>
      <c r="BN458" s="23"/>
      <c r="BO458" s="23"/>
      <c r="BP458" s="23"/>
      <c r="BQ458" s="23"/>
      <c r="BR458" s="23"/>
      <c r="BS458" s="23"/>
      <c r="BT458" s="23"/>
      <c r="BU458" s="23"/>
      <c r="BV458" s="23"/>
      <c r="BW458" s="23"/>
      <c r="BX458" s="23"/>
      <c r="BY458" s="23"/>
      <c r="BZ458" s="23"/>
      <c r="CA458" s="23"/>
      <c r="CB458" s="23"/>
      <c r="CC458" s="23"/>
      <c r="CD458" s="23"/>
      <c r="CE458" s="23"/>
      <c r="CF458" s="23"/>
      <c r="CG458" s="23"/>
      <c r="CH458" s="23"/>
      <c r="CI458" s="23"/>
      <c r="CJ458" s="23"/>
      <c r="CK458" s="23"/>
      <c r="CL458" s="23"/>
      <c r="CM458" s="23"/>
      <c r="CN458" s="23"/>
      <c r="CO458" s="23"/>
      <c r="CP458" s="23"/>
      <c r="CQ458" s="23"/>
      <c r="CR458" s="23"/>
      <c r="CS458" s="23"/>
      <c r="CT458" s="23"/>
      <c r="CU458" s="23"/>
      <c r="CV458" s="23"/>
      <c r="CW458" s="23"/>
      <c r="CX458" s="23"/>
      <c r="CY458" s="23"/>
      <c r="CZ458" s="23"/>
      <c r="DA458" s="23"/>
      <c r="DB458" s="23"/>
      <c r="DC458" s="23"/>
      <c r="DD458" s="23"/>
      <c r="DE458" s="23"/>
      <c r="DF458" s="23"/>
      <c r="DG458" s="23"/>
      <c r="DH458" s="23"/>
      <c r="DI458" s="23"/>
      <c r="DJ458" s="23"/>
      <c r="DK458" s="23"/>
      <c r="DL458" s="23"/>
      <c r="DM458" s="23"/>
      <c r="DN458" s="23"/>
      <c r="DO458" s="23"/>
      <c r="DP458" s="23"/>
      <c r="DQ458" s="23"/>
      <c r="DR458" s="23"/>
      <c r="DS458" s="23"/>
      <c r="DT458" s="23"/>
      <c r="DU458" s="23"/>
      <c r="DV458" s="23"/>
      <c r="DW458" s="23"/>
      <c r="DX458" s="23"/>
      <c r="DY458" s="23"/>
      <c r="DZ458" s="23"/>
      <c r="EA458" s="23"/>
      <c r="EB458" s="23"/>
      <c r="EC458" s="23"/>
      <c r="ED458" s="23"/>
      <c r="EE458" s="23"/>
      <c r="EF458" s="23"/>
      <c r="EG458" s="23"/>
      <c r="EH458" s="23"/>
      <c r="EI458" s="23"/>
      <c r="EJ458" s="23"/>
      <c r="EK458" s="23"/>
      <c r="EL458" s="23"/>
      <c r="EM458" s="23"/>
      <c r="EN458" s="23"/>
      <c r="EO458" s="23"/>
      <c r="EP458" s="23"/>
      <c r="EQ458" s="23"/>
      <c r="ER458" s="23"/>
      <c r="ES458" s="23"/>
      <c r="ET458" s="23"/>
      <c r="EU458" s="23"/>
      <c r="EV458" s="23"/>
      <c r="EW458" s="23"/>
      <c r="EX458" s="23"/>
      <c r="EY458" s="23"/>
      <c r="EZ458" s="23"/>
      <c r="FA458" s="23"/>
      <c r="FB458" s="23"/>
      <c r="FC458" s="23"/>
      <c r="FD458" s="23"/>
      <c r="FE458" s="23"/>
      <c r="FF458" s="23"/>
      <c r="FG458" s="23"/>
      <c r="FH458" s="23"/>
      <c r="FI458" s="23"/>
      <c r="FJ458" s="23"/>
      <c r="FK458" s="23"/>
      <c r="FL458" s="23"/>
      <c r="FM458" s="23"/>
      <c r="FN458" s="23"/>
      <c r="FO458" s="23"/>
      <c r="FP458" s="23"/>
      <c r="FQ458" s="23"/>
      <c r="FR458" s="23"/>
      <c r="FS458" s="23"/>
      <c r="FT458" s="23"/>
      <c r="FU458" s="23"/>
      <c r="FV458" s="23"/>
      <c r="FW458" s="23"/>
      <c r="FX458" s="23"/>
      <c r="FY458" s="23"/>
      <c r="FZ458" s="23"/>
      <c r="GA458" s="23"/>
      <c r="GB458" s="23"/>
      <c r="GC458" s="23"/>
      <c r="GD458" s="23"/>
      <c r="GE458" s="23"/>
      <c r="GF458" s="23"/>
      <c r="GG458" s="23"/>
      <c r="GH458" s="23"/>
      <c r="GI458" s="23"/>
      <c r="GJ458" s="23"/>
      <c r="GK458" s="23"/>
      <c r="GL458" s="23"/>
    </row>
    <row r="459" spans="1:194" ht="13">
      <c r="A459" s="23"/>
      <c r="B459" s="23"/>
      <c r="C459" s="23"/>
      <c r="D459" s="23"/>
      <c r="E459" s="23"/>
      <c r="F459" s="23"/>
      <c r="G459" s="23"/>
      <c r="H459" s="401"/>
      <c r="I459" s="401"/>
      <c r="J459" s="401"/>
      <c r="K459" s="401"/>
      <c r="L459" s="401"/>
      <c r="M459" s="438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  <c r="AL459" s="23"/>
      <c r="AM459" s="23"/>
      <c r="AN459" s="23"/>
      <c r="AO459" s="23"/>
      <c r="AP459" s="23"/>
      <c r="AQ459" s="23"/>
      <c r="AR459" s="23"/>
      <c r="AS459" s="23"/>
      <c r="AT459" s="23"/>
      <c r="AU459" s="23"/>
      <c r="AV459" s="23"/>
      <c r="AW459" s="23"/>
      <c r="AX459" s="23"/>
      <c r="AY459" s="23"/>
      <c r="AZ459" s="23"/>
      <c r="BA459" s="23"/>
      <c r="BB459" s="23"/>
      <c r="BC459" s="23"/>
      <c r="BD459" s="23"/>
      <c r="BE459" s="23"/>
      <c r="BF459" s="23"/>
      <c r="BG459" s="23"/>
      <c r="BH459" s="23"/>
      <c r="BI459" s="23"/>
      <c r="BJ459" s="23"/>
      <c r="BK459" s="23"/>
      <c r="BL459" s="23"/>
      <c r="BM459" s="23"/>
      <c r="BN459" s="23"/>
      <c r="BO459" s="23"/>
      <c r="BP459" s="23"/>
      <c r="BQ459" s="23"/>
      <c r="BR459" s="23"/>
      <c r="BS459" s="23"/>
      <c r="BT459" s="23"/>
      <c r="BU459" s="23"/>
      <c r="BV459" s="23"/>
      <c r="BW459" s="23"/>
      <c r="BX459" s="23"/>
      <c r="BY459" s="23"/>
      <c r="BZ459" s="23"/>
      <c r="CA459" s="23"/>
      <c r="CB459" s="23"/>
      <c r="CC459" s="23"/>
      <c r="CD459" s="23"/>
      <c r="CE459" s="23"/>
      <c r="CF459" s="23"/>
      <c r="CG459" s="23"/>
      <c r="CH459" s="23"/>
      <c r="CI459" s="23"/>
      <c r="CJ459" s="23"/>
      <c r="CK459" s="23"/>
      <c r="CL459" s="23"/>
      <c r="CM459" s="23"/>
      <c r="CN459" s="23"/>
      <c r="CO459" s="23"/>
      <c r="CP459" s="23"/>
      <c r="CQ459" s="23"/>
      <c r="CR459" s="23"/>
      <c r="CS459" s="23"/>
      <c r="CT459" s="23"/>
      <c r="CU459" s="23"/>
      <c r="CV459" s="23"/>
      <c r="CW459" s="23"/>
      <c r="CX459" s="23"/>
      <c r="CY459" s="23"/>
      <c r="CZ459" s="23"/>
      <c r="DA459" s="23"/>
      <c r="DB459" s="23"/>
      <c r="DC459" s="23"/>
      <c r="DD459" s="23"/>
      <c r="DE459" s="23"/>
      <c r="DF459" s="23"/>
      <c r="DG459" s="23"/>
      <c r="DH459" s="23"/>
      <c r="DI459" s="23"/>
      <c r="DJ459" s="23"/>
      <c r="DK459" s="23"/>
      <c r="DL459" s="23"/>
      <c r="DM459" s="23"/>
      <c r="DN459" s="23"/>
      <c r="DO459" s="23"/>
      <c r="DP459" s="23"/>
      <c r="DQ459" s="23"/>
      <c r="DR459" s="23"/>
      <c r="DS459" s="23"/>
      <c r="DT459" s="23"/>
      <c r="DU459" s="23"/>
      <c r="DV459" s="23"/>
      <c r="DW459" s="23"/>
      <c r="DX459" s="23"/>
      <c r="DY459" s="23"/>
      <c r="DZ459" s="23"/>
      <c r="EA459" s="23"/>
      <c r="EB459" s="23"/>
      <c r="EC459" s="23"/>
      <c r="ED459" s="23"/>
      <c r="EE459" s="23"/>
      <c r="EF459" s="23"/>
      <c r="EG459" s="23"/>
      <c r="EH459" s="23"/>
      <c r="EI459" s="23"/>
      <c r="EJ459" s="23"/>
      <c r="EK459" s="23"/>
      <c r="EL459" s="23"/>
      <c r="EM459" s="23"/>
      <c r="EN459" s="23"/>
      <c r="EO459" s="23"/>
      <c r="EP459" s="23"/>
      <c r="EQ459" s="23"/>
      <c r="ER459" s="23"/>
      <c r="ES459" s="23"/>
      <c r="ET459" s="23"/>
      <c r="EU459" s="23"/>
      <c r="EV459" s="23"/>
      <c r="EW459" s="23"/>
      <c r="EX459" s="23"/>
      <c r="EY459" s="23"/>
      <c r="EZ459" s="23"/>
      <c r="FA459" s="23"/>
      <c r="FB459" s="23"/>
      <c r="FC459" s="23"/>
      <c r="FD459" s="23"/>
      <c r="FE459" s="23"/>
      <c r="FF459" s="23"/>
      <c r="FG459" s="23"/>
      <c r="FH459" s="23"/>
      <c r="FI459" s="23"/>
      <c r="FJ459" s="23"/>
      <c r="FK459" s="23"/>
      <c r="FL459" s="23"/>
      <c r="FM459" s="23"/>
      <c r="FN459" s="23"/>
      <c r="FO459" s="23"/>
      <c r="FP459" s="23"/>
      <c r="FQ459" s="23"/>
      <c r="FR459" s="23"/>
      <c r="FS459" s="23"/>
      <c r="FT459" s="23"/>
      <c r="FU459" s="23"/>
      <c r="FV459" s="23"/>
      <c r="FW459" s="23"/>
      <c r="FX459" s="23"/>
      <c r="FY459" s="23"/>
      <c r="FZ459" s="23"/>
      <c r="GA459" s="23"/>
      <c r="GB459" s="23"/>
      <c r="GC459" s="23"/>
      <c r="GD459" s="23"/>
      <c r="GE459" s="23"/>
      <c r="GF459" s="23"/>
      <c r="GG459" s="23"/>
      <c r="GH459" s="23"/>
      <c r="GI459" s="23"/>
      <c r="GJ459" s="23"/>
      <c r="GK459" s="23"/>
      <c r="GL459" s="23"/>
    </row>
    <row r="460" spans="1:194" ht="13">
      <c r="A460" s="23"/>
      <c r="B460" s="23"/>
      <c r="C460" s="23"/>
      <c r="D460" s="23"/>
      <c r="E460" s="23"/>
      <c r="F460" s="23"/>
      <c r="G460" s="23"/>
      <c r="H460" s="401"/>
      <c r="I460" s="401"/>
      <c r="J460" s="401"/>
      <c r="K460" s="401"/>
      <c r="L460" s="401"/>
      <c r="M460" s="438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  <c r="AL460" s="23"/>
      <c r="AM460" s="23"/>
      <c r="AN460" s="23"/>
      <c r="AO460" s="23"/>
      <c r="AP460" s="23"/>
      <c r="AQ460" s="23"/>
      <c r="AR460" s="23"/>
      <c r="AS460" s="23"/>
      <c r="AT460" s="23"/>
      <c r="AU460" s="23"/>
      <c r="AV460" s="23"/>
      <c r="AW460" s="23"/>
      <c r="AX460" s="23"/>
      <c r="AY460" s="23"/>
      <c r="AZ460" s="23"/>
      <c r="BA460" s="23"/>
      <c r="BB460" s="23"/>
      <c r="BC460" s="23"/>
      <c r="BD460" s="23"/>
      <c r="BE460" s="23"/>
      <c r="BF460" s="23"/>
      <c r="BG460" s="23"/>
      <c r="BH460" s="23"/>
      <c r="BI460" s="23"/>
      <c r="BJ460" s="23"/>
      <c r="BK460" s="23"/>
      <c r="BL460" s="23"/>
      <c r="BM460" s="23"/>
      <c r="BN460" s="23"/>
      <c r="BO460" s="23"/>
      <c r="BP460" s="23"/>
      <c r="BQ460" s="23"/>
      <c r="BR460" s="23"/>
      <c r="BS460" s="23"/>
      <c r="BT460" s="23"/>
      <c r="BU460" s="23"/>
      <c r="BV460" s="23"/>
      <c r="BW460" s="23"/>
      <c r="BX460" s="23"/>
      <c r="BY460" s="23"/>
      <c r="BZ460" s="23"/>
      <c r="CA460" s="23"/>
      <c r="CB460" s="23"/>
      <c r="CC460" s="23"/>
      <c r="CD460" s="23"/>
      <c r="CE460" s="23"/>
      <c r="CF460" s="23"/>
      <c r="CG460" s="23"/>
      <c r="CH460" s="23"/>
      <c r="CI460" s="23"/>
      <c r="CJ460" s="23"/>
      <c r="CK460" s="23"/>
      <c r="CL460" s="23"/>
      <c r="CM460" s="23"/>
      <c r="CN460" s="23"/>
      <c r="CO460" s="23"/>
      <c r="CP460" s="23"/>
      <c r="CQ460" s="23"/>
      <c r="CR460" s="23"/>
      <c r="CS460" s="23"/>
      <c r="CT460" s="23"/>
      <c r="CU460" s="23"/>
      <c r="CV460" s="23"/>
      <c r="CW460" s="23"/>
      <c r="CX460" s="23"/>
      <c r="CY460" s="23"/>
      <c r="CZ460" s="23"/>
      <c r="DA460" s="23"/>
      <c r="DB460" s="23"/>
      <c r="DC460" s="23"/>
      <c r="DD460" s="23"/>
      <c r="DE460" s="23"/>
      <c r="DF460" s="23"/>
      <c r="DG460" s="23"/>
      <c r="DH460" s="23"/>
      <c r="DI460" s="23"/>
      <c r="DJ460" s="23"/>
      <c r="DK460" s="23"/>
      <c r="DL460" s="23"/>
      <c r="DM460" s="23"/>
      <c r="DN460" s="23"/>
      <c r="DO460" s="23"/>
      <c r="DP460" s="23"/>
      <c r="DQ460" s="23"/>
      <c r="DR460" s="23"/>
      <c r="DS460" s="23"/>
      <c r="DT460" s="23"/>
      <c r="DU460" s="23"/>
      <c r="DV460" s="23"/>
      <c r="DW460" s="23"/>
      <c r="DX460" s="23"/>
      <c r="DY460" s="23"/>
      <c r="DZ460" s="23"/>
      <c r="EA460" s="23"/>
      <c r="EB460" s="23"/>
      <c r="EC460" s="23"/>
      <c r="ED460" s="23"/>
      <c r="EE460" s="23"/>
      <c r="EF460" s="23"/>
      <c r="EG460" s="23"/>
      <c r="EH460" s="23"/>
      <c r="EI460" s="23"/>
      <c r="EJ460" s="23"/>
      <c r="EK460" s="23"/>
      <c r="EL460" s="23"/>
      <c r="EM460" s="23"/>
      <c r="EN460" s="23"/>
      <c r="EO460" s="23"/>
      <c r="EP460" s="23"/>
      <c r="EQ460" s="23"/>
      <c r="ER460" s="23"/>
      <c r="ES460" s="23"/>
      <c r="ET460" s="23"/>
      <c r="EU460" s="23"/>
      <c r="EV460" s="23"/>
      <c r="EW460" s="23"/>
      <c r="EX460" s="23"/>
      <c r="EY460" s="23"/>
      <c r="EZ460" s="23"/>
      <c r="FA460" s="23"/>
      <c r="FB460" s="23"/>
      <c r="FC460" s="23"/>
      <c r="FD460" s="23"/>
      <c r="FE460" s="23"/>
      <c r="FF460" s="23"/>
      <c r="FG460" s="23"/>
      <c r="FH460" s="23"/>
      <c r="FI460" s="23"/>
      <c r="FJ460" s="23"/>
      <c r="FK460" s="23"/>
      <c r="FL460" s="23"/>
      <c r="FM460" s="23"/>
      <c r="FN460" s="23"/>
      <c r="FO460" s="23"/>
      <c r="FP460" s="23"/>
      <c r="FQ460" s="23"/>
      <c r="FR460" s="23"/>
      <c r="FS460" s="23"/>
      <c r="FT460" s="23"/>
      <c r="FU460" s="23"/>
      <c r="FV460" s="23"/>
      <c r="FW460" s="23"/>
      <c r="FX460" s="23"/>
      <c r="FY460" s="23"/>
      <c r="FZ460" s="23"/>
      <c r="GA460" s="23"/>
      <c r="GB460" s="23"/>
      <c r="GC460" s="23"/>
      <c r="GD460" s="23"/>
      <c r="GE460" s="23"/>
      <c r="GF460" s="23"/>
      <c r="GG460" s="23"/>
      <c r="GH460" s="23"/>
      <c r="GI460" s="23"/>
      <c r="GJ460" s="23"/>
      <c r="GK460" s="23"/>
      <c r="GL460" s="23"/>
    </row>
    <row r="461" spans="1:194" ht="13">
      <c r="A461" s="23"/>
      <c r="B461" s="23"/>
      <c r="C461" s="23"/>
      <c r="D461" s="23"/>
      <c r="E461" s="23"/>
      <c r="F461" s="23"/>
      <c r="G461" s="23"/>
      <c r="H461" s="401"/>
      <c r="I461" s="401"/>
      <c r="J461" s="401"/>
      <c r="K461" s="401"/>
      <c r="L461" s="401"/>
      <c r="M461" s="438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  <c r="AL461" s="23"/>
      <c r="AM461" s="23"/>
      <c r="AN461" s="23"/>
      <c r="AO461" s="23"/>
      <c r="AP461" s="23"/>
      <c r="AQ461" s="23"/>
      <c r="AR461" s="23"/>
      <c r="AS461" s="23"/>
      <c r="AT461" s="23"/>
      <c r="AU461" s="23"/>
      <c r="AV461" s="23"/>
      <c r="AW461" s="23"/>
      <c r="AX461" s="23"/>
      <c r="AY461" s="23"/>
      <c r="AZ461" s="23"/>
      <c r="BA461" s="23"/>
      <c r="BB461" s="23"/>
      <c r="BC461" s="23"/>
      <c r="BD461" s="23"/>
      <c r="BE461" s="23"/>
      <c r="BF461" s="23"/>
      <c r="BG461" s="23"/>
      <c r="BH461" s="23"/>
      <c r="BI461" s="23"/>
      <c r="BJ461" s="23"/>
      <c r="BK461" s="23"/>
      <c r="BL461" s="23"/>
      <c r="BM461" s="23"/>
      <c r="BN461" s="23"/>
      <c r="BO461" s="23"/>
      <c r="BP461" s="23"/>
      <c r="BQ461" s="23"/>
      <c r="BR461" s="23"/>
      <c r="BS461" s="23"/>
      <c r="BT461" s="23"/>
      <c r="BU461" s="23"/>
      <c r="BV461" s="23"/>
      <c r="BW461" s="23"/>
      <c r="BX461" s="23"/>
      <c r="BY461" s="23"/>
      <c r="BZ461" s="23"/>
      <c r="CA461" s="23"/>
      <c r="CB461" s="23"/>
      <c r="CC461" s="23"/>
      <c r="CD461" s="23"/>
      <c r="CE461" s="23"/>
      <c r="CF461" s="23"/>
      <c r="CG461" s="23"/>
      <c r="CH461" s="23"/>
      <c r="CI461" s="23"/>
      <c r="CJ461" s="23"/>
      <c r="CK461" s="23"/>
      <c r="CL461" s="23"/>
      <c r="CM461" s="23"/>
      <c r="CN461" s="23"/>
      <c r="CO461" s="23"/>
      <c r="CP461" s="23"/>
      <c r="CQ461" s="23"/>
      <c r="CR461" s="23"/>
      <c r="CS461" s="23"/>
      <c r="CT461" s="23"/>
      <c r="CU461" s="23"/>
      <c r="CV461" s="23"/>
      <c r="CW461" s="23"/>
      <c r="CX461" s="23"/>
      <c r="CY461" s="23"/>
      <c r="CZ461" s="23"/>
      <c r="DA461" s="23"/>
      <c r="DB461" s="23"/>
      <c r="DC461" s="23"/>
      <c r="DD461" s="23"/>
      <c r="DE461" s="23"/>
      <c r="DF461" s="23"/>
      <c r="DG461" s="23"/>
      <c r="DH461" s="23"/>
      <c r="DI461" s="23"/>
      <c r="DJ461" s="23"/>
      <c r="DK461" s="23"/>
      <c r="DL461" s="23"/>
      <c r="DM461" s="23"/>
      <c r="DN461" s="23"/>
      <c r="DO461" s="23"/>
      <c r="DP461" s="23"/>
      <c r="DQ461" s="23"/>
      <c r="DR461" s="23"/>
      <c r="DS461" s="23"/>
      <c r="DT461" s="23"/>
      <c r="DU461" s="23"/>
      <c r="DV461" s="23"/>
      <c r="DW461" s="23"/>
      <c r="DX461" s="23"/>
      <c r="DY461" s="23"/>
      <c r="DZ461" s="23"/>
      <c r="EA461" s="23"/>
      <c r="EB461" s="23"/>
      <c r="EC461" s="23"/>
      <c r="ED461" s="23"/>
      <c r="EE461" s="23"/>
      <c r="EF461" s="23"/>
      <c r="EG461" s="23"/>
      <c r="EH461" s="23"/>
      <c r="EI461" s="23"/>
      <c r="EJ461" s="23"/>
      <c r="EK461" s="23"/>
      <c r="EL461" s="23"/>
      <c r="EM461" s="23"/>
      <c r="EN461" s="23"/>
      <c r="EO461" s="23"/>
      <c r="EP461" s="23"/>
      <c r="EQ461" s="23"/>
      <c r="ER461" s="23"/>
      <c r="ES461" s="23"/>
      <c r="ET461" s="23"/>
      <c r="EU461" s="23"/>
      <c r="EV461" s="23"/>
      <c r="EW461" s="23"/>
      <c r="EX461" s="23"/>
      <c r="EY461" s="23"/>
      <c r="EZ461" s="23"/>
      <c r="FA461" s="23"/>
      <c r="FB461" s="23"/>
      <c r="FC461" s="23"/>
      <c r="FD461" s="23"/>
      <c r="FE461" s="23"/>
      <c r="FF461" s="23"/>
      <c r="FG461" s="23"/>
      <c r="FH461" s="23"/>
      <c r="FI461" s="23"/>
      <c r="FJ461" s="23"/>
      <c r="FK461" s="23"/>
      <c r="FL461" s="23"/>
      <c r="FM461" s="23"/>
      <c r="FN461" s="23"/>
      <c r="FO461" s="23"/>
      <c r="FP461" s="23"/>
      <c r="FQ461" s="23"/>
      <c r="FR461" s="23"/>
      <c r="FS461" s="23"/>
      <c r="FT461" s="23"/>
      <c r="FU461" s="23"/>
      <c r="FV461" s="23"/>
      <c r="FW461" s="23"/>
      <c r="FX461" s="23"/>
      <c r="FY461" s="23"/>
      <c r="FZ461" s="23"/>
      <c r="GA461" s="23"/>
      <c r="GB461" s="23"/>
      <c r="GC461" s="23"/>
      <c r="GD461" s="23"/>
      <c r="GE461" s="23"/>
      <c r="GF461" s="23"/>
      <c r="GG461" s="23"/>
      <c r="GH461" s="23"/>
      <c r="GI461" s="23"/>
      <c r="GJ461" s="23"/>
      <c r="GK461" s="23"/>
      <c r="GL461" s="23"/>
    </row>
    <row r="462" spans="1:194" ht="13">
      <c r="A462" s="23"/>
      <c r="B462" s="23"/>
      <c r="C462" s="23"/>
      <c r="D462" s="23"/>
      <c r="E462" s="23"/>
      <c r="F462" s="23"/>
      <c r="G462" s="23"/>
      <c r="H462" s="401"/>
      <c r="I462" s="401"/>
      <c r="J462" s="401"/>
      <c r="K462" s="401"/>
      <c r="L462" s="401"/>
      <c r="M462" s="438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  <c r="AL462" s="23"/>
      <c r="AM462" s="23"/>
      <c r="AN462" s="23"/>
      <c r="AO462" s="23"/>
      <c r="AP462" s="23"/>
      <c r="AQ462" s="23"/>
      <c r="AR462" s="23"/>
      <c r="AS462" s="23"/>
      <c r="AT462" s="23"/>
      <c r="AU462" s="23"/>
      <c r="AV462" s="23"/>
      <c r="AW462" s="23"/>
      <c r="AX462" s="23"/>
      <c r="AY462" s="23"/>
      <c r="AZ462" s="23"/>
      <c r="BA462" s="23"/>
      <c r="BB462" s="23"/>
      <c r="BC462" s="23"/>
      <c r="BD462" s="23"/>
      <c r="BE462" s="23"/>
      <c r="BF462" s="23"/>
      <c r="BG462" s="23"/>
      <c r="BH462" s="23"/>
      <c r="BI462" s="23"/>
      <c r="BJ462" s="23"/>
      <c r="BK462" s="23"/>
      <c r="BL462" s="23"/>
      <c r="BM462" s="23"/>
      <c r="BN462" s="23"/>
      <c r="BO462" s="23"/>
      <c r="BP462" s="23"/>
      <c r="BQ462" s="23"/>
      <c r="BR462" s="23"/>
      <c r="BS462" s="23"/>
      <c r="BT462" s="23"/>
      <c r="BU462" s="23"/>
      <c r="BV462" s="23"/>
      <c r="BW462" s="23"/>
      <c r="BX462" s="23"/>
      <c r="BY462" s="23"/>
      <c r="BZ462" s="23"/>
      <c r="CA462" s="23"/>
      <c r="CB462" s="23"/>
      <c r="CC462" s="23"/>
      <c r="CD462" s="23"/>
      <c r="CE462" s="23"/>
      <c r="CF462" s="23"/>
      <c r="CG462" s="23"/>
      <c r="CH462" s="23"/>
      <c r="CI462" s="23"/>
      <c r="CJ462" s="23"/>
      <c r="CK462" s="23"/>
      <c r="CL462" s="23"/>
      <c r="CM462" s="23"/>
      <c r="CN462" s="23"/>
      <c r="CO462" s="23"/>
      <c r="CP462" s="23"/>
      <c r="CQ462" s="23"/>
      <c r="CR462" s="23"/>
      <c r="CS462" s="23"/>
      <c r="CT462" s="23"/>
      <c r="CU462" s="23"/>
      <c r="CV462" s="23"/>
      <c r="CW462" s="23"/>
      <c r="CX462" s="23"/>
      <c r="CY462" s="23"/>
      <c r="CZ462" s="23"/>
      <c r="DA462" s="23"/>
      <c r="DB462" s="23"/>
      <c r="DC462" s="23"/>
      <c r="DD462" s="23"/>
      <c r="DE462" s="23"/>
      <c r="DF462" s="23"/>
      <c r="DG462" s="23"/>
      <c r="DH462" s="23"/>
      <c r="DI462" s="23"/>
      <c r="DJ462" s="23"/>
      <c r="DK462" s="23"/>
      <c r="DL462" s="23"/>
      <c r="DM462" s="23"/>
      <c r="DN462" s="23"/>
      <c r="DO462" s="23"/>
      <c r="DP462" s="23"/>
      <c r="DQ462" s="23"/>
      <c r="DR462" s="23"/>
      <c r="DS462" s="23"/>
      <c r="DT462" s="23"/>
      <c r="DU462" s="23"/>
      <c r="DV462" s="23"/>
      <c r="DW462" s="23"/>
      <c r="DX462" s="23"/>
      <c r="DY462" s="23"/>
      <c r="DZ462" s="23"/>
      <c r="EA462" s="23"/>
      <c r="EB462" s="23"/>
      <c r="EC462" s="23"/>
      <c r="ED462" s="23"/>
      <c r="EE462" s="23"/>
      <c r="EF462" s="23"/>
      <c r="EG462" s="23"/>
      <c r="EH462" s="23"/>
      <c r="EI462" s="23"/>
      <c r="EJ462" s="23"/>
      <c r="EK462" s="23"/>
      <c r="EL462" s="23"/>
      <c r="EM462" s="23"/>
      <c r="EN462" s="23"/>
      <c r="EO462" s="23"/>
      <c r="EP462" s="23"/>
      <c r="EQ462" s="23"/>
      <c r="ER462" s="23"/>
      <c r="ES462" s="23"/>
      <c r="ET462" s="23"/>
      <c r="EU462" s="23"/>
      <c r="EV462" s="23"/>
      <c r="EW462" s="23"/>
      <c r="EX462" s="23"/>
      <c r="EY462" s="23"/>
      <c r="EZ462" s="23"/>
      <c r="FA462" s="23"/>
      <c r="FB462" s="23"/>
      <c r="FC462" s="23"/>
      <c r="FD462" s="23"/>
      <c r="FE462" s="23"/>
      <c r="FF462" s="23"/>
      <c r="FG462" s="23"/>
      <c r="FH462" s="23"/>
      <c r="FI462" s="23"/>
      <c r="FJ462" s="23"/>
      <c r="FK462" s="23"/>
      <c r="FL462" s="23"/>
      <c r="FM462" s="23"/>
      <c r="FN462" s="23"/>
      <c r="FO462" s="23"/>
      <c r="FP462" s="23"/>
      <c r="FQ462" s="23"/>
      <c r="FR462" s="23"/>
      <c r="FS462" s="23"/>
      <c r="FT462" s="23"/>
      <c r="FU462" s="23"/>
      <c r="FV462" s="23"/>
      <c r="FW462" s="23"/>
      <c r="FX462" s="23"/>
      <c r="FY462" s="23"/>
      <c r="FZ462" s="23"/>
      <c r="GA462" s="23"/>
      <c r="GB462" s="23"/>
      <c r="GC462" s="23"/>
      <c r="GD462" s="23"/>
      <c r="GE462" s="23"/>
      <c r="GF462" s="23"/>
      <c r="GG462" s="23"/>
      <c r="GH462" s="23"/>
      <c r="GI462" s="23"/>
      <c r="GJ462" s="23"/>
      <c r="GK462" s="23"/>
      <c r="GL462" s="23"/>
    </row>
    <row r="463" spans="1:194" ht="13">
      <c r="A463" s="23"/>
      <c r="B463" s="23"/>
      <c r="C463" s="23"/>
      <c r="D463" s="23"/>
      <c r="E463" s="23"/>
      <c r="F463" s="23"/>
      <c r="G463" s="23"/>
      <c r="H463" s="401"/>
      <c r="I463" s="401"/>
      <c r="J463" s="401"/>
      <c r="K463" s="401"/>
      <c r="L463" s="401"/>
      <c r="M463" s="438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  <c r="AL463" s="23"/>
      <c r="AM463" s="23"/>
      <c r="AN463" s="23"/>
      <c r="AO463" s="23"/>
      <c r="AP463" s="23"/>
      <c r="AQ463" s="23"/>
      <c r="AR463" s="23"/>
      <c r="AS463" s="23"/>
      <c r="AT463" s="23"/>
      <c r="AU463" s="23"/>
      <c r="AV463" s="23"/>
      <c r="AW463" s="23"/>
      <c r="AX463" s="23"/>
      <c r="AY463" s="23"/>
      <c r="AZ463" s="23"/>
      <c r="BA463" s="23"/>
      <c r="BB463" s="23"/>
      <c r="BC463" s="23"/>
      <c r="BD463" s="23"/>
      <c r="BE463" s="23"/>
      <c r="BF463" s="23"/>
      <c r="BG463" s="23"/>
      <c r="BH463" s="23"/>
      <c r="BI463" s="23"/>
      <c r="BJ463" s="23"/>
      <c r="BK463" s="23"/>
      <c r="BL463" s="23"/>
      <c r="BM463" s="23"/>
      <c r="BN463" s="23"/>
      <c r="BO463" s="23"/>
      <c r="BP463" s="23"/>
      <c r="BQ463" s="23"/>
      <c r="BR463" s="23"/>
      <c r="BS463" s="23"/>
      <c r="BT463" s="23"/>
      <c r="BU463" s="23"/>
      <c r="BV463" s="23"/>
      <c r="BW463" s="23"/>
      <c r="BX463" s="23"/>
      <c r="BY463" s="23"/>
      <c r="BZ463" s="23"/>
      <c r="CA463" s="23"/>
      <c r="CB463" s="23"/>
      <c r="CC463" s="23"/>
      <c r="CD463" s="23"/>
      <c r="CE463" s="23"/>
      <c r="CF463" s="23"/>
      <c r="CG463" s="23"/>
      <c r="CH463" s="23"/>
      <c r="CI463" s="23"/>
      <c r="CJ463" s="23"/>
      <c r="CK463" s="23"/>
      <c r="CL463" s="23"/>
      <c r="CM463" s="23"/>
      <c r="CN463" s="23"/>
      <c r="CO463" s="23"/>
      <c r="CP463" s="23"/>
      <c r="CQ463" s="23"/>
      <c r="CR463" s="23"/>
      <c r="CS463" s="23"/>
      <c r="CT463" s="23"/>
      <c r="CU463" s="23"/>
      <c r="CV463" s="23"/>
      <c r="CW463" s="23"/>
      <c r="CX463" s="23"/>
      <c r="CY463" s="23"/>
      <c r="CZ463" s="23"/>
      <c r="DA463" s="23"/>
      <c r="DB463" s="23"/>
      <c r="DC463" s="23"/>
      <c r="DD463" s="23"/>
      <c r="DE463" s="23"/>
      <c r="DF463" s="23"/>
      <c r="DG463" s="23"/>
      <c r="DH463" s="23"/>
      <c r="DI463" s="23"/>
      <c r="DJ463" s="23"/>
      <c r="DK463" s="23"/>
      <c r="DL463" s="23"/>
      <c r="DM463" s="23"/>
      <c r="DN463" s="23"/>
      <c r="DO463" s="23"/>
      <c r="DP463" s="23"/>
      <c r="DQ463" s="23"/>
      <c r="DR463" s="23"/>
      <c r="DS463" s="23"/>
      <c r="DT463" s="23"/>
      <c r="DU463" s="23"/>
      <c r="DV463" s="23"/>
      <c r="DW463" s="23"/>
      <c r="DX463" s="23"/>
      <c r="DY463" s="23"/>
      <c r="DZ463" s="23"/>
      <c r="EA463" s="23"/>
      <c r="EB463" s="23"/>
      <c r="EC463" s="23"/>
      <c r="ED463" s="23"/>
      <c r="EE463" s="23"/>
      <c r="EF463" s="23"/>
      <c r="EG463" s="23"/>
      <c r="EH463" s="23"/>
      <c r="EI463" s="23"/>
      <c r="EJ463" s="23"/>
      <c r="EK463" s="23"/>
      <c r="EL463" s="23"/>
      <c r="EM463" s="23"/>
      <c r="EN463" s="23"/>
      <c r="EO463" s="23"/>
      <c r="EP463" s="23"/>
      <c r="EQ463" s="23"/>
      <c r="ER463" s="23"/>
      <c r="ES463" s="23"/>
      <c r="ET463" s="23"/>
      <c r="EU463" s="23"/>
      <c r="EV463" s="23"/>
      <c r="EW463" s="23"/>
      <c r="EX463" s="23"/>
      <c r="EY463" s="23"/>
      <c r="EZ463" s="23"/>
      <c r="FA463" s="23"/>
      <c r="FB463" s="23"/>
      <c r="FC463" s="23"/>
      <c r="FD463" s="23"/>
      <c r="FE463" s="23"/>
      <c r="FF463" s="23"/>
      <c r="FG463" s="23"/>
      <c r="FH463" s="23"/>
      <c r="FI463" s="23"/>
      <c r="FJ463" s="23"/>
      <c r="FK463" s="23"/>
      <c r="FL463" s="23"/>
      <c r="FM463" s="23"/>
      <c r="FN463" s="23"/>
      <c r="FO463" s="23"/>
      <c r="FP463" s="23"/>
      <c r="FQ463" s="23"/>
      <c r="FR463" s="23"/>
      <c r="FS463" s="23"/>
      <c r="FT463" s="23"/>
      <c r="FU463" s="23"/>
      <c r="FV463" s="23"/>
      <c r="FW463" s="23"/>
      <c r="FX463" s="23"/>
      <c r="FY463" s="23"/>
      <c r="FZ463" s="23"/>
      <c r="GA463" s="23"/>
      <c r="GB463" s="23"/>
      <c r="GC463" s="23"/>
      <c r="GD463" s="23"/>
      <c r="GE463" s="23"/>
      <c r="GF463" s="23"/>
      <c r="GG463" s="23"/>
      <c r="GH463" s="23"/>
      <c r="GI463" s="23"/>
      <c r="GJ463" s="23"/>
      <c r="GK463" s="23"/>
      <c r="GL463" s="23"/>
    </row>
    <row r="464" spans="1:194" ht="13">
      <c r="A464" s="23"/>
      <c r="B464" s="23"/>
      <c r="C464" s="23"/>
      <c r="D464" s="23"/>
      <c r="E464" s="23"/>
      <c r="F464" s="23"/>
      <c r="G464" s="23"/>
      <c r="H464" s="401"/>
      <c r="I464" s="401"/>
      <c r="J464" s="401"/>
      <c r="K464" s="401"/>
      <c r="L464" s="401"/>
      <c r="M464" s="438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  <c r="AL464" s="23"/>
      <c r="AM464" s="23"/>
      <c r="AN464" s="23"/>
      <c r="AO464" s="23"/>
      <c r="AP464" s="23"/>
      <c r="AQ464" s="23"/>
      <c r="AR464" s="23"/>
      <c r="AS464" s="23"/>
      <c r="AT464" s="23"/>
      <c r="AU464" s="23"/>
      <c r="AV464" s="23"/>
      <c r="AW464" s="23"/>
      <c r="AX464" s="23"/>
      <c r="AY464" s="23"/>
      <c r="AZ464" s="23"/>
      <c r="BA464" s="23"/>
      <c r="BB464" s="23"/>
      <c r="BC464" s="23"/>
      <c r="BD464" s="23"/>
      <c r="BE464" s="23"/>
      <c r="BF464" s="23"/>
      <c r="BG464" s="23"/>
      <c r="BH464" s="23"/>
      <c r="BI464" s="23"/>
      <c r="BJ464" s="23"/>
      <c r="BK464" s="23"/>
      <c r="BL464" s="23"/>
      <c r="BM464" s="23"/>
      <c r="BN464" s="23"/>
      <c r="BO464" s="23"/>
      <c r="BP464" s="23"/>
      <c r="BQ464" s="23"/>
      <c r="BR464" s="23"/>
      <c r="BS464" s="23"/>
      <c r="BT464" s="23"/>
      <c r="BU464" s="23"/>
      <c r="BV464" s="23"/>
      <c r="BW464" s="23"/>
      <c r="BX464" s="23"/>
      <c r="BY464" s="23"/>
      <c r="BZ464" s="23"/>
      <c r="CA464" s="23"/>
      <c r="CB464" s="23"/>
      <c r="CC464" s="23"/>
      <c r="CD464" s="23"/>
      <c r="CE464" s="23"/>
      <c r="CF464" s="23"/>
      <c r="CG464" s="23"/>
      <c r="CH464" s="23"/>
      <c r="CI464" s="23"/>
      <c r="CJ464" s="23"/>
      <c r="CK464" s="23"/>
      <c r="CL464" s="23"/>
      <c r="CM464" s="23"/>
      <c r="CN464" s="23"/>
      <c r="CO464" s="23"/>
      <c r="CP464" s="23"/>
      <c r="CQ464" s="23"/>
      <c r="CR464" s="23"/>
      <c r="CS464" s="23"/>
      <c r="CT464" s="23"/>
      <c r="CU464" s="23"/>
      <c r="CV464" s="23"/>
      <c r="CW464" s="23"/>
      <c r="CX464" s="23"/>
      <c r="CY464" s="23"/>
      <c r="CZ464" s="23"/>
      <c r="DA464" s="23"/>
      <c r="DB464" s="23"/>
      <c r="DC464" s="23"/>
      <c r="DD464" s="23"/>
      <c r="DE464" s="23"/>
      <c r="DF464" s="23"/>
      <c r="DG464" s="23"/>
      <c r="DH464" s="23"/>
      <c r="DI464" s="23"/>
      <c r="DJ464" s="23"/>
      <c r="DK464" s="23"/>
      <c r="DL464" s="23"/>
      <c r="DM464" s="23"/>
      <c r="DN464" s="23"/>
      <c r="DO464" s="23"/>
      <c r="DP464" s="23"/>
      <c r="DQ464" s="23"/>
      <c r="DR464" s="23"/>
      <c r="DS464" s="23"/>
      <c r="DT464" s="23"/>
      <c r="DU464" s="23"/>
      <c r="DV464" s="23"/>
      <c r="DW464" s="23"/>
      <c r="DX464" s="23"/>
      <c r="DY464" s="23"/>
      <c r="DZ464" s="23"/>
      <c r="EA464" s="23"/>
      <c r="EB464" s="23"/>
      <c r="EC464" s="23"/>
      <c r="ED464" s="23"/>
      <c r="EE464" s="23"/>
      <c r="EF464" s="23"/>
      <c r="EG464" s="23"/>
      <c r="EH464" s="23"/>
      <c r="EI464" s="23"/>
      <c r="EJ464" s="23"/>
      <c r="EK464" s="23"/>
      <c r="EL464" s="23"/>
      <c r="EM464" s="23"/>
      <c r="EN464" s="23"/>
      <c r="EO464" s="23"/>
      <c r="EP464" s="23"/>
      <c r="EQ464" s="23"/>
      <c r="ER464" s="23"/>
      <c r="ES464" s="23"/>
      <c r="ET464" s="23"/>
      <c r="EU464" s="23"/>
      <c r="EV464" s="23"/>
      <c r="EW464" s="23"/>
      <c r="EX464" s="23"/>
      <c r="EY464" s="23"/>
      <c r="EZ464" s="23"/>
      <c r="FA464" s="23"/>
      <c r="FB464" s="23"/>
      <c r="FC464" s="23"/>
      <c r="FD464" s="23"/>
      <c r="FE464" s="23"/>
      <c r="FF464" s="23"/>
      <c r="FG464" s="23"/>
      <c r="FH464" s="23"/>
      <c r="FI464" s="23"/>
      <c r="FJ464" s="23"/>
      <c r="FK464" s="23"/>
      <c r="FL464" s="23"/>
      <c r="FM464" s="23"/>
      <c r="FN464" s="23"/>
      <c r="FO464" s="23"/>
      <c r="FP464" s="23"/>
      <c r="FQ464" s="23"/>
      <c r="FR464" s="23"/>
      <c r="FS464" s="23"/>
      <c r="FT464" s="23"/>
      <c r="FU464" s="23"/>
      <c r="FV464" s="23"/>
      <c r="FW464" s="23"/>
      <c r="FX464" s="23"/>
      <c r="FY464" s="23"/>
      <c r="FZ464" s="23"/>
      <c r="GA464" s="23"/>
      <c r="GB464" s="23"/>
      <c r="GC464" s="23"/>
      <c r="GD464" s="23"/>
      <c r="GE464" s="23"/>
      <c r="GF464" s="23"/>
      <c r="GG464" s="23"/>
      <c r="GH464" s="23"/>
      <c r="GI464" s="23"/>
      <c r="GJ464" s="23"/>
      <c r="GK464" s="23"/>
      <c r="GL464" s="23"/>
    </row>
    <row r="465" spans="1:194" ht="13">
      <c r="A465" s="23"/>
      <c r="B465" s="23"/>
      <c r="C465" s="23"/>
      <c r="D465" s="23"/>
      <c r="E465" s="23"/>
      <c r="F465" s="23"/>
      <c r="G465" s="23"/>
      <c r="H465" s="401"/>
      <c r="I465" s="401"/>
      <c r="J465" s="401"/>
      <c r="K465" s="401"/>
      <c r="L465" s="401"/>
      <c r="M465" s="438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  <c r="AL465" s="23"/>
      <c r="AM465" s="23"/>
      <c r="AN465" s="23"/>
      <c r="AO465" s="23"/>
      <c r="AP465" s="23"/>
      <c r="AQ465" s="23"/>
      <c r="AR465" s="23"/>
      <c r="AS465" s="23"/>
      <c r="AT465" s="23"/>
      <c r="AU465" s="23"/>
      <c r="AV465" s="23"/>
      <c r="AW465" s="23"/>
      <c r="AX465" s="23"/>
      <c r="AY465" s="23"/>
      <c r="AZ465" s="23"/>
      <c r="BA465" s="23"/>
      <c r="BB465" s="23"/>
      <c r="BC465" s="23"/>
      <c r="BD465" s="23"/>
      <c r="BE465" s="23"/>
      <c r="BF465" s="23"/>
      <c r="BG465" s="23"/>
      <c r="BH465" s="23"/>
      <c r="BI465" s="23"/>
      <c r="BJ465" s="23"/>
      <c r="BK465" s="23"/>
      <c r="BL465" s="23"/>
      <c r="BM465" s="23"/>
      <c r="BN465" s="23"/>
      <c r="BO465" s="23"/>
      <c r="BP465" s="23"/>
      <c r="BQ465" s="23"/>
      <c r="BR465" s="23"/>
      <c r="BS465" s="23"/>
      <c r="BT465" s="23"/>
      <c r="BU465" s="23"/>
      <c r="BV465" s="23"/>
      <c r="BW465" s="23"/>
      <c r="BX465" s="23"/>
      <c r="BY465" s="23"/>
      <c r="BZ465" s="23"/>
      <c r="CA465" s="23"/>
      <c r="CB465" s="23"/>
      <c r="CC465" s="23"/>
      <c r="CD465" s="23"/>
      <c r="CE465" s="23"/>
      <c r="CF465" s="23"/>
      <c r="CG465" s="23"/>
      <c r="CH465" s="23"/>
      <c r="CI465" s="23"/>
      <c r="CJ465" s="23"/>
      <c r="CK465" s="23"/>
      <c r="CL465" s="23"/>
      <c r="CM465" s="23"/>
      <c r="CN465" s="23"/>
      <c r="CO465" s="23"/>
      <c r="CP465" s="23"/>
      <c r="CQ465" s="23"/>
      <c r="CR465" s="23"/>
      <c r="CS465" s="23"/>
      <c r="CT465" s="23"/>
      <c r="CU465" s="23"/>
      <c r="CV465" s="23"/>
      <c r="CW465" s="23"/>
      <c r="CX465" s="23"/>
      <c r="CY465" s="23"/>
      <c r="CZ465" s="23"/>
      <c r="DA465" s="23"/>
      <c r="DB465" s="23"/>
      <c r="DC465" s="23"/>
      <c r="DD465" s="23"/>
      <c r="DE465" s="23"/>
      <c r="DF465" s="23"/>
      <c r="DG465" s="23"/>
      <c r="DH465" s="23"/>
      <c r="DI465" s="23"/>
      <c r="DJ465" s="23"/>
      <c r="DK465" s="23"/>
      <c r="DL465" s="23"/>
      <c r="DM465" s="23"/>
      <c r="DN465" s="23"/>
      <c r="DO465" s="23"/>
      <c r="DP465" s="23"/>
      <c r="DQ465" s="23"/>
      <c r="DR465" s="23"/>
      <c r="DS465" s="23"/>
      <c r="DT465" s="23"/>
      <c r="DU465" s="23"/>
      <c r="DV465" s="23"/>
      <c r="DW465" s="23"/>
      <c r="DX465" s="23"/>
      <c r="DY465" s="23"/>
      <c r="DZ465" s="23"/>
      <c r="EA465" s="23"/>
      <c r="EB465" s="23"/>
      <c r="EC465" s="23"/>
      <c r="ED465" s="23"/>
      <c r="EE465" s="23"/>
      <c r="EF465" s="23"/>
      <c r="EG465" s="23"/>
      <c r="EH465" s="23"/>
      <c r="EI465" s="23"/>
      <c r="EJ465" s="23"/>
      <c r="EK465" s="23"/>
      <c r="EL465" s="23"/>
      <c r="EM465" s="23"/>
      <c r="EN465" s="23"/>
      <c r="EO465" s="23"/>
      <c r="EP465" s="23"/>
      <c r="EQ465" s="23"/>
      <c r="ER465" s="23"/>
      <c r="ES465" s="23"/>
      <c r="ET465" s="23"/>
      <c r="EU465" s="23"/>
      <c r="EV465" s="23"/>
      <c r="EW465" s="23"/>
      <c r="EX465" s="23"/>
      <c r="EY465" s="23"/>
      <c r="EZ465" s="23"/>
      <c r="FA465" s="23"/>
      <c r="FB465" s="23"/>
      <c r="FC465" s="23"/>
      <c r="FD465" s="23"/>
      <c r="FE465" s="23"/>
      <c r="FF465" s="23"/>
      <c r="FG465" s="23"/>
      <c r="FH465" s="23"/>
      <c r="FI465" s="23"/>
      <c r="FJ465" s="23"/>
      <c r="FK465" s="23"/>
      <c r="FL465" s="23"/>
      <c r="FM465" s="23"/>
      <c r="FN465" s="23"/>
      <c r="FO465" s="23"/>
      <c r="FP465" s="23"/>
      <c r="FQ465" s="23"/>
      <c r="FR465" s="23"/>
      <c r="FS465" s="23"/>
      <c r="FT465" s="23"/>
      <c r="FU465" s="23"/>
      <c r="FV465" s="23"/>
      <c r="FW465" s="23"/>
      <c r="FX465" s="23"/>
      <c r="FY465" s="23"/>
      <c r="FZ465" s="23"/>
      <c r="GA465" s="23"/>
      <c r="GB465" s="23"/>
      <c r="GC465" s="23"/>
      <c r="GD465" s="23"/>
      <c r="GE465" s="23"/>
      <c r="GF465" s="23"/>
      <c r="GG465" s="23"/>
      <c r="GH465" s="23"/>
      <c r="GI465" s="23"/>
      <c r="GJ465" s="23"/>
      <c r="GK465" s="23"/>
      <c r="GL465" s="23"/>
    </row>
    <row r="466" spans="1:194" ht="13">
      <c r="A466" s="23"/>
      <c r="B466" s="23"/>
      <c r="C466" s="23"/>
      <c r="D466" s="23"/>
      <c r="E466" s="23"/>
      <c r="F466" s="23"/>
      <c r="G466" s="23"/>
      <c r="H466" s="401"/>
      <c r="I466" s="401"/>
      <c r="J466" s="401"/>
      <c r="K466" s="401"/>
      <c r="L466" s="401"/>
      <c r="M466" s="438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  <c r="AL466" s="23"/>
      <c r="AM466" s="23"/>
      <c r="AN466" s="23"/>
      <c r="AO466" s="23"/>
      <c r="AP466" s="23"/>
      <c r="AQ466" s="23"/>
      <c r="AR466" s="23"/>
      <c r="AS466" s="23"/>
      <c r="AT466" s="23"/>
      <c r="AU466" s="23"/>
      <c r="AV466" s="23"/>
      <c r="AW466" s="23"/>
      <c r="AX466" s="23"/>
      <c r="AY466" s="23"/>
      <c r="AZ466" s="23"/>
      <c r="BA466" s="23"/>
      <c r="BB466" s="23"/>
      <c r="BC466" s="23"/>
      <c r="BD466" s="23"/>
      <c r="BE466" s="23"/>
      <c r="BF466" s="23"/>
      <c r="BG466" s="23"/>
      <c r="BH466" s="23"/>
      <c r="BI466" s="23"/>
      <c r="BJ466" s="23"/>
      <c r="BK466" s="23"/>
      <c r="BL466" s="23"/>
      <c r="BM466" s="23"/>
      <c r="BN466" s="23"/>
      <c r="BO466" s="23"/>
      <c r="BP466" s="23"/>
      <c r="BQ466" s="23"/>
      <c r="BR466" s="23"/>
      <c r="BS466" s="23"/>
      <c r="BT466" s="23"/>
      <c r="BU466" s="23"/>
      <c r="BV466" s="23"/>
      <c r="BW466" s="23"/>
      <c r="BX466" s="23"/>
      <c r="BY466" s="23"/>
      <c r="BZ466" s="23"/>
      <c r="CA466" s="23"/>
      <c r="CB466" s="23"/>
      <c r="CC466" s="23"/>
      <c r="CD466" s="23"/>
      <c r="CE466" s="23"/>
      <c r="CF466" s="23"/>
      <c r="CG466" s="23"/>
      <c r="CH466" s="23"/>
      <c r="CI466" s="23"/>
      <c r="CJ466" s="23"/>
      <c r="CK466" s="23"/>
      <c r="CL466" s="23"/>
      <c r="CM466" s="23"/>
      <c r="CN466" s="23"/>
      <c r="CO466" s="23"/>
      <c r="CP466" s="23"/>
      <c r="CQ466" s="23"/>
      <c r="CR466" s="23"/>
      <c r="CS466" s="23"/>
      <c r="CT466" s="23"/>
      <c r="CU466" s="23"/>
      <c r="CV466" s="23"/>
      <c r="CW466" s="23"/>
      <c r="CX466" s="23"/>
      <c r="CY466" s="23"/>
      <c r="CZ466" s="23"/>
      <c r="DA466" s="23"/>
      <c r="DB466" s="23"/>
      <c r="DC466" s="23"/>
      <c r="DD466" s="23"/>
      <c r="DE466" s="23"/>
      <c r="DF466" s="23"/>
      <c r="DG466" s="23"/>
      <c r="DH466" s="23"/>
      <c r="DI466" s="23"/>
      <c r="DJ466" s="23"/>
      <c r="DK466" s="23"/>
      <c r="DL466" s="23"/>
      <c r="DM466" s="23"/>
      <c r="DN466" s="23"/>
      <c r="DO466" s="23"/>
      <c r="DP466" s="23"/>
      <c r="DQ466" s="23"/>
      <c r="DR466" s="23"/>
      <c r="DS466" s="23"/>
      <c r="DT466" s="23"/>
      <c r="DU466" s="23"/>
      <c r="DV466" s="23"/>
      <c r="DW466" s="23"/>
      <c r="DX466" s="23"/>
      <c r="DY466" s="23"/>
      <c r="DZ466" s="23"/>
      <c r="EA466" s="23"/>
      <c r="EB466" s="23"/>
      <c r="EC466" s="23"/>
      <c r="ED466" s="23"/>
      <c r="EE466" s="23"/>
      <c r="EF466" s="23"/>
      <c r="EG466" s="23"/>
      <c r="EH466" s="23"/>
      <c r="EI466" s="23"/>
      <c r="EJ466" s="23"/>
      <c r="EK466" s="23"/>
      <c r="EL466" s="23"/>
      <c r="EM466" s="23"/>
      <c r="EN466" s="23"/>
      <c r="EO466" s="23"/>
      <c r="EP466" s="23"/>
      <c r="EQ466" s="23"/>
      <c r="ER466" s="23"/>
      <c r="ES466" s="23"/>
      <c r="ET466" s="23"/>
      <c r="EU466" s="23"/>
      <c r="EV466" s="23"/>
      <c r="EW466" s="23"/>
      <c r="EX466" s="23"/>
      <c r="EY466" s="23"/>
      <c r="EZ466" s="23"/>
      <c r="FA466" s="23"/>
      <c r="FB466" s="23"/>
      <c r="FC466" s="23"/>
      <c r="FD466" s="23"/>
      <c r="FE466" s="23"/>
      <c r="FF466" s="23"/>
      <c r="FG466" s="23"/>
      <c r="FH466" s="23"/>
      <c r="FI466" s="23"/>
      <c r="FJ466" s="23"/>
      <c r="FK466" s="23"/>
      <c r="FL466" s="23"/>
      <c r="FM466" s="23"/>
      <c r="FN466" s="23"/>
      <c r="FO466" s="23"/>
      <c r="FP466" s="23"/>
      <c r="FQ466" s="23"/>
      <c r="FR466" s="23"/>
      <c r="FS466" s="23"/>
      <c r="FT466" s="23"/>
      <c r="FU466" s="23"/>
      <c r="FV466" s="23"/>
      <c r="FW466" s="23"/>
      <c r="FX466" s="23"/>
      <c r="FY466" s="23"/>
      <c r="FZ466" s="23"/>
      <c r="GA466" s="23"/>
      <c r="GB466" s="23"/>
      <c r="GC466" s="23"/>
      <c r="GD466" s="23"/>
      <c r="GE466" s="23"/>
      <c r="GF466" s="23"/>
      <c r="GG466" s="23"/>
      <c r="GH466" s="23"/>
      <c r="GI466" s="23"/>
      <c r="GJ466" s="23"/>
      <c r="GK466" s="23"/>
      <c r="GL466" s="23"/>
    </row>
    <row r="467" spans="1:194" ht="13">
      <c r="A467" s="23"/>
      <c r="B467" s="23"/>
      <c r="C467" s="23"/>
      <c r="D467" s="23"/>
      <c r="E467" s="23"/>
      <c r="F467" s="23"/>
      <c r="G467" s="23"/>
      <c r="H467" s="401"/>
      <c r="I467" s="401"/>
      <c r="J467" s="401"/>
      <c r="K467" s="401"/>
      <c r="L467" s="401"/>
      <c r="M467" s="438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  <c r="AL467" s="23"/>
      <c r="AM467" s="23"/>
      <c r="AN467" s="23"/>
      <c r="AO467" s="23"/>
      <c r="AP467" s="23"/>
      <c r="AQ467" s="23"/>
      <c r="AR467" s="23"/>
      <c r="AS467" s="23"/>
      <c r="AT467" s="23"/>
      <c r="AU467" s="23"/>
      <c r="AV467" s="23"/>
      <c r="AW467" s="23"/>
      <c r="AX467" s="23"/>
      <c r="AY467" s="23"/>
      <c r="AZ467" s="23"/>
      <c r="BA467" s="23"/>
      <c r="BB467" s="23"/>
      <c r="BC467" s="23"/>
      <c r="BD467" s="23"/>
      <c r="BE467" s="23"/>
      <c r="BF467" s="23"/>
      <c r="BG467" s="23"/>
      <c r="BH467" s="23"/>
      <c r="BI467" s="23"/>
      <c r="BJ467" s="23"/>
      <c r="BK467" s="23"/>
      <c r="BL467" s="23"/>
      <c r="BM467" s="23"/>
      <c r="BN467" s="23"/>
      <c r="BO467" s="23"/>
      <c r="BP467" s="23"/>
      <c r="BQ467" s="23"/>
      <c r="BR467" s="23"/>
      <c r="BS467" s="23"/>
      <c r="BT467" s="23"/>
      <c r="BU467" s="23"/>
      <c r="BV467" s="23"/>
      <c r="BW467" s="23"/>
      <c r="BX467" s="23"/>
      <c r="BY467" s="23"/>
      <c r="BZ467" s="23"/>
      <c r="CA467" s="23"/>
      <c r="CB467" s="23"/>
      <c r="CC467" s="23"/>
      <c r="CD467" s="23"/>
      <c r="CE467" s="23"/>
      <c r="CF467" s="23"/>
      <c r="CG467" s="23"/>
      <c r="CH467" s="23"/>
      <c r="CI467" s="23"/>
      <c r="CJ467" s="23"/>
      <c r="CK467" s="23"/>
      <c r="CL467" s="23"/>
      <c r="CM467" s="23"/>
      <c r="CN467" s="23"/>
      <c r="CO467" s="23"/>
      <c r="CP467" s="23"/>
      <c r="CQ467" s="23"/>
      <c r="CR467" s="23"/>
      <c r="CS467" s="23"/>
      <c r="CT467" s="23"/>
      <c r="CU467" s="23"/>
      <c r="CV467" s="23"/>
      <c r="CW467" s="23"/>
      <c r="CX467" s="23"/>
      <c r="CY467" s="23"/>
      <c r="CZ467" s="23"/>
      <c r="DA467" s="23"/>
      <c r="DB467" s="23"/>
      <c r="DC467" s="23"/>
      <c r="DD467" s="23"/>
      <c r="DE467" s="23"/>
      <c r="DF467" s="23"/>
      <c r="DG467" s="23"/>
      <c r="DH467" s="23"/>
      <c r="DI467" s="23"/>
      <c r="DJ467" s="23"/>
      <c r="DK467" s="23"/>
      <c r="DL467" s="23"/>
      <c r="DM467" s="23"/>
      <c r="DN467" s="23"/>
      <c r="DO467" s="23"/>
      <c r="DP467" s="23"/>
      <c r="DQ467" s="23"/>
      <c r="DR467" s="23"/>
      <c r="DS467" s="23"/>
      <c r="DT467" s="23"/>
      <c r="DU467" s="23"/>
      <c r="DV467" s="23"/>
      <c r="DW467" s="23"/>
      <c r="DX467" s="23"/>
      <c r="DY467" s="23"/>
      <c r="DZ467" s="23"/>
      <c r="EA467" s="23"/>
      <c r="EB467" s="23"/>
      <c r="EC467" s="23"/>
      <c r="ED467" s="23"/>
      <c r="EE467" s="23"/>
      <c r="EF467" s="23"/>
      <c r="EG467" s="23"/>
      <c r="EH467" s="23"/>
      <c r="EI467" s="23"/>
      <c r="EJ467" s="23"/>
      <c r="EK467" s="23"/>
      <c r="EL467" s="23"/>
      <c r="EM467" s="23"/>
      <c r="EN467" s="23"/>
      <c r="EO467" s="23"/>
      <c r="EP467" s="23"/>
      <c r="EQ467" s="23"/>
      <c r="ER467" s="23"/>
      <c r="ES467" s="23"/>
      <c r="ET467" s="23"/>
      <c r="EU467" s="23"/>
      <c r="EV467" s="23"/>
      <c r="EW467" s="23"/>
      <c r="EX467" s="23"/>
      <c r="EY467" s="23"/>
      <c r="EZ467" s="23"/>
      <c r="FA467" s="23"/>
      <c r="FB467" s="23"/>
      <c r="FC467" s="23"/>
      <c r="FD467" s="23"/>
      <c r="FE467" s="23"/>
      <c r="FF467" s="23"/>
      <c r="FG467" s="23"/>
      <c r="FH467" s="23"/>
      <c r="FI467" s="23"/>
      <c r="FJ467" s="23"/>
      <c r="FK467" s="23"/>
      <c r="FL467" s="23"/>
      <c r="FM467" s="23"/>
      <c r="FN467" s="23"/>
      <c r="FO467" s="23"/>
      <c r="FP467" s="23"/>
      <c r="FQ467" s="23"/>
      <c r="FR467" s="23"/>
      <c r="FS467" s="23"/>
      <c r="FT467" s="23"/>
      <c r="FU467" s="23"/>
      <c r="FV467" s="23"/>
      <c r="FW467" s="23"/>
      <c r="FX467" s="23"/>
      <c r="FY467" s="23"/>
      <c r="FZ467" s="23"/>
      <c r="GA467" s="23"/>
      <c r="GB467" s="23"/>
      <c r="GC467" s="23"/>
      <c r="GD467" s="23"/>
      <c r="GE467" s="23"/>
      <c r="GF467" s="23"/>
      <c r="GG467" s="23"/>
      <c r="GH467" s="23"/>
      <c r="GI467" s="23"/>
      <c r="GJ467" s="23"/>
      <c r="GK467" s="23"/>
      <c r="GL467" s="23"/>
    </row>
    <row r="468" spans="1:194" ht="13">
      <c r="A468" s="23"/>
      <c r="B468" s="23"/>
      <c r="C468" s="23"/>
      <c r="D468" s="23"/>
      <c r="E468" s="23"/>
      <c r="F468" s="23"/>
      <c r="G468" s="23"/>
      <c r="H468" s="401"/>
      <c r="I468" s="401"/>
      <c r="J468" s="401"/>
      <c r="K468" s="401"/>
      <c r="L468" s="401"/>
      <c r="M468" s="438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  <c r="AL468" s="23"/>
      <c r="AM468" s="23"/>
      <c r="AN468" s="23"/>
      <c r="AO468" s="23"/>
      <c r="AP468" s="23"/>
      <c r="AQ468" s="23"/>
      <c r="AR468" s="23"/>
      <c r="AS468" s="23"/>
      <c r="AT468" s="23"/>
      <c r="AU468" s="23"/>
      <c r="AV468" s="23"/>
      <c r="AW468" s="23"/>
      <c r="AX468" s="23"/>
      <c r="AY468" s="23"/>
      <c r="AZ468" s="23"/>
      <c r="BA468" s="23"/>
      <c r="BB468" s="23"/>
      <c r="BC468" s="23"/>
      <c r="BD468" s="23"/>
      <c r="BE468" s="23"/>
      <c r="BF468" s="23"/>
      <c r="BG468" s="23"/>
      <c r="BH468" s="23"/>
      <c r="BI468" s="23"/>
      <c r="BJ468" s="23"/>
      <c r="BK468" s="23"/>
      <c r="BL468" s="23"/>
      <c r="BM468" s="23"/>
      <c r="BN468" s="23"/>
      <c r="BO468" s="23"/>
      <c r="BP468" s="23"/>
      <c r="BQ468" s="23"/>
      <c r="BR468" s="23"/>
      <c r="BS468" s="23"/>
      <c r="BT468" s="23"/>
      <c r="BU468" s="23"/>
      <c r="BV468" s="23"/>
      <c r="BW468" s="23"/>
      <c r="BX468" s="23"/>
      <c r="BY468" s="23"/>
      <c r="BZ468" s="23"/>
      <c r="CA468" s="23"/>
      <c r="CB468" s="23"/>
      <c r="CC468" s="23"/>
      <c r="CD468" s="23"/>
      <c r="CE468" s="23"/>
      <c r="CF468" s="23"/>
      <c r="CG468" s="23"/>
      <c r="CH468" s="23"/>
      <c r="CI468" s="23"/>
      <c r="CJ468" s="23"/>
      <c r="CK468" s="23"/>
      <c r="CL468" s="23"/>
      <c r="CM468" s="23"/>
      <c r="CN468" s="23"/>
      <c r="CO468" s="23"/>
      <c r="CP468" s="23"/>
      <c r="CQ468" s="23"/>
      <c r="CR468" s="23"/>
      <c r="CS468" s="23"/>
      <c r="CT468" s="23"/>
      <c r="CU468" s="23"/>
      <c r="CV468" s="23"/>
      <c r="CW468" s="23"/>
      <c r="CX468" s="23"/>
      <c r="CY468" s="23"/>
      <c r="CZ468" s="23"/>
      <c r="DA468" s="23"/>
      <c r="DB468" s="23"/>
      <c r="DC468" s="23"/>
      <c r="DD468" s="23"/>
      <c r="DE468" s="23"/>
      <c r="DF468" s="23"/>
      <c r="DG468" s="23"/>
      <c r="DH468" s="23"/>
      <c r="DI468" s="23"/>
      <c r="DJ468" s="23"/>
      <c r="DK468" s="23"/>
      <c r="DL468" s="23"/>
      <c r="DM468" s="23"/>
      <c r="DN468" s="23"/>
      <c r="DO468" s="23"/>
      <c r="DP468" s="23"/>
      <c r="DQ468" s="23"/>
      <c r="DR468" s="23"/>
      <c r="DS468" s="23"/>
      <c r="DT468" s="23"/>
      <c r="DU468" s="23"/>
      <c r="DV468" s="23"/>
      <c r="DW468" s="23"/>
      <c r="DX468" s="23"/>
      <c r="DY468" s="23"/>
      <c r="DZ468" s="23"/>
      <c r="EA468" s="23"/>
      <c r="EB468" s="23"/>
      <c r="EC468" s="23"/>
      <c r="ED468" s="23"/>
      <c r="EE468" s="23"/>
      <c r="EF468" s="23"/>
      <c r="EG468" s="23"/>
      <c r="EH468" s="23"/>
      <c r="EI468" s="23"/>
      <c r="EJ468" s="23"/>
      <c r="EK468" s="23"/>
      <c r="EL468" s="23"/>
      <c r="EM468" s="23"/>
      <c r="EN468" s="23"/>
      <c r="EO468" s="23"/>
      <c r="EP468" s="23"/>
      <c r="EQ468" s="23"/>
      <c r="ER468" s="23"/>
      <c r="ES468" s="23"/>
      <c r="ET468" s="23"/>
      <c r="EU468" s="23"/>
      <c r="EV468" s="23"/>
      <c r="EW468" s="23"/>
      <c r="EX468" s="23"/>
      <c r="EY468" s="23"/>
      <c r="EZ468" s="23"/>
      <c r="FA468" s="23"/>
      <c r="FB468" s="23"/>
      <c r="FC468" s="23"/>
      <c r="FD468" s="23"/>
      <c r="FE468" s="23"/>
      <c r="FF468" s="23"/>
      <c r="FG468" s="23"/>
      <c r="FH468" s="23"/>
      <c r="FI468" s="23"/>
      <c r="FJ468" s="23"/>
      <c r="FK468" s="23"/>
      <c r="FL468" s="23"/>
      <c r="FM468" s="23"/>
      <c r="FN468" s="23"/>
      <c r="FO468" s="23"/>
      <c r="FP468" s="23"/>
      <c r="FQ468" s="23"/>
      <c r="FR468" s="23"/>
      <c r="FS468" s="23"/>
      <c r="FT468" s="23"/>
      <c r="FU468" s="23"/>
      <c r="FV468" s="23"/>
      <c r="FW468" s="23"/>
      <c r="FX468" s="23"/>
      <c r="FY468" s="23"/>
      <c r="FZ468" s="23"/>
      <c r="GA468" s="23"/>
      <c r="GB468" s="23"/>
      <c r="GC468" s="23"/>
      <c r="GD468" s="23"/>
      <c r="GE468" s="23"/>
      <c r="GF468" s="23"/>
      <c r="GG468" s="23"/>
      <c r="GH468" s="23"/>
      <c r="GI468" s="23"/>
      <c r="GJ468" s="23"/>
      <c r="GK468" s="23"/>
      <c r="GL468" s="23"/>
    </row>
    <row r="469" spans="1:194" ht="13">
      <c r="A469" s="23"/>
      <c r="B469" s="23"/>
      <c r="C469" s="23"/>
      <c r="D469" s="23"/>
      <c r="E469" s="23"/>
      <c r="F469" s="23"/>
      <c r="G469" s="23"/>
      <c r="H469" s="401"/>
      <c r="I469" s="401"/>
      <c r="J469" s="401"/>
      <c r="K469" s="401"/>
      <c r="L469" s="401"/>
      <c r="M469" s="438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  <c r="AL469" s="23"/>
      <c r="AM469" s="23"/>
      <c r="AN469" s="23"/>
      <c r="AO469" s="23"/>
      <c r="AP469" s="23"/>
      <c r="AQ469" s="23"/>
      <c r="AR469" s="23"/>
      <c r="AS469" s="23"/>
      <c r="AT469" s="23"/>
      <c r="AU469" s="23"/>
      <c r="AV469" s="23"/>
      <c r="AW469" s="23"/>
      <c r="AX469" s="23"/>
      <c r="AY469" s="23"/>
      <c r="AZ469" s="23"/>
      <c r="BA469" s="23"/>
      <c r="BB469" s="23"/>
      <c r="BC469" s="23"/>
      <c r="BD469" s="23"/>
      <c r="BE469" s="23"/>
      <c r="BF469" s="23"/>
      <c r="BG469" s="23"/>
      <c r="BH469" s="23"/>
      <c r="BI469" s="23"/>
      <c r="BJ469" s="23"/>
      <c r="BK469" s="23"/>
      <c r="BL469" s="23"/>
      <c r="BM469" s="23"/>
      <c r="BN469" s="23"/>
      <c r="BO469" s="23"/>
      <c r="BP469" s="23"/>
      <c r="BQ469" s="23"/>
      <c r="BR469" s="23"/>
      <c r="BS469" s="23"/>
      <c r="BT469" s="23"/>
      <c r="BU469" s="23"/>
      <c r="BV469" s="23"/>
      <c r="BW469" s="23"/>
      <c r="BX469" s="23"/>
      <c r="BY469" s="23"/>
      <c r="BZ469" s="23"/>
      <c r="CA469" s="23"/>
      <c r="CB469" s="23"/>
      <c r="CC469" s="23"/>
      <c r="CD469" s="23"/>
      <c r="CE469" s="23"/>
      <c r="CF469" s="23"/>
      <c r="CG469" s="23"/>
      <c r="CH469" s="23"/>
      <c r="CI469" s="23"/>
      <c r="CJ469" s="23"/>
      <c r="CK469" s="23"/>
      <c r="CL469" s="23"/>
      <c r="CM469" s="23"/>
      <c r="CN469" s="23"/>
      <c r="CO469" s="23"/>
      <c r="CP469" s="23"/>
      <c r="CQ469" s="23"/>
      <c r="CR469" s="23"/>
      <c r="CS469" s="23"/>
      <c r="CT469" s="23"/>
      <c r="CU469" s="23"/>
      <c r="CV469" s="23"/>
      <c r="CW469" s="23"/>
      <c r="CX469" s="23"/>
      <c r="CY469" s="23"/>
      <c r="CZ469" s="23"/>
      <c r="DA469" s="23"/>
      <c r="DB469" s="23"/>
      <c r="DC469" s="23"/>
      <c r="DD469" s="23"/>
      <c r="DE469" s="23"/>
      <c r="DF469" s="23"/>
      <c r="DG469" s="23"/>
      <c r="DH469" s="23"/>
      <c r="DI469" s="23"/>
      <c r="DJ469" s="23"/>
      <c r="DK469" s="23"/>
      <c r="DL469" s="23"/>
      <c r="DM469" s="23"/>
      <c r="DN469" s="23"/>
      <c r="DO469" s="23"/>
      <c r="DP469" s="23"/>
      <c r="DQ469" s="23"/>
      <c r="DR469" s="23"/>
      <c r="DS469" s="23"/>
      <c r="DT469" s="23"/>
      <c r="DU469" s="23"/>
      <c r="DV469" s="23"/>
      <c r="DW469" s="23"/>
      <c r="DX469" s="23"/>
      <c r="DY469" s="23"/>
      <c r="DZ469" s="23"/>
      <c r="EA469" s="23"/>
      <c r="EB469" s="23"/>
      <c r="EC469" s="23"/>
      <c r="ED469" s="23"/>
      <c r="EE469" s="23"/>
      <c r="EF469" s="23"/>
      <c r="EG469" s="23"/>
      <c r="EH469" s="23"/>
      <c r="EI469" s="23"/>
      <c r="EJ469" s="23"/>
      <c r="EK469" s="23"/>
      <c r="EL469" s="23"/>
      <c r="EM469" s="23"/>
      <c r="EN469" s="23"/>
      <c r="EO469" s="23"/>
      <c r="EP469" s="23"/>
      <c r="EQ469" s="23"/>
      <c r="ER469" s="23"/>
      <c r="ES469" s="23"/>
      <c r="ET469" s="23"/>
      <c r="EU469" s="23"/>
      <c r="EV469" s="23"/>
      <c r="EW469" s="23"/>
      <c r="EX469" s="23"/>
      <c r="EY469" s="23"/>
      <c r="EZ469" s="23"/>
      <c r="FA469" s="23"/>
      <c r="FB469" s="23"/>
      <c r="FC469" s="23"/>
      <c r="FD469" s="23"/>
      <c r="FE469" s="23"/>
      <c r="FF469" s="23"/>
      <c r="FG469" s="23"/>
      <c r="FH469" s="23"/>
      <c r="FI469" s="23"/>
      <c r="FJ469" s="23"/>
      <c r="FK469" s="23"/>
      <c r="FL469" s="23"/>
      <c r="FM469" s="23"/>
      <c r="FN469" s="23"/>
      <c r="FO469" s="23"/>
      <c r="FP469" s="23"/>
      <c r="FQ469" s="23"/>
      <c r="FR469" s="23"/>
      <c r="FS469" s="23"/>
      <c r="FT469" s="23"/>
      <c r="FU469" s="23"/>
      <c r="FV469" s="23"/>
      <c r="FW469" s="23"/>
      <c r="FX469" s="23"/>
      <c r="FY469" s="23"/>
      <c r="FZ469" s="23"/>
      <c r="GA469" s="23"/>
      <c r="GB469" s="23"/>
      <c r="GC469" s="23"/>
      <c r="GD469" s="23"/>
      <c r="GE469" s="23"/>
      <c r="GF469" s="23"/>
      <c r="GG469" s="23"/>
      <c r="GH469" s="23"/>
      <c r="GI469" s="23"/>
      <c r="GJ469" s="23"/>
      <c r="GK469" s="23"/>
      <c r="GL469" s="23"/>
    </row>
    <row r="470" spans="1:194" ht="13">
      <c r="A470" s="23"/>
      <c r="B470" s="23"/>
      <c r="C470" s="23"/>
      <c r="D470" s="23"/>
      <c r="E470" s="23"/>
      <c r="F470" s="23"/>
      <c r="G470" s="23"/>
      <c r="H470" s="401"/>
      <c r="I470" s="401"/>
      <c r="J470" s="401"/>
      <c r="K470" s="401"/>
      <c r="L470" s="401"/>
      <c r="M470" s="438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  <c r="AL470" s="23"/>
      <c r="AM470" s="23"/>
      <c r="AN470" s="23"/>
      <c r="AO470" s="23"/>
      <c r="AP470" s="23"/>
      <c r="AQ470" s="23"/>
      <c r="AR470" s="23"/>
      <c r="AS470" s="23"/>
      <c r="AT470" s="23"/>
      <c r="AU470" s="23"/>
      <c r="AV470" s="23"/>
      <c r="AW470" s="23"/>
      <c r="AX470" s="23"/>
      <c r="AY470" s="23"/>
      <c r="AZ470" s="23"/>
      <c r="BA470" s="23"/>
      <c r="BB470" s="23"/>
      <c r="BC470" s="23"/>
      <c r="BD470" s="23"/>
      <c r="BE470" s="23"/>
      <c r="BF470" s="23"/>
      <c r="BG470" s="23"/>
      <c r="BH470" s="23"/>
      <c r="BI470" s="23"/>
      <c r="BJ470" s="23"/>
      <c r="BK470" s="23"/>
      <c r="BL470" s="23"/>
      <c r="BM470" s="23"/>
      <c r="BN470" s="23"/>
      <c r="BO470" s="23"/>
      <c r="BP470" s="23"/>
      <c r="BQ470" s="23"/>
      <c r="BR470" s="23"/>
      <c r="BS470" s="23"/>
      <c r="BT470" s="23"/>
      <c r="BU470" s="23"/>
      <c r="BV470" s="23"/>
      <c r="BW470" s="23"/>
      <c r="BX470" s="23"/>
      <c r="BY470" s="23"/>
      <c r="BZ470" s="23"/>
      <c r="CA470" s="23"/>
      <c r="CB470" s="23"/>
      <c r="CC470" s="23"/>
      <c r="CD470" s="23"/>
      <c r="CE470" s="23"/>
      <c r="CF470" s="23"/>
      <c r="CG470" s="23"/>
      <c r="CH470" s="23"/>
      <c r="CI470" s="23"/>
      <c r="CJ470" s="23"/>
      <c r="CK470" s="23"/>
      <c r="CL470" s="23"/>
      <c r="CM470" s="23"/>
      <c r="CN470" s="23"/>
      <c r="CO470" s="23"/>
      <c r="CP470" s="23"/>
      <c r="CQ470" s="23"/>
      <c r="CR470" s="23"/>
      <c r="CS470" s="23"/>
      <c r="CT470" s="23"/>
      <c r="CU470" s="23"/>
      <c r="CV470" s="23"/>
      <c r="CW470" s="23"/>
      <c r="CX470" s="23"/>
      <c r="CY470" s="23"/>
      <c r="CZ470" s="23"/>
      <c r="DA470" s="23"/>
      <c r="DB470" s="23"/>
      <c r="DC470" s="23"/>
      <c r="DD470" s="23"/>
      <c r="DE470" s="23"/>
      <c r="DF470" s="23"/>
      <c r="DG470" s="23"/>
      <c r="DH470" s="23"/>
      <c r="DI470" s="23"/>
      <c r="DJ470" s="23"/>
      <c r="DK470" s="23"/>
      <c r="DL470" s="23"/>
      <c r="DM470" s="23"/>
      <c r="DN470" s="23"/>
      <c r="DO470" s="23"/>
      <c r="DP470" s="23"/>
      <c r="DQ470" s="23"/>
      <c r="DR470" s="23"/>
      <c r="DS470" s="23"/>
      <c r="DT470" s="23"/>
      <c r="DU470" s="23"/>
      <c r="DV470" s="23"/>
      <c r="DW470" s="23"/>
      <c r="DX470" s="23"/>
      <c r="DY470" s="23"/>
      <c r="DZ470" s="23"/>
      <c r="EA470" s="23"/>
      <c r="EB470" s="23"/>
      <c r="EC470" s="23"/>
      <c r="ED470" s="23"/>
      <c r="EE470" s="23"/>
      <c r="EF470" s="23"/>
      <c r="EG470" s="23"/>
      <c r="EH470" s="23"/>
      <c r="EI470" s="23"/>
      <c r="EJ470" s="23"/>
      <c r="EK470" s="23"/>
      <c r="EL470" s="23"/>
      <c r="EM470" s="23"/>
      <c r="EN470" s="23"/>
      <c r="EO470" s="23"/>
      <c r="EP470" s="23"/>
      <c r="EQ470" s="23"/>
      <c r="ER470" s="23"/>
      <c r="ES470" s="23"/>
      <c r="ET470" s="23"/>
      <c r="EU470" s="23"/>
      <c r="EV470" s="23"/>
      <c r="EW470" s="23"/>
      <c r="EX470" s="23"/>
      <c r="EY470" s="23"/>
      <c r="EZ470" s="23"/>
      <c r="FA470" s="23"/>
      <c r="FB470" s="23"/>
      <c r="FC470" s="23"/>
      <c r="FD470" s="23"/>
      <c r="FE470" s="23"/>
      <c r="FF470" s="23"/>
      <c r="FG470" s="23"/>
      <c r="FH470" s="23"/>
      <c r="FI470" s="23"/>
      <c r="FJ470" s="23"/>
      <c r="FK470" s="23"/>
      <c r="FL470" s="23"/>
      <c r="FM470" s="23"/>
      <c r="FN470" s="23"/>
      <c r="FO470" s="23"/>
      <c r="FP470" s="23"/>
      <c r="FQ470" s="23"/>
      <c r="FR470" s="23"/>
      <c r="FS470" s="23"/>
      <c r="FT470" s="23"/>
      <c r="FU470" s="23"/>
      <c r="FV470" s="23"/>
      <c r="FW470" s="23"/>
      <c r="FX470" s="23"/>
      <c r="FY470" s="23"/>
      <c r="FZ470" s="23"/>
      <c r="GA470" s="23"/>
      <c r="GB470" s="23"/>
      <c r="GC470" s="23"/>
      <c r="GD470" s="23"/>
      <c r="GE470" s="23"/>
      <c r="GF470" s="23"/>
      <c r="GG470" s="23"/>
      <c r="GH470" s="23"/>
      <c r="GI470" s="23"/>
      <c r="GJ470" s="23"/>
      <c r="GK470" s="23"/>
      <c r="GL470" s="23"/>
    </row>
    <row r="471" spans="1:194" ht="13">
      <c r="A471" s="23"/>
      <c r="B471" s="23"/>
      <c r="C471" s="23"/>
      <c r="D471" s="23"/>
      <c r="E471" s="23"/>
      <c r="F471" s="23"/>
      <c r="G471" s="23"/>
      <c r="H471" s="401"/>
      <c r="I471" s="401"/>
      <c r="J471" s="401"/>
      <c r="K471" s="401"/>
      <c r="L471" s="401"/>
      <c r="M471" s="438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  <c r="AL471" s="23"/>
      <c r="AM471" s="23"/>
      <c r="AN471" s="23"/>
      <c r="AO471" s="23"/>
      <c r="AP471" s="23"/>
      <c r="AQ471" s="23"/>
      <c r="AR471" s="23"/>
      <c r="AS471" s="23"/>
      <c r="AT471" s="23"/>
      <c r="AU471" s="23"/>
      <c r="AV471" s="23"/>
      <c r="AW471" s="23"/>
      <c r="AX471" s="23"/>
      <c r="AY471" s="23"/>
      <c r="AZ471" s="23"/>
      <c r="BA471" s="23"/>
      <c r="BB471" s="23"/>
      <c r="BC471" s="23"/>
      <c r="BD471" s="23"/>
      <c r="BE471" s="23"/>
      <c r="BF471" s="23"/>
      <c r="BG471" s="23"/>
      <c r="BH471" s="23"/>
      <c r="BI471" s="23"/>
      <c r="BJ471" s="23"/>
      <c r="BK471" s="23"/>
      <c r="BL471" s="23"/>
      <c r="BM471" s="23"/>
      <c r="BN471" s="23"/>
      <c r="BO471" s="23"/>
      <c r="BP471" s="23"/>
      <c r="BQ471" s="23"/>
      <c r="BR471" s="23"/>
      <c r="BS471" s="23"/>
      <c r="BT471" s="23"/>
      <c r="BU471" s="23"/>
      <c r="BV471" s="23"/>
      <c r="BW471" s="23"/>
      <c r="BX471" s="23"/>
      <c r="BY471" s="23"/>
      <c r="BZ471" s="23"/>
      <c r="CA471" s="23"/>
      <c r="CB471" s="23"/>
      <c r="CC471" s="23"/>
      <c r="CD471" s="23"/>
      <c r="CE471" s="23"/>
      <c r="CF471" s="23"/>
      <c r="CG471" s="23"/>
      <c r="CH471" s="23"/>
      <c r="CI471" s="23"/>
      <c r="CJ471" s="23"/>
      <c r="CK471" s="23"/>
      <c r="CL471" s="23"/>
      <c r="CM471" s="23"/>
      <c r="CN471" s="23"/>
      <c r="CO471" s="23"/>
      <c r="CP471" s="23"/>
      <c r="CQ471" s="23"/>
      <c r="CR471" s="23"/>
      <c r="CS471" s="23"/>
      <c r="CT471" s="23"/>
      <c r="CU471" s="23"/>
      <c r="CV471" s="23"/>
      <c r="CW471" s="23"/>
      <c r="CX471" s="23"/>
      <c r="CY471" s="23"/>
      <c r="CZ471" s="23"/>
      <c r="DA471" s="23"/>
      <c r="DB471" s="23"/>
      <c r="DC471" s="23"/>
      <c r="DD471" s="23"/>
      <c r="DE471" s="23"/>
      <c r="DF471" s="23"/>
      <c r="DG471" s="23"/>
      <c r="DH471" s="23"/>
      <c r="DI471" s="23"/>
      <c r="DJ471" s="23"/>
      <c r="DK471" s="23"/>
      <c r="DL471" s="23"/>
      <c r="DM471" s="23"/>
      <c r="DN471" s="23"/>
      <c r="DO471" s="23"/>
      <c r="DP471" s="23"/>
      <c r="DQ471" s="23"/>
      <c r="DR471" s="23"/>
      <c r="DS471" s="23"/>
      <c r="DT471" s="23"/>
      <c r="DU471" s="23"/>
      <c r="DV471" s="23"/>
      <c r="DW471" s="23"/>
      <c r="DX471" s="23"/>
      <c r="DY471" s="23"/>
      <c r="DZ471" s="23"/>
      <c r="EA471" s="23"/>
      <c r="EB471" s="23"/>
      <c r="EC471" s="23"/>
      <c r="ED471" s="23"/>
      <c r="EE471" s="23"/>
      <c r="EF471" s="23"/>
      <c r="EG471" s="23"/>
      <c r="EH471" s="23"/>
      <c r="EI471" s="23"/>
      <c r="EJ471" s="23"/>
      <c r="EK471" s="23"/>
      <c r="EL471" s="23"/>
      <c r="EM471" s="23"/>
      <c r="EN471" s="23"/>
      <c r="EO471" s="23"/>
      <c r="EP471" s="23"/>
      <c r="EQ471" s="23"/>
      <c r="ER471" s="23"/>
      <c r="ES471" s="23"/>
      <c r="ET471" s="23"/>
      <c r="EU471" s="23"/>
      <c r="EV471" s="23"/>
      <c r="EW471" s="23"/>
      <c r="EX471" s="23"/>
      <c r="EY471" s="23"/>
      <c r="EZ471" s="23"/>
      <c r="FA471" s="23"/>
      <c r="FB471" s="23"/>
      <c r="FC471" s="23"/>
      <c r="FD471" s="23"/>
      <c r="FE471" s="23"/>
      <c r="FF471" s="23"/>
      <c r="FG471" s="23"/>
      <c r="FH471" s="23"/>
      <c r="FI471" s="23"/>
      <c r="FJ471" s="23"/>
      <c r="FK471" s="23"/>
      <c r="FL471" s="23"/>
      <c r="FM471" s="23"/>
      <c r="FN471" s="23"/>
      <c r="FO471" s="23"/>
      <c r="FP471" s="23"/>
      <c r="FQ471" s="23"/>
      <c r="FR471" s="23"/>
      <c r="FS471" s="23"/>
      <c r="FT471" s="23"/>
      <c r="FU471" s="23"/>
      <c r="FV471" s="23"/>
      <c r="FW471" s="23"/>
      <c r="FX471" s="23"/>
      <c r="FY471" s="23"/>
      <c r="FZ471" s="23"/>
      <c r="GA471" s="23"/>
      <c r="GB471" s="23"/>
      <c r="GC471" s="23"/>
      <c r="GD471" s="23"/>
      <c r="GE471" s="23"/>
      <c r="GF471" s="23"/>
      <c r="GG471" s="23"/>
      <c r="GH471" s="23"/>
      <c r="GI471" s="23"/>
      <c r="GJ471" s="23"/>
      <c r="GK471" s="23"/>
      <c r="GL471" s="23"/>
    </row>
    <row r="472" spans="1:194" ht="13">
      <c r="A472" s="23"/>
      <c r="B472" s="23"/>
      <c r="C472" s="23"/>
      <c r="D472" s="23"/>
      <c r="E472" s="23"/>
      <c r="F472" s="23"/>
      <c r="G472" s="23"/>
      <c r="H472" s="401"/>
      <c r="I472" s="401"/>
      <c r="J472" s="401"/>
      <c r="K472" s="401"/>
      <c r="L472" s="401"/>
      <c r="M472" s="438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  <c r="AL472" s="23"/>
      <c r="AM472" s="23"/>
      <c r="AN472" s="23"/>
      <c r="AO472" s="23"/>
      <c r="AP472" s="23"/>
      <c r="AQ472" s="23"/>
      <c r="AR472" s="23"/>
      <c r="AS472" s="23"/>
      <c r="AT472" s="23"/>
      <c r="AU472" s="23"/>
      <c r="AV472" s="23"/>
      <c r="AW472" s="23"/>
      <c r="AX472" s="23"/>
      <c r="AY472" s="23"/>
      <c r="AZ472" s="23"/>
      <c r="BA472" s="23"/>
      <c r="BB472" s="23"/>
      <c r="BC472" s="23"/>
      <c r="BD472" s="23"/>
      <c r="BE472" s="23"/>
      <c r="BF472" s="23"/>
      <c r="BG472" s="23"/>
      <c r="BH472" s="23"/>
      <c r="BI472" s="23"/>
      <c r="BJ472" s="23"/>
      <c r="BK472" s="23"/>
      <c r="BL472" s="23"/>
      <c r="BM472" s="23"/>
      <c r="BN472" s="23"/>
      <c r="BO472" s="23"/>
      <c r="BP472" s="23"/>
      <c r="BQ472" s="23"/>
      <c r="BR472" s="23"/>
      <c r="BS472" s="23"/>
      <c r="BT472" s="23"/>
      <c r="BU472" s="23"/>
      <c r="BV472" s="23"/>
      <c r="BW472" s="23"/>
      <c r="BX472" s="23"/>
      <c r="BY472" s="23"/>
      <c r="BZ472" s="23"/>
      <c r="CA472" s="23"/>
      <c r="CB472" s="23"/>
      <c r="CC472" s="23"/>
      <c r="CD472" s="23"/>
      <c r="CE472" s="23"/>
      <c r="CF472" s="23"/>
      <c r="CG472" s="23"/>
      <c r="CH472" s="23"/>
      <c r="CI472" s="23"/>
      <c r="CJ472" s="23"/>
      <c r="CK472" s="23"/>
      <c r="CL472" s="23"/>
      <c r="CM472" s="23"/>
      <c r="CN472" s="23"/>
      <c r="CO472" s="23"/>
      <c r="CP472" s="23"/>
      <c r="CQ472" s="23"/>
      <c r="CR472" s="23"/>
      <c r="CS472" s="23"/>
      <c r="CT472" s="23"/>
      <c r="CU472" s="23"/>
      <c r="CV472" s="23"/>
      <c r="CW472" s="23"/>
      <c r="CX472" s="23"/>
      <c r="CY472" s="23"/>
      <c r="CZ472" s="23"/>
      <c r="DA472" s="23"/>
      <c r="DB472" s="23"/>
      <c r="DC472" s="23"/>
      <c r="DD472" s="23"/>
      <c r="DE472" s="23"/>
      <c r="DF472" s="23"/>
      <c r="DG472" s="23"/>
      <c r="DH472" s="23"/>
      <c r="DI472" s="23"/>
      <c r="DJ472" s="23"/>
      <c r="DK472" s="23"/>
      <c r="DL472" s="23"/>
      <c r="DM472" s="23"/>
      <c r="DN472" s="23"/>
      <c r="DO472" s="23"/>
      <c r="DP472" s="23"/>
      <c r="DQ472" s="23"/>
      <c r="DR472" s="23"/>
      <c r="DS472" s="23"/>
      <c r="DT472" s="23"/>
      <c r="DU472" s="23"/>
      <c r="DV472" s="23"/>
      <c r="DW472" s="23"/>
      <c r="DX472" s="23"/>
      <c r="DY472" s="23"/>
      <c r="DZ472" s="23"/>
      <c r="EA472" s="23"/>
      <c r="EB472" s="23"/>
      <c r="EC472" s="23"/>
      <c r="ED472" s="23"/>
      <c r="EE472" s="23"/>
      <c r="EF472" s="23"/>
      <c r="EG472" s="23"/>
      <c r="EH472" s="23"/>
      <c r="EI472" s="23"/>
      <c r="EJ472" s="23"/>
      <c r="EK472" s="23"/>
      <c r="EL472" s="23"/>
      <c r="EM472" s="23"/>
      <c r="EN472" s="23"/>
      <c r="EO472" s="23"/>
      <c r="EP472" s="23"/>
      <c r="EQ472" s="23"/>
      <c r="ER472" s="23"/>
      <c r="ES472" s="23"/>
      <c r="ET472" s="23"/>
      <c r="EU472" s="23"/>
      <c r="EV472" s="23"/>
      <c r="EW472" s="23"/>
      <c r="EX472" s="23"/>
      <c r="EY472" s="23"/>
      <c r="EZ472" s="23"/>
      <c r="FA472" s="23"/>
      <c r="FB472" s="23"/>
      <c r="FC472" s="23"/>
      <c r="FD472" s="23"/>
      <c r="FE472" s="23"/>
      <c r="FF472" s="23"/>
      <c r="FG472" s="23"/>
      <c r="FH472" s="23"/>
      <c r="FI472" s="23"/>
      <c r="FJ472" s="23"/>
      <c r="FK472" s="23"/>
      <c r="FL472" s="23"/>
      <c r="FM472" s="23"/>
      <c r="FN472" s="23"/>
      <c r="FO472" s="23"/>
      <c r="FP472" s="23"/>
      <c r="FQ472" s="23"/>
      <c r="FR472" s="23"/>
      <c r="FS472" s="23"/>
      <c r="FT472" s="23"/>
      <c r="FU472" s="23"/>
      <c r="FV472" s="23"/>
      <c r="FW472" s="23"/>
      <c r="FX472" s="23"/>
      <c r="FY472" s="23"/>
      <c r="FZ472" s="23"/>
      <c r="GA472" s="23"/>
      <c r="GB472" s="23"/>
      <c r="GC472" s="23"/>
      <c r="GD472" s="23"/>
      <c r="GE472" s="23"/>
      <c r="GF472" s="23"/>
      <c r="GG472" s="23"/>
      <c r="GH472" s="23"/>
      <c r="GI472" s="23"/>
      <c r="GJ472" s="23"/>
      <c r="GK472" s="23"/>
      <c r="GL472" s="23"/>
    </row>
    <row r="473" spans="1:194" ht="13">
      <c r="A473" s="23"/>
      <c r="B473" s="23"/>
      <c r="C473" s="23"/>
      <c r="D473" s="23"/>
      <c r="E473" s="23"/>
      <c r="F473" s="23"/>
      <c r="G473" s="23"/>
      <c r="H473" s="401"/>
      <c r="I473" s="401"/>
      <c r="J473" s="401"/>
      <c r="K473" s="401"/>
      <c r="L473" s="401"/>
      <c r="M473" s="438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23"/>
      <c r="AU473" s="23"/>
      <c r="AV473" s="23"/>
      <c r="AW473" s="23"/>
      <c r="AX473" s="23"/>
      <c r="AY473" s="23"/>
      <c r="AZ473" s="23"/>
      <c r="BA473" s="23"/>
      <c r="BB473" s="23"/>
      <c r="BC473" s="23"/>
      <c r="BD473" s="23"/>
      <c r="BE473" s="23"/>
      <c r="BF473" s="23"/>
      <c r="BG473" s="23"/>
      <c r="BH473" s="23"/>
      <c r="BI473" s="23"/>
      <c r="BJ473" s="23"/>
      <c r="BK473" s="23"/>
      <c r="BL473" s="23"/>
      <c r="BM473" s="23"/>
      <c r="BN473" s="23"/>
      <c r="BO473" s="23"/>
      <c r="BP473" s="23"/>
      <c r="BQ473" s="23"/>
      <c r="BR473" s="23"/>
      <c r="BS473" s="23"/>
      <c r="BT473" s="23"/>
      <c r="BU473" s="23"/>
      <c r="BV473" s="23"/>
      <c r="BW473" s="23"/>
      <c r="BX473" s="23"/>
      <c r="BY473" s="23"/>
      <c r="BZ473" s="23"/>
      <c r="CA473" s="23"/>
      <c r="CB473" s="23"/>
      <c r="CC473" s="23"/>
      <c r="CD473" s="23"/>
      <c r="CE473" s="23"/>
      <c r="CF473" s="23"/>
      <c r="CG473" s="23"/>
      <c r="CH473" s="23"/>
      <c r="CI473" s="23"/>
      <c r="CJ473" s="23"/>
      <c r="CK473" s="23"/>
      <c r="CL473" s="23"/>
      <c r="CM473" s="23"/>
      <c r="CN473" s="23"/>
      <c r="CO473" s="23"/>
      <c r="CP473" s="23"/>
      <c r="CQ473" s="23"/>
      <c r="CR473" s="23"/>
      <c r="CS473" s="23"/>
      <c r="CT473" s="23"/>
      <c r="CU473" s="23"/>
      <c r="CV473" s="23"/>
      <c r="CW473" s="23"/>
      <c r="CX473" s="23"/>
      <c r="CY473" s="23"/>
      <c r="CZ473" s="23"/>
      <c r="DA473" s="23"/>
      <c r="DB473" s="23"/>
      <c r="DC473" s="23"/>
      <c r="DD473" s="23"/>
      <c r="DE473" s="23"/>
      <c r="DF473" s="23"/>
      <c r="DG473" s="23"/>
      <c r="DH473" s="23"/>
      <c r="DI473" s="23"/>
      <c r="DJ473" s="23"/>
      <c r="DK473" s="23"/>
      <c r="DL473" s="23"/>
      <c r="DM473" s="23"/>
      <c r="DN473" s="23"/>
      <c r="DO473" s="23"/>
      <c r="DP473" s="23"/>
      <c r="DQ473" s="23"/>
      <c r="DR473" s="23"/>
      <c r="DS473" s="23"/>
      <c r="DT473" s="23"/>
      <c r="DU473" s="23"/>
      <c r="DV473" s="23"/>
      <c r="DW473" s="23"/>
      <c r="DX473" s="23"/>
      <c r="DY473" s="23"/>
      <c r="DZ473" s="23"/>
      <c r="EA473" s="23"/>
      <c r="EB473" s="23"/>
      <c r="EC473" s="23"/>
      <c r="ED473" s="23"/>
      <c r="EE473" s="23"/>
      <c r="EF473" s="23"/>
      <c r="EG473" s="23"/>
      <c r="EH473" s="23"/>
      <c r="EI473" s="23"/>
      <c r="EJ473" s="23"/>
      <c r="EK473" s="23"/>
      <c r="EL473" s="23"/>
      <c r="EM473" s="23"/>
      <c r="EN473" s="23"/>
      <c r="EO473" s="23"/>
      <c r="EP473" s="23"/>
      <c r="EQ473" s="23"/>
      <c r="ER473" s="23"/>
      <c r="ES473" s="23"/>
      <c r="ET473" s="23"/>
      <c r="EU473" s="23"/>
      <c r="EV473" s="23"/>
      <c r="EW473" s="23"/>
      <c r="EX473" s="23"/>
      <c r="EY473" s="23"/>
      <c r="EZ473" s="23"/>
      <c r="FA473" s="23"/>
      <c r="FB473" s="23"/>
      <c r="FC473" s="23"/>
      <c r="FD473" s="23"/>
      <c r="FE473" s="23"/>
      <c r="FF473" s="23"/>
      <c r="FG473" s="23"/>
      <c r="FH473" s="23"/>
      <c r="FI473" s="23"/>
      <c r="FJ473" s="23"/>
      <c r="FK473" s="23"/>
      <c r="FL473" s="23"/>
      <c r="FM473" s="23"/>
      <c r="FN473" s="23"/>
      <c r="FO473" s="23"/>
      <c r="FP473" s="23"/>
      <c r="FQ473" s="23"/>
      <c r="FR473" s="23"/>
      <c r="FS473" s="23"/>
      <c r="FT473" s="23"/>
      <c r="FU473" s="23"/>
      <c r="FV473" s="23"/>
      <c r="FW473" s="23"/>
      <c r="FX473" s="23"/>
      <c r="FY473" s="23"/>
      <c r="FZ473" s="23"/>
      <c r="GA473" s="23"/>
      <c r="GB473" s="23"/>
      <c r="GC473" s="23"/>
      <c r="GD473" s="23"/>
      <c r="GE473" s="23"/>
      <c r="GF473" s="23"/>
      <c r="GG473" s="23"/>
      <c r="GH473" s="23"/>
      <c r="GI473" s="23"/>
      <c r="GJ473" s="23"/>
      <c r="GK473" s="23"/>
      <c r="GL473" s="23"/>
    </row>
    <row r="474" spans="1:194" ht="13">
      <c r="A474" s="23"/>
      <c r="B474" s="23"/>
      <c r="C474" s="23"/>
      <c r="D474" s="23"/>
      <c r="E474" s="23"/>
      <c r="F474" s="23"/>
      <c r="G474" s="23"/>
      <c r="H474" s="401"/>
      <c r="I474" s="401"/>
      <c r="J474" s="401"/>
      <c r="K474" s="401"/>
      <c r="L474" s="401"/>
      <c r="M474" s="438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  <c r="AL474" s="23"/>
      <c r="AM474" s="23"/>
      <c r="AN474" s="23"/>
      <c r="AO474" s="23"/>
      <c r="AP474" s="23"/>
      <c r="AQ474" s="23"/>
      <c r="AR474" s="23"/>
      <c r="AS474" s="23"/>
      <c r="AT474" s="23"/>
      <c r="AU474" s="23"/>
      <c r="AV474" s="23"/>
      <c r="AW474" s="23"/>
      <c r="AX474" s="23"/>
      <c r="AY474" s="23"/>
      <c r="AZ474" s="23"/>
      <c r="BA474" s="23"/>
      <c r="BB474" s="23"/>
      <c r="BC474" s="23"/>
      <c r="BD474" s="23"/>
      <c r="BE474" s="23"/>
      <c r="BF474" s="23"/>
      <c r="BG474" s="23"/>
      <c r="BH474" s="23"/>
      <c r="BI474" s="23"/>
      <c r="BJ474" s="23"/>
      <c r="BK474" s="23"/>
      <c r="BL474" s="23"/>
      <c r="BM474" s="23"/>
      <c r="BN474" s="23"/>
      <c r="BO474" s="23"/>
      <c r="BP474" s="23"/>
      <c r="BQ474" s="23"/>
      <c r="BR474" s="23"/>
      <c r="BS474" s="23"/>
      <c r="BT474" s="23"/>
      <c r="BU474" s="23"/>
      <c r="BV474" s="23"/>
      <c r="BW474" s="23"/>
      <c r="BX474" s="23"/>
      <c r="BY474" s="23"/>
      <c r="BZ474" s="23"/>
      <c r="CA474" s="23"/>
      <c r="CB474" s="23"/>
      <c r="CC474" s="23"/>
      <c r="CD474" s="23"/>
      <c r="CE474" s="23"/>
      <c r="CF474" s="23"/>
      <c r="CG474" s="23"/>
      <c r="CH474" s="23"/>
      <c r="CI474" s="23"/>
      <c r="CJ474" s="23"/>
      <c r="CK474" s="23"/>
      <c r="CL474" s="23"/>
      <c r="CM474" s="23"/>
      <c r="CN474" s="23"/>
      <c r="CO474" s="23"/>
      <c r="CP474" s="23"/>
      <c r="CQ474" s="23"/>
      <c r="CR474" s="23"/>
      <c r="CS474" s="23"/>
      <c r="CT474" s="23"/>
      <c r="CU474" s="23"/>
      <c r="CV474" s="23"/>
      <c r="CW474" s="23"/>
      <c r="CX474" s="23"/>
      <c r="CY474" s="23"/>
      <c r="CZ474" s="23"/>
      <c r="DA474" s="23"/>
      <c r="DB474" s="23"/>
      <c r="DC474" s="23"/>
      <c r="DD474" s="23"/>
      <c r="DE474" s="23"/>
      <c r="DF474" s="23"/>
      <c r="DG474" s="23"/>
      <c r="DH474" s="23"/>
      <c r="DI474" s="23"/>
      <c r="DJ474" s="23"/>
      <c r="DK474" s="23"/>
      <c r="DL474" s="23"/>
      <c r="DM474" s="23"/>
      <c r="DN474" s="23"/>
      <c r="DO474" s="23"/>
      <c r="DP474" s="23"/>
      <c r="DQ474" s="23"/>
      <c r="DR474" s="23"/>
      <c r="DS474" s="23"/>
      <c r="DT474" s="23"/>
      <c r="DU474" s="23"/>
      <c r="DV474" s="23"/>
      <c r="DW474" s="23"/>
      <c r="DX474" s="23"/>
      <c r="DY474" s="23"/>
      <c r="DZ474" s="23"/>
      <c r="EA474" s="23"/>
      <c r="EB474" s="23"/>
      <c r="EC474" s="23"/>
      <c r="ED474" s="23"/>
      <c r="EE474" s="23"/>
      <c r="EF474" s="23"/>
      <c r="EG474" s="23"/>
      <c r="EH474" s="23"/>
      <c r="EI474" s="23"/>
      <c r="EJ474" s="23"/>
      <c r="EK474" s="23"/>
      <c r="EL474" s="23"/>
      <c r="EM474" s="23"/>
      <c r="EN474" s="23"/>
      <c r="EO474" s="23"/>
      <c r="EP474" s="23"/>
      <c r="EQ474" s="23"/>
      <c r="ER474" s="23"/>
      <c r="ES474" s="23"/>
      <c r="ET474" s="23"/>
      <c r="EU474" s="23"/>
      <c r="EV474" s="23"/>
      <c r="EW474" s="23"/>
      <c r="EX474" s="23"/>
      <c r="EY474" s="23"/>
      <c r="EZ474" s="23"/>
      <c r="FA474" s="23"/>
      <c r="FB474" s="23"/>
      <c r="FC474" s="23"/>
      <c r="FD474" s="23"/>
      <c r="FE474" s="23"/>
      <c r="FF474" s="23"/>
      <c r="FG474" s="23"/>
      <c r="FH474" s="23"/>
      <c r="FI474" s="23"/>
      <c r="FJ474" s="23"/>
      <c r="FK474" s="23"/>
      <c r="FL474" s="23"/>
      <c r="FM474" s="23"/>
      <c r="FN474" s="23"/>
      <c r="FO474" s="23"/>
      <c r="FP474" s="23"/>
      <c r="FQ474" s="23"/>
      <c r="FR474" s="23"/>
      <c r="FS474" s="23"/>
      <c r="FT474" s="23"/>
      <c r="FU474" s="23"/>
      <c r="FV474" s="23"/>
      <c r="FW474" s="23"/>
      <c r="FX474" s="23"/>
      <c r="FY474" s="23"/>
      <c r="FZ474" s="23"/>
      <c r="GA474" s="23"/>
      <c r="GB474" s="23"/>
      <c r="GC474" s="23"/>
      <c r="GD474" s="23"/>
      <c r="GE474" s="23"/>
      <c r="GF474" s="23"/>
      <c r="GG474" s="23"/>
      <c r="GH474" s="23"/>
      <c r="GI474" s="23"/>
      <c r="GJ474" s="23"/>
      <c r="GK474" s="23"/>
      <c r="GL474" s="23"/>
    </row>
    <row r="475" spans="1:194" ht="13">
      <c r="A475" s="23"/>
      <c r="B475" s="23"/>
      <c r="C475" s="23"/>
      <c r="D475" s="23"/>
      <c r="E475" s="23"/>
      <c r="F475" s="23"/>
      <c r="G475" s="23"/>
      <c r="H475" s="401"/>
      <c r="I475" s="401"/>
      <c r="J475" s="401"/>
      <c r="K475" s="401"/>
      <c r="L475" s="401"/>
      <c r="M475" s="438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  <c r="AL475" s="23"/>
      <c r="AM475" s="23"/>
      <c r="AN475" s="23"/>
      <c r="AO475" s="23"/>
      <c r="AP475" s="23"/>
      <c r="AQ475" s="23"/>
      <c r="AR475" s="23"/>
      <c r="AS475" s="23"/>
      <c r="AT475" s="23"/>
      <c r="AU475" s="23"/>
      <c r="AV475" s="23"/>
      <c r="AW475" s="23"/>
      <c r="AX475" s="23"/>
      <c r="AY475" s="23"/>
      <c r="AZ475" s="23"/>
      <c r="BA475" s="23"/>
      <c r="BB475" s="23"/>
      <c r="BC475" s="23"/>
      <c r="BD475" s="23"/>
      <c r="BE475" s="23"/>
      <c r="BF475" s="23"/>
      <c r="BG475" s="23"/>
      <c r="BH475" s="23"/>
      <c r="BI475" s="23"/>
      <c r="BJ475" s="23"/>
      <c r="BK475" s="23"/>
      <c r="BL475" s="23"/>
      <c r="BM475" s="23"/>
      <c r="BN475" s="23"/>
      <c r="BO475" s="23"/>
      <c r="BP475" s="23"/>
      <c r="BQ475" s="23"/>
      <c r="BR475" s="23"/>
      <c r="BS475" s="23"/>
      <c r="BT475" s="23"/>
      <c r="BU475" s="23"/>
      <c r="BV475" s="23"/>
      <c r="BW475" s="23"/>
      <c r="BX475" s="23"/>
      <c r="BY475" s="23"/>
      <c r="BZ475" s="23"/>
      <c r="CA475" s="23"/>
      <c r="CB475" s="23"/>
      <c r="CC475" s="23"/>
      <c r="CD475" s="23"/>
      <c r="CE475" s="23"/>
      <c r="CF475" s="23"/>
      <c r="CG475" s="23"/>
      <c r="CH475" s="23"/>
      <c r="CI475" s="23"/>
      <c r="CJ475" s="23"/>
      <c r="CK475" s="23"/>
      <c r="CL475" s="23"/>
      <c r="CM475" s="23"/>
      <c r="CN475" s="23"/>
      <c r="CO475" s="23"/>
      <c r="CP475" s="23"/>
      <c r="CQ475" s="23"/>
      <c r="CR475" s="23"/>
      <c r="CS475" s="23"/>
      <c r="CT475" s="23"/>
      <c r="CU475" s="23"/>
      <c r="CV475" s="23"/>
      <c r="CW475" s="23"/>
      <c r="CX475" s="23"/>
      <c r="CY475" s="23"/>
      <c r="CZ475" s="23"/>
      <c r="DA475" s="23"/>
      <c r="DB475" s="23"/>
      <c r="DC475" s="23"/>
      <c r="DD475" s="23"/>
      <c r="DE475" s="23"/>
      <c r="DF475" s="23"/>
      <c r="DG475" s="23"/>
      <c r="DH475" s="23"/>
      <c r="DI475" s="23"/>
      <c r="DJ475" s="23"/>
      <c r="DK475" s="23"/>
      <c r="DL475" s="23"/>
      <c r="DM475" s="23"/>
      <c r="DN475" s="23"/>
      <c r="DO475" s="23"/>
      <c r="DP475" s="23"/>
      <c r="DQ475" s="23"/>
      <c r="DR475" s="23"/>
      <c r="DS475" s="23"/>
      <c r="DT475" s="23"/>
      <c r="DU475" s="23"/>
      <c r="DV475" s="23"/>
      <c r="DW475" s="23"/>
      <c r="DX475" s="23"/>
      <c r="DY475" s="23"/>
      <c r="DZ475" s="23"/>
      <c r="EA475" s="23"/>
      <c r="EB475" s="23"/>
      <c r="EC475" s="23"/>
      <c r="ED475" s="23"/>
      <c r="EE475" s="23"/>
      <c r="EF475" s="23"/>
      <c r="EG475" s="23"/>
      <c r="EH475" s="23"/>
      <c r="EI475" s="23"/>
      <c r="EJ475" s="23"/>
      <c r="EK475" s="23"/>
      <c r="EL475" s="23"/>
      <c r="EM475" s="23"/>
      <c r="EN475" s="23"/>
      <c r="EO475" s="23"/>
      <c r="EP475" s="23"/>
      <c r="EQ475" s="23"/>
      <c r="ER475" s="23"/>
      <c r="ES475" s="23"/>
      <c r="ET475" s="23"/>
      <c r="EU475" s="23"/>
      <c r="EV475" s="23"/>
      <c r="EW475" s="23"/>
      <c r="EX475" s="23"/>
      <c r="EY475" s="23"/>
      <c r="EZ475" s="23"/>
      <c r="FA475" s="23"/>
      <c r="FB475" s="23"/>
      <c r="FC475" s="23"/>
      <c r="FD475" s="23"/>
      <c r="FE475" s="23"/>
      <c r="FF475" s="23"/>
      <c r="FG475" s="23"/>
      <c r="FH475" s="23"/>
      <c r="FI475" s="23"/>
      <c r="FJ475" s="23"/>
      <c r="FK475" s="23"/>
      <c r="FL475" s="23"/>
      <c r="FM475" s="23"/>
      <c r="FN475" s="23"/>
      <c r="FO475" s="23"/>
      <c r="FP475" s="23"/>
      <c r="FQ475" s="23"/>
      <c r="FR475" s="23"/>
      <c r="FS475" s="23"/>
      <c r="FT475" s="23"/>
      <c r="FU475" s="23"/>
      <c r="FV475" s="23"/>
      <c r="FW475" s="23"/>
      <c r="FX475" s="23"/>
      <c r="FY475" s="23"/>
      <c r="FZ475" s="23"/>
      <c r="GA475" s="23"/>
      <c r="GB475" s="23"/>
      <c r="GC475" s="23"/>
      <c r="GD475" s="23"/>
      <c r="GE475" s="23"/>
      <c r="GF475" s="23"/>
      <c r="GG475" s="23"/>
      <c r="GH475" s="23"/>
      <c r="GI475" s="23"/>
      <c r="GJ475" s="23"/>
      <c r="GK475" s="23"/>
      <c r="GL475" s="23"/>
    </row>
    <row r="476" spans="1:194" ht="13">
      <c r="A476" s="23"/>
      <c r="B476" s="23"/>
      <c r="C476" s="23"/>
      <c r="D476" s="23"/>
      <c r="E476" s="23"/>
      <c r="F476" s="23"/>
      <c r="G476" s="23"/>
      <c r="H476" s="401"/>
      <c r="I476" s="401"/>
      <c r="J476" s="401"/>
      <c r="K476" s="401"/>
      <c r="L476" s="401"/>
      <c r="M476" s="438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  <c r="AL476" s="23"/>
      <c r="AM476" s="23"/>
      <c r="AN476" s="23"/>
      <c r="AO476" s="23"/>
      <c r="AP476" s="23"/>
      <c r="AQ476" s="23"/>
      <c r="AR476" s="23"/>
      <c r="AS476" s="23"/>
      <c r="AT476" s="23"/>
      <c r="AU476" s="23"/>
      <c r="AV476" s="23"/>
      <c r="AW476" s="23"/>
      <c r="AX476" s="23"/>
      <c r="AY476" s="23"/>
      <c r="AZ476" s="23"/>
      <c r="BA476" s="23"/>
      <c r="BB476" s="23"/>
      <c r="BC476" s="23"/>
      <c r="BD476" s="23"/>
      <c r="BE476" s="23"/>
      <c r="BF476" s="23"/>
      <c r="BG476" s="23"/>
      <c r="BH476" s="23"/>
      <c r="BI476" s="23"/>
      <c r="BJ476" s="23"/>
      <c r="BK476" s="23"/>
      <c r="BL476" s="23"/>
      <c r="BM476" s="23"/>
      <c r="BN476" s="23"/>
      <c r="BO476" s="23"/>
      <c r="BP476" s="23"/>
      <c r="BQ476" s="23"/>
      <c r="BR476" s="23"/>
      <c r="BS476" s="23"/>
      <c r="BT476" s="23"/>
      <c r="BU476" s="23"/>
      <c r="BV476" s="23"/>
      <c r="BW476" s="23"/>
      <c r="BX476" s="23"/>
      <c r="BY476" s="23"/>
      <c r="BZ476" s="23"/>
      <c r="CA476" s="23"/>
      <c r="CB476" s="23"/>
      <c r="CC476" s="23"/>
      <c r="CD476" s="23"/>
      <c r="CE476" s="23"/>
      <c r="CF476" s="23"/>
      <c r="CG476" s="23"/>
      <c r="CH476" s="23"/>
      <c r="CI476" s="23"/>
      <c r="CJ476" s="23"/>
      <c r="CK476" s="23"/>
      <c r="CL476" s="23"/>
      <c r="CM476" s="23"/>
      <c r="CN476" s="23"/>
      <c r="CO476" s="23"/>
      <c r="CP476" s="23"/>
      <c r="CQ476" s="23"/>
      <c r="CR476" s="23"/>
      <c r="CS476" s="23"/>
      <c r="CT476" s="23"/>
      <c r="CU476" s="23"/>
      <c r="CV476" s="23"/>
      <c r="CW476" s="23"/>
      <c r="CX476" s="23"/>
      <c r="CY476" s="23"/>
      <c r="CZ476" s="23"/>
      <c r="DA476" s="23"/>
      <c r="DB476" s="23"/>
      <c r="DC476" s="23"/>
      <c r="DD476" s="23"/>
      <c r="DE476" s="23"/>
      <c r="DF476" s="23"/>
      <c r="DG476" s="23"/>
      <c r="DH476" s="23"/>
      <c r="DI476" s="23"/>
      <c r="DJ476" s="23"/>
      <c r="DK476" s="23"/>
      <c r="DL476" s="23"/>
      <c r="DM476" s="23"/>
      <c r="DN476" s="23"/>
      <c r="DO476" s="23"/>
      <c r="DP476" s="23"/>
      <c r="DQ476" s="23"/>
      <c r="DR476" s="23"/>
      <c r="DS476" s="23"/>
      <c r="DT476" s="23"/>
      <c r="DU476" s="23"/>
      <c r="DV476" s="23"/>
      <c r="DW476" s="23"/>
      <c r="DX476" s="23"/>
      <c r="DY476" s="23"/>
      <c r="DZ476" s="23"/>
      <c r="EA476" s="23"/>
      <c r="EB476" s="23"/>
      <c r="EC476" s="23"/>
      <c r="ED476" s="23"/>
      <c r="EE476" s="23"/>
      <c r="EF476" s="23"/>
      <c r="EG476" s="23"/>
      <c r="EH476" s="23"/>
      <c r="EI476" s="23"/>
      <c r="EJ476" s="23"/>
      <c r="EK476" s="23"/>
      <c r="EL476" s="23"/>
      <c r="EM476" s="23"/>
      <c r="EN476" s="23"/>
      <c r="EO476" s="23"/>
      <c r="EP476" s="23"/>
      <c r="EQ476" s="23"/>
      <c r="ER476" s="23"/>
      <c r="ES476" s="23"/>
      <c r="ET476" s="23"/>
      <c r="EU476" s="23"/>
      <c r="EV476" s="23"/>
      <c r="EW476" s="23"/>
      <c r="EX476" s="23"/>
      <c r="EY476" s="23"/>
      <c r="EZ476" s="23"/>
      <c r="FA476" s="23"/>
      <c r="FB476" s="23"/>
      <c r="FC476" s="23"/>
      <c r="FD476" s="23"/>
      <c r="FE476" s="23"/>
      <c r="FF476" s="23"/>
      <c r="FG476" s="23"/>
      <c r="FH476" s="23"/>
      <c r="FI476" s="23"/>
      <c r="FJ476" s="23"/>
      <c r="FK476" s="23"/>
      <c r="FL476" s="23"/>
      <c r="FM476" s="23"/>
      <c r="FN476" s="23"/>
      <c r="FO476" s="23"/>
      <c r="FP476" s="23"/>
      <c r="FQ476" s="23"/>
      <c r="FR476" s="23"/>
      <c r="FS476" s="23"/>
      <c r="FT476" s="23"/>
      <c r="FU476" s="23"/>
      <c r="FV476" s="23"/>
      <c r="FW476" s="23"/>
      <c r="FX476" s="23"/>
      <c r="FY476" s="23"/>
      <c r="FZ476" s="23"/>
      <c r="GA476" s="23"/>
      <c r="GB476" s="23"/>
      <c r="GC476" s="23"/>
      <c r="GD476" s="23"/>
      <c r="GE476" s="23"/>
      <c r="GF476" s="23"/>
      <c r="GG476" s="23"/>
      <c r="GH476" s="23"/>
      <c r="GI476" s="23"/>
      <c r="GJ476" s="23"/>
      <c r="GK476" s="23"/>
      <c r="GL476" s="23"/>
    </row>
    <row r="477" spans="1:194" ht="13">
      <c r="A477" s="23"/>
      <c r="B477" s="23"/>
      <c r="C477" s="23"/>
      <c r="D477" s="23"/>
      <c r="E477" s="23"/>
      <c r="F477" s="23"/>
      <c r="G477" s="23"/>
      <c r="H477" s="401"/>
      <c r="I477" s="401"/>
      <c r="J477" s="401"/>
      <c r="K477" s="401"/>
      <c r="L477" s="401"/>
      <c r="M477" s="438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  <c r="AL477" s="23"/>
      <c r="AM477" s="23"/>
      <c r="AN477" s="23"/>
      <c r="AO477" s="23"/>
      <c r="AP477" s="23"/>
      <c r="AQ477" s="23"/>
      <c r="AR477" s="23"/>
      <c r="AS477" s="23"/>
      <c r="AT477" s="23"/>
      <c r="AU477" s="23"/>
      <c r="AV477" s="23"/>
      <c r="AW477" s="23"/>
      <c r="AX477" s="23"/>
      <c r="AY477" s="23"/>
      <c r="AZ477" s="23"/>
      <c r="BA477" s="23"/>
      <c r="BB477" s="23"/>
      <c r="BC477" s="23"/>
      <c r="BD477" s="23"/>
      <c r="BE477" s="23"/>
      <c r="BF477" s="23"/>
      <c r="BG477" s="23"/>
      <c r="BH477" s="23"/>
      <c r="BI477" s="23"/>
      <c r="BJ477" s="23"/>
      <c r="BK477" s="23"/>
      <c r="BL477" s="23"/>
      <c r="BM477" s="23"/>
      <c r="BN477" s="23"/>
      <c r="BO477" s="23"/>
      <c r="BP477" s="23"/>
      <c r="BQ477" s="23"/>
      <c r="BR477" s="23"/>
      <c r="BS477" s="23"/>
      <c r="BT477" s="23"/>
      <c r="BU477" s="23"/>
      <c r="BV477" s="23"/>
      <c r="BW477" s="23"/>
      <c r="BX477" s="23"/>
      <c r="BY477" s="23"/>
      <c r="BZ477" s="23"/>
      <c r="CA477" s="23"/>
      <c r="CB477" s="23"/>
      <c r="CC477" s="23"/>
      <c r="CD477" s="23"/>
      <c r="CE477" s="23"/>
      <c r="CF477" s="23"/>
      <c r="CG477" s="23"/>
      <c r="CH477" s="23"/>
      <c r="CI477" s="23"/>
      <c r="CJ477" s="23"/>
      <c r="CK477" s="23"/>
      <c r="CL477" s="23"/>
      <c r="CM477" s="23"/>
      <c r="CN477" s="23"/>
      <c r="CO477" s="23"/>
      <c r="CP477" s="23"/>
      <c r="CQ477" s="23"/>
      <c r="CR477" s="23"/>
      <c r="CS477" s="23"/>
      <c r="CT477" s="23"/>
      <c r="CU477" s="23"/>
      <c r="CV477" s="23"/>
      <c r="CW477" s="23"/>
      <c r="CX477" s="23"/>
      <c r="CY477" s="23"/>
      <c r="CZ477" s="23"/>
      <c r="DA477" s="23"/>
      <c r="DB477" s="23"/>
      <c r="DC477" s="23"/>
      <c r="DD477" s="23"/>
      <c r="DE477" s="23"/>
      <c r="DF477" s="23"/>
      <c r="DG477" s="23"/>
      <c r="DH477" s="23"/>
      <c r="DI477" s="23"/>
      <c r="DJ477" s="23"/>
      <c r="DK477" s="23"/>
      <c r="DL477" s="23"/>
      <c r="DM477" s="23"/>
      <c r="DN477" s="23"/>
      <c r="DO477" s="23"/>
      <c r="DP477" s="23"/>
      <c r="DQ477" s="23"/>
      <c r="DR477" s="23"/>
      <c r="DS477" s="23"/>
      <c r="DT477" s="23"/>
      <c r="DU477" s="23"/>
      <c r="DV477" s="23"/>
      <c r="DW477" s="23"/>
      <c r="DX477" s="23"/>
      <c r="DY477" s="23"/>
      <c r="DZ477" s="23"/>
      <c r="EA477" s="23"/>
      <c r="EB477" s="23"/>
      <c r="EC477" s="23"/>
      <c r="ED477" s="23"/>
      <c r="EE477" s="23"/>
      <c r="EF477" s="23"/>
      <c r="EG477" s="23"/>
      <c r="EH477" s="23"/>
      <c r="EI477" s="23"/>
      <c r="EJ477" s="23"/>
      <c r="EK477" s="23"/>
      <c r="EL477" s="23"/>
      <c r="EM477" s="23"/>
      <c r="EN477" s="23"/>
      <c r="EO477" s="23"/>
      <c r="EP477" s="23"/>
      <c r="EQ477" s="23"/>
      <c r="ER477" s="23"/>
      <c r="ES477" s="23"/>
      <c r="ET477" s="23"/>
      <c r="EU477" s="23"/>
      <c r="EV477" s="23"/>
      <c r="EW477" s="23"/>
      <c r="EX477" s="23"/>
      <c r="EY477" s="23"/>
      <c r="EZ477" s="23"/>
      <c r="FA477" s="23"/>
      <c r="FB477" s="23"/>
      <c r="FC477" s="23"/>
      <c r="FD477" s="23"/>
      <c r="FE477" s="23"/>
      <c r="FF477" s="23"/>
      <c r="FG477" s="23"/>
      <c r="FH477" s="23"/>
      <c r="FI477" s="23"/>
      <c r="FJ477" s="23"/>
      <c r="FK477" s="23"/>
      <c r="FL477" s="23"/>
      <c r="FM477" s="23"/>
      <c r="FN477" s="23"/>
      <c r="FO477" s="23"/>
      <c r="FP477" s="23"/>
      <c r="FQ477" s="23"/>
      <c r="FR477" s="23"/>
      <c r="FS477" s="23"/>
      <c r="FT477" s="23"/>
      <c r="FU477" s="23"/>
      <c r="FV477" s="23"/>
      <c r="FW477" s="23"/>
      <c r="FX477" s="23"/>
      <c r="FY477" s="23"/>
      <c r="FZ477" s="23"/>
      <c r="GA477" s="23"/>
      <c r="GB477" s="23"/>
      <c r="GC477" s="23"/>
      <c r="GD477" s="23"/>
      <c r="GE477" s="23"/>
      <c r="GF477" s="23"/>
      <c r="GG477" s="23"/>
      <c r="GH477" s="23"/>
      <c r="GI477" s="23"/>
      <c r="GJ477" s="23"/>
      <c r="GK477" s="23"/>
      <c r="GL477" s="23"/>
    </row>
    <row r="478" spans="1:194" ht="13">
      <c r="A478" s="23"/>
      <c r="B478" s="23"/>
      <c r="C478" s="23"/>
      <c r="D478" s="23"/>
      <c r="E478" s="23"/>
      <c r="F478" s="23"/>
      <c r="G478" s="23"/>
      <c r="H478" s="401"/>
      <c r="I478" s="401"/>
      <c r="J478" s="401"/>
      <c r="K478" s="401"/>
      <c r="L478" s="401"/>
      <c r="M478" s="438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  <c r="AL478" s="23"/>
      <c r="AM478" s="23"/>
      <c r="AN478" s="23"/>
      <c r="AO478" s="23"/>
      <c r="AP478" s="23"/>
      <c r="AQ478" s="23"/>
      <c r="AR478" s="23"/>
      <c r="AS478" s="23"/>
      <c r="AT478" s="23"/>
      <c r="AU478" s="23"/>
      <c r="AV478" s="23"/>
      <c r="AW478" s="23"/>
      <c r="AX478" s="23"/>
      <c r="AY478" s="23"/>
      <c r="AZ478" s="23"/>
      <c r="BA478" s="23"/>
      <c r="BB478" s="23"/>
      <c r="BC478" s="23"/>
      <c r="BD478" s="23"/>
      <c r="BE478" s="23"/>
      <c r="BF478" s="23"/>
      <c r="BG478" s="23"/>
      <c r="BH478" s="23"/>
      <c r="BI478" s="23"/>
      <c r="BJ478" s="23"/>
      <c r="BK478" s="23"/>
      <c r="BL478" s="23"/>
      <c r="BM478" s="23"/>
      <c r="BN478" s="23"/>
      <c r="BO478" s="23"/>
      <c r="BP478" s="23"/>
      <c r="BQ478" s="23"/>
      <c r="BR478" s="23"/>
      <c r="BS478" s="23"/>
      <c r="BT478" s="23"/>
      <c r="BU478" s="23"/>
      <c r="BV478" s="23"/>
      <c r="BW478" s="23"/>
      <c r="BX478" s="23"/>
      <c r="BY478" s="23"/>
      <c r="BZ478" s="23"/>
      <c r="CA478" s="23"/>
      <c r="CB478" s="23"/>
      <c r="CC478" s="23"/>
      <c r="CD478" s="23"/>
      <c r="CE478" s="23"/>
      <c r="CF478" s="23"/>
      <c r="CG478" s="23"/>
      <c r="CH478" s="23"/>
      <c r="CI478" s="23"/>
      <c r="CJ478" s="23"/>
      <c r="CK478" s="23"/>
      <c r="CL478" s="23"/>
      <c r="CM478" s="23"/>
      <c r="CN478" s="23"/>
      <c r="CO478" s="23"/>
      <c r="CP478" s="23"/>
      <c r="CQ478" s="23"/>
      <c r="CR478" s="23"/>
      <c r="CS478" s="23"/>
      <c r="CT478" s="23"/>
      <c r="CU478" s="23"/>
      <c r="CV478" s="23"/>
      <c r="CW478" s="23"/>
      <c r="CX478" s="23"/>
      <c r="CY478" s="23"/>
      <c r="CZ478" s="23"/>
      <c r="DA478" s="23"/>
      <c r="DB478" s="23"/>
      <c r="DC478" s="23"/>
      <c r="DD478" s="23"/>
      <c r="DE478" s="23"/>
      <c r="DF478" s="23"/>
      <c r="DG478" s="23"/>
      <c r="DH478" s="23"/>
      <c r="DI478" s="23"/>
      <c r="DJ478" s="23"/>
      <c r="DK478" s="23"/>
      <c r="DL478" s="23"/>
      <c r="DM478" s="23"/>
      <c r="DN478" s="23"/>
      <c r="DO478" s="23"/>
      <c r="DP478" s="23"/>
      <c r="DQ478" s="23"/>
      <c r="DR478" s="23"/>
      <c r="DS478" s="23"/>
      <c r="DT478" s="23"/>
      <c r="DU478" s="23"/>
      <c r="DV478" s="23"/>
      <c r="DW478" s="23"/>
      <c r="DX478" s="23"/>
      <c r="DY478" s="23"/>
      <c r="DZ478" s="23"/>
      <c r="EA478" s="23"/>
      <c r="EB478" s="23"/>
      <c r="EC478" s="23"/>
      <c r="ED478" s="23"/>
      <c r="EE478" s="23"/>
      <c r="EF478" s="23"/>
      <c r="EG478" s="23"/>
      <c r="EH478" s="23"/>
      <c r="EI478" s="23"/>
      <c r="EJ478" s="23"/>
      <c r="EK478" s="23"/>
      <c r="EL478" s="23"/>
      <c r="EM478" s="23"/>
      <c r="EN478" s="23"/>
      <c r="EO478" s="23"/>
      <c r="EP478" s="23"/>
      <c r="EQ478" s="23"/>
      <c r="ER478" s="23"/>
      <c r="ES478" s="23"/>
      <c r="ET478" s="23"/>
      <c r="EU478" s="23"/>
      <c r="EV478" s="23"/>
      <c r="EW478" s="23"/>
      <c r="EX478" s="23"/>
      <c r="EY478" s="23"/>
      <c r="EZ478" s="23"/>
      <c r="FA478" s="23"/>
      <c r="FB478" s="23"/>
      <c r="FC478" s="23"/>
      <c r="FD478" s="23"/>
      <c r="FE478" s="23"/>
      <c r="FF478" s="23"/>
      <c r="FG478" s="23"/>
      <c r="FH478" s="23"/>
      <c r="FI478" s="23"/>
      <c r="FJ478" s="23"/>
      <c r="FK478" s="23"/>
      <c r="FL478" s="23"/>
      <c r="FM478" s="23"/>
      <c r="FN478" s="23"/>
      <c r="FO478" s="23"/>
      <c r="FP478" s="23"/>
      <c r="FQ478" s="23"/>
      <c r="FR478" s="23"/>
      <c r="FS478" s="23"/>
      <c r="FT478" s="23"/>
      <c r="FU478" s="23"/>
      <c r="FV478" s="23"/>
      <c r="FW478" s="23"/>
      <c r="FX478" s="23"/>
      <c r="FY478" s="23"/>
      <c r="FZ478" s="23"/>
      <c r="GA478" s="23"/>
      <c r="GB478" s="23"/>
      <c r="GC478" s="23"/>
      <c r="GD478" s="23"/>
      <c r="GE478" s="23"/>
      <c r="GF478" s="23"/>
      <c r="GG478" s="23"/>
      <c r="GH478" s="23"/>
      <c r="GI478" s="23"/>
      <c r="GJ478" s="23"/>
      <c r="GK478" s="23"/>
      <c r="GL478" s="23"/>
    </row>
    <row r="479" spans="1:194" ht="13">
      <c r="A479" s="23"/>
      <c r="B479" s="23"/>
      <c r="C479" s="23"/>
      <c r="D479" s="23"/>
      <c r="E479" s="23"/>
      <c r="F479" s="23"/>
      <c r="G479" s="23"/>
      <c r="H479" s="401"/>
      <c r="I479" s="401"/>
      <c r="J479" s="401"/>
      <c r="K479" s="401"/>
      <c r="L479" s="401"/>
      <c r="M479" s="438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  <c r="AL479" s="23"/>
      <c r="AM479" s="23"/>
      <c r="AN479" s="23"/>
      <c r="AO479" s="23"/>
      <c r="AP479" s="23"/>
      <c r="AQ479" s="23"/>
      <c r="AR479" s="23"/>
      <c r="AS479" s="23"/>
      <c r="AT479" s="23"/>
      <c r="AU479" s="23"/>
      <c r="AV479" s="23"/>
      <c r="AW479" s="23"/>
      <c r="AX479" s="23"/>
      <c r="AY479" s="23"/>
      <c r="AZ479" s="23"/>
      <c r="BA479" s="23"/>
      <c r="BB479" s="23"/>
      <c r="BC479" s="23"/>
      <c r="BD479" s="23"/>
      <c r="BE479" s="23"/>
      <c r="BF479" s="23"/>
      <c r="BG479" s="23"/>
      <c r="BH479" s="23"/>
      <c r="BI479" s="23"/>
      <c r="BJ479" s="23"/>
      <c r="BK479" s="23"/>
      <c r="BL479" s="23"/>
      <c r="BM479" s="23"/>
      <c r="BN479" s="23"/>
      <c r="BO479" s="23"/>
      <c r="BP479" s="23"/>
      <c r="BQ479" s="23"/>
      <c r="BR479" s="23"/>
      <c r="BS479" s="23"/>
      <c r="BT479" s="23"/>
      <c r="BU479" s="23"/>
      <c r="BV479" s="23"/>
      <c r="BW479" s="23"/>
      <c r="BX479" s="23"/>
      <c r="BY479" s="23"/>
      <c r="BZ479" s="23"/>
      <c r="CA479" s="23"/>
      <c r="CB479" s="23"/>
      <c r="CC479" s="23"/>
      <c r="CD479" s="23"/>
      <c r="CE479" s="23"/>
      <c r="CF479" s="23"/>
      <c r="CG479" s="23"/>
      <c r="CH479" s="23"/>
      <c r="CI479" s="23"/>
      <c r="CJ479" s="23"/>
      <c r="CK479" s="23"/>
      <c r="CL479" s="23"/>
      <c r="CM479" s="23"/>
      <c r="CN479" s="23"/>
      <c r="CO479" s="23"/>
      <c r="CP479" s="23"/>
      <c r="CQ479" s="23"/>
      <c r="CR479" s="23"/>
      <c r="CS479" s="23"/>
      <c r="CT479" s="23"/>
      <c r="CU479" s="23"/>
      <c r="CV479" s="23"/>
      <c r="CW479" s="23"/>
      <c r="CX479" s="23"/>
      <c r="CY479" s="23"/>
      <c r="CZ479" s="23"/>
      <c r="DA479" s="23"/>
      <c r="DB479" s="23"/>
      <c r="DC479" s="23"/>
      <c r="DD479" s="23"/>
      <c r="DE479" s="23"/>
      <c r="DF479" s="23"/>
      <c r="DG479" s="23"/>
      <c r="DH479" s="23"/>
      <c r="DI479" s="23"/>
      <c r="DJ479" s="23"/>
      <c r="DK479" s="23"/>
      <c r="DL479" s="23"/>
      <c r="DM479" s="23"/>
      <c r="DN479" s="23"/>
      <c r="DO479" s="23"/>
      <c r="DP479" s="23"/>
      <c r="DQ479" s="23"/>
      <c r="DR479" s="23"/>
      <c r="DS479" s="23"/>
      <c r="DT479" s="23"/>
      <c r="DU479" s="23"/>
      <c r="DV479" s="23"/>
      <c r="DW479" s="23"/>
      <c r="DX479" s="23"/>
      <c r="DY479" s="23"/>
      <c r="DZ479" s="23"/>
      <c r="EA479" s="23"/>
      <c r="EB479" s="23"/>
      <c r="EC479" s="23"/>
      <c r="ED479" s="23"/>
      <c r="EE479" s="23"/>
      <c r="EF479" s="23"/>
      <c r="EG479" s="23"/>
      <c r="EH479" s="23"/>
      <c r="EI479" s="23"/>
      <c r="EJ479" s="23"/>
      <c r="EK479" s="23"/>
      <c r="EL479" s="23"/>
      <c r="EM479" s="23"/>
      <c r="EN479" s="23"/>
      <c r="EO479" s="23"/>
      <c r="EP479" s="23"/>
      <c r="EQ479" s="23"/>
      <c r="ER479" s="23"/>
      <c r="ES479" s="23"/>
      <c r="ET479" s="23"/>
      <c r="EU479" s="23"/>
      <c r="EV479" s="23"/>
      <c r="EW479" s="23"/>
      <c r="EX479" s="23"/>
      <c r="EY479" s="23"/>
      <c r="EZ479" s="23"/>
      <c r="FA479" s="23"/>
      <c r="FB479" s="23"/>
      <c r="FC479" s="23"/>
      <c r="FD479" s="23"/>
      <c r="FE479" s="23"/>
      <c r="FF479" s="23"/>
      <c r="FG479" s="23"/>
      <c r="FH479" s="23"/>
      <c r="FI479" s="23"/>
      <c r="FJ479" s="23"/>
      <c r="FK479" s="23"/>
      <c r="FL479" s="23"/>
      <c r="FM479" s="23"/>
      <c r="FN479" s="23"/>
      <c r="FO479" s="23"/>
      <c r="FP479" s="23"/>
      <c r="FQ479" s="23"/>
      <c r="FR479" s="23"/>
      <c r="FS479" s="23"/>
      <c r="FT479" s="23"/>
      <c r="FU479" s="23"/>
      <c r="FV479" s="23"/>
      <c r="FW479" s="23"/>
      <c r="FX479" s="23"/>
      <c r="FY479" s="23"/>
      <c r="FZ479" s="23"/>
      <c r="GA479" s="23"/>
      <c r="GB479" s="23"/>
      <c r="GC479" s="23"/>
      <c r="GD479" s="23"/>
      <c r="GE479" s="23"/>
      <c r="GF479" s="23"/>
      <c r="GG479" s="23"/>
      <c r="GH479" s="23"/>
      <c r="GI479" s="23"/>
      <c r="GJ479" s="23"/>
      <c r="GK479" s="23"/>
      <c r="GL479" s="23"/>
    </row>
    <row r="480" spans="1:194" ht="13">
      <c r="A480" s="23"/>
      <c r="B480" s="23"/>
      <c r="C480" s="23"/>
      <c r="D480" s="23"/>
      <c r="E480" s="23"/>
      <c r="F480" s="23"/>
      <c r="G480" s="23"/>
      <c r="H480" s="401"/>
      <c r="I480" s="401"/>
      <c r="J480" s="401"/>
      <c r="K480" s="401"/>
      <c r="L480" s="401"/>
      <c r="M480" s="438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  <c r="AL480" s="23"/>
      <c r="AM480" s="23"/>
      <c r="AN480" s="23"/>
      <c r="AO480" s="23"/>
      <c r="AP480" s="23"/>
      <c r="AQ480" s="23"/>
      <c r="AR480" s="23"/>
      <c r="AS480" s="23"/>
      <c r="AT480" s="23"/>
      <c r="AU480" s="23"/>
      <c r="AV480" s="23"/>
      <c r="AW480" s="23"/>
      <c r="AX480" s="23"/>
      <c r="AY480" s="23"/>
      <c r="AZ480" s="23"/>
      <c r="BA480" s="23"/>
      <c r="BB480" s="23"/>
      <c r="BC480" s="23"/>
      <c r="BD480" s="23"/>
      <c r="BE480" s="23"/>
      <c r="BF480" s="23"/>
      <c r="BG480" s="23"/>
      <c r="BH480" s="23"/>
      <c r="BI480" s="23"/>
      <c r="BJ480" s="23"/>
      <c r="BK480" s="23"/>
      <c r="BL480" s="23"/>
      <c r="BM480" s="23"/>
      <c r="BN480" s="23"/>
      <c r="BO480" s="23"/>
      <c r="BP480" s="23"/>
      <c r="BQ480" s="23"/>
      <c r="BR480" s="23"/>
      <c r="BS480" s="23"/>
      <c r="BT480" s="23"/>
      <c r="BU480" s="23"/>
      <c r="BV480" s="23"/>
      <c r="BW480" s="23"/>
      <c r="BX480" s="23"/>
      <c r="BY480" s="23"/>
      <c r="BZ480" s="23"/>
      <c r="CA480" s="23"/>
      <c r="CB480" s="23"/>
      <c r="CC480" s="23"/>
      <c r="CD480" s="23"/>
      <c r="CE480" s="23"/>
      <c r="CF480" s="23"/>
      <c r="CG480" s="23"/>
      <c r="CH480" s="23"/>
      <c r="CI480" s="23"/>
      <c r="CJ480" s="23"/>
      <c r="CK480" s="23"/>
      <c r="CL480" s="23"/>
      <c r="CM480" s="23"/>
      <c r="CN480" s="23"/>
      <c r="CO480" s="23"/>
      <c r="CP480" s="23"/>
      <c r="CQ480" s="23"/>
      <c r="CR480" s="23"/>
      <c r="CS480" s="23"/>
      <c r="CT480" s="23"/>
      <c r="CU480" s="23"/>
      <c r="CV480" s="23"/>
      <c r="CW480" s="23"/>
      <c r="CX480" s="23"/>
      <c r="CY480" s="23"/>
      <c r="CZ480" s="23"/>
      <c r="DA480" s="23"/>
      <c r="DB480" s="23"/>
      <c r="DC480" s="23"/>
      <c r="DD480" s="23"/>
      <c r="DE480" s="23"/>
      <c r="DF480" s="23"/>
      <c r="DG480" s="23"/>
      <c r="DH480" s="23"/>
      <c r="DI480" s="23"/>
      <c r="DJ480" s="23"/>
      <c r="DK480" s="23"/>
      <c r="DL480" s="23"/>
      <c r="DM480" s="23"/>
      <c r="DN480" s="23"/>
      <c r="DO480" s="23"/>
      <c r="DP480" s="23"/>
      <c r="DQ480" s="23"/>
      <c r="DR480" s="23"/>
      <c r="DS480" s="23"/>
      <c r="DT480" s="23"/>
      <c r="DU480" s="23"/>
      <c r="DV480" s="23"/>
      <c r="DW480" s="23"/>
      <c r="DX480" s="23"/>
      <c r="DY480" s="23"/>
      <c r="DZ480" s="23"/>
      <c r="EA480" s="23"/>
      <c r="EB480" s="23"/>
      <c r="EC480" s="23"/>
      <c r="ED480" s="23"/>
      <c r="EE480" s="23"/>
      <c r="EF480" s="23"/>
      <c r="EG480" s="23"/>
      <c r="EH480" s="23"/>
      <c r="EI480" s="23"/>
      <c r="EJ480" s="23"/>
      <c r="EK480" s="23"/>
      <c r="EL480" s="23"/>
      <c r="EM480" s="23"/>
      <c r="EN480" s="23"/>
      <c r="EO480" s="23"/>
      <c r="EP480" s="23"/>
      <c r="EQ480" s="23"/>
      <c r="ER480" s="23"/>
      <c r="ES480" s="23"/>
      <c r="ET480" s="23"/>
      <c r="EU480" s="23"/>
      <c r="EV480" s="23"/>
      <c r="EW480" s="23"/>
      <c r="EX480" s="23"/>
      <c r="EY480" s="23"/>
      <c r="EZ480" s="23"/>
      <c r="FA480" s="23"/>
      <c r="FB480" s="23"/>
      <c r="FC480" s="23"/>
      <c r="FD480" s="23"/>
      <c r="FE480" s="23"/>
      <c r="FF480" s="23"/>
      <c r="FG480" s="23"/>
      <c r="FH480" s="23"/>
      <c r="FI480" s="23"/>
      <c r="FJ480" s="23"/>
      <c r="FK480" s="23"/>
      <c r="FL480" s="23"/>
      <c r="FM480" s="23"/>
      <c r="FN480" s="23"/>
      <c r="FO480" s="23"/>
      <c r="FP480" s="23"/>
      <c r="FQ480" s="23"/>
      <c r="FR480" s="23"/>
      <c r="FS480" s="23"/>
      <c r="FT480" s="23"/>
      <c r="FU480" s="23"/>
      <c r="FV480" s="23"/>
      <c r="FW480" s="23"/>
      <c r="FX480" s="23"/>
      <c r="FY480" s="23"/>
      <c r="FZ480" s="23"/>
      <c r="GA480" s="23"/>
      <c r="GB480" s="23"/>
      <c r="GC480" s="23"/>
      <c r="GD480" s="23"/>
      <c r="GE480" s="23"/>
      <c r="GF480" s="23"/>
      <c r="GG480" s="23"/>
      <c r="GH480" s="23"/>
      <c r="GI480" s="23"/>
      <c r="GJ480" s="23"/>
      <c r="GK480" s="23"/>
      <c r="GL480" s="23"/>
    </row>
    <row r="481" spans="1:194" ht="13">
      <c r="A481" s="23"/>
      <c r="B481" s="23"/>
      <c r="C481" s="23"/>
      <c r="D481" s="23"/>
      <c r="E481" s="23"/>
      <c r="F481" s="23"/>
      <c r="G481" s="23"/>
      <c r="H481" s="401"/>
      <c r="I481" s="401"/>
      <c r="J481" s="401"/>
      <c r="K481" s="401"/>
      <c r="L481" s="401"/>
      <c r="M481" s="438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  <c r="AL481" s="23"/>
      <c r="AM481" s="23"/>
      <c r="AN481" s="23"/>
      <c r="AO481" s="23"/>
      <c r="AP481" s="23"/>
      <c r="AQ481" s="23"/>
      <c r="AR481" s="23"/>
      <c r="AS481" s="23"/>
      <c r="AT481" s="23"/>
      <c r="AU481" s="23"/>
      <c r="AV481" s="23"/>
      <c r="AW481" s="23"/>
      <c r="AX481" s="23"/>
      <c r="AY481" s="23"/>
      <c r="AZ481" s="23"/>
      <c r="BA481" s="23"/>
      <c r="BB481" s="23"/>
      <c r="BC481" s="23"/>
      <c r="BD481" s="23"/>
      <c r="BE481" s="23"/>
      <c r="BF481" s="23"/>
      <c r="BG481" s="23"/>
      <c r="BH481" s="23"/>
      <c r="BI481" s="23"/>
      <c r="BJ481" s="23"/>
      <c r="BK481" s="23"/>
      <c r="BL481" s="23"/>
      <c r="BM481" s="23"/>
      <c r="BN481" s="23"/>
      <c r="BO481" s="23"/>
      <c r="BP481" s="23"/>
      <c r="BQ481" s="23"/>
      <c r="BR481" s="23"/>
      <c r="BS481" s="23"/>
      <c r="BT481" s="23"/>
      <c r="BU481" s="23"/>
      <c r="BV481" s="23"/>
      <c r="BW481" s="23"/>
      <c r="BX481" s="23"/>
      <c r="BY481" s="23"/>
      <c r="BZ481" s="23"/>
      <c r="CA481" s="23"/>
      <c r="CB481" s="23"/>
      <c r="CC481" s="23"/>
      <c r="CD481" s="23"/>
      <c r="CE481" s="23"/>
      <c r="CF481" s="23"/>
      <c r="CG481" s="23"/>
      <c r="CH481" s="23"/>
      <c r="CI481" s="23"/>
      <c r="CJ481" s="23"/>
      <c r="CK481" s="23"/>
      <c r="CL481" s="23"/>
      <c r="CM481" s="23"/>
      <c r="CN481" s="23"/>
      <c r="CO481" s="23"/>
      <c r="CP481" s="23"/>
      <c r="CQ481" s="23"/>
      <c r="CR481" s="23"/>
      <c r="CS481" s="23"/>
      <c r="CT481" s="23"/>
      <c r="CU481" s="23"/>
      <c r="CV481" s="23"/>
      <c r="CW481" s="23"/>
      <c r="CX481" s="23"/>
      <c r="CY481" s="23"/>
      <c r="CZ481" s="23"/>
      <c r="DA481" s="23"/>
      <c r="DB481" s="23"/>
      <c r="DC481" s="23"/>
      <c r="DD481" s="23"/>
      <c r="DE481" s="23"/>
      <c r="DF481" s="23"/>
      <c r="DG481" s="23"/>
      <c r="DH481" s="23"/>
      <c r="DI481" s="23"/>
      <c r="DJ481" s="23"/>
      <c r="DK481" s="23"/>
      <c r="DL481" s="23"/>
      <c r="DM481" s="23"/>
      <c r="DN481" s="23"/>
      <c r="DO481" s="23"/>
      <c r="DP481" s="23"/>
      <c r="DQ481" s="23"/>
      <c r="DR481" s="23"/>
      <c r="DS481" s="23"/>
      <c r="DT481" s="23"/>
      <c r="DU481" s="23"/>
      <c r="DV481" s="23"/>
      <c r="DW481" s="23"/>
      <c r="DX481" s="23"/>
      <c r="DY481" s="23"/>
      <c r="DZ481" s="23"/>
      <c r="EA481" s="23"/>
      <c r="EB481" s="23"/>
      <c r="EC481" s="23"/>
      <c r="ED481" s="23"/>
      <c r="EE481" s="23"/>
      <c r="EF481" s="23"/>
      <c r="EG481" s="23"/>
      <c r="EH481" s="23"/>
      <c r="EI481" s="23"/>
      <c r="EJ481" s="23"/>
      <c r="EK481" s="23"/>
      <c r="EL481" s="23"/>
      <c r="EM481" s="23"/>
      <c r="EN481" s="23"/>
      <c r="EO481" s="23"/>
      <c r="EP481" s="23"/>
      <c r="EQ481" s="23"/>
      <c r="ER481" s="23"/>
      <c r="ES481" s="23"/>
      <c r="ET481" s="23"/>
      <c r="EU481" s="23"/>
      <c r="EV481" s="23"/>
      <c r="EW481" s="23"/>
      <c r="EX481" s="23"/>
      <c r="EY481" s="23"/>
      <c r="EZ481" s="23"/>
      <c r="FA481" s="23"/>
      <c r="FB481" s="23"/>
      <c r="FC481" s="23"/>
      <c r="FD481" s="23"/>
      <c r="FE481" s="23"/>
      <c r="FF481" s="23"/>
      <c r="FG481" s="23"/>
      <c r="FH481" s="23"/>
      <c r="FI481" s="23"/>
      <c r="FJ481" s="23"/>
      <c r="FK481" s="23"/>
      <c r="FL481" s="23"/>
      <c r="FM481" s="23"/>
      <c r="FN481" s="23"/>
      <c r="FO481" s="23"/>
      <c r="FP481" s="23"/>
      <c r="FQ481" s="23"/>
      <c r="FR481" s="23"/>
      <c r="FS481" s="23"/>
      <c r="FT481" s="23"/>
      <c r="FU481" s="23"/>
      <c r="FV481" s="23"/>
      <c r="FW481" s="23"/>
      <c r="FX481" s="23"/>
      <c r="FY481" s="23"/>
      <c r="FZ481" s="23"/>
      <c r="GA481" s="23"/>
      <c r="GB481" s="23"/>
      <c r="GC481" s="23"/>
      <c r="GD481" s="23"/>
      <c r="GE481" s="23"/>
      <c r="GF481" s="23"/>
      <c r="GG481" s="23"/>
      <c r="GH481" s="23"/>
      <c r="GI481" s="23"/>
      <c r="GJ481" s="23"/>
      <c r="GK481" s="23"/>
      <c r="GL481" s="23"/>
    </row>
    <row r="482" spans="1:194" ht="13">
      <c r="A482" s="23"/>
      <c r="B482" s="23"/>
      <c r="C482" s="23"/>
      <c r="D482" s="23"/>
      <c r="E482" s="23"/>
      <c r="F482" s="23"/>
      <c r="G482" s="23"/>
      <c r="H482" s="401"/>
      <c r="I482" s="401"/>
      <c r="J482" s="401"/>
      <c r="K482" s="401"/>
      <c r="L482" s="401"/>
      <c r="M482" s="438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  <c r="AL482" s="23"/>
      <c r="AM482" s="23"/>
      <c r="AN482" s="23"/>
      <c r="AO482" s="23"/>
      <c r="AP482" s="23"/>
      <c r="AQ482" s="23"/>
      <c r="AR482" s="23"/>
      <c r="AS482" s="23"/>
      <c r="AT482" s="23"/>
      <c r="AU482" s="23"/>
      <c r="AV482" s="23"/>
      <c r="AW482" s="23"/>
      <c r="AX482" s="23"/>
      <c r="AY482" s="23"/>
      <c r="AZ482" s="23"/>
      <c r="BA482" s="23"/>
      <c r="BB482" s="23"/>
      <c r="BC482" s="23"/>
      <c r="BD482" s="23"/>
      <c r="BE482" s="23"/>
      <c r="BF482" s="23"/>
      <c r="BG482" s="23"/>
      <c r="BH482" s="23"/>
      <c r="BI482" s="23"/>
      <c r="BJ482" s="23"/>
      <c r="BK482" s="23"/>
      <c r="BL482" s="23"/>
      <c r="BM482" s="23"/>
      <c r="BN482" s="23"/>
      <c r="BO482" s="23"/>
      <c r="BP482" s="23"/>
      <c r="BQ482" s="23"/>
      <c r="BR482" s="23"/>
      <c r="BS482" s="23"/>
      <c r="BT482" s="23"/>
      <c r="BU482" s="23"/>
      <c r="BV482" s="23"/>
      <c r="BW482" s="23"/>
      <c r="BX482" s="23"/>
      <c r="BY482" s="23"/>
      <c r="BZ482" s="23"/>
      <c r="CA482" s="23"/>
      <c r="CB482" s="23"/>
      <c r="CC482" s="23"/>
      <c r="CD482" s="23"/>
      <c r="CE482" s="23"/>
      <c r="CF482" s="23"/>
      <c r="CG482" s="23"/>
      <c r="CH482" s="23"/>
      <c r="CI482" s="23"/>
      <c r="CJ482" s="23"/>
      <c r="CK482" s="23"/>
      <c r="CL482" s="23"/>
      <c r="CM482" s="23"/>
      <c r="CN482" s="23"/>
      <c r="CO482" s="23"/>
      <c r="CP482" s="23"/>
      <c r="CQ482" s="23"/>
      <c r="CR482" s="23"/>
      <c r="CS482" s="23"/>
      <c r="CT482" s="23"/>
      <c r="CU482" s="23"/>
      <c r="CV482" s="23"/>
      <c r="CW482" s="23"/>
      <c r="CX482" s="23"/>
      <c r="CY482" s="23"/>
      <c r="CZ482" s="23"/>
      <c r="DA482" s="23"/>
      <c r="DB482" s="23"/>
      <c r="DC482" s="23"/>
      <c r="DD482" s="23"/>
      <c r="DE482" s="23"/>
      <c r="DF482" s="23"/>
      <c r="DG482" s="23"/>
      <c r="DH482" s="23"/>
      <c r="DI482" s="23"/>
      <c r="DJ482" s="23"/>
      <c r="DK482" s="23"/>
      <c r="DL482" s="23"/>
      <c r="DM482" s="23"/>
      <c r="DN482" s="23"/>
      <c r="DO482" s="23"/>
      <c r="DP482" s="23"/>
      <c r="DQ482" s="23"/>
      <c r="DR482" s="23"/>
      <c r="DS482" s="23"/>
      <c r="DT482" s="23"/>
      <c r="DU482" s="23"/>
      <c r="DV482" s="23"/>
      <c r="DW482" s="23"/>
      <c r="DX482" s="23"/>
      <c r="DY482" s="23"/>
      <c r="DZ482" s="23"/>
      <c r="EA482" s="23"/>
      <c r="EB482" s="23"/>
      <c r="EC482" s="23"/>
      <c r="ED482" s="23"/>
      <c r="EE482" s="23"/>
      <c r="EF482" s="23"/>
      <c r="EG482" s="23"/>
      <c r="EH482" s="23"/>
      <c r="EI482" s="23"/>
      <c r="EJ482" s="23"/>
      <c r="EK482" s="23"/>
      <c r="EL482" s="23"/>
      <c r="EM482" s="23"/>
      <c r="EN482" s="23"/>
      <c r="EO482" s="23"/>
      <c r="EP482" s="23"/>
      <c r="EQ482" s="23"/>
      <c r="ER482" s="23"/>
      <c r="ES482" s="23"/>
      <c r="ET482" s="23"/>
      <c r="EU482" s="23"/>
      <c r="EV482" s="23"/>
      <c r="EW482" s="23"/>
      <c r="EX482" s="23"/>
      <c r="EY482" s="23"/>
      <c r="EZ482" s="23"/>
      <c r="FA482" s="23"/>
      <c r="FB482" s="23"/>
      <c r="FC482" s="23"/>
      <c r="FD482" s="23"/>
      <c r="FE482" s="23"/>
      <c r="FF482" s="23"/>
      <c r="FG482" s="23"/>
      <c r="FH482" s="23"/>
      <c r="FI482" s="23"/>
      <c r="FJ482" s="23"/>
      <c r="FK482" s="23"/>
      <c r="FL482" s="23"/>
      <c r="FM482" s="23"/>
      <c r="FN482" s="23"/>
      <c r="FO482" s="23"/>
      <c r="FP482" s="23"/>
      <c r="FQ482" s="23"/>
      <c r="FR482" s="23"/>
      <c r="FS482" s="23"/>
      <c r="FT482" s="23"/>
      <c r="FU482" s="23"/>
      <c r="FV482" s="23"/>
      <c r="FW482" s="23"/>
      <c r="FX482" s="23"/>
      <c r="FY482" s="23"/>
      <c r="FZ482" s="23"/>
      <c r="GA482" s="23"/>
      <c r="GB482" s="23"/>
      <c r="GC482" s="23"/>
      <c r="GD482" s="23"/>
      <c r="GE482" s="23"/>
      <c r="GF482" s="23"/>
      <c r="GG482" s="23"/>
      <c r="GH482" s="23"/>
      <c r="GI482" s="23"/>
      <c r="GJ482" s="23"/>
      <c r="GK482" s="23"/>
      <c r="GL482" s="23"/>
    </row>
    <row r="483" spans="1:194" ht="13">
      <c r="A483" s="23"/>
      <c r="B483" s="23"/>
      <c r="C483" s="23"/>
      <c r="D483" s="23"/>
      <c r="E483" s="23"/>
      <c r="F483" s="23"/>
      <c r="G483" s="23"/>
      <c r="H483" s="401"/>
      <c r="I483" s="401"/>
      <c r="J483" s="401"/>
      <c r="K483" s="401"/>
      <c r="L483" s="401"/>
      <c r="M483" s="438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  <c r="AL483" s="23"/>
      <c r="AM483" s="23"/>
      <c r="AN483" s="23"/>
      <c r="AO483" s="23"/>
      <c r="AP483" s="23"/>
      <c r="AQ483" s="23"/>
      <c r="AR483" s="23"/>
      <c r="AS483" s="23"/>
      <c r="AT483" s="23"/>
      <c r="AU483" s="23"/>
      <c r="AV483" s="23"/>
      <c r="AW483" s="23"/>
      <c r="AX483" s="23"/>
      <c r="AY483" s="23"/>
      <c r="AZ483" s="23"/>
      <c r="BA483" s="23"/>
      <c r="BB483" s="23"/>
      <c r="BC483" s="23"/>
      <c r="BD483" s="23"/>
      <c r="BE483" s="23"/>
      <c r="BF483" s="23"/>
      <c r="BG483" s="23"/>
      <c r="BH483" s="23"/>
      <c r="BI483" s="23"/>
      <c r="BJ483" s="23"/>
      <c r="BK483" s="23"/>
      <c r="BL483" s="23"/>
      <c r="BM483" s="23"/>
      <c r="BN483" s="23"/>
      <c r="BO483" s="23"/>
      <c r="BP483" s="23"/>
      <c r="BQ483" s="23"/>
      <c r="BR483" s="23"/>
      <c r="BS483" s="23"/>
      <c r="BT483" s="23"/>
      <c r="BU483" s="23"/>
      <c r="BV483" s="23"/>
      <c r="BW483" s="23"/>
      <c r="BX483" s="23"/>
      <c r="BY483" s="23"/>
      <c r="BZ483" s="23"/>
      <c r="CA483" s="23"/>
      <c r="CB483" s="23"/>
      <c r="CC483" s="23"/>
      <c r="CD483" s="23"/>
      <c r="CE483" s="23"/>
      <c r="CF483" s="23"/>
      <c r="CG483" s="23"/>
      <c r="CH483" s="23"/>
      <c r="CI483" s="23"/>
      <c r="CJ483" s="23"/>
      <c r="CK483" s="23"/>
      <c r="CL483" s="23"/>
      <c r="CM483" s="23"/>
      <c r="CN483" s="23"/>
      <c r="CO483" s="23"/>
      <c r="CP483" s="23"/>
      <c r="CQ483" s="23"/>
      <c r="CR483" s="23"/>
      <c r="CS483" s="23"/>
      <c r="CT483" s="23"/>
      <c r="CU483" s="23"/>
      <c r="CV483" s="23"/>
      <c r="CW483" s="23"/>
      <c r="CX483" s="23"/>
      <c r="CY483" s="23"/>
      <c r="CZ483" s="23"/>
      <c r="DA483" s="23"/>
      <c r="DB483" s="23"/>
      <c r="DC483" s="23"/>
      <c r="DD483" s="23"/>
      <c r="DE483" s="23"/>
      <c r="DF483" s="23"/>
      <c r="DG483" s="23"/>
      <c r="DH483" s="23"/>
      <c r="DI483" s="23"/>
      <c r="DJ483" s="23"/>
      <c r="DK483" s="23"/>
      <c r="DL483" s="23"/>
      <c r="DM483" s="23"/>
      <c r="DN483" s="23"/>
      <c r="DO483" s="23"/>
      <c r="DP483" s="23"/>
      <c r="DQ483" s="23"/>
      <c r="DR483" s="23"/>
      <c r="DS483" s="23"/>
      <c r="DT483" s="23"/>
      <c r="DU483" s="23"/>
      <c r="DV483" s="23"/>
      <c r="DW483" s="23"/>
      <c r="DX483" s="23"/>
      <c r="DY483" s="23"/>
      <c r="DZ483" s="23"/>
      <c r="EA483" s="23"/>
      <c r="EB483" s="23"/>
      <c r="EC483" s="23"/>
      <c r="ED483" s="23"/>
      <c r="EE483" s="23"/>
      <c r="EF483" s="23"/>
      <c r="EG483" s="23"/>
      <c r="EH483" s="23"/>
      <c r="EI483" s="23"/>
      <c r="EJ483" s="23"/>
      <c r="EK483" s="23"/>
      <c r="EL483" s="23"/>
      <c r="EM483" s="23"/>
      <c r="EN483" s="23"/>
      <c r="EO483" s="23"/>
      <c r="EP483" s="23"/>
      <c r="EQ483" s="23"/>
      <c r="ER483" s="23"/>
      <c r="ES483" s="23"/>
      <c r="ET483" s="23"/>
      <c r="EU483" s="23"/>
      <c r="EV483" s="23"/>
      <c r="EW483" s="23"/>
      <c r="EX483" s="23"/>
      <c r="EY483" s="23"/>
      <c r="EZ483" s="23"/>
      <c r="FA483" s="23"/>
      <c r="FB483" s="23"/>
      <c r="FC483" s="23"/>
      <c r="FD483" s="23"/>
      <c r="FE483" s="23"/>
      <c r="FF483" s="23"/>
      <c r="FG483" s="23"/>
      <c r="FH483" s="23"/>
      <c r="FI483" s="23"/>
      <c r="FJ483" s="23"/>
      <c r="FK483" s="23"/>
      <c r="FL483" s="23"/>
      <c r="FM483" s="23"/>
      <c r="FN483" s="23"/>
      <c r="FO483" s="23"/>
      <c r="FP483" s="23"/>
      <c r="FQ483" s="23"/>
      <c r="FR483" s="23"/>
      <c r="FS483" s="23"/>
      <c r="FT483" s="23"/>
      <c r="FU483" s="23"/>
      <c r="FV483" s="23"/>
      <c r="FW483" s="23"/>
      <c r="FX483" s="23"/>
      <c r="FY483" s="23"/>
      <c r="FZ483" s="23"/>
      <c r="GA483" s="23"/>
      <c r="GB483" s="23"/>
      <c r="GC483" s="23"/>
      <c r="GD483" s="23"/>
      <c r="GE483" s="23"/>
      <c r="GF483" s="23"/>
      <c r="GG483" s="23"/>
      <c r="GH483" s="23"/>
      <c r="GI483" s="23"/>
      <c r="GJ483" s="23"/>
      <c r="GK483" s="23"/>
      <c r="GL483" s="23"/>
    </row>
    <row r="484" spans="1:194" ht="13">
      <c r="A484" s="23"/>
      <c r="B484" s="23"/>
      <c r="C484" s="23"/>
      <c r="D484" s="23"/>
      <c r="E484" s="23"/>
      <c r="F484" s="23"/>
      <c r="G484" s="23"/>
      <c r="H484" s="401"/>
      <c r="I484" s="401"/>
      <c r="J484" s="401"/>
      <c r="K484" s="401"/>
      <c r="L484" s="401"/>
      <c r="M484" s="438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  <c r="AL484" s="23"/>
      <c r="AM484" s="23"/>
      <c r="AN484" s="23"/>
      <c r="AO484" s="23"/>
      <c r="AP484" s="23"/>
      <c r="AQ484" s="23"/>
      <c r="AR484" s="23"/>
      <c r="AS484" s="23"/>
      <c r="AT484" s="23"/>
      <c r="AU484" s="23"/>
      <c r="AV484" s="23"/>
      <c r="AW484" s="23"/>
      <c r="AX484" s="23"/>
      <c r="AY484" s="23"/>
      <c r="AZ484" s="23"/>
      <c r="BA484" s="23"/>
      <c r="BB484" s="23"/>
      <c r="BC484" s="23"/>
      <c r="BD484" s="23"/>
      <c r="BE484" s="23"/>
      <c r="BF484" s="23"/>
      <c r="BG484" s="23"/>
      <c r="BH484" s="23"/>
      <c r="BI484" s="23"/>
      <c r="BJ484" s="23"/>
      <c r="BK484" s="23"/>
      <c r="BL484" s="23"/>
      <c r="BM484" s="23"/>
      <c r="BN484" s="23"/>
      <c r="BO484" s="23"/>
      <c r="BP484" s="23"/>
      <c r="BQ484" s="23"/>
      <c r="BR484" s="23"/>
      <c r="BS484" s="23"/>
      <c r="BT484" s="23"/>
      <c r="BU484" s="23"/>
      <c r="BV484" s="23"/>
      <c r="BW484" s="23"/>
      <c r="BX484" s="23"/>
      <c r="BY484" s="23"/>
      <c r="BZ484" s="23"/>
      <c r="CA484" s="23"/>
      <c r="CB484" s="23"/>
      <c r="CC484" s="23"/>
      <c r="CD484" s="23"/>
      <c r="CE484" s="23"/>
      <c r="CF484" s="23"/>
      <c r="CG484" s="23"/>
      <c r="CH484" s="23"/>
      <c r="CI484" s="23"/>
      <c r="CJ484" s="23"/>
      <c r="CK484" s="23"/>
      <c r="CL484" s="23"/>
      <c r="CM484" s="23"/>
      <c r="CN484" s="23"/>
      <c r="CO484" s="23"/>
      <c r="CP484" s="23"/>
      <c r="CQ484" s="23"/>
      <c r="CR484" s="23"/>
      <c r="CS484" s="23"/>
      <c r="CT484" s="23"/>
      <c r="CU484" s="23"/>
      <c r="CV484" s="23"/>
      <c r="CW484" s="23"/>
      <c r="CX484" s="23"/>
      <c r="CY484" s="23"/>
      <c r="CZ484" s="23"/>
      <c r="DA484" s="23"/>
      <c r="DB484" s="23"/>
      <c r="DC484" s="23"/>
      <c r="DD484" s="23"/>
      <c r="DE484" s="23"/>
      <c r="DF484" s="23"/>
      <c r="DG484" s="23"/>
      <c r="DH484" s="23"/>
      <c r="DI484" s="23"/>
      <c r="DJ484" s="23"/>
      <c r="DK484" s="23"/>
      <c r="DL484" s="23"/>
      <c r="DM484" s="23"/>
      <c r="DN484" s="23"/>
      <c r="DO484" s="23"/>
      <c r="DP484" s="23"/>
      <c r="DQ484" s="23"/>
      <c r="DR484" s="23"/>
      <c r="DS484" s="23"/>
      <c r="DT484" s="23"/>
      <c r="DU484" s="23"/>
      <c r="DV484" s="23"/>
      <c r="DW484" s="23"/>
      <c r="DX484" s="23"/>
      <c r="DY484" s="23"/>
      <c r="DZ484" s="23"/>
      <c r="EA484" s="23"/>
      <c r="EB484" s="23"/>
      <c r="EC484" s="23"/>
      <c r="ED484" s="23"/>
      <c r="EE484" s="23"/>
      <c r="EF484" s="23"/>
      <c r="EG484" s="23"/>
      <c r="EH484" s="23"/>
      <c r="EI484" s="23"/>
      <c r="EJ484" s="23"/>
      <c r="EK484" s="23"/>
      <c r="EL484" s="23"/>
      <c r="EM484" s="23"/>
      <c r="EN484" s="23"/>
      <c r="EO484" s="23"/>
      <c r="EP484" s="23"/>
      <c r="EQ484" s="23"/>
      <c r="ER484" s="23"/>
      <c r="ES484" s="23"/>
      <c r="ET484" s="23"/>
      <c r="EU484" s="23"/>
      <c r="EV484" s="23"/>
      <c r="EW484" s="23"/>
      <c r="EX484" s="23"/>
      <c r="EY484" s="23"/>
      <c r="EZ484" s="23"/>
      <c r="FA484" s="23"/>
      <c r="FB484" s="23"/>
      <c r="FC484" s="23"/>
      <c r="FD484" s="23"/>
      <c r="FE484" s="23"/>
      <c r="FF484" s="23"/>
      <c r="FG484" s="23"/>
      <c r="FH484" s="23"/>
      <c r="FI484" s="23"/>
      <c r="FJ484" s="23"/>
      <c r="FK484" s="23"/>
      <c r="FL484" s="23"/>
      <c r="FM484" s="23"/>
      <c r="FN484" s="23"/>
      <c r="FO484" s="23"/>
      <c r="FP484" s="23"/>
      <c r="FQ484" s="23"/>
      <c r="FR484" s="23"/>
      <c r="FS484" s="23"/>
      <c r="FT484" s="23"/>
      <c r="FU484" s="23"/>
      <c r="FV484" s="23"/>
      <c r="FW484" s="23"/>
      <c r="FX484" s="23"/>
      <c r="FY484" s="23"/>
      <c r="FZ484" s="23"/>
      <c r="GA484" s="23"/>
      <c r="GB484" s="23"/>
      <c r="GC484" s="23"/>
      <c r="GD484" s="23"/>
      <c r="GE484" s="23"/>
      <c r="GF484" s="23"/>
      <c r="GG484" s="23"/>
      <c r="GH484" s="23"/>
      <c r="GI484" s="23"/>
      <c r="GJ484" s="23"/>
      <c r="GK484" s="23"/>
      <c r="GL484" s="23"/>
    </row>
    <row r="485" spans="1:194" ht="13">
      <c r="A485" s="23"/>
      <c r="B485" s="23"/>
      <c r="C485" s="23"/>
      <c r="D485" s="23"/>
      <c r="E485" s="23"/>
      <c r="F485" s="23"/>
      <c r="G485" s="23"/>
      <c r="H485" s="401"/>
      <c r="I485" s="401"/>
      <c r="J485" s="401"/>
      <c r="K485" s="401"/>
      <c r="L485" s="401"/>
      <c r="M485" s="438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  <c r="AL485" s="23"/>
      <c r="AM485" s="23"/>
      <c r="AN485" s="23"/>
      <c r="AO485" s="23"/>
      <c r="AP485" s="23"/>
      <c r="AQ485" s="23"/>
      <c r="AR485" s="23"/>
      <c r="AS485" s="23"/>
      <c r="AT485" s="23"/>
      <c r="AU485" s="23"/>
      <c r="AV485" s="23"/>
      <c r="AW485" s="23"/>
      <c r="AX485" s="23"/>
      <c r="AY485" s="23"/>
      <c r="AZ485" s="23"/>
      <c r="BA485" s="23"/>
      <c r="BB485" s="23"/>
      <c r="BC485" s="23"/>
      <c r="BD485" s="23"/>
      <c r="BE485" s="23"/>
      <c r="BF485" s="23"/>
      <c r="BG485" s="23"/>
      <c r="BH485" s="23"/>
      <c r="BI485" s="23"/>
      <c r="BJ485" s="23"/>
      <c r="BK485" s="23"/>
      <c r="BL485" s="23"/>
      <c r="BM485" s="23"/>
      <c r="BN485" s="23"/>
      <c r="BO485" s="23"/>
      <c r="BP485" s="23"/>
      <c r="BQ485" s="23"/>
      <c r="BR485" s="23"/>
      <c r="BS485" s="23"/>
      <c r="BT485" s="23"/>
      <c r="BU485" s="23"/>
      <c r="BV485" s="23"/>
      <c r="BW485" s="23"/>
      <c r="BX485" s="23"/>
      <c r="BY485" s="23"/>
      <c r="BZ485" s="23"/>
      <c r="CA485" s="23"/>
      <c r="CB485" s="23"/>
      <c r="CC485" s="23"/>
      <c r="CD485" s="23"/>
      <c r="CE485" s="23"/>
      <c r="CF485" s="23"/>
      <c r="CG485" s="23"/>
      <c r="CH485" s="23"/>
      <c r="CI485" s="23"/>
      <c r="CJ485" s="23"/>
      <c r="CK485" s="23"/>
      <c r="CL485" s="23"/>
      <c r="CM485" s="23"/>
      <c r="CN485" s="23"/>
      <c r="CO485" s="23"/>
      <c r="CP485" s="23"/>
      <c r="CQ485" s="23"/>
      <c r="CR485" s="23"/>
      <c r="CS485" s="23"/>
      <c r="CT485" s="23"/>
      <c r="CU485" s="23"/>
      <c r="CV485" s="23"/>
      <c r="CW485" s="23"/>
      <c r="CX485" s="23"/>
      <c r="CY485" s="23"/>
      <c r="CZ485" s="23"/>
      <c r="DA485" s="23"/>
      <c r="DB485" s="23"/>
      <c r="DC485" s="23"/>
      <c r="DD485" s="23"/>
      <c r="DE485" s="23"/>
      <c r="DF485" s="23"/>
      <c r="DG485" s="23"/>
      <c r="DH485" s="23"/>
      <c r="DI485" s="23"/>
      <c r="DJ485" s="23"/>
      <c r="DK485" s="23"/>
      <c r="DL485" s="23"/>
      <c r="DM485" s="23"/>
      <c r="DN485" s="23"/>
      <c r="DO485" s="23"/>
      <c r="DP485" s="23"/>
      <c r="DQ485" s="23"/>
      <c r="DR485" s="23"/>
      <c r="DS485" s="23"/>
      <c r="DT485" s="23"/>
      <c r="DU485" s="23"/>
      <c r="DV485" s="23"/>
      <c r="DW485" s="23"/>
      <c r="DX485" s="23"/>
      <c r="DY485" s="23"/>
      <c r="DZ485" s="23"/>
      <c r="EA485" s="23"/>
      <c r="EB485" s="23"/>
      <c r="EC485" s="23"/>
      <c r="ED485" s="23"/>
      <c r="EE485" s="23"/>
      <c r="EF485" s="23"/>
      <c r="EG485" s="23"/>
      <c r="EH485" s="23"/>
      <c r="EI485" s="23"/>
      <c r="EJ485" s="23"/>
      <c r="EK485" s="23"/>
      <c r="EL485" s="23"/>
      <c r="EM485" s="23"/>
      <c r="EN485" s="23"/>
      <c r="EO485" s="23"/>
      <c r="EP485" s="23"/>
      <c r="EQ485" s="23"/>
      <c r="ER485" s="23"/>
      <c r="ES485" s="23"/>
      <c r="ET485" s="23"/>
      <c r="EU485" s="23"/>
      <c r="EV485" s="23"/>
      <c r="EW485" s="23"/>
      <c r="EX485" s="23"/>
      <c r="EY485" s="23"/>
      <c r="EZ485" s="23"/>
      <c r="FA485" s="23"/>
      <c r="FB485" s="23"/>
      <c r="FC485" s="23"/>
      <c r="FD485" s="23"/>
      <c r="FE485" s="23"/>
      <c r="FF485" s="23"/>
      <c r="FG485" s="23"/>
      <c r="FH485" s="23"/>
      <c r="FI485" s="23"/>
      <c r="FJ485" s="23"/>
      <c r="FK485" s="23"/>
      <c r="FL485" s="23"/>
      <c r="FM485" s="23"/>
      <c r="FN485" s="23"/>
      <c r="FO485" s="23"/>
      <c r="FP485" s="23"/>
      <c r="FQ485" s="23"/>
      <c r="FR485" s="23"/>
      <c r="FS485" s="23"/>
      <c r="FT485" s="23"/>
      <c r="FU485" s="23"/>
      <c r="FV485" s="23"/>
      <c r="FW485" s="23"/>
      <c r="FX485" s="23"/>
      <c r="FY485" s="23"/>
      <c r="FZ485" s="23"/>
      <c r="GA485" s="23"/>
      <c r="GB485" s="23"/>
      <c r="GC485" s="23"/>
      <c r="GD485" s="23"/>
      <c r="GE485" s="23"/>
      <c r="GF485" s="23"/>
      <c r="GG485" s="23"/>
      <c r="GH485" s="23"/>
      <c r="GI485" s="23"/>
      <c r="GJ485" s="23"/>
      <c r="GK485" s="23"/>
      <c r="GL485" s="23"/>
    </row>
    <row r="486" spans="1:194" ht="13">
      <c r="A486" s="23"/>
      <c r="B486" s="23"/>
      <c r="C486" s="23"/>
      <c r="D486" s="23"/>
      <c r="E486" s="23"/>
      <c r="F486" s="23"/>
      <c r="G486" s="23"/>
      <c r="H486" s="401"/>
      <c r="I486" s="401"/>
      <c r="J486" s="401"/>
      <c r="K486" s="401"/>
      <c r="L486" s="401"/>
      <c r="M486" s="438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  <c r="AL486" s="23"/>
      <c r="AM486" s="23"/>
      <c r="AN486" s="23"/>
      <c r="AO486" s="23"/>
      <c r="AP486" s="23"/>
      <c r="AQ486" s="23"/>
      <c r="AR486" s="23"/>
      <c r="AS486" s="23"/>
      <c r="AT486" s="23"/>
      <c r="AU486" s="23"/>
      <c r="AV486" s="23"/>
      <c r="AW486" s="23"/>
      <c r="AX486" s="23"/>
      <c r="AY486" s="23"/>
      <c r="AZ486" s="23"/>
      <c r="BA486" s="23"/>
      <c r="BB486" s="23"/>
      <c r="BC486" s="23"/>
      <c r="BD486" s="23"/>
      <c r="BE486" s="23"/>
      <c r="BF486" s="23"/>
      <c r="BG486" s="23"/>
      <c r="BH486" s="23"/>
      <c r="BI486" s="23"/>
      <c r="BJ486" s="23"/>
      <c r="BK486" s="23"/>
      <c r="BL486" s="23"/>
      <c r="BM486" s="23"/>
      <c r="BN486" s="23"/>
      <c r="BO486" s="23"/>
      <c r="BP486" s="23"/>
      <c r="BQ486" s="23"/>
      <c r="BR486" s="23"/>
      <c r="BS486" s="23"/>
      <c r="BT486" s="23"/>
      <c r="BU486" s="23"/>
      <c r="BV486" s="23"/>
      <c r="BW486" s="23"/>
      <c r="BX486" s="23"/>
      <c r="BY486" s="23"/>
      <c r="BZ486" s="23"/>
      <c r="CA486" s="23"/>
      <c r="CB486" s="23"/>
      <c r="CC486" s="23"/>
      <c r="CD486" s="23"/>
      <c r="CE486" s="23"/>
      <c r="CF486" s="23"/>
      <c r="CG486" s="23"/>
      <c r="CH486" s="23"/>
      <c r="CI486" s="23"/>
      <c r="CJ486" s="23"/>
      <c r="CK486" s="23"/>
      <c r="CL486" s="23"/>
      <c r="CM486" s="23"/>
      <c r="CN486" s="23"/>
      <c r="CO486" s="23"/>
      <c r="CP486" s="23"/>
      <c r="CQ486" s="23"/>
      <c r="CR486" s="23"/>
      <c r="CS486" s="23"/>
      <c r="CT486" s="23"/>
      <c r="CU486" s="23"/>
      <c r="CV486" s="23"/>
      <c r="CW486" s="23"/>
      <c r="CX486" s="23"/>
      <c r="CY486" s="23"/>
      <c r="CZ486" s="23"/>
      <c r="DA486" s="23"/>
      <c r="DB486" s="23"/>
      <c r="DC486" s="23"/>
      <c r="DD486" s="23"/>
      <c r="DE486" s="23"/>
      <c r="DF486" s="23"/>
      <c r="DG486" s="23"/>
      <c r="DH486" s="23"/>
      <c r="DI486" s="23"/>
      <c r="DJ486" s="23"/>
      <c r="DK486" s="23"/>
      <c r="DL486" s="23"/>
      <c r="DM486" s="23"/>
      <c r="DN486" s="23"/>
      <c r="DO486" s="23"/>
      <c r="DP486" s="23"/>
      <c r="DQ486" s="23"/>
      <c r="DR486" s="23"/>
      <c r="DS486" s="23"/>
      <c r="DT486" s="23"/>
      <c r="DU486" s="23"/>
      <c r="DV486" s="23"/>
      <c r="DW486" s="23"/>
      <c r="DX486" s="23"/>
      <c r="DY486" s="23"/>
      <c r="DZ486" s="23"/>
      <c r="EA486" s="23"/>
      <c r="EB486" s="23"/>
      <c r="EC486" s="23"/>
      <c r="ED486" s="23"/>
      <c r="EE486" s="23"/>
      <c r="EF486" s="23"/>
      <c r="EG486" s="23"/>
      <c r="EH486" s="23"/>
      <c r="EI486" s="23"/>
      <c r="EJ486" s="23"/>
      <c r="EK486" s="23"/>
      <c r="EL486" s="23"/>
      <c r="EM486" s="23"/>
      <c r="EN486" s="23"/>
      <c r="EO486" s="23"/>
      <c r="EP486" s="23"/>
      <c r="EQ486" s="23"/>
      <c r="ER486" s="23"/>
      <c r="ES486" s="23"/>
      <c r="ET486" s="23"/>
      <c r="EU486" s="23"/>
      <c r="EV486" s="23"/>
      <c r="EW486" s="23"/>
      <c r="EX486" s="23"/>
      <c r="EY486" s="23"/>
      <c r="EZ486" s="23"/>
      <c r="FA486" s="23"/>
      <c r="FB486" s="23"/>
      <c r="FC486" s="23"/>
      <c r="FD486" s="23"/>
      <c r="FE486" s="23"/>
      <c r="FF486" s="23"/>
      <c r="FG486" s="23"/>
      <c r="FH486" s="23"/>
      <c r="FI486" s="23"/>
      <c r="FJ486" s="23"/>
      <c r="FK486" s="23"/>
      <c r="FL486" s="23"/>
      <c r="FM486" s="23"/>
      <c r="FN486" s="23"/>
      <c r="FO486" s="23"/>
      <c r="FP486" s="23"/>
      <c r="FQ486" s="23"/>
      <c r="FR486" s="23"/>
      <c r="FS486" s="23"/>
      <c r="FT486" s="23"/>
      <c r="FU486" s="23"/>
      <c r="FV486" s="23"/>
      <c r="FW486" s="23"/>
      <c r="FX486" s="23"/>
      <c r="FY486" s="23"/>
      <c r="FZ486" s="23"/>
      <c r="GA486" s="23"/>
      <c r="GB486" s="23"/>
      <c r="GC486" s="23"/>
      <c r="GD486" s="23"/>
      <c r="GE486" s="23"/>
      <c r="GF486" s="23"/>
      <c r="GG486" s="23"/>
      <c r="GH486" s="23"/>
      <c r="GI486" s="23"/>
      <c r="GJ486" s="23"/>
      <c r="GK486" s="23"/>
      <c r="GL486" s="23"/>
    </row>
    <row r="487" spans="1:194" ht="13">
      <c r="A487" s="23"/>
      <c r="B487" s="23"/>
      <c r="C487" s="23"/>
      <c r="D487" s="23"/>
      <c r="E487" s="23"/>
      <c r="F487" s="23"/>
      <c r="G487" s="23"/>
      <c r="H487" s="401"/>
      <c r="I487" s="401"/>
      <c r="J487" s="401"/>
      <c r="K487" s="401"/>
      <c r="L487" s="401"/>
      <c r="M487" s="438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  <c r="AL487" s="23"/>
      <c r="AM487" s="23"/>
      <c r="AN487" s="23"/>
      <c r="AO487" s="23"/>
      <c r="AP487" s="23"/>
      <c r="AQ487" s="23"/>
      <c r="AR487" s="23"/>
      <c r="AS487" s="23"/>
      <c r="AT487" s="23"/>
      <c r="AU487" s="23"/>
      <c r="AV487" s="23"/>
      <c r="AW487" s="23"/>
      <c r="AX487" s="23"/>
      <c r="AY487" s="23"/>
      <c r="AZ487" s="23"/>
      <c r="BA487" s="23"/>
      <c r="BB487" s="23"/>
      <c r="BC487" s="23"/>
      <c r="BD487" s="23"/>
      <c r="BE487" s="23"/>
      <c r="BF487" s="23"/>
      <c r="BG487" s="23"/>
      <c r="BH487" s="23"/>
      <c r="BI487" s="23"/>
      <c r="BJ487" s="23"/>
      <c r="BK487" s="23"/>
      <c r="BL487" s="23"/>
      <c r="BM487" s="23"/>
      <c r="BN487" s="23"/>
      <c r="BO487" s="23"/>
      <c r="BP487" s="23"/>
      <c r="BQ487" s="23"/>
      <c r="BR487" s="23"/>
      <c r="BS487" s="23"/>
      <c r="BT487" s="23"/>
      <c r="BU487" s="23"/>
      <c r="BV487" s="23"/>
      <c r="BW487" s="23"/>
      <c r="BX487" s="23"/>
      <c r="BY487" s="23"/>
      <c r="BZ487" s="23"/>
      <c r="CA487" s="23"/>
      <c r="CB487" s="23"/>
      <c r="CC487" s="23"/>
      <c r="CD487" s="23"/>
      <c r="CE487" s="23"/>
      <c r="CF487" s="23"/>
      <c r="CG487" s="23"/>
      <c r="CH487" s="23"/>
      <c r="CI487" s="23"/>
      <c r="CJ487" s="23"/>
      <c r="CK487" s="23"/>
      <c r="CL487" s="23"/>
      <c r="CM487" s="23"/>
      <c r="CN487" s="23"/>
      <c r="CO487" s="23"/>
      <c r="CP487" s="23"/>
      <c r="CQ487" s="23"/>
      <c r="CR487" s="23"/>
      <c r="CS487" s="23"/>
      <c r="CT487" s="23"/>
      <c r="CU487" s="23"/>
      <c r="CV487" s="23"/>
      <c r="CW487" s="23"/>
      <c r="CX487" s="23"/>
      <c r="CY487" s="23"/>
      <c r="CZ487" s="23"/>
      <c r="DA487" s="23"/>
      <c r="DB487" s="23"/>
      <c r="DC487" s="23"/>
      <c r="DD487" s="23"/>
      <c r="DE487" s="23"/>
      <c r="DF487" s="23"/>
      <c r="DG487" s="23"/>
      <c r="DH487" s="23"/>
      <c r="DI487" s="23"/>
      <c r="DJ487" s="23"/>
      <c r="DK487" s="23"/>
      <c r="DL487" s="23"/>
      <c r="DM487" s="23"/>
      <c r="DN487" s="23"/>
      <c r="DO487" s="23"/>
      <c r="DP487" s="23"/>
      <c r="DQ487" s="23"/>
      <c r="DR487" s="23"/>
      <c r="DS487" s="23"/>
      <c r="DT487" s="23"/>
      <c r="DU487" s="23"/>
      <c r="DV487" s="23"/>
      <c r="DW487" s="23"/>
      <c r="DX487" s="23"/>
      <c r="DY487" s="23"/>
      <c r="DZ487" s="23"/>
      <c r="EA487" s="23"/>
      <c r="EB487" s="23"/>
      <c r="EC487" s="23"/>
      <c r="ED487" s="23"/>
      <c r="EE487" s="23"/>
      <c r="EF487" s="23"/>
      <c r="EG487" s="23"/>
      <c r="EH487" s="23"/>
      <c r="EI487" s="23"/>
      <c r="EJ487" s="23"/>
      <c r="EK487" s="23"/>
      <c r="EL487" s="23"/>
      <c r="EM487" s="23"/>
      <c r="EN487" s="23"/>
      <c r="EO487" s="23"/>
      <c r="EP487" s="23"/>
      <c r="EQ487" s="23"/>
      <c r="ER487" s="23"/>
      <c r="ES487" s="23"/>
      <c r="ET487" s="23"/>
      <c r="EU487" s="23"/>
      <c r="EV487" s="23"/>
      <c r="EW487" s="23"/>
      <c r="EX487" s="23"/>
      <c r="EY487" s="23"/>
      <c r="EZ487" s="23"/>
      <c r="FA487" s="23"/>
      <c r="FB487" s="23"/>
      <c r="FC487" s="23"/>
      <c r="FD487" s="23"/>
      <c r="FE487" s="23"/>
      <c r="FF487" s="23"/>
      <c r="FG487" s="23"/>
      <c r="FH487" s="23"/>
      <c r="FI487" s="23"/>
      <c r="FJ487" s="23"/>
      <c r="FK487" s="23"/>
      <c r="FL487" s="23"/>
      <c r="FM487" s="23"/>
      <c r="FN487" s="23"/>
      <c r="FO487" s="23"/>
      <c r="FP487" s="23"/>
      <c r="FQ487" s="23"/>
      <c r="FR487" s="23"/>
      <c r="FS487" s="23"/>
      <c r="FT487" s="23"/>
      <c r="FU487" s="23"/>
      <c r="FV487" s="23"/>
      <c r="FW487" s="23"/>
      <c r="FX487" s="23"/>
      <c r="FY487" s="23"/>
      <c r="FZ487" s="23"/>
      <c r="GA487" s="23"/>
      <c r="GB487" s="23"/>
      <c r="GC487" s="23"/>
      <c r="GD487" s="23"/>
      <c r="GE487" s="23"/>
      <c r="GF487" s="23"/>
      <c r="GG487" s="23"/>
      <c r="GH487" s="23"/>
      <c r="GI487" s="23"/>
      <c r="GJ487" s="23"/>
      <c r="GK487" s="23"/>
      <c r="GL487" s="23"/>
    </row>
    <row r="488" spans="1:194" ht="13">
      <c r="A488" s="23"/>
      <c r="B488" s="23"/>
      <c r="C488" s="23"/>
      <c r="D488" s="23"/>
      <c r="E488" s="23"/>
      <c r="F488" s="23"/>
      <c r="G488" s="23"/>
      <c r="H488" s="401"/>
      <c r="I488" s="401"/>
      <c r="J488" s="401"/>
      <c r="K488" s="401"/>
      <c r="L488" s="401"/>
      <c r="M488" s="438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  <c r="AL488" s="23"/>
      <c r="AM488" s="23"/>
      <c r="AN488" s="23"/>
      <c r="AO488" s="23"/>
      <c r="AP488" s="23"/>
      <c r="AQ488" s="23"/>
      <c r="AR488" s="23"/>
      <c r="AS488" s="23"/>
      <c r="AT488" s="23"/>
      <c r="AU488" s="23"/>
      <c r="AV488" s="23"/>
      <c r="AW488" s="23"/>
      <c r="AX488" s="23"/>
      <c r="AY488" s="23"/>
      <c r="AZ488" s="23"/>
      <c r="BA488" s="23"/>
      <c r="BB488" s="23"/>
      <c r="BC488" s="23"/>
      <c r="BD488" s="23"/>
      <c r="BE488" s="23"/>
      <c r="BF488" s="23"/>
      <c r="BG488" s="23"/>
      <c r="BH488" s="23"/>
      <c r="BI488" s="23"/>
      <c r="BJ488" s="23"/>
      <c r="BK488" s="23"/>
      <c r="BL488" s="23"/>
      <c r="BM488" s="23"/>
      <c r="BN488" s="23"/>
      <c r="BO488" s="23"/>
      <c r="BP488" s="23"/>
      <c r="BQ488" s="23"/>
      <c r="BR488" s="23"/>
      <c r="BS488" s="23"/>
      <c r="BT488" s="23"/>
      <c r="BU488" s="23"/>
      <c r="BV488" s="23"/>
      <c r="BW488" s="23"/>
      <c r="BX488" s="23"/>
      <c r="BY488" s="23"/>
      <c r="BZ488" s="23"/>
      <c r="CA488" s="23"/>
      <c r="CB488" s="23"/>
      <c r="CC488" s="23"/>
      <c r="CD488" s="23"/>
      <c r="CE488" s="23"/>
      <c r="CF488" s="23"/>
      <c r="CG488" s="23"/>
      <c r="CH488" s="23"/>
      <c r="CI488" s="23"/>
      <c r="CJ488" s="23"/>
      <c r="CK488" s="23"/>
      <c r="CL488" s="23"/>
      <c r="CM488" s="23"/>
      <c r="CN488" s="23"/>
      <c r="CO488" s="23"/>
      <c r="CP488" s="23"/>
      <c r="CQ488" s="23"/>
      <c r="CR488" s="23"/>
      <c r="CS488" s="23"/>
      <c r="CT488" s="23"/>
      <c r="CU488" s="23"/>
      <c r="CV488" s="23"/>
      <c r="CW488" s="23"/>
      <c r="CX488" s="23"/>
      <c r="CY488" s="23"/>
      <c r="CZ488" s="23"/>
      <c r="DA488" s="23"/>
      <c r="DB488" s="23"/>
      <c r="DC488" s="23"/>
      <c r="DD488" s="23"/>
      <c r="DE488" s="23"/>
      <c r="DF488" s="23"/>
      <c r="DG488" s="23"/>
      <c r="DH488" s="23"/>
      <c r="DI488" s="23"/>
      <c r="DJ488" s="23"/>
      <c r="DK488" s="23"/>
      <c r="DL488" s="23"/>
      <c r="DM488" s="23"/>
      <c r="DN488" s="23"/>
      <c r="DO488" s="23"/>
      <c r="DP488" s="23"/>
      <c r="DQ488" s="23"/>
      <c r="DR488" s="23"/>
      <c r="DS488" s="23"/>
      <c r="DT488" s="23"/>
      <c r="DU488" s="23"/>
      <c r="DV488" s="23"/>
      <c r="DW488" s="23"/>
      <c r="DX488" s="23"/>
      <c r="DY488" s="23"/>
      <c r="DZ488" s="23"/>
      <c r="EA488" s="23"/>
      <c r="EB488" s="23"/>
      <c r="EC488" s="23"/>
      <c r="ED488" s="23"/>
      <c r="EE488" s="23"/>
      <c r="EF488" s="23"/>
      <c r="EG488" s="23"/>
      <c r="EH488" s="23"/>
      <c r="EI488" s="23"/>
      <c r="EJ488" s="23"/>
      <c r="EK488" s="23"/>
      <c r="EL488" s="23"/>
      <c r="EM488" s="23"/>
      <c r="EN488" s="23"/>
      <c r="EO488" s="23"/>
      <c r="EP488" s="23"/>
      <c r="EQ488" s="23"/>
      <c r="ER488" s="23"/>
      <c r="ES488" s="23"/>
      <c r="ET488" s="23"/>
      <c r="EU488" s="23"/>
      <c r="EV488" s="23"/>
      <c r="EW488" s="23"/>
      <c r="EX488" s="23"/>
      <c r="EY488" s="23"/>
      <c r="EZ488" s="23"/>
      <c r="FA488" s="23"/>
      <c r="FB488" s="23"/>
      <c r="FC488" s="23"/>
      <c r="FD488" s="23"/>
      <c r="FE488" s="23"/>
      <c r="FF488" s="23"/>
      <c r="FG488" s="23"/>
      <c r="FH488" s="23"/>
      <c r="FI488" s="23"/>
      <c r="FJ488" s="23"/>
      <c r="FK488" s="23"/>
      <c r="FL488" s="23"/>
      <c r="FM488" s="23"/>
      <c r="FN488" s="23"/>
      <c r="FO488" s="23"/>
      <c r="FP488" s="23"/>
      <c r="FQ488" s="23"/>
      <c r="FR488" s="23"/>
      <c r="FS488" s="23"/>
      <c r="FT488" s="23"/>
      <c r="FU488" s="23"/>
      <c r="FV488" s="23"/>
      <c r="FW488" s="23"/>
      <c r="FX488" s="23"/>
      <c r="FY488" s="23"/>
      <c r="FZ488" s="23"/>
      <c r="GA488" s="23"/>
      <c r="GB488" s="23"/>
      <c r="GC488" s="23"/>
      <c r="GD488" s="23"/>
      <c r="GE488" s="23"/>
      <c r="GF488" s="23"/>
      <c r="GG488" s="23"/>
      <c r="GH488" s="23"/>
      <c r="GI488" s="23"/>
      <c r="GJ488" s="23"/>
      <c r="GK488" s="23"/>
      <c r="GL488" s="23"/>
    </row>
    <row r="489" spans="1:194" ht="13">
      <c r="A489" s="23"/>
      <c r="B489" s="23"/>
      <c r="C489" s="23"/>
      <c r="D489" s="23"/>
      <c r="E489" s="23"/>
      <c r="F489" s="23"/>
      <c r="G489" s="23"/>
      <c r="H489" s="401"/>
      <c r="I489" s="401"/>
      <c r="J489" s="401"/>
      <c r="K489" s="401"/>
      <c r="L489" s="401"/>
      <c r="M489" s="438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  <c r="AL489" s="23"/>
      <c r="AM489" s="23"/>
      <c r="AN489" s="23"/>
      <c r="AO489" s="23"/>
      <c r="AP489" s="23"/>
      <c r="AQ489" s="23"/>
      <c r="AR489" s="23"/>
      <c r="AS489" s="23"/>
      <c r="AT489" s="23"/>
      <c r="AU489" s="23"/>
      <c r="AV489" s="23"/>
      <c r="AW489" s="23"/>
      <c r="AX489" s="23"/>
      <c r="AY489" s="23"/>
      <c r="AZ489" s="23"/>
      <c r="BA489" s="23"/>
      <c r="BB489" s="23"/>
      <c r="BC489" s="23"/>
      <c r="BD489" s="23"/>
      <c r="BE489" s="23"/>
      <c r="BF489" s="23"/>
      <c r="BG489" s="23"/>
      <c r="BH489" s="23"/>
      <c r="BI489" s="23"/>
      <c r="BJ489" s="23"/>
      <c r="BK489" s="23"/>
      <c r="BL489" s="23"/>
      <c r="BM489" s="23"/>
      <c r="BN489" s="23"/>
      <c r="BO489" s="23"/>
      <c r="BP489" s="23"/>
      <c r="BQ489" s="23"/>
      <c r="BR489" s="23"/>
      <c r="BS489" s="23"/>
      <c r="BT489" s="23"/>
      <c r="BU489" s="23"/>
      <c r="BV489" s="23"/>
      <c r="BW489" s="23"/>
      <c r="BX489" s="23"/>
      <c r="BY489" s="23"/>
      <c r="BZ489" s="23"/>
      <c r="CA489" s="23"/>
      <c r="CB489" s="23"/>
      <c r="CC489" s="23"/>
      <c r="CD489" s="23"/>
      <c r="CE489" s="23"/>
      <c r="CF489" s="23"/>
      <c r="CG489" s="23"/>
      <c r="CH489" s="23"/>
      <c r="CI489" s="23"/>
      <c r="CJ489" s="23"/>
      <c r="CK489" s="23"/>
      <c r="CL489" s="23"/>
      <c r="CM489" s="23"/>
      <c r="CN489" s="23"/>
      <c r="CO489" s="23"/>
      <c r="CP489" s="23"/>
      <c r="CQ489" s="23"/>
      <c r="CR489" s="23"/>
      <c r="CS489" s="23"/>
      <c r="CT489" s="23"/>
      <c r="CU489" s="23"/>
      <c r="CV489" s="23"/>
      <c r="CW489" s="23"/>
      <c r="CX489" s="23"/>
      <c r="CY489" s="23"/>
      <c r="CZ489" s="23"/>
      <c r="DA489" s="23"/>
      <c r="DB489" s="23"/>
      <c r="DC489" s="23"/>
      <c r="DD489" s="23"/>
      <c r="DE489" s="23"/>
      <c r="DF489" s="23"/>
      <c r="DG489" s="23"/>
      <c r="DH489" s="23"/>
      <c r="DI489" s="23"/>
      <c r="DJ489" s="23"/>
      <c r="DK489" s="23"/>
      <c r="DL489" s="23"/>
      <c r="DM489" s="23"/>
      <c r="DN489" s="23"/>
      <c r="DO489" s="23"/>
      <c r="DP489" s="23"/>
      <c r="DQ489" s="23"/>
      <c r="DR489" s="23"/>
      <c r="DS489" s="23"/>
      <c r="DT489" s="23"/>
      <c r="DU489" s="23"/>
      <c r="DV489" s="23"/>
      <c r="DW489" s="23"/>
      <c r="DX489" s="23"/>
      <c r="DY489" s="23"/>
      <c r="DZ489" s="23"/>
      <c r="EA489" s="23"/>
      <c r="EB489" s="23"/>
      <c r="EC489" s="23"/>
      <c r="ED489" s="23"/>
      <c r="EE489" s="23"/>
      <c r="EF489" s="23"/>
      <c r="EG489" s="23"/>
      <c r="EH489" s="23"/>
      <c r="EI489" s="23"/>
      <c r="EJ489" s="23"/>
      <c r="EK489" s="23"/>
      <c r="EL489" s="23"/>
      <c r="EM489" s="23"/>
      <c r="EN489" s="23"/>
      <c r="EO489" s="23"/>
      <c r="EP489" s="23"/>
      <c r="EQ489" s="23"/>
      <c r="ER489" s="23"/>
      <c r="ES489" s="23"/>
      <c r="ET489" s="23"/>
      <c r="EU489" s="23"/>
      <c r="EV489" s="23"/>
      <c r="EW489" s="23"/>
      <c r="EX489" s="23"/>
      <c r="EY489" s="23"/>
      <c r="EZ489" s="23"/>
      <c r="FA489" s="23"/>
      <c r="FB489" s="23"/>
      <c r="FC489" s="23"/>
      <c r="FD489" s="23"/>
      <c r="FE489" s="23"/>
      <c r="FF489" s="23"/>
      <c r="FG489" s="23"/>
      <c r="FH489" s="23"/>
      <c r="FI489" s="23"/>
      <c r="FJ489" s="23"/>
      <c r="FK489" s="23"/>
      <c r="FL489" s="23"/>
      <c r="FM489" s="23"/>
      <c r="FN489" s="23"/>
      <c r="FO489" s="23"/>
      <c r="FP489" s="23"/>
      <c r="FQ489" s="23"/>
      <c r="FR489" s="23"/>
      <c r="FS489" s="23"/>
      <c r="FT489" s="23"/>
      <c r="FU489" s="23"/>
      <c r="FV489" s="23"/>
      <c r="FW489" s="23"/>
      <c r="FX489" s="23"/>
      <c r="FY489" s="23"/>
      <c r="FZ489" s="23"/>
      <c r="GA489" s="23"/>
      <c r="GB489" s="23"/>
      <c r="GC489" s="23"/>
      <c r="GD489" s="23"/>
      <c r="GE489" s="23"/>
      <c r="GF489" s="23"/>
      <c r="GG489" s="23"/>
      <c r="GH489" s="23"/>
      <c r="GI489" s="23"/>
      <c r="GJ489" s="23"/>
      <c r="GK489" s="23"/>
      <c r="GL489" s="23"/>
    </row>
    <row r="490" spans="1:194" ht="13">
      <c r="A490" s="23"/>
      <c r="B490" s="23"/>
      <c r="C490" s="23"/>
      <c r="D490" s="23"/>
      <c r="E490" s="23"/>
      <c r="F490" s="23"/>
      <c r="G490" s="23"/>
      <c r="H490" s="401"/>
      <c r="I490" s="401"/>
      <c r="J490" s="401"/>
      <c r="K490" s="401"/>
      <c r="L490" s="401"/>
      <c r="M490" s="438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  <c r="AL490" s="23"/>
      <c r="AM490" s="23"/>
      <c r="AN490" s="23"/>
      <c r="AO490" s="23"/>
      <c r="AP490" s="23"/>
      <c r="AQ490" s="23"/>
      <c r="AR490" s="23"/>
      <c r="AS490" s="23"/>
      <c r="AT490" s="23"/>
      <c r="AU490" s="23"/>
      <c r="AV490" s="23"/>
      <c r="AW490" s="23"/>
      <c r="AX490" s="23"/>
      <c r="AY490" s="23"/>
      <c r="AZ490" s="23"/>
      <c r="BA490" s="23"/>
      <c r="BB490" s="23"/>
      <c r="BC490" s="23"/>
      <c r="BD490" s="23"/>
      <c r="BE490" s="23"/>
      <c r="BF490" s="23"/>
      <c r="BG490" s="23"/>
      <c r="BH490" s="23"/>
      <c r="BI490" s="23"/>
      <c r="BJ490" s="23"/>
      <c r="BK490" s="23"/>
      <c r="BL490" s="23"/>
      <c r="BM490" s="23"/>
      <c r="BN490" s="23"/>
      <c r="BO490" s="23"/>
      <c r="BP490" s="23"/>
      <c r="BQ490" s="23"/>
      <c r="BR490" s="23"/>
      <c r="BS490" s="23"/>
      <c r="BT490" s="23"/>
      <c r="BU490" s="23"/>
      <c r="BV490" s="23"/>
      <c r="BW490" s="23"/>
      <c r="BX490" s="23"/>
      <c r="BY490" s="23"/>
      <c r="BZ490" s="23"/>
      <c r="CA490" s="23"/>
      <c r="CB490" s="23"/>
      <c r="CC490" s="23"/>
      <c r="CD490" s="23"/>
      <c r="CE490" s="23"/>
      <c r="CF490" s="23"/>
      <c r="CG490" s="23"/>
      <c r="CH490" s="23"/>
      <c r="CI490" s="23"/>
      <c r="CJ490" s="23"/>
      <c r="CK490" s="23"/>
      <c r="CL490" s="23"/>
      <c r="CM490" s="23"/>
      <c r="CN490" s="23"/>
      <c r="CO490" s="23"/>
      <c r="CP490" s="23"/>
      <c r="CQ490" s="23"/>
      <c r="CR490" s="23"/>
      <c r="CS490" s="23"/>
      <c r="CT490" s="23"/>
      <c r="CU490" s="23"/>
      <c r="CV490" s="23"/>
      <c r="CW490" s="23"/>
      <c r="CX490" s="23"/>
      <c r="CY490" s="23"/>
      <c r="CZ490" s="23"/>
      <c r="DA490" s="23"/>
      <c r="DB490" s="23"/>
      <c r="DC490" s="23"/>
      <c r="DD490" s="23"/>
      <c r="DE490" s="23"/>
      <c r="DF490" s="23"/>
      <c r="DG490" s="23"/>
      <c r="DH490" s="23"/>
      <c r="DI490" s="23"/>
      <c r="DJ490" s="23"/>
      <c r="DK490" s="23"/>
      <c r="DL490" s="23"/>
      <c r="DM490" s="23"/>
      <c r="DN490" s="23"/>
      <c r="DO490" s="23"/>
      <c r="DP490" s="23"/>
      <c r="DQ490" s="23"/>
      <c r="DR490" s="23"/>
      <c r="DS490" s="23"/>
      <c r="DT490" s="23"/>
      <c r="DU490" s="23"/>
      <c r="DV490" s="23"/>
      <c r="DW490" s="23"/>
      <c r="DX490" s="23"/>
      <c r="DY490" s="23"/>
      <c r="DZ490" s="23"/>
      <c r="EA490" s="23"/>
      <c r="EB490" s="23"/>
      <c r="EC490" s="23"/>
      <c r="ED490" s="23"/>
      <c r="EE490" s="23"/>
      <c r="EF490" s="23"/>
      <c r="EG490" s="23"/>
      <c r="EH490" s="23"/>
      <c r="EI490" s="23"/>
      <c r="EJ490" s="23"/>
      <c r="EK490" s="23"/>
      <c r="EL490" s="23"/>
      <c r="EM490" s="23"/>
      <c r="EN490" s="23"/>
      <c r="EO490" s="23"/>
      <c r="EP490" s="23"/>
      <c r="EQ490" s="23"/>
      <c r="ER490" s="23"/>
      <c r="ES490" s="23"/>
      <c r="ET490" s="23"/>
      <c r="EU490" s="23"/>
      <c r="EV490" s="23"/>
      <c r="EW490" s="23"/>
      <c r="EX490" s="23"/>
      <c r="EY490" s="23"/>
      <c r="EZ490" s="23"/>
      <c r="FA490" s="23"/>
      <c r="FB490" s="23"/>
      <c r="FC490" s="23"/>
      <c r="FD490" s="23"/>
      <c r="FE490" s="23"/>
      <c r="FF490" s="23"/>
      <c r="FG490" s="23"/>
      <c r="FH490" s="23"/>
      <c r="FI490" s="23"/>
      <c r="FJ490" s="23"/>
      <c r="FK490" s="23"/>
      <c r="FL490" s="23"/>
      <c r="FM490" s="23"/>
      <c r="FN490" s="23"/>
      <c r="FO490" s="23"/>
      <c r="FP490" s="23"/>
      <c r="FQ490" s="23"/>
      <c r="FR490" s="23"/>
      <c r="FS490" s="23"/>
      <c r="FT490" s="23"/>
      <c r="FU490" s="23"/>
      <c r="FV490" s="23"/>
      <c r="FW490" s="23"/>
      <c r="FX490" s="23"/>
      <c r="FY490" s="23"/>
      <c r="FZ490" s="23"/>
      <c r="GA490" s="23"/>
      <c r="GB490" s="23"/>
      <c r="GC490" s="23"/>
      <c r="GD490" s="23"/>
      <c r="GE490" s="23"/>
      <c r="GF490" s="23"/>
      <c r="GG490" s="23"/>
      <c r="GH490" s="23"/>
      <c r="GI490" s="23"/>
      <c r="GJ490" s="23"/>
      <c r="GK490" s="23"/>
      <c r="GL490" s="23"/>
    </row>
    <row r="491" spans="1:194" ht="13">
      <c r="A491" s="23"/>
      <c r="B491" s="23"/>
      <c r="C491" s="23"/>
      <c r="D491" s="23"/>
      <c r="E491" s="23"/>
      <c r="F491" s="23"/>
      <c r="G491" s="23"/>
      <c r="H491" s="401"/>
      <c r="I491" s="401"/>
      <c r="J491" s="401"/>
      <c r="K491" s="401"/>
      <c r="L491" s="401"/>
      <c r="M491" s="438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  <c r="AL491" s="23"/>
      <c r="AM491" s="23"/>
      <c r="AN491" s="23"/>
      <c r="AO491" s="23"/>
      <c r="AP491" s="23"/>
      <c r="AQ491" s="23"/>
      <c r="AR491" s="23"/>
      <c r="AS491" s="23"/>
      <c r="AT491" s="23"/>
      <c r="AU491" s="23"/>
      <c r="AV491" s="23"/>
      <c r="AW491" s="23"/>
      <c r="AX491" s="23"/>
      <c r="AY491" s="23"/>
      <c r="AZ491" s="23"/>
      <c r="BA491" s="23"/>
      <c r="BB491" s="23"/>
      <c r="BC491" s="23"/>
      <c r="BD491" s="23"/>
      <c r="BE491" s="23"/>
      <c r="BF491" s="23"/>
      <c r="BG491" s="23"/>
      <c r="BH491" s="23"/>
      <c r="BI491" s="23"/>
      <c r="BJ491" s="23"/>
      <c r="BK491" s="23"/>
      <c r="BL491" s="23"/>
      <c r="BM491" s="23"/>
      <c r="BN491" s="23"/>
      <c r="BO491" s="23"/>
      <c r="BP491" s="23"/>
      <c r="BQ491" s="23"/>
      <c r="BR491" s="23"/>
      <c r="BS491" s="23"/>
      <c r="BT491" s="23"/>
      <c r="BU491" s="23"/>
      <c r="BV491" s="23"/>
      <c r="BW491" s="23"/>
      <c r="BX491" s="23"/>
      <c r="BY491" s="23"/>
      <c r="BZ491" s="23"/>
      <c r="CA491" s="23"/>
      <c r="CB491" s="23"/>
      <c r="CC491" s="23"/>
      <c r="CD491" s="23"/>
      <c r="CE491" s="23"/>
      <c r="CF491" s="23"/>
      <c r="CG491" s="23"/>
      <c r="CH491" s="23"/>
      <c r="CI491" s="23"/>
      <c r="CJ491" s="23"/>
      <c r="CK491" s="23"/>
      <c r="CL491" s="23"/>
      <c r="CM491" s="23"/>
      <c r="CN491" s="23"/>
      <c r="CO491" s="23"/>
      <c r="CP491" s="23"/>
      <c r="CQ491" s="23"/>
      <c r="CR491" s="23"/>
      <c r="CS491" s="23"/>
      <c r="CT491" s="23"/>
      <c r="CU491" s="23"/>
      <c r="CV491" s="23"/>
      <c r="CW491" s="23"/>
      <c r="CX491" s="23"/>
      <c r="CY491" s="23"/>
      <c r="CZ491" s="23"/>
      <c r="DA491" s="23"/>
      <c r="DB491" s="23"/>
      <c r="DC491" s="23"/>
      <c r="DD491" s="23"/>
      <c r="DE491" s="23"/>
      <c r="DF491" s="23"/>
      <c r="DG491" s="23"/>
      <c r="DH491" s="23"/>
      <c r="DI491" s="23"/>
      <c r="DJ491" s="23"/>
      <c r="DK491" s="23"/>
      <c r="DL491" s="23"/>
      <c r="DM491" s="23"/>
      <c r="DN491" s="23"/>
      <c r="DO491" s="23"/>
      <c r="DP491" s="23"/>
      <c r="DQ491" s="23"/>
      <c r="DR491" s="23"/>
      <c r="DS491" s="23"/>
      <c r="DT491" s="23"/>
      <c r="DU491" s="23"/>
      <c r="DV491" s="23"/>
      <c r="DW491" s="23"/>
      <c r="DX491" s="23"/>
      <c r="DY491" s="23"/>
      <c r="DZ491" s="23"/>
      <c r="EA491" s="23"/>
      <c r="EB491" s="23"/>
      <c r="EC491" s="23"/>
      <c r="ED491" s="23"/>
      <c r="EE491" s="23"/>
      <c r="EF491" s="23"/>
      <c r="EG491" s="23"/>
      <c r="EH491" s="23"/>
      <c r="EI491" s="23"/>
      <c r="EJ491" s="23"/>
      <c r="EK491" s="23"/>
      <c r="EL491" s="23"/>
      <c r="EM491" s="23"/>
      <c r="EN491" s="23"/>
      <c r="EO491" s="23"/>
      <c r="EP491" s="23"/>
      <c r="EQ491" s="23"/>
      <c r="ER491" s="23"/>
      <c r="ES491" s="23"/>
      <c r="ET491" s="23"/>
      <c r="EU491" s="23"/>
      <c r="EV491" s="23"/>
      <c r="EW491" s="23"/>
      <c r="EX491" s="23"/>
      <c r="EY491" s="23"/>
      <c r="EZ491" s="23"/>
      <c r="FA491" s="23"/>
      <c r="FB491" s="23"/>
      <c r="FC491" s="23"/>
      <c r="FD491" s="23"/>
      <c r="FE491" s="23"/>
      <c r="FF491" s="23"/>
      <c r="FG491" s="23"/>
      <c r="FH491" s="23"/>
      <c r="FI491" s="23"/>
      <c r="FJ491" s="23"/>
      <c r="FK491" s="23"/>
      <c r="FL491" s="23"/>
      <c r="FM491" s="23"/>
      <c r="FN491" s="23"/>
      <c r="FO491" s="23"/>
      <c r="FP491" s="23"/>
      <c r="FQ491" s="23"/>
      <c r="FR491" s="23"/>
      <c r="FS491" s="23"/>
      <c r="FT491" s="23"/>
      <c r="FU491" s="23"/>
      <c r="FV491" s="23"/>
      <c r="FW491" s="23"/>
      <c r="FX491" s="23"/>
      <c r="FY491" s="23"/>
      <c r="FZ491" s="23"/>
      <c r="GA491" s="23"/>
      <c r="GB491" s="23"/>
      <c r="GC491" s="23"/>
      <c r="GD491" s="23"/>
      <c r="GE491" s="23"/>
      <c r="GF491" s="23"/>
      <c r="GG491" s="23"/>
      <c r="GH491" s="23"/>
      <c r="GI491" s="23"/>
      <c r="GJ491" s="23"/>
      <c r="GK491" s="23"/>
      <c r="GL491" s="23"/>
    </row>
    <row r="492" spans="1:194" ht="13">
      <c r="A492" s="23"/>
      <c r="B492" s="23"/>
      <c r="C492" s="23"/>
      <c r="D492" s="23"/>
      <c r="E492" s="23"/>
      <c r="F492" s="23"/>
      <c r="G492" s="23"/>
      <c r="H492" s="401"/>
      <c r="I492" s="401"/>
      <c r="J492" s="401"/>
      <c r="K492" s="401"/>
      <c r="L492" s="401"/>
      <c r="M492" s="438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  <c r="AL492" s="23"/>
      <c r="AM492" s="23"/>
      <c r="AN492" s="23"/>
      <c r="AO492" s="23"/>
      <c r="AP492" s="23"/>
      <c r="AQ492" s="23"/>
      <c r="AR492" s="23"/>
      <c r="AS492" s="23"/>
      <c r="AT492" s="23"/>
      <c r="AU492" s="23"/>
      <c r="AV492" s="23"/>
      <c r="AW492" s="23"/>
      <c r="AX492" s="23"/>
      <c r="AY492" s="23"/>
      <c r="AZ492" s="23"/>
      <c r="BA492" s="23"/>
      <c r="BB492" s="23"/>
      <c r="BC492" s="23"/>
      <c r="BD492" s="23"/>
      <c r="BE492" s="23"/>
      <c r="BF492" s="23"/>
      <c r="BG492" s="23"/>
      <c r="BH492" s="23"/>
      <c r="BI492" s="23"/>
      <c r="BJ492" s="23"/>
      <c r="BK492" s="23"/>
      <c r="BL492" s="23"/>
      <c r="BM492" s="23"/>
      <c r="BN492" s="23"/>
      <c r="BO492" s="23"/>
      <c r="BP492" s="23"/>
      <c r="BQ492" s="23"/>
      <c r="BR492" s="23"/>
      <c r="BS492" s="23"/>
      <c r="BT492" s="23"/>
      <c r="BU492" s="23"/>
      <c r="BV492" s="23"/>
      <c r="BW492" s="23"/>
      <c r="BX492" s="23"/>
      <c r="BY492" s="23"/>
      <c r="BZ492" s="23"/>
      <c r="CA492" s="23"/>
      <c r="CB492" s="23"/>
      <c r="CC492" s="23"/>
      <c r="CD492" s="23"/>
      <c r="CE492" s="23"/>
      <c r="CF492" s="23"/>
      <c r="CG492" s="23"/>
      <c r="CH492" s="23"/>
      <c r="CI492" s="23"/>
      <c r="CJ492" s="23"/>
      <c r="CK492" s="23"/>
      <c r="CL492" s="23"/>
      <c r="CM492" s="23"/>
      <c r="CN492" s="23"/>
      <c r="CO492" s="23"/>
      <c r="CP492" s="23"/>
      <c r="CQ492" s="23"/>
      <c r="CR492" s="23"/>
      <c r="CS492" s="23"/>
      <c r="CT492" s="23"/>
      <c r="CU492" s="23"/>
      <c r="CV492" s="23"/>
      <c r="CW492" s="23"/>
      <c r="CX492" s="23"/>
      <c r="CY492" s="23"/>
      <c r="CZ492" s="23"/>
      <c r="DA492" s="23"/>
      <c r="DB492" s="23"/>
      <c r="DC492" s="23"/>
      <c r="DD492" s="23"/>
      <c r="DE492" s="23"/>
      <c r="DF492" s="23"/>
      <c r="DG492" s="23"/>
      <c r="DH492" s="23"/>
      <c r="DI492" s="23"/>
      <c r="DJ492" s="23"/>
      <c r="DK492" s="23"/>
      <c r="DL492" s="23"/>
      <c r="DM492" s="23"/>
      <c r="DN492" s="23"/>
      <c r="DO492" s="23"/>
      <c r="DP492" s="23"/>
      <c r="DQ492" s="23"/>
      <c r="DR492" s="23"/>
      <c r="DS492" s="23"/>
      <c r="DT492" s="23"/>
      <c r="DU492" s="23"/>
      <c r="DV492" s="23"/>
      <c r="DW492" s="23"/>
      <c r="DX492" s="23"/>
      <c r="DY492" s="23"/>
      <c r="DZ492" s="23"/>
      <c r="EA492" s="23"/>
      <c r="EB492" s="23"/>
      <c r="EC492" s="23"/>
      <c r="ED492" s="23"/>
      <c r="EE492" s="23"/>
      <c r="EF492" s="23"/>
      <c r="EG492" s="23"/>
      <c r="EH492" s="23"/>
      <c r="EI492" s="23"/>
      <c r="EJ492" s="23"/>
      <c r="EK492" s="23"/>
      <c r="EL492" s="23"/>
      <c r="EM492" s="23"/>
      <c r="EN492" s="23"/>
      <c r="EO492" s="23"/>
      <c r="EP492" s="23"/>
      <c r="EQ492" s="23"/>
      <c r="ER492" s="23"/>
      <c r="ES492" s="23"/>
      <c r="ET492" s="23"/>
      <c r="EU492" s="23"/>
      <c r="EV492" s="23"/>
      <c r="EW492" s="23"/>
      <c r="EX492" s="23"/>
      <c r="EY492" s="23"/>
      <c r="EZ492" s="23"/>
      <c r="FA492" s="23"/>
      <c r="FB492" s="23"/>
      <c r="FC492" s="23"/>
      <c r="FD492" s="23"/>
      <c r="FE492" s="23"/>
      <c r="FF492" s="23"/>
      <c r="FG492" s="23"/>
      <c r="FH492" s="23"/>
      <c r="FI492" s="23"/>
      <c r="FJ492" s="23"/>
      <c r="FK492" s="23"/>
      <c r="FL492" s="23"/>
      <c r="FM492" s="23"/>
      <c r="FN492" s="23"/>
      <c r="FO492" s="23"/>
      <c r="FP492" s="23"/>
      <c r="FQ492" s="23"/>
      <c r="FR492" s="23"/>
      <c r="FS492" s="23"/>
      <c r="FT492" s="23"/>
      <c r="FU492" s="23"/>
      <c r="FV492" s="23"/>
      <c r="FW492" s="23"/>
      <c r="FX492" s="23"/>
      <c r="FY492" s="23"/>
      <c r="FZ492" s="23"/>
      <c r="GA492" s="23"/>
      <c r="GB492" s="23"/>
      <c r="GC492" s="23"/>
      <c r="GD492" s="23"/>
      <c r="GE492" s="23"/>
      <c r="GF492" s="23"/>
      <c r="GG492" s="23"/>
      <c r="GH492" s="23"/>
      <c r="GI492" s="23"/>
      <c r="GJ492" s="23"/>
      <c r="GK492" s="23"/>
      <c r="GL492" s="23"/>
    </row>
    <row r="493" spans="1:194" ht="13">
      <c r="A493" s="23"/>
      <c r="B493" s="23"/>
      <c r="C493" s="23"/>
      <c r="D493" s="23"/>
      <c r="E493" s="23"/>
      <c r="F493" s="23"/>
      <c r="G493" s="23"/>
      <c r="H493" s="401"/>
      <c r="I493" s="401"/>
      <c r="J493" s="401"/>
      <c r="K493" s="401"/>
      <c r="L493" s="401"/>
      <c r="M493" s="438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  <c r="AL493" s="23"/>
      <c r="AM493" s="23"/>
      <c r="AN493" s="23"/>
      <c r="AO493" s="23"/>
      <c r="AP493" s="23"/>
      <c r="AQ493" s="23"/>
      <c r="AR493" s="23"/>
      <c r="AS493" s="23"/>
      <c r="AT493" s="23"/>
      <c r="AU493" s="23"/>
      <c r="AV493" s="23"/>
      <c r="AW493" s="23"/>
      <c r="AX493" s="23"/>
      <c r="AY493" s="23"/>
      <c r="AZ493" s="23"/>
      <c r="BA493" s="23"/>
      <c r="BB493" s="23"/>
      <c r="BC493" s="23"/>
      <c r="BD493" s="23"/>
      <c r="BE493" s="23"/>
      <c r="BF493" s="23"/>
      <c r="BG493" s="23"/>
      <c r="BH493" s="23"/>
      <c r="BI493" s="23"/>
      <c r="BJ493" s="23"/>
      <c r="BK493" s="23"/>
      <c r="BL493" s="23"/>
      <c r="BM493" s="23"/>
      <c r="BN493" s="23"/>
      <c r="BO493" s="23"/>
      <c r="BP493" s="23"/>
      <c r="BQ493" s="23"/>
      <c r="BR493" s="23"/>
      <c r="BS493" s="23"/>
      <c r="BT493" s="23"/>
      <c r="BU493" s="23"/>
      <c r="BV493" s="23"/>
      <c r="BW493" s="23"/>
      <c r="BX493" s="23"/>
      <c r="BY493" s="23"/>
      <c r="BZ493" s="23"/>
      <c r="CA493" s="23"/>
      <c r="CB493" s="23"/>
      <c r="CC493" s="23"/>
      <c r="CD493" s="23"/>
      <c r="CE493" s="23"/>
      <c r="CF493" s="23"/>
      <c r="CG493" s="23"/>
      <c r="CH493" s="23"/>
      <c r="CI493" s="23"/>
      <c r="CJ493" s="23"/>
      <c r="CK493" s="23"/>
      <c r="CL493" s="23"/>
      <c r="CM493" s="23"/>
      <c r="CN493" s="23"/>
      <c r="CO493" s="23"/>
      <c r="CP493" s="23"/>
      <c r="CQ493" s="23"/>
      <c r="CR493" s="23"/>
      <c r="CS493" s="23"/>
      <c r="CT493" s="23"/>
      <c r="CU493" s="23"/>
      <c r="CV493" s="23"/>
      <c r="CW493" s="23"/>
      <c r="CX493" s="23"/>
      <c r="CY493" s="23"/>
      <c r="CZ493" s="23"/>
      <c r="DA493" s="23"/>
      <c r="DB493" s="23"/>
      <c r="DC493" s="23"/>
      <c r="DD493" s="23"/>
      <c r="DE493" s="23"/>
      <c r="DF493" s="23"/>
      <c r="DG493" s="23"/>
      <c r="DH493" s="23"/>
      <c r="DI493" s="23"/>
      <c r="DJ493" s="23"/>
      <c r="DK493" s="23"/>
      <c r="DL493" s="23"/>
      <c r="DM493" s="23"/>
      <c r="DN493" s="23"/>
      <c r="DO493" s="23"/>
      <c r="DP493" s="23"/>
      <c r="DQ493" s="23"/>
      <c r="DR493" s="23"/>
      <c r="DS493" s="23"/>
      <c r="DT493" s="23"/>
      <c r="DU493" s="23"/>
      <c r="DV493" s="23"/>
      <c r="DW493" s="23"/>
      <c r="DX493" s="23"/>
      <c r="DY493" s="23"/>
      <c r="DZ493" s="23"/>
      <c r="EA493" s="23"/>
      <c r="EB493" s="23"/>
      <c r="EC493" s="23"/>
      <c r="ED493" s="23"/>
      <c r="EE493" s="23"/>
      <c r="EF493" s="23"/>
      <c r="EG493" s="23"/>
      <c r="EH493" s="23"/>
      <c r="EI493" s="23"/>
      <c r="EJ493" s="23"/>
      <c r="EK493" s="23"/>
      <c r="EL493" s="23"/>
      <c r="EM493" s="23"/>
      <c r="EN493" s="23"/>
      <c r="EO493" s="23"/>
      <c r="EP493" s="23"/>
      <c r="EQ493" s="23"/>
      <c r="ER493" s="23"/>
      <c r="ES493" s="23"/>
      <c r="ET493" s="23"/>
      <c r="EU493" s="23"/>
      <c r="EV493" s="23"/>
      <c r="EW493" s="23"/>
      <c r="EX493" s="23"/>
      <c r="EY493" s="23"/>
      <c r="EZ493" s="23"/>
      <c r="FA493" s="23"/>
      <c r="FB493" s="23"/>
      <c r="FC493" s="23"/>
      <c r="FD493" s="23"/>
      <c r="FE493" s="23"/>
      <c r="FF493" s="23"/>
      <c r="FG493" s="23"/>
      <c r="FH493" s="23"/>
      <c r="FI493" s="23"/>
      <c r="FJ493" s="23"/>
      <c r="FK493" s="23"/>
      <c r="FL493" s="23"/>
      <c r="FM493" s="23"/>
      <c r="FN493" s="23"/>
      <c r="FO493" s="23"/>
      <c r="FP493" s="23"/>
      <c r="FQ493" s="23"/>
      <c r="FR493" s="23"/>
      <c r="FS493" s="23"/>
      <c r="FT493" s="23"/>
      <c r="FU493" s="23"/>
      <c r="FV493" s="23"/>
      <c r="FW493" s="23"/>
      <c r="FX493" s="23"/>
      <c r="FY493" s="23"/>
      <c r="FZ493" s="23"/>
      <c r="GA493" s="23"/>
      <c r="GB493" s="23"/>
      <c r="GC493" s="23"/>
      <c r="GD493" s="23"/>
      <c r="GE493" s="23"/>
      <c r="GF493" s="23"/>
      <c r="GG493" s="23"/>
      <c r="GH493" s="23"/>
      <c r="GI493" s="23"/>
      <c r="GJ493" s="23"/>
      <c r="GK493" s="23"/>
      <c r="GL493" s="23"/>
    </row>
    <row r="494" spans="1:194" ht="13">
      <c r="A494" s="23"/>
      <c r="B494" s="23"/>
      <c r="C494" s="23"/>
      <c r="D494" s="23"/>
      <c r="E494" s="23"/>
      <c r="F494" s="23"/>
      <c r="G494" s="23"/>
      <c r="H494" s="401"/>
      <c r="I494" s="401"/>
      <c r="J494" s="401"/>
      <c r="K494" s="401"/>
      <c r="L494" s="401"/>
      <c r="M494" s="438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  <c r="AL494" s="23"/>
      <c r="AM494" s="23"/>
      <c r="AN494" s="23"/>
      <c r="AO494" s="23"/>
      <c r="AP494" s="23"/>
      <c r="AQ494" s="23"/>
      <c r="AR494" s="23"/>
      <c r="AS494" s="23"/>
      <c r="AT494" s="23"/>
      <c r="AU494" s="23"/>
      <c r="AV494" s="23"/>
      <c r="AW494" s="23"/>
      <c r="AX494" s="23"/>
      <c r="AY494" s="23"/>
      <c r="AZ494" s="23"/>
      <c r="BA494" s="23"/>
      <c r="BB494" s="23"/>
      <c r="BC494" s="23"/>
      <c r="BD494" s="23"/>
      <c r="BE494" s="23"/>
      <c r="BF494" s="23"/>
      <c r="BG494" s="23"/>
      <c r="BH494" s="23"/>
      <c r="BI494" s="23"/>
      <c r="BJ494" s="23"/>
      <c r="BK494" s="23"/>
      <c r="BL494" s="23"/>
      <c r="BM494" s="23"/>
      <c r="BN494" s="23"/>
      <c r="BO494" s="23"/>
      <c r="BP494" s="23"/>
      <c r="BQ494" s="23"/>
      <c r="BR494" s="23"/>
      <c r="BS494" s="23"/>
      <c r="BT494" s="23"/>
      <c r="BU494" s="23"/>
      <c r="BV494" s="23"/>
      <c r="BW494" s="23"/>
      <c r="BX494" s="23"/>
      <c r="BY494" s="23"/>
      <c r="BZ494" s="23"/>
      <c r="CA494" s="23"/>
      <c r="CB494" s="23"/>
      <c r="CC494" s="23"/>
      <c r="CD494" s="23"/>
      <c r="CE494" s="23"/>
      <c r="CF494" s="23"/>
      <c r="CG494" s="23"/>
      <c r="CH494" s="23"/>
      <c r="CI494" s="23"/>
      <c r="CJ494" s="23"/>
      <c r="CK494" s="23"/>
      <c r="CL494" s="23"/>
      <c r="CM494" s="23"/>
      <c r="CN494" s="23"/>
      <c r="CO494" s="23"/>
      <c r="CP494" s="23"/>
      <c r="CQ494" s="23"/>
      <c r="CR494" s="23"/>
      <c r="CS494" s="23"/>
      <c r="CT494" s="23"/>
      <c r="CU494" s="23"/>
      <c r="CV494" s="23"/>
      <c r="CW494" s="23"/>
      <c r="CX494" s="23"/>
      <c r="CY494" s="23"/>
      <c r="CZ494" s="23"/>
      <c r="DA494" s="23"/>
      <c r="DB494" s="23"/>
      <c r="DC494" s="23"/>
      <c r="DD494" s="23"/>
      <c r="DE494" s="23"/>
      <c r="DF494" s="23"/>
      <c r="DG494" s="23"/>
      <c r="DH494" s="23"/>
      <c r="DI494" s="23"/>
      <c r="DJ494" s="23"/>
      <c r="DK494" s="23"/>
      <c r="DL494" s="23"/>
      <c r="DM494" s="23"/>
      <c r="DN494" s="23"/>
      <c r="DO494" s="23"/>
      <c r="DP494" s="23"/>
      <c r="DQ494" s="23"/>
      <c r="DR494" s="23"/>
      <c r="DS494" s="23"/>
      <c r="DT494" s="23"/>
      <c r="DU494" s="23"/>
      <c r="DV494" s="23"/>
      <c r="DW494" s="23"/>
      <c r="DX494" s="23"/>
      <c r="DY494" s="23"/>
      <c r="DZ494" s="23"/>
      <c r="EA494" s="23"/>
      <c r="EB494" s="23"/>
      <c r="EC494" s="23"/>
      <c r="ED494" s="23"/>
      <c r="EE494" s="23"/>
      <c r="EF494" s="23"/>
      <c r="EG494" s="23"/>
      <c r="EH494" s="23"/>
      <c r="EI494" s="23"/>
      <c r="EJ494" s="23"/>
      <c r="EK494" s="23"/>
      <c r="EL494" s="23"/>
      <c r="EM494" s="23"/>
      <c r="EN494" s="23"/>
      <c r="EO494" s="23"/>
      <c r="EP494" s="23"/>
      <c r="EQ494" s="23"/>
      <c r="ER494" s="23"/>
      <c r="ES494" s="23"/>
      <c r="ET494" s="23"/>
      <c r="EU494" s="23"/>
      <c r="EV494" s="23"/>
      <c r="EW494" s="23"/>
      <c r="EX494" s="23"/>
      <c r="EY494" s="23"/>
      <c r="EZ494" s="23"/>
      <c r="FA494" s="23"/>
      <c r="FB494" s="23"/>
      <c r="FC494" s="23"/>
      <c r="FD494" s="23"/>
      <c r="FE494" s="23"/>
      <c r="FF494" s="23"/>
      <c r="FG494" s="23"/>
      <c r="FH494" s="23"/>
      <c r="FI494" s="23"/>
      <c r="FJ494" s="23"/>
      <c r="FK494" s="23"/>
      <c r="FL494" s="23"/>
      <c r="FM494" s="23"/>
      <c r="FN494" s="23"/>
      <c r="FO494" s="23"/>
      <c r="FP494" s="23"/>
      <c r="FQ494" s="23"/>
      <c r="FR494" s="23"/>
      <c r="FS494" s="23"/>
      <c r="FT494" s="23"/>
      <c r="FU494" s="23"/>
      <c r="FV494" s="23"/>
      <c r="FW494" s="23"/>
      <c r="FX494" s="23"/>
      <c r="FY494" s="23"/>
      <c r="FZ494" s="23"/>
      <c r="GA494" s="23"/>
      <c r="GB494" s="23"/>
      <c r="GC494" s="23"/>
      <c r="GD494" s="23"/>
      <c r="GE494" s="23"/>
      <c r="GF494" s="23"/>
      <c r="GG494" s="23"/>
      <c r="GH494" s="23"/>
      <c r="GI494" s="23"/>
      <c r="GJ494" s="23"/>
      <c r="GK494" s="23"/>
      <c r="GL494" s="23"/>
    </row>
    <row r="495" spans="1:194" ht="13">
      <c r="A495" s="23"/>
      <c r="B495" s="23"/>
      <c r="C495" s="23"/>
      <c r="D495" s="23"/>
      <c r="E495" s="23"/>
      <c r="F495" s="23"/>
      <c r="G495" s="23"/>
      <c r="H495" s="401"/>
      <c r="I495" s="401"/>
      <c r="J495" s="401"/>
      <c r="K495" s="401"/>
      <c r="L495" s="401"/>
      <c r="M495" s="438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  <c r="AL495" s="23"/>
      <c r="AM495" s="23"/>
      <c r="AN495" s="23"/>
      <c r="AO495" s="23"/>
      <c r="AP495" s="23"/>
      <c r="AQ495" s="23"/>
      <c r="AR495" s="23"/>
      <c r="AS495" s="23"/>
      <c r="AT495" s="23"/>
      <c r="AU495" s="23"/>
      <c r="AV495" s="23"/>
      <c r="AW495" s="23"/>
      <c r="AX495" s="23"/>
      <c r="AY495" s="23"/>
      <c r="AZ495" s="23"/>
      <c r="BA495" s="23"/>
      <c r="BB495" s="23"/>
      <c r="BC495" s="23"/>
      <c r="BD495" s="23"/>
      <c r="BE495" s="23"/>
      <c r="BF495" s="23"/>
      <c r="BG495" s="23"/>
      <c r="BH495" s="23"/>
      <c r="BI495" s="23"/>
      <c r="BJ495" s="23"/>
      <c r="BK495" s="23"/>
      <c r="BL495" s="23"/>
      <c r="BM495" s="23"/>
      <c r="BN495" s="23"/>
      <c r="BO495" s="23"/>
      <c r="BP495" s="23"/>
      <c r="BQ495" s="23"/>
      <c r="BR495" s="23"/>
      <c r="BS495" s="23"/>
      <c r="BT495" s="23"/>
      <c r="BU495" s="23"/>
      <c r="BV495" s="23"/>
      <c r="BW495" s="23"/>
      <c r="BX495" s="23"/>
      <c r="BY495" s="23"/>
      <c r="BZ495" s="23"/>
      <c r="CA495" s="23"/>
      <c r="CB495" s="23"/>
      <c r="CC495" s="23"/>
      <c r="CD495" s="23"/>
      <c r="CE495" s="23"/>
      <c r="CF495" s="23"/>
      <c r="CG495" s="23"/>
      <c r="CH495" s="23"/>
      <c r="CI495" s="23"/>
      <c r="CJ495" s="23"/>
      <c r="CK495" s="23"/>
      <c r="CL495" s="23"/>
      <c r="CM495" s="23"/>
      <c r="CN495" s="23"/>
      <c r="CO495" s="23"/>
      <c r="CP495" s="23"/>
      <c r="CQ495" s="23"/>
      <c r="CR495" s="23"/>
      <c r="CS495" s="23"/>
      <c r="CT495" s="23"/>
      <c r="CU495" s="23"/>
      <c r="CV495" s="23"/>
      <c r="CW495" s="23"/>
      <c r="CX495" s="23"/>
      <c r="CY495" s="23"/>
      <c r="CZ495" s="23"/>
      <c r="DA495" s="23"/>
      <c r="DB495" s="23"/>
      <c r="DC495" s="23"/>
      <c r="DD495" s="23"/>
      <c r="DE495" s="23"/>
      <c r="DF495" s="23"/>
      <c r="DG495" s="23"/>
      <c r="DH495" s="23"/>
      <c r="DI495" s="23"/>
      <c r="DJ495" s="23"/>
      <c r="DK495" s="23"/>
      <c r="DL495" s="23"/>
      <c r="DM495" s="23"/>
      <c r="DN495" s="23"/>
      <c r="DO495" s="23"/>
      <c r="DP495" s="23"/>
      <c r="DQ495" s="23"/>
      <c r="DR495" s="23"/>
      <c r="DS495" s="23"/>
      <c r="DT495" s="23"/>
      <c r="DU495" s="23"/>
      <c r="DV495" s="23"/>
      <c r="DW495" s="23"/>
      <c r="DX495" s="23"/>
      <c r="DY495" s="23"/>
      <c r="DZ495" s="23"/>
      <c r="EA495" s="23"/>
      <c r="EB495" s="23"/>
      <c r="EC495" s="23"/>
      <c r="ED495" s="23"/>
      <c r="EE495" s="23"/>
      <c r="EF495" s="23"/>
      <c r="EG495" s="23"/>
      <c r="EH495" s="23"/>
      <c r="EI495" s="23"/>
      <c r="EJ495" s="23"/>
      <c r="EK495" s="23"/>
      <c r="EL495" s="23"/>
      <c r="EM495" s="23"/>
      <c r="EN495" s="23"/>
      <c r="EO495" s="23"/>
      <c r="EP495" s="23"/>
      <c r="EQ495" s="23"/>
      <c r="ER495" s="23"/>
      <c r="ES495" s="23"/>
      <c r="ET495" s="23"/>
      <c r="EU495" s="23"/>
      <c r="EV495" s="23"/>
      <c r="EW495" s="23"/>
      <c r="EX495" s="23"/>
      <c r="EY495" s="23"/>
      <c r="EZ495" s="23"/>
      <c r="FA495" s="23"/>
      <c r="FB495" s="23"/>
      <c r="FC495" s="23"/>
      <c r="FD495" s="23"/>
      <c r="FE495" s="23"/>
      <c r="FF495" s="23"/>
      <c r="FG495" s="23"/>
      <c r="FH495" s="23"/>
      <c r="FI495" s="23"/>
      <c r="FJ495" s="23"/>
      <c r="FK495" s="23"/>
      <c r="FL495" s="23"/>
      <c r="FM495" s="23"/>
      <c r="FN495" s="23"/>
      <c r="FO495" s="23"/>
      <c r="FP495" s="23"/>
      <c r="FQ495" s="23"/>
      <c r="FR495" s="23"/>
      <c r="FS495" s="23"/>
      <c r="FT495" s="23"/>
      <c r="FU495" s="23"/>
      <c r="FV495" s="23"/>
      <c r="FW495" s="23"/>
      <c r="FX495" s="23"/>
      <c r="FY495" s="23"/>
      <c r="FZ495" s="23"/>
      <c r="GA495" s="23"/>
      <c r="GB495" s="23"/>
      <c r="GC495" s="23"/>
      <c r="GD495" s="23"/>
      <c r="GE495" s="23"/>
      <c r="GF495" s="23"/>
      <c r="GG495" s="23"/>
      <c r="GH495" s="23"/>
      <c r="GI495" s="23"/>
      <c r="GJ495" s="23"/>
      <c r="GK495" s="23"/>
      <c r="GL495" s="23"/>
    </row>
    <row r="496" spans="1:194" ht="13">
      <c r="A496" s="23"/>
      <c r="B496" s="23"/>
      <c r="C496" s="23"/>
      <c r="D496" s="23"/>
      <c r="E496" s="23"/>
      <c r="F496" s="23"/>
      <c r="G496" s="23"/>
      <c r="H496" s="401"/>
      <c r="I496" s="401"/>
      <c r="J496" s="401"/>
      <c r="K496" s="401"/>
      <c r="L496" s="401"/>
      <c r="M496" s="438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  <c r="AL496" s="23"/>
      <c r="AM496" s="23"/>
      <c r="AN496" s="23"/>
      <c r="AO496" s="23"/>
      <c r="AP496" s="23"/>
      <c r="AQ496" s="23"/>
      <c r="AR496" s="23"/>
      <c r="AS496" s="23"/>
      <c r="AT496" s="23"/>
      <c r="AU496" s="23"/>
      <c r="AV496" s="23"/>
      <c r="AW496" s="23"/>
      <c r="AX496" s="23"/>
      <c r="AY496" s="23"/>
      <c r="AZ496" s="23"/>
      <c r="BA496" s="23"/>
      <c r="BB496" s="23"/>
      <c r="BC496" s="23"/>
      <c r="BD496" s="23"/>
      <c r="BE496" s="23"/>
      <c r="BF496" s="23"/>
      <c r="BG496" s="23"/>
      <c r="BH496" s="23"/>
      <c r="BI496" s="23"/>
      <c r="BJ496" s="23"/>
      <c r="BK496" s="23"/>
      <c r="BL496" s="23"/>
      <c r="BM496" s="23"/>
      <c r="BN496" s="23"/>
      <c r="BO496" s="23"/>
      <c r="BP496" s="23"/>
      <c r="BQ496" s="23"/>
      <c r="BR496" s="23"/>
      <c r="BS496" s="23"/>
      <c r="BT496" s="23"/>
      <c r="BU496" s="23"/>
      <c r="BV496" s="23"/>
      <c r="BW496" s="23"/>
      <c r="BX496" s="23"/>
      <c r="BY496" s="23"/>
      <c r="BZ496" s="23"/>
      <c r="CA496" s="23"/>
      <c r="CB496" s="23"/>
      <c r="CC496" s="23"/>
      <c r="CD496" s="23"/>
      <c r="CE496" s="23"/>
      <c r="CF496" s="23"/>
      <c r="CG496" s="23"/>
      <c r="CH496" s="23"/>
      <c r="CI496" s="23"/>
      <c r="CJ496" s="23"/>
      <c r="CK496" s="23"/>
      <c r="CL496" s="23"/>
      <c r="CM496" s="23"/>
      <c r="CN496" s="23"/>
      <c r="CO496" s="23"/>
      <c r="CP496" s="23"/>
      <c r="CQ496" s="23"/>
      <c r="CR496" s="23"/>
      <c r="CS496" s="23"/>
      <c r="CT496" s="23"/>
      <c r="CU496" s="23"/>
      <c r="CV496" s="23"/>
      <c r="CW496" s="23"/>
      <c r="CX496" s="23"/>
      <c r="CY496" s="23"/>
      <c r="CZ496" s="23"/>
      <c r="DA496" s="23"/>
      <c r="DB496" s="23"/>
      <c r="DC496" s="23"/>
      <c r="DD496" s="23"/>
      <c r="DE496" s="23"/>
      <c r="DF496" s="23"/>
      <c r="DG496" s="23"/>
      <c r="DH496" s="23"/>
      <c r="DI496" s="23"/>
      <c r="DJ496" s="23"/>
      <c r="DK496" s="23"/>
      <c r="DL496" s="23"/>
      <c r="DM496" s="23"/>
      <c r="DN496" s="23"/>
      <c r="DO496" s="23"/>
      <c r="DP496" s="23"/>
      <c r="DQ496" s="23"/>
      <c r="DR496" s="23"/>
      <c r="DS496" s="23"/>
      <c r="DT496" s="23"/>
      <c r="DU496" s="23"/>
      <c r="DV496" s="23"/>
      <c r="DW496" s="23"/>
      <c r="DX496" s="23"/>
      <c r="DY496" s="23"/>
      <c r="DZ496" s="23"/>
      <c r="EA496" s="23"/>
      <c r="EB496" s="23"/>
      <c r="EC496" s="23"/>
      <c r="ED496" s="23"/>
      <c r="EE496" s="23"/>
      <c r="EF496" s="23"/>
      <c r="EG496" s="23"/>
      <c r="EH496" s="23"/>
      <c r="EI496" s="23"/>
      <c r="EJ496" s="23"/>
      <c r="EK496" s="23"/>
      <c r="EL496" s="23"/>
      <c r="EM496" s="23"/>
      <c r="EN496" s="23"/>
      <c r="EO496" s="23"/>
      <c r="EP496" s="23"/>
      <c r="EQ496" s="23"/>
      <c r="ER496" s="23"/>
      <c r="ES496" s="23"/>
      <c r="ET496" s="23"/>
      <c r="EU496" s="23"/>
      <c r="EV496" s="23"/>
      <c r="EW496" s="23"/>
      <c r="EX496" s="23"/>
      <c r="EY496" s="23"/>
      <c r="EZ496" s="23"/>
      <c r="FA496" s="23"/>
      <c r="FB496" s="23"/>
      <c r="FC496" s="23"/>
      <c r="FD496" s="23"/>
      <c r="FE496" s="23"/>
      <c r="FF496" s="23"/>
      <c r="FG496" s="23"/>
      <c r="FH496" s="23"/>
      <c r="FI496" s="23"/>
      <c r="FJ496" s="23"/>
      <c r="FK496" s="23"/>
      <c r="FL496" s="23"/>
      <c r="FM496" s="23"/>
      <c r="FN496" s="23"/>
      <c r="FO496" s="23"/>
      <c r="FP496" s="23"/>
      <c r="FQ496" s="23"/>
      <c r="FR496" s="23"/>
      <c r="FS496" s="23"/>
      <c r="FT496" s="23"/>
      <c r="FU496" s="23"/>
      <c r="FV496" s="23"/>
      <c r="FW496" s="23"/>
      <c r="FX496" s="23"/>
      <c r="FY496" s="23"/>
      <c r="FZ496" s="23"/>
      <c r="GA496" s="23"/>
      <c r="GB496" s="23"/>
      <c r="GC496" s="23"/>
      <c r="GD496" s="23"/>
      <c r="GE496" s="23"/>
      <c r="GF496" s="23"/>
      <c r="GG496" s="23"/>
      <c r="GH496" s="23"/>
      <c r="GI496" s="23"/>
      <c r="GJ496" s="23"/>
      <c r="GK496" s="23"/>
      <c r="GL496" s="23"/>
    </row>
    <row r="497" spans="1:194" ht="13">
      <c r="A497" s="23"/>
      <c r="B497" s="23"/>
      <c r="C497" s="23"/>
      <c r="D497" s="23"/>
      <c r="E497" s="23"/>
      <c r="F497" s="23"/>
      <c r="G497" s="23"/>
      <c r="H497" s="401"/>
      <c r="I497" s="401"/>
      <c r="J497" s="401"/>
      <c r="K497" s="401"/>
      <c r="L497" s="401"/>
      <c r="M497" s="438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  <c r="AL497" s="23"/>
      <c r="AM497" s="23"/>
      <c r="AN497" s="23"/>
      <c r="AO497" s="23"/>
      <c r="AP497" s="23"/>
      <c r="AQ497" s="23"/>
      <c r="AR497" s="23"/>
      <c r="AS497" s="23"/>
      <c r="AT497" s="23"/>
      <c r="AU497" s="23"/>
      <c r="AV497" s="23"/>
      <c r="AW497" s="23"/>
      <c r="AX497" s="23"/>
      <c r="AY497" s="23"/>
      <c r="AZ497" s="23"/>
      <c r="BA497" s="23"/>
      <c r="BB497" s="23"/>
      <c r="BC497" s="23"/>
      <c r="BD497" s="23"/>
      <c r="BE497" s="23"/>
      <c r="BF497" s="23"/>
      <c r="BG497" s="23"/>
      <c r="BH497" s="23"/>
      <c r="BI497" s="23"/>
      <c r="BJ497" s="23"/>
      <c r="BK497" s="23"/>
      <c r="BL497" s="23"/>
      <c r="BM497" s="23"/>
      <c r="BN497" s="23"/>
      <c r="BO497" s="23"/>
      <c r="BP497" s="23"/>
      <c r="BQ497" s="23"/>
      <c r="BR497" s="23"/>
      <c r="BS497" s="23"/>
      <c r="BT497" s="23"/>
      <c r="BU497" s="23"/>
      <c r="BV497" s="23"/>
      <c r="BW497" s="23"/>
      <c r="BX497" s="23"/>
      <c r="BY497" s="23"/>
      <c r="BZ497" s="23"/>
      <c r="CA497" s="23"/>
      <c r="CB497" s="23"/>
      <c r="CC497" s="23"/>
      <c r="CD497" s="23"/>
      <c r="CE497" s="23"/>
      <c r="CF497" s="23"/>
      <c r="CG497" s="23"/>
      <c r="CH497" s="23"/>
      <c r="CI497" s="23"/>
      <c r="CJ497" s="23"/>
      <c r="CK497" s="23"/>
      <c r="CL497" s="23"/>
      <c r="CM497" s="23"/>
      <c r="CN497" s="23"/>
      <c r="CO497" s="23"/>
      <c r="CP497" s="23"/>
      <c r="CQ497" s="23"/>
      <c r="CR497" s="23"/>
      <c r="CS497" s="23"/>
      <c r="CT497" s="23"/>
      <c r="CU497" s="23"/>
      <c r="CV497" s="23"/>
      <c r="CW497" s="23"/>
      <c r="CX497" s="23"/>
      <c r="CY497" s="23"/>
      <c r="CZ497" s="23"/>
      <c r="DA497" s="23"/>
      <c r="DB497" s="23"/>
      <c r="DC497" s="23"/>
      <c r="DD497" s="23"/>
      <c r="DE497" s="23"/>
      <c r="DF497" s="23"/>
      <c r="DG497" s="23"/>
      <c r="DH497" s="23"/>
      <c r="DI497" s="23"/>
      <c r="DJ497" s="23"/>
      <c r="DK497" s="23"/>
      <c r="DL497" s="23"/>
      <c r="DM497" s="23"/>
      <c r="DN497" s="23"/>
      <c r="DO497" s="23"/>
      <c r="DP497" s="23"/>
      <c r="DQ497" s="23"/>
      <c r="DR497" s="23"/>
      <c r="DS497" s="23"/>
      <c r="DT497" s="23"/>
      <c r="DU497" s="23"/>
      <c r="DV497" s="23"/>
      <c r="DW497" s="23"/>
      <c r="DX497" s="23"/>
      <c r="DY497" s="23"/>
      <c r="DZ497" s="23"/>
      <c r="EA497" s="23"/>
      <c r="EB497" s="23"/>
      <c r="EC497" s="23"/>
      <c r="ED497" s="23"/>
      <c r="EE497" s="23"/>
      <c r="EF497" s="23"/>
      <c r="EG497" s="23"/>
      <c r="EH497" s="23"/>
      <c r="EI497" s="23"/>
      <c r="EJ497" s="23"/>
      <c r="EK497" s="23"/>
      <c r="EL497" s="23"/>
      <c r="EM497" s="23"/>
      <c r="EN497" s="23"/>
      <c r="EO497" s="23"/>
      <c r="EP497" s="23"/>
      <c r="EQ497" s="23"/>
      <c r="ER497" s="23"/>
      <c r="ES497" s="23"/>
      <c r="ET497" s="23"/>
      <c r="EU497" s="23"/>
      <c r="EV497" s="23"/>
      <c r="EW497" s="23"/>
      <c r="EX497" s="23"/>
      <c r="EY497" s="23"/>
      <c r="EZ497" s="23"/>
      <c r="FA497" s="23"/>
      <c r="FB497" s="23"/>
      <c r="FC497" s="23"/>
      <c r="FD497" s="23"/>
      <c r="FE497" s="23"/>
      <c r="FF497" s="23"/>
      <c r="FG497" s="23"/>
      <c r="FH497" s="23"/>
      <c r="FI497" s="23"/>
      <c r="FJ497" s="23"/>
      <c r="FK497" s="23"/>
      <c r="FL497" s="23"/>
      <c r="FM497" s="23"/>
      <c r="FN497" s="23"/>
      <c r="FO497" s="23"/>
      <c r="FP497" s="23"/>
      <c r="FQ497" s="23"/>
      <c r="FR497" s="23"/>
      <c r="FS497" s="23"/>
      <c r="FT497" s="23"/>
      <c r="FU497" s="23"/>
      <c r="FV497" s="23"/>
      <c r="FW497" s="23"/>
      <c r="FX497" s="23"/>
      <c r="FY497" s="23"/>
      <c r="FZ497" s="23"/>
      <c r="GA497" s="23"/>
      <c r="GB497" s="23"/>
      <c r="GC497" s="23"/>
      <c r="GD497" s="23"/>
      <c r="GE497" s="23"/>
      <c r="GF497" s="23"/>
      <c r="GG497" s="23"/>
      <c r="GH497" s="23"/>
      <c r="GI497" s="23"/>
      <c r="GJ497" s="23"/>
      <c r="GK497" s="23"/>
      <c r="GL497" s="23"/>
    </row>
    <row r="498" spans="1:194" ht="13">
      <c r="A498" s="23"/>
      <c r="B498" s="23"/>
      <c r="C498" s="23"/>
      <c r="D498" s="23"/>
      <c r="E498" s="23"/>
      <c r="F498" s="23"/>
      <c r="G498" s="23"/>
      <c r="H498" s="401"/>
      <c r="I498" s="401"/>
      <c r="J498" s="401"/>
      <c r="K498" s="401"/>
      <c r="L498" s="401"/>
      <c r="M498" s="438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  <c r="AL498" s="23"/>
      <c r="AM498" s="23"/>
      <c r="AN498" s="23"/>
      <c r="AO498" s="23"/>
      <c r="AP498" s="23"/>
      <c r="AQ498" s="23"/>
      <c r="AR498" s="23"/>
      <c r="AS498" s="23"/>
      <c r="AT498" s="23"/>
      <c r="AU498" s="23"/>
      <c r="AV498" s="23"/>
      <c r="AW498" s="23"/>
      <c r="AX498" s="23"/>
      <c r="AY498" s="23"/>
      <c r="AZ498" s="23"/>
      <c r="BA498" s="23"/>
      <c r="BB498" s="23"/>
      <c r="BC498" s="23"/>
      <c r="BD498" s="23"/>
      <c r="BE498" s="23"/>
      <c r="BF498" s="23"/>
      <c r="BG498" s="23"/>
      <c r="BH498" s="23"/>
      <c r="BI498" s="23"/>
      <c r="BJ498" s="23"/>
      <c r="BK498" s="23"/>
      <c r="BL498" s="23"/>
      <c r="BM498" s="23"/>
      <c r="BN498" s="23"/>
      <c r="BO498" s="23"/>
      <c r="BP498" s="23"/>
      <c r="BQ498" s="23"/>
      <c r="BR498" s="23"/>
      <c r="BS498" s="23"/>
      <c r="BT498" s="23"/>
      <c r="BU498" s="23"/>
      <c r="BV498" s="23"/>
      <c r="BW498" s="23"/>
      <c r="BX498" s="23"/>
      <c r="BY498" s="23"/>
      <c r="BZ498" s="23"/>
      <c r="CA498" s="23"/>
      <c r="CB498" s="23"/>
      <c r="CC498" s="23"/>
      <c r="CD498" s="23"/>
      <c r="CE498" s="23"/>
      <c r="CF498" s="23"/>
      <c r="CG498" s="23"/>
      <c r="CH498" s="23"/>
      <c r="CI498" s="23"/>
      <c r="CJ498" s="23"/>
      <c r="CK498" s="23"/>
      <c r="CL498" s="23"/>
      <c r="CM498" s="23"/>
      <c r="CN498" s="23"/>
      <c r="CO498" s="23"/>
      <c r="CP498" s="23"/>
      <c r="CQ498" s="23"/>
      <c r="CR498" s="23"/>
      <c r="CS498" s="23"/>
      <c r="CT498" s="23"/>
      <c r="CU498" s="23"/>
      <c r="CV498" s="23"/>
      <c r="CW498" s="23"/>
      <c r="CX498" s="23"/>
      <c r="CY498" s="23"/>
      <c r="CZ498" s="23"/>
      <c r="DA498" s="23"/>
      <c r="DB498" s="23"/>
      <c r="DC498" s="23"/>
      <c r="DD498" s="23"/>
      <c r="DE498" s="23"/>
      <c r="DF498" s="23"/>
      <c r="DG498" s="23"/>
      <c r="DH498" s="23"/>
      <c r="DI498" s="23"/>
      <c r="DJ498" s="23"/>
      <c r="DK498" s="23"/>
      <c r="DL498" s="23"/>
      <c r="DM498" s="23"/>
      <c r="DN498" s="23"/>
      <c r="DO498" s="23"/>
      <c r="DP498" s="23"/>
      <c r="DQ498" s="23"/>
      <c r="DR498" s="23"/>
      <c r="DS498" s="23"/>
      <c r="DT498" s="23"/>
      <c r="DU498" s="23"/>
      <c r="DV498" s="23"/>
      <c r="DW498" s="23"/>
      <c r="DX498" s="23"/>
      <c r="DY498" s="23"/>
      <c r="DZ498" s="23"/>
      <c r="EA498" s="23"/>
      <c r="EB498" s="23"/>
      <c r="EC498" s="23"/>
      <c r="ED498" s="23"/>
      <c r="EE498" s="23"/>
      <c r="EF498" s="23"/>
      <c r="EG498" s="23"/>
      <c r="EH498" s="23"/>
      <c r="EI498" s="23"/>
      <c r="EJ498" s="23"/>
      <c r="EK498" s="23"/>
      <c r="EL498" s="23"/>
      <c r="EM498" s="23"/>
      <c r="EN498" s="23"/>
      <c r="EO498" s="23"/>
      <c r="EP498" s="23"/>
      <c r="EQ498" s="23"/>
      <c r="ER498" s="23"/>
      <c r="ES498" s="23"/>
      <c r="ET498" s="23"/>
      <c r="EU498" s="23"/>
      <c r="EV498" s="23"/>
      <c r="EW498" s="23"/>
      <c r="EX498" s="23"/>
      <c r="EY498" s="23"/>
      <c r="EZ498" s="23"/>
      <c r="FA498" s="23"/>
      <c r="FB498" s="23"/>
      <c r="FC498" s="23"/>
      <c r="FD498" s="23"/>
      <c r="FE498" s="23"/>
      <c r="FF498" s="23"/>
      <c r="FG498" s="23"/>
      <c r="FH498" s="23"/>
      <c r="FI498" s="23"/>
      <c r="FJ498" s="23"/>
      <c r="FK498" s="23"/>
      <c r="FL498" s="23"/>
      <c r="FM498" s="23"/>
      <c r="FN498" s="23"/>
      <c r="FO498" s="23"/>
      <c r="FP498" s="23"/>
      <c r="FQ498" s="23"/>
      <c r="FR498" s="23"/>
      <c r="FS498" s="23"/>
      <c r="FT498" s="23"/>
      <c r="FU498" s="23"/>
      <c r="FV498" s="23"/>
      <c r="FW498" s="23"/>
      <c r="FX498" s="23"/>
      <c r="FY498" s="23"/>
      <c r="FZ498" s="23"/>
      <c r="GA498" s="23"/>
      <c r="GB498" s="23"/>
      <c r="GC498" s="23"/>
      <c r="GD498" s="23"/>
      <c r="GE498" s="23"/>
      <c r="GF498" s="23"/>
      <c r="GG498" s="23"/>
      <c r="GH498" s="23"/>
      <c r="GI498" s="23"/>
      <c r="GJ498" s="23"/>
      <c r="GK498" s="23"/>
      <c r="GL498" s="23"/>
    </row>
    <row r="499" spans="1:194" ht="13">
      <c r="A499" s="23"/>
      <c r="B499" s="23"/>
      <c r="C499" s="23"/>
      <c r="D499" s="23"/>
      <c r="E499" s="23"/>
      <c r="F499" s="23"/>
      <c r="G499" s="23"/>
      <c r="H499" s="401"/>
      <c r="I499" s="401"/>
      <c r="J499" s="401"/>
      <c r="K499" s="401"/>
      <c r="L499" s="401"/>
      <c r="M499" s="438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  <c r="AL499" s="23"/>
      <c r="AM499" s="23"/>
      <c r="AN499" s="23"/>
      <c r="AO499" s="23"/>
      <c r="AP499" s="23"/>
      <c r="AQ499" s="23"/>
      <c r="AR499" s="23"/>
      <c r="AS499" s="23"/>
      <c r="AT499" s="23"/>
      <c r="AU499" s="23"/>
      <c r="AV499" s="23"/>
      <c r="AW499" s="23"/>
      <c r="AX499" s="23"/>
      <c r="AY499" s="23"/>
      <c r="AZ499" s="23"/>
      <c r="BA499" s="23"/>
      <c r="BB499" s="23"/>
      <c r="BC499" s="23"/>
      <c r="BD499" s="23"/>
      <c r="BE499" s="23"/>
      <c r="BF499" s="23"/>
      <c r="BG499" s="23"/>
      <c r="BH499" s="23"/>
      <c r="BI499" s="23"/>
      <c r="BJ499" s="23"/>
      <c r="BK499" s="23"/>
      <c r="BL499" s="23"/>
      <c r="BM499" s="23"/>
      <c r="BN499" s="23"/>
      <c r="BO499" s="23"/>
      <c r="BP499" s="23"/>
      <c r="BQ499" s="23"/>
      <c r="BR499" s="23"/>
      <c r="BS499" s="23"/>
      <c r="BT499" s="23"/>
      <c r="BU499" s="23"/>
      <c r="BV499" s="23"/>
      <c r="BW499" s="23"/>
      <c r="BX499" s="23"/>
      <c r="BY499" s="23"/>
      <c r="BZ499" s="23"/>
      <c r="CA499" s="23"/>
      <c r="CB499" s="23"/>
      <c r="CC499" s="23"/>
      <c r="CD499" s="23"/>
      <c r="CE499" s="23"/>
      <c r="CF499" s="23"/>
      <c r="CG499" s="23"/>
      <c r="CH499" s="23"/>
      <c r="CI499" s="23"/>
      <c r="CJ499" s="23"/>
      <c r="CK499" s="23"/>
      <c r="CL499" s="23"/>
      <c r="CM499" s="23"/>
      <c r="CN499" s="23"/>
      <c r="CO499" s="23"/>
      <c r="CP499" s="23"/>
      <c r="CQ499" s="23"/>
      <c r="CR499" s="23"/>
      <c r="CS499" s="23"/>
      <c r="CT499" s="23"/>
      <c r="CU499" s="23"/>
      <c r="CV499" s="23"/>
      <c r="CW499" s="23"/>
      <c r="CX499" s="23"/>
      <c r="CY499" s="23"/>
      <c r="CZ499" s="23"/>
      <c r="DA499" s="23"/>
      <c r="DB499" s="23"/>
      <c r="DC499" s="23"/>
      <c r="DD499" s="23"/>
      <c r="DE499" s="23"/>
      <c r="DF499" s="23"/>
      <c r="DG499" s="23"/>
      <c r="DH499" s="23"/>
      <c r="DI499" s="23"/>
      <c r="DJ499" s="23"/>
      <c r="DK499" s="23"/>
      <c r="DL499" s="23"/>
      <c r="DM499" s="23"/>
      <c r="DN499" s="23"/>
      <c r="DO499" s="23"/>
      <c r="DP499" s="23"/>
      <c r="DQ499" s="23"/>
      <c r="DR499" s="23"/>
      <c r="DS499" s="23"/>
      <c r="DT499" s="23"/>
      <c r="DU499" s="23"/>
      <c r="DV499" s="23"/>
      <c r="DW499" s="23"/>
      <c r="DX499" s="23"/>
      <c r="DY499" s="23"/>
      <c r="DZ499" s="23"/>
      <c r="EA499" s="23"/>
      <c r="EB499" s="23"/>
      <c r="EC499" s="23"/>
      <c r="ED499" s="23"/>
      <c r="EE499" s="23"/>
      <c r="EF499" s="23"/>
      <c r="EG499" s="23"/>
      <c r="EH499" s="23"/>
      <c r="EI499" s="23"/>
      <c r="EJ499" s="23"/>
      <c r="EK499" s="23"/>
      <c r="EL499" s="23"/>
      <c r="EM499" s="23"/>
      <c r="EN499" s="23"/>
      <c r="EO499" s="23"/>
      <c r="EP499" s="23"/>
      <c r="EQ499" s="23"/>
      <c r="ER499" s="23"/>
      <c r="ES499" s="23"/>
      <c r="ET499" s="23"/>
      <c r="EU499" s="23"/>
      <c r="EV499" s="23"/>
      <c r="EW499" s="23"/>
      <c r="EX499" s="23"/>
      <c r="EY499" s="23"/>
      <c r="EZ499" s="23"/>
      <c r="FA499" s="23"/>
      <c r="FB499" s="23"/>
      <c r="FC499" s="23"/>
      <c r="FD499" s="23"/>
      <c r="FE499" s="23"/>
      <c r="FF499" s="23"/>
      <c r="FG499" s="23"/>
      <c r="FH499" s="23"/>
      <c r="FI499" s="23"/>
      <c r="FJ499" s="23"/>
      <c r="FK499" s="23"/>
      <c r="FL499" s="23"/>
      <c r="FM499" s="23"/>
      <c r="FN499" s="23"/>
      <c r="FO499" s="23"/>
      <c r="FP499" s="23"/>
      <c r="FQ499" s="23"/>
      <c r="FR499" s="23"/>
      <c r="FS499" s="23"/>
      <c r="FT499" s="23"/>
      <c r="FU499" s="23"/>
      <c r="FV499" s="23"/>
      <c r="FW499" s="23"/>
      <c r="FX499" s="23"/>
      <c r="FY499" s="23"/>
      <c r="FZ499" s="23"/>
      <c r="GA499" s="23"/>
      <c r="GB499" s="23"/>
      <c r="GC499" s="23"/>
      <c r="GD499" s="23"/>
      <c r="GE499" s="23"/>
      <c r="GF499" s="23"/>
      <c r="GG499" s="23"/>
      <c r="GH499" s="23"/>
      <c r="GI499" s="23"/>
      <c r="GJ499" s="23"/>
      <c r="GK499" s="23"/>
      <c r="GL499" s="23"/>
    </row>
    <row r="500" spans="1:194" ht="13">
      <c r="A500" s="23"/>
      <c r="B500" s="23"/>
      <c r="C500" s="23"/>
      <c r="D500" s="23"/>
      <c r="E500" s="23"/>
      <c r="F500" s="23"/>
      <c r="G500" s="23"/>
      <c r="H500" s="401"/>
      <c r="I500" s="401"/>
      <c r="J500" s="401"/>
      <c r="K500" s="401"/>
      <c r="L500" s="401"/>
      <c r="M500" s="438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  <c r="AL500" s="23"/>
      <c r="AM500" s="23"/>
      <c r="AN500" s="23"/>
      <c r="AO500" s="23"/>
      <c r="AP500" s="23"/>
      <c r="AQ500" s="23"/>
      <c r="AR500" s="23"/>
      <c r="AS500" s="23"/>
      <c r="AT500" s="23"/>
      <c r="AU500" s="23"/>
      <c r="AV500" s="23"/>
      <c r="AW500" s="23"/>
      <c r="AX500" s="23"/>
      <c r="AY500" s="23"/>
      <c r="AZ500" s="23"/>
      <c r="BA500" s="23"/>
      <c r="BB500" s="23"/>
      <c r="BC500" s="23"/>
      <c r="BD500" s="23"/>
      <c r="BE500" s="23"/>
      <c r="BF500" s="23"/>
      <c r="BG500" s="23"/>
      <c r="BH500" s="23"/>
      <c r="BI500" s="23"/>
      <c r="BJ500" s="23"/>
      <c r="BK500" s="23"/>
      <c r="BL500" s="23"/>
      <c r="BM500" s="23"/>
      <c r="BN500" s="23"/>
      <c r="BO500" s="23"/>
      <c r="BP500" s="23"/>
      <c r="BQ500" s="23"/>
      <c r="BR500" s="23"/>
      <c r="BS500" s="23"/>
      <c r="BT500" s="23"/>
      <c r="BU500" s="23"/>
      <c r="BV500" s="23"/>
      <c r="BW500" s="23"/>
      <c r="BX500" s="23"/>
      <c r="BY500" s="23"/>
      <c r="BZ500" s="23"/>
      <c r="CA500" s="23"/>
      <c r="CB500" s="23"/>
      <c r="CC500" s="23"/>
      <c r="CD500" s="23"/>
      <c r="CE500" s="23"/>
      <c r="CF500" s="23"/>
      <c r="CG500" s="23"/>
      <c r="CH500" s="23"/>
      <c r="CI500" s="23"/>
      <c r="CJ500" s="23"/>
      <c r="CK500" s="23"/>
      <c r="CL500" s="23"/>
      <c r="CM500" s="23"/>
      <c r="CN500" s="23"/>
      <c r="CO500" s="23"/>
      <c r="CP500" s="23"/>
      <c r="CQ500" s="23"/>
      <c r="CR500" s="23"/>
      <c r="CS500" s="23"/>
      <c r="CT500" s="23"/>
      <c r="CU500" s="23"/>
      <c r="CV500" s="23"/>
      <c r="CW500" s="23"/>
      <c r="CX500" s="23"/>
      <c r="CY500" s="23"/>
      <c r="CZ500" s="23"/>
      <c r="DA500" s="23"/>
      <c r="DB500" s="23"/>
      <c r="DC500" s="23"/>
      <c r="DD500" s="23"/>
      <c r="DE500" s="23"/>
      <c r="DF500" s="23"/>
      <c r="DG500" s="23"/>
      <c r="DH500" s="23"/>
      <c r="DI500" s="23"/>
      <c r="DJ500" s="23"/>
      <c r="DK500" s="23"/>
      <c r="DL500" s="23"/>
      <c r="DM500" s="23"/>
      <c r="DN500" s="23"/>
      <c r="DO500" s="23"/>
      <c r="DP500" s="23"/>
      <c r="DQ500" s="23"/>
      <c r="DR500" s="23"/>
      <c r="DS500" s="23"/>
      <c r="DT500" s="23"/>
      <c r="DU500" s="23"/>
      <c r="DV500" s="23"/>
      <c r="DW500" s="23"/>
      <c r="DX500" s="23"/>
      <c r="DY500" s="23"/>
      <c r="DZ500" s="23"/>
      <c r="EA500" s="23"/>
      <c r="EB500" s="23"/>
      <c r="EC500" s="23"/>
      <c r="ED500" s="23"/>
      <c r="EE500" s="23"/>
      <c r="EF500" s="23"/>
      <c r="EG500" s="23"/>
      <c r="EH500" s="23"/>
      <c r="EI500" s="23"/>
      <c r="EJ500" s="23"/>
      <c r="EK500" s="23"/>
      <c r="EL500" s="23"/>
      <c r="EM500" s="23"/>
      <c r="EN500" s="23"/>
      <c r="EO500" s="23"/>
      <c r="EP500" s="23"/>
      <c r="EQ500" s="23"/>
      <c r="ER500" s="23"/>
      <c r="ES500" s="23"/>
      <c r="ET500" s="23"/>
      <c r="EU500" s="23"/>
      <c r="EV500" s="23"/>
      <c r="EW500" s="23"/>
      <c r="EX500" s="23"/>
      <c r="EY500" s="23"/>
      <c r="EZ500" s="23"/>
      <c r="FA500" s="23"/>
      <c r="FB500" s="23"/>
      <c r="FC500" s="23"/>
      <c r="FD500" s="23"/>
      <c r="FE500" s="23"/>
      <c r="FF500" s="23"/>
      <c r="FG500" s="23"/>
      <c r="FH500" s="23"/>
      <c r="FI500" s="23"/>
      <c r="FJ500" s="23"/>
      <c r="FK500" s="23"/>
      <c r="FL500" s="23"/>
      <c r="FM500" s="23"/>
      <c r="FN500" s="23"/>
      <c r="FO500" s="23"/>
      <c r="FP500" s="23"/>
      <c r="FQ500" s="23"/>
      <c r="FR500" s="23"/>
      <c r="FS500" s="23"/>
      <c r="FT500" s="23"/>
      <c r="FU500" s="23"/>
      <c r="FV500" s="23"/>
      <c r="FW500" s="23"/>
      <c r="FX500" s="23"/>
      <c r="FY500" s="23"/>
      <c r="FZ500" s="23"/>
      <c r="GA500" s="23"/>
      <c r="GB500" s="23"/>
      <c r="GC500" s="23"/>
      <c r="GD500" s="23"/>
      <c r="GE500" s="23"/>
      <c r="GF500" s="23"/>
      <c r="GG500" s="23"/>
      <c r="GH500" s="23"/>
      <c r="GI500" s="23"/>
      <c r="GJ500" s="23"/>
      <c r="GK500" s="23"/>
      <c r="GL500" s="23"/>
    </row>
    <row r="501" spans="1:194" ht="13">
      <c r="A501" s="23"/>
      <c r="B501" s="23"/>
      <c r="C501" s="23"/>
      <c r="D501" s="23"/>
      <c r="E501" s="23"/>
      <c r="F501" s="23"/>
      <c r="G501" s="23"/>
      <c r="H501" s="401"/>
      <c r="I501" s="401"/>
      <c r="J501" s="401"/>
      <c r="K501" s="401"/>
      <c r="L501" s="401"/>
      <c r="M501" s="438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  <c r="AL501" s="23"/>
      <c r="AM501" s="23"/>
      <c r="AN501" s="23"/>
      <c r="AO501" s="23"/>
      <c r="AP501" s="23"/>
      <c r="AQ501" s="23"/>
      <c r="AR501" s="23"/>
      <c r="AS501" s="23"/>
      <c r="AT501" s="23"/>
      <c r="AU501" s="23"/>
      <c r="AV501" s="23"/>
      <c r="AW501" s="23"/>
      <c r="AX501" s="23"/>
      <c r="AY501" s="23"/>
      <c r="AZ501" s="23"/>
      <c r="BA501" s="23"/>
      <c r="BB501" s="23"/>
      <c r="BC501" s="23"/>
      <c r="BD501" s="23"/>
      <c r="BE501" s="23"/>
      <c r="BF501" s="23"/>
      <c r="BG501" s="23"/>
      <c r="BH501" s="23"/>
      <c r="BI501" s="23"/>
      <c r="BJ501" s="23"/>
      <c r="BK501" s="23"/>
      <c r="BL501" s="23"/>
      <c r="BM501" s="23"/>
      <c r="BN501" s="23"/>
      <c r="BO501" s="23"/>
      <c r="BP501" s="23"/>
      <c r="BQ501" s="23"/>
      <c r="BR501" s="23"/>
      <c r="BS501" s="23"/>
      <c r="BT501" s="23"/>
      <c r="BU501" s="23"/>
      <c r="BV501" s="23"/>
      <c r="BW501" s="23"/>
      <c r="BX501" s="23"/>
      <c r="BY501" s="23"/>
      <c r="BZ501" s="23"/>
      <c r="CA501" s="23"/>
      <c r="CB501" s="23"/>
      <c r="CC501" s="23"/>
      <c r="CD501" s="23"/>
      <c r="CE501" s="23"/>
      <c r="CF501" s="23"/>
      <c r="CG501" s="23"/>
      <c r="CH501" s="23"/>
      <c r="CI501" s="23"/>
      <c r="CJ501" s="23"/>
      <c r="CK501" s="23"/>
      <c r="CL501" s="23"/>
      <c r="CM501" s="23"/>
      <c r="CN501" s="23"/>
      <c r="CO501" s="23"/>
      <c r="CP501" s="23"/>
      <c r="CQ501" s="23"/>
      <c r="CR501" s="23"/>
      <c r="CS501" s="23"/>
      <c r="CT501" s="23"/>
      <c r="CU501" s="23"/>
      <c r="CV501" s="23"/>
      <c r="CW501" s="23"/>
      <c r="CX501" s="23"/>
      <c r="CY501" s="23"/>
      <c r="CZ501" s="23"/>
      <c r="DA501" s="23"/>
      <c r="DB501" s="23"/>
      <c r="DC501" s="23"/>
      <c r="DD501" s="23"/>
      <c r="DE501" s="23"/>
      <c r="DF501" s="23"/>
      <c r="DG501" s="23"/>
      <c r="DH501" s="23"/>
      <c r="DI501" s="23"/>
      <c r="DJ501" s="23"/>
      <c r="DK501" s="23"/>
      <c r="DL501" s="23"/>
      <c r="DM501" s="23"/>
      <c r="DN501" s="23"/>
      <c r="DO501" s="23"/>
      <c r="DP501" s="23"/>
      <c r="DQ501" s="23"/>
      <c r="DR501" s="23"/>
      <c r="DS501" s="23"/>
      <c r="DT501" s="23"/>
      <c r="DU501" s="23"/>
      <c r="DV501" s="23"/>
      <c r="DW501" s="23"/>
      <c r="DX501" s="23"/>
      <c r="DY501" s="23"/>
      <c r="DZ501" s="23"/>
      <c r="EA501" s="23"/>
      <c r="EB501" s="23"/>
      <c r="EC501" s="23"/>
      <c r="ED501" s="23"/>
      <c r="EE501" s="23"/>
      <c r="EF501" s="23"/>
      <c r="EG501" s="23"/>
      <c r="EH501" s="23"/>
      <c r="EI501" s="23"/>
      <c r="EJ501" s="23"/>
      <c r="EK501" s="23"/>
      <c r="EL501" s="23"/>
      <c r="EM501" s="23"/>
      <c r="EN501" s="23"/>
      <c r="EO501" s="23"/>
      <c r="EP501" s="23"/>
      <c r="EQ501" s="23"/>
      <c r="ER501" s="23"/>
      <c r="ES501" s="23"/>
      <c r="ET501" s="23"/>
      <c r="EU501" s="23"/>
      <c r="EV501" s="23"/>
      <c r="EW501" s="23"/>
      <c r="EX501" s="23"/>
      <c r="EY501" s="23"/>
      <c r="EZ501" s="23"/>
      <c r="FA501" s="23"/>
      <c r="FB501" s="23"/>
      <c r="FC501" s="23"/>
      <c r="FD501" s="23"/>
      <c r="FE501" s="23"/>
      <c r="FF501" s="23"/>
      <c r="FG501" s="23"/>
      <c r="FH501" s="23"/>
      <c r="FI501" s="23"/>
      <c r="FJ501" s="23"/>
      <c r="FK501" s="23"/>
      <c r="FL501" s="23"/>
      <c r="FM501" s="23"/>
      <c r="FN501" s="23"/>
      <c r="FO501" s="23"/>
      <c r="FP501" s="23"/>
      <c r="FQ501" s="23"/>
      <c r="FR501" s="23"/>
      <c r="FS501" s="23"/>
      <c r="FT501" s="23"/>
      <c r="FU501" s="23"/>
      <c r="FV501" s="23"/>
      <c r="FW501" s="23"/>
      <c r="FX501" s="23"/>
      <c r="FY501" s="23"/>
      <c r="FZ501" s="23"/>
      <c r="GA501" s="23"/>
      <c r="GB501" s="23"/>
      <c r="GC501" s="23"/>
      <c r="GD501" s="23"/>
      <c r="GE501" s="23"/>
      <c r="GF501" s="23"/>
      <c r="GG501" s="23"/>
      <c r="GH501" s="23"/>
      <c r="GI501" s="23"/>
      <c r="GJ501" s="23"/>
      <c r="GK501" s="23"/>
      <c r="GL501" s="23"/>
    </row>
    <row r="502" spans="1:194" ht="13">
      <c r="A502" s="23"/>
      <c r="B502" s="23"/>
      <c r="C502" s="23"/>
      <c r="D502" s="23"/>
      <c r="E502" s="23"/>
      <c r="F502" s="23"/>
      <c r="G502" s="23"/>
      <c r="H502" s="401"/>
      <c r="I502" s="401"/>
      <c r="J502" s="401"/>
      <c r="K502" s="401"/>
      <c r="L502" s="401"/>
      <c r="M502" s="438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  <c r="AL502" s="23"/>
      <c r="AM502" s="23"/>
      <c r="AN502" s="23"/>
      <c r="AO502" s="23"/>
      <c r="AP502" s="23"/>
      <c r="AQ502" s="23"/>
      <c r="AR502" s="23"/>
      <c r="AS502" s="23"/>
      <c r="AT502" s="23"/>
      <c r="AU502" s="23"/>
      <c r="AV502" s="23"/>
      <c r="AW502" s="23"/>
      <c r="AX502" s="23"/>
      <c r="AY502" s="23"/>
      <c r="AZ502" s="23"/>
      <c r="BA502" s="23"/>
      <c r="BB502" s="23"/>
      <c r="BC502" s="23"/>
      <c r="BD502" s="23"/>
      <c r="BE502" s="23"/>
      <c r="BF502" s="23"/>
      <c r="BG502" s="23"/>
      <c r="BH502" s="23"/>
      <c r="BI502" s="23"/>
      <c r="BJ502" s="23"/>
      <c r="BK502" s="23"/>
      <c r="BL502" s="23"/>
      <c r="BM502" s="23"/>
      <c r="BN502" s="23"/>
      <c r="BO502" s="23"/>
      <c r="BP502" s="23"/>
      <c r="BQ502" s="23"/>
      <c r="BR502" s="23"/>
      <c r="BS502" s="23"/>
      <c r="BT502" s="23"/>
      <c r="BU502" s="23"/>
      <c r="BV502" s="23"/>
      <c r="BW502" s="23"/>
      <c r="BX502" s="23"/>
      <c r="BY502" s="23"/>
      <c r="BZ502" s="23"/>
      <c r="CA502" s="23"/>
      <c r="CB502" s="23"/>
      <c r="CC502" s="23"/>
      <c r="CD502" s="23"/>
      <c r="CE502" s="23"/>
      <c r="CF502" s="23"/>
      <c r="CG502" s="23"/>
      <c r="CH502" s="23"/>
      <c r="CI502" s="23"/>
      <c r="CJ502" s="23"/>
      <c r="CK502" s="23"/>
      <c r="CL502" s="23"/>
      <c r="CM502" s="23"/>
      <c r="CN502" s="23"/>
      <c r="CO502" s="23"/>
      <c r="CP502" s="23"/>
      <c r="CQ502" s="23"/>
      <c r="CR502" s="23"/>
      <c r="CS502" s="23"/>
      <c r="CT502" s="23"/>
      <c r="CU502" s="23"/>
      <c r="CV502" s="23"/>
      <c r="CW502" s="23"/>
      <c r="CX502" s="23"/>
      <c r="CY502" s="23"/>
      <c r="CZ502" s="23"/>
      <c r="DA502" s="23"/>
      <c r="DB502" s="23"/>
      <c r="DC502" s="23"/>
      <c r="DD502" s="23"/>
      <c r="DE502" s="23"/>
      <c r="DF502" s="23"/>
      <c r="DG502" s="23"/>
      <c r="DH502" s="23"/>
      <c r="DI502" s="23"/>
      <c r="DJ502" s="23"/>
      <c r="DK502" s="23"/>
      <c r="DL502" s="23"/>
      <c r="DM502" s="23"/>
      <c r="DN502" s="23"/>
      <c r="DO502" s="23"/>
      <c r="DP502" s="23"/>
      <c r="DQ502" s="23"/>
      <c r="DR502" s="23"/>
      <c r="DS502" s="23"/>
      <c r="DT502" s="23"/>
      <c r="DU502" s="23"/>
      <c r="DV502" s="23"/>
      <c r="DW502" s="23"/>
      <c r="DX502" s="23"/>
      <c r="DY502" s="23"/>
      <c r="DZ502" s="23"/>
      <c r="EA502" s="23"/>
      <c r="EB502" s="23"/>
      <c r="EC502" s="23"/>
      <c r="ED502" s="23"/>
      <c r="EE502" s="23"/>
      <c r="EF502" s="23"/>
      <c r="EG502" s="23"/>
      <c r="EH502" s="23"/>
      <c r="EI502" s="23"/>
      <c r="EJ502" s="23"/>
      <c r="EK502" s="23"/>
      <c r="EL502" s="23"/>
      <c r="EM502" s="23"/>
      <c r="EN502" s="23"/>
      <c r="EO502" s="23"/>
      <c r="EP502" s="23"/>
      <c r="EQ502" s="23"/>
      <c r="ER502" s="23"/>
      <c r="ES502" s="23"/>
      <c r="ET502" s="23"/>
      <c r="EU502" s="23"/>
      <c r="EV502" s="23"/>
      <c r="EW502" s="23"/>
      <c r="EX502" s="23"/>
      <c r="EY502" s="23"/>
      <c r="EZ502" s="23"/>
      <c r="FA502" s="23"/>
      <c r="FB502" s="23"/>
      <c r="FC502" s="23"/>
      <c r="FD502" s="23"/>
      <c r="FE502" s="23"/>
      <c r="FF502" s="23"/>
      <c r="FG502" s="23"/>
      <c r="FH502" s="23"/>
      <c r="FI502" s="23"/>
      <c r="FJ502" s="23"/>
      <c r="FK502" s="23"/>
      <c r="FL502" s="23"/>
      <c r="FM502" s="23"/>
      <c r="FN502" s="23"/>
      <c r="FO502" s="23"/>
      <c r="FP502" s="23"/>
      <c r="FQ502" s="23"/>
      <c r="FR502" s="23"/>
      <c r="FS502" s="23"/>
      <c r="FT502" s="23"/>
      <c r="FU502" s="23"/>
      <c r="FV502" s="23"/>
      <c r="FW502" s="23"/>
      <c r="FX502" s="23"/>
      <c r="FY502" s="23"/>
      <c r="FZ502" s="23"/>
      <c r="GA502" s="23"/>
      <c r="GB502" s="23"/>
      <c r="GC502" s="23"/>
      <c r="GD502" s="23"/>
      <c r="GE502" s="23"/>
      <c r="GF502" s="23"/>
      <c r="GG502" s="23"/>
      <c r="GH502" s="23"/>
      <c r="GI502" s="23"/>
      <c r="GJ502" s="23"/>
      <c r="GK502" s="23"/>
      <c r="GL502" s="23"/>
    </row>
    <row r="503" spans="1:194" ht="13">
      <c r="A503" s="23"/>
      <c r="B503" s="23"/>
      <c r="C503" s="23"/>
      <c r="D503" s="23"/>
      <c r="E503" s="23"/>
      <c r="F503" s="23"/>
      <c r="G503" s="23"/>
      <c r="H503" s="401"/>
      <c r="I503" s="401"/>
      <c r="J503" s="401"/>
      <c r="K503" s="401"/>
      <c r="L503" s="401"/>
      <c r="M503" s="438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  <c r="AL503" s="23"/>
      <c r="AM503" s="23"/>
      <c r="AN503" s="23"/>
      <c r="AO503" s="23"/>
      <c r="AP503" s="23"/>
      <c r="AQ503" s="23"/>
      <c r="AR503" s="23"/>
      <c r="AS503" s="23"/>
      <c r="AT503" s="23"/>
      <c r="AU503" s="23"/>
      <c r="AV503" s="23"/>
      <c r="AW503" s="23"/>
      <c r="AX503" s="23"/>
      <c r="AY503" s="23"/>
      <c r="AZ503" s="23"/>
      <c r="BA503" s="23"/>
      <c r="BB503" s="23"/>
      <c r="BC503" s="23"/>
      <c r="BD503" s="23"/>
      <c r="BE503" s="23"/>
      <c r="BF503" s="23"/>
      <c r="BG503" s="23"/>
      <c r="BH503" s="23"/>
      <c r="BI503" s="23"/>
      <c r="BJ503" s="23"/>
      <c r="BK503" s="23"/>
      <c r="BL503" s="23"/>
      <c r="BM503" s="23"/>
      <c r="BN503" s="23"/>
      <c r="BO503" s="23"/>
      <c r="BP503" s="23"/>
      <c r="BQ503" s="23"/>
      <c r="BR503" s="23"/>
      <c r="BS503" s="23"/>
      <c r="BT503" s="23"/>
      <c r="BU503" s="23"/>
      <c r="BV503" s="23"/>
      <c r="BW503" s="23"/>
      <c r="BX503" s="23"/>
      <c r="BY503" s="23"/>
      <c r="BZ503" s="23"/>
      <c r="CA503" s="23"/>
      <c r="CB503" s="23"/>
      <c r="CC503" s="23"/>
      <c r="CD503" s="23"/>
      <c r="CE503" s="23"/>
      <c r="CF503" s="23"/>
      <c r="CG503" s="23"/>
      <c r="CH503" s="23"/>
      <c r="CI503" s="23"/>
      <c r="CJ503" s="23"/>
      <c r="CK503" s="23"/>
      <c r="CL503" s="23"/>
      <c r="CM503" s="23"/>
      <c r="CN503" s="23"/>
      <c r="CO503" s="23"/>
      <c r="CP503" s="23"/>
      <c r="CQ503" s="23"/>
      <c r="CR503" s="23"/>
      <c r="CS503" s="23"/>
      <c r="CT503" s="23"/>
      <c r="CU503" s="23"/>
      <c r="CV503" s="23"/>
      <c r="CW503" s="23"/>
      <c r="CX503" s="23"/>
      <c r="CY503" s="23"/>
      <c r="CZ503" s="23"/>
      <c r="DA503" s="23"/>
      <c r="DB503" s="23"/>
      <c r="DC503" s="23"/>
      <c r="DD503" s="23"/>
      <c r="DE503" s="23"/>
      <c r="DF503" s="23"/>
      <c r="DG503" s="23"/>
      <c r="DH503" s="23"/>
      <c r="DI503" s="23"/>
      <c r="DJ503" s="23"/>
      <c r="DK503" s="23"/>
      <c r="DL503" s="23"/>
      <c r="DM503" s="23"/>
      <c r="DN503" s="23"/>
      <c r="DO503" s="23"/>
      <c r="DP503" s="23"/>
      <c r="DQ503" s="23"/>
      <c r="DR503" s="23"/>
      <c r="DS503" s="23"/>
      <c r="DT503" s="23"/>
      <c r="DU503" s="23"/>
      <c r="DV503" s="23"/>
      <c r="DW503" s="23"/>
      <c r="DX503" s="23"/>
      <c r="DY503" s="23"/>
      <c r="DZ503" s="23"/>
      <c r="EA503" s="23"/>
      <c r="EB503" s="23"/>
      <c r="EC503" s="23"/>
      <c r="ED503" s="23"/>
      <c r="EE503" s="23"/>
      <c r="EF503" s="23"/>
      <c r="EG503" s="23"/>
      <c r="EH503" s="23"/>
      <c r="EI503" s="23"/>
      <c r="EJ503" s="23"/>
      <c r="EK503" s="23"/>
      <c r="EL503" s="23"/>
      <c r="EM503" s="23"/>
      <c r="EN503" s="23"/>
      <c r="EO503" s="23"/>
      <c r="EP503" s="23"/>
      <c r="EQ503" s="23"/>
      <c r="ER503" s="23"/>
      <c r="ES503" s="23"/>
      <c r="ET503" s="23"/>
      <c r="EU503" s="23"/>
      <c r="EV503" s="23"/>
      <c r="EW503" s="23"/>
      <c r="EX503" s="23"/>
      <c r="EY503" s="23"/>
      <c r="EZ503" s="23"/>
      <c r="FA503" s="23"/>
      <c r="FB503" s="23"/>
      <c r="FC503" s="23"/>
      <c r="FD503" s="23"/>
      <c r="FE503" s="23"/>
      <c r="FF503" s="23"/>
      <c r="FG503" s="23"/>
      <c r="FH503" s="23"/>
      <c r="FI503" s="23"/>
      <c r="FJ503" s="23"/>
      <c r="FK503" s="23"/>
      <c r="FL503" s="23"/>
      <c r="FM503" s="23"/>
      <c r="FN503" s="23"/>
      <c r="FO503" s="23"/>
      <c r="FP503" s="23"/>
      <c r="FQ503" s="23"/>
      <c r="FR503" s="23"/>
      <c r="FS503" s="23"/>
      <c r="FT503" s="23"/>
      <c r="FU503" s="23"/>
      <c r="FV503" s="23"/>
      <c r="FW503" s="23"/>
      <c r="FX503" s="23"/>
      <c r="FY503" s="23"/>
      <c r="FZ503" s="23"/>
      <c r="GA503" s="23"/>
      <c r="GB503" s="23"/>
      <c r="GC503" s="23"/>
      <c r="GD503" s="23"/>
      <c r="GE503" s="23"/>
      <c r="GF503" s="23"/>
      <c r="GG503" s="23"/>
      <c r="GH503" s="23"/>
      <c r="GI503" s="23"/>
      <c r="GJ503" s="23"/>
      <c r="GK503" s="23"/>
      <c r="GL503" s="23"/>
    </row>
    <row r="504" spans="1:194" ht="13">
      <c r="A504" s="23"/>
      <c r="B504" s="23"/>
      <c r="C504" s="23"/>
      <c r="D504" s="23"/>
      <c r="E504" s="23"/>
      <c r="F504" s="23"/>
      <c r="G504" s="23"/>
      <c r="H504" s="401"/>
      <c r="I504" s="401"/>
      <c r="J504" s="401"/>
      <c r="K504" s="401"/>
      <c r="L504" s="401"/>
      <c r="M504" s="438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  <c r="AL504" s="23"/>
      <c r="AM504" s="23"/>
      <c r="AN504" s="23"/>
      <c r="AO504" s="23"/>
      <c r="AP504" s="23"/>
      <c r="AQ504" s="23"/>
      <c r="AR504" s="23"/>
      <c r="AS504" s="23"/>
      <c r="AT504" s="23"/>
      <c r="AU504" s="23"/>
      <c r="AV504" s="23"/>
      <c r="AW504" s="23"/>
      <c r="AX504" s="23"/>
      <c r="AY504" s="23"/>
      <c r="AZ504" s="23"/>
      <c r="BA504" s="23"/>
      <c r="BB504" s="23"/>
      <c r="BC504" s="23"/>
      <c r="BD504" s="23"/>
      <c r="BE504" s="23"/>
      <c r="BF504" s="23"/>
      <c r="BG504" s="23"/>
      <c r="BH504" s="23"/>
      <c r="BI504" s="23"/>
      <c r="BJ504" s="23"/>
      <c r="BK504" s="23"/>
      <c r="BL504" s="23"/>
      <c r="BM504" s="23"/>
      <c r="BN504" s="23"/>
      <c r="BO504" s="23"/>
      <c r="BP504" s="23"/>
      <c r="BQ504" s="23"/>
      <c r="BR504" s="23"/>
      <c r="BS504" s="23"/>
      <c r="BT504" s="23"/>
      <c r="BU504" s="23"/>
      <c r="BV504" s="23"/>
      <c r="BW504" s="23"/>
      <c r="BX504" s="23"/>
      <c r="BY504" s="23"/>
      <c r="BZ504" s="23"/>
      <c r="CA504" s="23"/>
      <c r="CB504" s="23"/>
      <c r="CC504" s="23"/>
      <c r="CD504" s="23"/>
      <c r="CE504" s="23"/>
      <c r="CF504" s="23"/>
      <c r="CG504" s="23"/>
      <c r="CH504" s="23"/>
      <c r="CI504" s="23"/>
      <c r="CJ504" s="23"/>
      <c r="CK504" s="23"/>
      <c r="CL504" s="23"/>
      <c r="CM504" s="23"/>
      <c r="CN504" s="23"/>
      <c r="CO504" s="23"/>
      <c r="CP504" s="23"/>
      <c r="CQ504" s="23"/>
      <c r="CR504" s="23"/>
      <c r="CS504" s="23"/>
      <c r="CT504" s="23"/>
      <c r="CU504" s="23"/>
      <c r="CV504" s="23"/>
      <c r="CW504" s="23"/>
      <c r="CX504" s="23"/>
      <c r="CY504" s="23"/>
      <c r="CZ504" s="23"/>
      <c r="DA504" s="23"/>
      <c r="DB504" s="23"/>
      <c r="DC504" s="23"/>
      <c r="DD504" s="23"/>
      <c r="DE504" s="23"/>
      <c r="DF504" s="23"/>
      <c r="DG504" s="23"/>
      <c r="DH504" s="23"/>
      <c r="DI504" s="23"/>
      <c r="DJ504" s="23"/>
      <c r="DK504" s="23"/>
      <c r="DL504" s="23"/>
      <c r="DM504" s="23"/>
      <c r="DN504" s="23"/>
      <c r="DO504" s="23"/>
      <c r="DP504" s="23"/>
      <c r="DQ504" s="23"/>
      <c r="DR504" s="23"/>
      <c r="DS504" s="23"/>
      <c r="DT504" s="23"/>
      <c r="DU504" s="23"/>
      <c r="DV504" s="23"/>
      <c r="DW504" s="23"/>
      <c r="DX504" s="23"/>
      <c r="DY504" s="23"/>
      <c r="DZ504" s="23"/>
      <c r="EA504" s="23"/>
      <c r="EB504" s="23"/>
      <c r="EC504" s="23"/>
      <c r="ED504" s="23"/>
      <c r="EE504" s="23"/>
      <c r="EF504" s="23"/>
      <c r="EG504" s="23"/>
      <c r="EH504" s="23"/>
      <c r="EI504" s="23"/>
      <c r="EJ504" s="23"/>
      <c r="EK504" s="23"/>
      <c r="EL504" s="23"/>
      <c r="EM504" s="23"/>
      <c r="EN504" s="23"/>
      <c r="EO504" s="23"/>
      <c r="EP504" s="23"/>
      <c r="EQ504" s="23"/>
      <c r="ER504" s="23"/>
      <c r="ES504" s="23"/>
      <c r="ET504" s="23"/>
      <c r="EU504" s="23"/>
      <c r="EV504" s="23"/>
      <c r="EW504" s="23"/>
      <c r="EX504" s="23"/>
      <c r="EY504" s="23"/>
      <c r="EZ504" s="23"/>
      <c r="FA504" s="23"/>
      <c r="FB504" s="23"/>
      <c r="FC504" s="23"/>
      <c r="FD504" s="23"/>
      <c r="FE504" s="23"/>
      <c r="FF504" s="23"/>
      <c r="FG504" s="23"/>
      <c r="FH504" s="23"/>
      <c r="FI504" s="23"/>
      <c r="FJ504" s="23"/>
      <c r="FK504" s="23"/>
      <c r="FL504" s="23"/>
      <c r="FM504" s="23"/>
      <c r="FN504" s="23"/>
      <c r="FO504" s="23"/>
      <c r="FP504" s="23"/>
      <c r="FQ504" s="23"/>
      <c r="FR504" s="23"/>
      <c r="FS504" s="23"/>
      <c r="FT504" s="23"/>
      <c r="FU504" s="23"/>
      <c r="FV504" s="23"/>
      <c r="FW504" s="23"/>
      <c r="FX504" s="23"/>
      <c r="FY504" s="23"/>
      <c r="FZ504" s="23"/>
      <c r="GA504" s="23"/>
      <c r="GB504" s="23"/>
      <c r="GC504" s="23"/>
      <c r="GD504" s="23"/>
      <c r="GE504" s="23"/>
      <c r="GF504" s="23"/>
      <c r="GG504" s="23"/>
      <c r="GH504" s="23"/>
      <c r="GI504" s="23"/>
      <c r="GJ504" s="23"/>
      <c r="GK504" s="23"/>
      <c r="GL504" s="23"/>
    </row>
    <row r="505" spans="1:194" ht="13">
      <c r="A505" s="23"/>
      <c r="B505" s="23"/>
      <c r="C505" s="23"/>
      <c r="D505" s="23"/>
      <c r="E505" s="23"/>
      <c r="F505" s="23"/>
      <c r="G505" s="23"/>
      <c r="H505" s="401"/>
      <c r="I505" s="401"/>
      <c r="J505" s="401"/>
      <c r="K505" s="401"/>
      <c r="L505" s="401"/>
      <c r="M505" s="438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  <c r="AL505" s="23"/>
      <c r="AM505" s="23"/>
      <c r="AN505" s="23"/>
      <c r="AO505" s="23"/>
      <c r="AP505" s="23"/>
      <c r="AQ505" s="23"/>
      <c r="AR505" s="23"/>
      <c r="AS505" s="23"/>
      <c r="AT505" s="23"/>
      <c r="AU505" s="23"/>
      <c r="AV505" s="23"/>
      <c r="AW505" s="23"/>
      <c r="AX505" s="23"/>
      <c r="AY505" s="23"/>
      <c r="AZ505" s="23"/>
      <c r="BA505" s="23"/>
      <c r="BB505" s="23"/>
      <c r="BC505" s="23"/>
      <c r="BD505" s="23"/>
      <c r="BE505" s="23"/>
      <c r="BF505" s="23"/>
      <c r="BG505" s="23"/>
      <c r="BH505" s="23"/>
      <c r="BI505" s="23"/>
      <c r="BJ505" s="23"/>
      <c r="BK505" s="23"/>
      <c r="BL505" s="23"/>
      <c r="BM505" s="23"/>
      <c r="BN505" s="23"/>
      <c r="BO505" s="23"/>
      <c r="BP505" s="23"/>
      <c r="BQ505" s="23"/>
      <c r="BR505" s="23"/>
      <c r="BS505" s="23"/>
      <c r="BT505" s="23"/>
      <c r="BU505" s="23"/>
      <c r="BV505" s="23"/>
      <c r="BW505" s="23"/>
      <c r="BX505" s="23"/>
      <c r="BY505" s="23"/>
      <c r="BZ505" s="23"/>
      <c r="CA505" s="23"/>
      <c r="CB505" s="23"/>
      <c r="CC505" s="23"/>
      <c r="CD505" s="23"/>
      <c r="CE505" s="23"/>
      <c r="CF505" s="23"/>
      <c r="CG505" s="23"/>
      <c r="CH505" s="23"/>
      <c r="CI505" s="23"/>
      <c r="CJ505" s="23"/>
      <c r="CK505" s="23"/>
      <c r="CL505" s="23"/>
      <c r="CM505" s="23"/>
      <c r="CN505" s="23"/>
      <c r="CO505" s="23"/>
      <c r="CP505" s="23"/>
      <c r="CQ505" s="23"/>
      <c r="CR505" s="23"/>
      <c r="CS505" s="23"/>
      <c r="CT505" s="23"/>
      <c r="CU505" s="23"/>
      <c r="CV505" s="23"/>
      <c r="CW505" s="23"/>
      <c r="CX505" s="23"/>
      <c r="CY505" s="23"/>
      <c r="CZ505" s="23"/>
      <c r="DA505" s="23"/>
      <c r="DB505" s="23"/>
      <c r="DC505" s="23"/>
      <c r="DD505" s="23"/>
      <c r="DE505" s="23"/>
      <c r="DF505" s="23"/>
      <c r="DG505" s="23"/>
      <c r="DH505" s="23"/>
      <c r="DI505" s="23"/>
      <c r="DJ505" s="23"/>
      <c r="DK505" s="23"/>
      <c r="DL505" s="23"/>
      <c r="DM505" s="23"/>
      <c r="DN505" s="23"/>
      <c r="DO505" s="23"/>
      <c r="DP505" s="23"/>
      <c r="DQ505" s="23"/>
      <c r="DR505" s="23"/>
      <c r="DS505" s="23"/>
      <c r="DT505" s="23"/>
      <c r="DU505" s="23"/>
      <c r="DV505" s="23"/>
      <c r="DW505" s="23"/>
      <c r="DX505" s="23"/>
      <c r="DY505" s="23"/>
      <c r="DZ505" s="23"/>
      <c r="EA505" s="23"/>
      <c r="EB505" s="23"/>
      <c r="EC505" s="23"/>
      <c r="ED505" s="23"/>
      <c r="EE505" s="23"/>
      <c r="EF505" s="23"/>
      <c r="EG505" s="23"/>
      <c r="EH505" s="23"/>
      <c r="EI505" s="23"/>
      <c r="EJ505" s="23"/>
      <c r="EK505" s="23"/>
      <c r="EL505" s="23"/>
      <c r="EM505" s="23"/>
      <c r="EN505" s="23"/>
      <c r="EO505" s="23"/>
      <c r="EP505" s="23"/>
      <c r="EQ505" s="23"/>
      <c r="ER505" s="23"/>
      <c r="ES505" s="23"/>
      <c r="ET505" s="23"/>
      <c r="EU505" s="23"/>
      <c r="EV505" s="23"/>
      <c r="EW505" s="23"/>
      <c r="EX505" s="23"/>
      <c r="EY505" s="23"/>
      <c r="EZ505" s="23"/>
      <c r="FA505" s="23"/>
      <c r="FB505" s="23"/>
      <c r="FC505" s="23"/>
      <c r="FD505" s="23"/>
      <c r="FE505" s="23"/>
      <c r="FF505" s="23"/>
      <c r="FG505" s="23"/>
      <c r="FH505" s="23"/>
      <c r="FI505" s="23"/>
      <c r="FJ505" s="23"/>
      <c r="FK505" s="23"/>
      <c r="FL505" s="23"/>
      <c r="FM505" s="23"/>
      <c r="FN505" s="23"/>
      <c r="FO505" s="23"/>
      <c r="FP505" s="23"/>
      <c r="FQ505" s="23"/>
      <c r="FR505" s="23"/>
      <c r="FS505" s="23"/>
      <c r="FT505" s="23"/>
      <c r="FU505" s="23"/>
      <c r="FV505" s="23"/>
      <c r="FW505" s="23"/>
      <c r="FX505" s="23"/>
      <c r="FY505" s="23"/>
      <c r="FZ505" s="23"/>
      <c r="GA505" s="23"/>
      <c r="GB505" s="23"/>
      <c r="GC505" s="23"/>
      <c r="GD505" s="23"/>
      <c r="GE505" s="23"/>
      <c r="GF505" s="23"/>
      <c r="GG505" s="23"/>
      <c r="GH505" s="23"/>
      <c r="GI505" s="23"/>
      <c r="GJ505" s="23"/>
      <c r="GK505" s="23"/>
      <c r="GL505" s="23"/>
    </row>
    <row r="506" spans="1:194" ht="13">
      <c r="A506" s="23"/>
      <c r="B506" s="23"/>
      <c r="C506" s="23"/>
      <c r="D506" s="23"/>
      <c r="E506" s="23"/>
      <c r="F506" s="23"/>
      <c r="G506" s="23"/>
      <c r="H506" s="401"/>
      <c r="I506" s="401"/>
      <c r="J506" s="401"/>
      <c r="K506" s="401"/>
      <c r="L506" s="401"/>
      <c r="M506" s="438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  <c r="AL506" s="23"/>
      <c r="AM506" s="23"/>
      <c r="AN506" s="23"/>
      <c r="AO506" s="23"/>
      <c r="AP506" s="23"/>
      <c r="AQ506" s="23"/>
      <c r="AR506" s="23"/>
      <c r="AS506" s="23"/>
      <c r="AT506" s="23"/>
      <c r="AU506" s="23"/>
      <c r="AV506" s="23"/>
      <c r="AW506" s="23"/>
      <c r="AX506" s="23"/>
      <c r="AY506" s="23"/>
      <c r="AZ506" s="23"/>
      <c r="BA506" s="23"/>
      <c r="BB506" s="23"/>
      <c r="BC506" s="23"/>
      <c r="BD506" s="23"/>
      <c r="BE506" s="23"/>
      <c r="BF506" s="23"/>
      <c r="BG506" s="23"/>
      <c r="BH506" s="23"/>
      <c r="BI506" s="23"/>
      <c r="BJ506" s="23"/>
      <c r="BK506" s="23"/>
      <c r="BL506" s="23"/>
      <c r="BM506" s="23"/>
      <c r="BN506" s="23"/>
      <c r="BO506" s="23"/>
      <c r="BP506" s="23"/>
      <c r="BQ506" s="23"/>
      <c r="BR506" s="23"/>
      <c r="BS506" s="23"/>
      <c r="BT506" s="23"/>
      <c r="BU506" s="23"/>
      <c r="BV506" s="23"/>
      <c r="BW506" s="23"/>
      <c r="BX506" s="23"/>
      <c r="BY506" s="23"/>
      <c r="BZ506" s="23"/>
      <c r="CA506" s="23"/>
      <c r="CB506" s="23"/>
      <c r="CC506" s="23"/>
      <c r="CD506" s="23"/>
      <c r="CE506" s="23"/>
      <c r="CF506" s="23"/>
      <c r="CG506" s="23"/>
      <c r="CH506" s="23"/>
      <c r="CI506" s="23"/>
      <c r="CJ506" s="23"/>
      <c r="CK506" s="23"/>
      <c r="CL506" s="23"/>
      <c r="CM506" s="23"/>
      <c r="CN506" s="23"/>
      <c r="CO506" s="23"/>
      <c r="CP506" s="23"/>
      <c r="CQ506" s="23"/>
      <c r="CR506" s="23"/>
      <c r="CS506" s="23"/>
      <c r="CT506" s="23"/>
      <c r="CU506" s="23"/>
      <c r="CV506" s="23"/>
      <c r="CW506" s="23"/>
      <c r="CX506" s="23"/>
      <c r="CY506" s="23"/>
      <c r="CZ506" s="23"/>
      <c r="DA506" s="23"/>
      <c r="DB506" s="23"/>
      <c r="DC506" s="23"/>
      <c r="DD506" s="23"/>
      <c r="DE506" s="23"/>
      <c r="DF506" s="23"/>
      <c r="DG506" s="23"/>
      <c r="DH506" s="23"/>
      <c r="DI506" s="23"/>
      <c r="DJ506" s="23"/>
      <c r="DK506" s="23"/>
      <c r="DL506" s="23"/>
      <c r="DM506" s="23"/>
      <c r="DN506" s="23"/>
      <c r="DO506" s="23"/>
      <c r="DP506" s="23"/>
      <c r="DQ506" s="23"/>
      <c r="DR506" s="23"/>
      <c r="DS506" s="23"/>
      <c r="DT506" s="23"/>
      <c r="DU506" s="23"/>
      <c r="DV506" s="23"/>
      <c r="DW506" s="23"/>
      <c r="DX506" s="23"/>
      <c r="DY506" s="23"/>
      <c r="DZ506" s="23"/>
      <c r="EA506" s="23"/>
      <c r="EB506" s="23"/>
      <c r="EC506" s="23"/>
      <c r="ED506" s="23"/>
      <c r="EE506" s="23"/>
      <c r="EF506" s="23"/>
      <c r="EG506" s="23"/>
      <c r="EH506" s="23"/>
      <c r="EI506" s="23"/>
      <c r="EJ506" s="23"/>
      <c r="EK506" s="23"/>
      <c r="EL506" s="23"/>
      <c r="EM506" s="23"/>
      <c r="EN506" s="23"/>
      <c r="EO506" s="23"/>
      <c r="EP506" s="23"/>
      <c r="EQ506" s="23"/>
      <c r="ER506" s="23"/>
      <c r="ES506" s="23"/>
      <c r="ET506" s="23"/>
      <c r="EU506" s="23"/>
      <c r="EV506" s="23"/>
      <c r="EW506" s="23"/>
      <c r="EX506" s="23"/>
      <c r="EY506" s="23"/>
      <c r="EZ506" s="23"/>
      <c r="FA506" s="23"/>
      <c r="FB506" s="23"/>
      <c r="FC506" s="23"/>
      <c r="FD506" s="23"/>
      <c r="FE506" s="23"/>
      <c r="FF506" s="23"/>
      <c r="FG506" s="23"/>
      <c r="FH506" s="23"/>
      <c r="FI506" s="23"/>
      <c r="FJ506" s="23"/>
      <c r="FK506" s="23"/>
      <c r="FL506" s="23"/>
      <c r="FM506" s="23"/>
      <c r="FN506" s="23"/>
      <c r="FO506" s="23"/>
      <c r="FP506" s="23"/>
      <c r="FQ506" s="23"/>
      <c r="FR506" s="23"/>
      <c r="FS506" s="23"/>
      <c r="FT506" s="23"/>
      <c r="FU506" s="23"/>
      <c r="FV506" s="23"/>
      <c r="FW506" s="23"/>
      <c r="FX506" s="23"/>
      <c r="FY506" s="23"/>
      <c r="FZ506" s="23"/>
      <c r="GA506" s="23"/>
      <c r="GB506" s="23"/>
      <c r="GC506" s="23"/>
      <c r="GD506" s="23"/>
      <c r="GE506" s="23"/>
      <c r="GF506" s="23"/>
      <c r="GG506" s="23"/>
      <c r="GH506" s="23"/>
      <c r="GI506" s="23"/>
      <c r="GJ506" s="23"/>
      <c r="GK506" s="23"/>
      <c r="GL506" s="23"/>
    </row>
    <row r="507" spans="1:194" ht="13">
      <c r="A507" s="23"/>
      <c r="B507" s="23"/>
      <c r="C507" s="23"/>
      <c r="D507" s="23"/>
      <c r="E507" s="23"/>
      <c r="F507" s="23"/>
      <c r="G507" s="23"/>
      <c r="H507" s="401"/>
      <c r="I507" s="401"/>
      <c r="J507" s="401"/>
      <c r="K507" s="401"/>
      <c r="L507" s="401"/>
      <c r="M507" s="438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  <c r="AL507" s="23"/>
      <c r="AM507" s="23"/>
      <c r="AN507" s="23"/>
      <c r="AO507" s="23"/>
      <c r="AP507" s="23"/>
      <c r="AQ507" s="23"/>
      <c r="AR507" s="23"/>
      <c r="AS507" s="23"/>
      <c r="AT507" s="23"/>
      <c r="AU507" s="23"/>
      <c r="AV507" s="23"/>
      <c r="AW507" s="23"/>
      <c r="AX507" s="23"/>
      <c r="AY507" s="23"/>
      <c r="AZ507" s="23"/>
      <c r="BA507" s="23"/>
      <c r="BB507" s="23"/>
      <c r="BC507" s="23"/>
      <c r="BD507" s="23"/>
      <c r="BE507" s="23"/>
      <c r="BF507" s="23"/>
      <c r="BG507" s="23"/>
      <c r="BH507" s="23"/>
      <c r="BI507" s="23"/>
      <c r="BJ507" s="23"/>
      <c r="BK507" s="23"/>
      <c r="BL507" s="23"/>
      <c r="BM507" s="23"/>
      <c r="BN507" s="23"/>
      <c r="BO507" s="23"/>
      <c r="BP507" s="23"/>
      <c r="BQ507" s="23"/>
      <c r="BR507" s="23"/>
      <c r="BS507" s="23"/>
      <c r="BT507" s="23"/>
      <c r="BU507" s="23"/>
      <c r="BV507" s="23"/>
      <c r="BW507" s="23"/>
      <c r="BX507" s="23"/>
      <c r="BY507" s="23"/>
      <c r="BZ507" s="23"/>
      <c r="CA507" s="23"/>
      <c r="CB507" s="23"/>
      <c r="CC507" s="23"/>
      <c r="CD507" s="23"/>
      <c r="CE507" s="23"/>
      <c r="CF507" s="23"/>
      <c r="CG507" s="23"/>
      <c r="CH507" s="23"/>
      <c r="CI507" s="23"/>
      <c r="CJ507" s="23"/>
      <c r="CK507" s="23"/>
      <c r="CL507" s="23"/>
      <c r="CM507" s="23"/>
      <c r="CN507" s="23"/>
      <c r="CO507" s="23"/>
      <c r="CP507" s="23"/>
      <c r="CQ507" s="23"/>
      <c r="CR507" s="23"/>
      <c r="CS507" s="23"/>
      <c r="CT507" s="23"/>
      <c r="CU507" s="23"/>
      <c r="CV507" s="23"/>
      <c r="CW507" s="23"/>
      <c r="CX507" s="23"/>
      <c r="CY507" s="23"/>
      <c r="CZ507" s="23"/>
      <c r="DA507" s="23"/>
      <c r="DB507" s="23"/>
      <c r="DC507" s="23"/>
      <c r="DD507" s="23"/>
      <c r="DE507" s="23"/>
      <c r="DF507" s="23"/>
      <c r="DG507" s="23"/>
      <c r="DH507" s="23"/>
      <c r="DI507" s="23"/>
      <c r="DJ507" s="23"/>
      <c r="DK507" s="23"/>
      <c r="DL507" s="23"/>
      <c r="DM507" s="23"/>
      <c r="DN507" s="23"/>
      <c r="DO507" s="23"/>
      <c r="DP507" s="23"/>
      <c r="DQ507" s="23"/>
      <c r="DR507" s="23"/>
      <c r="DS507" s="23"/>
      <c r="DT507" s="23"/>
      <c r="DU507" s="23"/>
      <c r="DV507" s="23"/>
      <c r="DW507" s="23"/>
      <c r="DX507" s="23"/>
      <c r="DY507" s="23"/>
      <c r="DZ507" s="23"/>
      <c r="EA507" s="23"/>
      <c r="EB507" s="23"/>
      <c r="EC507" s="23"/>
      <c r="ED507" s="23"/>
      <c r="EE507" s="23"/>
      <c r="EF507" s="23"/>
      <c r="EG507" s="23"/>
      <c r="EH507" s="23"/>
      <c r="EI507" s="23"/>
      <c r="EJ507" s="23"/>
      <c r="EK507" s="23"/>
      <c r="EL507" s="23"/>
      <c r="EM507" s="23"/>
      <c r="EN507" s="23"/>
      <c r="EO507" s="23"/>
      <c r="EP507" s="23"/>
      <c r="EQ507" s="23"/>
      <c r="ER507" s="23"/>
      <c r="ES507" s="23"/>
      <c r="ET507" s="23"/>
      <c r="EU507" s="23"/>
      <c r="EV507" s="23"/>
      <c r="EW507" s="23"/>
      <c r="EX507" s="23"/>
      <c r="EY507" s="23"/>
      <c r="EZ507" s="23"/>
      <c r="FA507" s="23"/>
      <c r="FB507" s="23"/>
      <c r="FC507" s="23"/>
      <c r="FD507" s="23"/>
      <c r="FE507" s="23"/>
      <c r="FF507" s="23"/>
      <c r="FG507" s="23"/>
      <c r="FH507" s="23"/>
      <c r="FI507" s="23"/>
      <c r="FJ507" s="23"/>
      <c r="FK507" s="23"/>
      <c r="FL507" s="23"/>
      <c r="FM507" s="23"/>
      <c r="FN507" s="23"/>
      <c r="FO507" s="23"/>
      <c r="FP507" s="23"/>
      <c r="FQ507" s="23"/>
      <c r="FR507" s="23"/>
      <c r="FS507" s="23"/>
      <c r="FT507" s="23"/>
      <c r="FU507" s="23"/>
      <c r="FV507" s="23"/>
      <c r="FW507" s="23"/>
      <c r="FX507" s="23"/>
      <c r="FY507" s="23"/>
      <c r="FZ507" s="23"/>
      <c r="GA507" s="23"/>
      <c r="GB507" s="23"/>
      <c r="GC507" s="23"/>
      <c r="GD507" s="23"/>
      <c r="GE507" s="23"/>
      <c r="GF507" s="23"/>
      <c r="GG507" s="23"/>
      <c r="GH507" s="23"/>
      <c r="GI507" s="23"/>
      <c r="GJ507" s="23"/>
      <c r="GK507" s="23"/>
      <c r="GL507" s="23"/>
    </row>
    <row r="508" spans="1:194" ht="13">
      <c r="A508" s="23"/>
      <c r="B508" s="23"/>
      <c r="C508" s="23"/>
      <c r="D508" s="23"/>
      <c r="E508" s="23"/>
      <c r="F508" s="23"/>
      <c r="G508" s="23"/>
      <c r="H508" s="401"/>
      <c r="I508" s="401"/>
      <c r="J508" s="401"/>
      <c r="K508" s="401"/>
      <c r="L508" s="401"/>
      <c r="M508" s="438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  <c r="AL508" s="23"/>
      <c r="AM508" s="23"/>
      <c r="AN508" s="23"/>
      <c r="AO508" s="23"/>
      <c r="AP508" s="23"/>
      <c r="AQ508" s="23"/>
      <c r="AR508" s="23"/>
      <c r="AS508" s="23"/>
      <c r="AT508" s="23"/>
      <c r="AU508" s="23"/>
      <c r="AV508" s="23"/>
      <c r="AW508" s="23"/>
      <c r="AX508" s="23"/>
      <c r="AY508" s="23"/>
      <c r="AZ508" s="23"/>
      <c r="BA508" s="23"/>
      <c r="BB508" s="23"/>
      <c r="BC508" s="23"/>
      <c r="BD508" s="23"/>
      <c r="BE508" s="23"/>
      <c r="BF508" s="23"/>
      <c r="BG508" s="23"/>
      <c r="BH508" s="23"/>
      <c r="BI508" s="23"/>
      <c r="BJ508" s="23"/>
      <c r="BK508" s="23"/>
      <c r="BL508" s="23"/>
      <c r="BM508" s="23"/>
      <c r="BN508" s="23"/>
      <c r="BO508" s="23"/>
      <c r="BP508" s="23"/>
      <c r="BQ508" s="23"/>
      <c r="BR508" s="23"/>
      <c r="BS508" s="23"/>
      <c r="BT508" s="23"/>
      <c r="BU508" s="23"/>
      <c r="BV508" s="23"/>
      <c r="BW508" s="23"/>
      <c r="BX508" s="23"/>
      <c r="BY508" s="23"/>
      <c r="BZ508" s="23"/>
      <c r="CA508" s="23"/>
      <c r="CB508" s="23"/>
      <c r="CC508" s="23"/>
      <c r="CD508" s="23"/>
      <c r="CE508" s="23"/>
      <c r="CF508" s="23"/>
      <c r="CG508" s="23"/>
      <c r="CH508" s="23"/>
      <c r="CI508" s="23"/>
      <c r="CJ508" s="23"/>
      <c r="CK508" s="23"/>
      <c r="CL508" s="23"/>
      <c r="CM508" s="23"/>
      <c r="CN508" s="23"/>
      <c r="CO508" s="23"/>
      <c r="CP508" s="23"/>
      <c r="CQ508" s="23"/>
      <c r="CR508" s="23"/>
      <c r="CS508" s="23"/>
      <c r="CT508" s="23"/>
      <c r="CU508" s="23"/>
      <c r="CV508" s="23"/>
      <c r="CW508" s="23"/>
      <c r="CX508" s="23"/>
      <c r="CY508" s="23"/>
      <c r="CZ508" s="23"/>
      <c r="DA508" s="23"/>
      <c r="DB508" s="23"/>
      <c r="DC508" s="23"/>
      <c r="DD508" s="23"/>
      <c r="DE508" s="23"/>
      <c r="DF508" s="23"/>
      <c r="DG508" s="23"/>
      <c r="DH508" s="23"/>
      <c r="DI508" s="23"/>
      <c r="DJ508" s="23"/>
      <c r="DK508" s="23"/>
      <c r="DL508" s="23"/>
      <c r="DM508" s="23"/>
      <c r="DN508" s="23"/>
      <c r="DO508" s="23"/>
      <c r="DP508" s="23"/>
      <c r="DQ508" s="23"/>
      <c r="DR508" s="23"/>
      <c r="DS508" s="23"/>
      <c r="DT508" s="23"/>
      <c r="DU508" s="23"/>
      <c r="DV508" s="23"/>
      <c r="DW508" s="23"/>
      <c r="DX508" s="23"/>
      <c r="DY508" s="23"/>
      <c r="DZ508" s="23"/>
      <c r="EA508" s="23"/>
      <c r="EB508" s="23"/>
      <c r="EC508" s="23"/>
      <c r="ED508" s="23"/>
      <c r="EE508" s="23"/>
      <c r="EF508" s="23"/>
      <c r="EG508" s="23"/>
      <c r="EH508" s="23"/>
      <c r="EI508" s="23"/>
      <c r="EJ508" s="23"/>
      <c r="EK508" s="23"/>
      <c r="EL508" s="23"/>
      <c r="EM508" s="23"/>
      <c r="EN508" s="23"/>
      <c r="EO508" s="23"/>
      <c r="EP508" s="23"/>
      <c r="EQ508" s="23"/>
      <c r="ER508" s="23"/>
      <c r="ES508" s="23"/>
      <c r="ET508" s="23"/>
      <c r="EU508" s="23"/>
      <c r="EV508" s="23"/>
      <c r="EW508" s="23"/>
      <c r="EX508" s="23"/>
      <c r="EY508" s="23"/>
      <c r="EZ508" s="23"/>
      <c r="FA508" s="23"/>
      <c r="FB508" s="23"/>
      <c r="FC508" s="23"/>
      <c r="FD508" s="23"/>
      <c r="FE508" s="23"/>
      <c r="FF508" s="23"/>
      <c r="FG508" s="23"/>
      <c r="FH508" s="23"/>
      <c r="FI508" s="23"/>
      <c r="FJ508" s="23"/>
      <c r="FK508" s="23"/>
      <c r="FL508" s="23"/>
      <c r="FM508" s="23"/>
      <c r="FN508" s="23"/>
      <c r="FO508" s="23"/>
      <c r="FP508" s="23"/>
      <c r="FQ508" s="23"/>
      <c r="FR508" s="23"/>
      <c r="FS508" s="23"/>
      <c r="FT508" s="23"/>
      <c r="FU508" s="23"/>
      <c r="FV508" s="23"/>
      <c r="FW508" s="23"/>
      <c r="FX508" s="23"/>
      <c r="FY508" s="23"/>
      <c r="FZ508" s="23"/>
      <c r="GA508" s="23"/>
      <c r="GB508" s="23"/>
      <c r="GC508" s="23"/>
      <c r="GD508" s="23"/>
      <c r="GE508" s="23"/>
      <c r="GF508" s="23"/>
      <c r="GG508" s="23"/>
      <c r="GH508" s="23"/>
      <c r="GI508" s="23"/>
      <c r="GJ508" s="23"/>
      <c r="GK508" s="23"/>
      <c r="GL508" s="23"/>
    </row>
    <row r="509" spans="1:194" ht="13">
      <c r="A509" s="23"/>
      <c r="B509" s="23"/>
      <c r="C509" s="23"/>
      <c r="D509" s="23"/>
      <c r="E509" s="23"/>
      <c r="F509" s="23"/>
      <c r="G509" s="23"/>
      <c r="H509" s="401"/>
      <c r="I509" s="401"/>
      <c r="J509" s="401"/>
      <c r="K509" s="401"/>
      <c r="L509" s="401"/>
      <c r="M509" s="438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  <c r="AL509" s="23"/>
      <c r="AM509" s="23"/>
      <c r="AN509" s="23"/>
      <c r="AO509" s="23"/>
      <c r="AP509" s="23"/>
      <c r="AQ509" s="23"/>
      <c r="AR509" s="23"/>
      <c r="AS509" s="23"/>
      <c r="AT509" s="23"/>
      <c r="AU509" s="23"/>
      <c r="AV509" s="23"/>
      <c r="AW509" s="23"/>
      <c r="AX509" s="23"/>
      <c r="AY509" s="23"/>
      <c r="AZ509" s="23"/>
      <c r="BA509" s="23"/>
      <c r="BB509" s="23"/>
      <c r="BC509" s="23"/>
      <c r="BD509" s="23"/>
      <c r="BE509" s="23"/>
      <c r="BF509" s="23"/>
      <c r="BG509" s="23"/>
      <c r="BH509" s="23"/>
      <c r="BI509" s="23"/>
      <c r="BJ509" s="23"/>
      <c r="BK509" s="23"/>
      <c r="BL509" s="23"/>
      <c r="BM509" s="23"/>
      <c r="BN509" s="23"/>
      <c r="BO509" s="23"/>
      <c r="BP509" s="23"/>
      <c r="BQ509" s="23"/>
      <c r="BR509" s="23"/>
      <c r="BS509" s="23"/>
      <c r="BT509" s="23"/>
      <c r="BU509" s="23"/>
      <c r="BV509" s="23"/>
      <c r="BW509" s="23"/>
      <c r="BX509" s="23"/>
      <c r="BY509" s="23"/>
      <c r="BZ509" s="23"/>
      <c r="CA509" s="23"/>
      <c r="CB509" s="23"/>
      <c r="CC509" s="23"/>
      <c r="CD509" s="23"/>
      <c r="CE509" s="23"/>
      <c r="CF509" s="23"/>
      <c r="CG509" s="23"/>
      <c r="CH509" s="23"/>
      <c r="CI509" s="23"/>
      <c r="CJ509" s="23"/>
      <c r="CK509" s="23"/>
      <c r="CL509" s="23"/>
      <c r="CM509" s="23"/>
      <c r="CN509" s="23"/>
      <c r="CO509" s="23"/>
      <c r="CP509" s="23"/>
      <c r="CQ509" s="23"/>
      <c r="CR509" s="23"/>
      <c r="CS509" s="23"/>
      <c r="CT509" s="23"/>
      <c r="CU509" s="23"/>
      <c r="CV509" s="23"/>
      <c r="CW509" s="23"/>
      <c r="CX509" s="23"/>
      <c r="CY509" s="23"/>
      <c r="CZ509" s="23"/>
      <c r="DA509" s="23"/>
      <c r="DB509" s="23"/>
      <c r="DC509" s="23"/>
      <c r="DD509" s="23"/>
      <c r="DE509" s="23"/>
      <c r="DF509" s="23"/>
      <c r="DG509" s="23"/>
      <c r="DH509" s="23"/>
      <c r="DI509" s="23"/>
      <c r="DJ509" s="23"/>
      <c r="DK509" s="23"/>
      <c r="DL509" s="23"/>
      <c r="DM509" s="23"/>
      <c r="DN509" s="23"/>
      <c r="DO509" s="23"/>
      <c r="DP509" s="23"/>
      <c r="DQ509" s="23"/>
      <c r="DR509" s="23"/>
      <c r="DS509" s="23"/>
      <c r="DT509" s="23"/>
      <c r="DU509" s="23"/>
      <c r="DV509" s="23"/>
      <c r="DW509" s="23"/>
      <c r="DX509" s="23"/>
      <c r="DY509" s="23"/>
      <c r="DZ509" s="23"/>
      <c r="EA509" s="23"/>
      <c r="EB509" s="23"/>
      <c r="EC509" s="23"/>
      <c r="ED509" s="23"/>
      <c r="EE509" s="23"/>
      <c r="EF509" s="23"/>
      <c r="EG509" s="23"/>
      <c r="EH509" s="23"/>
      <c r="EI509" s="23"/>
      <c r="EJ509" s="23"/>
      <c r="EK509" s="23"/>
      <c r="EL509" s="23"/>
      <c r="EM509" s="23"/>
      <c r="EN509" s="23"/>
      <c r="EO509" s="23"/>
      <c r="EP509" s="23"/>
      <c r="EQ509" s="23"/>
      <c r="ER509" s="23"/>
      <c r="ES509" s="23"/>
      <c r="ET509" s="23"/>
      <c r="EU509" s="23"/>
      <c r="EV509" s="23"/>
      <c r="EW509" s="23"/>
      <c r="EX509" s="23"/>
      <c r="EY509" s="23"/>
      <c r="EZ509" s="23"/>
      <c r="FA509" s="23"/>
      <c r="FB509" s="23"/>
      <c r="FC509" s="23"/>
      <c r="FD509" s="23"/>
      <c r="FE509" s="23"/>
      <c r="FF509" s="23"/>
      <c r="FG509" s="23"/>
      <c r="FH509" s="23"/>
      <c r="FI509" s="23"/>
      <c r="FJ509" s="23"/>
      <c r="FK509" s="23"/>
      <c r="FL509" s="23"/>
      <c r="FM509" s="23"/>
      <c r="FN509" s="23"/>
      <c r="FO509" s="23"/>
      <c r="FP509" s="23"/>
      <c r="FQ509" s="23"/>
      <c r="FR509" s="23"/>
      <c r="FS509" s="23"/>
      <c r="FT509" s="23"/>
      <c r="FU509" s="23"/>
      <c r="FV509" s="23"/>
      <c r="FW509" s="23"/>
      <c r="FX509" s="23"/>
      <c r="FY509" s="23"/>
      <c r="FZ509" s="23"/>
      <c r="GA509" s="23"/>
      <c r="GB509" s="23"/>
      <c r="GC509" s="23"/>
      <c r="GD509" s="23"/>
      <c r="GE509" s="23"/>
      <c r="GF509" s="23"/>
      <c r="GG509" s="23"/>
      <c r="GH509" s="23"/>
      <c r="GI509" s="23"/>
      <c r="GJ509" s="23"/>
      <c r="GK509" s="23"/>
      <c r="GL509" s="23"/>
    </row>
    <row r="510" spans="1:194" ht="13">
      <c r="A510" s="23"/>
      <c r="B510" s="23"/>
      <c r="C510" s="23"/>
      <c r="D510" s="23"/>
      <c r="E510" s="23"/>
      <c r="F510" s="23"/>
      <c r="G510" s="23"/>
      <c r="H510" s="401"/>
      <c r="I510" s="401"/>
      <c r="J510" s="401"/>
      <c r="K510" s="401"/>
      <c r="L510" s="401"/>
      <c r="M510" s="438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  <c r="AL510" s="23"/>
      <c r="AM510" s="23"/>
      <c r="AN510" s="23"/>
      <c r="AO510" s="23"/>
      <c r="AP510" s="23"/>
      <c r="AQ510" s="23"/>
      <c r="AR510" s="23"/>
      <c r="AS510" s="23"/>
      <c r="AT510" s="23"/>
      <c r="AU510" s="23"/>
      <c r="AV510" s="23"/>
      <c r="AW510" s="23"/>
      <c r="AX510" s="23"/>
      <c r="AY510" s="23"/>
      <c r="AZ510" s="23"/>
      <c r="BA510" s="23"/>
      <c r="BB510" s="23"/>
      <c r="BC510" s="23"/>
      <c r="BD510" s="23"/>
      <c r="BE510" s="23"/>
      <c r="BF510" s="23"/>
      <c r="BG510" s="23"/>
      <c r="BH510" s="23"/>
      <c r="BI510" s="23"/>
      <c r="BJ510" s="23"/>
      <c r="BK510" s="23"/>
      <c r="BL510" s="23"/>
      <c r="BM510" s="23"/>
      <c r="BN510" s="23"/>
      <c r="BO510" s="23"/>
      <c r="BP510" s="23"/>
      <c r="BQ510" s="23"/>
      <c r="BR510" s="23"/>
      <c r="BS510" s="23"/>
      <c r="BT510" s="23"/>
      <c r="BU510" s="23"/>
      <c r="BV510" s="23"/>
      <c r="BW510" s="23"/>
      <c r="BX510" s="23"/>
      <c r="BY510" s="23"/>
      <c r="BZ510" s="23"/>
      <c r="CA510" s="23"/>
      <c r="CB510" s="23"/>
      <c r="CC510" s="23"/>
      <c r="CD510" s="23"/>
      <c r="CE510" s="23"/>
      <c r="CF510" s="23"/>
      <c r="CG510" s="23"/>
      <c r="CH510" s="23"/>
      <c r="CI510" s="23"/>
      <c r="CJ510" s="23"/>
      <c r="CK510" s="23"/>
      <c r="CL510" s="23"/>
      <c r="CM510" s="23"/>
      <c r="CN510" s="23"/>
      <c r="CO510" s="23"/>
      <c r="CP510" s="23"/>
      <c r="CQ510" s="23"/>
      <c r="CR510" s="23"/>
      <c r="CS510" s="23"/>
      <c r="CT510" s="23"/>
      <c r="CU510" s="23"/>
      <c r="CV510" s="23"/>
      <c r="CW510" s="23"/>
      <c r="CX510" s="23"/>
      <c r="CY510" s="23"/>
      <c r="CZ510" s="23"/>
      <c r="DA510" s="23"/>
      <c r="DB510" s="23"/>
      <c r="DC510" s="23"/>
      <c r="DD510" s="23"/>
      <c r="DE510" s="23"/>
      <c r="DF510" s="23"/>
      <c r="DG510" s="23"/>
      <c r="DH510" s="23"/>
      <c r="DI510" s="23"/>
      <c r="DJ510" s="23"/>
      <c r="DK510" s="23"/>
      <c r="DL510" s="23"/>
      <c r="DM510" s="23"/>
      <c r="DN510" s="23"/>
      <c r="DO510" s="23"/>
      <c r="DP510" s="23"/>
      <c r="DQ510" s="23"/>
      <c r="DR510" s="23"/>
      <c r="DS510" s="23"/>
      <c r="DT510" s="23"/>
      <c r="DU510" s="23"/>
      <c r="DV510" s="23"/>
      <c r="DW510" s="23"/>
      <c r="DX510" s="23"/>
      <c r="DY510" s="23"/>
      <c r="DZ510" s="23"/>
      <c r="EA510" s="23"/>
      <c r="EB510" s="23"/>
      <c r="EC510" s="23"/>
      <c r="ED510" s="23"/>
      <c r="EE510" s="23"/>
      <c r="EF510" s="23"/>
      <c r="EG510" s="23"/>
      <c r="EH510" s="23"/>
      <c r="EI510" s="23"/>
      <c r="EJ510" s="23"/>
      <c r="EK510" s="23"/>
      <c r="EL510" s="23"/>
      <c r="EM510" s="23"/>
      <c r="EN510" s="23"/>
      <c r="EO510" s="23"/>
      <c r="EP510" s="23"/>
      <c r="EQ510" s="23"/>
      <c r="ER510" s="23"/>
      <c r="ES510" s="23"/>
      <c r="ET510" s="23"/>
      <c r="EU510" s="23"/>
      <c r="EV510" s="23"/>
      <c r="EW510" s="23"/>
      <c r="EX510" s="23"/>
      <c r="EY510" s="23"/>
      <c r="EZ510" s="23"/>
      <c r="FA510" s="23"/>
      <c r="FB510" s="23"/>
      <c r="FC510" s="23"/>
      <c r="FD510" s="23"/>
      <c r="FE510" s="23"/>
      <c r="FF510" s="23"/>
      <c r="FG510" s="23"/>
      <c r="FH510" s="23"/>
      <c r="FI510" s="23"/>
      <c r="FJ510" s="23"/>
      <c r="FK510" s="23"/>
      <c r="FL510" s="23"/>
      <c r="FM510" s="23"/>
      <c r="FN510" s="23"/>
      <c r="FO510" s="23"/>
      <c r="FP510" s="23"/>
      <c r="FQ510" s="23"/>
      <c r="FR510" s="23"/>
      <c r="FS510" s="23"/>
      <c r="FT510" s="23"/>
      <c r="FU510" s="23"/>
      <c r="FV510" s="23"/>
      <c r="FW510" s="23"/>
      <c r="FX510" s="23"/>
      <c r="FY510" s="23"/>
      <c r="FZ510" s="23"/>
      <c r="GA510" s="23"/>
      <c r="GB510" s="23"/>
      <c r="GC510" s="23"/>
      <c r="GD510" s="23"/>
      <c r="GE510" s="23"/>
      <c r="GF510" s="23"/>
      <c r="GG510" s="23"/>
      <c r="GH510" s="23"/>
      <c r="GI510" s="23"/>
      <c r="GJ510" s="23"/>
      <c r="GK510" s="23"/>
      <c r="GL510" s="23"/>
    </row>
    <row r="511" spans="1:194" ht="13">
      <c r="A511" s="23"/>
      <c r="B511" s="23"/>
      <c r="C511" s="23"/>
      <c r="D511" s="23"/>
      <c r="E511" s="23"/>
      <c r="F511" s="23"/>
      <c r="G511" s="23"/>
      <c r="H511" s="401"/>
      <c r="I511" s="401"/>
      <c r="J511" s="401"/>
      <c r="K511" s="401"/>
      <c r="L511" s="401"/>
      <c r="M511" s="438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  <c r="AL511" s="23"/>
      <c r="AM511" s="23"/>
      <c r="AN511" s="23"/>
      <c r="AO511" s="23"/>
      <c r="AP511" s="23"/>
      <c r="AQ511" s="23"/>
      <c r="AR511" s="23"/>
      <c r="AS511" s="23"/>
      <c r="AT511" s="23"/>
      <c r="AU511" s="23"/>
      <c r="AV511" s="23"/>
      <c r="AW511" s="23"/>
      <c r="AX511" s="23"/>
      <c r="AY511" s="23"/>
      <c r="AZ511" s="23"/>
      <c r="BA511" s="23"/>
      <c r="BB511" s="23"/>
      <c r="BC511" s="23"/>
      <c r="BD511" s="23"/>
      <c r="BE511" s="23"/>
      <c r="BF511" s="23"/>
      <c r="BG511" s="23"/>
      <c r="BH511" s="23"/>
      <c r="BI511" s="23"/>
      <c r="BJ511" s="23"/>
      <c r="BK511" s="23"/>
      <c r="BL511" s="23"/>
      <c r="BM511" s="23"/>
      <c r="BN511" s="23"/>
      <c r="BO511" s="23"/>
      <c r="BP511" s="23"/>
      <c r="BQ511" s="23"/>
      <c r="BR511" s="23"/>
      <c r="BS511" s="23"/>
      <c r="BT511" s="23"/>
      <c r="BU511" s="23"/>
      <c r="BV511" s="23"/>
      <c r="BW511" s="23"/>
      <c r="BX511" s="23"/>
      <c r="BY511" s="23"/>
      <c r="BZ511" s="23"/>
      <c r="CA511" s="23"/>
      <c r="CB511" s="23"/>
      <c r="CC511" s="23"/>
      <c r="CD511" s="23"/>
      <c r="CE511" s="23"/>
      <c r="CF511" s="23"/>
      <c r="CG511" s="23"/>
      <c r="CH511" s="23"/>
      <c r="CI511" s="23"/>
      <c r="CJ511" s="23"/>
      <c r="CK511" s="23"/>
      <c r="CL511" s="23"/>
      <c r="CM511" s="23"/>
      <c r="CN511" s="23"/>
      <c r="CO511" s="23"/>
      <c r="CP511" s="23"/>
      <c r="CQ511" s="23"/>
      <c r="CR511" s="23"/>
      <c r="CS511" s="23"/>
      <c r="CT511" s="23"/>
      <c r="CU511" s="23"/>
      <c r="CV511" s="23"/>
      <c r="CW511" s="23"/>
      <c r="CX511" s="23"/>
      <c r="CY511" s="23"/>
      <c r="CZ511" s="23"/>
      <c r="DA511" s="23"/>
      <c r="DB511" s="23"/>
      <c r="DC511" s="23"/>
      <c r="DD511" s="23"/>
      <c r="DE511" s="23"/>
      <c r="DF511" s="23"/>
      <c r="DG511" s="23"/>
      <c r="DH511" s="23"/>
      <c r="DI511" s="23"/>
      <c r="DJ511" s="23"/>
      <c r="DK511" s="23"/>
      <c r="DL511" s="23"/>
      <c r="DM511" s="23"/>
      <c r="DN511" s="23"/>
      <c r="DO511" s="23"/>
      <c r="DP511" s="23"/>
      <c r="DQ511" s="23"/>
      <c r="DR511" s="23"/>
      <c r="DS511" s="23"/>
      <c r="DT511" s="23"/>
      <c r="DU511" s="23"/>
      <c r="DV511" s="23"/>
      <c r="DW511" s="23"/>
      <c r="DX511" s="23"/>
      <c r="DY511" s="23"/>
      <c r="DZ511" s="23"/>
      <c r="EA511" s="23"/>
      <c r="EB511" s="23"/>
      <c r="EC511" s="23"/>
      <c r="ED511" s="23"/>
      <c r="EE511" s="23"/>
      <c r="EF511" s="23"/>
      <c r="EG511" s="23"/>
      <c r="EH511" s="23"/>
      <c r="EI511" s="23"/>
      <c r="EJ511" s="23"/>
      <c r="EK511" s="23"/>
      <c r="EL511" s="23"/>
      <c r="EM511" s="23"/>
      <c r="EN511" s="23"/>
      <c r="EO511" s="23"/>
      <c r="EP511" s="23"/>
      <c r="EQ511" s="23"/>
      <c r="ER511" s="23"/>
      <c r="ES511" s="23"/>
      <c r="ET511" s="23"/>
      <c r="EU511" s="23"/>
      <c r="EV511" s="23"/>
      <c r="EW511" s="23"/>
      <c r="EX511" s="23"/>
      <c r="EY511" s="23"/>
      <c r="EZ511" s="23"/>
      <c r="FA511" s="23"/>
      <c r="FB511" s="23"/>
      <c r="FC511" s="23"/>
      <c r="FD511" s="23"/>
      <c r="FE511" s="23"/>
      <c r="FF511" s="23"/>
      <c r="FG511" s="23"/>
      <c r="FH511" s="23"/>
      <c r="FI511" s="23"/>
      <c r="FJ511" s="23"/>
      <c r="FK511" s="23"/>
      <c r="FL511" s="23"/>
      <c r="FM511" s="23"/>
      <c r="FN511" s="23"/>
      <c r="FO511" s="23"/>
      <c r="FP511" s="23"/>
      <c r="FQ511" s="23"/>
      <c r="FR511" s="23"/>
      <c r="FS511" s="23"/>
      <c r="FT511" s="23"/>
      <c r="FU511" s="23"/>
      <c r="FV511" s="23"/>
      <c r="FW511" s="23"/>
      <c r="FX511" s="23"/>
      <c r="FY511" s="23"/>
      <c r="FZ511" s="23"/>
      <c r="GA511" s="23"/>
      <c r="GB511" s="23"/>
      <c r="GC511" s="23"/>
      <c r="GD511" s="23"/>
      <c r="GE511" s="23"/>
      <c r="GF511" s="23"/>
      <c r="GG511" s="23"/>
      <c r="GH511" s="23"/>
      <c r="GI511" s="23"/>
      <c r="GJ511" s="23"/>
      <c r="GK511" s="23"/>
      <c r="GL511" s="23"/>
    </row>
    <row r="512" spans="1:194" ht="13">
      <c r="A512" s="23"/>
      <c r="B512" s="23"/>
      <c r="C512" s="23"/>
      <c r="D512" s="23"/>
      <c r="E512" s="23"/>
      <c r="F512" s="23"/>
      <c r="G512" s="23"/>
      <c r="H512" s="401"/>
      <c r="I512" s="401"/>
      <c r="J512" s="401"/>
      <c r="K512" s="401"/>
      <c r="L512" s="401"/>
      <c r="M512" s="438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  <c r="AL512" s="23"/>
      <c r="AM512" s="23"/>
      <c r="AN512" s="23"/>
      <c r="AO512" s="23"/>
      <c r="AP512" s="23"/>
      <c r="AQ512" s="23"/>
      <c r="AR512" s="23"/>
      <c r="AS512" s="23"/>
      <c r="AT512" s="23"/>
      <c r="AU512" s="23"/>
      <c r="AV512" s="23"/>
      <c r="AW512" s="23"/>
      <c r="AX512" s="23"/>
      <c r="AY512" s="23"/>
      <c r="AZ512" s="23"/>
      <c r="BA512" s="23"/>
      <c r="BB512" s="23"/>
      <c r="BC512" s="23"/>
      <c r="BD512" s="23"/>
      <c r="BE512" s="23"/>
      <c r="BF512" s="23"/>
      <c r="BG512" s="23"/>
      <c r="BH512" s="23"/>
      <c r="BI512" s="23"/>
      <c r="BJ512" s="23"/>
      <c r="BK512" s="23"/>
      <c r="BL512" s="23"/>
      <c r="BM512" s="23"/>
      <c r="BN512" s="23"/>
      <c r="BO512" s="23"/>
      <c r="BP512" s="23"/>
      <c r="BQ512" s="23"/>
      <c r="BR512" s="23"/>
      <c r="BS512" s="23"/>
      <c r="BT512" s="23"/>
      <c r="BU512" s="23"/>
      <c r="BV512" s="23"/>
      <c r="BW512" s="23"/>
      <c r="BX512" s="23"/>
      <c r="BY512" s="23"/>
      <c r="BZ512" s="23"/>
      <c r="CA512" s="23"/>
      <c r="CB512" s="23"/>
      <c r="CC512" s="23"/>
      <c r="CD512" s="23"/>
      <c r="CE512" s="23"/>
      <c r="CF512" s="23"/>
      <c r="CG512" s="23"/>
      <c r="CH512" s="23"/>
      <c r="CI512" s="23"/>
      <c r="CJ512" s="23"/>
      <c r="CK512" s="23"/>
      <c r="CL512" s="23"/>
      <c r="CM512" s="23"/>
      <c r="CN512" s="23"/>
      <c r="CO512" s="23"/>
      <c r="CP512" s="23"/>
      <c r="CQ512" s="23"/>
      <c r="CR512" s="23"/>
      <c r="CS512" s="23"/>
      <c r="CT512" s="23"/>
      <c r="CU512" s="23"/>
      <c r="CV512" s="23"/>
      <c r="CW512" s="23"/>
      <c r="CX512" s="23"/>
      <c r="CY512" s="23"/>
      <c r="CZ512" s="23"/>
      <c r="DA512" s="23"/>
      <c r="DB512" s="23"/>
      <c r="DC512" s="23"/>
      <c r="DD512" s="23"/>
      <c r="DE512" s="23"/>
      <c r="DF512" s="23"/>
      <c r="DG512" s="23"/>
      <c r="DH512" s="23"/>
      <c r="DI512" s="23"/>
      <c r="DJ512" s="23"/>
      <c r="DK512" s="23"/>
      <c r="DL512" s="23"/>
      <c r="DM512" s="23"/>
      <c r="DN512" s="23"/>
      <c r="DO512" s="23"/>
      <c r="DP512" s="23"/>
      <c r="DQ512" s="23"/>
      <c r="DR512" s="23"/>
      <c r="DS512" s="23"/>
      <c r="DT512" s="23"/>
      <c r="DU512" s="23"/>
      <c r="DV512" s="23"/>
      <c r="DW512" s="23"/>
      <c r="DX512" s="23"/>
      <c r="DY512" s="23"/>
      <c r="DZ512" s="23"/>
      <c r="EA512" s="23"/>
      <c r="EB512" s="23"/>
      <c r="EC512" s="23"/>
      <c r="ED512" s="23"/>
      <c r="EE512" s="23"/>
      <c r="EF512" s="23"/>
      <c r="EG512" s="23"/>
      <c r="EH512" s="23"/>
      <c r="EI512" s="23"/>
      <c r="EJ512" s="23"/>
      <c r="EK512" s="23"/>
      <c r="EL512" s="23"/>
      <c r="EM512" s="23"/>
      <c r="EN512" s="23"/>
      <c r="EO512" s="23"/>
      <c r="EP512" s="23"/>
      <c r="EQ512" s="23"/>
      <c r="ER512" s="23"/>
      <c r="ES512" s="23"/>
      <c r="ET512" s="23"/>
      <c r="EU512" s="23"/>
      <c r="EV512" s="23"/>
      <c r="EW512" s="23"/>
      <c r="EX512" s="23"/>
      <c r="EY512" s="23"/>
      <c r="EZ512" s="23"/>
      <c r="FA512" s="23"/>
      <c r="FB512" s="23"/>
      <c r="FC512" s="23"/>
      <c r="FD512" s="23"/>
      <c r="FE512" s="23"/>
      <c r="FF512" s="23"/>
      <c r="FG512" s="23"/>
      <c r="FH512" s="23"/>
      <c r="FI512" s="23"/>
      <c r="FJ512" s="23"/>
      <c r="FK512" s="23"/>
      <c r="FL512" s="23"/>
      <c r="FM512" s="23"/>
      <c r="FN512" s="23"/>
      <c r="FO512" s="23"/>
      <c r="FP512" s="23"/>
      <c r="FQ512" s="23"/>
      <c r="FR512" s="23"/>
      <c r="FS512" s="23"/>
      <c r="FT512" s="23"/>
      <c r="FU512" s="23"/>
      <c r="FV512" s="23"/>
      <c r="FW512" s="23"/>
      <c r="FX512" s="23"/>
      <c r="FY512" s="23"/>
      <c r="FZ512" s="23"/>
      <c r="GA512" s="23"/>
      <c r="GB512" s="23"/>
      <c r="GC512" s="23"/>
      <c r="GD512" s="23"/>
      <c r="GE512" s="23"/>
      <c r="GF512" s="23"/>
      <c r="GG512" s="23"/>
      <c r="GH512" s="23"/>
      <c r="GI512" s="23"/>
      <c r="GJ512" s="23"/>
      <c r="GK512" s="23"/>
      <c r="GL512" s="23"/>
    </row>
    <row r="513" spans="1:194" ht="13">
      <c r="A513" s="23"/>
      <c r="B513" s="23"/>
      <c r="C513" s="23"/>
      <c r="D513" s="23"/>
      <c r="E513" s="23"/>
      <c r="F513" s="23"/>
      <c r="G513" s="23"/>
      <c r="H513" s="401"/>
      <c r="I513" s="401"/>
      <c r="J513" s="401"/>
      <c r="K513" s="401"/>
      <c r="L513" s="401"/>
      <c r="M513" s="438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  <c r="AL513" s="23"/>
      <c r="AM513" s="23"/>
      <c r="AN513" s="23"/>
      <c r="AO513" s="23"/>
      <c r="AP513" s="23"/>
      <c r="AQ513" s="23"/>
      <c r="AR513" s="23"/>
      <c r="AS513" s="23"/>
      <c r="AT513" s="23"/>
      <c r="AU513" s="23"/>
      <c r="AV513" s="23"/>
      <c r="AW513" s="23"/>
      <c r="AX513" s="23"/>
      <c r="AY513" s="23"/>
      <c r="AZ513" s="23"/>
      <c r="BA513" s="23"/>
      <c r="BB513" s="23"/>
      <c r="BC513" s="23"/>
      <c r="BD513" s="23"/>
      <c r="BE513" s="23"/>
      <c r="BF513" s="23"/>
      <c r="BG513" s="23"/>
      <c r="BH513" s="23"/>
      <c r="BI513" s="23"/>
      <c r="BJ513" s="23"/>
      <c r="BK513" s="23"/>
      <c r="BL513" s="23"/>
      <c r="BM513" s="23"/>
      <c r="BN513" s="23"/>
      <c r="BO513" s="23"/>
      <c r="BP513" s="23"/>
      <c r="BQ513" s="23"/>
      <c r="BR513" s="23"/>
      <c r="BS513" s="23"/>
      <c r="BT513" s="23"/>
      <c r="BU513" s="23"/>
      <c r="BV513" s="23"/>
      <c r="BW513" s="23"/>
      <c r="BX513" s="23"/>
      <c r="BY513" s="23"/>
      <c r="BZ513" s="23"/>
      <c r="CA513" s="23"/>
      <c r="CB513" s="23"/>
      <c r="CC513" s="23"/>
      <c r="CD513" s="23"/>
      <c r="CE513" s="23"/>
      <c r="CF513" s="23"/>
      <c r="CG513" s="23"/>
      <c r="CH513" s="23"/>
      <c r="CI513" s="23"/>
      <c r="CJ513" s="23"/>
      <c r="CK513" s="23"/>
      <c r="CL513" s="23"/>
      <c r="CM513" s="23"/>
      <c r="CN513" s="23"/>
      <c r="CO513" s="23"/>
      <c r="CP513" s="23"/>
      <c r="CQ513" s="23"/>
      <c r="CR513" s="23"/>
      <c r="CS513" s="23"/>
      <c r="CT513" s="23"/>
      <c r="CU513" s="23"/>
      <c r="CV513" s="23"/>
      <c r="CW513" s="23"/>
      <c r="CX513" s="23"/>
      <c r="CY513" s="23"/>
      <c r="CZ513" s="23"/>
      <c r="DA513" s="23"/>
      <c r="DB513" s="23"/>
      <c r="DC513" s="23"/>
      <c r="DD513" s="23"/>
      <c r="DE513" s="23"/>
      <c r="DF513" s="23"/>
      <c r="DG513" s="23"/>
      <c r="DH513" s="23"/>
      <c r="DI513" s="23"/>
      <c r="DJ513" s="23"/>
      <c r="DK513" s="23"/>
      <c r="DL513" s="23"/>
      <c r="DM513" s="23"/>
      <c r="DN513" s="23"/>
      <c r="DO513" s="23"/>
      <c r="DP513" s="23"/>
      <c r="DQ513" s="23"/>
      <c r="DR513" s="23"/>
      <c r="DS513" s="23"/>
      <c r="DT513" s="23"/>
      <c r="DU513" s="23"/>
      <c r="DV513" s="23"/>
      <c r="DW513" s="23"/>
      <c r="DX513" s="23"/>
      <c r="DY513" s="23"/>
      <c r="DZ513" s="23"/>
      <c r="EA513" s="23"/>
      <c r="EB513" s="23"/>
      <c r="EC513" s="23"/>
      <c r="ED513" s="23"/>
      <c r="EE513" s="23"/>
      <c r="EF513" s="23"/>
      <c r="EG513" s="23"/>
      <c r="EH513" s="23"/>
      <c r="EI513" s="23"/>
      <c r="EJ513" s="23"/>
      <c r="EK513" s="23"/>
      <c r="EL513" s="23"/>
      <c r="EM513" s="23"/>
      <c r="EN513" s="23"/>
      <c r="EO513" s="23"/>
      <c r="EP513" s="23"/>
      <c r="EQ513" s="23"/>
      <c r="ER513" s="23"/>
      <c r="ES513" s="23"/>
      <c r="ET513" s="23"/>
      <c r="EU513" s="23"/>
      <c r="EV513" s="23"/>
      <c r="EW513" s="23"/>
      <c r="EX513" s="23"/>
      <c r="EY513" s="23"/>
      <c r="EZ513" s="23"/>
      <c r="FA513" s="23"/>
      <c r="FB513" s="23"/>
      <c r="FC513" s="23"/>
      <c r="FD513" s="23"/>
      <c r="FE513" s="23"/>
      <c r="FF513" s="23"/>
      <c r="FG513" s="23"/>
      <c r="FH513" s="23"/>
      <c r="FI513" s="23"/>
      <c r="FJ513" s="23"/>
      <c r="FK513" s="23"/>
      <c r="FL513" s="23"/>
      <c r="FM513" s="23"/>
      <c r="FN513" s="23"/>
      <c r="FO513" s="23"/>
      <c r="FP513" s="23"/>
      <c r="FQ513" s="23"/>
      <c r="FR513" s="23"/>
      <c r="FS513" s="23"/>
      <c r="FT513" s="23"/>
      <c r="FU513" s="23"/>
      <c r="FV513" s="23"/>
      <c r="FW513" s="23"/>
      <c r="FX513" s="23"/>
      <c r="FY513" s="23"/>
      <c r="FZ513" s="23"/>
      <c r="GA513" s="23"/>
      <c r="GB513" s="23"/>
      <c r="GC513" s="23"/>
      <c r="GD513" s="23"/>
      <c r="GE513" s="23"/>
      <c r="GF513" s="23"/>
      <c r="GG513" s="23"/>
      <c r="GH513" s="23"/>
      <c r="GI513" s="23"/>
      <c r="GJ513" s="23"/>
      <c r="GK513" s="23"/>
      <c r="GL513" s="23"/>
    </row>
    <row r="514" spans="1:194" ht="13">
      <c r="A514" s="23"/>
      <c r="B514" s="23"/>
      <c r="C514" s="23"/>
      <c r="D514" s="23"/>
      <c r="E514" s="23"/>
      <c r="F514" s="23"/>
      <c r="G514" s="23"/>
      <c r="H514" s="401"/>
      <c r="I514" s="401"/>
      <c r="J514" s="401"/>
      <c r="K514" s="401"/>
      <c r="L514" s="401"/>
      <c r="M514" s="438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  <c r="AL514" s="23"/>
      <c r="AM514" s="23"/>
      <c r="AN514" s="23"/>
      <c r="AO514" s="23"/>
      <c r="AP514" s="23"/>
      <c r="AQ514" s="23"/>
      <c r="AR514" s="23"/>
      <c r="AS514" s="23"/>
      <c r="AT514" s="23"/>
      <c r="AU514" s="23"/>
      <c r="AV514" s="23"/>
      <c r="AW514" s="23"/>
      <c r="AX514" s="23"/>
      <c r="AY514" s="23"/>
      <c r="AZ514" s="23"/>
      <c r="BA514" s="23"/>
      <c r="BB514" s="23"/>
      <c r="BC514" s="23"/>
      <c r="BD514" s="23"/>
      <c r="BE514" s="23"/>
      <c r="BF514" s="23"/>
      <c r="BG514" s="23"/>
      <c r="BH514" s="23"/>
      <c r="BI514" s="23"/>
      <c r="BJ514" s="23"/>
      <c r="BK514" s="23"/>
      <c r="BL514" s="23"/>
      <c r="BM514" s="23"/>
      <c r="BN514" s="23"/>
      <c r="BO514" s="23"/>
      <c r="BP514" s="23"/>
      <c r="BQ514" s="23"/>
      <c r="BR514" s="23"/>
      <c r="BS514" s="23"/>
      <c r="BT514" s="23"/>
      <c r="BU514" s="23"/>
      <c r="BV514" s="23"/>
      <c r="BW514" s="23"/>
      <c r="BX514" s="23"/>
      <c r="BY514" s="23"/>
      <c r="BZ514" s="23"/>
      <c r="CA514" s="23"/>
      <c r="CB514" s="23"/>
      <c r="CC514" s="23"/>
      <c r="CD514" s="23"/>
      <c r="CE514" s="23"/>
      <c r="CF514" s="23"/>
      <c r="CG514" s="23"/>
      <c r="CH514" s="23"/>
      <c r="CI514" s="23"/>
      <c r="CJ514" s="23"/>
      <c r="CK514" s="23"/>
      <c r="CL514" s="23"/>
      <c r="CM514" s="23"/>
      <c r="CN514" s="23"/>
      <c r="CO514" s="23"/>
      <c r="CP514" s="23"/>
      <c r="CQ514" s="23"/>
      <c r="CR514" s="23"/>
      <c r="CS514" s="23"/>
      <c r="CT514" s="23"/>
      <c r="CU514" s="23"/>
      <c r="CV514" s="23"/>
      <c r="CW514" s="23"/>
      <c r="CX514" s="23"/>
      <c r="CY514" s="23"/>
      <c r="CZ514" s="23"/>
      <c r="DA514" s="23"/>
      <c r="DB514" s="23"/>
      <c r="DC514" s="23"/>
      <c r="DD514" s="23"/>
      <c r="DE514" s="23"/>
      <c r="DF514" s="23"/>
      <c r="DG514" s="23"/>
      <c r="DH514" s="23"/>
      <c r="DI514" s="23"/>
      <c r="DJ514" s="23"/>
      <c r="DK514" s="23"/>
      <c r="DL514" s="23"/>
      <c r="DM514" s="23"/>
      <c r="DN514" s="23"/>
      <c r="DO514" s="23"/>
      <c r="DP514" s="23"/>
      <c r="DQ514" s="23"/>
      <c r="DR514" s="23"/>
      <c r="DS514" s="23"/>
      <c r="DT514" s="23"/>
      <c r="DU514" s="23"/>
      <c r="DV514" s="23"/>
      <c r="DW514" s="23"/>
      <c r="DX514" s="23"/>
      <c r="DY514" s="23"/>
      <c r="DZ514" s="23"/>
      <c r="EA514" s="23"/>
      <c r="EB514" s="23"/>
      <c r="EC514" s="23"/>
      <c r="ED514" s="23"/>
      <c r="EE514" s="23"/>
      <c r="EF514" s="23"/>
      <c r="EG514" s="23"/>
      <c r="EH514" s="23"/>
      <c r="EI514" s="23"/>
      <c r="EJ514" s="23"/>
      <c r="EK514" s="23"/>
      <c r="EL514" s="23"/>
      <c r="EM514" s="23"/>
      <c r="EN514" s="23"/>
      <c r="EO514" s="23"/>
      <c r="EP514" s="23"/>
      <c r="EQ514" s="23"/>
      <c r="ER514" s="23"/>
      <c r="ES514" s="23"/>
      <c r="ET514" s="23"/>
      <c r="EU514" s="23"/>
      <c r="EV514" s="23"/>
      <c r="EW514" s="23"/>
      <c r="EX514" s="23"/>
      <c r="EY514" s="23"/>
      <c r="EZ514" s="23"/>
      <c r="FA514" s="23"/>
      <c r="FB514" s="23"/>
      <c r="FC514" s="23"/>
      <c r="FD514" s="23"/>
      <c r="FE514" s="23"/>
      <c r="FF514" s="23"/>
      <c r="FG514" s="23"/>
      <c r="FH514" s="23"/>
      <c r="FI514" s="23"/>
      <c r="FJ514" s="23"/>
      <c r="FK514" s="23"/>
      <c r="FL514" s="23"/>
      <c r="FM514" s="23"/>
      <c r="FN514" s="23"/>
      <c r="FO514" s="23"/>
      <c r="FP514" s="23"/>
      <c r="FQ514" s="23"/>
      <c r="FR514" s="23"/>
      <c r="FS514" s="23"/>
      <c r="FT514" s="23"/>
      <c r="FU514" s="23"/>
      <c r="FV514" s="23"/>
      <c r="FW514" s="23"/>
      <c r="FX514" s="23"/>
      <c r="FY514" s="23"/>
      <c r="FZ514" s="23"/>
      <c r="GA514" s="23"/>
      <c r="GB514" s="23"/>
      <c r="GC514" s="23"/>
      <c r="GD514" s="23"/>
      <c r="GE514" s="23"/>
      <c r="GF514" s="23"/>
      <c r="GG514" s="23"/>
      <c r="GH514" s="23"/>
      <c r="GI514" s="23"/>
      <c r="GJ514" s="23"/>
      <c r="GK514" s="23"/>
      <c r="GL514" s="23"/>
    </row>
    <row r="515" spans="1:194" ht="13">
      <c r="A515" s="23"/>
      <c r="B515" s="23"/>
      <c r="C515" s="23"/>
      <c r="D515" s="23"/>
      <c r="E515" s="23"/>
      <c r="F515" s="23"/>
      <c r="G515" s="23"/>
      <c r="H515" s="401"/>
      <c r="I515" s="401"/>
      <c r="J515" s="401"/>
      <c r="K515" s="401"/>
      <c r="L515" s="401"/>
      <c r="M515" s="438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  <c r="AL515" s="23"/>
      <c r="AM515" s="23"/>
      <c r="AN515" s="23"/>
      <c r="AO515" s="23"/>
      <c r="AP515" s="23"/>
      <c r="AQ515" s="23"/>
      <c r="AR515" s="23"/>
      <c r="AS515" s="23"/>
      <c r="AT515" s="23"/>
      <c r="AU515" s="23"/>
      <c r="AV515" s="23"/>
      <c r="AW515" s="23"/>
      <c r="AX515" s="23"/>
      <c r="AY515" s="23"/>
      <c r="AZ515" s="23"/>
      <c r="BA515" s="23"/>
      <c r="BB515" s="23"/>
      <c r="BC515" s="23"/>
      <c r="BD515" s="23"/>
      <c r="BE515" s="23"/>
      <c r="BF515" s="23"/>
      <c r="BG515" s="23"/>
      <c r="BH515" s="23"/>
      <c r="BI515" s="23"/>
      <c r="BJ515" s="23"/>
      <c r="BK515" s="23"/>
      <c r="BL515" s="23"/>
      <c r="BM515" s="23"/>
      <c r="BN515" s="23"/>
      <c r="BO515" s="23"/>
      <c r="BP515" s="23"/>
      <c r="BQ515" s="23"/>
      <c r="BR515" s="23"/>
      <c r="BS515" s="23"/>
      <c r="BT515" s="23"/>
      <c r="BU515" s="23"/>
      <c r="BV515" s="23"/>
      <c r="BW515" s="23"/>
      <c r="BX515" s="23"/>
      <c r="BY515" s="23"/>
      <c r="BZ515" s="23"/>
      <c r="CA515" s="23"/>
      <c r="CB515" s="23"/>
      <c r="CC515" s="23"/>
      <c r="CD515" s="23"/>
      <c r="CE515" s="23"/>
      <c r="CF515" s="23"/>
      <c r="CG515" s="23"/>
      <c r="CH515" s="23"/>
      <c r="CI515" s="23"/>
      <c r="CJ515" s="23"/>
      <c r="CK515" s="23"/>
      <c r="CL515" s="23"/>
      <c r="CM515" s="23"/>
      <c r="CN515" s="23"/>
      <c r="CO515" s="23"/>
      <c r="CP515" s="23"/>
      <c r="CQ515" s="23"/>
      <c r="CR515" s="23"/>
      <c r="CS515" s="23"/>
      <c r="CT515" s="23"/>
      <c r="CU515" s="23"/>
      <c r="CV515" s="23"/>
      <c r="CW515" s="23"/>
      <c r="CX515" s="23"/>
      <c r="CY515" s="23"/>
      <c r="CZ515" s="23"/>
      <c r="DA515" s="23"/>
      <c r="DB515" s="23"/>
      <c r="DC515" s="23"/>
      <c r="DD515" s="23"/>
      <c r="DE515" s="23"/>
      <c r="DF515" s="23"/>
      <c r="DG515" s="23"/>
      <c r="DH515" s="23"/>
      <c r="DI515" s="23"/>
      <c r="DJ515" s="23"/>
      <c r="DK515" s="23"/>
      <c r="DL515" s="23"/>
      <c r="DM515" s="23"/>
      <c r="DN515" s="23"/>
      <c r="DO515" s="23"/>
      <c r="DP515" s="23"/>
      <c r="DQ515" s="23"/>
      <c r="DR515" s="23"/>
      <c r="DS515" s="23"/>
      <c r="DT515" s="23"/>
      <c r="DU515" s="23"/>
      <c r="DV515" s="23"/>
      <c r="DW515" s="23"/>
      <c r="DX515" s="23"/>
      <c r="DY515" s="23"/>
      <c r="DZ515" s="23"/>
      <c r="EA515" s="23"/>
      <c r="EB515" s="23"/>
      <c r="EC515" s="23"/>
      <c r="ED515" s="23"/>
      <c r="EE515" s="23"/>
      <c r="EF515" s="23"/>
      <c r="EG515" s="23"/>
      <c r="EH515" s="23"/>
      <c r="EI515" s="23"/>
      <c r="EJ515" s="23"/>
      <c r="EK515" s="23"/>
      <c r="EL515" s="23"/>
      <c r="EM515" s="23"/>
      <c r="EN515" s="23"/>
      <c r="EO515" s="23"/>
      <c r="EP515" s="23"/>
      <c r="EQ515" s="23"/>
      <c r="ER515" s="23"/>
      <c r="ES515" s="23"/>
      <c r="ET515" s="23"/>
      <c r="EU515" s="23"/>
      <c r="EV515" s="23"/>
      <c r="EW515" s="23"/>
      <c r="EX515" s="23"/>
      <c r="EY515" s="23"/>
      <c r="EZ515" s="23"/>
      <c r="FA515" s="23"/>
      <c r="FB515" s="23"/>
      <c r="FC515" s="23"/>
      <c r="FD515" s="23"/>
      <c r="FE515" s="23"/>
      <c r="FF515" s="23"/>
      <c r="FG515" s="23"/>
      <c r="FH515" s="23"/>
      <c r="FI515" s="23"/>
      <c r="FJ515" s="23"/>
      <c r="FK515" s="23"/>
      <c r="FL515" s="23"/>
      <c r="FM515" s="23"/>
      <c r="FN515" s="23"/>
      <c r="FO515" s="23"/>
      <c r="FP515" s="23"/>
      <c r="FQ515" s="23"/>
      <c r="FR515" s="23"/>
      <c r="FS515" s="23"/>
      <c r="FT515" s="23"/>
      <c r="FU515" s="23"/>
      <c r="FV515" s="23"/>
      <c r="FW515" s="23"/>
      <c r="FX515" s="23"/>
      <c r="FY515" s="23"/>
      <c r="FZ515" s="23"/>
      <c r="GA515" s="23"/>
      <c r="GB515" s="23"/>
      <c r="GC515" s="23"/>
      <c r="GD515" s="23"/>
      <c r="GE515" s="23"/>
      <c r="GF515" s="23"/>
      <c r="GG515" s="23"/>
      <c r="GH515" s="23"/>
      <c r="GI515" s="23"/>
      <c r="GJ515" s="23"/>
      <c r="GK515" s="23"/>
      <c r="GL515" s="23"/>
    </row>
    <row r="516" spans="1:194" ht="13">
      <c r="A516" s="23"/>
      <c r="B516" s="23"/>
      <c r="C516" s="23"/>
      <c r="D516" s="23"/>
      <c r="E516" s="23"/>
      <c r="F516" s="23"/>
      <c r="G516" s="23"/>
      <c r="H516" s="401"/>
      <c r="I516" s="401"/>
      <c r="J516" s="401"/>
      <c r="K516" s="401"/>
      <c r="L516" s="401"/>
      <c r="M516" s="438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  <c r="AL516" s="23"/>
      <c r="AM516" s="23"/>
      <c r="AN516" s="23"/>
      <c r="AO516" s="23"/>
      <c r="AP516" s="23"/>
      <c r="AQ516" s="23"/>
      <c r="AR516" s="23"/>
      <c r="AS516" s="23"/>
      <c r="AT516" s="23"/>
      <c r="AU516" s="23"/>
      <c r="AV516" s="23"/>
      <c r="AW516" s="23"/>
      <c r="AX516" s="23"/>
      <c r="AY516" s="23"/>
      <c r="AZ516" s="23"/>
      <c r="BA516" s="23"/>
      <c r="BB516" s="23"/>
      <c r="BC516" s="23"/>
      <c r="BD516" s="23"/>
      <c r="BE516" s="23"/>
      <c r="BF516" s="23"/>
      <c r="BG516" s="23"/>
      <c r="BH516" s="23"/>
      <c r="BI516" s="23"/>
      <c r="BJ516" s="23"/>
      <c r="BK516" s="23"/>
      <c r="BL516" s="23"/>
      <c r="BM516" s="23"/>
      <c r="BN516" s="23"/>
      <c r="BO516" s="23"/>
      <c r="BP516" s="23"/>
      <c r="BQ516" s="23"/>
      <c r="BR516" s="23"/>
      <c r="BS516" s="23"/>
      <c r="BT516" s="23"/>
      <c r="BU516" s="23"/>
      <c r="BV516" s="23"/>
      <c r="BW516" s="23"/>
      <c r="BX516" s="23"/>
      <c r="BY516" s="23"/>
      <c r="BZ516" s="23"/>
      <c r="CA516" s="23"/>
      <c r="CB516" s="23"/>
      <c r="CC516" s="23"/>
      <c r="CD516" s="23"/>
      <c r="CE516" s="23"/>
      <c r="CF516" s="23"/>
      <c r="CG516" s="23"/>
      <c r="CH516" s="23"/>
      <c r="CI516" s="23"/>
      <c r="CJ516" s="23"/>
      <c r="CK516" s="23"/>
      <c r="CL516" s="23"/>
      <c r="CM516" s="23"/>
      <c r="CN516" s="23"/>
      <c r="CO516" s="23"/>
      <c r="CP516" s="23"/>
      <c r="CQ516" s="23"/>
      <c r="CR516" s="23"/>
      <c r="CS516" s="23"/>
      <c r="CT516" s="23"/>
      <c r="CU516" s="23"/>
      <c r="CV516" s="23"/>
      <c r="CW516" s="23"/>
      <c r="CX516" s="23"/>
      <c r="CY516" s="23"/>
      <c r="CZ516" s="23"/>
      <c r="DA516" s="23"/>
      <c r="DB516" s="23"/>
      <c r="DC516" s="23"/>
      <c r="DD516" s="23"/>
      <c r="DE516" s="23"/>
      <c r="DF516" s="23"/>
      <c r="DG516" s="23"/>
      <c r="DH516" s="23"/>
      <c r="DI516" s="23"/>
      <c r="DJ516" s="23"/>
      <c r="DK516" s="23"/>
      <c r="DL516" s="23"/>
      <c r="DM516" s="23"/>
      <c r="DN516" s="23"/>
      <c r="DO516" s="23"/>
      <c r="DP516" s="23"/>
      <c r="DQ516" s="23"/>
      <c r="DR516" s="23"/>
      <c r="DS516" s="23"/>
      <c r="DT516" s="23"/>
      <c r="DU516" s="23"/>
      <c r="DV516" s="23"/>
      <c r="DW516" s="23"/>
      <c r="DX516" s="23"/>
      <c r="DY516" s="23"/>
      <c r="DZ516" s="23"/>
      <c r="EA516" s="23"/>
      <c r="EB516" s="23"/>
      <c r="EC516" s="23"/>
      <c r="ED516" s="23"/>
      <c r="EE516" s="23"/>
      <c r="EF516" s="23"/>
      <c r="EG516" s="23"/>
      <c r="EH516" s="23"/>
      <c r="EI516" s="23"/>
      <c r="EJ516" s="23"/>
      <c r="EK516" s="23"/>
      <c r="EL516" s="23"/>
      <c r="EM516" s="23"/>
      <c r="EN516" s="23"/>
      <c r="EO516" s="23"/>
      <c r="EP516" s="23"/>
      <c r="EQ516" s="23"/>
      <c r="ER516" s="23"/>
      <c r="ES516" s="23"/>
      <c r="ET516" s="23"/>
      <c r="EU516" s="23"/>
      <c r="EV516" s="23"/>
      <c r="EW516" s="23"/>
      <c r="EX516" s="23"/>
      <c r="EY516" s="23"/>
      <c r="EZ516" s="23"/>
      <c r="FA516" s="23"/>
      <c r="FB516" s="23"/>
      <c r="FC516" s="23"/>
      <c r="FD516" s="23"/>
      <c r="FE516" s="23"/>
      <c r="FF516" s="23"/>
      <c r="FG516" s="23"/>
      <c r="FH516" s="23"/>
      <c r="FI516" s="23"/>
      <c r="FJ516" s="23"/>
      <c r="FK516" s="23"/>
      <c r="FL516" s="23"/>
      <c r="FM516" s="23"/>
      <c r="FN516" s="23"/>
      <c r="FO516" s="23"/>
      <c r="FP516" s="23"/>
      <c r="FQ516" s="23"/>
      <c r="FR516" s="23"/>
      <c r="FS516" s="23"/>
      <c r="FT516" s="23"/>
      <c r="FU516" s="23"/>
      <c r="FV516" s="23"/>
      <c r="FW516" s="23"/>
      <c r="FX516" s="23"/>
      <c r="FY516" s="23"/>
      <c r="FZ516" s="23"/>
      <c r="GA516" s="23"/>
      <c r="GB516" s="23"/>
      <c r="GC516" s="23"/>
      <c r="GD516" s="23"/>
      <c r="GE516" s="23"/>
      <c r="GF516" s="23"/>
      <c r="GG516" s="23"/>
      <c r="GH516" s="23"/>
      <c r="GI516" s="23"/>
      <c r="GJ516" s="23"/>
      <c r="GK516" s="23"/>
      <c r="GL516" s="23"/>
    </row>
    <row r="517" spans="1:194" ht="13">
      <c r="A517" s="23"/>
      <c r="B517" s="23"/>
      <c r="C517" s="23"/>
      <c r="D517" s="23"/>
      <c r="E517" s="23"/>
      <c r="F517" s="23"/>
      <c r="G517" s="23"/>
      <c r="H517" s="401"/>
      <c r="I517" s="401"/>
      <c r="J517" s="401"/>
      <c r="K517" s="401"/>
      <c r="L517" s="401"/>
      <c r="M517" s="438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  <c r="AL517" s="23"/>
      <c r="AM517" s="23"/>
      <c r="AN517" s="23"/>
      <c r="AO517" s="23"/>
      <c r="AP517" s="23"/>
      <c r="AQ517" s="23"/>
      <c r="AR517" s="23"/>
      <c r="AS517" s="23"/>
      <c r="AT517" s="23"/>
      <c r="AU517" s="23"/>
      <c r="AV517" s="23"/>
      <c r="AW517" s="23"/>
      <c r="AX517" s="23"/>
      <c r="AY517" s="23"/>
      <c r="AZ517" s="23"/>
      <c r="BA517" s="23"/>
      <c r="BB517" s="23"/>
      <c r="BC517" s="23"/>
      <c r="BD517" s="23"/>
      <c r="BE517" s="23"/>
      <c r="BF517" s="23"/>
      <c r="BG517" s="23"/>
      <c r="BH517" s="23"/>
      <c r="BI517" s="23"/>
      <c r="BJ517" s="23"/>
      <c r="BK517" s="23"/>
      <c r="BL517" s="23"/>
      <c r="BM517" s="23"/>
      <c r="BN517" s="23"/>
      <c r="BO517" s="23"/>
      <c r="BP517" s="23"/>
      <c r="BQ517" s="23"/>
      <c r="BR517" s="23"/>
      <c r="BS517" s="23"/>
      <c r="BT517" s="23"/>
      <c r="BU517" s="23"/>
      <c r="BV517" s="23"/>
      <c r="BW517" s="23"/>
      <c r="BX517" s="23"/>
      <c r="BY517" s="23"/>
      <c r="BZ517" s="23"/>
      <c r="CA517" s="23"/>
      <c r="CB517" s="23"/>
      <c r="CC517" s="23"/>
      <c r="CD517" s="23"/>
      <c r="CE517" s="23"/>
      <c r="CF517" s="23"/>
      <c r="CG517" s="23"/>
      <c r="CH517" s="23"/>
      <c r="CI517" s="23"/>
      <c r="CJ517" s="23"/>
      <c r="CK517" s="23"/>
      <c r="CL517" s="23"/>
      <c r="CM517" s="23"/>
      <c r="CN517" s="23"/>
      <c r="CO517" s="23"/>
      <c r="CP517" s="23"/>
      <c r="CQ517" s="23"/>
      <c r="CR517" s="23"/>
      <c r="CS517" s="23"/>
      <c r="CT517" s="23"/>
      <c r="CU517" s="23"/>
      <c r="CV517" s="23"/>
      <c r="CW517" s="23"/>
      <c r="CX517" s="23"/>
      <c r="CY517" s="23"/>
      <c r="CZ517" s="23"/>
      <c r="DA517" s="23"/>
      <c r="DB517" s="23"/>
      <c r="DC517" s="23"/>
      <c r="DD517" s="23"/>
      <c r="DE517" s="23"/>
      <c r="DF517" s="23"/>
      <c r="DG517" s="23"/>
      <c r="DH517" s="23"/>
      <c r="DI517" s="23"/>
      <c r="DJ517" s="23"/>
      <c r="DK517" s="23"/>
      <c r="DL517" s="23"/>
      <c r="DM517" s="23"/>
      <c r="DN517" s="23"/>
      <c r="DO517" s="23"/>
      <c r="DP517" s="23"/>
      <c r="DQ517" s="23"/>
      <c r="DR517" s="23"/>
      <c r="DS517" s="23"/>
      <c r="DT517" s="23"/>
      <c r="DU517" s="23"/>
      <c r="DV517" s="23"/>
      <c r="DW517" s="23"/>
      <c r="DX517" s="23"/>
      <c r="DY517" s="23"/>
      <c r="DZ517" s="23"/>
      <c r="EA517" s="23"/>
      <c r="EB517" s="23"/>
      <c r="EC517" s="23"/>
      <c r="ED517" s="23"/>
      <c r="EE517" s="23"/>
      <c r="EF517" s="23"/>
      <c r="EG517" s="23"/>
      <c r="EH517" s="23"/>
      <c r="EI517" s="23"/>
      <c r="EJ517" s="23"/>
      <c r="EK517" s="23"/>
      <c r="EL517" s="23"/>
      <c r="EM517" s="23"/>
      <c r="EN517" s="23"/>
      <c r="EO517" s="23"/>
      <c r="EP517" s="23"/>
      <c r="EQ517" s="23"/>
      <c r="ER517" s="23"/>
      <c r="ES517" s="23"/>
      <c r="ET517" s="23"/>
      <c r="EU517" s="23"/>
      <c r="EV517" s="23"/>
      <c r="EW517" s="23"/>
      <c r="EX517" s="23"/>
      <c r="EY517" s="23"/>
      <c r="EZ517" s="23"/>
      <c r="FA517" s="23"/>
      <c r="FB517" s="23"/>
      <c r="FC517" s="23"/>
      <c r="FD517" s="23"/>
      <c r="FE517" s="23"/>
      <c r="FF517" s="23"/>
      <c r="FG517" s="23"/>
      <c r="FH517" s="23"/>
      <c r="FI517" s="23"/>
      <c r="FJ517" s="23"/>
      <c r="FK517" s="23"/>
      <c r="FL517" s="23"/>
      <c r="FM517" s="23"/>
      <c r="FN517" s="23"/>
      <c r="FO517" s="23"/>
      <c r="FP517" s="23"/>
      <c r="FQ517" s="23"/>
      <c r="FR517" s="23"/>
      <c r="FS517" s="23"/>
      <c r="FT517" s="23"/>
      <c r="FU517" s="23"/>
      <c r="FV517" s="23"/>
      <c r="FW517" s="23"/>
      <c r="FX517" s="23"/>
      <c r="FY517" s="23"/>
      <c r="FZ517" s="23"/>
      <c r="GA517" s="23"/>
      <c r="GB517" s="23"/>
      <c r="GC517" s="23"/>
      <c r="GD517" s="23"/>
      <c r="GE517" s="23"/>
      <c r="GF517" s="23"/>
      <c r="GG517" s="23"/>
      <c r="GH517" s="23"/>
      <c r="GI517" s="23"/>
      <c r="GJ517" s="23"/>
      <c r="GK517" s="23"/>
      <c r="GL517" s="23"/>
    </row>
    <row r="518" spans="1:194" ht="13">
      <c r="A518" s="23"/>
      <c r="B518" s="23"/>
      <c r="C518" s="23"/>
      <c r="D518" s="23"/>
      <c r="E518" s="23"/>
      <c r="F518" s="23"/>
      <c r="G518" s="23"/>
      <c r="H518" s="401"/>
      <c r="I518" s="401"/>
      <c r="J518" s="401"/>
      <c r="K518" s="401"/>
      <c r="L518" s="401"/>
      <c r="M518" s="438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  <c r="AL518" s="23"/>
      <c r="AM518" s="23"/>
      <c r="AN518" s="23"/>
      <c r="AO518" s="23"/>
      <c r="AP518" s="23"/>
      <c r="AQ518" s="23"/>
      <c r="AR518" s="23"/>
      <c r="AS518" s="23"/>
      <c r="AT518" s="23"/>
      <c r="AU518" s="23"/>
      <c r="AV518" s="23"/>
      <c r="AW518" s="23"/>
      <c r="AX518" s="23"/>
      <c r="AY518" s="23"/>
      <c r="AZ518" s="23"/>
      <c r="BA518" s="23"/>
      <c r="BB518" s="23"/>
      <c r="BC518" s="23"/>
      <c r="BD518" s="23"/>
      <c r="BE518" s="23"/>
      <c r="BF518" s="23"/>
      <c r="BG518" s="23"/>
      <c r="BH518" s="23"/>
      <c r="BI518" s="23"/>
      <c r="BJ518" s="23"/>
      <c r="BK518" s="23"/>
      <c r="BL518" s="23"/>
      <c r="BM518" s="23"/>
      <c r="BN518" s="23"/>
      <c r="BO518" s="23"/>
      <c r="BP518" s="23"/>
      <c r="BQ518" s="23"/>
      <c r="BR518" s="23"/>
      <c r="BS518" s="23"/>
      <c r="BT518" s="23"/>
      <c r="BU518" s="23"/>
      <c r="BV518" s="23"/>
      <c r="BW518" s="23"/>
      <c r="BX518" s="23"/>
      <c r="BY518" s="23"/>
      <c r="BZ518" s="23"/>
      <c r="CA518" s="23"/>
      <c r="CB518" s="23"/>
      <c r="CC518" s="23"/>
      <c r="CD518" s="23"/>
      <c r="CE518" s="23"/>
      <c r="CF518" s="23"/>
      <c r="CG518" s="23"/>
      <c r="CH518" s="23"/>
      <c r="CI518" s="23"/>
      <c r="CJ518" s="23"/>
      <c r="CK518" s="23"/>
      <c r="CL518" s="23"/>
      <c r="CM518" s="23"/>
      <c r="CN518" s="23"/>
      <c r="CO518" s="23"/>
      <c r="CP518" s="23"/>
      <c r="CQ518" s="23"/>
      <c r="CR518" s="23"/>
      <c r="CS518" s="23"/>
      <c r="CT518" s="23"/>
      <c r="CU518" s="23"/>
      <c r="CV518" s="23"/>
      <c r="CW518" s="23"/>
      <c r="CX518" s="23"/>
      <c r="CY518" s="23"/>
      <c r="CZ518" s="23"/>
      <c r="DA518" s="23"/>
      <c r="DB518" s="23"/>
      <c r="DC518" s="23"/>
      <c r="DD518" s="23"/>
      <c r="DE518" s="23"/>
      <c r="DF518" s="23"/>
      <c r="DG518" s="23"/>
      <c r="DH518" s="23"/>
      <c r="DI518" s="23"/>
      <c r="DJ518" s="23"/>
      <c r="DK518" s="23"/>
      <c r="DL518" s="23"/>
      <c r="DM518" s="23"/>
      <c r="DN518" s="23"/>
      <c r="DO518" s="23"/>
      <c r="DP518" s="23"/>
      <c r="DQ518" s="23"/>
      <c r="DR518" s="23"/>
      <c r="DS518" s="23"/>
      <c r="DT518" s="23"/>
      <c r="DU518" s="23"/>
      <c r="DV518" s="23"/>
      <c r="DW518" s="23"/>
      <c r="DX518" s="23"/>
      <c r="DY518" s="23"/>
      <c r="DZ518" s="23"/>
      <c r="EA518" s="23"/>
      <c r="EB518" s="23"/>
      <c r="EC518" s="23"/>
      <c r="ED518" s="23"/>
      <c r="EE518" s="23"/>
      <c r="EF518" s="23"/>
      <c r="EG518" s="23"/>
      <c r="EH518" s="23"/>
      <c r="EI518" s="23"/>
      <c r="EJ518" s="23"/>
      <c r="EK518" s="23"/>
      <c r="EL518" s="23"/>
      <c r="EM518" s="23"/>
      <c r="EN518" s="23"/>
      <c r="EO518" s="23"/>
      <c r="EP518" s="23"/>
      <c r="EQ518" s="23"/>
      <c r="ER518" s="23"/>
      <c r="ES518" s="23"/>
      <c r="ET518" s="23"/>
      <c r="EU518" s="23"/>
      <c r="EV518" s="23"/>
      <c r="EW518" s="23"/>
      <c r="EX518" s="23"/>
      <c r="EY518" s="23"/>
      <c r="EZ518" s="23"/>
      <c r="FA518" s="23"/>
      <c r="FB518" s="23"/>
      <c r="FC518" s="23"/>
      <c r="FD518" s="23"/>
      <c r="FE518" s="23"/>
      <c r="FF518" s="23"/>
      <c r="FG518" s="23"/>
      <c r="FH518" s="23"/>
      <c r="FI518" s="23"/>
      <c r="FJ518" s="23"/>
      <c r="FK518" s="23"/>
      <c r="FL518" s="23"/>
      <c r="FM518" s="23"/>
      <c r="FN518" s="23"/>
      <c r="FO518" s="23"/>
      <c r="FP518" s="23"/>
      <c r="FQ518" s="23"/>
      <c r="FR518" s="23"/>
      <c r="FS518" s="23"/>
      <c r="FT518" s="23"/>
      <c r="FU518" s="23"/>
      <c r="FV518" s="23"/>
      <c r="FW518" s="23"/>
      <c r="FX518" s="23"/>
      <c r="FY518" s="23"/>
      <c r="FZ518" s="23"/>
      <c r="GA518" s="23"/>
      <c r="GB518" s="23"/>
      <c r="GC518" s="23"/>
      <c r="GD518" s="23"/>
      <c r="GE518" s="23"/>
      <c r="GF518" s="23"/>
      <c r="GG518" s="23"/>
      <c r="GH518" s="23"/>
      <c r="GI518" s="23"/>
      <c r="GJ518" s="23"/>
      <c r="GK518" s="23"/>
      <c r="GL518" s="23"/>
    </row>
    <row r="519" spans="1:194" ht="13">
      <c r="A519" s="23"/>
      <c r="B519" s="23"/>
      <c r="C519" s="23"/>
      <c r="D519" s="23"/>
      <c r="E519" s="23"/>
      <c r="F519" s="23"/>
      <c r="G519" s="23"/>
      <c r="H519" s="401"/>
      <c r="I519" s="401"/>
      <c r="J519" s="401"/>
      <c r="K519" s="401"/>
      <c r="L519" s="401"/>
      <c r="M519" s="438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  <c r="AL519" s="23"/>
      <c r="AM519" s="23"/>
      <c r="AN519" s="23"/>
      <c r="AO519" s="23"/>
      <c r="AP519" s="23"/>
      <c r="AQ519" s="23"/>
      <c r="AR519" s="23"/>
      <c r="AS519" s="23"/>
      <c r="AT519" s="23"/>
      <c r="AU519" s="23"/>
      <c r="AV519" s="23"/>
      <c r="AW519" s="23"/>
      <c r="AX519" s="23"/>
      <c r="AY519" s="23"/>
      <c r="AZ519" s="23"/>
      <c r="BA519" s="23"/>
      <c r="BB519" s="23"/>
      <c r="BC519" s="23"/>
      <c r="BD519" s="23"/>
      <c r="BE519" s="23"/>
      <c r="BF519" s="23"/>
      <c r="BG519" s="23"/>
      <c r="BH519" s="23"/>
      <c r="BI519" s="23"/>
      <c r="BJ519" s="23"/>
      <c r="BK519" s="23"/>
      <c r="BL519" s="23"/>
      <c r="BM519" s="23"/>
      <c r="BN519" s="23"/>
      <c r="BO519" s="23"/>
      <c r="BP519" s="23"/>
      <c r="BQ519" s="23"/>
      <c r="BR519" s="23"/>
      <c r="BS519" s="23"/>
      <c r="BT519" s="23"/>
      <c r="BU519" s="23"/>
      <c r="BV519" s="23"/>
      <c r="BW519" s="23"/>
      <c r="BX519" s="23"/>
      <c r="BY519" s="23"/>
      <c r="BZ519" s="23"/>
      <c r="CA519" s="23"/>
      <c r="CB519" s="23"/>
      <c r="CC519" s="23"/>
      <c r="CD519" s="23"/>
      <c r="CE519" s="23"/>
      <c r="CF519" s="23"/>
      <c r="CG519" s="23"/>
      <c r="CH519" s="23"/>
      <c r="CI519" s="23"/>
      <c r="CJ519" s="23"/>
      <c r="CK519" s="23"/>
      <c r="CL519" s="23"/>
      <c r="CM519" s="23"/>
      <c r="CN519" s="23"/>
      <c r="CO519" s="23"/>
      <c r="CP519" s="23"/>
      <c r="CQ519" s="23"/>
      <c r="CR519" s="23"/>
      <c r="CS519" s="23"/>
      <c r="CT519" s="23"/>
      <c r="CU519" s="23"/>
      <c r="CV519" s="23"/>
      <c r="CW519" s="23"/>
      <c r="CX519" s="23"/>
      <c r="CY519" s="23"/>
      <c r="CZ519" s="23"/>
      <c r="DA519" s="23"/>
      <c r="DB519" s="23"/>
      <c r="DC519" s="23"/>
      <c r="DD519" s="23"/>
      <c r="DE519" s="23"/>
      <c r="DF519" s="23"/>
      <c r="DG519" s="23"/>
      <c r="DH519" s="23"/>
      <c r="DI519" s="23"/>
      <c r="DJ519" s="23"/>
      <c r="DK519" s="23"/>
      <c r="DL519" s="23"/>
      <c r="DM519" s="23"/>
      <c r="DN519" s="23"/>
      <c r="DO519" s="23"/>
      <c r="DP519" s="23"/>
      <c r="DQ519" s="23"/>
      <c r="DR519" s="23"/>
      <c r="DS519" s="23"/>
      <c r="DT519" s="23"/>
      <c r="DU519" s="23"/>
      <c r="DV519" s="23"/>
      <c r="DW519" s="23"/>
      <c r="DX519" s="23"/>
      <c r="DY519" s="23"/>
      <c r="DZ519" s="23"/>
      <c r="EA519" s="23"/>
      <c r="EB519" s="23"/>
      <c r="EC519" s="23"/>
      <c r="ED519" s="23"/>
      <c r="EE519" s="23"/>
      <c r="EF519" s="23"/>
      <c r="EG519" s="23"/>
      <c r="EH519" s="23"/>
      <c r="EI519" s="23"/>
      <c r="EJ519" s="23"/>
      <c r="EK519" s="23"/>
      <c r="EL519" s="23"/>
      <c r="EM519" s="23"/>
      <c r="EN519" s="23"/>
      <c r="EO519" s="23"/>
      <c r="EP519" s="23"/>
      <c r="EQ519" s="23"/>
      <c r="ER519" s="23"/>
      <c r="ES519" s="23"/>
      <c r="ET519" s="23"/>
      <c r="EU519" s="23"/>
      <c r="EV519" s="23"/>
      <c r="EW519" s="23"/>
      <c r="EX519" s="23"/>
      <c r="EY519" s="23"/>
      <c r="EZ519" s="23"/>
      <c r="FA519" s="23"/>
      <c r="FB519" s="23"/>
      <c r="FC519" s="23"/>
      <c r="FD519" s="23"/>
      <c r="FE519" s="23"/>
      <c r="FF519" s="23"/>
      <c r="FG519" s="23"/>
      <c r="FH519" s="23"/>
      <c r="FI519" s="23"/>
      <c r="FJ519" s="23"/>
      <c r="FK519" s="23"/>
      <c r="FL519" s="23"/>
      <c r="FM519" s="23"/>
      <c r="FN519" s="23"/>
      <c r="FO519" s="23"/>
      <c r="FP519" s="23"/>
      <c r="FQ519" s="23"/>
      <c r="FR519" s="23"/>
      <c r="FS519" s="23"/>
      <c r="FT519" s="23"/>
      <c r="FU519" s="23"/>
      <c r="FV519" s="23"/>
      <c r="FW519" s="23"/>
      <c r="FX519" s="23"/>
      <c r="FY519" s="23"/>
      <c r="FZ519" s="23"/>
      <c r="GA519" s="23"/>
      <c r="GB519" s="23"/>
      <c r="GC519" s="23"/>
      <c r="GD519" s="23"/>
      <c r="GE519" s="23"/>
      <c r="GF519" s="23"/>
      <c r="GG519" s="23"/>
      <c r="GH519" s="23"/>
      <c r="GI519" s="23"/>
      <c r="GJ519" s="23"/>
      <c r="GK519" s="23"/>
      <c r="GL519" s="23"/>
    </row>
    <row r="520" spans="1:194" ht="13">
      <c r="A520" s="23"/>
      <c r="B520" s="23"/>
      <c r="C520" s="23"/>
      <c r="D520" s="23"/>
      <c r="E520" s="23"/>
      <c r="F520" s="23"/>
      <c r="G520" s="23"/>
      <c r="H520" s="401"/>
      <c r="I520" s="401"/>
      <c r="J520" s="401"/>
      <c r="K520" s="401"/>
      <c r="L520" s="401"/>
      <c r="M520" s="438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  <c r="AL520" s="23"/>
      <c r="AM520" s="23"/>
      <c r="AN520" s="23"/>
      <c r="AO520" s="23"/>
      <c r="AP520" s="23"/>
      <c r="AQ520" s="23"/>
      <c r="AR520" s="23"/>
      <c r="AS520" s="23"/>
      <c r="AT520" s="23"/>
      <c r="AU520" s="23"/>
      <c r="AV520" s="23"/>
      <c r="AW520" s="23"/>
      <c r="AX520" s="23"/>
      <c r="AY520" s="23"/>
      <c r="AZ520" s="23"/>
      <c r="BA520" s="23"/>
      <c r="BB520" s="23"/>
      <c r="BC520" s="23"/>
      <c r="BD520" s="23"/>
      <c r="BE520" s="23"/>
      <c r="BF520" s="23"/>
      <c r="BG520" s="23"/>
      <c r="BH520" s="23"/>
      <c r="BI520" s="23"/>
      <c r="BJ520" s="23"/>
      <c r="BK520" s="23"/>
      <c r="BL520" s="23"/>
      <c r="BM520" s="23"/>
      <c r="BN520" s="23"/>
      <c r="BO520" s="23"/>
      <c r="BP520" s="23"/>
      <c r="BQ520" s="23"/>
      <c r="BR520" s="23"/>
      <c r="BS520" s="23"/>
      <c r="BT520" s="23"/>
      <c r="BU520" s="23"/>
      <c r="BV520" s="23"/>
      <c r="BW520" s="23"/>
      <c r="BX520" s="23"/>
      <c r="BY520" s="23"/>
      <c r="BZ520" s="23"/>
      <c r="CA520" s="23"/>
      <c r="CB520" s="23"/>
      <c r="CC520" s="23"/>
      <c r="CD520" s="23"/>
      <c r="CE520" s="23"/>
      <c r="CF520" s="23"/>
      <c r="CG520" s="23"/>
      <c r="CH520" s="23"/>
      <c r="CI520" s="23"/>
      <c r="CJ520" s="23"/>
      <c r="CK520" s="23"/>
      <c r="CL520" s="23"/>
      <c r="CM520" s="23"/>
      <c r="CN520" s="23"/>
      <c r="CO520" s="23"/>
      <c r="CP520" s="23"/>
      <c r="CQ520" s="23"/>
      <c r="CR520" s="23"/>
      <c r="CS520" s="23"/>
      <c r="CT520" s="23"/>
      <c r="CU520" s="23"/>
      <c r="CV520" s="23"/>
      <c r="CW520" s="23"/>
      <c r="CX520" s="23"/>
      <c r="CY520" s="23"/>
      <c r="CZ520" s="23"/>
      <c r="DA520" s="23"/>
      <c r="DB520" s="23"/>
      <c r="DC520" s="23"/>
      <c r="DD520" s="23"/>
      <c r="DE520" s="23"/>
      <c r="DF520" s="23"/>
      <c r="DG520" s="23"/>
      <c r="DH520" s="23"/>
      <c r="DI520" s="23"/>
      <c r="DJ520" s="23"/>
      <c r="DK520" s="23"/>
      <c r="DL520" s="23"/>
      <c r="DM520" s="23"/>
      <c r="DN520" s="23"/>
      <c r="DO520" s="23"/>
      <c r="DP520" s="23"/>
      <c r="DQ520" s="23"/>
      <c r="DR520" s="23"/>
      <c r="DS520" s="23"/>
      <c r="DT520" s="23"/>
      <c r="DU520" s="23"/>
      <c r="DV520" s="23"/>
      <c r="DW520" s="23"/>
      <c r="DX520" s="23"/>
      <c r="DY520" s="23"/>
      <c r="DZ520" s="23"/>
      <c r="EA520" s="23"/>
      <c r="EB520" s="23"/>
      <c r="EC520" s="23"/>
      <c r="ED520" s="23"/>
      <c r="EE520" s="23"/>
      <c r="EF520" s="23"/>
      <c r="EG520" s="23"/>
      <c r="EH520" s="23"/>
      <c r="EI520" s="23"/>
      <c r="EJ520" s="23"/>
      <c r="EK520" s="23"/>
      <c r="EL520" s="23"/>
      <c r="EM520" s="23"/>
      <c r="EN520" s="23"/>
      <c r="EO520" s="23"/>
      <c r="EP520" s="23"/>
      <c r="EQ520" s="23"/>
      <c r="ER520" s="23"/>
      <c r="ES520" s="23"/>
      <c r="ET520" s="23"/>
      <c r="EU520" s="23"/>
      <c r="EV520" s="23"/>
      <c r="EW520" s="23"/>
      <c r="EX520" s="23"/>
      <c r="EY520" s="23"/>
      <c r="EZ520" s="23"/>
      <c r="FA520" s="23"/>
      <c r="FB520" s="23"/>
      <c r="FC520" s="23"/>
      <c r="FD520" s="23"/>
      <c r="FE520" s="23"/>
      <c r="FF520" s="23"/>
      <c r="FG520" s="23"/>
      <c r="FH520" s="23"/>
      <c r="FI520" s="23"/>
      <c r="FJ520" s="23"/>
      <c r="FK520" s="23"/>
      <c r="FL520" s="23"/>
      <c r="FM520" s="23"/>
      <c r="FN520" s="23"/>
      <c r="FO520" s="23"/>
      <c r="FP520" s="23"/>
      <c r="FQ520" s="23"/>
      <c r="FR520" s="23"/>
      <c r="FS520" s="23"/>
      <c r="FT520" s="23"/>
      <c r="FU520" s="23"/>
      <c r="FV520" s="23"/>
      <c r="FW520" s="23"/>
      <c r="FX520" s="23"/>
      <c r="FY520" s="23"/>
      <c r="FZ520" s="23"/>
      <c r="GA520" s="23"/>
      <c r="GB520" s="23"/>
      <c r="GC520" s="23"/>
      <c r="GD520" s="23"/>
      <c r="GE520" s="23"/>
      <c r="GF520" s="23"/>
      <c r="GG520" s="23"/>
      <c r="GH520" s="23"/>
      <c r="GI520" s="23"/>
      <c r="GJ520" s="23"/>
      <c r="GK520" s="23"/>
      <c r="GL520" s="23"/>
    </row>
    <row r="521" spans="1:194" ht="13">
      <c r="A521" s="23"/>
      <c r="B521" s="23"/>
      <c r="C521" s="23"/>
      <c r="D521" s="23"/>
      <c r="E521" s="23"/>
      <c r="F521" s="23"/>
      <c r="G521" s="23"/>
      <c r="H521" s="401"/>
      <c r="I521" s="401"/>
      <c r="J521" s="401"/>
      <c r="K521" s="401"/>
      <c r="L521" s="401"/>
      <c r="M521" s="438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  <c r="AL521" s="23"/>
      <c r="AM521" s="23"/>
      <c r="AN521" s="23"/>
      <c r="AO521" s="23"/>
      <c r="AP521" s="23"/>
      <c r="AQ521" s="23"/>
      <c r="AR521" s="23"/>
      <c r="AS521" s="23"/>
      <c r="AT521" s="23"/>
      <c r="AU521" s="23"/>
      <c r="AV521" s="23"/>
      <c r="AW521" s="23"/>
      <c r="AX521" s="23"/>
      <c r="AY521" s="23"/>
      <c r="AZ521" s="23"/>
      <c r="BA521" s="23"/>
      <c r="BB521" s="23"/>
      <c r="BC521" s="23"/>
      <c r="BD521" s="23"/>
      <c r="BE521" s="23"/>
      <c r="BF521" s="23"/>
      <c r="BG521" s="23"/>
      <c r="BH521" s="23"/>
      <c r="BI521" s="23"/>
      <c r="BJ521" s="23"/>
      <c r="BK521" s="23"/>
      <c r="BL521" s="23"/>
      <c r="BM521" s="23"/>
      <c r="BN521" s="23"/>
      <c r="BO521" s="23"/>
      <c r="BP521" s="23"/>
      <c r="BQ521" s="23"/>
      <c r="BR521" s="23"/>
      <c r="BS521" s="23"/>
      <c r="BT521" s="23"/>
      <c r="BU521" s="23"/>
      <c r="BV521" s="23"/>
      <c r="BW521" s="23"/>
      <c r="BX521" s="23"/>
      <c r="BY521" s="23"/>
      <c r="BZ521" s="23"/>
      <c r="CA521" s="23"/>
      <c r="CB521" s="23"/>
      <c r="CC521" s="23"/>
      <c r="CD521" s="23"/>
      <c r="CE521" s="23"/>
      <c r="CF521" s="23"/>
      <c r="CG521" s="23"/>
      <c r="CH521" s="23"/>
      <c r="CI521" s="23"/>
      <c r="CJ521" s="23"/>
      <c r="CK521" s="23"/>
      <c r="CL521" s="23"/>
      <c r="CM521" s="23"/>
      <c r="CN521" s="23"/>
      <c r="CO521" s="23"/>
      <c r="CP521" s="23"/>
      <c r="CQ521" s="23"/>
      <c r="CR521" s="23"/>
      <c r="CS521" s="23"/>
      <c r="CT521" s="23"/>
      <c r="CU521" s="23"/>
      <c r="CV521" s="23"/>
      <c r="CW521" s="23"/>
      <c r="CX521" s="23"/>
      <c r="CY521" s="23"/>
      <c r="CZ521" s="23"/>
      <c r="DA521" s="23"/>
      <c r="DB521" s="23"/>
      <c r="DC521" s="23"/>
      <c r="DD521" s="23"/>
      <c r="DE521" s="23"/>
      <c r="DF521" s="23"/>
      <c r="DG521" s="23"/>
      <c r="DH521" s="23"/>
      <c r="DI521" s="23"/>
      <c r="DJ521" s="23"/>
      <c r="DK521" s="23"/>
      <c r="DL521" s="23"/>
      <c r="DM521" s="23"/>
      <c r="DN521" s="23"/>
      <c r="DO521" s="23"/>
      <c r="DP521" s="23"/>
      <c r="DQ521" s="23"/>
      <c r="DR521" s="23"/>
      <c r="DS521" s="23"/>
      <c r="DT521" s="23"/>
      <c r="DU521" s="23"/>
      <c r="DV521" s="23"/>
      <c r="DW521" s="23"/>
      <c r="DX521" s="23"/>
      <c r="DY521" s="23"/>
      <c r="DZ521" s="23"/>
      <c r="EA521" s="23"/>
      <c r="EB521" s="23"/>
      <c r="EC521" s="23"/>
      <c r="ED521" s="23"/>
      <c r="EE521" s="23"/>
      <c r="EF521" s="23"/>
      <c r="EG521" s="23"/>
      <c r="EH521" s="23"/>
      <c r="EI521" s="23"/>
      <c r="EJ521" s="23"/>
      <c r="EK521" s="23"/>
      <c r="EL521" s="23"/>
      <c r="EM521" s="23"/>
      <c r="EN521" s="23"/>
      <c r="EO521" s="23"/>
      <c r="EP521" s="23"/>
      <c r="EQ521" s="23"/>
      <c r="ER521" s="23"/>
      <c r="ES521" s="23"/>
      <c r="ET521" s="23"/>
      <c r="EU521" s="23"/>
      <c r="EV521" s="23"/>
      <c r="EW521" s="23"/>
      <c r="EX521" s="23"/>
      <c r="EY521" s="23"/>
      <c r="EZ521" s="23"/>
      <c r="FA521" s="23"/>
      <c r="FB521" s="23"/>
      <c r="FC521" s="23"/>
      <c r="FD521" s="23"/>
      <c r="FE521" s="23"/>
      <c r="FF521" s="23"/>
      <c r="FG521" s="23"/>
      <c r="FH521" s="23"/>
      <c r="FI521" s="23"/>
      <c r="FJ521" s="23"/>
      <c r="FK521" s="23"/>
      <c r="FL521" s="23"/>
      <c r="FM521" s="23"/>
      <c r="FN521" s="23"/>
      <c r="FO521" s="23"/>
      <c r="FP521" s="23"/>
      <c r="FQ521" s="23"/>
      <c r="FR521" s="23"/>
      <c r="FS521" s="23"/>
      <c r="FT521" s="23"/>
      <c r="FU521" s="23"/>
      <c r="FV521" s="23"/>
      <c r="FW521" s="23"/>
      <c r="FX521" s="23"/>
      <c r="FY521" s="23"/>
      <c r="FZ521" s="23"/>
      <c r="GA521" s="23"/>
      <c r="GB521" s="23"/>
      <c r="GC521" s="23"/>
      <c r="GD521" s="23"/>
      <c r="GE521" s="23"/>
      <c r="GF521" s="23"/>
      <c r="GG521" s="23"/>
      <c r="GH521" s="23"/>
      <c r="GI521" s="23"/>
      <c r="GJ521" s="23"/>
      <c r="GK521" s="23"/>
      <c r="GL521" s="23"/>
    </row>
    <row r="522" spans="1:194" ht="13">
      <c r="A522" s="23"/>
      <c r="B522" s="23"/>
      <c r="C522" s="23"/>
      <c r="D522" s="23"/>
      <c r="E522" s="23"/>
      <c r="F522" s="23"/>
      <c r="G522" s="23"/>
      <c r="H522" s="401"/>
      <c r="I522" s="401"/>
      <c r="J522" s="401"/>
      <c r="K522" s="401"/>
      <c r="L522" s="401"/>
      <c r="M522" s="438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  <c r="AL522" s="23"/>
      <c r="AM522" s="23"/>
      <c r="AN522" s="23"/>
      <c r="AO522" s="23"/>
      <c r="AP522" s="23"/>
      <c r="AQ522" s="23"/>
      <c r="AR522" s="23"/>
      <c r="AS522" s="23"/>
      <c r="AT522" s="23"/>
      <c r="AU522" s="23"/>
      <c r="AV522" s="23"/>
      <c r="AW522" s="23"/>
      <c r="AX522" s="23"/>
      <c r="AY522" s="23"/>
      <c r="AZ522" s="23"/>
      <c r="BA522" s="23"/>
      <c r="BB522" s="23"/>
      <c r="BC522" s="23"/>
      <c r="BD522" s="23"/>
      <c r="BE522" s="23"/>
      <c r="BF522" s="23"/>
      <c r="BG522" s="23"/>
      <c r="BH522" s="23"/>
      <c r="BI522" s="23"/>
      <c r="BJ522" s="23"/>
      <c r="BK522" s="23"/>
      <c r="BL522" s="23"/>
      <c r="BM522" s="23"/>
      <c r="BN522" s="23"/>
      <c r="BO522" s="23"/>
      <c r="BP522" s="23"/>
      <c r="BQ522" s="23"/>
      <c r="BR522" s="23"/>
      <c r="BS522" s="23"/>
      <c r="BT522" s="23"/>
      <c r="BU522" s="23"/>
      <c r="BV522" s="23"/>
      <c r="BW522" s="23"/>
      <c r="BX522" s="23"/>
      <c r="BY522" s="23"/>
      <c r="BZ522" s="23"/>
      <c r="CA522" s="23"/>
      <c r="CB522" s="23"/>
      <c r="CC522" s="23"/>
      <c r="CD522" s="23"/>
      <c r="CE522" s="23"/>
      <c r="CF522" s="23"/>
      <c r="CG522" s="23"/>
      <c r="CH522" s="23"/>
      <c r="CI522" s="23"/>
      <c r="CJ522" s="23"/>
      <c r="CK522" s="23"/>
      <c r="CL522" s="23"/>
      <c r="CM522" s="23"/>
      <c r="CN522" s="23"/>
      <c r="CO522" s="23"/>
      <c r="CP522" s="23"/>
      <c r="CQ522" s="23"/>
      <c r="CR522" s="23"/>
      <c r="CS522" s="23"/>
      <c r="CT522" s="23"/>
      <c r="CU522" s="23"/>
      <c r="CV522" s="23"/>
      <c r="CW522" s="23"/>
      <c r="CX522" s="23"/>
      <c r="CY522" s="23"/>
      <c r="CZ522" s="23"/>
      <c r="DA522" s="23"/>
      <c r="DB522" s="23"/>
      <c r="DC522" s="23"/>
      <c r="DD522" s="23"/>
      <c r="DE522" s="23"/>
      <c r="DF522" s="23"/>
      <c r="DG522" s="23"/>
      <c r="DH522" s="23"/>
      <c r="DI522" s="23"/>
      <c r="DJ522" s="23"/>
      <c r="DK522" s="23"/>
      <c r="DL522" s="23"/>
      <c r="DM522" s="23"/>
      <c r="DN522" s="23"/>
      <c r="DO522" s="23"/>
      <c r="DP522" s="23"/>
      <c r="DQ522" s="23"/>
      <c r="DR522" s="23"/>
      <c r="DS522" s="23"/>
      <c r="DT522" s="23"/>
      <c r="DU522" s="23"/>
      <c r="DV522" s="23"/>
      <c r="DW522" s="23"/>
      <c r="DX522" s="23"/>
      <c r="DY522" s="23"/>
      <c r="DZ522" s="23"/>
      <c r="EA522" s="23"/>
      <c r="EB522" s="23"/>
      <c r="EC522" s="23"/>
      <c r="ED522" s="23"/>
      <c r="EE522" s="23"/>
      <c r="EF522" s="23"/>
      <c r="EG522" s="23"/>
      <c r="EH522" s="23"/>
      <c r="EI522" s="23"/>
      <c r="EJ522" s="23"/>
      <c r="EK522" s="23"/>
      <c r="EL522" s="23"/>
      <c r="EM522" s="23"/>
      <c r="EN522" s="23"/>
      <c r="EO522" s="23"/>
      <c r="EP522" s="23"/>
      <c r="EQ522" s="23"/>
      <c r="ER522" s="23"/>
      <c r="ES522" s="23"/>
      <c r="ET522" s="23"/>
      <c r="EU522" s="23"/>
      <c r="EV522" s="23"/>
      <c r="EW522" s="23"/>
      <c r="EX522" s="23"/>
      <c r="EY522" s="23"/>
      <c r="EZ522" s="23"/>
      <c r="FA522" s="23"/>
      <c r="FB522" s="23"/>
      <c r="FC522" s="23"/>
      <c r="FD522" s="23"/>
      <c r="FE522" s="23"/>
      <c r="FF522" s="23"/>
      <c r="FG522" s="23"/>
      <c r="FH522" s="23"/>
      <c r="FI522" s="23"/>
      <c r="FJ522" s="23"/>
      <c r="FK522" s="23"/>
      <c r="FL522" s="23"/>
      <c r="FM522" s="23"/>
      <c r="FN522" s="23"/>
      <c r="FO522" s="23"/>
      <c r="FP522" s="23"/>
      <c r="FQ522" s="23"/>
      <c r="FR522" s="23"/>
      <c r="FS522" s="23"/>
      <c r="FT522" s="23"/>
      <c r="FU522" s="23"/>
      <c r="FV522" s="23"/>
      <c r="FW522" s="23"/>
      <c r="FX522" s="23"/>
      <c r="FY522" s="23"/>
      <c r="FZ522" s="23"/>
      <c r="GA522" s="23"/>
      <c r="GB522" s="23"/>
      <c r="GC522" s="23"/>
      <c r="GD522" s="23"/>
      <c r="GE522" s="23"/>
      <c r="GF522" s="23"/>
      <c r="GG522" s="23"/>
      <c r="GH522" s="23"/>
      <c r="GI522" s="23"/>
      <c r="GJ522" s="23"/>
      <c r="GK522" s="23"/>
      <c r="GL522" s="23"/>
    </row>
    <row r="523" spans="1:194" ht="13">
      <c r="A523" s="23"/>
      <c r="B523" s="23"/>
      <c r="C523" s="23"/>
      <c r="D523" s="23"/>
      <c r="E523" s="23"/>
      <c r="F523" s="23"/>
      <c r="G523" s="23"/>
      <c r="H523" s="401"/>
      <c r="I523" s="401"/>
      <c r="J523" s="401"/>
      <c r="K523" s="401"/>
      <c r="L523" s="401"/>
      <c r="M523" s="438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  <c r="AL523" s="23"/>
      <c r="AM523" s="23"/>
      <c r="AN523" s="23"/>
      <c r="AO523" s="23"/>
      <c r="AP523" s="23"/>
      <c r="AQ523" s="23"/>
      <c r="AR523" s="23"/>
      <c r="AS523" s="23"/>
      <c r="AT523" s="23"/>
      <c r="AU523" s="23"/>
      <c r="AV523" s="23"/>
      <c r="AW523" s="23"/>
      <c r="AX523" s="23"/>
      <c r="AY523" s="23"/>
      <c r="AZ523" s="23"/>
      <c r="BA523" s="23"/>
      <c r="BB523" s="23"/>
      <c r="BC523" s="23"/>
      <c r="BD523" s="23"/>
      <c r="BE523" s="23"/>
      <c r="BF523" s="23"/>
      <c r="BG523" s="23"/>
      <c r="BH523" s="23"/>
      <c r="BI523" s="23"/>
      <c r="BJ523" s="23"/>
      <c r="BK523" s="23"/>
      <c r="BL523" s="23"/>
      <c r="BM523" s="23"/>
      <c r="BN523" s="23"/>
      <c r="BO523" s="23"/>
      <c r="BP523" s="23"/>
      <c r="BQ523" s="23"/>
      <c r="BR523" s="23"/>
      <c r="BS523" s="23"/>
      <c r="BT523" s="23"/>
      <c r="BU523" s="23"/>
      <c r="BV523" s="23"/>
      <c r="BW523" s="23"/>
      <c r="BX523" s="23"/>
      <c r="BY523" s="23"/>
      <c r="BZ523" s="23"/>
      <c r="CA523" s="23"/>
      <c r="CB523" s="23"/>
      <c r="CC523" s="23"/>
      <c r="CD523" s="23"/>
      <c r="CE523" s="23"/>
      <c r="CF523" s="23"/>
      <c r="CG523" s="23"/>
      <c r="CH523" s="23"/>
      <c r="CI523" s="23"/>
      <c r="CJ523" s="23"/>
      <c r="CK523" s="23"/>
      <c r="CL523" s="23"/>
      <c r="CM523" s="23"/>
      <c r="CN523" s="23"/>
      <c r="CO523" s="23"/>
      <c r="CP523" s="23"/>
      <c r="CQ523" s="23"/>
      <c r="CR523" s="23"/>
      <c r="CS523" s="23"/>
      <c r="CT523" s="23"/>
      <c r="CU523" s="23"/>
      <c r="CV523" s="23"/>
      <c r="CW523" s="23"/>
      <c r="CX523" s="23"/>
      <c r="CY523" s="23"/>
      <c r="CZ523" s="23"/>
      <c r="DA523" s="23"/>
      <c r="DB523" s="23"/>
      <c r="DC523" s="23"/>
      <c r="DD523" s="23"/>
      <c r="DE523" s="23"/>
      <c r="DF523" s="23"/>
      <c r="DG523" s="23"/>
      <c r="DH523" s="23"/>
      <c r="DI523" s="23"/>
      <c r="DJ523" s="23"/>
      <c r="DK523" s="23"/>
      <c r="DL523" s="23"/>
      <c r="DM523" s="23"/>
      <c r="DN523" s="23"/>
      <c r="DO523" s="23"/>
      <c r="DP523" s="23"/>
      <c r="DQ523" s="23"/>
      <c r="DR523" s="23"/>
      <c r="DS523" s="23"/>
      <c r="DT523" s="23"/>
      <c r="DU523" s="23"/>
      <c r="DV523" s="23"/>
      <c r="DW523" s="23"/>
      <c r="DX523" s="23"/>
      <c r="DY523" s="23"/>
      <c r="DZ523" s="23"/>
      <c r="EA523" s="23"/>
      <c r="EB523" s="23"/>
      <c r="EC523" s="23"/>
      <c r="ED523" s="23"/>
      <c r="EE523" s="23"/>
      <c r="EF523" s="23"/>
      <c r="EG523" s="23"/>
      <c r="EH523" s="23"/>
      <c r="EI523" s="23"/>
      <c r="EJ523" s="23"/>
      <c r="EK523" s="23"/>
      <c r="EL523" s="23"/>
      <c r="EM523" s="23"/>
      <c r="EN523" s="23"/>
      <c r="EO523" s="23"/>
      <c r="EP523" s="23"/>
      <c r="EQ523" s="23"/>
      <c r="ER523" s="23"/>
      <c r="ES523" s="23"/>
      <c r="ET523" s="23"/>
      <c r="EU523" s="23"/>
      <c r="EV523" s="23"/>
      <c r="EW523" s="23"/>
      <c r="EX523" s="23"/>
      <c r="EY523" s="23"/>
      <c r="EZ523" s="23"/>
      <c r="FA523" s="23"/>
      <c r="FB523" s="23"/>
      <c r="FC523" s="23"/>
      <c r="FD523" s="23"/>
      <c r="FE523" s="23"/>
      <c r="FF523" s="23"/>
      <c r="FG523" s="23"/>
      <c r="FH523" s="23"/>
      <c r="FI523" s="23"/>
      <c r="FJ523" s="23"/>
      <c r="FK523" s="23"/>
      <c r="FL523" s="23"/>
      <c r="FM523" s="23"/>
      <c r="FN523" s="23"/>
      <c r="FO523" s="23"/>
      <c r="FP523" s="23"/>
      <c r="FQ523" s="23"/>
      <c r="FR523" s="23"/>
      <c r="FS523" s="23"/>
      <c r="FT523" s="23"/>
      <c r="FU523" s="23"/>
      <c r="FV523" s="23"/>
      <c r="FW523" s="23"/>
      <c r="FX523" s="23"/>
      <c r="FY523" s="23"/>
      <c r="FZ523" s="23"/>
      <c r="GA523" s="23"/>
      <c r="GB523" s="23"/>
      <c r="GC523" s="23"/>
      <c r="GD523" s="23"/>
      <c r="GE523" s="23"/>
      <c r="GF523" s="23"/>
      <c r="GG523" s="23"/>
      <c r="GH523" s="23"/>
      <c r="GI523" s="23"/>
      <c r="GJ523" s="23"/>
      <c r="GK523" s="23"/>
      <c r="GL523" s="23"/>
    </row>
    <row r="524" spans="1:194" ht="13">
      <c r="A524" s="23"/>
      <c r="B524" s="23"/>
      <c r="C524" s="23"/>
      <c r="D524" s="23"/>
      <c r="E524" s="23"/>
      <c r="F524" s="23"/>
      <c r="G524" s="23"/>
      <c r="H524" s="401"/>
      <c r="I524" s="401"/>
      <c r="J524" s="401"/>
      <c r="K524" s="401"/>
      <c r="L524" s="401"/>
      <c r="M524" s="438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  <c r="AL524" s="23"/>
      <c r="AM524" s="23"/>
      <c r="AN524" s="23"/>
      <c r="AO524" s="23"/>
      <c r="AP524" s="23"/>
      <c r="AQ524" s="23"/>
      <c r="AR524" s="23"/>
      <c r="AS524" s="23"/>
      <c r="AT524" s="23"/>
      <c r="AU524" s="23"/>
      <c r="AV524" s="23"/>
      <c r="AW524" s="23"/>
      <c r="AX524" s="23"/>
      <c r="AY524" s="23"/>
      <c r="AZ524" s="23"/>
      <c r="BA524" s="23"/>
      <c r="BB524" s="23"/>
      <c r="BC524" s="23"/>
      <c r="BD524" s="23"/>
      <c r="BE524" s="23"/>
      <c r="BF524" s="23"/>
      <c r="BG524" s="23"/>
      <c r="BH524" s="23"/>
      <c r="BI524" s="23"/>
      <c r="BJ524" s="23"/>
      <c r="BK524" s="23"/>
      <c r="BL524" s="23"/>
      <c r="BM524" s="23"/>
      <c r="BN524" s="23"/>
      <c r="BO524" s="23"/>
      <c r="BP524" s="23"/>
      <c r="BQ524" s="23"/>
      <c r="BR524" s="23"/>
      <c r="BS524" s="23"/>
      <c r="BT524" s="23"/>
      <c r="BU524" s="23"/>
      <c r="BV524" s="23"/>
      <c r="BW524" s="23"/>
      <c r="BX524" s="23"/>
      <c r="BY524" s="23"/>
      <c r="BZ524" s="23"/>
      <c r="CA524" s="23"/>
      <c r="CB524" s="23"/>
      <c r="CC524" s="23"/>
      <c r="CD524" s="23"/>
      <c r="CE524" s="23"/>
      <c r="CF524" s="23"/>
      <c r="CG524" s="23"/>
      <c r="CH524" s="23"/>
      <c r="CI524" s="23"/>
      <c r="CJ524" s="23"/>
      <c r="CK524" s="23"/>
      <c r="CL524" s="23"/>
      <c r="CM524" s="23"/>
      <c r="CN524" s="23"/>
      <c r="CO524" s="23"/>
      <c r="CP524" s="23"/>
      <c r="CQ524" s="23"/>
      <c r="CR524" s="23"/>
      <c r="CS524" s="23"/>
      <c r="CT524" s="23"/>
      <c r="CU524" s="23"/>
      <c r="CV524" s="23"/>
      <c r="CW524" s="23"/>
      <c r="CX524" s="23"/>
      <c r="CY524" s="23"/>
      <c r="CZ524" s="23"/>
      <c r="DA524" s="23"/>
      <c r="DB524" s="23"/>
      <c r="DC524" s="23"/>
      <c r="DD524" s="23"/>
      <c r="DE524" s="23"/>
      <c r="DF524" s="23"/>
      <c r="DG524" s="23"/>
      <c r="DH524" s="23"/>
      <c r="DI524" s="23"/>
      <c r="DJ524" s="23"/>
      <c r="DK524" s="23"/>
      <c r="DL524" s="23"/>
      <c r="DM524" s="23"/>
      <c r="DN524" s="23"/>
      <c r="DO524" s="23"/>
      <c r="DP524" s="23"/>
      <c r="DQ524" s="23"/>
      <c r="DR524" s="23"/>
      <c r="DS524" s="23"/>
      <c r="DT524" s="23"/>
      <c r="DU524" s="23"/>
      <c r="DV524" s="23"/>
      <c r="DW524" s="23"/>
      <c r="DX524" s="23"/>
      <c r="DY524" s="23"/>
      <c r="DZ524" s="23"/>
      <c r="EA524" s="23"/>
      <c r="EB524" s="23"/>
      <c r="EC524" s="23"/>
      <c r="ED524" s="23"/>
      <c r="EE524" s="23"/>
      <c r="EF524" s="23"/>
      <c r="EG524" s="23"/>
      <c r="EH524" s="23"/>
      <c r="EI524" s="23"/>
      <c r="EJ524" s="23"/>
      <c r="EK524" s="23"/>
      <c r="EL524" s="23"/>
      <c r="EM524" s="23"/>
      <c r="EN524" s="23"/>
      <c r="EO524" s="23"/>
      <c r="EP524" s="23"/>
      <c r="EQ524" s="23"/>
      <c r="ER524" s="23"/>
      <c r="ES524" s="23"/>
      <c r="ET524" s="23"/>
      <c r="EU524" s="23"/>
      <c r="EV524" s="23"/>
      <c r="EW524" s="23"/>
      <c r="EX524" s="23"/>
      <c r="EY524" s="23"/>
      <c r="EZ524" s="23"/>
      <c r="FA524" s="23"/>
      <c r="FB524" s="23"/>
      <c r="FC524" s="23"/>
      <c r="FD524" s="23"/>
      <c r="FE524" s="23"/>
      <c r="FF524" s="23"/>
      <c r="FG524" s="23"/>
      <c r="FH524" s="23"/>
      <c r="FI524" s="23"/>
      <c r="FJ524" s="23"/>
      <c r="FK524" s="23"/>
      <c r="FL524" s="23"/>
      <c r="FM524" s="23"/>
      <c r="FN524" s="23"/>
      <c r="FO524" s="23"/>
      <c r="FP524" s="23"/>
      <c r="FQ524" s="23"/>
      <c r="FR524" s="23"/>
      <c r="FS524" s="23"/>
      <c r="FT524" s="23"/>
      <c r="FU524" s="23"/>
      <c r="FV524" s="23"/>
      <c r="FW524" s="23"/>
      <c r="FX524" s="23"/>
      <c r="FY524" s="23"/>
      <c r="FZ524" s="23"/>
      <c r="GA524" s="23"/>
      <c r="GB524" s="23"/>
      <c r="GC524" s="23"/>
      <c r="GD524" s="23"/>
      <c r="GE524" s="23"/>
      <c r="GF524" s="23"/>
      <c r="GG524" s="23"/>
      <c r="GH524" s="23"/>
      <c r="GI524" s="23"/>
      <c r="GJ524" s="23"/>
      <c r="GK524" s="23"/>
      <c r="GL524" s="23"/>
    </row>
    <row r="525" spans="1:194" ht="13">
      <c r="A525" s="23"/>
      <c r="B525" s="23"/>
      <c r="C525" s="23"/>
      <c r="D525" s="23"/>
      <c r="E525" s="23"/>
      <c r="F525" s="23"/>
      <c r="G525" s="23"/>
      <c r="H525" s="401"/>
      <c r="I525" s="401"/>
      <c r="J525" s="401"/>
      <c r="K525" s="401"/>
      <c r="L525" s="401"/>
      <c r="M525" s="438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  <c r="AL525" s="23"/>
      <c r="AM525" s="23"/>
      <c r="AN525" s="23"/>
      <c r="AO525" s="23"/>
      <c r="AP525" s="23"/>
      <c r="AQ525" s="23"/>
      <c r="AR525" s="23"/>
      <c r="AS525" s="23"/>
      <c r="AT525" s="23"/>
      <c r="AU525" s="23"/>
      <c r="AV525" s="23"/>
      <c r="AW525" s="23"/>
      <c r="AX525" s="23"/>
      <c r="AY525" s="23"/>
      <c r="AZ525" s="23"/>
      <c r="BA525" s="23"/>
      <c r="BB525" s="23"/>
      <c r="BC525" s="23"/>
      <c r="BD525" s="23"/>
      <c r="BE525" s="23"/>
      <c r="BF525" s="23"/>
      <c r="BG525" s="23"/>
      <c r="BH525" s="23"/>
      <c r="BI525" s="23"/>
      <c r="BJ525" s="23"/>
      <c r="BK525" s="23"/>
      <c r="BL525" s="23"/>
      <c r="BM525" s="23"/>
      <c r="BN525" s="23"/>
      <c r="BO525" s="23"/>
      <c r="BP525" s="23"/>
      <c r="BQ525" s="23"/>
      <c r="BR525" s="23"/>
      <c r="BS525" s="23"/>
      <c r="BT525" s="23"/>
      <c r="BU525" s="23"/>
      <c r="BV525" s="23"/>
      <c r="BW525" s="23"/>
      <c r="BX525" s="23"/>
      <c r="BY525" s="23"/>
      <c r="BZ525" s="23"/>
      <c r="CA525" s="23"/>
      <c r="CB525" s="23"/>
      <c r="CC525" s="23"/>
      <c r="CD525" s="23"/>
      <c r="CE525" s="23"/>
      <c r="CF525" s="23"/>
      <c r="CG525" s="23"/>
      <c r="CH525" s="23"/>
      <c r="CI525" s="23"/>
      <c r="CJ525" s="23"/>
      <c r="CK525" s="23"/>
      <c r="CL525" s="23"/>
      <c r="CM525" s="23"/>
      <c r="CN525" s="23"/>
      <c r="CO525" s="23"/>
      <c r="CP525" s="23"/>
      <c r="CQ525" s="23"/>
      <c r="CR525" s="23"/>
      <c r="CS525" s="23"/>
      <c r="CT525" s="23"/>
      <c r="CU525" s="23"/>
      <c r="CV525" s="23"/>
      <c r="CW525" s="23"/>
      <c r="CX525" s="23"/>
      <c r="CY525" s="23"/>
      <c r="CZ525" s="23"/>
      <c r="DA525" s="23"/>
      <c r="DB525" s="23"/>
      <c r="DC525" s="23"/>
      <c r="DD525" s="23"/>
      <c r="DE525" s="23"/>
      <c r="DF525" s="23"/>
      <c r="DG525" s="23"/>
      <c r="DH525" s="23"/>
      <c r="DI525" s="23"/>
      <c r="DJ525" s="23"/>
      <c r="DK525" s="23"/>
      <c r="DL525" s="23"/>
      <c r="DM525" s="23"/>
      <c r="DN525" s="23"/>
      <c r="DO525" s="23"/>
      <c r="DP525" s="23"/>
      <c r="DQ525" s="23"/>
      <c r="DR525" s="23"/>
      <c r="DS525" s="23"/>
      <c r="DT525" s="23"/>
      <c r="DU525" s="23"/>
      <c r="DV525" s="23"/>
      <c r="DW525" s="23"/>
      <c r="DX525" s="23"/>
      <c r="DY525" s="23"/>
      <c r="DZ525" s="23"/>
      <c r="EA525" s="23"/>
      <c r="EB525" s="23"/>
      <c r="EC525" s="23"/>
      <c r="ED525" s="23"/>
      <c r="EE525" s="23"/>
      <c r="EF525" s="23"/>
      <c r="EG525" s="23"/>
      <c r="EH525" s="23"/>
      <c r="EI525" s="23"/>
      <c r="EJ525" s="23"/>
      <c r="EK525" s="23"/>
      <c r="EL525" s="23"/>
      <c r="EM525" s="23"/>
      <c r="EN525" s="23"/>
      <c r="EO525" s="23"/>
      <c r="EP525" s="23"/>
      <c r="EQ525" s="23"/>
      <c r="ER525" s="23"/>
      <c r="ES525" s="23"/>
      <c r="ET525" s="23"/>
      <c r="EU525" s="23"/>
      <c r="EV525" s="23"/>
      <c r="EW525" s="23"/>
      <c r="EX525" s="23"/>
      <c r="EY525" s="23"/>
      <c r="EZ525" s="23"/>
      <c r="FA525" s="23"/>
      <c r="FB525" s="23"/>
      <c r="FC525" s="23"/>
      <c r="FD525" s="23"/>
      <c r="FE525" s="23"/>
      <c r="FF525" s="23"/>
      <c r="FG525" s="23"/>
      <c r="FH525" s="23"/>
      <c r="FI525" s="23"/>
      <c r="FJ525" s="23"/>
      <c r="FK525" s="23"/>
      <c r="FL525" s="23"/>
      <c r="FM525" s="23"/>
      <c r="FN525" s="23"/>
      <c r="FO525" s="23"/>
      <c r="FP525" s="23"/>
      <c r="FQ525" s="23"/>
      <c r="FR525" s="23"/>
      <c r="FS525" s="23"/>
      <c r="FT525" s="23"/>
      <c r="FU525" s="23"/>
      <c r="FV525" s="23"/>
      <c r="FW525" s="23"/>
      <c r="FX525" s="23"/>
      <c r="FY525" s="23"/>
      <c r="FZ525" s="23"/>
      <c r="GA525" s="23"/>
      <c r="GB525" s="23"/>
      <c r="GC525" s="23"/>
      <c r="GD525" s="23"/>
      <c r="GE525" s="23"/>
      <c r="GF525" s="23"/>
      <c r="GG525" s="23"/>
      <c r="GH525" s="23"/>
      <c r="GI525" s="23"/>
      <c r="GJ525" s="23"/>
      <c r="GK525" s="23"/>
      <c r="GL525" s="23"/>
    </row>
    <row r="526" spans="1:194" ht="13">
      <c r="A526" s="23"/>
      <c r="B526" s="23"/>
      <c r="C526" s="23"/>
      <c r="D526" s="23"/>
      <c r="E526" s="23"/>
      <c r="F526" s="23"/>
      <c r="G526" s="23"/>
      <c r="H526" s="401"/>
      <c r="I526" s="401"/>
      <c r="J526" s="401"/>
      <c r="K526" s="401"/>
      <c r="L526" s="401"/>
      <c r="M526" s="438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  <c r="AL526" s="23"/>
      <c r="AM526" s="23"/>
      <c r="AN526" s="23"/>
      <c r="AO526" s="23"/>
      <c r="AP526" s="23"/>
      <c r="AQ526" s="23"/>
      <c r="AR526" s="23"/>
      <c r="AS526" s="23"/>
      <c r="AT526" s="23"/>
      <c r="AU526" s="23"/>
      <c r="AV526" s="23"/>
      <c r="AW526" s="23"/>
      <c r="AX526" s="23"/>
      <c r="AY526" s="23"/>
      <c r="AZ526" s="23"/>
      <c r="BA526" s="23"/>
      <c r="BB526" s="23"/>
      <c r="BC526" s="23"/>
      <c r="BD526" s="23"/>
      <c r="BE526" s="23"/>
      <c r="BF526" s="23"/>
      <c r="BG526" s="23"/>
      <c r="BH526" s="23"/>
      <c r="BI526" s="23"/>
      <c r="BJ526" s="23"/>
      <c r="BK526" s="23"/>
      <c r="BL526" s="23"/>
      <c r="BM526" s="23"/>
      <c r="BN526" s="23"/>
      <c r="BO526" s="23"/>
      <c r="BP526" s="23"/>
      <c r="BQ526" s="23"/>
      <c r="BR526" s="23"/>
      <c r="BS526" s="23"/>
      <c r="BT526" s="23"/>
      <c r="BU526" s="23"/>
      <c r="BV526" s="23"/>
      <c r="BW526" s="23"/>
      <c r="BX526" s="23"/>
      <c r="BY526" s="23"/>
      <c r="BZ526" s="23"/>
      <c r="CA526" s="23"/>
      <c r="CB526" s="23"/>
      <c r="CC526" s="23"/>
      <c r="CD526" s="23"/>
      <c r="CE526" s="23"/>
      <c r="CF526" s="23"/>
      <c r="CG526" s="23"/>
      <c r="CH526" s="23"/>
      <c r="CI526" s="23"/>
      <c r="CJ526" s="23"/>
      <c r="CK526" s="23"/>
      <c r="CL526" s="23"/>
      <c r="CM526" s="23"/>
      <c r="CN526" s="23"/>
      <c r="CO526" s="23"/>
      <c r="CP526" s="23"/>
      <c r="CQ526" s="23"/>
      <c r="CR526" s="23"/>
      <c r="CS526" s="23"/>
      <c r="CT526" s="23"/>
      <c r="CU526" s="23"/>
      <c r="CV526" s="23"/>
      <c r="CW526" s="23"/>
      <c r="CX526" s="23"/>
      <c r="CY526" s="23"/>
      <c r="CZ526" s="23"/>
      <c r="DA526" s="23"/>
      <c r="DB526" s="23"/>
      <c r="DC526" s="23"/>
      <c r="DD526" s="23"/>
      <c r="DE526" s="23"/>
      <c r="DF526" s="23"/>
      <c r="DG526" s="23"/>
      <c r="DH526" s="23"/>
      <c r="DI526" s="23"/>
      <c r="DJ526" s="23"/>
      <c r="DK526" s="23"/>
      <c r="DL526" s="23"/>
      <c r="DM526" s="23"/>
      <c r="DN526" s="23"/>
      <c r="DO526" s="23"/>
      <c r="DP526" s="23"/>
      <c r="DQ526" s="23"/>
      <c r="DR526" s="23"/>
      <c r="DS526" s="23"/>
      <c r="DT526" s="23"/>
      <c r="DU526" s="23"/>
      <c r="DV526" s="23"/>
      <c r="DW526" s="23"/>
      <c r="DX526" s="23"/>
      <c r="DY526" s="23"/>
      <c r="DZ526" s="23"/>
      <c r="EA526" s="23"/>
      <c r="EB526" s="23"/>
      <c r="EC526" s="23"/>
      <c r="ED526" s="23"/>
      <c r="EE526" s="23"/>
      <c r="EF526" s="23"/>
      <c r="EG526" s="23"/>
      <c r="EH526" s="23"/>
      <c r="EI526" s="23"/>
      <c r="EJ526" s="23"/>
      <c r="EK526" s="23"/>
      <c r="EL526" s="23"/>
      <c r="EM526" s="23"/>
      <c r="EN526" s="23"/>
      <c r="EO526" s="23"/>
      <c r="EP526" s="23"/>
      <c r="EQ526" s="23"/>
      <c r="ER526" s="23"/>
      <c r="ES526" s="23"/>
      <c r="ET526" s="23"/>
      <c r="EU526" s="23"/>
      <c r="EV526" s="23"/>
      <c r="EW526" s="23"/>
      <c r="EX526" s="23"/>
      <c r="EY526" s="23"/>
      <c r="EZ526" s="23"/>
      <c r="FA526" s="23"/>
      <c r="FB526" s="23"/>
      <c r="FC526" s="23"/>
      <c r="FD526" s="23"/>
      <c r="FE526" s="23"/>
      <c r="FF526" s="23"/>
      <c r="FG526" s="23"/>
      <c r="FH526" s="23"/>
      <c r="FI526" s="23"/>
      <c r="FJ526" s="23"/>
      <c r="FK526" s="23"/>
      <c r="FL526" s="23"/>
      <c r="FM526" s="23"/>
      <c r="FN526" s="23"/>
      <c r="FO526" s="23"/>
      <c r="FP526" s="23"/>
      <c r="FQ526" s="23"/>
      <c r="FR526" s="23"/>
      <c r="FS526" s="23"/>
      <c r="FT526" s="23"/>
      <c r="FU526" s="23"/>
      <c r="FV526" s="23"/>
      <c r="FW526" s="23"/>
      <c r="FX526" s="23"/>
      <c r="FY526" s="23"/>
      <c r="FZ526" s="23"/>
      <c r="GA526" s="23"/>
      <c r="GB526" s="23"/>
      <c r="GC526" s="23"/>
      <c r="GD526" s="23"/>
      <c r="GE526" s="23"/>
      <c r="GF526" s="23"/>
      <c r="GG526" s="23"/>
      <c r="GH526" s="23"/>
      <c r="GI526" s="23"/>
      <c r="GJ526" s="23"/>
      <c r="GK526" s="23"/>
      <c r="GL526" s="23"/>
    </row>
    <row r="527" spans="1:194" ht="13">
      <c r="A527" s="23"/>
      <c r="B527" s="23"/>
      <c r="C527" s="23"/>
      <c r="D527" s="23"/>
      <c r="E527" s="23"/>
      <c r="F527" s="23"/>
      <c r="G527" s="23"/>
      <c r="H527" s="401"/>
      <c r="I527" s="401"/>
      <c r="J527" s="401"/>
      <c r="K527" s="401"/>
      <c r="L527" s="401"/>
      <c r="M527" s="438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  <c r="AL527" s="23"/>
      <c r="AM527" s="23"/>
      <c r="AN527" s="23"/>
      <c r="AO527" s="23"/>
      <c r="AP527" s="23"/>
      <c r="AQ527" s="23"/>
      <c r="AR527" s="23"/>
      <c r="AS527" s="23"/>
      <c r="AT527" s="23"/>
      <c r="AU527" s="23"/>
      <c r="AV527" s="23"/>
      <c r="AW527" s="23"/>
      <c r="AX527" s="23"/>
      <c r="AY527" s="23"/>
      <c r="AZ527" s="23"/>
      <c r="BA527" s="23"/>
      <c r="BB527" s="23"/>
      <c r="BC527" s="23"/>
      <c r="BD527" s="23"/>
      <c r="BE527" s="23"/>
      <c r="BF527" s="23"/>
      <c r="BG527" s="23"/>
      <c r="BH527" s="23"/>
      <c r="BI527" s="23"/>
      <c r="BJ527" s="23"/>
      <c r="BK527" s="23"/>
      <c r="BL527" s="23"/>
      <c r="BM527" s="23"/>
      <c r="BN527" s="23"/>
      <c r="BO527" s="23"/>
      <c r="BP527" s="23"/>
      <c r="BQ527" s="23"/>
      <c r="BR527" s="23"/>
      <c r="BS527" s="23"/>
      <c r="BT527" s="23"/>
      <c r="BU527" s="23"/>
      <c r="BV527" s="23"/>
      <c r="BW527" s="23"/>
      <c r="BX527" s="23"/>
      <c r="BY527" s="23"/>
      <c r="BZ527" s="23"/>
      <c r="CA527" s="23"/>
      <c r="CB527" s="23"/>
      <c r="CC527" s="23"/>
      <c r="CD527" s="23"/>
      <c r="CE527" s="23"/>
      <c r="CF527" s="23"/>
      <c r="CG527" s="23"/>
      <c r="CH527" s="23"/>
      <c r="CI527" s="23"/>
      <c r="CJ527" s="23"/>
      <c r="CK527" s="23"/>
      <c r="CL527" s="23"/>
      <c r="CM527" s="23"/>
      <c r="CN527" s="23"/>
      <c r="CO527" s="23"/>
      <c r="CP527" s="23"/>
      <c r="CQ527" s="23"/>
      <c r="CR527" s="23"/>
      <c r="CS527" s="23"/>
      <c r="CT527" s="23"/>
      <c r="CU527" s="23"/>
      <c r="CV527" s="23"/>
      <c r="CW527" s="23"/>
      <c r="CX527" s="23"/>
      <c r="CY527" s="23"/>
      <c r="CZ527" s="23"/>
      <c r="DA527" s="23"/>
      <c r="DB527" s="23"/>
      <c r="DC527" s="23"/>
      <c r="DD527" s="23"/>
      <c r="DE527" s="23"/>
      <c r="DF527" s="23"/>
      <c r="DG527" s="23"/>
      <c r="DH527" s="23"/>
      <c r="DI527" s="23"/>
      <c r="DJ527" s="23"/>
      <c r="DK527" s="23"/>
      <c r="DL527" s="23"/>
      <c r="DM527" s="23"/>
      <c r="DN527" s="23"/>
      <c r="DO527" s="23"/>
      <c r="DP527" s="23"/>
      <c r="DQ527" s="23"/>
      <c r="DR527" s="23"/>
      <c r="DS527" s="23"/>
      <c r="DT527" s="23"/>
      <c r="DU527" s="23"/>
      <c r="DV527" s="23"/>
      <c r="DW527" s="23"/>
      <c r="DX527" s="23"/>
      <c r="DY527" s="23"/>
      <c r="DZ527" s="23"/>
      <c r="EA527" s="23"/>
      <c r="EB527" s="23"/>
      <c r="EC527" s="23"/>
      <c r="ED527" s="23"/>
      <c r="EE527" s="23"/>
      <c r="EF527" s="23"/>
      <c r="EG527" s="23"/>
      <c r="EH527" s="23"/>
      <c r="EI527" s="23"/>
      <c r="EJ527" s="23"/>
      <c r="EK527" s="23"/>
      <c r="EL527" s="23"/>
      <c r="EM527" s="23"/>
      <c r="EN527" s="23"/>
      <c r="EO527" s="23"/>
      <c r="EP527" s="23"/>
      <c r="EQ527" s="23"/>
      <c r="ER527" s="23"/>
      <c r="ES527" s="23"/>
      <c r="ET527" s="23"/>
      <c r="EU527" s="23"/>
      <c r="EV527" s="23"/>
      <c r="EW527" s="23"/>
      <c r="EX527" s="23"/>
      <c r="EY527" s="23"/>
      <c r="EZ527" s="23"/>
      <c r="FA527" s="23"/>
      <c r="FB527" s="23"/>
      <c r="FC527" s="23"/>
      <c r="FD527" s="23"/>
      <c r="FE527" s="23"/>
      <c r="FF527" s="23"/>
      <c r="FG527" s="23"/>
      <c r="FH527" s="23"/>
      <c r="FI527" s="23"/>
      <c r="FJ527" s="23"/>
      <c r="FK527" s="23"/>
      <c r="FL527" s="23"/>
      <c r="FM527" s="23"/>
      <c r="FN527" s="23"/>
      <c r="FO527" s="23"/>
      <c r="FP527" s="23"/>
      <c r="FQ527" s="23"/>
      <c r="FR527" s="23"/>
      <c r="FS527" s="23"/>
      <c r="FT527" s="23"/>
      <c r="FU527" s="23"/>
      <c r="FV527" s="23"/>
      <c r="FW527" s="23"/>
      <c r="FX527" s="23"/>
      <c r="FY527" s="23"/>
      <c r="FZ527" s="23"/>
      <c r="GA527" s="23"/>
      <c r="GB527" s="23"/>
      <c r="GC527" s="23"/>
      <c r="GD527" s="23"/>
      <c r="GE527" s="23"/>
      <c r="GF527" s="23"/>
      <c r="GG527" s="23"/>
      <c r="GH527" s="23"/>
      <c r="GI527" s="23"/>
      <c r="GJ527" s="23"/>
      <c r="GK527" s="23"/>
      <c r="GL527" s="23"/>
    </row>
    <row r="528" spans="1:194" ht="13">
      <c r="A528" s="23"/>
      <c r="B528" s="23"/>
      <c r="C528" s="23"/>
      <c r="D528" s="23"/>
      <c r="E528" s="23"/>
      <c r="F528" s="23"/>
      <c r="G528" s="23"/>
      <c r="H528" s="401"/>
      <c r="I528" s="401"/>
      <c r="J528" s="401"/>
      <c r="K528" s="401"/>
      <c r="L528" s="401"/>
      <c r="M528" s="438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  <c r="AL528" s="23"/>
      <c r="AM528" s="23"/>
      <c r="AN528" s="23"/>
      <c r="AO528" s="23"/>
      <c r="AP528" s="23"/>
      <c r="AQ528" s="23"/>
      <c r="AR528" s="23"/>
      <c r="AS528" s="23"/>
      <c r="AT528" s="23"/>
      <c r="AU528" s="23"/>
      <c r="AV528" s="23"/>
      <c r="AW528" s="23"/>
      <c r="AX528" s="23"/>
      <c r="AY528" s="23"/>
      <c r="AZ528" s="23"/>
      <c r="BA528" s="23"/>
      <c r="BB528" s="23"/>
      <c r="BC528" s="23"/>
      <c r="BD528" s="23"/>
      <c r="BE528" s="23"/>
      <c r="BF528" s="23"/>
      <c r="BG528" s="23"/>
      <c r="BH528" s="23"/>
      <c r="BI528" s="23"/>
      <c r="BJ528" s="23"/>
      <c r="BK528" s="23"/>
      <c r="BL528" s="23"/>
      <c r="BM528" s="23"/>
      <c r="BN528" s="23"/>
      <c r="BO528" s="23"/>
      <c r="BP528" s="23"/>
      <c r="BQ528" s="23"/>
      <c r="BR528" s="23"/>
      <c r="BS528" s="23"/>
      <c r="BT528" s="23"/>
      <c r="BU528" s="23"/>
      <c r="BV528" s="23"/>
      <c r="BW528" s="23"/>
      <c r="BX528" s="23"/>
      <c r="BY528" s="23"/>
      <c r="BZ528" s="23"/>
      <c r="CA528" s="23"/>
      <c r="CB528" s="23"/>
      <c r="CC528" s="23"/>
      <c r="CD528" s="23"/>
      <c r="CE528" s="23"/>
      <c r="CF528" s="23"/>
      <c r="CG528" s="23"/>
      <c r="CH528" s="23"/>
      <c r="CI528" s="23"/>
      <c r="CJ528" s="23"/>
      <c r="CK528" s="23"/>
      <c r="CL528" s="23"/>
      <c r="CM528" s="23"/>
      <c r="CN528" s="23"/>
      <c r="CO528" s="23"/>
      <c r="CP528" s="23"/>
      <c r="CQ528" s="23"/>
      <c r="CR528" s="23"/>
      <c r="CS528" s="23"/>
      <c r="CT528" s="23"/>
      <c r="CU528" s="23"/>
      <c r="CV528" s="23"/>
      <c r="CW528" s="23"/>
      <c r="CX528" s="23"/>
      <c r="CY528" s="23"/>
      <c r="CZ528" s="23"/>
      <c r="DA528" s="23"/>
      <c r="DB528" s="23"/>
      <c r="DC528" s="23"/>
      <c r="DD528" s="23"/>
      <c r="DE528" s="23"/>
      <c r="DF528" s="23"/>
      <c r="DG528" s="23"/>
      <c r="DH528" s="23"/>
      <c r="DI528" s="23"/>
      <c r="DJ528" s="23"/>
      <c r="DK528" s="23"/>
      <c r="DL528" s="23"/>
      <c r="DM528" s="23"/>
      <c r="DN528" s="23"/>
      <c r="DO528" s="23"/>
      <c r="DP528" s="23"/>
      <c r="DQ528" s="23"/>
      <c r="DR528" s="23"/>
      <c r="DS528" s="23"/>
      <c r="DT528" s="23"/>
      <c r="DU528" s="23"/>
      <c r="DV528" s="23"/>
      <c r="DW528" s="23"/>
      <c r="DX528" s="23"/>
      <c r="DY528" s="23"/>
      <c r="DZ528" s="23"/>
      <c r="EA528" s="23"/>
      <c r="EB528" s="23"/>
      <c r="EC528" s="23"/>
      <c r="ED528" s="23"/>
      <c r="EE528" s="23"/>
      <c r="EF528" s="23"/>
      <c r="EG528" s="23"/>
      <c r="EH528" s="23"/>
      <c r="EI528" s="23"/>
      <c r="EJ528" s="23"/>
      <c r="EK528" s="23"/>
      <c r="EL528" s="23"/>
      <c r="EM528" s="23"/>
      <c r="EN528" s="23"/>
      <c r="EO528" s="23"/>
      <c r="EP528" s="23"/>
      <c r="EQ528" s="23"/>
      <c r="ER528" s="23"/>
      <c r="ES528" s="23"/>
      <c r="ET528" s="23"/>
      <c r="EU528" s="23"/>
      <c r="EV528" s="23"/>
      <c r="EW528" s="23"/>
      <c r="EX528" s="23"/>
      <c r="EY528" s="23"/>
      <c r="EZ528" s="23"/>
      <c r="FA528" s="23"/>
      <c r="FB528" s="23"/>
      <c r="FC528" s="23"/>
      <c r="FD528" s="23"/>
      <c r="FE528" s="23"/>
      <c r="FF528" s="23"/>
      <c r="FG528" s="23"/>
      <c r="FH528" s="23"/>
      <c r="FI528" s="23"/>
      <c r="FJ528" s="23"/>
      <c r="FK528" s="23"/>
      <c r="FL528" s="23"/>
      <c r="FM528" s="23"/>
      <c r="FN528" s="23"/>
      <c r="FO528" s="23"/>
      <c r="FP528" s="23"/>
      <c r="FQ528" s="23"/>
      <c r="FR528" s="23"/>
      <c r="FS528" s="23"/>
      <c r="FT528" s="23"/>
      <c r="FU528" s="23"/>
      <c r="FV528" s="23"/>
      <c r="FW528" s="23"/>
      <c r="FX528" s="23"/>
      <c r="FY528" s="23"/>
      <c r="FZ528" s="23"/>
      <c r="GA528" s="23"/>
      <c r="GB528" s="23"/>
      <c r="GC528" s="23"/>
      <c r="GD528" s="23"/>
      <c r="GE528" s="23"/>
      <c r="GF528" s="23"/>
      <c r="GG528" s="23"/>
      <c r="GH528" s="23"/>
      <c r="GI528" s="23"/>
      <c r="GJ528" s="23"/>
      <c r="GK528" s="23"/>
      <c r="GL528" s="23"/>
    </row>
    <row r="529" spans="1:194" ht="13">
      <c r="A529" s="23"/>
      <c r="B529" s="23"/>
      <c r="C529" s="23"/>
      <c r="D529" s="23"/>
      <c r="E529" s="23"/>
      <c r="F529" s="23"/>
      <c r="G529" s="23"/>
      <c r="H529" s="401"/>
      <c r="I529" s="401"/>
      <c r="J529" s="401"/>
      <c r="K529" s="401"/>
      <c r="L529" s="401"/>
      <c r="M529" s="438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  <c r="AL529" s="23"/>
      <c r="AM529" s="23"/>
      <c r="AN529" s="23"/>
      <c r="AO529" s="23"/>
      <c r="AP529" s="23"/>
      <c r="AQ529" s="23"/>
      <c r="AR529" s="23"/>
      <c r="AS529" s="23"/>
      <c r="AT529" s="23"/>
      <c r="AU529" s="23"/>
      <c r="AV529" s="23"/>
      <c r="AW529" s="23"/>
      <c r="AX529" s="23"/>
      <c r="AY529" s="23"/>
      <c r="AZ529" s="23"/>
      <c r="BA529" s="23"/>
      <c r="BB529" s="23"/>
      <c r="BC529" s="23"/>
      <c r="BD529" s="23"/>
      <c r="BE529" s="23"/>
      <c r="BF529" s="23"/>
      <c r="BG529" s="23"/>
      <c r="BH529" s="23"/>
      <c r="BI529" s="23"/>
      <c r="BJ529" s="23"/>
      <c r="BK529" s="23"/>
      <c r="BL529" s="23"/>
      <c r="BM529" s="23"/>
      <c r="BN529" s="23"/>
      <c r="BO529" s="23"/>
      <c r="BP529" s="23"/>
      <c r="BQ529" s="23"/>
      <c r="BR529" s="23"/>
      <c r="BS529" s="23"/>
      <c r="BT529" s="23"/>
      <c r="BU529" s="23"/>
      <c r="BV529" s="23"/>
      <c r="BW529" s="23"/>
      <c r="BX529" s="23"/>
      <c r="BY529" s="23"/>
      <c r="BZ529" s="23"/>
      <c r="CA529" s="23"/>
      <c r="CB529" s="23"/>
      <c r="CC529" s="23"/>
      <c r="CD529" s="23"/>
      <c r="CE529" s="23"/>
      <c r="CF529" s="23"/>
      <c r="CG529" s="23"/>
      <c r="CH529" s="23"/>
      <c r="CI529" s="23"/>
      <c r="CJ529" s="23"/>
      <c r="CK529" s="23"/>
      <c r="CL529" s="23"/>
      <c r="CM529" s="23"/>
      <c r="CN529" s="23"/>
      <c r="CO529" s="23"/>
      <c r="CP529" s="23"/>
      <c r="CQ529" s="23"/>
      <c r="CR529" s="23"/>
      <c r="CS529" s="23"/>
      <c r="CT529" s="23"/>
      <c r="CU529" s="23"/>
      <c r="CV529" s="23"/>
      <c r="CW529" s="23"/>
      <c r="CX529" s="23"/>
      <c r="CY529" s="23"/>
      <c r="CZ529" s="23"/>
      <c r="DA529" s="23"/>
      <c r="DB529" s="23"/>
      <c r="DC529" s="23"/>
      <c r="DD529" s="23"/>
      <c r="DE529" s="23"/>
      <c r="DF529" s="23"/>
      <c r="DG529" s="23"/>
      <c r="DH529" s="23"/>
      <c r="DI529" s="23"/>
      <c r="DJ529" s="23"/>
      <c r="DK529" s="23"/>
      <c r="DL529" s="23"/>
      <c r="DM529" s="23"/>
      <c r="DN529" s="23"/>
      <c r="DO529" s="23"/>
      <c r="DP529" s="23"/>
      <c r="DQ529" s="23"/>
      <c r="DR529" s="23"/>
      <c r="DS529" s="23"/>
      <c r="DT529" s="23"/>
      <c r="DU529" s="23"/>
      <c r="DV529" s="23"/>
      <c r="DW529" s="23"/>
      <c r="DX529" s="23"/>
      <c r="DY529" s="23"/>
      <c r="DZ529" s="23"/>
      <c r="EA529" s="23"/>
      <c r="EB529" s="23"/>
      <c r="EC529" s="23"/>
      <c r="ED529" s="23"/>
      <c r="EE529" s="23"/>
      <c r="EF529" s="23"/>
      <c r="EG529" s="23"/>
      <c r="EH529" s="23"/>
      <c r="EI529" s="23"/>
      <c r="EJ529" s="23"/>
      <c r="EK529" s="23"/>
      <c r="EL529" s="23"/>
      <c r="EM529" s="23"/>
      <c r="EN529" s="23"/>
      <c r="EO529" s="23"/>
      <c r="EP529" s="23"/>
      <c r="EQ529" s="23"/>
      <c r="ER529" s="23"/>
      <c r="ES529" s="23"/>
      <c r="ET529" s="23"/>
      <c r="EU529" s="23"/>
      <c r="EV529" s="23"/>
      <c r="EW529" s="23"/>
      <c r="EX529" s="23"/>
      <c r="EY529" s="23"/>
      <c r="EZ529" s="23"/>
      <c r="FA529" s="23"/>
      <c r="FB529" s="23"/>
      <c r="FC529" s="23"/>
      <c r="FD529" s="23"/>
      <c r="FE529" s="23"/>
      <c r="FF529" s="23"/>
      <c r="FG529" s="23"/>
      <c r="FH529" s="23"/>
      <c r="FI529" s="23"/>
      <c r="FJ529" s="23"/>
      <c r="FK529" s="23"/>
      <c r="FL529" s="23"/>
      <c r="FM529" s="23"/>
      <c r="FN529" s="23"/>
      <c r="FO529" s="23"/>
      <c r="FP529" s="23"/>
      <c r="FQ529" s="23"/>
      <c r="FR529" s="23"/>
      <c r="FS529" s="23"/>
      <c r="FT529" s="23"/>
      <c r="FU529" s="23"/>
      <c r="FV529" s="23"/>
      <c r="FW529" s="23"/>
      <c r="FX529" s="23"/>
      <c r="FY529" s="23"/>
      <c r="FZ529" s="23"/>
      <c r="GA529" s="23"/>
      <c r="GB529" s="23"/>
      <c r="GC529" s="23"/>
      <c r="GD529" s="23"/>
      <c r="GE529" s="23"/>
      <c r="GF529" s="23"/>
      <c r="GG529" s="23"/>
      <c r="GH529" s="23"/>
      <c r="GI529" s="23"/>
      <c r="GJ529" s="23"/>
      <c r="GK529" s="23"/>
      <c r="GL529" s="23"/>
    </row>
    <row r="530" spans="1:194" ht="13">
      <c r="A530" s="23"/>
      <c r="B530" s="23"/>
      <c r="C530" s="23"/>
      <c r="D530" s="23"/>
      <c r="E530" s="23"/>
      <c r="F530" s="23"/>
      <c r="G530" s="23"/>
      <c r="H530" s="401"/>
      <c r="I530" s="401"/>
      <c r="J530" s="401"/>
      <c r="K530" s="401"/>
      <c r="L530" s="401"/>
      <c r="M530" s="438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  <c r="AL530" s="23"/>
      <c r="AM530" s="23"/>
      <c r="AN530" s="23"/>
      <c r="AO530" s="23"/>
      <c r="AP530" s="23"/>
      <c r="AQ530" s="23"/>
      <c r="AR530" s="23"/>
      <c r="AS530" s="23"/>
      <c r="AT530" s="23"/>
      <c r="AU530" s="23"/>
      <c r="AV530" s="23"/>
      <c r="AW530" s="23"/>
      <c r="AX530" s="23"/>
      <c r="AY530" s="23"/>
      <c r="AZ530" s="23"/>
      <c r="BA530" s="23"/>
      <c r="BB530" s="23"/>
      <c r="BC530" s="23"/>
      <c r="BD530" s="23"/>
      <c r="BE530" s="23"/>
      <c r="BF530" s="23"/>
      <c r="BG530" s="23"/>
      <c r="BH530" s="23"/>
      <c r="BI530" s="23"/>
      <c r="BJ530" s="23"/>
      <c r="BK530" s="23"/>
      <c r="BL530" s="23"/>
      <c r="BM530" s="23"/>
      <c r="BN530" s="23"/>
      <c r="BO530" s="23"/>
      <c r="BP530" s="23"/>
      <c r="BQ530" s="23"/>
      <c r="BR530" s="23"/>
      <c r="BS530" s="23"/>
      <c r="BT530" s="23"/>
      <c r="BU530" s="23"/>
      <c r="BV530" s="23"/>
      <c r="BW530" s="23"/>
      <c r="BX530" s="23"/>
      <c r="BY530" s="23"/>
      <c r="BZ530" s="23"/>
      <c r="CA530" s="23"/>
      <c r="CB530" s="23"/>
      <c r="CC530" s="23"/>
      <c r="CD530" s="23"/>
      <c r="CE530" s="23"/>
      <c r="CF530" s="23"/>
      <c r="CG530" s="23"/>
      <c r="CH530" s="23"/>
      <c r="CI530" s="23"/>
      <c r="CJ530" s="23"/>
      <c r="CK530" s="23"/>
      <c r="CL530" s="23"/>
      <c r="CM530" s="23"/>
      <c r="CN530" s="23"/>
      <c r="CO530" s="23"/>
      <c r="CP530" s="23"/>
      <c r="CQ530" s="23"/>
      <c r="CR530" s="23"/>
      <c r="CS530" s="23"/>
      <c r="CT530" s="23"/>
      <c r="CU530" s="23"/>
      <c r="CV530" s="23"/>
      <c r="CW530" s="23"/>
      <c r="CX530" s="23"/>
      <c r="CY530" s="23"/>
      <c r="CZ530" s="23"/>
      <c r="DA530" s="23"/>
      <c r="DB530" s="23"/>
      <c r="DC530" s="23"/>
      <c r="DD530" s="23"/>
      <c r="DE530" s="23"/>
      <c r="DF530" s="23"/>
      <c r="DG530" s="23"/>
      <c r="DH530" s="23"/>
      <c r="DI530" s="23"/>
      <c r="DJ530" s="23"/>
      <c r="DK530" s="23"/>
      <c r="DL530" s="23"/>
      <c r="DM530" s="23"/>
      <c r="DN530" s="23"/>
      <c r="DO530" s="23"/>
      <c r="DP530" s="23"/>
      <c r="DQ530" s="23"/>
      <c r="DR530" s="23"/>
      <c r="DS530" s="23"/>
      <c r="DT530" s="23"/>
      <c r="DU530" s="23"/>
      <c r="DV530" s="23"/>
      <c r="DW530" s="23"/>
      <c r="DX530" s="23"/>
      <c r="DY530" s="23"/>
      <c r="DZ530" s="23"/>
      <c r="EA530" s="23"/>
      <c r="EB530" s="23"/>
      <c r="EC530" s="23"/>
      <c r="ED530" s="23"/>
      <c r="EE530" s="23"/>
      <c r="EF530" s="23"/>
      <c r="EG530" s="23"/>
      <c r="EH530" s="23"/>
      <c r="EI530" s="23"/>
      <c r="EJ530" s="23"/>
      <c r="EK530" s="23"/>
      <c r="EL530" s="23"/>
      <c r="EM530" s="23"/>
      <c r="EN530" s="23"/>
      <c r="EO530" s="23"/>
      <c r="EP530" s="23"/>
      <c r="EQ530" s="23"/>
      <c r="ER530" s="23"/>
      <c r="ES530" s="23"/>
      <c r="ET530" s="23"/>
      <c r="EU530" s="23"/>
      <c r="EV530" s="23"/>
      <c r="EW530" s="23"/>
      <c r="EX530" s="23"/>
      <c r="EY530" s="23"/>
      <c r="EZ530" s="23"/>
      <c r="FA530" s="23"/>
      <c r="FB530" s="23"/>
      <c r="FC530" s="23"/>
      <c r="FD530" s="23"/>
      <c r="FE530" s="23"/>
      <c r="FF530" s="23"/>
      <c r="FG530" s="23"/>
      <c r="FH530" s="23"/>
      <c r="FI530" s="23"/>
      <c r="FJ530" s="23"/>
      <c r="FK530" s="23"/>
      <c r="FL530" s="23"/>
      <c r="FM530" s="23"/>
      <c r="FN530" s="23"/>
      <c r="FO530" s="23"/>
      <c r="FP530" s="23"/>
      <c r="FQ530" s="23"/>
      <c r="FR530" s="23"/>
      <c r="FS530" s="23"/>
      <c r="FT530" s="23"/>
      <c r="FU530" s="23"/>
      <c r="FV530" s="23"/>
      <c r="FW530" s="23"/>
      <c r="FX530" s="23"/>
      <c r="FY530" s="23"/>
      <c r="FZ530" s="23"/>
      <c r="GA530" s="23"/>
      <c r="GB530" s="23"/>
      <c r="GC530" s="23"/>
      <c r="GD530" s="23"/>
      <c r="GE530" s="23"/>
      <c r="GF530" s="23"/>
      <c r="GG530" s="23"/>
      <c r="GH530" s="23"/>
      <c r="GI530" s="23"/>
      <c r="GJ530" s="23"/>
      <c r="GK530" s="23"/>
      <c r="GL530" s="23"/>
    </row>
    <row r="531" spans="1:194" ht="13">
      <c r="A531" s="23"/>
      <c r="B531" s="23"/>
      <c r="C531" s="23"/>
      <c r="D531" s="23"/>
      <c r="E531" s="23"/>
      <c r="F531" s="23"/>
      <c r="G531" s="23"/>
      <c r="H531" s="401"/>
      <c r="I531" s="401"/>
      <c r="J531" s="401"/>
      <c r="K531" s="401"/>
      <c r="L531" s="401"/>
      <c r="M531" s="438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  <c r="AL531" s="23"/>
      <c r="AM531" s="23"/>
      <c r="AN531" s="23"/>
      <c r="AO531" s="23"/>
      <c r="AP531" s="23"/>
      <c r="AQ531" s="23"/>
      <c r="AR531" s="23"/>
      <c r="AS531" s="23"/>
      <c r="AT531" s="23"/>
      <c r="AU531" s="23"/>
      <c r="AV531" s="23"/>
      <c r="AW531" s="23"/>
      <c r="AX531" s="23"/>
      <c r="AY531" s="23"/>
      <c r="AZ531" s="23"/>
      <c r="BA531" s="23"/>
      <c r="BB531" s="23"/>
      <c r="BC531" s="23"/>
      <c r="BD531" s="23"/>
      <c r="BE531" s="23"/>
      <c r="BF531" s="23"/>
      <c r="BG531" s="23"/>
      <c r="BH531" s="23"/>
      <c r="BI531" s="23"/>
      <c r="BJ531" s="23"/>
      <c r="BK531" s="23"/>
      <c r="BL531" s="23"/>
      <c r="BM531" s="23"/>
      <c r="BN531" s="23"/>
      <c r="BO531" s="23"/>
      <c r="BP531" s="23"/>
      <c r="BQ531" s="23"/>
      <c r="BR531" s="23"/>
      <c r="BS531" s="23"/>
      <c r="BT531" s="23"/>
      <c r="BU531" s="23"/>
      <c r="BV531" s="23"/>
      <c r="BW531" s="23"/>
      <c r="BX531" s="23"/>
      <c r="BY531" s="23"/>
      <c r="BZ531" s="23"/>
      <c r="CA531" s="23"/>
      <c r="CB531" s="23"/>
      <c r="CC531" s="23"/>
      <c r="CD531" s="23"/>
      <c r="CE531" s="23"/>
      <c r="CF531" s="23"/>
      <c r="CG531" s="23"/>
      <c r="CH531" s="23"/>
      <c r="CI531" s="23"/>
      <c r="CJ531" s="23"/>
      <c r="CK531" s="23"/>
      <c r="CL531" s="23"/>
      <c r="CM531" s="23"/>
      <c r="CN531" s="23"/>
      <c r="CO531" s="23"/>
      <c r="CP531" s="23"/>
      <c r="CQ531" s="23"/>
      <c r="CR531" s="23"/>
      <c r="CS531" s="23"/>
      <c r="CT531" s="23"/>
      <c r="CU531" s="23"/>
      <c r="CV531" s="23"/>
      <c r="CW531" s="23"/>
      <c r="CX531" s="23"/>
      <c r="CY531" s="23"/>
      <c r="CZ531" s="23"/>
      <c r="DA531" s="23"/>
      <c r="DB531" s="23"/>
      <c r="DC531" s="23"/>
      <c r="DD531" s="23"/>
      <c r="DE531" s="23"/>
      <c r="DF531" s="23"/>
      <c r="DG531" s="23"/>
      <c r="DH531" s="23"/>
      <c r="DI531" s="23"/>
      <c r="DJ531" s="23"/>
      <c r="DK531" s="23"/>
      <c r="DL531" s="23"/>
      <c r="DM531" s="23"/>
      <c r="DN531" s="23"/>
      <c r="DO531" s="23"/>
      <c r="DP531" s="23"/>
      <c r="DQ531" s="23"/>
      <c r="DR531" s="23"/>
      <c r="DS531" s="23"/>
      <c r="DT531" s="23"/>
      <c r="DU531" s="23"/>
      <c r="DV531" s="23"/>
      <c r="DW531" s="23"/>
      <c r="DX531" s="23"/>
      <c r="DY531" s="23"/>
      <c r="DZ531" s="23"/>
      <c r="EA531" s="23"/>
      <c r="EB531" s="23"/>
      <c r="EC531" s="23"/>
      <c r="ED531" s="23"/>
      <c r="EE531" s="23"/>
      <c r="EF531" s="23"/>
      <c r="EG531" s="23"/>
      <c r="EH531" s="23"/>
      <c r="EI531" s="23"/>
      <c r="EJ531" s="23"/>
      <c r="EK531" s="23"/>
      <c r="EL531" s="23"/>
      <c r="EM531" s="23"/>
      <c r="EN531" s="23"/>
      <c r="EO531" s="23"/>
      <c r="EP531" s="23"/>
      <c r="EQ531" s="23"/>
      <c r="ER531" s="23"/>
      <c r="ES531" s="23"/>
      <c r="ET531" s="23"/>
      <c r="EU531" s="23"/>
      <c r="EV531" s="23"/>
      <c r="EW531" s="23"/>
      <c r="EX531" s="23"/>
      <c r="EY531" s="23"/>
      <c r="EZ531" s="23"/>
      <c r="FA531" s="23"/>
      <c r="FB531" s="23"/>
      <c r="FC531" s="23"/>
      <c r="FD531" s="23"/>
      <c r="FE531" s="23"/>
      <c r="FF531" s="23"/>
      <c r="FG531" s="23"/>
      <c r="FH531" s="23"/>
      <c r="FI531" s="23"/>
      <c r="FJ531" s="23"/>
      <c r="FK531" s="23"/>
      <c r="FL531" s="23"/>
      <c r="FM531" s="23"/>
      <c r="FN531" s="23"/>
      <c r="FO531" s="23"/>
      <c r="FP531" s="23"/>
      <c r="FQ531" s="23"/>
      <c r="FR531" s="23"/>
      <c r="FS531" s="23"/>
      <c r="FT531" s="23"/>
      <c r="FU531" s="23"/>
      <c r="FV531" s="23"/>
      <c r="FW531" s="23"/>
      <c r="FX531" s="23"/>
      <c r="FY531" s="23"/>
      <c r="FZ531" s="23"/>
      <c r="GA531" s="23"/>
      <c r="GB531" s="23"/>
      <c r="GC531" s="23"/>
      <c r="GD531" s="23"/>
      <c r="GE531" s="23"/>
      <c r="GF531" s="23"/>
      <c r="GG531" s="23"/>
      <c r="GH531" s="23"/>
      <c r="GI531" s="23"/>
      <c r="GJ531" s="23"/>
      <c r="GK531" s="23"/>
      <c r="GL531" s="23"/>
    </row>
    <row r="532" spans="1:194" ht="13">
      <c r="A532" s="23"/>
      <c r="B532" s="23"/>
      <c r="C532" s="23"/>
      <c r="D532" s="23"/>
      <c r="E532" s="23"/>
      <c r="F532" s="23"/>
      <c r="G532" s="23"/>
      <c r="H532" s="401"/>
      <c r="I532" s="401"/>
      <c r="J532" s="401"/>
      <c r="K532" s="401"/>
      <c r="L532" s="401"/>
      <c r="M532" s="438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  <c r="AL532" s="23"/>
      <c r="AM532" s="23"/>
      <c r="AN532" s="23"/>
      <c r="AO532" s="23"/>
      <c r="AP532" s="23"/>
      <c r="AQ532" s="23"/>
      <c r="AR532" s="23"/>
      <c r="AS532" s="23"/>
      <c r="AT532" s="23"/>
      <c r="AU532" s="23"/>
      <c r="AV532" s="23"/>
      <c r="AW532" s="23"/>
      <c r="AX532" s="23"/>
      <c r="AY532" s="23"/>
      <c r="AZ532" s="23"/>
      <c r="BA532" s="23"/>
      <c r="BB532" s="23"/>
      <c r="BC532" s="23"/>
      <c r="BD532" s="23"/>
      <c r="BE532" s="23"/>
      <c r="BF532" s="23"/>
      <c r="BG532" s="23"/>
      <c r="BH532" s="23"/>
      <c r="BI532" s="23"/>
      <c r="BJ532" s="23"/>
      <c r="BK532" s="23"/>
      <c r="BL532" s="23"/>
      <c r="BM532" s="23"/>
      <c r="BN532" s="23"/>
      <c r="BO532" s="23"/>
      <c r="BP532" s="23"/>
      <c r="BQ532" s="23"/>
      <c r="BR532" s="23"/>
      <c r="BS532" s="23"/>
      <c r="BT532" s="23"/>
      <c r="BU532" s="23"/>
      <c r="BV532" s="23"/>
      <c r="BW532" s="23"/>
      <c r="BX532" s="23"/>
      <c r="BY532" s="23"/>
      <c r="BZ532" s="23"/>
      <c r="CA532" s="23"/>
      <c r="CB532" s="23"/>
      <c r="CC532" s="23"/>
      <c r="CD532" s="23"/>
      <c r="CE532" s="23"/>
      <c r="CF532" s="23"/>
      <c r="CG532" s="23"/>
      <c r="CH532" s="23"/>
      <c r="CI532" s="23"/>
      <c r="CJ532" s="23"/>
      <c r="CK532" s="23"/>
      <c r="CL532" s="23"/>
      <c r="CM532" s="23"/>
      <c r="CN532" s="23"/>
      <c r="CO532" s="23"/>
      <c r="CP532" s="23"/>
      <c r="CQ532" s="23"/>
      <c r="CR532" s="23"/>
      <c r="CS532" s="23"/>
      <c r="CT532" s="23"/>
      <c r="CU532" s="23"/>
      <c r="CV532" s="23"/>
      <c r="CW532" s="23"/>
      <c r="CX532" s="23"/>
      <c r="CY532" s="23"/>
      <c r="CZ532" s="23"/>
      <c r="DA532" s="23"/>
      <c r="DB532" s="23"/>
      <c r="DC532" s="23"/>
      <c r="DD532" s="23"/>
      <c r="DE532" s="23"/>
      <c r="DF532" s="23"/>
      <c r="DG532" s="23"/>
      <c r="DH532" s="23"/>
      <c r="DI532" s="23"/>
      <c r="DJ532" s="23"/>
      <c r="DK532" s="23"/>
      <c r="DL532" s="23"/>
      <c r="DM532" s="23"/>
      <c r="DN532" s="23"/>
      <c r="DO532" s="23"/>
      <c r="DP532" s="23"/>
      <c r="DQ532" s="23"/>
      <c r="DR532" s="23"/>
      <c r="DS532" s="23"/>
      <c r="DT532" s="23"/>
      <c r="DU532" s="23"/>
      <c r="DV532" s="23"/>
      <c r="DW532" s="23"/>
      <c r="DX532" s="23"/>
      <c r="DY532" s="23"/>
      <c r="DZ532" s="23"/>
      <c r="EA532" s="23"/>
      <c r="EB532" s="23"/>
      <c r="EC532" s="23"/>
      <c r="ED532" s="23"/>
      <c r="EE532" s="23"/>
      <c r="EF532" s="23"/>
      <c r="EG532" s="23"/>
      <c r="EH532" s="23"/>
      <c r="EI532" s="23"/>
      <c r="EJ532" s="23"/>
      <c r="EK532" s="23"/>
      <c r="EL532" s="23"/>
      <c r="EM532" s="23"/>
      <c r="EN532" s="23"/>
      <c r="EO532" s="23"/>
      <c r="EP532" s="23"/>
      <c r="EQ532" s="23"/>
      <c r="ER532" s="23"/>
      <c r="ES532" s="23"/>
      <c r="ET532" s="23"/>
      <c r="EU532" s="23"/>
      <c r="EV532" s="23"/>
      <c r="EW532" s="23"/>
      <c r="EX532" s="23"/>
      <c r="EY532" s="23"/>
      <c r="EZ532" s="23"/>
      <c r="FA532" s="23"/>
      <c r="FB532" s="23"/>
      <c r="FC532" s="23"/>
      <c r="FD532" s="23"/>
      <c r="FE532" s="23"/>
      <c r="FF532" s="23"/>
      <c r="FG532" s="23"/>
      <c r="FH532" s="23"/>
      <c r="FI532" s="23"/>
      <c r="FJ532" s="23"/>
      <c r="FK532" s="23"/>
      <c r="FL532" s="23"/>
      <c r="FM532" s="23"/>
      <c r="FN532" s="23"/>
      <c r="FO532" s="23"/>
      <c r="FP532" s="23"/>
      <c r="FQ532" s="23"/>
      <c r="FR532" s="23"/>
      <c r="FS532" s="23"/>
      <c r="FT532" s="23"/>
      <c r="FU532" s="23"/>
      <c r="FV532" s="23"/>
      <c r="FW532" s="23"/>
      <c r="FX532" s="23"/>
      <c r="FY532" s="23"/>
      <c r="FZ532" s="23"/>
      <c r="GA532" s="23"/>
      <c r="GB532" s="23"/>
      <c r="GC532" s="23"/>
      <c r="GD532" s="23"/>
      <c r="GE532" s="23"/>
      <c r="GF532" s="23"/>
      <c r="GG532" s="23"/>
      <c r="GH532" s="23"/>
      <c r="GI532" s="23"/>
      <c r="GJ532" s="23"/>
      <c r="GK532" s="23"/>
      <c r="GL532" s="23"/>
    </row>
    <row r="533" spans="1:194" ht="13">
      <c r="A533" s="23"/>
      <c r="B533" s="23"/>
      <c r="C533" s="23"/>
      <c r="D533" s="23"/>
      <c r="E533" s="23"/>
      <c r="F533" s="23"/>
      <c r="G533" s="23"/>
      <c r="H533" s="401"/>
      <c r="I533" s="401"/>
      <c r="J533" s="401"/>
      <c r="K533" s="401"/>
      <c r="L533" s="401"/>
      <c r="M533" s="438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  <c r="AL533" s="23"/>
      <c r="AM533" s="23"/>
      <c r="AN533" s="23"/>
      <c r="AO533" s="23"/>
      <c r="AP533" s="23"/>
      <c r="AQ533" s="23"/>
      <c r="AR533" s="23"/>
      <c r="AS533" s="23"/>
      <c r="AT533" s="23"/>
      <c r="AU533" s="23"/>
      <c r="AV533" s="23"/>
      <c r="AW533" s="23"/>
      <c r="AX533" s="23"/>
      <c r="AY533" s="23"/>
      <c r="AZ533" s="23"/>
      <c r="BA533" s="23"/>
      <c r="BB533" s="23"/>
      <c r="BC533" s="23"/>
      <c r="BD533" s="23"/>
      <c r="BE533" s="23"/>
      <c r="BF533" s="23"/>
      <c r="BG533" s="23"/>
      <c r="BH533" s="23"/>
      <c r="BI533" s="23"/>
      <c r="BJ533" s="23"/>
      <c r="BK533" s="23"/>
      <c r="BL533" s="23"/>
      <c r="BM533" s="23"/>
      <c r="BN533" s="23"/>
      <c r="BO533" s="23"/>
      <c r="BP533" s="23"/>
      <c r="BQ533" s="23"/>
      <c r="BR533" s="23"/>
      <c r="BS533" s="23"/>
      <c r="BT533" s="23"/>
      <c r="BU533" s="23"/>
      <c r="BV533" s="23"/>
      <c r="BW533" s="23"/>
      <c r="BX533" s="23"/>
      <c r="BY533" s="23"/>
      <c r="BZ533" s="23"/>
      <c r="CA533" s="23"/>
      <c r="CB533" s="23"/>
      <c r="CC533" s="23"/>
      <c r="CD533" s="23"/>
      <c r="CE533" s="23"/>
      <c r="CF533" s="23"/>
      <c r="CG533" s="23"/>
      <c r="CH533" s="23"/>
      <c r="CI533" s="23"/>
      <c r="CJ533" s="23"/>
      <c r="CK533" s="23"/>
      <c r="CL533" s="23"/>
      <c r="CM533" s="23"/>
      <c r="CN533" s="23"/>
      <c r="CO533" s="23"/>
      <c r="CP533" s="23"/>
      <c r="CQ533" s="23"/>
      <c r="CR533" s="23"/>
      <c r="CS533" s="23"/>
      <c r="CT533" s="23"/>
      <c r="CU533" s="23"/>
      <c r="CV533" s="23"/>
      <c r="CW533" s="23"/>
      <c r="CX533" s="23"/>
      <c r="CY533" s="23"/>
      <c r="CZ533" s="23"/>
      <c r="DA533" s="23"/>
      <c r="DB533" s="23"/>
      <c r="DC533" s="23"/>
      <c r="DD533" s="23"/>
      <c r="DE533" s="23"/>
      <c r="DF533" s="23"/>
      <c r="DG533" s="23"/>
      <c r="DH533" s="23"/>
      <c r="DI533" s="23"/>
      <c r="DJ533" s="23"/>
      <c r="DK533" s="23"/>
      <c r="DL533" s="23"/>
      <c r="DM533" s="23"/>
      <c r="DN533" s="23"/>
      <c r="DO533" s="23"/>
      <c r="DP533" s="23"/>
      <c r="DQ533" s="23"/>
      <c r="DR533" s="23"/>
      <c r="DS533" s="23"/>
      <c r="DT533" s="23"/>
      <c r="DU533" s="23"/>
      <c r="DV533" s="23"/>
      <c r="DW533" s="23"/>
      <c r="DX533" s="23"/>
      <c r="DY533" s="23"/>
      <c r="DZ533" s="23"/>
      <c r="EA533" s="23"/>
      <c r="EB533" s="23"/>
      <c r="EC533" s="23"/>
      <c r="ED533" s="23"/>
      <c r="EE533" s="23"/>
      <c r="EF533" s="23"/>
      <c r="EG533" s="23"/>
      <c r="EH533" s="23"/>
      <c r="EI533" s="23"/>
      <c r="EJ533" s="23"/>
      <c r="EK533" s="23"/>
      <c r="EL533" s="23"/>
      <c r="EM533" s="23"/>
      <c r="EN533" s="23"/>
      <c r="EO533" s="23"/>
      <c r="EP533" s="23"/>
      <c r="EQ533" s="23"/>
      <c r="ER533" s="23"/>
      <c r="ES533" s="23"/>
      <c r="ET533" s="23"/>
      <c r="EU533" s="23"/>
      <c r="EV533" s="23"/>
      <c r="EW533" s="23"/>
      <c r="EX533" s="23"/>
      <c r="EY533" s="23"/>
      <c r="EZ533" s="23"/>
      <c r="FA533" s="23"/>
      <c r="FB533" s="23"/>
      <c r="FC533" s="23"/>
      <c r="FD533" s="23"/>
      <c r="FE533" s="23"/>
      <c r="FF533" s="23"/>
      <c r="FG533" s="23"/>
      <c r="FH533" s="23"/>
      <c r="FI533" s="23"/>
      <c r="FJ533" s="23"/>
      <c r="FK533" s="23"/>
      <c r="FL533" s="23"/>
      <c r="FM533" s="23"/>
      <c r="FN533" s="23"/>
      <c r="FO533" s="23"/>
      <c r="FP533" s="23"/>
      <c r="FQ533" s="23"/>
      <c r="FR533" s="23"/>
      <c r="FS533" s="23"/>
      <c r="FT533" s="23"/>
      <c r="FU533" s="23"/>
      <c r="FV533" s="23"/>
      <c r="FW533" s="23"/>
      <c r="FX533" s="23"/>
      <c r="FY533" s="23"/>
      <c r="FZ533" s="23"/>
      <c r="GA533" s="23"/>
      <c r="GB533" s="23"/>
      <c r="GC533" s="23"/>
      <c r="GD533" s="23"/>
      <c r="GE533" s="23"/>
      <c r="GF533" s="23"/>
      <c r="GG533" s="23"/>
      <c r="GH533" s="23"/>
      <c r="GI533" s="23"/>
      <c r="GJ533" s="23"/>
      <c r="GK533" s="23"/>
      <c r="GL533" s="23"/>
    </row>
    <row r="534" spans="1:194" ht="13">
      <c r="A534" s="23"/>
      <c r="B534" s="23"/>
      <c r="C534" s="23"/>
      <c r="D534" s="23"/>
      <c r="E534" s="23"/>
      <c r="F534" s="23"/>
      <c r="G534" s="23"/>
      <c r="H534" s="401"/>
      <c r="I534" s="401"/>
      <c r="J534" s="401"/>
      <c r="K534" s="401"/>
      <c r="L534" s="401"/>
      <c r="M534" s="438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  <c r="AL534" s="23"/>
      <c r="AM534" s="23"/>
      <c r="AN534" s="23"/>
      <c r="AO534" s="23"/>
      <c r="AP534" s="23"/>
      <c r="AQ534" s="23"/>
      <c r="AR534" s="23"/>
      <c r="AS534" s="23"/>
      <c r="AT534" s="23"/>
      <c r="AU534" s="23"/>
      <c r="AV534" s="23"/>
      <c r="AW534" s="23"/>
      <c r="AX534" s="23"/>
      <c r="AY534" s="23"/>
      <c r="AZ534" s="23"/>
      <c r="BA534" s="23"/>
      <c r="BB534" s="23"/>
      <c r="BC534" s="23"/>
      <c r="BD534" s="23"/>
      <c r="BE534" s="23"/>
      <c r="BF534" s="23"/>
      <c r="BG534" s="23"/>
      <c r="BH534" s="23"/>
      <c r="BI534" s="23"/>
      <c r="BJ534" s="23"/>
      <c r="BK534" s="23"/>
      <c r="BL534" s="23"/>
      <c r="BM534" s="23"/>
      <c r="BN534" s="23"/>
      <c r="BO534" s="23"/>
      <c r="BP534" s="23"/>
      <c r="BQ534" s="23"/>
      <c r="BR534" s="23"/>
      <c r="BS534" s="23"/>
      <c r="BT534" s="23"/>
      <c r="BU534" s="23"/>
      <c r="BV534" s="23"/>
      <c r="BW534" s="23"/>
      <c r="BX534" s="23"/>
      <c r="BY534" s="23"/>
      <c r="BZ534" s="23"/>
      <c r="CA534" s="23"/>
      <c r="CB534" s="23"/>
      <c r="CC534" s="23"/>
      <c r="CD534" s="23"/>
      <c r="CE534" s="23"/>
      <c r="CF534" s="23"/>
      <c r="CG534" s="23"/>
      <c r="CH534" s="23"/>
      <c r="CI534" s="23"/>
      <c r="CJ534" s="23"/>
      <c r="CK534" s="23"/>
      <c r="CL534" s="23"/>
      <c r="CM534" s="23"/>
      <c r="CN534" s="23"/>
      <c r="CO534" s="23"/>
      <c r="CP534" s="23"/>
      <c r="CQ534" s="23"/>
      <c r="CR534" s="23"/>
      <c r="CS534" s="23"/>
      <c r="CT534" s="23"/>
      <c r="CU534" s="23"/>
      <c r="CV534" s="23"/>
      <c r="CW534" s="23"/>
      <c r="CX534" s="23"/>
      <c r="CY534" s="23"/>
      <c r="CZ534" s="23"/>
      <c r="DA534" s="23"/>
      <c r="DB534" s="23"/>
      <c r="DC534" s="23"/>
      <c r="DD534" s="23"/>
      <c r="DE534" s="23"/>
      <c r="DF534" s="23"/>
      <c r="DG534" s="23"/>
      <c r="DH534" s="23"/>
      <c r="DI534" s="23"/>
      <c r="DJ534" s="23"/>
      <c r="DK534" s="23"/>
      <c r="DL534" s="23"/>
      <c r="DM534" s="23"/>
      <c r="DN534" s="23"/>
      <c r="DO534" s="23"/>
      <c r="DP534" s="23"/>
      <c r="DQ534" s="23"/>
      <c r="DR534" s="23"/>
      <c r="DS534" s="23"/>
      <c r="DT534" s="23"/>
      <c r="DU534" s="23"/>
      <c r="DV534" s="23"/>
      <c r="DW534" s="23"/>
      <c r="DX534" s="23"/>
      <c r="DY534" s="23"/>
      <c r="DZ534" s="23"/>
      <c r="EA534" s="23"/>
      <c r="EB534" s="23"/>
      <c r="EC534" s="23"/>
      <c r="ED534" s="23"/>
      <c r="EE534" s="23"/>
      <c r="EF534" s="23"/>
      <c r="EG534" s="23"/>
      <c r="EH534" s="23"/>
      <c r="EI534" s="23"/>
      <c r="EJ534" s="23"/>
      <c r="EK534" s="23"/>
      <c r="EL534" s="23"/>
      <c r="EM534" s="23"/>
      <c r="EN534" s="23"/>
      <c r="EO534" s="23"/>
      <c r="EP534" s="23"/>
      <c r="EQ534" s="23"/>
      <c r="ER534" s="23"/>
      <c r="ES534" s="23"/>
      <c r="ET534" s="23"/>
      <c r="EU534" s="23"/>
      <c r="EV534" s="23"/>
      <c r="EW534" s="23"/>
      <c r="EX534" s="23"/>
      <c r="EY534" s="23"/>
      <c r="EZ534" s="23"/>
      <c r="FA534" s="23"/>
      <c r="FB534" s="23"/>
      <c r="FC534" s="23"/>
      <c r="FD534" s="23"/>
      <c r="FE534" s="23"/>
      <c r="FF534" s="23"/>
      <c r="FG534" s="23"/>
      <c r="FH534" s="23"/>
      <c r="FI534" s="23"/>
      <c r="FJ534" s="23"/>
      <c r="FK534" s="23"/>
      <c r="FL534" s="23"/>
      <c r="FM534" s="23"/>
      <c r="FN534" s="23"/>
      <c r="FO534" s="23"/>
      <c r="FP534" s="23"/>
      <c r="FQ534" s="23"/>
      <c r="FR534" s="23"/>
      <c r="FS534" s="23"/>
      <c r="FT534" s="23"/>
      <c r="FU534" s="23"/>
      <c r="FV534" s="23"/>
      <c r="FW534" s="23"/>
      <c r="FX534" s="23"/>
      <c r="FY534" s="23"/>
      <c r="FZ534" s="23"/>
      <c r="GA534" s="23"/>
      <c r="GB534" s="23"/>
      <c r="GC534" s="23"/>
      <c r="GD534" s="23"/>
      <c r="GE534" s="23"/>
      <c r="GF534" s="23"/>
      <c r="GG534" s="23"/>
      <c r="GH534" s="23"/>
      <c r="GI534" s="23"/>
      <c r="GJ534" s="23"/>
      <c r="GK534" s="23"/>
      <c r="GL534" s="23"/>
    </row>
    <row r="535" spans="1:194" ht="13">
      <c r="A535" s="23"/>
      <c r="B535" s="23"/>
      <c r="C535" s="23"/>
      <c r="D535" s="23"/>
      <c r="E535" s="23"/>
      <c r="F535" s="23"/>
      <c r="G535" s="23"/>
      <c r="H535" s="401"/>
      <c r="I535" s="401"/>
      <c r="J535" s="401"/>
      <c r="K535" s="401"/>
      <c r="L535" s="401"/>
      <c r="M535" s="438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  <c r="AL535" s="23"/>
      <c r="AM535" s="23"/>
      <c r="AN535" s="23"/>
      <c r="AO535" s="23"/>
      <c r="AP535" s="23"/>
      <c r="AQ535" s="23"/>
      <c r="AR535" s="23"/>
      <c r="AS535" s="23"/>
      <c r="AT535" s="23"/>
      <c r="AU535" s="23"/>
      <c r="AV535" s="23"/>
      <c r="AW535" s="23"/>
      <c r="AX535" s="23"/>
      <c r="AY535" s="23"/>
      <c r="AZ535" s="23"/>
      <c r="BA535" s="23"/>
      <c r="BB535" s="23"/>
      <c r="BC535" s="23"/>
      <c r="BD535" s="23"/>
      <c r="BE535" s="23"/>
      <c r="BF535" s="23"/>
      <c r="BG535" s="23"/>
      <c r="BH535" s="23"/>
      <c r="BI535" s="23"/>
      <c r="BJ535" s="23"/>
      <c r="BK535" s="23"/>
      <c r="BL535" s="23"/>
      <c r="BM535" s="23"/>
      <c r="BN535" s="23"/>
      <c r="BO535" s="23"/>
      <c r="BP535" s="23"/>
      <c r="BQ535" s="23"/>
      <c r="BR535" s="23"/>
      <c r="BS535" s="23"/>
      <c r="BT535" s="23"/>
      <c r="BU535" s="23"/>
      <c r="BV535" s="23"/>
      <c r="BW535" s="23"/>
      <c r="BX535" s="23"/>
      <c r="BY535" s="23"/>
      <c r="BZ535" s="23"/>
      <c r="CA535" s="23"/>
      <c r="CB535" s="23"/>
      <c r="CC535" s="23"/>
      <c r="CD535" s="23"/>
      <c r="CE535" s="23"/>
      <c r="CF535" s="23"/>
      <c r="CG535" s="23"/>
      <c r="CH535" s="23"/>
      <c r="CI535" s="23"/>
      <c r="CJ535" s="23"/>
      <c r="CK535" s="23"/>
      <c r="CL535" s="23"/>
      <c r="CM535" s="23"/>
      <c r="CN535" s="23"/>
      <c r="CO535" s="23"/>
      <c r="CP535" s="23"/>
      <c r="CQ535" s="23"/>
      <c r="CR535" s="23"/>
      <c r="CS535" s="23"/>
      <c r="CT535" s="23"/>
      <c r="CU535" s="23"/>
      <c r="CV535" s="23"/>
      <c r="CW535" s="23"/>
      <c r="CX535" s="23"/>
      <c r="CY535" s="23"/>
      <c r="CZ535" s="23"/>
      <c r="DA535" s="23"/>
      <c r="DB535" s="23"/>
      <c r="DC535" s="23"/>
      <c r="DD535" s="23"/>
      <c r="DE535" s="23"/>
      <c r="DF535" s="23"/>
      <c r="DG535" s="23"/>
      <c r="DH535" s="23"/>
      <c r="DI535" s="23"/>
      <c r="DJ535" s="23"/>
      <c r="DK535" s="23"/>
      <c r="DL535" s="23"/>
      <c r="DM535" s="23"/>
      <c r="DN535" s="23"/>
      <c r="DO535" s="23"/>
      <c r="DP535" s="23"/>
      <c r="DQ535" s="23"/>
      <c r="DR535" s="23"/>
      <c r="DS535" s="23"/>
      <c r="DT535" s="23"/>
      <c r="DU535" s="23"/>
      <c r="DV535" s="23"/>
      <c r="DW535" s="23"/>
      <c r="DX535" s="23"/>
      <c r="DY535" s="23"/>
      <c r="DZ535" s="23"/>
      <c r="EA535" s="23"/>
      <c r="EB535" s="23"/>
      <c r="EC535" s="23"/>
      <c r="ED535" s="23"/>
      <c r="EE535" s="23"/>
      <c r="EF535" s="23"/>
      <c r="EG535" s="23"/>
      <c r="EH535" s="23"/>
      <c r="EI535" s="23"/>
      <c r="EJ535" s="23"/>
      <c r="EK535" s="23"/>
      <c r="EL535" s="23"/>
      <c r="EM535" s="23"/>
      <c r="EN535" s="23"/>
      <c r="EO535" s="23"/>
      <c r="EP535" s="23"/>
      <c r="EQ535" s="23"/>
      <c r="ER535" s="23"/>
      <c r="ES535" s="23"/>
      <c r="ET535" s="23"/>
      <c r="EU535" s="23"/>
      <c r="EV535" s="23"/>
      <c r="EW535" s="23"/>
      <c r="EX535" s="23"/>
      <c r="EY535" s="23"/>
      <c r="EZ535" s="23"/>
      <c r="FA535" s="23"/>
      <c r="FB535" s="23"/>
      <c r="FC535" s="23"/>
      <c r="FD535" s="23"/>
      <c r="FE535" s="23"/>
      <c r="FF535" s="23"/>
      <c r="FG535" s="23"/>
      <c r="FH535" s="23"/>
      <c r="FI535" s="23"/>
      <c r="FJ535" s="23"/>
      <c r="FK535" s="23"/>
      <c r="FL535" s="23"/>
      <c r="FM535" s="23"/>
      <c r="FN535" s="23"/>
      <c r="FO535" s="23"/>
      <c r="FP535" s="23"/>
      <c r="FQ535" s="23"/>
      <c r="FR535" s="23"/>
      <c r="FS535" s="23"/>
      <c r="FT535" s="23"/>
      <c r="FU535" s="23"/>
      <c r="FV535" s="23"/>
      <c r="FW535" s="23"/>
      <c r="FX535" s="23"/>
      <c r="FY535" s="23"/>
      <c r="FZ535" s="23"/>
      <c r="GA535" s="23"/>
      <c r="GB535" s="23"/>
      <c r="GC535" s="23"/>
      <c r="GD535" s="23"/>
      <c r="GE535" s="23"/>
      <c r="GF535" s="23"/>
      <c r="GG535" s="23"/>
      <c r="GH535" s="23"/>
      <c r="GI535" s="23"/>
      <c r="GJ535" s="23"/>
      <c r="GK535" s="23"/>
      <c r="GL535" s="23"/>
    </row>
    <row r="536" spans="1:194" ht="13">
      <c r="A536" s="23"/>
      <c r="B536" s="23"/>
      <c r="C536" s="23"/>
      <c r="D536" s="23"/>
      <c r="E536" s="23"/>
      <c r="F536" s="23"/>
      <c r="G536" s="23"/>
      <c r="H536" s="401"/>
      <c r="I536" s="401"/>
      <c r="J536" s="401"/>
      <c r="K536" s="401"/>
      <c r="L536" s="401"/>
      <c r="M536" s="438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  <c r="AL536" s="23"/>
      <c r="AM536" s="23"/>
      <c r="AN536" s="23"/>
      <c r="AO536" s="23"/>
      <c r="AP536" s="23"/>
      <c r="AQ536" s="23"/>
      <c r="AR536" s="23"/>
      <c r="AS536" s="23"/>
      <c r="AT536" s="23"/>
      <c r="AU536" s="23"/>
      <c r="AV536" s="23"/>
      <c r="AW536" s="23"/>
      <c r="AX536" s="23"/>
      <c r="AY536" s="23"/>
      <c r="AZ536" s="23"/>
      <c r="BA536" s="23"/>
      <c r="BB536" s="23"/>
      <c r="BC536" s="23"/>
      <c r="BD536" s="23"/>
      <c r="BE536" s="23"/>
      <c r="BF536" s="23"/>
      <c r="BG536" s="23"/>
      <c r="BH536" s="23"/>
      <c r="BI536" s="23"/>
      <c r="BJ536" s="23"/>
      <c r="BK536" s="23"/>
      <c r="BL536" s="23"/>
      <c r="BM536" s="23"/>
      <c r="BN536" s="23"/>
      <c r="BO536" s="23"/>
      <c r="BP536" s="23"/>
      <c r="BQ536" s="23"/>
      <c r="BR536" s="23"/>
      <c r="BS536" s="23"/>
      <c r="BT536" s="23"/>
      <c r="BU536" s="23"/>
      <c r="BV536" s="23"/>
      <c r="BW536" s="23"/>
      <c r="BX536" s="23"/>
      <c r="BY536" s="23"/>
      <c r="BZ536" s="23"/>
      <c r="CA536" s="23"/>
      <c r="CB536" s="23"/>
      <c r="CC536" s="23"/>
      <c r="CD536" s="23"/>
      <c r="CE536" s="23"/>
      <c r="CF536" s="23"/>
      <c r="CG536" s="23"/>
      <c r="CH536" s="23"/>
      <c r="CI536" s="23"/>
      <c r="CJ536" s="23"/>
      <c r="CK536" s="23"/>
      <c r="CL536" s="23"/>
      <c r="CM536" s="23"/>
      <c r="CN536" s="23"/>
      <c r="CO536" s="23"/>
      <c r="CP536" s="23"/>
      <c r="CQ536" s="23"/>
      <c r="CR536" s="23"/>
      <c r="CS536" s="23"/>
      <c r="CT536" s="23"/>
      <c r="CU536" s="23"/>
      <c r="CV536" s="23"/>
      <c r="CW536" s="23"/>
      <c r="CX536" s="23"/>
      <c r="CY536" s="23"/>
      <c r="CZ536" s="23"/>
      <c r="DA536" s="23"/>
      <c r="DB536" s="23"/>
      <c r="DC536" s="23"/>
      <c r="DD536" s="23"/>
      <c r="DE536" s="23"/>
      <c r="DF536" s="23"/>
      <c r="DG536" s="23"/>
      <c r="DH536" s="23"/>
      <c r="DI536" s="23"/>
      <c r="DJ536" s="23"/>
      <c r="DK536" s="23"/>
      <c r="DL536" s="23"/>
      <c r="DM536" s="23"/>
      <c r="DN536" s="23"/>
      <c r="DO536" s="23"/>
      <c r="DP536" s="23"/>
      <c r="DQ536" s="23"/>
      <c r="DR536" s="23"/>
      <c r="DS536" s="23"/>
      <c r="DT536" s="23"/>
      <c r="DU536" s="23"/>
      <c r="DV536" s="23"/>
      <c r="DW536" s="23"/>
      <c r="DX536" s="23"/>
      <c r="DY536" s="23"/>
      <c r="DZ536" s="23"/>
      <c r="EA536" s="23"/>
      <c r="EB536" s="23"/>
      <c r="EC536" s="23"/>
      <c r="ED536" s="23"/>
      <c r="EE536" s="23"/>
      <c r="EF536" s="23"/>
      <c r="EG536" s="23"/>
      <c r="EH536" s="23"/>
      <c r="EI536" s="23"/>
      <c r="EJ536" s="23"/>
      <c r="EK536" s="23"/>
      <c r="EL536" s="23"/>
      <c r="EM536" s="23"/>
      <c r="EN536" s="23"/>
      <c r="EO536" s="23"/>
      <c r="EP536" s="23"/>
      <c r="EQ536" s="23"/>
      <c r="ER536" s="23"/>
      <c r="ES536" s="23"/>
      <c r="ET536" s="23"/>
      <c r="EU536" s="23"/>
      <c r="EV536" s="23"/>
      <c r="EW536" s="23"/>
      <c r="EX536" s="23"/>
      <c r="EY536" s="23"/>
      <c r="EZ536" s="23"/>
      <c r="FA536" s="23"/>
      <c r="FB536" s="23"/>
      <c r="FC536" s="23"/>
      <c r="FD536" s="23"/>
      <c r="FE536" s="23"/>
      <c r="FF536" s="23"/>
      <c r="FG536" s="23"/>
      <c r="FH536" s="23"/>
      <c r="FI536" s="23"/>
      <c r="FJ536" s="23"/>
      <c r="FK536" s="23"/>
      <c r="FL536" s="23"/>
      <c r="FM536" s="23"/>
      <c r="FN536" s="23"/>
      <c r="FO536" s="23"/>
      <c r="FP536" s="23"/>
      <c r="FQ536" s="23"/>
      <c r="FR536" s="23"/>
      <c r="FS536" s="23"/>
      <c r="FT536" s="23"/>
      <c r="FU536" s="23"/>
      <c r="FV536" s="23"/>
      <c r="FW536" s="23"/>
      <c r="FX536" s="23"/>
      <c r="FY536" s="23"/>
      <c r="FZ536" s="23"/>
      <c r="GA536" s="23"/>
      <c r="GB536" s="23"/>
      <c r="GC536" s="23"/>
      <c r="GD536" s="23"/>
      <c r="GE536" s="23"/>
      <c r="GF536" s="23"/>
      <c r="GG536" s="23"/>
      <c r="GH536" s="23"/>
      <c r="GI536" s="23"/>
      <c r="GJ536" s="23"/>
      <c r="GK536" s="23"/>
      <c r="GL536" s="23"/>
    </row>
    <row r="537" spans="1:194" ht="13">
      <c r="A537" s="23"/>
      <c r="B537" s="23"/>
      <c r="C537" s="23"/>
      <c r="D537" s="23"/>
      <c r="E537" s="23"/>
      <c r="F537" s="23"/>
      <c r="G537" s="23"/>
      <c r="H537" s="401"/>
      <c r="I537" s="401"/>
      <c r="J537" s="401"/>
      <c r="K537" s="401"/>
      <c r="L537" s="401"/>
      <c r="M537" s="438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  <c r="AL537" s="23"/>
      <c r="AM537" s="23"/>
      <c r="AN537" s="23"/>
      <c r="AO537" s="23"/>
      <c r="AP537" s="23"/>
      <c r="AQ537" s="23"/>
      <c r="AR537" s="23"/>
      <c r="AS537" s="23"/>
      <c r="AT537" s="23"/>
      <c r="AU537" s="23"/>
      <c r="AV537" s="23"/>
      <c r="AW537" s="23"/>
      <c r="AX537" s="23"/>
      <c r="AY537" s="23"/>
      <c r="AZ537" s="23"/>
      <c r="BA537" s="23"/>
      <c r="BB537" s="23"/>
      <c r="BC537" s="23"/>
      <c r="BD537" s="23"/>
      <c r="BE537" s="23"/>
      <c r="BF537" s="23"/>
      <c r="BG537" s="23"/>
      <c r="BH537" s="23"/>
      <c r="BI537" s="23"/>
      <c r="BJ537" s="23"/>
      <c r="BK537" s="23"/>
      <c r="BL537" s="23"/>
      <c r="BM537" s="23"/>
      <c r="BN537" s="23"/>
      <c r="BO537" s="23"/>
      <c r="BP537" s="23"/>
      <c r="BQ537" s="23"/>
      <c r="BR537" s="23"/>
      <c r="BS537" s="23"/>
      <c r="BT537" s="23"/>
      <c r="BU537" s="23"/>
      <c r="BV537" s="23"/>
      <c r="BW537" s="23"/>
      <c r="BX537" s="23"/>
      <c r="BY537" s="23"/>
      <c r="BZ537" s="23"/>
      <c r="CA537" s="23"/>
      <c r="CB537" s="23"/>
      <c r="CC537" s="23"/>
      <c r="CD537" s="23"/>
      <c r="CE537" s="23"/>
      <c r="CF537" s="23"/>
      <c r="CG537" s="23"/>
      <c r="CH537" s="23"/>
      <c r="CI537" s="23"/>
      <c r="CJ537" s="23"/>
      <c r="CK537" s="23"/>
      <c r="CL537" s="23"/>
      <c r="CM537" s="23"/>
      <c r="CN537" s="23"/>
      <c r="CO537" s="23"/>
      <c r="CP537" s="23"/>
      <c r="CQ537" s="23"/>
      <c r="CR537" s="23"/>
      <c r="CS537" s="23"/>
      <c r="CT537" s="23"/>
      <c r="CU537" s="23"/>
      <c r="CV537" s="23"/>
      <c r="CW537" s="23"/>
      <c r="CX537" s="23"/>
      <c r="CY537" s="23"/>
      <c r="CZ537" s="23"/>
      <c r="DA537" s="23"/>
      <c r="DB537" s="23"/>
      <c r="DC537" s="23"/>
      <c r="DD537" s="23"/>
      <c r="DE537" s="23"/>
      <c r="DF537" s="23"/>
      <c r="DG537" s="23"/>
      <c r="DH537" s="23"/>
      <c r="DI537" s="23"/>
      <c r="DJ537" s="23"/>
      <c r="DK537" s="23"/>
      <c r="DL537" s="23"/>
      <c r="DM537" s="23"/>
      <c r="DN537" s="23"/>
      <c r="DO537" s="23"/>
      <c r="DP537" s="23"/>
      <c r="DQ537" s="23"/>
      <c r="DR537" s="23"/>
      <c r="DS537" s="23"/>
      <c r="DT537" s="23"/>
      <c r="DU537" s="23"/>
      <c r="DV537" s="23"/>
      <c r="DW537" s="23"/>
      <c r="DX537" s="23"/>
      <c r="DY537" s="23"/>
      <c r="DZ537" s="23"/>
      <c r="EA537" s="23"/>
      <c r="EB537" s="23"/>
      <c r="EC537" s="23"/>
      <c r="ED537" s="23"/>
      <c r="EE537" s="23"/>
      <c r="EF537" s="23"/>
      <c r="EG537" s="23"/>
      <c r="EH537" s="23"/>
      <c r="EI537" s="23"/>
      <c r="EJ537" s="23"/>
      <c r="EK537" s="23"/>
      <c r="EL537" s="23"/>
      <c r="EM537" s="23"/>
      <c r="EN537" s="23"/>
      <c r="EO537" s="23"/>
      <c r="EP537" s="23"/>
      <c r="EQ537" s="23"/>
      <c r="ER537" s="23"/>
      <c r="ES537" s="23"/>
      <c r="ET537" s="23"/>
      <c r="EU537" s="23"/>
      <c r="EV537" s="23"/>
      <c r="EW537" s="23"/>
      <c r="EX537" s="23"/>
      <c r="EY537" s="23"/>
      <c r="EZ537" s="23"/>
      <c r="FA537" s="23"/>
      <c r="FB537" s="23"/>
      <c r="FC537" s="23"/>
      <c r="FD537" s="23"/>
      <c r="FE537" s="23"/>
      <c r="FF537" s="23"/>
      <c r="FG537" s="23"/>
      <c r="FH537" s="23"/>
      <c r="FI537" s="23"/>
      <c r="FJ537" s="23"/>
      <c r="FK537" s="23"/>
      <c r="FL537" s="23"/>
      <c r="FM537" s="23"/>
      <c r="FN537" s="23"/>
      <c r="FO537" s="23"/>
      <c r="FP537" s="23"/>
      <c r="FQ537" s="23"/>
      <c r="FR537" s="23"/>
      <c r="FS537" s="23"/>
      <c r="FT537" s="23"/>
      <c r="FU537" s="23"/>
      <c r="FV537" s="23"/>
      <c r="FW537" s="23"/>
      <c r="FX537" s="23"/>
      <c r="FY537" s="23"/>
      <c r="FZ537" s="23"/>
      <c r="GA537" s="23"/>
      <c r="GB537" s="23"/>
      <c r="GC537" s="23"/>
      <c r="GD537" s="23"/>
      <c r="GE537" s="23"/>
      <c r="GF537" s="23"/>
      <c r="GG537" s="23"/>
      <c r="GH537" s="23"/>
      <c r="GI537" s="23"/>
      <c r="GJ537" s="23"/>
      <c r="GK537" s="23"/>
      <c r="GL537" s="23"/>
    </row>
    <row r="538" spans="1:194" ht="13">
      <c r="A538" s="23"/>
      <c r="B538" s="23"/>
      <c r="C538" s="23"/>
      <c r="D538" s="23"/>
      <c r="E538" s="23"/>
      <c r="F538" s="23"/>
      <c r="G538" s="23"/>
      <c r="H538" s="401"/>
      <c r="I538" s="401"/>
      <c r="J538" s="401"/>
      <c r="K538" s="401"/>
      <c r="L538" s="401"/>
      <c r="M538" s="438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  <c r="AL538" s="23"/>
      <c r="AM538" s="23"/>
      <c r="AN538" s="23"/>
      <c r="AO538" s="23"/>
      <c r="AP538" s="23"/>
      <c r="AQ538" s="23"/>
      <c r="AR538" s="23"/>
      <c r="AS538" s="23"/>
      <c r="AT538" s="23"/>
      <c r="AU538" s="23"/>
      <c r="AV538" s="23"/>
      <c r="AW538" s="23"/>
      <c r="AX538" s="23"/>
      <c r="AY538" s="23"/>
      <c r="AZ538" s="23"/>
      <c r="BA538" s="23"/>
      <c r="BB538" s="23"/>
      <c r="BC538" s="23"/>
      <c r="BD538" s="23"/>
      <c r="BE538" s="23"/>
      <c r="BF538" s="23"/>
      <c r="BG538" s="23"/>
      <c r="BH538" s="23"/>
      <c r="BI538" s="23"/>
      <c r="BJ538" s="23"/>
      <c r="BK538" s="23"/>
      <c r="BL538" s="23"/>
      <c r="BM538" s="23"/>
      <c r="BN538" s="23"/>
      <c r="BO538" s="23"/>
      <c r="BP538" s="23"/>
      <c r="BQ538" s="23"/>
      <c r="BR538" s="23"/>
      <c r="BS538" s="23"/>
      <c r="BT538" s="23"/>
      <c r="BU538" s="23"/>
      <c r="BV538" s="23"/>
      <c r="BW538" s="23"/>
      <c r="BX538" s="23"/>
      <c r="BY538" s="23"/>
      <c r="BZ538" s="23"/>
      <c r="CA538" s="23"/>
      <c r="CB538" s="23"/>
      <c r="CC538" s="23"/>
      <c r="CD538" s="23"/>
      <c r="CE538" s="23"/>
      <c r="CF538" s="23"/>
      <c r="CG538" s="23"/>
      <c r="CH538" s="23"/>
      <c r="CI538" s="23"/>
      <c r="CJ538" s="23"/>
      <c r="CK538" s="23"/>
      <c r="CL538" s="23"/>
      <c r="CM538" s="23"/>
      <c r="CN538" s="23"/>
      <c r="CO538" s="23"/>
      <c r="CP538" s="23"/>
      <c r="CQ538" s="23"/>
      <c r="CR538" s="23"/>
      <c r="CS538" s="23"/>
      <c r="CT538" s="23"/>
      <c r="CU538" s="23"/>
      <c r="CV538" s="23"/>
      <c r="CW538" s="23"/>
      <c r="CX538" s="23"/>
      <c r="CY538" s="23"/>
      <c r="CZ538" s="23"/>
      <c r="DA538" s="23"/>
      <c r="DB538" s="23"/>
      <c r="DC538" s="23"/>
      <c r="DD538" s="23"/>
      <c r="DE538" s="23"/>
      <c r="DF538" s="23"/>
      <c r="DG538" s="23"/>
      <c r="DH538" s="23"/>
      <c r="DI538" s="23"/>
      <c r="DJ538" s="23"/>
      <c r="DK538" s="23"/>
      <c r="DL538" s="23"/>
      <c r="DM538" s="23"/>
      <c r="DN538" s="23"/>
      <c r="DO538" s="23"/>
      <c r="DP538" s="23"/>
      <c r="DQ538" s="23"/>
      <c r="DR538" s="23"/>
      <c r="DS538" s="23"/>
      <c r="DT538" s="23"/>
      <c r="DU538" s="23"/>
      <c r="DV538" s="23"/>
      <c r="DW538" s="23"/>
      <c r="DX538" s="23"/>
      <c r="DY538" s="23"/>
      <c r="DZ538" s="23"/>
      <c r="EA538" s="23"/>
      <c r="EB538" s="23"/>
      <c r="EC538" s="23"/>
      <c r="ED538" s="23"/>
      <c r="EE538" s="23"/>
      <c r="EF538" s="23"/>
      <c r="EG538" s="23"/>
      <c r="EH538" s="23"/>
      <c r="EI538" s="23"/>
      <c r="EJ538" s="23"/>
      <c r="EK538" s="23"/>
      <c r="EL538" s="23"/>
      <c r="EM538" s="23"/>
      <c r="EN538" s="23"/>
      <c r="EO538" s="23"/>
      <c r="EP538" s="23"/>
      <c r="EQ538" s="23"/>
      <c r="ER538" s="23"/>
      <c r="ES538" s="23"/>
      <c r="ET538" s="23"/>
      <c r="EU538" s="23"/>
      <c r="EV538" s="23"/>
      <c r="EW538" s="23"/>
      <c r="EX538" s="23"/>
      <c r="EY538" s="23"/>
      <c r="EZ538" s="23"/>
      <c r="FA538" s="23"/>
      <c r="FB538" s="23"/>
      <c r="FC538" s="23"/>
      <c r="FD538" s="23"/>
      <c r="FE538" s="23"/>
      <c r="FF538" s="23"/>
      <c r="FG538" s="23"/>
      <c r="FH538" s="23"/>
      <c r="FI538" s="23"/>
      <c r="FJ538" s="23"/>
      <c r="FK538" s="23"/>
      <c r="FL538" s="23"/>
      <c r="FM538" s="23"/>
      <c r="FN538" s="23"/>
      <c r="FO538" s="23"/>
      <c r="FP538" s="23"/>
      <c r="FQ538" s="23"/>
      <c r="FR538" s="23"/>
      <c r="FS538" s="23"/>
      <c r="FT538" s="23"/>
      <c r="FU538" s="23"/>
      <c r="FV538" s="23"/>
      <c r="FW538" s="23"/>
      <c r="FX538" s="23"/>
      <c r="FY538" s="23"/>
      <c r="FZ538" s="23"/>
      <c r="GA538" s="23"/>
      <c r="GB538" s="23"/>
      <c r="GC538" s="23"/>
      <c r="GD538" s="23"/>
      <c r="GE538" s="23"/>
      <c r="GF538" s="23"/>
      <c r="GG538" s="23"/>
      <c r="GH538" s="23"/>
      <c r="GI538" s="23"/>
      <c r="GJ538" s="23"/>
      <c r="GK538" s="23"/>
      <c r="GL538" s="23"/>
    </row>
    <row r="539" spans="1:194" ht="13">
      <c r="A539" s="23"/>
      <c r="B539" s="23"/>
      <c r="C539" s="23"/>
      <c r="D539" s="23"/>
      <c r="E539" s="23"/>
      <c r="F539" s="23"/>
      <c r="G539" s="23"/>
      <c r="H539" s="401"/>
      <c r="I539" s="401"/>
      <c r="J539" s="401"/>
      <c r="K539" s="401"/>
      <c r="L539" s="401"/>
      <c r="M539" s="438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  <c r="AL539" s="23"/>
      <c r="AM539" s="23"/>
      <c r="AN539" s="23"/>
      <c r="AO539" s="23"/>
      <c r="AP539" s="23"/>
      <c r="AQ539" s="23"/>
      <c r="AR539" s="23"/>
      <c r="AS539" s="23"/>
      <c r="AT539" s="23"/>
      <c r="AU539" s="23"/>
      <c r="AV539" s="23"/>
      <c r="AW539" s="23"/>
      <c r="AX539" s="23"/>
      <c r="AY539" s="23"/>
      <c r="AZ539" s="23"/>
      <c r="BA539" s="23"/>
      <c r="BB539" s="23"/>
      <c r="BC539" s="23"/>
      <c r="BD539" s="23"/>
      <c r="BE539" s="23"/>
      <c r="BF539" s="23"/>
      <c r="BG539" s="23"/>
      <c r="BH539" s="23"/>
      <c r="BI539" s="23"/>
      <c r="BJ539" s="23"/>
      <c r="BK539" s="23"/>
      <c r="BL539" s="23"/>
      <c r="BM539" s="23"/>
      <c r="BN539" s="23"/>
      <c r="BO539" s="23"/>
      <c r="BP539" s="23"/>
      <c r="BQ539" s="23"/>
      <c r="BR539" s="23"/>
      <c r="BS539" s="23"/>
      <c r="BT539" s="23"/>
      <c r="BU539" s="23"/>
      <c r="BV539" s="23"/>
      <c r="BW539" s="23"/>
      <c r="BX539" s="23"/>
      <c r="BY539" s="23"/>
      <c r="BZ539" s="23"/>
      <c r="CA539" s="23"/>
      <c r="CB539" s="23"/>
      <c r="CC539" s="23"/>
      <c r="CD539" s="23"/>
      <c r="CE539" s="23"/>
      <c r="CF539" s="23"/>
      <c r="CG539" s="23"/>
      <c r="CH539" s="23"/>
      <c r="CI539" s="23"/>
      <c r="CJ539" s="23"/>
      <c r="CK539" s="23"/>
      <c r="CL539" s="23"/>
      <c r="CM539" s="23"/>
      <c r="CN539" s="23"/>
      <c r="CO539" s="23"/>
      <c r="CP539" s="23"/>
      <c r="CQ539" s="23"/>
      <c r="CR539" s="23"/>
      <c r="CS539" s="23"/>
      <c r="CT539" s="23"/>
      <c r="CU539" s="23"/>
      <c r="CV539" s="23"/>
      <c r="CW539" s="23"/>
      <c r="CX539" s="23"/>
      <c r="CY539" s="23"/>
      <c r="CZ539" s="23"/>
      <c r="DA539" s="23"/>
      <c r="DB539" s="23"/>
      <c r="DC539" s="23"/>
      <c r="DD539" s="23"/>
      <c r="DE539" s="23"/>
      <c r="DF539" s="23"/>
      <c r="DG539" s="23"/>
      <c r="DH539" s="23"/>
      <c r="DI539" s="23"/>
      <c r="DJ539" s="23"/>
      <c r="DK539" s="23"/>
      <c r="DL539" s="23"/>
      <c r="DM539" s="23"/>
      <c r="DN539" s="23"/>
      <c r="DO539" s="23"/>
      <c r="DP539" s="23"/>
      <c r="DQ539" s="23"/>
      <c r="DR539" s="23"/>
      <c r="DS539" s="23"/>
      <c r="DT539" s="23"/>
      <c r="DU539" s="23"/>
      <c r="DV539" s="23"/>
      <c r="DW539" s="23"/>
      <c r="DX539" s="23"/>
      <c r="DY539" s="23"/>
      <c r="DZ539" s="23"/>
      <c r="EA539" s="23"/>
      <c r="EB539" s="23"/>
      <c r="EC539" s="23"/>
      <c r="ED539" s="23"/>
      <c r="EE539" s="23"/>
      <c r="EF539" s="23"/>
      <c r="EG539" s="23"/>
      <c r="EH539" s="23"/>
      <c r="EI539" s="23"/>
      <c r="EJ539" s="23"/>
      <c r="EK539" s="23"/>
      <c r="EL539" s="23"/>
      <c r="EM539" s="23"/>
      <c r="EN539" s="23"/>
      <c r="EO539" s="23"/>
      <c r="EP539" s="23"/>
      <c r="EQ539" s="23"/>
      <c r="ER539" s="23"/>
      <c r="ES539" s="23"/>
      <c r="ET539" s="23"/>
      <c r="EU539" s="23"/>
      <c r="EV539" s="23"/>
      <c r="EW539" s="23"/>
      <c r="EX539" s="23"/>
      <c r="EY539" s="23"/>
      <c r="EZ539" s="23"/>
      <c r="FA539" s="23"/>
      <c r="FB539" s="23"/>
      <c r="FC539" s="23"/>
      <c r="FD539" s="23"/>
      <c r="FE539" s="23"/>
      <c r="FF539" s="23"/>
      <c r="FG539" s="23"/>
      <c r="FH539" s="23"/>
      <c r="FI539" s="23"/>
      <c r="FJ539" s="23"/>
      <c r="FK539" s="23"/>
      <c r="FL539" s="23"/>
      <c r="FM539" s="23"/>
      <c r="FN539" s="23"/>
      <c r="FO539" s="23"/>
      <c r="FP539" s="23"/>
      <c r="FQ539" s="23"/>
      <c r="FR539" s="23"/>
      <c r="FS539" s="23"/>
      <c r="FT539" s="23"/>
      <c r="FU539" s="23"/>
      <c r="FV539" s="23"/>
      <c r="FW539" s="23"/>
      <c r="FX539" s="23"/>
      <c r="FY539" s="23"/>
      <c r="FZ539" s="23"/>
      <c r="GA539" s="23"/>
      <c r="GB539" s="23"/>
      <c r="GC539" s="23"/>
      <c r="GD539" s="23"/>
      <c r="GE539" s="23"/>
      <c r="GF539" s="23"/>
      <c r="GG539" s="23"/>
      <c r="GH539" s="23"/>
      <c r="GI539" s="23"/>
      <c r="GJ539" s="23"/>
      <c r="GK539" s="23"/>
      <c r="GL539" s="23"/>
    </row>
    <row r="540" spans="1:194" ht="13">
      <c r="A540" s="23"/>
      <c r="B540" s="23"/>
      <c r="C540" s="23"/>
      <c r="D540" s="23"/>
      <c r="E540" s="23"/>
      <c r="F540" s="23"/>
      <c r="G540" s="23"/>
      <c r="H540" s="401"/>
      <c r="I540" s="401"/>
      <c r="J540" s="401"/>
      <c r="K540" s="401"/>
      <c r="L540" s="401"/>
      <c r="M540" s="438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  <c r="AL540" s="23"/>
      <c r="AM540" s="23"/>
      <c r="AN540" s="23"/>
      <c r="AO540" s="23"/>
      <c r="AP540" s="23"/>
      <c r="AQ540" s="23"/>
      <c r="AR540" s="23"/>
      <c r="AS540" s="23"/>
      <c r="AT540" s="23"/>
      <c r="AU540" s="23"/>
      <c r="AV540" s="23"/>
      <c r="AW540" s="23"/>
      <c r="AX540" s="23"/>
      <c r="AY540" s="23"/>
      <c r="AZ540" s="23"/>
      <c r="BA540" s="23"/>
      <c r="BB540" s="23"/>
      <c r="BC540" s="23"/>
      <c r="BD540" s="23"/>
      <c r="BE540" s="23"/>
      <c r="BF540" s="23"/>
      <c r="BG540" s="23"/>
      <c r="BH540" s="23"/>
      <c r="BI540" s="23"/>
      <c r="BJ540" s="23"/>
      <c r="BK540" s="23"/>
      <c r="BL540" s="23"/>
      <c r="BM540" s="23"/>
      <c r="BN540" s="23"/>
      <c r="BO540" s="23"/>
      <c r="BP540" s="23"/>
      <c r="BQ540" s="23"/>
      <c r="BR540" s="23"/>
      <c r="BS540" s="23"/>
      <c r="BT540" s="23"/>
      <c r="BU540" s="23"/>
      <c r="BV540" s="23"/>
      <c r="BW540" s="23"/>
      <c r="BX540" s="23"/>
      <c r="BY540" s="23"/>
      <c r="BZ540" s="23"/>
      <c r="CA540" s="23"/>
      <c r="CB540" s="23"/>
      <c r="CC540" s="23"/>
      <c r="CD540" s="23"/>
      <c r="CE540" s="23"/>
      <c r="CF540" s="23"/>
      <c r="CG540" s="23"/>
      <c r="CH540" s="23"/>
      <c r="CI540" s="23"/>
      <c r="CJ540" s="23"/>
      <c r="CK540" s="23"/>
      <c r="CL540" s="23"/>
      <c r="CM540" s="23"/>
      <c r="CN540" s="23"/>
      <c r="CO540" s="23"/>
      <c r="CP540" s="23"/>
      <c r="CQ540" s="23"/>
      <c r="CR540" s="23"/>
      <c r="CS540" s="23"/>
      <c r="CT540" s="23"/>
      <c r="CU540" s="23"/>
      <c r="CV540" s="23"/>
      <c r="CW540" s="23"/>
      <c r="CX540" s="23"/>
      <c r="CY540" s="23"/>
      <c r="CZ540" s="23"/>
      <c r="DA540" s="23"/>
      <c r="DB540" s="23"/>
      <c r="DC540" s="23"/>
      <c r="DD540" s="23"/>
      <c r="DE540" s="23"/>
      <c r="DF540" s="23"/>
      <c r="DG540" s="23"/>
      <c r="DH540" s="23"/>
      <c r="DI540" s="23"/>
      <c r="DJ540" s="23"/>
      <c r="DK540" s="23"/>
      <c r="DL540" s="23"/>
      <c r="DM540" s="23"/>
      <c r="DN540" s="23"/>
      <c r="DO540" s="23"/>
      <c r="DP540" s="23"/>
      <c r="DQ540" s="23"/>
      <c r="DR540" s="23"/>
      <c r="DS540" s="23"/>
      <c r="DT540" s="23"/>
      <c r="DU540" s="23"/>
      <c r="DV540" s="23"/>
      <c r="DW540" s="23"/>
      <c r="DX540" s="23"/>
      <c r="DY540" s="23"/>
      <c r="DZ540" s="23"/>
      <c r="EA540" s="23"/>
      <c r="EB540" s="23"/>
      <c r="EC540" s="23"/>
      <c r="ED540" s="23"/>
      <c r="EE540" s="23"/>
      <c r="EF540" s="23"/>
      <c r="EG540" s="23"/>
      <c r="EH540" s="23"/>
      <c r="EI540" s="23"/>
      <c r="EJ540" s="23"/>
      <c r="EK540" s="23"/>
      <c r="EL540" s="23"/>
      <c r="EM540" s="23"/>
      <c r="EN540" s="23"/>
      <c r="EO540" s="23"/>
      <c r="EP540" s="23"/>
      <c r="EQ540" s="23"/>
      <c r="ER540" s="23"/>
      <c r="ES540" s="23"/>
      <c r="ET540" s="23"/>
      <c r="EU540" s="23"/>
      <c r="EV540" s="23"/>
      <c r="EW540" s="23"/>
      <c r="EX540" s="23"/>
      <c r="EY540" s="23"/>
      <c r="EZ540" s="23"/>
      <c r="FA540" s="23"/>
      <c r="FB540" s="23"/>
      <c r="FC540" s="23"/>
      <c r="FD540" s="23"/>
      <c r="FE540" s="23"/>
      <c r="FF540" s="23"/>
      <c r="FG540" s="23"/>
      <c r="FH540" s="23"/>
      <c r="FI540" s="23"/>
      <c r="FJ540" s="23"/>
      <c r="FK540" s="23"/>
      <c r="FL540" s="23"/>
      <c r="FM540" s="23"/>
      <c r="FN540" s="23"/>
      <c r="FO540" s="23"/>
      <c r="FP540" s="23"/>
      <c r="FQ540" s="23"/>
      <c r="FR540" s="23"/>
      <c r="FS540" s="23"/>
      <c r="FT540" s="23"/>
      <c r="FU540" s="23"/>
      <c r="FV540" s="23"/>
      <c r="FW540" s="23"/>
      <c r="FX540" s="23"/>
      <c r="FY540" s="23"/>
      <c r="FZ540" s="23"/>
      <c r="GA540" s="23"/>
      <c r="GB540" s="23"/>
      <c r="GC540" s="23"/>
      <c r="GD540" s="23"/>
      <c r="GE540" s="23"/>
      <c r="GF540" s="23"/>
      <c r="GG540" s="23"/>
      <c r="GH540" s="23"/>
      <c r="GI540" s="23"/>
      <c r="GJ540" s="23"/>
      <c r="GK540" s="23"/>
      <c r="GL540" s="23"/>
    </row>
    <row r="541" spans="1:194" ht="13">
      <c r="A541" s="23"/>
      <c r="B541" s="23"/>
      <c r="C541" s="23"/>
      <c r="D541" s="23"/>
      <c r="E541" s="23"/>
      <c r="F541" s="23"/>
      <c r="G541" s="23"/>
      <c r="H541" s="401"/>
      <c r="I541" s="401"/>
      <c r="J541" s="401"/>
      <c r="K541" s="401"/>
      <c r="L541" s="401"/>
      <c r="M541" s="438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  <c r="AL541" s="23"/>
      <c r="AM541" s="23"/>
      <c r="AN541" s="23"/>
      <c r="AO541" s="23"/>
      <c r="AP541" s="23"/>
      <c r="AQ541" s="23"/>
      <c r="AR541" s="23"/>
      <c r="AS541" s="23"/>
      <c r="AT541" s="23"/>
      <c r="AU541" s="23"/>
      <c r="AV541" s="23"/>
      <c r="AW541" s="23"/>
      <c r="AX541" s="23"/>
      <c r="AY541" s="23"/>
      <c r="AZ541" s="23"/>
      <c r="BA541" s="23"/>
      <c r="BB541" s="23"/>
      <c r="BC541" s="23"/>
      <c r="BD541" s="23"/>
      <c r="BE541" s="23"/>
      <c r="BF541" s="23"/>
      <c r="BG541" s="23"/>
      <c r="BH541" s="23"/>
      <c r="BI541" s="23"/>
      <c r="BJ541" s="23"/>
      <c r="BK541" s="23"/>
      <c r="BL541" s="23"/>
      <c r="BM541" s="23"/>
      <c r="BN541" s="23"/>
      <c r="BO541" s="23"/>
      <c r="BP541" s="23"/>
      <c r="BQ541" s="23"/>
      <c r="BR541" s="23"/>
      <c r="BS541" s="23"/>
      <c r="BT541" s="23"/>
      <c r="BU541" s="23"/>
      <c r="BV541" s="23"/>
      <c r="BW541" s="23"/>
      <c r="BX541" s="23"/>
      <c r="BY541" s="23"/>
      <c r="BZ541" s="23"/>
      <c r="CA541" s="23"/>
      <c r="CB541" s="23"/>
      <c r="CC541" s="23"/>
      <c r="CD541" s="23"/>
      <c r="CE541" s="23"/>
      <c r="CF541" s="23"/>
      <c r="CG541" s="23"/>
      <c r="CH541" s="23"/>
      <c r="CI541" s="23"/>
      <c r="CJ541" s="23"/>
      <c r="CK541" s="23"/>
      <c r="CL541" s="23"/>
      <c r="CM541" s="23"/>
      <c r="CN541" s="23"/>
      <c r="CO541" s="23"/>
      <c r="CP541" s="23"/>
      <c r="CQ541" s="23"/>
      <c r="CR541" s="23"/>
      <c r="CS541" s="23"/>
      <c r="CT541" s="23"/>
      <c r="CU541" s="23"/>
      <c r="CV541" s="23"/>
      <c r="CW541" s="23"/>
      <c r="CX541" s="23"/>
      <c r="CY541" s="23"/>
      <c r="CZ541" s="23"/>
      <c r="DA541" s="23"/>
      <c r="DB541" s="23"/>
      <c r="DC541" s="23"/>
      <c r="DD541" s="23"/>
      <c r="DE541" s="23"/>
      <c r="DF541" s="23"/>
      <c r="DG541" s="23"/>
      <c r="DH541" s="23"/>
      <c r="DI541" s="23"/>
      <c r="DJ541" s="23"/>
      <c r="DK541" s="23"/>
      <c r="DL541" s="23"/>
      <c r="DM541" s="23"/>
      <c r="DN541" s="23"/>
      <c r="DO541" s="23"/>
      <c r="DP541" s="23"/>
      <c r="DQ541" s="23"/>
      <c r="DR541" s="23"/>
      <c r="DS541" s="23"/>
      <c r="DT541" s="23"/>
      <c r="DU541" s="23"/>
      <c r="DV541" s="23"/>
      <c r="DW541" s="23"/>
      <c r="DX541" s="23"/>
      <c r="DY541" s="23"/>
      <c r="DZ541" s="23"/>
      <c r="EA541" s="23"/>
      <c r="EB541" s="23"/>
      <c r="EC541" s="23"/>
      <c r="ED541" s="23"/>
      <c r="EE541" s="23"/>
      <c r="EF541" s="23"/>
      <c r="EG541" s="23"/>
      <c r="EH541" s="23"/>
      <c r="EI541" s="23"/>
      <c r="EJ541" s="23"/>
      <c r="EK541" s="23"/>
      <c r="EL541" s="23"/>
      <c r="EM541" s="23"/>
      <c r="EN541" s="23"/>
      <c r="EO541" s="23"/>
      <c r="EP541" s="23"/>
      <c r="EQ541" s="23"/>
      <c r="ER541" s="23"/>
      <c r="ES541" s="23"/>
      <c r="ET541" s="23"/>
      <c r="EU541" s="23"/>
      <c r="EV541" s="23"/>
      <c r="EW541" s="23"/>
      <c r="EX541" s="23"/>
      <c r="EY541" s="23"/>
      <c r="EZ541" s="23"/>
      <c r="FA541" s="23"/>
      <c r="FB541" s="23"/>
      <c r="FC541" s="23"/>
      <c r="FD541" s="23"/>
      <c r="FE541" s="23"/>
      <c r="FF541" s="23"/>
      <c r="FG541" s="23"/>
      <c r="FH541" s="23"/>
      <c r="FI541" s="23"/>
      <c r="FJ541" s="23"/>
      <c r="FK541" s="23"/>
      <c r="FL541" s="23"/>
      <c r="FM541" s="23"/>
      <c r="FN541" s="23"/>
      <c r="FO541" s="23"/>
      <c r="FP541" s="23"/>
      <c r="FQ541" s="23"/>
      <c r="FR541" s="23"/>
      <c r="FS541" s="23"/>
      <c r="FT541" s="23"/>
      <c r="FU541" s="23"/>
      <c r="FV541" s="23"/>
      <c r="FW541" s="23"/>
      <c r="FX541" s="23"/>
      <c r="FY541" s="23"/>
      <c r="FZ541" s="23"/>
      <c r="GA541" s="23"/>
      <c r="GB541" s="23"/>
      <c r="GC541" s="23"/>
      <c r="GD541" s="23"/>
      <c r="GE541" s="23"/>
      <c r="GF541" s="23"/>
      <c r="GG541" s="23"/>
      <c r="GH541" s="23"/>
      <c r="GI541" s="23"/>
      <c r="GJ541" s="23"/>
      <c r="GK541" s="23"/>
      <c r="GL541" s="23"/>
    </row>
    <row r="542" spans="1:194" ht="13">
      <c r="A542" s="23"/>
      <c r="B542" s="23"/>
      <c r="C542" s="23"/>
      <c r="D542" s="23"/>
      <c r="E542" s="23"/>
      <c r="F542" s="23"/>
      <c r="G542" s="23"/>
      <c r="H542" s="401"/>
      <c r="I542" s="401"/>
      <c r="J542" s="401"/>
      <c r="K542" s="401"/>
      <c r="L542" s="401"/>
      <c r="M542" s="438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  <c r="AL542" s="23"/>
      <c r="AM542" s="23"/>
      <c r="AN542" s="23"/>
      <c r="AO542" s="23"/>
      <c r="AP542" s="23"/>
      <c r="AQ542" s="23"/>
      <c r="AR542" s="23"/>
      <c r="AS542" s="23"/>
      <c r="AT542" s="23"/>
      <c r="AU542" s="23"/>
      <c r="AV542" s="23"/>
      <c r="AW542" s="23"/>
      <c r="AX542" s="23"/>
      <c r="AY542" s="23"/>
      <c r="AZ542" s="23"/>
      <c r="BA542" s="23"/>
      <c r="BB542" s="23"/>
      <c r="BC542" s="23"/>
      <c r="BD542" s="23"/>
      <c r="BE542" s="23"/>
      <c r="BF542" s="23"/>
      <c r="BG542" s="23"/>
      <c r="BH542" s="23"/>
      <c r="BI542" s="23"/>
      <c r="BJ542" s="23"/>
      <c r="BK542" s="23"/>
      <c r="BL542" s="23"/>
      <c r="BM542" s="23"/>
      <c r="BN542" s="23"/>
      <c r="BO542" s="23"/>
      <c r="BP542" s="23"/>
      <c r="BQ542" s="23"/>
      <c r="BR542" s="23"/>
      <c r="BS542" s="23"/>
      <c r="BT542" s="23"/>
      <c r="BU542" s="23"/>
      <c r="BV542" s="23"/>
      <c r="BW542" s="23"/>
      <c r="BX542" s="23"/>
      <c r="BY542" s="23"/>
      <c r="BZ542" s="23"/>
      <c r="CA542" s="23"/>
      <c r="CB542" s="23"/>
      <c r="CC542" s="23"/>
      <c r="CD542" s="23"/>
      <c r="CE542" s="23"/>
      <c r="CF542" s="23"/>
      <c r="CG542" s="23"/>
      <c r="CH542" s="23"/>
      <c r="CI542" s="23"/>
      <c r="CJ542" s="23"/>
      <c r="CK542" s="23"/>
      <c r="CL542" s="23"/>
      <c r="CM542" s="23"/>
      <c r="CN542" s="23"/>
      <c r="CO542" s="23"/>
      <c r="CP542" s="23"/>
      <c r="CQ542" s="23"/>
      <c r="CR542" s="23"/>
      <c r="CS542" s="23"/>
      <c r="CT542" s="23"/>
      <c r="CU542" s="23"/>
      <c r="CV542" s="23"/>
      <c r="CW542" s="23"/>
      <c r="CX542" s="23"/>
      <c r="CY542" s="23"/>
      <c r="CZ542" s="23"/>
      <c r="DA542" s="23"/>
      <c r="DB542" s="23"/>
      <c r="DC542" s="23"/>
      <c r="DD542" s="23"/>
      <c r="DE542" s="23"/>
      <c r="DF542" s="23"/>
      <c r="DG542" s="23"/>
      <c r="DH542" s="23"/>
      <c r="DI542" s="23"/>
      <c r="DJ542" s="23"/>
      <c r="DK542" s="23"/>
      <c r="DL542" s="23"/>
      <c r="DM542" s="23"/>
      <c r="DN542" s="23"/>
      <c r="DO542" s="23"/>
      <c r="DP542" s="23"/>
      <c r="DQ542" s="23"/>
      <c r="DR542" s="23"/>
      <c r="DS542" s="23"/>
      <c r="DT542" s="23"/>
      <c r="DU542" s="23"/>
      <c r="DV542" s="23"/>
      <c r="DW542" s="23"/>
      <c r="DX542" s="23"/>
      <c r="DY542" s="23"/>
      <c r="DZ542" s="23"/>
      <c r="EA542" s="23"/>
      <c r="EB542" s="23"/>
      <c r="EC542" s="23"/>
      <c r="ED542" s="23"/>
      <c r="EE542" s="23"/>
      <c r="EF542" s="23"/>
      <c r="EG542" s="23"/>
      <c r="EH542" s="23"/>
      <c r="EI542" s="23"/>
      <c r="EJ542" s="23"/>
      <c r="EK542" s="23"/>
      <c r="EL542" s="23"/>
      <c r="EM542" s="23"/>
      <c r="EN542" s="23"/>
      <c r="EO542" s="23"/>
      <c r="EP542" s="23"/>
      <c r="EQ542" s="23"/>
      <c r="ER542" s="23"/>
      <c r="ES542" s="23"/>
      <c r="ET542" s="23"/>
      <c r="EU542" s="23"/>
      <c r="EV542" s="23"/>
      <c r="EW542" s="23"/>
      <c r="EX542" s="23"/>
      <c r="EY542" s="23"/>
      <c r="EZ542" s="23"/>
      <c r="FA542" s="23"/>
      <c r="FB542" s="23"/>
      <c r="FC542" s="23"/>
      <c r="FD542" s="23"/>
      <c r="FE542" s="23"/>
      <c r="FF542" s="23"/>
      <c r="FG542" s="23"/>
      <c r="FH542" s="23"/>
      <c r="FI542" s="23"/>
      <c r="FJ542" s="23"/>
      <c r="FK542" s="23"/>
      <c r="FL542" s="23"/>
      <c r="FM542" s="23"/>
      <c r="FN542" s="23"/>
      <c r="FO542" s="23"/>
      <c r="FP542" s="23"/>
      <c r="FQ542" s="23"/>
      <c r="FR542" s="23"/>
      <c r="FS542" s="23"/>
      <c r="FT542" s="23"/>
      <c r="FU542" s="23"/>
      <c r="FV542" s="23"/>
      <c r="FW542" s="23"/>
      <c r="FX542" s="23"/>
      <c r="FY542" s="23"/>
      <c r="FZ542" s="23"/>
      <c r="GA542" s="23"/>
      <c r="GB542" s="23"/>
      <c r="GC542" s="23"/>
      <c r="GD542" s="23"/>
      <c r="GE542" s="23"/>
      <c r="GF542" s="23"/>
      <c r="GG542" s="23"/>
      <c r="GH542" s="23"/>
      <c r="GI542" s="23"/>
      <c r="GJ542" s="23"/>
      <c r="GK542" s="23"/>
      <c r="GL542" s="23"/>
    </row>
    <row r="543" spans="1:194" ht="13">
      <c r="A543" s="23"/>
      <c r="B543" s="23"/>
      <c r="C543" s="23"/>
      <c r="D543" s="23"/>
      <c r="E543" s="23"/>
      <c r="F543" s="23"/>
      <c r="G543" s="23"/>
      <c r="H543" s="401"/>
      <c r="I543" s="401"/>
      <c r="J543" s="401"/>
      <c r="K543" s="401"/>
      <c r="L543" s="401"/>
      <c r="M543" s="438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  <c r="AL543" s="23"/>
      <c r="AM543" s="23"/>
      <c r="AN543" s="23"/>
      <c r="AO543" s="23"/>
      <c r="AP543" s="23"/>
      <c r="AQ543" s="23"/>
      <c r="AR543" s="23"/>
      <c r="AS543" s="23"/>
      <c r="AT543" s="23"/>
      <c r="AU543" s="23"/>
      <c r="AV543" s="23"/>
      <c r="AW543" s="23"/>
      <c r="AX543" s="23"/>
      <c r="AY543" s="23"/>
      <c r="AZ543" s="23"/>
      <c r="BA543" s="23"/>
      <c r="BB543" s="23"/>
      <c r="BC543" s="23"/>
      <c r="BD543" s="23"/>
      <c r="BE543" s="23"/>
      <c r="BF543" s="23"/>
      <c r="BG543" s="23"/>
      <c r="BH543" s="23"/>
      <c r="BI543" s="23"/>
      <c r="BJ543" s="23"/>
      <c r="BK543" s="23"/>
      <c r="BL543" s="23"/>
      <c r="BM543" s="23"/>
      <c r="BN543" s="23"/>
      <c r="BO543" s="23"/>
      <c r="BP543" s="23"/>
      <c r="BQ543" s="23"/>
      <c r="BR543" s="23"/>
      <c r="BS543" s="23"/>
      <c r="BT543" s="23"/>
      <c r="BU543" s="23"/>
      <c r="BV543" s="23"/>
      <c r="BW543" s="23"/>
      <c r="BX543" s="23"/>
      <c r="BY543" s="23"/>
      <c r="BZ543" s="23"/>
      <c r="CA543" s="23"/>
      <c r="CB543" s="23"/>
      <c r="CC543" s="23"/>
      <c r="CD543" s="23"/>
      <c r="CE543" s="23"/>
      <c r="CF543" s="23"/>
      <c r="CG543" s="23"/>
      <c r="CH543" s="23"/>
      <c r="CI543" s="23"/>
      <c r="CJ543" s="23"/>
      <c r="CK543" s="23"/>
      <c r="CL543" s="23"/>
      <c r="CM543" s="23"/>
      <c r="CN543" s="23"/>
      <c r="CO543" s="23"/>
      <c r="CP543" s="23"/>
      <c r="CQ543" s="23"/>
      <c r="CR543" s="23"/>
      <c r="CS543" s="23"/>
      <c r="CT543" s="23"/>
      <c r="CU543" s="23"/>
      <c r="CV543" s="23"/>
      <c r="CW543" s="23"/>
      <c r="CX543" s="23"/>
      <c r="CY543" s="23"/>
      <c r="CZ543" s="23"/>
      <c r="DA543" s="23"/>
      <c r="DB543" s="23"/>
      <c r="DC543" s="23"/>
      <c r="DD543" s="23"/>
      <c r="DE543" s="23"/>
      <c r="DF543" s="23"/>
      <c r="DG543" s="23"/>
      <c r="DH543" s="23"/>
      <c r="DI543" s="23"/>
      <c r="DJ543" s="23"/>
      <c r="DK543" s="23"/>
      <c r="DL543" s="23"/>
      <c r="DM543" s="23"/>
      <c r="DN543" s="23"/>
      <c r="DO543" s="23"/>
      <c r="DP543" s="23"/>
      <c r="DQ543" s="23"/>
      <c r="DR543" s="23"/>
      <c r="DS543" s="23"/>
      <c r="DT543" s="23"/>
      <c r="DU543" s="23"/>
      <c r="DV543" s="23"/>
      <c r="DW543" s="23"/>
      <c r="DX543" s="23"/>
      <c r="DY543" s="23"/>
      <c r="DZ543" s="23"/>
      <c r="EA543" s="23"/>
      <c r="EB543" s="23"/>
      <c r="EC543" s="23"/>
      <c r="ED543" s="23"/>
      <c r="EE543" s="23"/>
      <c r="EF543" s="23"/>
      <c r="EG543" s="23"/>
      <c r="EH543" s="23"/>
      <c r="EI543" s="23"/>
      <c r="EJ543" s="23"/>
      <c r="EK543" s="23"/>
      <c r="EL543" s="23"/>
      <c r="EM543" s="23"/>
      <c r="EN543" s="23"/>
      <c r="EO543" s="23"/>
      <c r="EP543" s="23"/>
      <c r="EQ543" s="23"/>
      <c r="ER543" s="23"/>
      <c r="ES543" s="23"/>
      <c r="ET543" s="23"/>
      <c r="EU543" s="23"/>
      <c r="EV543" s="23"/>
      <c r="EW543" s="23"/>
      <c r="EX543" s="23"/>
      <c r="EY543" s="23"/>
      <c r="EZ543" s="23"/>
      <c r="FA543" s="23"/>
      <c r="FB543" s="23"/>
      <c r="FC543" s="23"/>
      <c r="FD543" s="23"/>
      <c r="FE543" s="23"/>
      <c r="FF543" s="23"/>
      <c r="FG543" s="23"/>
      <c r="FH543" s="23"/>
      <c r="FI543" s="23"/>
      <c r="FJ543" s="23"/>
      <c r="FK543" s="23"/>
      <c r="FL543" s="23"/>
      <c r="FM543" s="23"/>
      <c r="FN543" s="23"/>
      <c r="FO543" s="23"/>
      <c r="FP543" s="23"/>
      <c r="FQ543" s="23"/>
      <c r="FR543" s="23"/>
      <c r="FS543" s="23"/>
      <c r="FT543" s="23"/>
      <c r="FU543" s="23"/>
      <c r="FV543" s="23"/>
      <c r="FW543" s="23"/>
      <c r="FX543" s="23"/>
      <c r="FY543" s="23"/>
      <c r="FZ543" s="23"/>
      <c r="GA543" s="23"/>
      <c r="GB543" s="23"/>
      <c r="GC543" s="23"/>
      <c r="GD543" s="23"/>
      <c r="GE543" s="23"/>
      <c r="GF543" s="23"/>
      <c r="GG543" s="23"/>
      <c r="GH543" s="23"/>
      <c r="GI543" s="23"/>
      <c r="GJ543" s="23"/>
      <c r="GK543" s="23"/>
      <c r="GL543" s="23"/>
    </row>
    <row r="544" spans="1:194" ht="13">
      <c r="A544" s="23"/>
      <c r="B544" s="23"/>
      <c r="C544" s="23"/>
      <c r="D544" s="23"/>
      <c r="E544" s="23"/>
      <c r="F544" s="23"/>
      <c r="G544" s="23"/>
      <c r="H544" s="401"/>
      <c r="I544" s="401"/>
      <c r="J544" s="401"/>
      <c r="K544" s="401"/>
      <c r="L544" s="401"/>
      <c r="M544" s="438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  <c r="AL544" s="23"/>
      <c r="AM544" s="23"/>
      <c r="AN544" s="23"/>
      <c r="AO544" s="23"/>
      <c r="AP544" s="23"/>
      <c r="AQ544" s="23"/>
      <c r="AR544" s="23"/>
      <c r="AS544" s="23"/>
      <c r="AT544" s="23"/>
      <c r="AU544" s="23"/>
      <c r="AV544" s="23"/>
      <c r="AW544" s="23"/>
      <c r="AX544" s="23"/>
      <c r="AY544" s="23"/>
      <c r="AZ544" s="23"/>
      <c r="BA544" s="23"/>
      <c r="BB544" s="23"/>
      <c r="BC544" s="23"/>
      <c r="BD544" s="23"/>
      <c r="BE544" s="23"/>
      <c r="BF544" s="23"/>
      <c r="BG544" s="23"/>
      <c r="BH544" s="23"/>
      <c r="BI544" s="23"/>
      <c r="BJ544" s="23"/>
      <c r="BK544" s="23"/>
      <c r="BL544" s="23"/>
      <c r="BM544" s="23"/>
      <c r="BN544" s="23"/>
      <c r="BO544" s="23"/>
      <c r="BP544" s="23"/>
      <c r="BQ544" s="23"/>
      <c r="BR544" s="23"/>
      <c r="BS544" s="23"/>
      <c r="BT544" s="23"/>
      <c r="BU544" s="23"/>
      <c r="BV544" s="23"/>
      <c r="BW544" s="23"/>
      <c r="BX544" s="23"/>
      <c r="BY544" s="23"/>
      <c r="BZ544" s="23"/>
      <c r="CA544" s="23"/>
      <c r="CB544" s="23"/>
      <c r="CC544" s="23"/>
      <c r="CD544" s="23"/>
      <c r="CE544" s="23"/>
      <c r="CF544" s="23"/>
      <c r="CG544" s="23"/>
      <c r="CH544" s="23"/>
      <c r="CI544" s="23"/>
      <c r="CJ544" s="23"/>
      <c r="CK544" s="23"/>
      <c r="CL544" s="23"/>
      <c r="CM544" s="23"/>
      <c r="CN544" s="23"/>
      <c r="CO544" s="23"/>
      <c r="CP544" s="23"/>
      <c r="CQ544" s="23"/>
      <c r="CR544" s="23"/>
      <c r="CS544" s="23"/>
      <c r="CT544" s="23"/>
      <c r="CU544" s="23"/>
      <c r="CV544" s="23"/>
      <c r="CW544" s="23"/>
      <c r="CX544" s="23"/>
      <c r="CY544" s="23"/>
      <c r="CZ544" s="23"/>
      <c r="DA544" s="23"/>
      <c r="DB544" s="23"/>
      <c r="DC544" s="23"/>
      <c r="DD544" s="23"/>
      <c r="DE544" s="23"/>
      <c r="DF544" s="23"/>
      <c r="DG544" s="23"/>
      <c r="DH544" s="23"/>
      <c r="DI544" s="23"/>
      <c r="DJ544" s="23"/>
      <c r="DK544" s="23"/>
      <c r="DL544" s="23"/>
      <c r="DM544" s="23"/>
      <c r="DN544" s="23"/>
      <c r="DO544" s="23"/>
      <c r="DP544" s="23"/>
      <c r="DQ544" s="23"/>
      <c r="DR544" s="23"/>
      <c r="DS544" s="23"/>
      <c r="DT544" s="23"/>
      <c r="DU544" s="23"/>
      <c r="DV544" s="23"/>
      <c r="DW544" s="23"/>
      <c r="DX544" s="23"/>
      <c r="DY544" s="23"/>
      <c r="DZ544" s="23"/>
      <c r="EA544" s="23"/>
      <c r="EB544" s="23"/>
      <c r="EC544" s="23"/>
      <c r="ED544" s="23"/>
      <c r="EE544" s="23"/>
      <c r="EF544" s="23"/>
      <c r="EG544" s="23"/>
      <c r="EH544" s="23"/>
      <c r="EI544" s="23"/>
      <c r="EJ544" s="23"/>
      <c r="EK544" s="23"/>
      <c r="EL544" s="23"/>
      <c r="EM544" s="23"/>
      <c r="EN544" s="23"/>
      <c r="EO544" s="23"/>
      <c r="EP544" s="23"/>
      <c r="EQ544" s="23"/>
      <c r="ER544" s="23"/>
      <c r="ES544" s="23"/>
      <c r="ET544" s="23"/>
      <c r="EU544" s="23"/>
      <c r="EV544" s="23"/>
      <c r="EW544" s="23"/>
      <c r="EX544" s="23"/>
      <c r="EY544" s="23"/>
      <c r="EZ544" s="23"/>
      <c r="FA544" s="23"/>
      <c r="FB544" s="23"/>
      <c r="FC544" s="23"/>
      <c r="FD544" s="23"/>
      <c r="FE544" s="23"/>
      <c r="FF544" s="23"/>
      <c r="FG544" s="23"/>
      <c r="FH544" s="23"/>
      <c r="FI544" s="23"/>
      <c r="FJ544" s="23"/>
      <c r="FK544" s="23"/>
      <c r="FL544" s="23"/>
      <c r="FM544" s="23"/>
      <c r="FN544" s="23"/>
      <c r="FO544" s="23"/>
      <c r="FP544" s="23"/>
      <c r="FQ544" s="23"/>
      <c r="FR544" s="23"/>
      <c r="FS544" s="23"/>
      <c r="FT544" s="23"/>
      <c r="FU544" s="23"/>
      <c r="FV544" s="23"/>
      <c r="FW544" s="23"/>
      <c r="FX544" s="23"/>
      <c r="FY544" s="23"/>
      <c r="FZ544" s="23"/>
      <c r="GA544" s="23"/>
      <c r="GB544" s="23"/>
      <c r="GC544" s="23"/>
      <c r="GD544" s="23"/>
      <c r="GE544" s="23"/>
      <c r="GF544" s="23"/>
      <c r="GG544" s="23"/>
      <c r="GH544" s="23"/>
      <c r="GI544" s="23"/>
      <c r="GJ544" s="23"/>
      <c r="GK544" s="23"/>
      <c r="GL544" s="23"/>
    </row>
    <row r="545" spans="1:194" ht="13">
      <c r="A545" s="23"/>
      <c r="B545" s="23"/>
      <c r="C545" s="23"/>
      <c r="D545" s="23"/>
      <c r="E545" s="23"/>
      <c r="F545" s="23"/>
      <c r="G545" s="23"/>
      <c r="H545" s="401"/>
      <c r="I545" s="401"/>
      <c r="J545" s="401"/>
      <c r="K545" s="401"/>
      <c r="L545" s="401"/>
      <c r="M545" s="438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  <c r="AL545" s="23"/>
      <c r="AM545" s="23"/>
      <c r="AN545" s="23"/>
      <c r="AO545" s="23"/>
      <c r="AP545" s="23"/>
      <c r="AQ545" s="23"/>
      <c r="AR545" s="23"/>
      <c r="AS545" s="23"/>
      <c r="AT545" s="23"/>
      <c r="AU545" s="23"/>
      <c r="AV545" s="23"/>
      <c r="AW545" s="23"/>
      <c r="AX545" s="23"/>
      <c r="AY545" s="23"/>
      <c r="AZ545" s="23"/>
      <c r="BA545" s="23"/>
      <c r="BB545" s="23"/>
      <c r="BC545" s="23"/>
      <c r="BD545" s="23"/>
      <c r="BE545" s="23"/>
      <c r="BF545" s="23"/>
      <c r="BG545" s="23"/>
      <c r="BH545" s="23"/>
      <c r="BI545" s="23"/>
      <c r="BJ545" s="23"/>
      <c r="BK545" s="23"/>
      <c r="BL545" s="23"/>
      <c r="BM545" s="23"/>
      <c r="BN545" s="23"/>
      <c r="BO545" s="23"/>
      <c r="BP545" s="23"/>
      <c r="BQ545" s="23"/>
      <c r="BR545" s="23"/>
      <c r="BS545" s="23"/>
      <c r="BT545" s="23"/>
      <c r="BU545" s="23"/>
      <c r="BV545" s="23"/>
      <c r="BW545" s="23"/>
      <c r="BX545" s="23"/>
      <c r="BY545" s="23"/>
      <c r="BZ545" s="23"/>
      <c r="CA545" s="23"/>
      <c r="CB545" s="23"/>
      <c r="CC545" s="23"/>
      <c r="CD545" s="23"/>
      <c r="CE545" s="23"/>
      <c r="CF545" s="23"/>
      <c r="CG545" s="23"/>
      <c r="CH545" s="23"/>
      <c r="CI545" s="23"/>
      <c r="CJ545" s="23"/>
      <c r="CK545" s="23"/>
      <c r="CL545" s="23"/>
      <c r="CM545" s="23"/>
      <c r="CN545" s="23"/>
      <c r="CO545" s="23"/>
      <c r="CP545" s="23"/>
      <c r="CQ545" s="23"/>
      <c r="CR545" s="23"/>
      <c r="CS545" s="23"/>
      <c r="CT545" s="23"/>
      <c r="CU545" s="23"/>
      <c r="CV545" s="23"/>
      <c r="CW545" s="23"/>
      <c r="CX545" s="23"/>
      <c r="CY545" s="23"/>
      <c r="CZ545" s="23"/>
      <c r="DA545" s="23"/>
      <c r="DB545" s="23"/>
      <c r="DC545" s="23"/>
      <c r="DD545" s="23"/>
      <c r="DE545" s="23"/>
      <c r="DF545" s="23"/>
      <c r="DG545" s="23"/>
      <c r="DH545" s="23"/>
      <c r="DI545" s="23"/>
      <c r="DJ545" s="23"/>
      <c r="DK545" s="23"/>
      <c r="DL545" s="23"/>
      <c r="DM545" s="23"/>
      <c r="DN545" s="23"/>
      <c r="DO545" s="23"/>
      <c r="DP545" s="23"/>
      <c r="DQ545" s="23"/>
      <c r="DR545" s="23"/>
      <c r="DS545" s="23"/>
      <c r="DT545" s="23"/>
      <c r="DU545" s="23"/>
      <c r="DV545" s="23"/>
      <c r="DW545" s="23"/>
      <c r="DX545" s="23"/>
      <c r="DY545" s="23"/>
      <c r="DZ545" s="23"/>
      <c r="EA545" s="23"/>
      <c r="EB545" s="23"/>
      <c r="EC545" s="23"/>
      <c r="ED545" s="23"/>
      <c r="EE545" s="23"/>
      <c r="EF545" s="23"/>
      <c r="EG545" s="23"/>
      <c r="EH545" s="23"/>
      <c r="EI545" s="23"/>
      <c r="EJ545" s="23"/>
      <c r="EK545" s="23"/>
      <c r="EL545" s="23"/>
      <c r="EM545" s="23"/>
      <c r="EN545" s="23"/>
      <c r="EO545" s="23"/>
      <c r="EP545" s="23"/>
      <c r="EQ545" s="23"/>
      <c r="ER545" s="23"/>
      <c r="ES545" s="23"/>
      <c r="ET545" s="23"/>
      <c r="EU545" s="23"/>
      <c r="EV545" s="23"/>
      <c r="EW545" s="23"/>
      <c r="EX545" s="23"/>
      <c r="EY545" s="23"/>
      <c r="EZ545" s="23"/>
      <c r="FA545" s="23"/>
      <c r="FB545" s="23"/>
      <c r="FC545" s="23"/>
      <c r="FD545" s="23"/>
      <c r="FE545" s="23"/>
      <c r="FF545" s="23"/>
      <c r="FG545" s="23"/>
      <c r="FH545" s="23"/>
      <c r="FI545" s="23"/>
      <c r="FJ545" s="23"/>
      <c r="FK545" s="23"/>
      <c r="FL545" s="23"/>
      <c r="FM545" s="23"/>
      <c r="FN545" s="23"/>
      <c r="FO545" s="23"/>
      <c r="FP545" s="23"/>
      <c r="FQ545" s="23"/>
      <c r="FR545" s="23"/>
      <c r="FS545" s="23"/>
      <c r="FT545" s="23"/>
      <c r="FU545" s="23"/>
      <c r="FV545" s="23"/>
      <c r="FW545" s="23"/>
      <c r="FX545" s="23"/>
      <c r="FY545" s="23"/>
      <c r="FZ545" s="23"/>
      <c r="GA545" s="23"/>
      <c r="GB545" s="23"/>
      <c r="GC545" s="23"/>
      <c r="GD545" s="23"/>
      <c r="GE545" s="23"/>
      <c r="GF545" s="23"/>
      <c r="GG545" s="23"/>
      <c r="GH545" s="23"/>
      <c r="GI545" s="23"/>
      <c r="GJ545" s="23"/>
      <c r="GK545" s="23"/>
      <c r="GL545" s="23"/>
    </row>
    <row r="546" spans="1:194" ht="13">
      <c r="A546" s="23"/>
      <c r="B546" s="23"/>
      <c r="C546" s="23"/>
      <c r="D546" s="23"/>
      <c r="E546" s="23"/>
      <c r="F546" s="23"/>
      <c r="G546" s="23"/>
      <c r="H546" s="401"/>
      <c r="I546" s="401"/>
      <c r="J546" s="401"/>
      <c r="K546" s="401"/>
      <c r="L546" s="401"/>
      <c r="M546" s="438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  <c r="AL546" s="23"/>
      <c r="AM546" s="23"/>
      <c r="AN546" s="23"/>
      <c r="AO546" s="23"/>
      <c r="AP546" s="23"/>
      <c r="AQ546" s="23"/>
      <c r="AR546" s="23"/>
      <c r="AS546" s="23"/>
      <c r="AT546" s="23"/>
      <c r="AU546" s="23"/>
      <c r="AV546" s="23"/>
      <c r="AW546" s="23"/>
      <c r="AX546" s="23"/>
      <c r="AY546" s="23"/>
      <c r="AZ546" s="23"/>
      <c r="BA546" s="23"/>
      <c r="BB546" s="23"/>
      <c r="BC546" s="23"/>
      <c r="BD546" s="23"/>
      <c r="BE546" s="23"/>
      <c r="BF546" s="23"/>
      <c r="BG546" s="23"/>
      <c r="BH546" s="23"/>
      <c r="BI546" s="23"/>
      <c r="BJ546" s="23"/>
      <c r="BK546" s="23"/>
      <c r="BL546" s="23"/>
      <c r="BM546" s="23"/>
      <c r="BN546" s="23"/>
      <c r="BO546" s="23"/>
      <c r="BP546" s="23"/>
      <c r="BQ546" s="23"/>
      <c r="BR546" s="23"/>
      <c r="BS546" s="23"/>
      <c r="BT546" s="23"/>
      <c r="BU546" s="23"/>
      <c r="BV546" s="23"/>
      <c r="BW546" s="23"/>
      <c r="BX546" s="23"/>
      <c r="BY546" s="23"/>
      <c r="BZ546" s="23"/>
      <c r="CA546" s="23"/>
      <c r="CB546" s="23"/>
      <c r="CC546" s="23"/>
      <c r="CD546" s="23"/>
      <c r="CE546" s="23"/>
      <c r="CF546" s="23"/>
      <c r="CG546" s="23"/>
      <c r="CH546" s="23"/>
      <c r="CI546" s="23"/>
      <c r="CJ546" s="23"/>
      <c r="CK546" s="23"/>
      <c r="CL546" s="23"/>
      <c r="CM546" s="23"/>
      <c r="CN546" s="23"/>
      <c r="CO546" s="23"/>
      <c r="CP546" s="23"/>
      <c r="CQ546" s="23"/>
      <c r="CR546" s="23"/>
      <c r="CS546" s="23"/>
      <c r="CT546" s="23"/>
      <c r="CU546" s="23"/>
      <c r="CV546" s="23"/>
      <c r="CW546" s="23"/>
      <c r="CX546" s="23"/>
      <c r="CY546" s="23"/>
      <c r="CZ546" s="23"/>
      <c r="DA546" s="23"/>
      <c r="DB546" s="23"/>
      <c r="DC546" s="23"/>
      <c r="DD546" s="23"/>
      <c r="DE546" s="23"/>
      <c r="DF546" s="23"/>
      <c r="DG546" s="23"/>
      <c r="DH546" s="23"/>
      <c r="DI546" s="23"/>
      <c r="DJ546" s="23"/>
      <c r="DK546" s="23"/>
      <c r="DL546" s="23"/>
      <c r="DM546" s="23"/>
      <c r="DN546" s="23"/>
      <c r="DO546" s="23"/>
      <c r="DP546" s="23"/>
      <c r="DQ546" s="23"/>
      <c r="DR546" s="23"/>
      <c r="DS546" s="23"/>
      <c r="DT546" s="23"/>
      <c r="DU546" s="23"/>
      <c r="DV546" s="23"/>
      <c r="DW546" s="23"/>
      <c r="DX546" s="23"/>
      <c r="DY546" s="23"/>
      <c r="DZ546" s="23"/>
      <c r="EA546" s="23"/>
      <c r="EB546" s="23"/>
      <c r="EC546" s="23"/>
      <c r="ED546" s="23"/>
      <c r="EE546" s="23"/>
      <c r="EF546" s="23"/>
      <c r="EG546" s="23"/>
      <c r="EH546" s="23"/>
      <c r="EI546" s="23"/>
      <c r="EJ546" s="23"/>
      <c r="EK546" s="23"/>
      <c r="EL546" s="23"/>
      <c r="EM546" s="23"/>
      <c r="EN546" s="23"/>
      <c r="EO546" s="23"/>
      <c r="EP546" s="23"/>
      <c r="EQ546" s="23"/>
      <c r="ER546" s="23"/>
      <c r="ES546" s="23"/>
      <c r="ET546" s="23"/>
      <c r="EU546" s="23"/>
      <c r="EV546" s="23"/>
      <c r="EW546" s="23"/>
      <c r="EX546" s="23"/>
      <c r="EY546" s="23"/>
      <c r="EZ546" s="23"/>
      <c r="FA546" s="23"/>
      <c r="FB546" s="23"/>
      <c r="FC546" s="23"/>
      <c r="FD546" s="23"/>
      <c r="FE546" s="23"/>
      <c r="FF546" s="23"/>
      <c r="FG546" s="23"/>
      <c r="FH546" s="23"/>
      <c r="FI546" s="23"/>
      <c r="FJ546" s="23"/>
      <c r="FK546" s="23"/>
      <c r="FL546" s="23"/>
      <c r="FM546" s="23"/>
      <c r="FN546" s="23"/>
      <c r="FO546" s="23"/>
      <c r="FP546" s="23"/>
      <c r="FQ546" s="23"/>
      <c r="FR546" s="23"/>
      <c r="FS546" s="23"/>
      <c r="FT546" s="23"/>
      <c r="FU546" s="23"/>
      <c r="FV546" s="23"/>
      <c r="FW546" s="23"/>
      <c r="FX546" s="23"/>
      <c r="FY546" s="23"/>
      <c r="FZ546" s="23"/>
      <c r="GA546" s="23"/>
      <c r="GB546" s="23"/>
      <c r="GC546" s="23"/>
      <c r="GD546" s="23"/>
      <c r="GE546" s="23"/>
      <c r="GF546" s="23"/>
      <c r="GG546" s="23"/>
      <c r="GH546" s="23"/>
      <c r="GI546" s="23"/>
      <c r="GJ546" s="23"/>
      <c r="GK546" s="23"/>
      <c r="GL546" s="23"/>
    </row>
    <row r="547" spans="1:194" ht="13">
      <c r="A547" s="23"/>
      <c r="B547" s="23"/>
      <c r="C547" s="23"/>
      <c r="D547" s="23"/>
      <c r="E547" s="23"/>
      <c r="F547" s="23"/>
      <c r="G547" s="23"/>
      <c r="H547" s="401"/>
      <c r="I547" s="401"/>
      <c r="J547" s="401"/>
      <c r="K547" s="401"/>
      <c r="L547" s="401"/>
      <c r="M547" s="438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  <c r="AL547" s="23"/>
      <c r="AM547" s="23"/>
      <c r="AN547" s="23"/>
      <c r="AO547" s="23"/>
      <c r="AP547" s="23"/>
      <c r="AQ547" s="23"/>
      <c r="AR547" s="23"/>
      <c r="AS547" s="23"/>
      <c r="AT547" s="23"/>
      <c r="AU547" s="23"/>
      <c r="AV547" s="23"/>
      <c r="AW547" s="23"/>
      <c r="AX547" s="23"/>
      <c r="AY547" s="23"/>
      <c r="AZ547" s="23"/>
      <c r="BA547" s="23"/>
      <c r="BB547" s="23"/>
      <c r="BC547" s="23"/>
      <c r="BD547" s="23"/>
      <c r="BE547" s="23"/>
      <c r="BF547" s="23"/>
      <c r="BG547" s="23"/>
      <c r="BH547" s="23"/>
      <c r="BI547" s="23"/>
      <c r="BJ547" s="23"/>
      <c r="BK547" s="23"/>
      <c r="BL547" s="23"/>
      <c r="BM547" s="23"/>
      <c r="BN547" s="23"/>
      <c r="BO547" s="23"/>
      <c r="BP547" s="23"/>
      <c r="BQ547" s="23"/>
      <c r="BR547" s="23"/>
      <c r="BS547" s="23"/>
      <c r="BT547" s="23"/>
      <c r="BU547" s="23"/>
      <c r="BV547" s="23"/>
      <c r="BW547" s="23"/>
      <c r="BX547" s="23"/>
      <c r="BY547" s="23"/>
      <c r="BZ547" s="23"/>
      <c r="CA547" s="23"/>
      <c r="CB547" s="23"/>
      <c r="CC547" s="23"/>
      <c r="CD547" s="23"/>
      <c r="CE547" s="23"/>
      <c r="CF547" s="23"/>
      <c r="CG547" s="23"/>
      <c r="CH547" s="23"/>
      <c r="CI547" s="23"/>
      <c r="CJ547" s="23"/>
      <c r="CK547" s="23"/>
      <c r="CL547" s="23"/>
      <c r="CM547" s="23"/>
      <c r="CN547" s="23"/>
      <c r="CO547" s="23"/>
      <c r="CP547" s="23"/>
      <c r="CQ547" s="23"/>
      <c r="CR547" s="23"/>
      <c r="CS547" s="23"/>
      <c r="CT547" s="23"/>
      <c r="CU547" s="23"/>
      <c r="CV547" s="23"/>
      <c r="CW547" s="23"/>
      <c r="CX547" s="23"/>
      <c r="CY547" s="23"/>
      <c r="CZ547" s="23"/>
      <c r="DA547" s="23"/>
      <c r="DB547" s="23"/>
      <c r="DC547" s="23"/>
      <c r="DD547" s="23"/>
      <c r="DE547" s="23"/>
      <c r="DF547" s="23"/>
      <c r="DG547" s="23"/>
      <c r="DH547" s="23"/>
      <c r="DI547" s="23"/>
      <c r="DJ547" s="23"/>
      <c r="DK547" s="23"/>
      <c r="DL547" s="23"/>
      <c r="DM547" s="23"/>
      <c r="DN547" s="23"/>
      <c r="DO547" s="23"/>
      <c r="DP547" s="23"/>
      <c r="DQ547" s="23"/>
      <c r="DR547" s="23"/>
      <c r="DS547" s="23"/>
      <c r="DT547" s="23"/>
      <c r="DU547" s="23"/>
      <c r="DV547" s="23"/>
      <c r="DW547" s="23"/>
      <c r="DX547" s="23"/>
      <c r="DY547" s="23"/>
      <c r="DZ547" s="23"/>
      <c r="EA547" s="23"/>
      <c r="EB547" s="23"/>
      <c r="EC547" s="23"/>
      <c r="ED547" s="23"/>
      <c r="EE547" s="23"/>
      <c r="EF547" s="23"/>
      <c r="EG547" s="23"/>
      <c r="EH547" s="23"/>
      <c r="EI547" s="23"/>
      <c r="EJ547" s="23"/>
      <c r="EK547" s="23"/>
      <c r="EL547" s="23"/>
      <c r="EM547" s="23"/>
      <c r="EN547" s="23"/>
      <c r="EO547" s="23"/>
      <c r="EP547" s="23"/>
      <c r="EQ547" s="23"/>
      <c r="ER547" s="23"/>
      <c r="ES547" s="23"/>
      <c r="ET547" s="23"/>
      <c r="EU547" s="23"/>
      <c r="EV547" s="23"/>
      <c r="EW547" s="23"/>
      <c r="EX547" s="23"/>
      <c r="EY547" s="23"/>
      <c r="EZ547" s="23"/>
      <c r="FA547" s="23"/>
      <c r="FB547" s="23"/>
      <c r="FC547" s="23"/>
      <c r="FD547" s="23"/>
      <c r="FE547" s="23"/>
      <c r="FF547" s="23"/>
      <c r="FG547" s="23"/>
      <c r="FH547" s="23"/>
      <c r="FI547" s="23"/>
      <c r="FJ547" s="23"/>
      <c r="FK547" s="23"/>
      <c r="FL547" s="23"/>
      <c r="FM547" s="23"/>
      <c r="FN547" s="23"/>
      <c r="FO547" s="23"/>
      <c r="FP547" s="23"/>
      <c r="FQ547" s="23"/>
      <c r="FR547" s="23"/>
      <c r="FS547" s="23"/>
      <c r="FT547" s="23"/>
      <c r="FU547" s="23"/>
      <c r="FV547" s="23"/>
      <c r="FW547" s="23"/>
      <c r="FX547" s="23"/>
      <c r="FY547" s="23"/>
      <c r="FZ547" s="23"/>
      <c r="GA547" s="23"/>
      <c r="GB547" s="23"/>
      <c r="GC547" s="23"/>
      <c r="GD547" s="23"/>
      <c r="GE547" s="23"/>
      <c r="GF547" s="23"/>
      <c r="GG547" s="23"/>
      <c r="GH547" s="23"/>
      <c r="GI547" s="23"/>
      <c r="GJ547" s="23"/>
      <c r="GK547" s="23"/>
      <c r="GL547" s="23"/>
    </row>
    <row r="548" spans="1:194" ht="13">
      <c r="A548" s="23"/>
      <c r="B548" s="23"/>
      <c r="C548" s="23"/>
      <c r="D548" s="23"/>
      <c r="E548" s="23"/>
      <c r="F548" s="23"/>
      <c r="G548" s="23"/>
      <c r="H548" s="401"/>
      <c r="I548" s="401"/>
      <c r="J548" s="401"/>
      <c r="K548" s="401"/>
      <c r="L548" s="401"/>
      <c r="M548" s="438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  <c r="AL548" s="23"/>
      <c r="AM548" s="23"/>
      <c r="AN548" s="23"/>
      <c r="AO548" s="23"/>
      <c r="AP548" s="23"/>
      <c r="AQ548" s="23"/>
      <c r="AR548" s="23"/>
      <c r="AS548" s="23"/>
      <c r="AT548" s="23"/>
      <c r="AU548" s="23"/>
      <c r="AV548" s="23"/>
      <c r="AW548" s="23"/>
      <c r="AX548" s="23"/>
      <c r="AY548" s="23"/>
      <c r="AZ548" s="23"/>
      <c r="BA548" s="23"/>
      <c r="BB548" s="23"/>
      <c r="BC548" s="23"/>
      <c r="BD548" s="23"/>
      <c r="BE548" s="23"/>
      <c r="BF548" s="23"/>
      <c r="BG548" s="23"/>
      <c r="BH548" s="23"/>
      <c r="BI548" s="23"/>
      <c r="BJ548" s="23"/>
      <c r="BK548" s="23"/>
      <c r="BL548" s="23"/>
      <c r="BM548" s="23"/>
      <c r="BN548" s="23"/>
      <c r="BO548" s="23"/>
      <c r="BP548" s="23"/>
      <c r="BQ548" s="23"/>
      <c r="BR548" s="23"/>
      <c r="BS548" s="23"/>
      <c r="BT548" s="23"/>
      <c r="BU548" s="23"/>
      <c r="BV548" s="23"/>
      <c r="BW548" s="23"/>
      <c r="BX548" s="23"/>
      <c r="BY548" s="23"/>
      <c r="BZ548" s="23"/>
      <c r="CA548" s="23"/>
      <c r="CB548" s="23"/>
      <c r="CC548" s="23"/>
      <c r="CD548" s="23"/>
      <c r="CE548" s="23"/>
      <c r="CF548" s="23"/>
      <c r="CG548" s="23"/>
      <c r="CH548" s="23"/>
      <c r="CI548" s="23"/>
      <c r="CJ548" s="23"/>
      <c r="CK548" s="23"/>
      <c r="CL548" s="23"/>
      <c r="CM548" s="23"/>
      <c r="CN548" s="23"/>
      <c r="CO548" s="23"/>
      <c r="CP548" s="23"/>
      <c r="CQ548" s="23"/>
      <c r="CR548" s="23"/>
      <c r="CS548" s="23"/>
      <c r="CT548" s="23"/>
      <c r="CU548" s="23"/>
      <c r="CV548" s="23"/>
      <c r="CW548" s="23"/>
      <c r="CX548" s="23"/>
      <c r="CY548" s="23"/>
      <c r="CZ548" s="23"/>
      <c r="DA548" s="23"/>
      <c r="DB548" s="23"/>
      <c r="DC548" s="23"/>
      <c r="DD548" s="23"/>
      <c r="DE548" s="23"/>
      <c r="DF548" s="23"/>
      <c r="DG548" s="23"/>
      <c r="DH548" s="23"/>
      <c r="DI548" s="23"/>
      <c r="DJ548" s="23"/>
      <c r="DK548" s="23"/>
      <c r="DL548" s="23"/>
      <c r="DM548" s="23"/>
      <c r="DN548" s="23"/>
      <c r="DO548" s="23"/>
      <c r="DP548" s="23"/>
      <c r="DQ548" s="23"/>
      <c r="DR548" s="23"/>
      <c r="DS548" s="23"/>
      <c r="DT548" s="23"/>
      <c r="DU548" s="23"/>
      <c r="DV548" s="23"/>
      <c r="DW548" s="23"/>
      <c r="DX548" s="23"/>
      <c r="DY548" s="23"/>
      <c r="DZ548" s="23"/>
      <c r="EA548" s="23"/>
      <c r="EB548" s="23"/>
      <c r="EC548" s="23"/>
      <c r="ED548" s="23"/>
      <c r="EE548" s="23"/>
      <c r="EF548" s="23"/>
      <c r="EG548" s="23"/>
      <c r="EH548" s="23"/>
      <c r="EI548" s="23"/>
      <c r="EJ548" s="23"/>
      <c r="EK548" s="23"/>
      <c r="EL548" s="23"/>
      <c r="EM548" s="23"/>
      <c r="EN548" s="23"/>
      <c r="EO548" s="23"/>
      <c r="EP548" s="23"/>
      <c r="EQ548" s="23"/>
      <c r="ER548" s="23"/>
      <c r="ES548" s="23"/>
      <c r="ET548" s="23"/>
      <c r="EU548" s="23"/>
      <c r="EV548" s="23"/>
      <c r="EW548" s="23"/>
      <c r="EX548" s="23"/>
      <c r="EY548" s="23"/>
      <c r="EZ548" s="23"/>
      <c r="FA548" s="23"/>
      <c r="FB548" s="23"/>
      <c r="FC548" s="23"/>
      <c r="FD548" s="23"/>
      <c r="FE548" s="23"/>
      <c r="FF548" s="23"/>
      <c r="FG548" s="23"/>
      <c r="FH548" s="23"/>
      <c r="FI548" s="23"/>
      <c r="FJ548" s="23"/>
      <c r="FK548" s="23"/>
      <c r="FL548" s="23"/>
      <c r="FM548" s="23"/>
      <c r="FN548" s="23"/>
      <c r="FO548" s="23"/>
      <c r="FP548" s="23"/>
      <c r="FQ548" s="23"/>
      <c r="FR548" s="23"/>
      <c r="FS548" s="23"/>
      <c r="FT548" s="23"/>
      <c r="FU548" s="23"/>
      <c r="FV548" s="23"/>
      <c r="FW548" s="23"/>
      <c r="FX548" s="23"/>
      <c r="FY548" s="23"/>
      <c r="FZ548" s="23"/>
      <c r="GA548" s="23"/>
      <c r="GB548" s="23"/>
      <c r="GC548" s="23"/>
      <c r="GD548" s="23"/>
      <c r="GE548" s="23"/>
      <c r="GF548" s="23"/>
      <c r="GG548" s="23"/>
      <c r="GH548" s="23"/>
      <c r="GI548" s="23"/>
      <c r="GJ548" s="23"/>
      <c r="GK548" s="23"/>
      <c r="GL548" s="23"/>
    </row>
    <row r="549" spans="1:194" ht="13">
      <c r="A549" s="23"/>
      <c r="B549" s="23"/>
      <c r="C549" s="23"/>
      <c r="D549" s="23"/>
      <c r="E549" s="23"/>
      <c r="F549" s="23"/>
      <c r="G549" s="23"/>
      <c r="H549" s="401"/>
      <c r="I549" s="401"/>
      <c r="J549" s="401"/>
      <c r="K549" s="401"/>
      <c r="L549" s="401"/>
      <c r="M549" s="438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  <c r="AL549" s="23"/>
      <c r="AM549" s="23"/>
      <c r="AN549" s="23"/>
      <c r="AO549" s="23"/>
      <c r="AP549" s="23"/>
      <c r="AQ549" s="23"/>
      <c r="AR549" s="23"/>
      <c r="AS549" s="23"/>
      <c r="AT549" s="23"/>
      <c r="AU549" s="23"/>
      <c r="AV549" s="23"/>
      <c r="AW549" s="23"/>
      <c r="AX549" s="23"/>
      <c r="AY549" s="23"/>
      <c r="AZ549" s="23"/>
      <c r="BA549" s="23"/>
      <c r="BB549" s="23"/>
      <c r="BC549" s="23"/>
      <c r="BD549" s="23"/>
      <c r="BE549" s="23"/>
      <c r="BF549" s="23"/>
      <c r="BG549" s="23"/>
      <c r="BH549" s="23"/>
      <c r="BI549" s="23"/>
      <c r="BJ549" s="23"/>
      <c r="BK549" s="23"/>
      <c r="BL549" s="23"/>
      <c r="BM549" s="23"/>
      <c r="BN549" s="23"/>
      <c r="BO549" s="23"/>
      <c r="BP549" s="23"/>
      <c r="BQ549" s="23"/>
      <c r="BR549" s="23"/>
      <c r="BS549" s="23"/>
      <c r="BT549" s="23"/>
      <c r="BU549" s="23"/>
      <c r="BV549" s="23"/>
      <c r="BW549" s="23"/>
      <c r="BX549" s="23"/>
      <c r="BY549" s="23"/>
      <c r="BZ549" s="23"/>
      <c r="CA549" s="23"/>
      <c r="CB549" s="23"/>
      <c r="CC549" s="23"/>
      <c r="CD549" s="23"/>
      <c r="CE549" s="23"/>
      <c r="CF549" s="23"/>
      <c r="CG549" s="23"/>
      <c r="CH549" s="23"/>
      <c r="CI549" s="23"/>
      <c r="CJ549" s="23"/>
      <c r="CK549" s="23"/>
      <c r="CL549" s="23"/>
      <c r="CM549" s="23"/>
      <c r="CN549" s="23"/>
      <c r="CO549" s="23"/>
      <c r="CP549" s="23"/>
      <c r="CQ549" s="23"/>
      <c r="CR549" s="23"/>
      <c r="CS549" s="23"/>
      <c r="CT549" s="23"/>
      <c r="CU549" s="23"/>
      <c r="CV549" s="23"/>
      <c r="CW549" s="23"/>
      <c r="CX549" s="23"/>
      <c r="CY549" s="23"/>
      <c r="CZ549" s="23"/>
      <c r="DA549" s="23"/>
      <c r="DB549" s="23"/>
      <c r="DC549" s="23"/>
      <c r="DD549" s="23"/>
      <c r="DE549" s="23"/>
      <c r="DF549" s="23"/>
      <c r="DG549" s="23"/>
      <c r="DH549" s="23"/>
      <c r="DI549" s="23"/>
      <c r="DJ549" s="23"/>
      <c r="DK549" s="23"/>
      <c r="DL549" s="23"/>
      <c r="DM549" s="23"/>
      <c r="DN549" s="23"/>
      <c r="DO549" s="23"/>
      <c r="DP549" s="23"/>
      <c r="DQ549" s="23"/>
      <c r="DR549" s="23"/>
      <c r="DS549" s="23"/>
      <c r="DT549" s="23"/>
      <c r="DU549" s="23"/>
      <c r="DV549" s="23"/>
      <c r="DW549" s="23"/>
      <c r="DX549" s="23"/>
      <c r="DY549" s="23"/>
      <c r="DZ549" s="23"/>
      <c r="EA549" s="23"/>
      <c r="EB549" s="23"/>
      <c r="EC549" s="23"/>
      <c r="ED549" s="23"/>
      <c r="EE549" s="23"/>
      <c r="EF549" s="23"/>
      <c r="EG549" s="23"/>
      <c r="EH549" s="23"/>
      <c r="EI549" s="23"/>
      <c r="EJ549" s="23"/>
      <c r="EK549" s="23"/>
      <c r="EL549" s="23"/>
      <c r="EM549" s="23"/>
      <c r="EN549" s="23"/>
      <c r="EO549" s="23"/>
      <c r="EP549" s="23"/>
      <c r="EQ549" s="23"/>
      <c r="ER549" s="23"/>
      <c r="ES549" s="23"/>
      <c r="ET549" s="23"/>
      <c r="EU549" s="23"/>
      <c r="EV549" s="23"/>
      <c r="EW549" s="23"/>
      <c r="EX549" s="23"/>
      <c r="EY549" s="23"/>
      <c r="EZ549" s="23"/>
      <c r="FA549" s="23"/>
      <c r="FB549" s="23"/>
      <c r="FC549" s="23"/>
      <c r="FD549" s="23"/>
      <c r="FE549" s="23"/>
      <c r="FF549" s="23"/>
      <c r="FG549" s="23"/>
      <c r="FH549" s="23"/>
      <c r="FI549" s="23"/>
      <c r="FJ549" s="23"/>
      <c r="FK549" s="23"/>
      <c r="FL549" s="23"/>
      <c r="FM549" s="23"/>
      <c r="FN549" s="23"/>
      <c r="FO549" s="23"/>
      <c r="FP549" s="23"/>
      <c r="FQ549" s="23"/>
      <c r="FR549" s="23"/>
      <c r="FS549" s="23"/>
      <c r="FT549" s="23"/>
      <c r="FU549" s="23"/>
      <c r="FV549" s="23"/>
      <c r="FW549" s="23"/>
      <c r="FX549" s="23"/>
      <c r="FY549" s="23"/>
      <c r="FZ549" s="23"/>
      <c r="GA549" s="23"/>
      <c r="GB549" s="23"/>
      <c r="GC549" s="23"/>
      <c r="GD549" s="23"/>
      <c r="GE549" s="23"/>
      <c r="GF549" s="23"/>
      <c r="GG549" s="23"/>
      <c r="GH549" s="23"/>
      <c r="GI549" s="23"/>
      <c r="GJ549" s="23"/>
      <c r="GK549" s="23"/>
      <c r="GL549" s="23"/>
    </row>
    <row r="550" spans="1:194" ht="13">
      <c r="A550" s="23"/>
      <c r="B550" s="23"/>
      <c r="C550" s="23"/>
      <c r="D550" s="23"/>
      <c r="E550" s="23"/>
      <c r="F550" s="23"/>
      <c r="G550" s="23"/>
      <c r="H550" s="401"/>
      <c r="I550" s="401"/>
      <c r="J550" s="401"/>
      <c r="K550" s="401"/>
      <c r="L550" s="401"/>
      <c r="M550" s="438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  <c r="AL550" s="23"/>
      <c r="AM550" s="23"/>
      <c r="AN550" s="23"/>
      <c r="AO550" s="23"/>
      <c r="AP550" s="23"/>
      <c r="AQ550" s="23"/>
      <c r="AR550" s="23"/>
      <c r="AS550" s="23"/>
      <c r="AT550" s="23"/>
      <c r="AU550" s="23"/>
      <c r="AV550" s="23"/>
      <c r="AW550" s="23"/>
      <c r="AX550" s="23"/>
      <c r="AY550" s="23"/>
      <c r="AZ550" s="23"/>
      <c r="BA550" s="23"/>
      <c r="BB550" s="23"/>
      <c r="BC550" s="23"/>
      <c r="BD550" s="23"/>
      <c r="BE550" s="23"/>
      <c r="BF550" s="23"/>
      <c r="BG550" s="23"/>
      <c r="BH550" s="23"/>
      <c r="BI550" s="23"/>
      <c r="BJ550" s="23"/>
      <c r="BK550" s="23"/>
      <c r="BL550" s="23"/>
      <c r="BM550" s="23"/>
      <c r="BN550" s="23"/>
      <c r="BO550" s="23"/>
      <c r="BP550" s="23"/>
      <c r="BQ550" s="23"/>
      <c r="BR550" s="23"/>
      <c r="BS550" s="23"/>
      <c r="BT550" s="23"/>
      <c r="BU550" s="23"/>
      <c r="BV550" s="23"/>
      <c r="BW550" s="23"/>
      <c r="BX550" s="23"/>
      <c r="BY550" s="23"/>
      <c r="BZ550" s="23"/>
      <c r="CA550" s="23"/>
      <c r="CB550" s="23"/>
      <c r="CC550" s="23"/>
      <c r="CD550" s="23"/>
      <c r="CE550" s="23"/>
      <c r="CF550" s="23"/>
      <c r="CG550" s="23"/>
      <c r="CH550" s="23"/>
      <c r="CI550" s="23"/>
      <c r="CJ550" s="23"/>
      <c r="CK550" s="23"/>
      <c r="CL550" s="23"/>
      <c r="CM550" s="23"/>
      <c r="CN550" s="23"/>
      <c r="CO550" s="23"/>
      <c r="CP550" s="23"/>
      <c r="CQ550" s="23"/>
      <c r="CR550" s="23"/>
      <c r="CS550" s="23"/>
      <c r="CT550" s="23"/>
      <c r="CU550" s="23"/>
      <c r="CV550" s="23"/>
      <c r="CW550" s="23"/>
      <c r="CX550" s="23"/>
      <c r="CY550" s="23"/>
      <c r="CZ550" s="23"/>
      <c r="DA550" s="23"/>
      <c r="DB550" s="23"/>
      <c r="DC550" s="23"/>
      <c r="DD550" s="23"/>
      <c r="DE550" s="23"/>
      <c r="DF550" s="23"/>
      <c r="DG550" s="23"/>
      <c r="DH550" s="23"/>
      <c r="DI550" s="23"/>
      <c r="DJ550" s="23"/>
      <c r="DK550" s="23"/>
      <c r="DL550" s="23"/>
      <c r="DM550" s="23"/>
      <c r="DN550" s="23"/>
      <c r="DO550" s="23"/>
      <c r="DP550" s="23"/>
      <c r="DQ550" s="23"/>
      <c r="DR550" s="23"/>
      <c r="DS550" s="23"/>
      <c r="DT550" s="23"/>
      <c r="DU550" s="23"/>
      <c r="DV550" s="23"/>
      <c r="DW550" s="23"/>
      <c r="DX550" s="23"/>
      <c r="DY550" s="23"/>
      <c r="DZ550" s="23"/>
      <c r="EA550" s="23"/>
      <c r="EB550" s="23"/>
      <c r="EC550" s="23"/>
      <c r="ED550" s="23"/>
      <c r="EE550" s="23"/>
      <c r="EF550" s="23"/>
      <c r="EG550" s="23"/>
      <c r="EH550" s="23"/>
      <c r="EI550" s="23"/>
      <c r="EJ550" s="23"/>
      <c r="EK550" s="23"/>
      <c r="EL550" s="23"/>
      <c r="EM550" s="23"/>
      <c r="EN550" s="23"/>
      <c r="EO550" s="23"/>
      <c r="EP550" s="23"/>
      <c r="EQ550" s="23"/>
      <c r="ER550" s="23"/>
      <c r="ES550" s="23"/>
      <c r="ET550" s="23"/>
      <c r="EU550" s="23"/>
      <c r="EV550" s="23"/>
      <c r="EW550" s="23"/>
      <c r="EX550" s="23"/>
      <c r="EY550" s="23"/>
      <c r="EZ550" s="23"/>
      <c r="FA550" s="23"/>
      <c r="FB550" s="23"/>
      <c r="FC550" s="23"/>
      <c r="FD550" s="23"/>
      <c r="FE550" s="23"/>
      <c r="FF550" s="23"/>
      <c r="FG550" s="23"/>
      <c r="FH550" s="23"/>
      <c r="FI550" s="23"/>
      <c r="FJ550" s="23"/>
      <c r="FK550" s="23"/>
      <c r="FL550" s="23"/>
      <c r="FM550" s="23"/>
      <c r="FN550" s="23"/>
      <c r="FO550" s="23"/>
      <c r="FP550" s="23"/>
      <c r="FQ550" s="23"/>
      <c r="FR550" s="23"/>
      <c r="FS550" s="23"/>
      <c r="FT550" s="23"/>
      <c r="FU550" s="23"/>
      <c r="FV550" s="23"/>
      <c r="FW550" s="23"/>
      <c r="FX550" s="23"/>
      <c r="FY550" s="23"/>
      <c r="FZ550" s="23"/>
      <c r="GA550" s="23"/>
      <c r="GB550" s="23"/>
      <c r="GC550" s="23"/>
      <c r="GD550" s="23"/>
      <c r="GE550" s="23"/>
      <c r="GF550" s="23"/>
      <c r="GG550" s="23"/>
      <c r="GH550" s="23"/>
      <c r="GI550" s="23"/>
      <c r="GJ550" s="23"/>
      <c r="GK550" s="23"/>
      <c r="GL550" s="23"/>
    </row>
    <row r="551" spans="1:194" ht="13">
      <c r="A551" s="23"/>
      <c r="B551" s="23"/>
      <c r="C551" s="23"/>
      <c r="D551" s="23"/>
      <c r="E551" s="23"/>
      <c r="F551" s="23"/>
      <c r="G551" s="23"/>
      <c r="H551" s="401"/>
      <c r="I551" s="401"/>
      <c r="J551" s="401"/>
      <c r="K551" s="401"/>
      <c r="L551" s="401"/>
      <c r="M551" s="438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  <c r="AL551" s="23"/>
      <c r="AM551" s="23"/>
      <c r="AN551" s="23"/>
      <c r="AO551" s="23"/>
      <c r="AP551" s="23"/>
      <c r="AQ551" s="23"/>
      <c r="AR551" s="23"/>
      <c r="AS551" s="23"/>
      <c r="AT551" s="23"/>
      <c r="AU551" s="23"/>
      <c r="AV551" s="23"/>
      <c r="AW551" s="23"/>
      <c r="AX551" s="23"/>
      <c r="AY551" s="23"/>
      <c r="AZ551" s="23"/>
      <c r="BA551" s="23"/>
      <c r="BB551" s="23"/>
      <c r="BC551" s="23"/>
      <c r="BD551" s="23"/>
      <c r="BE551" s="23"/>
      <c r="BF551" s="23"/>
      <c r="BG551" s="23"/>
      <c r="BH551" s="23"/>
      <c r="BI551" s="23"/>
      <c r="BJ551" s="23"/>
      <c r="BK551" s="23"/>
      <c r="BL551" s="23"/>
      <c r="BM551" s="23"/>
      <c r="BN551" s="23"/>
      <c r="BO551" s="23"/>
      <c r="BP551" s="23"/>
      <c r="BQ551" s="23"/>
      <c r="BR551" s="23"/>
      <c r="BS551" s="23"/>
      <c r="BT551" s="23"/>
      <c r="BU551" s="23"/>
      <c r="BV551" s="23"/>
      <c r="BW551" s="23"/>
      <c r="BX551" s="23"/>
      <c r="BY551" s="23"/>
      <c r="BZ551" s="23"/>
      <c r="CA551" s="23"/>
      <c r="CB551" s="23"/>
      <c r="CC551" s="23"/>
      <c r="CD551" s="23"/>
      <c r="CE551" s="23"/>
      <c r="CF551" s="23"/>
      <c r="CG551" s="23"/>
      <c r="CH551" s="23"/>
      <c r="CI551" s="23"/>
      <c r="CJ551" s="23"/>
      <c r="CK551" s="23"/>
      <c r="CL551" s="23"/>
      <c r="CM551" s="23"/>
      <c r="CN551" s="23"/>
      <c r="CO551" s="23"/>
      <c r="CP551" s="23"/>
      <c r="CQ551" s="23"/>
      <c r="CR551" s="23"/>
      <c r="CS551" s="23"/>
      <c r="CT551" s="23"/>
      <c r="CU551" s="23"/>
      <c r="CV551" s="23"/>
      <c r="CW551" s="23"/>
      <c r="CX551" s="23"/>
      <c r="CY551" s="23"/>
      <c r="CZ551" s="23"/>
      <c r="DA551" s="23"/>
      <c r="DB551" s="23"/>
      <c r="DC551" s="23"/>
      <c r="DD551" s="23"/>
      <c r="DE551" s="23"/>
      <c r="DF551" s="23"/>
      <c r="DG551" s="23"/>
      <c r="DH551" s="23"/>
      <c r="DI551" s="23"/>
      <c r="DJ551" s="23"/>
      <c r="DK551" s="23"/>
      <c r="DL551" s="23"/>
      <c r="DM551" s="23"/>
      <c r="DN551" s="23"/>
      <c r="DO551" s="23"/>
      <c r="DP551" s="23"/>
      <c r="DQ551" s="23"/>
      <c r="DR551" s="23"/>
      <c r="DS551" s="23"/>
      <c r="DT551" s="23"/>
      <c r="DU551" s="23"/>
      <c r="DV551" s="23"/>
      <c r="DW551" s="23"/>
      <c r="DX551" s="23"/>
      <c r="DY551" s="23"/>
      <c r="DZ551" s="23"/>
      <c r="EA551" s="23"/>
      <c r="EB551" s="23"/>
      <c r="EC551" s="23"/>
      <c r="ED551" s="23"/>
      <c r="EE551" s="23"/>
      <c r="EF551" s="23"/>
      <c r="EG551" s="23"/>
      <c r="EH551" s="23"/>
      <c r="EI551" s="23"/>
      <c r="EJ551" s="23"/>
      <c r="EK551" s="23"/>
      <c r="EL551" s="23"/>
      <c r="EM551" s="23"/>
      <c r="EN551" s="23"/>
      <c r="EO551" s="23"/>
      <c r="EP551" s="23"/>
      <c r="EQ551" s="23"/>
      <c r="ER551" s="23"/>
      <c r="ES551" s="23"/>
      <c r="ET551" s="23"/>
      <c r="EU551" s="23"/>
      <c r="EV551" s="23"/>
      <c r="EW551" s="23"/>
      <c r="EX551" s="23"/>
      <c r="EY551" s="23"/>
      <c r="EZ551" s="23"/>
      <c r="FA551" s="23"/>
      <c r="FB551" s="23"/>
      <c r="FC551" s="23"/>
      <c r="FD551" s="23"/>
      <c r="FE551" s="23"/>
      <c r="FF551" s="23"/>
      <c r="FG551" s="23"/>
      <c r="FH551" s="23"/>
      <c r="FI551" s="23"/>
      <c r="FJ551" s="23"/>
      <c r="FK551" s="23"/>
      <c r="FL551" s="23"/>
      <c r="FM551" s="23"/>
      <c r="FN551" s="23"/>
      <c r="FO551" s="23"/>
      <c r="FP551" s="23"/>
      <c r="FQ551" s="23"/>
      <c r="FR551" s="23"/>
      <c r="FS551" s="23"/>
      <c r="FT551" s="23"/>
      <c r="FU551" s="23"/>
      <c r="FV551" s="23"/>
      <c r="FW551" s="23"/>
      <c r="FX551" s="23"/>
      <c r="FY551" s="23"/>
      <c r="FZ551" s="23"/>
      <c r="GA551" s="23"/>
      <c r="GB551" s="23"/>
      <c r="GC551" s="23"/>
      <c r="GD551" s="23"/>
      <c r="GE551" s="23"/>
      <c r="GF551" s="23"/>
      <c r="GG551" s="23"/>
      <c r="GH551" s="23"/>
      <c r="GI551" s="23"/>
      <c r="GJ551" s="23"/>
      <c r="GK551" s="23"/>
      <c r="GL551" s="23"/>
    </row>
    <row r="552" spans="1:194" ht="13">
      <c r="A552" s="23"/>
      <c r="B552" s="23"/>
      <c r="C552" s="23"/>
      <c r="D552" s="23"/>
      <c r="E552" s="23"/>
      <c r="F552" s="23"/>
      <c r="G552" s="23"/>
      <c r="H552" s="401"/>
      <c r="I552" s="401"/>
      <c r="J552" s="401"/>
      <c r="K552" s="401"/>
      <c r="L552" s="401"/>
      <c r="M552" s="438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  <c r="AL552" s="23"/>
      <c r="AM552" s="23"/>
      <c r="AN552" s="23"/>
      <c r="AO552" s="23"/>
      <c r="AP552" s="23"/>
      <c r="AQ552" s="23"/>
      <c r="AR552" s="23"/>
      <c r="AS552" s="23"/>
      <c r="AT552" s="23"/>
      <c r="AU552" s="23"/>
      <c r="AV552" s="23"/>
      <c r="AW552" s="23"/>
      <c r="AX552" s="23"/>
      <c r="AY552" s="23"/>
      <c r="AZ552" s="23"/>
      <c r="BA552" s="23"/>
      <c r="BB552" s="23"/>
      <c r="BC552" s="23"/>
      <c r="BD552" s="23"/>
      <c r="BE552" s="23"/>
      <c r="BF552" s="23"/>
      <c r="BG552" s="23"/>
      <c r="BH552" s="23"/>
      <c r="BI552" s="23"/>
      <c r="BJ552" s="23"/>
      <c r="BK552" s="23"/>
      <c r="BL552" s="23"/>
      <c r="BM552" s="23"/>
      <c r="BN552" s="23"/>
      <c r="BO552" s="23"/>
      <c r="BP552" s="23"/>
      <c r="BQ552" s="23"/>
      <c r="BR552" s="23"/>
      <c r="BS552" s="23"/>
      <c r="BT552" s="23"/>
      <c r="BU552" s="23"/>
      <c r="BV552" s="23"/>
      <c r="BW552" s="23"/>
      <c r="BX552" s="23"/>
      <c r="BY552" s="23"/>
      <c r="BZ552" s="23"/>
      <c r="CA552" s="23"/>
      <c r="CB552" s="23"/>
      <c r="CC552" s="23"/>
      <c r="CD552" s="23"/>
      <c r="CE552" s="23"/>
      <c r="CF552" s="23"/>
      <c r="CG552" s="23"/>
      <c r="CH552" s="23"/>
      <c r="CI552" s="23"/>
      <c r="CJ552" s="23"/>
      <c r="CK552" s="23"/>
      <c r="CL552" s="23"/>
      <c r="CM552" s="23"/>
      <c r="CN552" s="23"/>
      <c r="CO552" s="23"/>
      <c r="CP552" s="23"/>
      <c r="CQ552" s="23"/>
      <c r="CR552" s="23"/>
      <c r="CS552" s="23"/>
      <c r="CT552" s="23"/>
      <c r="CU552" s="23"/>
      <c r="CV552" s="23"/>
      <c r="CW552" s="23"/>
      <c r="CX552" s="23"/>
      <c r="CY552" s="23"/>
      <c r="CZ552" s="23"/>
      <c r="DA552" s="23"/>
      <c r="DB552" s="23"/>
      <c r="DC552" s="23"/>
      <c r="DD552" s="23"/>
      <c r="DE552" s="23"/>
      <c r="DF552" s="23"/>
      <c r="DG552" s="23"/>
      <c r="DH552" s="23"/>
      <c r="DI552" s="23"/>
      <c r="DJ552" s="23"/>
      <c r="DK552" s="23"/>
      <c r="DL552" s="23"/>
      <c r="DM552" s="23"/>
      <c r="DN552" s="23"/>
      <c r="DO552" s="23"/>
      <c r="DP552" s="23"/>
      <c r="DQ552" s="23"/>
      <c r="DR552" s="23"/>
      <c r="DS552" s="23"/>
      <c r="DT552" s="23"/>
      <c r="DU552" s="23"/>
      <c r="DV552" s="23"/>
      <c r="DW552" s="23"/>
      <c r="DX552" s="23"/>
      <c r="DY552" s="23"/>
      <c r="DZ552" s="23"/>
      <c r="EA552" s="23"/>
      <c r="EB552" s="23"/>
      <c r="EC552" s="23"/>
      <c r="ED552" s="23"/>
      <c r="EE552" s="23"/>
      <c r="EF552" s="23"/>
      <c r="EG552" s="23"/>
      <c r="EH552" s="23"/>
      <c r="EI552" s="23"/>
      <c r="EJ552" s="23"/>
      <c r="EK552" s="23"/>
      <c r="EL552" s="23"/>
      <c r="EM552" s="23"/>
      <c r="EN552" s="23"/>
      <c r="EO552" s="23"/>
      <c r="EP552" s="23"/>
      <c r="EQ552" s="23"/>
      <c r="ER552" s="23"/>
      <c r="ES552" s="23"/>
      <c r="ET552" s="23"/>
      <c r="EU552" s="23"/>
      <c r="EV552" s="23"/>
      <c r="EW552" s="23"/>
      <c r="EX552" s="23"/>
      <c r="EY552" s="23"/>
      <c r="EZ552" s="23"/>
      <c r="FA552" s="23"/>
      <c r="FB552" s="23"/>
      <c r="FC552" s="23"/>
      <c r="FD552" s="23"/>
      <c r="FE552" s="23"/>
      <c r="FF552" s="23"/>
      <c r="FG552" s="23"/>
      <c r="FH552" s="23"/>
      <c r="FI552" s="23"/>
      <c r="FJ552" s="23"/>
      <c r="FK552" s="23"/>
      <c r="FL552" s="23"/>
      <c r="FM552" s="23"/>
      <c r="FN552" s="23"/>
      <c r="FO552" s="23"/>
      <c r="FP552" s="23"/>
      <c r="FQ552" s="23"/>
      <c r="FR552" s="23"/>
      <c r="FS552" s="23"/>
      <c r="FT552" s="23"/>
      <c r="FU552" s="23"/>
      <c r="FV552" s="23"/>
      <c r="FW552" s="23"/>
      <c r="FX552" s="23"/>
      <c r="FY552" s="23"/>
      <c r="FZ552" s="23"/>
      <c r="GA552" s="23"/>
      <c r="GB552" s="23"/>
      <c r="GC552" s="23"/>
      <c r="GD552" s="23"/>
      <c r="GE552" s="23"/>
      <c r="GF552" s="23"/>
      <c r="GG552" s="23"/>
      <c r="GH552" s="23"/>
      <c r="GI552" s="23"/>
      <c r="GJ552" s="23"/>
      <c r="GK552" s="23"/>
      <c r="GL552" s="23"/>
    </row>
    <row r="553" spans="1:194" ht="13">
      <c r="A553" s="23"/>
      <c r="B553" s="23"/>
      <c r="C553" s="23"/>
      <c r="D553" s="23"/>
      <c r="E553" s="23"/>
      <c r="F553" s="23"/>
      <c r="G553" s="23"/>
      <c r="H553" s="401"/>
      <c r="I553" s="401"/>
      <c r="J553" s="401"/>
      <c r="K553" s="401"/>
      <c r="L553" s="401"/>
      <c r="M553" s="438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  <c r="AL553" s="23"/>
      <c r="AM553" s="23"/>
      <c r="AN553" s="23"/>
      <c r="AO553" s="23"/>
      <c r="AP553" s="23"/>
      <c r="AQ553" s="23"/>
      <c r="AR553" s="23"/>
      <c r="AS553" s="23"/>
      <c r="AT553" s="23"/>
      <c r="AU553" s="23"/>
      <c r="AV553" s="23"/>
      <c r="AW553" s="23"/>
      <c r="AX553" s="23"/>
      <c r="AY553" s="23"/>
      <c r="AZ553" s="23"/>
      <c r="BA553" s="23"/>
      <c r="BB553" s="23"/>
      <c r="BC553" s="23"/>
      <c r="BD553" s="23"/>
      <c r="BE553" s="23"/>
      <c r="BF553" s="23"/>
      <c r="BG553" s="23"/>
      <c r="BH553" s="23"/>
      <c r="BI553" s="23"/>
      <c r="BJ553" s="23"/>
      <c r="BK553" s="23"/>
      <c r="BL553" s="23"/>
      <c r="BM553" s="23"/>
      <c r="BN553" s="23"/>
      <c r="BO553" s="23"/>
      <c r="BP553" s="23"/>
      <c r="BQ553" s="23"/>
      <c r="BR553" s="23"/>
      <c r="BS553" s="23"/>
      <c r="BT553" s="23"/>
      <c r="BU553" s="23"/>
      <c r="BV553" s="23"/>
      <c r="BW553" s="23"/>
      <c r="BX553" s="23"/>
      <c r="BY553" s="23"/>
      <c r="BZ553" s="23"/>
      <c r="CA553" s="23"/>
      <c r="CB553" s="23"/>
      <c r="CC553" s="23"/>
      <c r="CD553" s="23"/>
      <c r="CE553" s="23"/>
      <c r="CF553" s="23"/>
      <c r="CG553" s="23"/>
      <c r="CH553" s="23"/>
      <c r="CI553" s="23"/>
      <c r="CJ553" s="23"/>
      <c r="CK553" s="23"/>
      <c r="CL553" s="23"/>
      <c r="CM553" s="23"/>
      <c r="CN553" s="23"/>
      <c r="CO553" s="23"/>
      <c r="CP553" s="23"/>
      <c r="CQ553" s="23"/>
      <c r="CR553" s="23"/>
      <c r="CS553" s="23"/>
      <c r="CT553" s="23"/>
      <c r="CU553" s="23"/>
      <c r="CV553" s="23"/>
      <c r="CW553" s="23"/>
      <c r="CX553" s="23"/>
      <c r="CY553" s="23"/>
      <c r="CZ553" s="23"/>
      <c r="DA553" s="23"/>
      <c r="DB553" s="23"/>
      <c r="DC553" s="23"/>
      <c r="DD553" s="23"/>
      <c r="DE553" s="23"/>
      <c r="DF553" s="23"/>
      <c r="DG553" s="23"/>
      <c r="DH553" s="23"/>
      <c r="DI553" s="23"/>
      <c r="DJ553" s="23"/>
      <c r="DK553" s="23"/>
      <c r="DL553" s="23"/>
      <c r="DM553" s="23"/>
      <c r="DN553" s="23"/>
      <c r="DO553" s="23"/>
      <c r="DP553" s="23"/>
      <c r="DQ553" s="23"/>
      <c r="DR553" s="23"/>
      <c r="DS553" s="23"/>
      <c r="DT553" s="23"/>
      <c r="DU553" s="23"/>
      <c r="DV553" s="23"/>
      <c r="DW553" s="23"/>
      <c r="DX553" s="23"/>
      <c r="DY553" s="23"/>
      <c r="DZ553" s="23"/>
      <c r="EA553" s="23"/>
      <c r="EB553" s="23"/>
      <c r="EC553" s="23"/>
      <c r="ED553" s="23"/>
      <c r="EE553" s="23"/>
      <c r="EF553" s="23"/>
      <c r="EG553" s="23"/>
      <c r="EH553" s="23"/>
      <c r="EI553" s="23"/>
      <c r="EJ553" s="23"/>
      <c r="EK553" s="23"/>
      <c r="EL553" s="23"/>
      <c r="EM553" s="23"/>
      <c r="EN553" s="23"/>
      <c r="EO553" s="23"/>
      <c r="EP553" s="23"/>
      <c r="EQ553" s="23"/>
      <c r="ER553" s="23"/>
      <c r="ES553" s="23"/>
      <c r="ET553" s="23"/>
      <c r="EU553" s="23"/>
      <c r="EV553" s="23"/>
      <c r="EW553" s="23"/>
      <c r="EX553" s="23"/>
      <c r="EY553" s="23"/>
      <c r="EZ553" s="23"/>
      <c r="FA553" s="23"/>
      <c r="FB553" s="23"/>
      <c r="FC553" s="23"/>
      <c r="FD553" s="23"/>
      <c r="FE553" s="23"/>
      <c r="FF553" s="23"/>
      <c r="FG553" s="23"/>
      <c r="FH553" s="23"/>
      <c r="FI553" s="23"/>
      <c r="FJ553" s="23"/>
      <c r="FK553" s="23"/>
      <c r="FL553" s="23"/>
      <c r="FM553" s="23"/>
      <c r="FN553" s="23"/>
      <c r="FO553" s="23"/>
      <c r="FP553" s="23"/>
      <c r="FQ553" s="23"/>
      <c r="FR553" s="23"/>
      <c r="FS553" s="23"/>
      <c r="FT553" s="23"/>
      <c r="FU553" s="23"/>
      <c r="FV553" s="23"/>
      <c r="FW553" s="23"/>
      <c r="FX553" s="23"/>
      <c r="FY553" s="23"/>
      <c r="FZ553" s="23"/>
      <c r="GA553" s="23"/>
      <c r="GB553" s="23"/>
      <c r="GC553" s="23"/>
      <c r="GD553" s="23"/>
      <c r="GE553" s="23"/>
      <c r="GF553" s="23"/>
      <c r="GG553" s="23"/>
      <c r="GH553" s="23"/>
      <c r="GI553" s="23"/>
      <c r="GJ553" s="23"/>
      <c r="GK553" s="23"/>
      <c r="GL553" s="23"/>
    </row>
    <row r="554" spans="1:194" ht="13">
      <c r="A554" s="23"/>
      <c r="B554" s="23"/>
      <c r="C554" s="23"/>
      <c r="D554" s="23"/>
      <c r="E554" s="23"/>
      <c r="F554" s="23"/>
      <c r="G554" s="23"/>
      <c r="H554" s="401"/>
      <c r="I554" s="401"/>
      <c r="J554" s="401"/>
      <c r="K554" s="401"/>
      <c r="L554" s="401"/>
      <c r="M554" s="438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  <c r="AL554" s="23"/>
      <c r="AM554" s="23"/>
      <c r="AN554" s="23"/>
      <c r="AO554" s="23"/>
      <c r="AP554" s="23"/>
      <c r="AQ554" s="23"/>
      <c r="AR554" s="23"/>
      <c r="AS554" s="23"/>
      <c r="AT554" s="23"/>
      <c r="AU554" s="23"/>
      <c r="AV554" s="23"/>
      <c r="AW554" s="23"/>
      <c r="AX554" s="23"/>
      <c r="AY554" s="23"/>
      <c r="AZ554" s="23"/>
      <c r="BA554" s="23"/>
      <c r="BB554" s="23"/>
      <c r="BC554" s="23"/>
      <c r="BD554" s="23"/>
      <c r="BE554" s="23"/>
      <c r="BF554" s="23"/>
      <c r="BG554" s="23"/>
      <c r="BH554" s="23"/>
      <c r="BI554" s="23"/>
      <c r="BJ554" s="23"/>
      <c r="BK554" s="23"/>
      <c r="BL554" s="23"/>
      <c r="BM554" s="23"/>
      <c r="BN554" s="23"/>
      <c r="BO554" s="23"/>
      <c r="BP554" s="23"/>
      <c r="BQ554" s="23"/>
      <c r="BR554" s="23"/>
      <c r="BS554" s="23"/>
      <c r="BT554" s="23"/>
      <c r="BU554" s="23"/>
      <c r="BV554" s="23"/>
      <c r="BW554" s="23"/>
      <c r="BX554" s="23"/>
      <c r="BY554" s="23"/>
      <c r="BZ554" s="23"/>
      <c r="CA554" s="23"/>
      <c r="CB554" s="23"/>
      <c r="CC554" s="23"/>
      <c r="CD554" s="23"/>
      <c r="CE554" s="23"/>
      <c r="CF554" s="23"/>
      <c r="CG554" s="23"/>
      <c r="CH554" s="23"/>
      <c r="CI554" s="23"/>
      <c r="CJ554" s="23"/>
      <c r="CK554" s="23"/>
      <c r="CL554" s="23"/>
      <c r="CM554" s="23"/>
      <c r="CN554" s="23"/>
      <c r="CO554" s="23"/>
      <c r="CP554" s="23"/>
      <c r="CQ554" s="23"/>
      <c r="CR554" s="23"/>
      <c r="CS554" s="23"/>
      <c r="CT554" s="23"/>
      <c r="CU554" s="23"/>
      <c r="CV554" s="23"/>
      <c r="CW554" s="23"/>
      <c r="CX554" s="23"/>
      <c r="CY554" s="23"/>
      <c r="CZ554" s="23"/>
      <c r="DA554" s="23"/>
      <c r="DB554" s="23"/>
      <c r="DC554" s="23"/>
      <c r="DD554" s="23"/>
      <c r="DE554" s="23"/>
      <c r="DF554" s="23"/>
      <c r="DG554" s="23"/>
      <c r="DH554" s="23"/>
      <c r="DI554" s="23"/>
      <c r="DJ554" s="23"/>
      <c r="DK554" s="23"/>
      <c r="DL554" s="23"/>
      <c r="DM554" s="23"/>
      <c r="DN554" s="23"/>
      <c r="DO554" s="23"/>
      <c r="DP554" s="23"/>
      <c r="DQ554" s="23"/>
      <c r="DR554" s="23"/>
      <c r="DS554" s="23"/>
      <c r="DT554" s="23"/>
      <c r="DU554" s="23"/>
      <c r="DV554" s="23"/>
      <c r="DW554" s="23"/>
      <c r="DX554" s="23"/>
      <c r="DY554" s="23"/>
      <c r="DZ554" s="23"/>
      <c r="EA554" s="23"/>
      <c r="EB554" s="23"/>
      <c r="EC554" s="23"/>
      <c r="ED554" s="23"/>
      <c r="EE554" s="23"/>
      <c r="EF554" s="23"/>
      <c r="EG554" s="23"/>
      <c r="EH554" s="23"/>
      <c r="EI554" s="23"/>
      <c r="EJ554" s="23"/>
      <c r="EK554" s="23"/>
      <c r="EL554" s="23"/>
      <c r="EM554" s="23"/>
      <c r="EN554" s="23"/>
      <c r="EO554" s="23"/>
      <c r="EP554" s="23"/>
      <c r="EQ554" s="23"/>
      <c r="ER554" s="23"/>
      <c r="ES554" s="23"/>
      <c r="ET554" s="23"/>
      <c r="EU554" s="23"/>
      <c r="EV554" s="23"/>
      <c r="EW554" s="23"/>
      <c r="EX554" s="23"/>
      <c r="EY554" s="23"/>
      <c r="EZ554" s="23"/>
      <c r="FA554" s="23"/>
      <c r="FB554" s="23"/>
      <c r="FC554" s="23"/>
      <c r="FD554" s="23"/>
      <c r="FE554" s="23"/>
      <c r="FF554" s="23"/>
      <c r="FG554" s="23"/>
      <c r="FH554" s="23"/>
      <c r="FI554" s="23"/>
      <c r="FJ554" s="23"/>
      <c r="FK554" s="23"/>
      <c r="FL554" s="23"/>
      <c r="FM554" s="23"/>
      <c r="FN554" s="23"/>
      <c r="FO554" s="23"/>
      <c r="FP554" s="23"/>
      <c r="FQ554" s="23"/>
      <c r="FR554" s="23"/>
      <c r="FS554" s="23"/>
      <c r="FT554" s="23"/>
      <c r="FU554" s="23"/>
      <c r="FV554" s="23"/>
      <c r="FW554" s="23"/>
      <c r="FX554" s="23"/>
      <c r="FY554" s="23"/>
      <c r="FZ554" s="23"/>
      <c r="GA554" s="23"/>
      <c r="GB554" s="23"/>
      <c r="GC554" s="23"/>
      <c r="GD554" s="23"/>
      <c r="GE554" s="23"/>
      <c r="GF554" s="23"/>
      <c r="GG554" s="23"/>
      <c r="GH554" s="23"/>
      <c r="GI554" s="23"/>
      <c r="GJ554" s="23"/>
      <c r="GK554" s="23"/>
      <c r="GL554" s="23"/>
    </row>
    <row r="555" spans="1:194" ht="13">
      <c r="A555" s="23"/>
      <c r="B555" s="23"/>
      <c r="C555" s="23"/>
      <c r="D555" s="23"/>
      <c r="E555" s="23"/>
      <c r="F555" s="23"/>
      <c r="G555" s="23"/>
      <c r="H555" s="401"/>
      <c r="I555" s="401"/>
      <c r="J555" s="401"/>
      <c r="K555" s="401"/>
      <c r="L555" s="401"/>
      <c r="M555" s="438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  <c r="AL555" s="23"/>
      <c r="AM555" s="23"/>
      <c r="AN555" s="23"/>
      <c r="AO555" s="23"/>
      <c r="AP555" s="23"/>
      <c r="AQ555" s="23"/>
      <c r="AR555" s="23"/>
      <c r="AS555" s="23"/>
      <c r="AT555" s="23"/>
      <c r="AU555" s="23"/>
      <c r="AV555" s="23"/>
      <c r="AW555" s="23"/>
      <c r="AX555" s="23"/>
      <c r="AY555" s="23"/>
      <c r="AZ555" s="23"/>
      <c r="BA555" s="23"/>
      <c r="BB555" s="23"/>
      <c r="BC555" s="23"/>
      <c r="BD555" s="23"/>
      <c r="BE555" s="23"/>
      <c r="BF555" s="23"/>
      <c r="BG555" s="23"/>
      <c r="BH555" s="23"/>
      <c r="BI555" s="23"/>
      <c r="BJ555" s="23"/>
      <c r="BK555" s="23"/>
      <c r="BL555" s="23"/>
      <c r="BM555" s="23"/>
      <c r="BN555" s="23"/>
      <c r="BO555" s="23"/>
      <c r="BP555" s="23"/>
      <c r="BQ555" s="23"/>
      <c r="BR555" s="23"/>
      <c r="BS555" s="23"/>
      <c r="BT555" s="23"/>
      <c r="BU555" s="23"/>
      <c r="BV555" s="23"/>
      <c r="BW555" s="23"/>
      <c r="BX555" s="23"/>
      <c r="BY555" s="23"/>
      <c r="BZ555" s="23"/>
      <c r="CA555" s="23"/>
      <c r="CB555" s="23"/>
      <c r="CC555" s="23"/>
      <c r="CD555" s="23"/>
      <c r="CE555" s="23"/>
      <c r="CF555" s="23"/>
      <c r="CG555" s="23"/>
      <c r="CH555" s="23"/>
      <c r="CI555" s="23"/>
      <c r="CJ555" s="23"/>
      <c r="CK555" s="23"/>
      <c r="CL555" s="23"/>
      <c r="CM555" s="23"/>
      <c r="CN555" s="23"/>
      <c r="CO555" s="23"/>
      <c r="CP555" s="23"/>
      <c r="CQ555" s="23"/>
      <c r="CR555" s="23"/>
      <c r="CS555" s="23"/>
      <c r="CT555" s="23"/>
      <c r="CU555" s="23"/>
      <c r="CV555" s="23"/>
      <c r="CW555" s="23"/>
      <c r="CX555" s="23"/>
      <c r="CY555" s="23"/>
      <c r="CZ555" s="23"/>
      <c r="DA555" s="23"/>
      <c r="DB555" s="23"/>
      <c r="DC555" s="23"/>
      <c r="DD555" s="23"/>
      <c r="DE555" s="23"/>
      <c r="DF555" s="23"/>
      <c r="DG555" s="23"/>
      <c r="DH555" s="23"/>
      <c r="DI555" s="23"/>
      <c r="DJ555" s="23"/>
      <c r="DK555" s="23"/>
      <c r="DL555" s="23"/>
      <c r="DM555" s="23"/>
      <c r="DN555" s="23"/>
      <c r="DO555" s="23"/>
      <c r="DP555" s="23"/>
      <c r="DQ555" s="23"/>
      <c r="DR555" s="23"/>
      <c r="DS555" s="23"/>
      <c r="DT555" s="23"/>
      <c r="DU555" s="23"/>
      <c r="DV555" s="23"/>
      <c r="DW555" s="23"/>
      <c r="DX555" s="23"/>
      <c r="DY555" s="23"/>
      <c r="DZ555" s="23"/>
      <c r="EA555" s="23"/>
      <c r="EB555" s="23"/>
      <c r="EC555" s="23"/>
      <c r="ED555" s="23"/>
      <c r="EE555" s="23"/>
      <c r="EF555" s="23"/>
      <c r="EG555" s="23"/>
      <c r="EH555" s="23"/>
      <c r="EI555" s="23"/>
      <c r="EJ555" s="23"/>
      <c r="EK555" s="23"/>
      <c r="EL555" s="23"/>
      <c r="EM555" s="23"/>
      <c r="EN555" s="23"/>
      <c r="EO555" s="23"/>
      <c r="EP555" s="23"/>
      <c r="EQ555" s="23"/>
      <c r="ER555" s="23"/>
      <c r="ES555" s="23"/>
      <c r="ET555" s="23"/>
      <c r="EU555" s="23"/>
      <c r="EV555" s="23"/>
      <c r="EW555" s="23"/>
      <c r="EX555" s="23"/>
      <c r="EY555" s="23"/>
      <c r="EZ555" s="23"/>
      <c r="FA555" s="23"/>
      <c r="FB555" s="23"/>
      <c r="FC555" s="23"/>
      <c r="FD555" s="23"/>
      <c r="FE555" s="23"/>
      <c r="FF555" s="23"/>
      <c r="FG555" s="23"/>
      <c r="FH555" s="23"/>
      <c r="FI555" s="23"/>
      <c r="FJ555" s="23"/>
      <c r="FK555" s="23"/>
      <c r="FL555" s="23"/>
      <c r="FM555" s="23"/>
      <c r="FN555" s="23"/>
      <c r="FO555" s="23"/>
      <c r="FP555" s="23"/>
      <c r="FQ555" s="23"/>
      <c r="FR555" s="23"/>
      <c r="FS555" s="23"/>
      <c r="FT555" s="23"/>
      <c r="FU555" s="23"/>
      <c r="FV555" s="23"/>
      <c r="FW555" s="23"/>
      <c r="FX555" s="23"/>
      <c r="FY555" s="23"/>
      <c r="FZ555" s="23"/>
      <c r="GA555" s="23"/>
      <c r="GB555" s="23"/>
      <c r="GC555" s="23"/>
      <c r="GD555" s="23"/>
      <c r="GE555" s="23"/>
      <c r="GF555" s="23"/>
      <c r="GG555" s="23"/>
      <c r="GH555" s="23"/>
      <c r="GI555" s="23"/>
      <c r="GJ555" s="23"/>
      <c r="GK555" s="23"/>
      <c r="GL555" s="23"/>
    </row>
    <row r="556" spans="1:194" ht="13">
      <c r="A556" s="23"/>
      <c r="B556" s="23"/>
      <c r="C556" s="23"/>
      <c r="D556" s="23"/>
      <c r="E556" s="23"/>
      <c r="F556" s="23"/>
      <c r="G556" s="23"/>
      <c r="H556" s="401"/>
      <c r="I556" s="401"/>
      <c r="J556" s="401"/>
      <c r="K556" s="401"/>
      <c r="L556" s="401"/>
      <c r="M556" s="438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  <c r="AL556" s="23"/>
      <c r="AM556" s="23"/>
      <c r="AN556" s="23"/>
      <c r="AO556" s="23"/>
      <c r="AP556" s="23"/>
      <c r="AQ556" s="23"/>
      <c r="AR556" s="23"/>
      <c r="AS556" s="23"/>
      <c r="AT556" s="23"/>
      <c r="AU556" s="23"/>
      <c r="AV556" s="23"/>
      <c r="AW556" s="23"/>
      <c r="AX556" s="23"/>
      <c r="AY556" s="23"/>
      <c r="AZ556" s="23"/>
      <c r="BA556" s="23"/>
      <c r="BB556" s="23"/>
      <c r="BC556" s="23"/>
      <c r="BD556" s="23"/>
      <c r="BE556" s="23"/>
      <c r="BF556" s="23"/>
      <c r="BG556" s="23"/>
      <c r="BH556" s="23"/>
      <c r="BI556" s="23"/>
      <c r="BJ556" s="23"/>
      <c r="BK556" s="23"/>
      <c r="BL556" s="23"/>
      <c r="BM556" s="23"/>
      <c r="BN556" s="23"/>
      <c r="BO556" s="23"/>
      <c r="BP556" s="23"/>
      <c r="BQ556" s="23"/>
      <c r="BR556" s="23"/>
      <c r="BS556" s="23"/>
      <c r="BT556" s="23"/>
      <c r="BU556" s="23"/>
      <c r="BV556" s="23"/>
      <c r="BW556" s="23"/>
      <c r="BX556" s="23"/>
      <c r="BY556" s="23"/>
      <c r="BZ556" s="23"/>
      <c r="CA556" s="23"/>
      <c r="CB556" s="23"/>
      <c r="CC556" s="23"/>
      <c r="CD556" s="23"/>
      <c r="CE556" s="23"/>
      <c r="CF556" s="23"/>
      <c r="CG556" s="23"/>
      <c r="CH556" s="23"/>
      <c r="CI556" s="23"/>
      <c r="CJ556" s="23"/>
      <c r="CK556" s="23"/>
      <c r="CL556" s="23"/>
      <c r="CM556" s="23"/>
      <c r="CN556" s="23"/>
      <c r="CO556" s="23"/>
      <c r="CP556" s="23"/>
      <c r="CQ556" s="23"/>
      <c r="CR556" s="23"/>
      <c r="CS556" s="23"/>
      <c r="CT556" s="23"/>
      <c r="CU556" s="23"/>
      <c r="CV556" s="23"/>
      <c r="CW556" s="23"/>
      <c r="CX556" s="23"/>
      <c r="CY556" s="23"/>
      <c r="CZ556" s="23"/>
      <c r="DA556" s="23"/>
      <c r="DB556" s="23"/>
      <c r="DC556" s="23"/>
      <c r="DD556" s="23"/>
      <c r="DE556" s="23"/>
      <c r="DF556" s="23"/>
      <c r="DG556" s="23"/>
      <c r="DH556" s="23"/>
      <c r="DI556" s="23"/>
      <c r="DJ556" s="23"/>
      <c r="DK556" s="23"/>
      <c r="DL556" s="23"/>
      <c r="DM556" s="23"/>
      <c r="DN556" s="23"/>
      <c r="DO556" s="23"/>
      <c r="DP556" s="23"/>
      <c r="DQ556" s="23"/>
      <c r="DR556" s="23"/>
      <c r="DS556" s="23"/>
      <c r="DT556" s="23"/>
      <c r="DU556" s="23"/>
      <c r="DV556" s="23"/>
      <c r="DW556" s="23"/>
      <c r="DX556" s="23"/>
      <c r="DY556" s="23"/>
      <c r="DZ556" s="23"/>
      <c r="EA556" s="23"/>
      <c r="EB556" s="23"/>
      <c r="EC556" s="23"/>
      <c r="ED556" s="23"/>
      <c r="EE556" s="23"/>
      <c r="EF556" s="23"/>
      <c r="EG556" s="23"/>
      <c r="EH556" s="23"/>
      <c r="EI556" s="23"/>
      <c r="EJ556" s="23"/>
      <c r="EK556" s="23"/>
      <c r="EL556" s="23"/>
      <c r="EM556" s="23"/>
      <c r="EN556" s="23"/>
      <c r="EO556" s="23"/>
      <c r="EP556" s="23"/>
      <c r="EQ556" s="23"/>
      <c r="ER556" s="23"/>
      <c r="ES556" s="23"/>
      <c r="ET556" s="23"/>
      <c r="EU556" s="23"/>
      <c r="EV556" s="23"/>
      <c r="EW556" s="23"/>
      <c r="EX556" s="23"/>
      <c r="EY556" s="23"/>
      <c r="EZ556" s="23"/>
      <c r="FA556" s="23"/>
      <c r="FB556" s="23"/>
      <c r="FC556" s="23"/>
      <c r="FD556" s="23"/>
      <c r="FE556" s="23"/>
      <c r="FF556" s="23"/>
      <c r="FG556" s="23"/>
      <c r="FH556" s="23"/>
      <c r="FI556" s="23"/>
      <c r="FJ556" s="23"/>
      <c r="FK556" s="23"/>
      <c r="FL556" s="23"/>
      <c r="FM556" s="23"/>
      <c r="FN556" s="23"/>
      <c r="FO556" s="23"/>
      <c r="FP556" s="23"/>
      <c r="FQ556" s="23"/>
      <c r="FR556" s="23"/>
      <c r="FS556" s="23"/>
      <c r="FT556" s="23"/>
      <c r="FU556" s="23"/>
      <c r="FV556" s="23"/>
      <c r="FW556" s="23"/>
      <c r="FX556" s="23"/>
      <c r="FY556" s="23"/>
      <c r="FZ556" s="23"/>
      <c r="GA556" s="23"/>
      <c r="GB556" s="23"/>
      <c r="GC556" s="23"/>
      <c r="GD556" s="23"/>
      <c r="GE556" s="23"/>
      <c r="GF556" s="23"/>
      <c r="GG556" s="23"/>
      <c r="GH556" s="23"/>
      <c r="GI556" s="23"/>
      <c r="GJ556" s="23"/>
      <c r="GK556" s="23"/>
      <c r="GL556" s="23"/>
    </row>
    <row r="557" spans="1:194" ht="13">
      <c r="A557" s="23"/>
      <c r="B557" s="23"/>
      <c r="C557" s="23"/>
      <c r="D557" s="23"/>
      <c r="E557" s="23"/>
      <c r="F557" s="23"/>
      <c r="G557" s="23"/>
      <c r="H557" s="401"/>
      <c r="I557" s="401"/>
      <c r="J557" s="401"/>
      <c r="K557" s="401"/>
      <c r="L557" s="401"/>
      <c r="M557" s="438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  <c r="AL557" s="23"/>
      <c r="AM557" s="23"/>
      <c r="AN557" s="23"/>
      <c r="AO557" s="23"/>
      <c r="AP557" s="23"/>
      <c r="AQ557" s="23"/>
      <c r="AR557" s="23"/>
      <c r="AS557" s="23"/>
      <c r="AT557" s="23"/>
      <c r="AU557" s="23"/>
      <c r="AV557" s="23"/>
      <c r="AW557" s="23"/>
      <c r="AX557" s="23"/>
      <c r="AY557" s="23"/>
      <c r="AZ557" s="23"/>
      <c r="BA557" s="23"/>
      <c r="BB557" s="23"/>
      <c r="BC557" s="23"/>
      <c r="BD557" s="23"/>
      <c r="BE557" s="23"/>
      <c r="BF557" s="23"/>
      <c r="BG557" s="23"/>
      <c r="BH557" s="23"/>
      <c r="BI557" s="23"/>
      <c r="BJ557" s="23"/>
      <c r="BK557" s="23"/>
      <c r="BL557" s="23"/>
      <c r="BM557" s="23"/>
      <c r="BN557" s="23"/>
      <c r="BO557" s="23"/>
      <c r="BP557" s="23"/>
      <c r="BQ557" s="23"/>
      <c r="BR557" s="23"/>
      <c r="BS557" s="23"/>
      <c r="BT557" s="23"/>
      <c r="BU557" s="23"/>
      <c r="BV557" s="23"/>
      <c r="BW557" s="23"/>
      <c r="BX557" s="23"/>
      <c r="BY557" s="23"/>
      <c r="BZ557" s="23"/>
      <c r="CA557" s="23"/>
      <c r="CB557" s="23"/>
      <c r="CC557" s="23"/>
      <c r="CD557" s="23"/>
      <c r="CE557" s="23"/>
      <c r="CF557" s="23"/>
      <c r="CG557" s="23"/>
      <c r="CH557" s="23"/>
      <c r="CI557" s="23"/>
      <c r="CJ557" s="23"/>
      <c r="CK557" s="23"/>
      <c r="CL557" s="23"/>
      <c r="CM557" s="23"/>
      <c r="CN557" s="23"/>
      <c r="CO557" s="23"/>
      <c r="CP557" s="23"/>
      <c r="CQ557" s="23"/>
      <c r="CR557" s="23"/>
      <c r="CS557" s="23"/>
      <c r="CT557" s="23"/>
      <c r="CU557" s="23"/>
      <c r="CV557" s="23"/>
      <c r="CW557" s="23"/>
      <c r="CX557" s="23"/>
      <c r="CY557" s="23"/>
      <c r="CZ557" s="23"/>
      <c r="DA557" s="23"/>
      <c r="DB557" s="23"/>
      <c r="DC557" s="23"/>
      <c r="DD557" s="23"/>
      <c r="DE557" s="23"/>
      <c r="DF557" s="23"/>
      <c r="DG557" s="23"/>
      <c r="DH557" s="23"/>
      <c r="DI557" s="23"/>
      <c r="DJ557" s="23"/>
      <c r="DK557" s="23"/>
      <c r="DL557" s="23"/>
      <c r="DM557" s="23"/>
      <c r="DN557" s="23"/>
      <c r="DO557" s="23"/>
      <c r="DP557" s="23"/>
      <c r="DQ557" s="23"/>
      <c r="DR557" s="23"/>
      <c r="DS557" s="23"/>
      <c r="DT557" s="23"/>
      <c r="DU557" s="23"/>
      <c r="DV557" s="23"/>
      <c r="DW557" s="23"/>
      <c r="DX557" s="23"/>
      <c r="DY557" s="23"/>
      <c r="DZ557" s="23"/>
      <c r="EA557" s="23"/>
      <c r="EB557" s="23"/>
      <c r="EC557" s="23"/>
      <c r="ED557" s="23"/>
      <c r="EE557" s="23"/>
      <c r="EF557" s="23"/>
      <c r="EG557" s="23"/>
      <c r="EH557" s="23"/>
      <c r="EI557" s="23"/>
      <c r="EJ557" s="23"/>
      <c r="EK557" s="23"/>
      <c r="EL557" s="23"/>
      <c r="EM557" s="23"/>
      <c r="EN557" s="23"/>
      <c r="EO557" s="23"/>
      <c r="EP557" s="23"/>
      <c r="EQ557" s="23"/>
      <c r="ER557" s="23"/>
      <c r="ES557" s="23"/>
      <c r="ET557" s="23"/>
      <c r="EU557" s="23"/>
      <c r="EV557" s="23"/>
      <c r="EW557" s="23"/>
      <c r="EX557" s="23"/>
      <c r="EY557" s="23"/>
      <c r="EZ557" s="23"/>
      <c r="FA557" s="23"/>
      <c r="FB557" s="23"/>
      <c r="FC557" s="23"/>
      <c r="FD557" s="23"/>
      <c r="FE557" s="23"/>
      <c r="FF557" s="23"/>
      <c r="FG557" s="23"/>
      <c r="FH557" s="23"/>
      <c r="FI557" s="23"/>
      <c r="FJ557" s="23"/>
      <c r="FK557" s="23"/>
      <c r="FL557" s="23"/>
      <c r="FM557" s="23"/>
      <c r="FN557" s="23"/>
      <c r="FO557" s="23"/>
      <c r="FP557" s="23"/>
      <c r="FQ557" s="23"/>
      <c r="FR557" s="23"/>
      <c r="FS557" s="23"/>
      <c r="FT557" s="23"/>
      <c r="FU557" s="23"/>
      <c r="FV557" s="23"/>
      <c r="FW557" s="23"/>
      <c r="FX557" s="23"/>
      <c r="FY557" s="23"/>
      <c r="FZ557" s="23"/>
      <c r="GA557" s="23"/>
      <c r="GB557" s="23"/>
      <c r="GC557" s="23"/>
      <c r="GD557" s="23"/>
      <c r="GE557" s="23"/>
      <c r="GF557" s="23"/>
      <c r="GG557" s="23"/>
      <c r="GH557" s="23"/>
      <c r="GI557" s="23"/>
      <c r="GJ557" s="23"/>
      <c r="GK557" s="23"/>
      <c r="GL557" s="23"/>
    </row>
    <row r="558" spans="1:194" ht="13">
      <c r="A558" s="23"/>
      <c r="B558" s="23"/>
      <c r="C558" s="23"/>
      <c r="D558" s="23"/>
      <c r="E558" s="23"/>
      <c r="F558" s="23"/>
      <c r="G558" s="23"/>
      <c r="H558" s="401"/>
      <c r="I558" s="401"/>
      <c r="J558" s="401"/>
      <c r="K558" s="401"/>
      <c r="L558" s="401"/>
      <c r="M558" s="438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  <c r="AL558" s="23"/>
      <c r="AM558" s="23"/>
      <c r="AN558" s="23"/>
      <c r="AO558" s="23"/>
      <c r="AP558" s="23"/>
      <c r="AQ558" s="23"/>
      <c r="AR558" s="23"/>
      <c r="AS558" s="23"/>
      <c r="AT558" s="23"/>
      <c r="AU558" s="23"/>
      <c r="AV558" s="23"/>
      <c r="AW558" s="23"/>
      <c r="AX558" s="23"/>
      <c r="AY558" s="23"/>
      <c r="AZ558" s="23"/>
      <c r="BA558" s="23"/>
      <c r="BB558" s="23"/>
      <c r="BC558" s="23"/>
      <c r="BD558" s="23"/>
      <c r="BE558" s="23"/>
      <c r="BF558" s="23"/>
      <c r="BG558" s="23"/>
      <c r="BH558" s="23"/>
      <c r="BI558" s="23"/>
      <c r="BJ558" s="23"/>
      <c r="BK558" s="23"/>
      <c r="BL558" s="23"/>
      <c r="BM558" s="23"/>
      <c r="BN558" s="23"/>
      <c r="BO558" s="23"/>
      <c r="BP558" s="23"/>
      <c r="BQ558" s="23"/>
      <c r="BR558" s="23"/>
      <c r="BS558" s="23"/>
      <c r="BT558" s="23"/>
      <c r="BU558" s="23"/>
      <c r="BV558" s="23"/>
      <c r="BW558" s="23"/>
      <c r="BX558" s="23"/>
      <c r="BY558" s="23"/>
      <c r="BZ558" s="23"/>
      <c r="CA558" s="23"/>
      <c r="CB558" s="23"/>
      <c r="CC558" s="23"/>
      <c r="CD558" s="23"/>
      <c r="CE558" s="23"/>
      <c r="CF558" s="23"/>
      <c r="CG558" s="23"/>
      <c r="CH558" s="23"/>
      <c r="CI558" s="23"/>
      <c r="CJ558" s="23"/>
      <c r="CK558" s="23"/>
      <c r="CL558" s="23"/>
      <c r="CM558" s="23"/>
      <c r="CN558" s="23"/>
      <c r="CO558" s="23"/>
      <c r="CP558" s="23"/>
      <c r="CQ558" s="23"/>
      <c r="CR558" s="23"/>
      <c r="CS558" s="23"/>
      <c r="CT558" s="23"/>
      <c r="CU558" s="23"/>
      <c r="CV558" s="23"/>
      <c r="CW558" s="23"/>
      <c r="CX558" s="23"/>
      <c r="CY558" s="23"/>
      <c r="CZ558" s="23"/>
      <c r="DA558" s="23"/>
      <c r="DB558" s="23"/>
      <c r="DC558" s="23"/>
      <c r="DD558" s="23"/>
      <c r="DE558" s="23"/>
      <c r="DF558" s="23"/>
      <c r="DG558" s="23"/>
      <c r="DH558" s="23"/>
      <c r="DI558" s="23"/>
      <c r="DJ558" s="23"/>
      <c r="DK558" s="23"/>
      <c r="DL558" s="23"/>
      <c r="DM558" s="23"/>
      <c r="DN558" s="23"/>
      <c r="DO558" s="23"/>
      <c r="DP558" s="23"/>
      <c r="DQ558" s="23"/>
      <c r="DR558" s="23"/>
      <c r="DS558" s="23"/>
      <c r="DT558" s="23"/>
      <c r="DU558" s="23"/>
      <c r="DV558" s="23"/>
      <c r="DW558" s="23"/>
      <c r="DX558" s="23"/>
      <c r="DY558" s="23"/>
      <c r="DZ558" s="23"/>
      <c r="EA558" s="23"/>
      <c r="EB558" s="23"/>
      <c r="EC558" s="23"/>
      <c r="ED558" s="23"/>
      <c r="EE558" s="23"/>
      <c r="EF558" s="23"/>
      <c r="EG558" s="23"/>
      <c r="EH558" s="23"/>
      <c r="EI558" s="23"/>
      <c r="EJ558" s="23"/>
      <c r="EK558" s="23"/>
      <c r="EL558" s="23"/>
      <c r="EM558" s="23"/>
      <c r="EN558" s="23"/>
      <c r="EO558" s="23"/>
      <c r="EP558" s="23"/>
      <c r="EQ558" s="23"/>
      <c r="ER558" s="23"/>
      <c r="ES558" s="23"/>
      <c r="ET558" s="23"/>
      <c r="EU558" s="23"/>
      <c r="EV558" s="23"/>
      <c r="EW558" s="23"/>
      <c r="EX558" s="23"/>
      <c r="EY558" s="23"/>
      <c r="EZ558" s="23"/>
      <c r="FA558" s="23"/>
      <c r="FB558" s="23"/>
      <c r="FC558" s="23"/>
      <c r="FD558" s="23"/>
      <c r="FE558" s="23"/>
      <c r="FF558" s="23"/>
      <c r="FG558" s="23"/>
      <c r="FH558" s="23"/>
      <c r="FI558" s="23"/>
      <c r="FJ558" s="23"/>
      <c r="FK558" s="23"/>
      <c r="FL558" s="23"/>
      <c r="FM558" s="23"/>
      <c r="FN558" s="23"/>
      <c r="FO558" s="23"/>
      <c r="FP558" s="23"/>
      <c r="FQ558" s="23"/>
      <c r="FR558" s="23"/>
      <c r="FS558" s="23"/>
      <c r="FT558" s="23"/>
      <c r="FU558" s="23"/>
      <c r="FV558" s="23"/>
      <c r="FW558" s="23"/>
      <c r="FX558" s="23"/>
      <c r="FY558" s="23"/>
      <c r="FZ558" s="23"/>
      <c r="GA558" s="23"/>
      <c r="GB558" s="23"/>
      <c r="GC558" s="23"/>
      <c r="GD558" s="23"/>
      <c r="GE558" s="23"/>
      <c r="GF558" s="23"/>
      <c r="GG558" s="23"/>
      <c r="GH558" s="23"/>
      <c r="GI558" s="23"/>
      <c r="GJ558" s="23"/>
      <c r="GK558" s="23"/>
      <c r="GL558" s="23"/>
    </row>
    <row r="559" spans="1:194" ht="13">
      <c r="A559" s="23"/>
      <c r="B559" s="23"/>
      <c r="C559" s="23"/>
      <c r="D559" s="23"/>
      <c r="E559" s="23"/>
      <c r="F559" s="23"/>
      <c r="G559" s="23"/>
      <c r="H559" s="401"/>
      <c r="I559" s="401"/>
      <c r="J559" s="401"/>
      <c r="K559" s="401"/>
      <c r="L559" s="401"/>
      <c r="M559" s="438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  <c r="AL559" s="23"/>
      <c r="AM559" s="23"/>
      <c r="AN559" s="23"/>
      <c r="AO559" s="23"/>
      <c r="AP559" s="23"/>
      <c r="AQ559" s="23"/>
      <c r="AR559" s="23"/>
      <c r="AS559" s="23"/>
      <c r="AT559" s="23"/>
      <c r="AU559" s="23"/>
      <c r="AV559" s="23"/>
      <c r="AW559" s="23"/>
      <c r="AX559" s="23"/>
      <c r="AY559" s="23"/>
      <c r="AZ559" s="23"/>
      <c r="BA559" s="23"/>
      <c r="BB559" s="23"/>
      <c r="BC559" s="23"/>
      <c r="BD559" s="23"/>
      <c r="BE559" s="23"/>
      <c r="BF559" s="23"/>
      <c r="BG559" s="23"/>
      <c r="BH559" s="23"/>
      <c r="BI559" s="23"/>
      <c r="BJ559" s="23"/>
      <c r="BK559" s="23"/>
      <c r="BL559" s="23"/>
      <c r="BM559" s="23"/>
      <c r="BN559" s="23"/>
      <c r="BO559" s="23"/>
      <c r="BP559" s="23"/>
      <c r="BQ559" s="23"/>
      <c r="BR559" s="23"/>
      <c r="BS559" s="23"/>
      <c r="BT559" s="23"/>
      <c r="BU559" s="23"/>
      <c r="BV559" s="23"/>
      <c r="BW559" s="23"/>
      <c r="BX559" s="23"/>
      <c r="BY559" s="23"/>
      <c r="BZ559" s="23"/>
      <c r="CA559" s="23"/>
      <c r="CB559" s="23"/>
      <c r="CC559" s="23"/>
      <c r="CD559" s="23"/>
      <c r="CE559" s="23"/>
      <c r="CF559" s="23"/>
      <c r="CG559" s="23"/>
      <c r="CH559" s="23"/>
      <c r="CI559" s="23"/>
      <c r="CJ559" s="23"/>
      <c r="CK559" s="23"/>
      <c r="CL559" s="23"/>
      <c r="CM559" s="23"/>
      <c r="CN559" s="23"/>
      <c r="CO559" s="23"/>
      <c r="CP559" s="23"/>
      <c r="CQ559" s="23"/>
      <c r="CR559" s="23"/>
      <c r="CS559" s="23"/>
      <c r="CT559" s="23"/>
      <c r="CU559" s="23"/>
      <c r="CV559" s="23"/>
      <c r="CW559" s="23"/>
      <c r="CX559" s="23"/>
      <c r="CY559" s="23"/>
      <c r="CZ559" s="23"/>
      <c r="DA559" s="23"/>
      <c r="DB559" s="23"/>
      <c r="DC559" s="23"/>
      <c r="DD559" s="23"/>
      <c r="DE559" s="23"/>
      <c r="DF559" s="23"/>
      <c r="DG559" s="23"/>
      <c r="DH559" s="23"/>
      <c r="DI559" s="23"/>
      <c r="DJ559" s="23"/>
      <c r="DK559" s="23"/>
      <c r="DL559" s="23"/>
      <c r="DM559" s="23"/>
      <c r="DN559" s="23"/>
      <c r="DO559" s="23"/>
      <c r="DP559" s="23"/>
      <c r="DQ559" s="23"/>
      <c r="DR559" s="23"/>
      <c r="DS559" s="23"/>
      <c r="DT559" s="23"/>
      <c r="DU559" s="23"/>
      <c r="DV559" s="23"/>
      <c r="DW559" s="23"/>
      <c r="DX559" s="23"/>
      <c r="DY559" s="23"/>
      <c r="DZ559" s="23"/>
      <c r="EA559" s="23"/>
      <c r="EB559" s="23"/>
      <c r="EC559" s="23"/>
      <c r="ED559" s="23"/>
      <c r="EE559" s="23"/>
      <c r="EF559" s="23"/>
      <c r="EG559" s="23"/>
      <c r="EH559" s="23"/>
      <c r="EI559" s="23"/>
      <c r="EJ559" s="23"/>
      <c r="EK559" s="23"/>
      <c r="EL559" s="23"/>
      <c r="EM559" s="23"/>
      <c r="EN559" s="23"/>
      <c r="EO559" s="23"/>
      <c r="EP559" s="23"/>
      <c r="EQ559" s="23"/>
      <c r="ER559" s="23"/>
      <c r="ES559" s="23"/>
      <c r="ET559" s="23"/>
      <c r="EU559" s="23"/>
      <c r="EV559" s="23"/>
      <c r="EW559" s="23"/>
      <c r="EX559" s="23"/>
      <c r="EY559" s="23"/>
      <c r="EZ559" s="23"/>
      <c r="FA559" s="23"/>
      <c r="FB559" s="23"/>
      <c r="FC559" s="23"/>
      <c r="FD559" s="23"/>
      <c r="FE559" s="23"/>
      <c r="FF559" s="23"/>
      <c r="FG559" s="23"/>
      <c r="FH559" s="23"/>
      <c r="FI559" s="23"/>
      <c r="FJ559" s="23"/>
      <c r="FK559" s="23"/>
      <c r="FL559" s="23"/>
      <c r="FM559" s="23"/>
      <c r="FN559" s="23"/>
      <c r="FO559" s="23"/>
      <c r="FP559" s="23"/>
      <c r="FQ559" s="23"/>
      <c r="FR559" s="23"/>
      <c r="FS559" s="23"/>
      <c r="FT559" s="23"/>
      <c r="FU559" s="23"/>
      <c r="FV559" s="23"/>
      <c r="FW559" s="23"/>
      <c r="FX559" s="23"/>
      <c r="FY559" s="23"/>
      <c r="FZ559" s="23"/>
      <c r="GA559" s="23"/>
      <c r="GB559" s="23"/>
      <c r="GC559" s="23"/>
      <c r="GD559" s="23"/>
      <c r="GE559" s="23"/>
      <c r="GF559" s="23"/>
      <c r="GG559" s="23"/>
      <c r="GH559" s="23"/>
      <c r="GI559" s="23"/>
      <c r="GJ559" s="23"/>
      <c r="GK559" s="23"/>
      <c r="GL559" s="23"/>
    </row>
    <row r="560" spans="1:194" ht="13">
      <c r="A560" s="23"/>
      <c r="B560" s="23"/>
      <c r="C560" s="23"/>
      <c r="D560" s="23"/>
      <c r="E560" s="23"/>
      <c r="F560" s="23"/>
      <c r="G560" s="23"/>
      <c r="H560" s="401"/>
      <c r="I560" s="401"/>
      <c r="J560" s="401"/>
      <c r="K560" s="401"/>
      <c r="L560" s="401"/>
      <c r="M560" s="438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  <c r="AL560" s="23"/>
      <c r="AM560" s="23"/>
      <c r="AN560" s="23"/>
      <c r="AO560" s="23"/>
      <c r="AP560" s="23"/>
      <c r="AQ560" s="23"/>
      <c r="AR560" s="23"/>
      <c r="AS560" s="23"/>
      <c r="AT560" s="23"/>
      <c r="AU560" s="23"/>
      <c r="AV560" s="23"/>
      <c r="AW560" s="23"/>
      <c r="AX560" s="23"/>
      <c r="AY560" s="23"/>
      <c r="AZ560" s="23"/>
      <c r="BA560" s="23"/>
      <c r="BB560" s="23"/>
      <c r="BC560" s="23"/>
      <c r="BD560" s="23"/>
      <c r="BE560" s="23"/>
      <c r="BF560" s="23"/>
      <c r="BG560" s="23"/>
      <c r="BH560" s="23"/>
      <c r="BI560" s="23"/>
      <c r="BJ560" s="23"/>
      <c r="BK560" s="23"/>
      <c r="BL560" s="23"/>
      <c r="BM560" s="23"/>
      <c r="BN560" s="23"/>
      <c r="BO560" s="23"/>
      <c r="BP560" s="23"/>
      <c r="BQ560" s="23"/>
      <c r="BR560" s="23"/>
      <c r="BS560" s="23"/>
      <c r="BT560" s="23"/>
      <c r="BU560" s="23"/>
      <c r="BV560" s="23"/>
      <c r="BW560" s="23"/>
      <c r="BX560" s="23"/>
      <c r="BY560" s="23"/>
      <c r="BZ560" s="23"/>
      <c r="CA560" s="23"/>
      <c r="CB560" s="23"/>
      <c r="CC560" s="23"/>
      <c r="CD560" s="23"/>
      <c r="CE560" s="23"/>
      <c r="CF560" s="23"/>
      <c r="CG560" s="23"/>
      <c r="CH560" s="23"/>
      <c r="CI560" s="23"/>
      <c r="CJ560" s="23"/>
      <c r="CK560" s="23"/>
      <c r="CL560" s="23"/>
      <c r="CM560" s="23"/>
      <c r="CN560" s="23"/>
      <c r="CO560" s="23"/>
      <c r="CP560" s="23"/>
      <c r="CQ560" s="23"/>
      <c r="CR560" s="23"/>
      <c r="CS560" s="23"/>
      <c r="CT560" s="23"/>
      <c r="CU560" s="23"/>
      <c r="CV560" s="23"/>
      <c r="CW560" s="23"/>
      <c r="CX560" s="23"/>
      <c r="CY560" s="23"/>
      <c r="CZ560" s="23"/>
      <c r="DA560" s="23"/>
      <c r="DB560" s="23"/>
      <c r="DC560" s="23"/>
      <c r="DD560" s="23"/>
      <c r="DE560" s="23"/>
      <c r="DF560" s="23"/>
      <c r="DG560" s="23"/>
      <c r="DH560" s="23"/>
      <c r="DI560" s="23"/>
      <c r="DJ560" s="23"/>
      <c r="DK560" s="23"/>
      <c r="DL560" s="23"/>
      <c r="DM560" s="23"/>
      <c r="DN560" s="23"/>
      <c r="DO560" s="23"/>
      <c r="DP560" s="23"/>
      <c r="DQ560" s="23"/>
      <c r="DR560" s="23"/>
      <c r="DS560" s="23"/>
      <c r="DT560" s="23"/>
      <c r="DU560" s="23"/>
      <c r="DV560" s="23"/>
      <c r="DW560" s="23"/>
      <c r="DX560" s="23"/>
      <c r="DY560" s="23"/>
      <c r="DZ560" s="23"/>
      <c r="EA560" s="23"/>
      <c r="EB560" s="23"/>
      <c r="EC560" s="23"/>
      <c r="ED560" s="23"/>
      <c r="EE560" s="23"/>
      <c r="EF560" s="23"/>
      <c r="EG560" s="23"/>
      <c r="EH560" s="23"/>
      <c r="EI560" s="23"/>
      <c r="EJ560" s="23"/>
      <c r="EK560" s="23"/>
      <c r="EL560" s="23"/>
      <c r="EM560" s="23"/>
      <c r="EN560" s="23"/>
      <c r="EO560" s="23"/>
      <c r="EP560" s="23"/>
      <c r="EQ560" s="23"/>
      <c r="ER560" s="23"/>
      <c r="ES560" s="23"/>
      <c r="ET560" s="23"/>
      <c r="EU560" s="23"/>
      <c r="EV560" s="23"/>
      <c r="EW560" s="23"/>
      <c r="EX560" s="23"/>
      <c r="EY560" s="23"/>
      <c r="EZ560" s="23"/>
      <c r="FA560" s="23"/>
      <c r="FB560" s="23"/>
      <c r="FC560" s="23"/>
      <c r="FD560" s="23"/>
      <c r="FE560" s="23"/>
      <c r="FF560" s="23"/>
      <c r="FG560" s="23"/>
      <c r="FH560" s="23"/>
      <c r="FI560" s="23"/>
      <c r="FJ560" s="23"/>
      <c r="FK560" s="23"/>
      <c r="FL560" s="23"/>
      <c r="FM560" s="23"/>
      <c r="FN560" s="23"/>
      <c r="FO560" s="23"/>
      <c r="FP560" s="23"/>
      <c r="FQ560" s="23"/>
      <c r="FR560" s="23"/>
      <c r="FS560" s="23"/>
      <c r="FT560" s="23"/>
      <c r="FU560" s="23"/>
      <c r="FV560" s="23"/>
      <c r="FW560" s="23"/>
      <c r="FX560" s="23"/>
      <c r="FY560" s="23"/>
      <c r="FZ560" s="23"/>
      <c r="GA560" s="23"/>
      <c r="GB560" s="23"/>
      <c r="GC560" s="23"/>
      <c r="GD560" s="23"/>
      <c r="GE560" s="23"/>
      <c r="GF560" s="23"/>
      <c r="GG560" s="23"/>
      <c r="GH560" s="23"/>
      <c r="GI560" s="23"/>
      <c r="GJ560" s="23"/>
      <c r="GK560" s="23"/>
      <c r="GL560" s="23"/>
    </row>
    <row r="561" spans="1:194" ht="13">
      <c r="A561" s="23"/>
      <c r="B561" s="23"/>
      <c r="C561" s="23"/>
      <c r="D561" s="23"/>
      <c r="E561" s="23"/>
      <c r="F561" s="23"/>
      <c r="G561" s="23"/>
      <c r="H561" s="401"/>
      <c r="I561" s="401"/>
      <c r="J561" s="401"/>
      <c r="K561" s="401"/>
      <c r="L561" s="401"/>
      <c r="M561" s="438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  <c r="AL561" s="23"/>
      <c r="AM561" s="23"/>
      <c r="AN561" s="23"/>
      <c r="AO561" s="23"/>
      <c r="AP561" s="23"/>
      <c r="AQ561" s="23"/>
      <c r="AR561" s="23"/>
      <c r="AS561" s="23"/>
      <c r="AT561" s="23"/>
      <c r="AU561" s="23"/>
      <c r="AV561" s="23"/>
      <c r="AW561" s="23"/>
      <c r="AX561" s="23"/>
      <c r="AY561" s="23"/>
      <c r="AZ561" s="23"/>
      <c r="BA561" s="23"/>
      <c r="BB561" s="23"/>
      <c r="BC561" s="23"/>
      <c r="BD561" s="23"/>
      <c r="BE561" s="23"/>
      <c r="BF561" s="23"/>
      <c r="BG561" s="23"/>
      <c r="BH561" s="23"/>
      <c r="BI561" s="23"/>
      <c r="BJ561" s="23"/>
      <c r="BK561" s="23"/>
      <c r="BL561" s="23"/>
      <c r="BM561" s="23"/>
      <c r="BN561" s="23"/>
      <c r="BO561" s="23"/>
      <c r="BP561" s="23"/>
      <c r="BQ561" s="23"/>
      <c r="BR561" s="23"/>
      <c r="BS561" s="23"/>
      <c r="BT561" s="23"/>
      <c r="BU561" s="23"/>
      <c r="BV561" s="23"/>
      <c r="BW561" s="23"/>
      <c r="BX561" s="23"/>
      <c r="BY561" s="23"/>
      <c r="BZ561" s="23"/>
      <c r="CA561" s="23"/>
      <c r="CB561" s="23"/>
      <c r="CC561" s="23"/>
      <c r="CD561" s="23"/>
      <c r="CE561" s="23"/>
      <c r="CF561" s="23"/>
      <c r="CG561" s="23"/>
      <c r="CH561" s="23"/>
      <c r="CI561" s="23"/>
      <c r="CJ561" s="23"/>
      <c r="CK561" s="23"/>
      <c r="CL561" s="23"/>
      <c r="CM561" s="23"/>
      <c r="CN561" s="23"/>
      <c r="CO561" s="23"/>
      <c r="CP561" s="23"/>
      <c r="CQ561" s="23"/>
      <c r="CR561" s="23"/>
      <c r="CS561" s="23"/>
      <c r="CT561" s="23"/>
      <c r="CU561" s="23"/>
      <c r="CV561" s="23"/>
      <c r="CW561" s="23"/>
      <c r="CX561" s="23"/>
      <c r="CY561" s="23"/>
      <c r="CZ561" s="23"/>
      <c r="DA561" s="23"/>
      <c r="DB561" s="23"/>
      <c r="DC561" s="23"/>
      <c r="DD561" s="23"/>
      <c r="DE561" s="23"/>
      <c r="DF561" s="23"/>
      <c r="DG561" s="23"/>
      <c r="DH561" s="23"/>
      <c r="DI561" s="23"/>
      <c r="DJ561" s="23"/>
      <c r="DK561" s="23"/>
      <c r="DL561" s="23"/>
      <c r="DM561" s="23"/>
      <c r="DN561" s="23"/>
      <c r="DO561" s="23"/>
      <c r="DP561" s="23"/>
      <c r="DQ561" s="23"/>
      <c r="DR561" s="23"/>
      <c r="DS561" s="23"/>
      <c r="DT561" s="23"/>
      <c r="DU561" s="23"/>
      <c r="DV561" s="23"/>
      <c r="DW561" s="23"/>
      <c r="DX561" s="23"/>
      <c r="DY561" s="23"/>
      <c r="DZ561" s="23"/>
      <c r="EA561" s="23"/>
      <c r="EB561" s="23"/>
      <c r="EC561" s="23"/>
      <c r="ED561" s="23"/>
      <c r="EE561" s="23"/>
      <c r="EF561" s="23"/>
      <c r="EG561" s="23"/>
      <c r="EH561" s="23"/>
      <c r="EI561" s="23"/>
      <c r="EJ561" s="23"/>
      <c r="EK561" s="23"/>
      <c r="EL561" s="23"/>
      <c r="EM561" s="23"/>
      <c r="EN561" s="23"/>
      <c r="EO561" s="23"/>
      <c r="EP561" s="23"/>
      <c r="EQ561" s="23"/>
      <c r="ER561" s="23"/>
      <c r="ES561" s="23"/>
      <c r="ET561" s="23"/>
      <c r="EU561" s="23"/>
      <c r="EV561" s="23"/>
      <c r="EW561" s="23"/>
      <c r="EX561" s="23"/>
      <c r="EY561" s="23"/>
      <c r="EZ561" s="23"/>
      <c r="FA561" s="23"/>
      <c r="FB561" s="23"/>
      <c r="FC561" s="23"/>
      <c r="FD561" s="23"/>
      <c r="FE561" s="23"/>
      <c r="FF561" s="23"/>
      <c r="FG561" s="23"/>
      <c r="FH561" s="23"/>
      <c r="FI561" s="23"/>
      <c r="FJ561" s="23"/>
      <c r="FK561" s="23"/>
      <c r="FL561" s="23"/>
      <c r="FM561" s="23"/>
      <c r="FN561" s="23"/>
      <c r="FO561" s="23"/>
      <c r="FP561" s="23"/>
      <c r="FQ561" s="23"/>
      <c r="FR561" s="23"/>
      <c r="FS561" s="23"/>
      <c r="FT561" s="23"/>
      <c r="FU561" s="23"/>
      <c r="FV561" s="23"/>
      <c r="FW561" s="23"/>
      <c r="FX561" s="23"/>
      <c r="FY561" s="23"/>
      <c r="FZ561" s="23"/>
      <c r="GA561" s="23"/>
      <c r="GB561" s="23"/>
      <c r="GC561" s="23"/>
      <c r="GD561" s="23"/>
      <c r="GE561" s="23"/>
      <c r="GF561" s="23"/>
      <c r="GG561" s="23"/>
      <c r="GH561" s="23"/>
      <c r="GI561" s="23"/>
      <c r="GJ561" s="23"/>
      <c r="GK561" s="23"/>
      <c r="GL561" s="23"/>
    </row>
    <row r="562" spans="1:194" ht="13">
      <c r="A562" s="23"/>
      <c r="B562" s="23"/>
      <c r="C562" s="23"/>
      <c r="D562" s="23"/>
      <c r="E562" s="23"/>
      <c r="F562" s="23"/>
      <c r="G562" s="23"/>
      <c r="H562" s="401"/>
      <c r="I562" s="401"/>
      <c r="J562" s="401"/>
      <c r="K562" s="401"/>
      <c r="L562" s="401"/>
      <c r="M562" s="438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  <c r="AL562" s="23"/>
      <c r="AM562" s="23"/>
      <c r="AN562" s="23"/>
      <c r="AO562" s="23"/>
      <c r="AP562" s="23"/>
      <c r="AQ562" s="23"/>
      <c r="AR562" s="23"/>
      <c r="AS562" s="23"/>
      <c r="AT562" s="23"/>
      <c r="AU562" s="23"/>
      <c r="AV562" s="23"/>
      <c r="AW562" s="23"/>
      <c r="AX562" s="23"/>
      <c r="AY562" s="23"/>
      <c r="AZ562" s="23"/>
      <c r="BA562" s="23"/>
      <c r="BB562" s="23"/>
      <c r="BC562" s="23"/>
      <c r="BD562" s="23"/>
      <c r="BE562" s="23"/>
      <c r="BF562" s="23"/>
      <c r="BG562" s="23"/>
      <c r="BH562" s="23"/>
      <c r="BI562" s="23"/>
      <c r="BJ562" s="23"/>
      <c r="BK562" s="23"/>
      <c r="BL562" s="23"/>
      <c r="BM562" s="23"/>
      <c r="BN562" s="23"/>
      <c r="BO562" s="23"/>
      <c r="BP562" s="23"/>
      <c r="BQ562" s="23"/>
      <c r="BR562" s="23"/>
      <c r="BS562" s="23"/>
      <c r="BT562" s="23"/>
      <c r="BU562" s="23"/>
      <c r="BV562" s="23"/>
      <c r="BW562" s="23"/>
      <c r="BX562" s="23"/>
      <c r="BY562" s="23"/>
      <c r="BZ562" s="23"/>
      <c r="CA562" s="23"/>
      <c r="CB562" s="23"/>
      <c r="CC562" s="23"/>
      <c r="CD562" s="23"/>
      <c r="CE562" s="23"/>
      <c r="CF562" s="23"/>
      <c r="CG562" s="23"/>
      <c r="CH562" s="23"/>
      <c r="CI562" s="23"/>
      <c r="CJ562" s="23"/>
      <c r="CK562" s="23"/>
      <c r="CL562" s="23"/>
      <c r="CM562" s="23"/>
      <c r="CN562" s="23"/>
      <c r="CO562" s="23"/>
      <c r="CP562" s="23"/>
      <c r="CQ562" s="23"/>
      <c r="CR562" s="23"/>
      <c r="CS562" s="23"/>
      <c r="CT562" s="23"/>
      <c r="CU562" s="23"/>
      <c r="CV562" s="23"/>
      <c r="CW562" s="23"/>
      <c r="CX562" s="23"/>
      <c r="CY562" s="23"/>
      <c r="CZ562" s="23"/>
      <c r="DA562" s="23"/>
      <c r="DB562" s="23"/>
      <c r="DC562" s="23"/>
      <c r="DD562" s="23"/>
      <c r="DE562" s="23"/>
      <c r="DF562" s="23"/>
      <c r="DG562" s="23"/>
      <c r="DH562" s="23"/>
      <c r="DI562" s="23"/>
      <c r="DJ562" s="23"/>
      <c r="DK562" s="23"/>
      <c r="DL562" s="23"/>
      <c r="DM562" s="23"/>
      <c r="DN562" s="23"/>
      <c r="DO562" s="23"/>
      <c r="DP562" s="23"/>
      <c r="DQ562" s="23"/>
      <c r="DR562" s="23"/>
      <c r="DS562" s="23"/>
      <c r="DT562" s="23"/>
      <c r="DU562" s="23"/>
      <c r="DV562" s="23"/>
      <c r="DW562" s="23"/>
      <c r="DX562" s="23"/>
      <c r="DY562" s="23"/>
      <c r="DZ562" s="23"/>
      <c r="EA562" s="23"/>
      <c r="EB562" s="23"/>
      <c r="EC562" s="23"/>
      <c r="ED562" s="23"/>
      <c r="EE562" s="23"/>
      <c r="EF562" s="23"/>
      <c r="EG562" s="23"/>
      <c r="EH562" s="23"/>
      <c r="EI562" s="23"/>
      <c r="EJ562" s="23"/>
      <c r="EK562" s="23"/>
      <c r="EL562" s="23"/>
      <c r="EM562" s="23"/>
      <c r="EN562" s="23"/>
      <c r="EO562" s="23"/>
      <c r="EP562" s="23"/>
      <c r="EQ562" s="23"/>
      <c r="ER562" s="23"/>
      <c r="ES562" s="23"/>
      <c r="ET562" s="23"/>
      <c r="EU562" s="23"/>
      <c r="EV562" s="23"/>
      <c r="EW562" s="23"/>
      <c r="EX562" s="23"/>
      <c r="EY562" s="23"/>
      <c r="EZ562" s="23"/>
      <c r="FA562" s="23"/>
      <c r="FB562" s="23"/>
      <c r="FC562" s="23"/>
      <c r="FD562" s="23"/>
      <c r="FE562" s="23"/>
      <c r="FF562" s="23"/>
      <c r="FG562" s="23"/>
      <c r="FH562" s="23"/>
      <c r="FI562" s="23"/>
      <c r="FJ562" s="23"/>
      <c r="FK562" s="23"/>
      <c r="FL562" s="23"/>
      <c r="FM562" s="23"/>
      <c r="FN562" s="23"/>
      <c r="FO562" s="23"/>
      <c r="FP562" s="23"/>
      <c r="FQ562" s="23"/>
      <c r="FR562" s="23"/>
      <c r="FS562" s="23"/>
      <c r="FT562" s="23"/>
      <c r="FU562" s="23"/>
      <c r="FV562" s="23"/>
      <c r="FW562" s="23"/>
      <c r="FX562" s="23"/>
      <c r="FY562" s="23"/>
      <c r="FZ562" s="23"/>
      <c r="GA562" s="23"/>
      <c r="GB562" s="23"/>
      <c r="GC562" s="23"/>
      <c r="GD562" s="23"/>
      <c r="GE562" s="23"/>
      <c r="GF562" s="23"/>
      <c r="GG562" s="23"/>
      <c r="GH562" s="23"/>
      <c r="GI562" s="23"/>
      <c r="GJ562" s="23"/>
      <c r="GK562" s="23"/>
      <c r="GL562" s="23"/>
    </row>
    <row r="563" spans="1:194" ht="13">
      <c r="A563" s="23"/>
      <c r="B563" s="23"/>
      <c r="C563" s="23"/>
      <c r="D563" s="23"/>
      <c r="E563" s="23"/>
      <c r="F563" s="23"/>
      <c r="G563" s="23"/>
      <c r="H563" s="401"/>
      <c r="I563" s="401"/>
      <c r="J563" s="401"/>
      <c r="K563" s="401"/>
      <c r="L563" s="401"/>
      <c r="M563" s="438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  <c r="AL563" s="23"/>
      <c r="AM563" s="23"/>
      <c r="AN563" s="23"/>
      <c r="AO563" s="23"/>
      <c r="AP563" s="23"/>
      <c r="AQ563" s="23"/>
      <c r="AR563" s="23"/>
      <c r="AS563" s="23"/>
      <c r="AT563" s="23"/>
      <c r="AU563" s="23"/>
      <c r="AV563" s="23"/>
      <c r="AW563" s="23"/>
      <c r="AX563" s="23"/>
      <c r="AY563" s="23"/>
      <c r="AZ563" s="23"/>
      <c r="BA563" s="23"/>
      <c r="BB563" s="23"/>
      <c r="BC563" s="23"/>
      <c r="BD563" s="23"/>
      <c r="BE563" s="23"/>
      <c r="BF563" s="23"/>
      <c r="BG563" s="23"/>
      <c r="BH563" s="23"/>
      <c r="BI563" s="23"/>
      <c r="BJ563" s="23"/>
      <c r="BK563" s="23"/>
      <c r="BL563" s="23"/>
      <c r="BM563" s="23"/>
      <c r="BN563" s="23"/>
      <c r="BO563" s="23"/>
      <c r="BP563" s="23"/>
      <c r="BQ563" s="23"/>
      <c r="BR563" s="23"/>
      <c r="BS563" s="23"/>
      <c r="BT563" s="23"/>
      <c r="BU563" s="23"/>
      <c r="BV563" s="23"/>
      <c r="BW563" s="23"/>
      <c r="BX563" s="23"/>
      <c r="BY563" s="23"/>
      <c r="BZ563" s="23"/>
      <c r="CA563" s="23"/>
      <c r="CB563" s="23"/>
      <c r="CC563" s="23"/>
      <c r="CD563" s="23"/>
      <c r="CE563" s="23"/>
      <c r="CF563" s="23"/>
      <c r="CG563" s="23"/>
      <c r="CH563" s="23"/>
      <c r="CI563" s="23"/>
      <c r="CJ563" s="23"/>
      <c r="CK563" s="23"/>
      <c r="CL563" s="23"/>
      <c r="CM563" s="23"/>
      <c r="CN563" s="23"/>
      <c r="CO563" s="23"/>
      <c r="CP563" s="23"/>
      <c r="CQ563" s="23"/>
      <c r="CR563" s="23"/>
      <c r="CS563" s="23"/>
      <c r="CT563" s="23"/>
      <c r="CU563" s="23"/>
      <c r="CV563" s="23"/>
      <c r="CW563" s="23"/>
      <c r="CX563" s="23"/>
      <c r="CY563" s="23"/>
      <c r="CZ563" s="23"/>
      <c r="DA563" s="23"/>
      <c r="DB563" s="23"/>
      <c r="DC563" s="23"/>
      <c r="DD563" s="23"/>
      <c r="DE563" s="23"/>
      <c r="DF563" s="23"/>
      <c r="DG563" s="23"/>
      <c r="DH563" s="23"/>
      <c r="DI563" s="23"/>
      <c r="DJ563" s="23"/>
      <c r="DK563" s="23"/>
      <c r="DL563" s="23"/>
      <c r="DM563" s="23"/>
      <c r="DN563" s="23"/>
      <c r="DO563" s="23"/>
      <c r="DP563" s="23"/>
      <c r="DQ563" s="23"/>
      <c r="DR563" s="23"/>
      <c r="DS563" s="23"/>
      <c r="DT563" s="23"/>
      <c r="DU563" s="23"/>
      <c r="DV563" s="23"/>
      <c r="DW563" s="23"/>
      <c r="DX563" s="23"/>
      <c r="DY563" s="23"/>
      <c r="DZ563" s="23"/>
      <c r="EA563" s="23"/>
      <c r="EB563" s="23"/>
      <c r="EC563" s="23"/>
      <c r="ED563" s="23"/>
      <c r="EE563" s="23"/>
      <c r="EF563" s="23"/>
      <c r="EG563" s="23"/>
      <c r="EH563" s="23"/>
      <c r="EI563" s="23"/>
      <c r="EJ563" s="23"/>
      <c r="EK563" s="23"/>
      <c r="EL563" s="23"/>
      <c r="EM563" s="23"/>
      <c r="EN563" s="23"/>
      <c r="EO563" s="23"/>
      <c r="EP563" s="23"/>
      <c r="EQ563" s="23"/>
      <c r="ER563" s="23"/>
      <c r="ES563" s="23"/>
      <c r="ET563" s="23"/>
      <c r="EU563" s="23"/>
      <c r="EV563" s="23"/>
      <c r="EW563" s="23"/>
      <c r="EX563" s="23"/>
      <c r="EY563" s="23"/>
      <c r="EZ563" s="23"/>
      <c r="FA563" s="23"/>
      <c r="FB563" s="23"/>
      <c r="FC563" s="23"/>
      <c r="FD563" s="23"/>
      <c r="FE563" s="23"/>
      <c r="FF563" s="23"/>
      <c r="FG563" s="23"/>
      <c r="FH563" s="23"/>
      <c r="FI563" s="23"/>
      <c r="FJ563" s="23"/>
      <c r="FK563" s="23"/>
      <c r="FL563" s="23"/>
      <c r="FM563" s="23"/>
      <c r="FN563" s="23"/>
      <c r="FO563" s="23"/>
      <c r="FP563" s="23"/>
      <c r="FQ563" s="23"/>
      <c r="FR563" s="23"/>
      <c r="FS563" s="23"/>
      <c r="FT563" s="23"/>
      <c r="FU563" s="23"/>
      <c r="FV563" s="23"/>
      <c r="FW563" s="23"/>
      <c r="FX563" s="23"/>
      <c r="FY563" s="23"/>
      <c r="FZ563" s="23"/>
      <c r="GA563" s="23"/>
      <c r="GB563" s="23"/>
      <c r="GC563" s="23"/>
      <c r="GD563" s="23"/>
      <c r="GE563" s="23"/>
      <c r="GF563" s="23"/>
      <c r="GG563" s="23"/>
      <c r="GH563" s="23"/>
      <c r="GI563" s="23"/>
      <c r="GJ563" s="23"/>
      <c r="GK563" s="23"/>
      <c r="GL563" s="23"/>
    </row>
    <row r="564" spans="1:194" ht="13">
      <c r="A564" s="23"/>
      <c r="B564" s="23"/>
      <c r="C564" s="23"/>
      <c r="D564" s="23"/>
      <c r="E564" s="23"/>
      <c r="F564" s="23"/>
      <c r="G564" s="23"/>
      <c r="H564" s="401"/>
      <c r="I564" s="401"/>
      <c r="J564" s="401"/>
      <c r="K564" s="401"/>
      <c r="L564" s="401"/>
      <c r="M564" s="438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  <c r="AL564" s="23"/>
      <c r="AM564" s="23"/>
      <c r="AN564" s="23"/>
      <c r="AO564" s="23"/>
      <c r="AP564" s="23"/>
      <c r="AQ564" s="23"/>
      <c r="AR564" s="23"/>
      <c r="AS564" s="23"/>
      <c r="AT564" s="23"/>
      <c r="AU564" s="23"/>
      <c r="AV564" s="23"/>
      <c r="AW564" s="23"/>
      <c r="AX564" s="23"/>
      <c r="AY564" s="23"/>
      <c r="AZ564" s="23"/>
      <c r="BA564" s="23"/>
      <c r="BB564" s="23"/>
      <c r="BC564" s="23"/>
      <c r="BD564" s="23"/>
      <c r="BE564" s="23"/>
      <c r="BF564" s="23"/>
      <c r="BG564" s="23"/>
      <c r="BH564" s="23"/>
      <c r="BI564" s="23"/>
      <c r="BJ564" s="23"/>
      <c r="BK564" s="23"/>
      <c r="BL564" s="23"/>
      <c r="BM564" s="23"/>
      <c r="BN564" s="23"/>
      <c r="BO564" s="23"/>
      <c r="BP564" s="23"/>
      <c r="BQ564" s="23"/>
      <c r="BR564" s="23"/>
      <c r="BS564" s="23"/>
      <c r="BT564" s="23"/>
      <c r="BU564" s="23"/>
      <c r="BV564" s="23"/>
      <c r="BW564" s="23"/>
      <c r="BX564" s="23"/>
      <c r="BY564" s="23"/>
      <c r="BZ564" s="23"/>
      <c r="CA564" s="23"/>
      <c r="CB564" s="23"/>
      <c r="CC564" s="23"/>
      <c r="CD564" s="23"/>
      <c r="CE564" s="23"/>
      <c r="CF564" s="23"/>
      <c r="CG564" s="23"/>
      <c r="CH564" s="23"/>
      <c r="CI564" s="23"/>
      <c r="CJ564" s="23"/>
      <c r="CK564" s="23"/>
      <c r="CL564" s="23"/>
      <c r="CM564" s="23"/>
      <c r="CN564" s="23"/>
      <c r="CO564" s="23"/>
      <c r="CP564" s="23"/>
      <c r="CQ564" s="23"/>
      <c r="CR564" s="23"/>
      <c r="CS564" s="23"/>
      <c r="CT564" s="23"/>
      <c r="CU564" s="23"/>
      <c r="CV564" s="23"/>
      <c r="CW564" s="23"/>
      <c r="CX564" s="23"/>
      <c r="CY564" s="23"/>
      <c r="CZ564" s="23"/>
      <c r="DA564" s="23"/>
      <c r="DB564" s="23"/>
      <c r="DC564" s="23"/>
      <c r="DD564" s="23"/>
      <c r="DE564" s="23"/>
      <c r="DF564" s="23"/>
      <c r="DG564" s="23"/>
      <c r="DH564" s="23"/>
      <c r="DI564" s="23"/>
      <c r="DJ564" s="23"/>
      <c r="DK564" s="23"/>
      <c r="DL564" s="23"/>
      <c r="DM564" s="23"/>
      <c r="DN564" s="23"/>
      <c r="DO564" s="23"/>
      <c r="DP564" s="23"/>
      <c r="DQ564" s="23"/>
      <c r="DR564" s="23"/>
      <c r="DS564" s="23"/>
      <c r="DT564" s="23"/>
      <c r="DU564" s="23"/>
      <c r="DV564" s="23"/>
      <c r="DW564" s="23"/>
      <c r="DX564" s="23"/>
      <c r="DY564" s="23"/>
      <c r="DZ564" s="23"/>
      <c r="EA564" s="23"/>
      <c r="EB564" s="23"/>
      <c r="EC564" s="23"/>
      <c r="ED564" s="23"/>
      <c r="EE564" s="23"/>
      <c r="EF564" s="23"/>
      <c r="EG564" s="23"/>
      <c r="EH564" s="23"/>
      <c r="EI564" s="23"/>
      <c r="EJ564" s="23"/>
      <c r="EK564" s="23"/>
      <c r="EL564" s="23"/>
      <c r="EM564" s="23"/>
      <c r="EN564" s="23"/>
      <c r="EO564" s="23"/>
      <c r="EP564" s="23"/>
      <c r="EQ564" s="23"/>
      <c r="ER564" s="23"/>
      <c r="ES564" s="23"/>
      <c r="ET564" s="23"/>
      <c r="EU564" s="23"/>
      <c r="EV564" s="23"/>
      <c r="EW564" s="23"/>
      <c r="EX564" s="23"/>
      <c r="EY564" s="23"/>
      <c r="EZ564" s="23"/>
      <c r="FA564" s="23"/>
      <c r="FB564" s="23"/>
      <c r="FC564" s="23"/>
      <c r="FD564" s="23"/>
      <c r="FE564" s="23"/>
      <c r="FF564" s="23"/>
      <c r="FG564" s="23"/>
      <c r="FH564" s="23"/>
      <c r="FI564" s="23"/>
      <c r="FJ564" s="23"/>
      <c r="FK564" s="23"/>
      <c r="FL564" s="23"/>
      <c r="FM564" s="23"/>
      <c r="FN564" s="23"/>
      <c r="FO564" s="23"/>
      <c r="FP564" s="23"/>
      <c r="FQ564" s="23"/>
      <c r="FR564" s="23"/>
      <c r="FS564" s="23"/>
      <c r="FT564" s="23"/>
      <c r="FU564" s="23"/>
      <c r="FV564" s="23"/>
      <c r="FW564" s="23"/>
      <c r="FX564" s="23"/>
      <c r="FY564" s="23"/>
      <c r="FZ564" s="23"/>
      <c r="GA564" s="23"/>
      <c r="GB564" s="23"/>
      <c r="GC564" s="23"/>
      <c r="GD564" s="23"/>
      <c r="GE564" s="23"/>
      <c r="GF564" s="23"/>
      <c r="GG564" s="23"/>
      <c r="GH564" s="23"/>
      <c r="GI564" s="23"/>
      <c r="GJ564" s="23"/>
      <c r="GK564" s="23"/>
      <c r="GL564" s="23"/>
    </row>
    <row r="565" spans="1:194" ht="13">
      <c r="A565" s="23"/>
      <c r="B565" s="23"/>
      <c r="C565" s="23"/>
      <c r="D565" s="23"/>
      <c r="E565" s="23"/>
      <c r="F565" s="23"/>
      <c r="G565" s="23"/>
      <c r="H565" s="401"/>
      <c r="I565" s="401"/>
      <c r="J565" s="401"/>
      <c r="K565" s="401"/>
      <c r="L565" s="401"/>
      <c r="M565" s="438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  <c r="AL565" s="23"/>
      <c r="AM565" s="23"/>
      <c r="AN565" s="23"/>
      <c r="AO565" s="23"/>
      <c r="AP565" s="23"/>
      <c r="AQ565" s="23"/>
      <c r="AR565" s="23"/>
      <c r="AS565" s="23"/>
      <c r="AT565" s="23"/>
      <c r="AU565" s="23"/>
      <c r="AV565" s="23"/>
      <c r="AW565" s="23"/>
      <c r="AX565" s="23"/>
      <c r="AY565" s="23"/>
      <c r="AZ565" s="23"/>
      <c r="BA565" s="23"/>
      <c r="BB565" s="23"/>
      <c r="BC565" s="23"/>
      <c r="BD565" s="23"/>
      <c r="BE565" s="23"/>
      <c r="BF565" s="23"/>
      <c r="BG565" s="23"/>
      <c r="BH565" s="23"/>
      <c r="BI565" s="23"/>
      <c r="BJ565" s="23"/>
      <c r="BK565" s="23"/>
      <c r="BL565" s="23"/>
      <c r="BM565" s="23"/>
      <c r="BN565" s="23"/>
      <c r="BO565" s="23"/>
      <c r="BP565" s="23"/>
      <c r="BQ565" s="23"/>
      <c r="BR565" s="23"/>
      <c r="BS565" s="23"/>
      <c r="BT565" s="23"/>
      <c r="BU565" s="23"/>
      <c r="BV565" s="23"/>
      <c r="BW565" s="23"/>
      <c r="BX565" s="23"/>
      <c r="BY565" s="23"/>
      <c r="BZ565" s="23"/>
      <c r="CA565" s="23"/>
      <c r="CB565" s="23"/>
      <c r="CC565" s="23"/>
      <c r="CD565" s="23"/>
      <c r="CE565" s="23"/>
      <c r="CF565" s="23"/>
      <c r="CG565" s="23"/>
      <c r="CH565" s="23"/>
      <c r="CI565" s="23"/>
      <c r="CJ565" s="23"/>
      <c r="CK565" s="23"/>
      <c r="CL565" s="23"/>
      <c r="CM565" s="23"/>
      <c r="CN565" s="23"/>
      <c r="CO565" s="23"/>
      <c r="CP565" s="23"/>
      <c r="CQ565" s="23"/>
      <c r="CR565" s="23"/>
      <c r="CS565" s="23"/>
      <c r="CT565" s="23"/>
      <c r="CU565" s="23"/>
      <c r="CV565" s="23"/>
      <c r="CW565" s="23"/>
      <c r="CX565" s="23"/>
      <c r="CY565" s="23"/>
      <c r="CZ565" s="23"/>
      <c r="DA565" s="23"/>
      <c r="DB565" s="23"/>
      <c r="DC565" s="23"/>
      <c r="DD565" s="23"/>
      <c r="DE565" s="23"/>
      <c r="DF565" s="23"/>
      <c r="DG565" s="23"/>
      <c r="DH565" s="23"/>
      <c r="DI565" s="23"/>
      <c r="DJ565" s="23"/>
      <c r="DK565" s="23"/>
      <c r="DL565" s="23"/>
      <c r="DM565" s="23"/>
      <c r="DN565" s="23"/>
      <c r="DO565" s="23"/>
      <c r="DP565" s="23"/>
      <c r="DQ565" s="23"/>
      <c r="DR565" s="23"/>
      <c r="DS565" s="23"/>
      <c r="DT565" s="23"/>
      <c r="DU565" s="23"/>
      <c r="DV565" s="23"/>
      <c r="DW565" s="23"/>
      <c r="DX565" s="23"/>
      <c r="DY565" s="23"/>
      <c r="DZ565" s="23"/>
      <c r="EA565" s="23"/>
      <c r="EB565" s="23"/>
      <c r="EC565" s="23"/>
      <c r="ED565" s="23"/>
      <c r="EE565" s="23"/>
      <c r="EF565" s="23"/>
      <c r="EG565" s="23"/>
      <c r="EH565" s="23"/>
      <c r="EI565" s="23"/>
      <c r="EJ565" s="23"/>
      <c r="EK565" s="23"/>
      <c r="EL565" s="23"/>
      <c r="EM565" s="23"/>
      <c r="EN565" s="23"/>
      <c r="EO565" s="23"/>
      <c r="EP565" s="23"/>
      <c r="EQ565" s="23"/>
      <c r="ER565" s="23"/>
      <c r="ES565" s="23"/>
      <c r="ET565" s="23"/>
      <c r="EU565" s="23"/>
      <c r="EV565" s="23"/>
      <c r="EW565" s="23"/>
      <c r="EX565" s="23"/>
      <c r="EY565" s="23"/>
      <c r="EZ565" s="23"/>
      <c r="FA565" s="23"/>
      <c r="FB565" s="23"/>
      <c r="FC565" s="23"/>
      <c r="FD565" s="23"/>
      <c r="FE565" s="23"/>
      <c r="FF565" s="23"/>
      <c r="FG565" s="23"/>
      <c r="FH565" s="23"/>
      <c r="FI565" s="23"/>
      <c r="FJ565" s="23"/>
      <c r="FK565" s="23"/>
      <c r="FL565" s="23"/>
      <c r="FM565" s="23"/>
      <c r="FN565" s="23"/>
      <c r="FO565" s="23"/>
      <c r="FP565" s="23"/>
      <c r="FQ565" s="23"/>
      <c r="FR565" s="23"/>
      <c r="FS565" s="23"/>
      <c r="FT565" s="23"/>
      <c r="FU565" s="23"/>
      <c r="FV565" s="23"/>
      <c r="FW565" s="23"/>
      <c r="FX565" s="23"/>
      <c r="FY565" s="23"/>
      <c r="FZ565" s="23"/>
      <c r="GA565" s="23"/>
      <c r="GB565" s="23"/>
      <c r="GC565" s="23"/>
      <c r="GD565" s="23"/>
      <c r="GE565" s="23"/>
      <c r="GF565" s="23"/>
      <c r="GG565" s="23"/>
      <c r="GH565" s="23"/>
      <c r="GI565" s="23"/>
      <c r="GJ565" s="23"/>
      <c r="GK565" s="23"/>
      <c r="GL565" s="23"/>
    </row>
    <row r="566" spans="1:194" ht="13">
      <c r="A566" s="23"/>
      <c r="B566" s="23"/>
      <c r="C566" s="23"/>
      <c r="D566" s="23"/>
      <c r="E566" s="23"/>
      <c r="F566" s="23"/>
      <c r="G566" s="23"/>
      <c r="H566" s="401"/>
      <c r="I566" s="401"/>
      <c r="J566" s="401"/>
      <c r="K566" s="401"/>
      <c r="L566" s="401"/>
      <c r="M566" s="438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  <c r="AL566" s="23"/>
      <c r="AM566" s="23"/>
      <c r="AN566" s="23"/>
      <c r="AO566" s="23"/>
      <c r="AP566" s="23"/>
      <c r="AQ566" s="23"/>
      <c r="AR566" s="23"/>
      <c r="AS566" s="23"/>
      <c r="AT566" s="23"/>
      <c r="AU566" s="23"/>
      <c r="AV566" s="23"/>
      <c r="AW566" s="23"/>
      <c r="AX566" s="23"/>
      <c r="AY566" s="23"/>
      <c r="AZ566" s="23"/>
      <c r="BA566" s="23"/>
      <c r="BB566" s="23"/>
      <c r="BC566" s="23"/>
      <c r="BD566" s="23"/>
      <c r="BE566" s="23"/>
      <c r="BF566" s="23"/>
      <c r="BG566" s="23"/>
      <c r="BH566" s="23"/>
      <c r="BI566" s="23"/>
      <c r="BJ566" s="23"/>
      <c r="BK566" s="23"/>
      <c r="BL566" s="23"/>
      <c r="BM566" s="23"/>
      <c r="BN566" s="23"/>
      <c r="BO566" s="23"/>
      <c r="BP566" s="23"/>
      <c r="BQ566" s="23"/>
      <c r="BR566" s="23"/>
      <c r="BS566" s="23"/>
      <c r="BT566" s="23"/>
      <c r="BU566" s="23"/>
      <c r="BV566" s="23"/>
      <c r="BW566" s="23"/>
      <c r="BX566" s="23"/>
      <c r="BY566" s="23"/>
      <c r="BZ566" s="23"/>
      <c r="CA566" s="23"/>
      <c r="CB566" s="23"/>
      <c r="CC566" s="23"/>
      <c r="CD566" s="23"/>
      <c r="CE566" s="23"/>
      <c r="CF566" s="23"/>
      <c r="CG566" s="23"/>
      <c r="CH566" s="23"/>
      <c r="CI566" s="23"/>
      <c r="CJ566" s="23"/>
      <c r="CK566" s="23"/>
      <c r="CL566" s="23"/>
      <c r="CM566" s="23"/>
      <c r="CN566" s="23"/>
      <c r="CO566" s="23"/>
      <c r="CP566" s="23"/>
      <c r="CQ566" s="23"/>
      <c r="CR566" s="23"/>
      <c r="CS566" s="23"/>
      <c r="CT566" s="23"/>
      <c r="CU566" s="23"/>
      <c r="CV566" s="23"/>
      <c r="CW566" s="23"/>
      <c r="CX566" s="23"/>
      <c r="CY566" s="23"/>
      <c r="CZ566" s="23"/>
      <c r="DA566" s="23"/>
      <c r="DB566" s="23"/>
      <c r="DC566" s="23"/>
      <c r="DD566" s="23"/>
      <c r="DE566" s="23"/>
      <c r="DF566" s="23"/>
      <c r="DG566" s="23"/>
      <c r="DH566" s="23"/>
      <c r="DI566" s="23"/>
      <c r="DJ566" s="23"/>
      <c r="DK566" s="23"/>
      <c r="DL566" s="23"/>
      <c r="DM566" s="23"/>
      <c r="DN566" s="23"/>
      <c r="DO566" s="23"/>
      <c r="DP566" s="23"/>
      <c r="DQ566" s="23"/>
      <c r="DR566" s="23"/>
      <c r="DS566" s="23"/>
      <c r="DT566" s="23"/>
      <c r="DU566" s="23"/>
      <c r="DV566" s="23"/>
      <c r="DW566" s="23"/>
      <c r="DX566" s="23"/>
      <c r="DY566" s="23"/>
      <c r="DZ566" s="23"/>
      <c r="EA566" s="23"/>
      <c r="EB566" s="23"/>
      <c r="EC566" s="23"/>
      <c r="ED566" s="23"/>
      <c r="EE566" s="23"/>
      <c r="EF566" s="23"/>
      <c r="EG566" s="23"/>
      <c r="EH566" s="23"/>
      <c r="EI566" s="23"/>
      <c r="EJ566" s="23"/>
      <c r="EK566" s="23"/>
      <c r="EL566" s="23"/>
      <c r="EM566" s="23"/>
      <c r="EN566" s="23"/>
      <c r="EO566" s="23"/>
      <c r="EP566" s="23"/>
      <c r="EQ566" s="23"/>
      <c r="ER566" s="23"/>
      <c r="ES566" s="23"/>
      <c r="ET566" s="23"/>
      <c r="EU566" s="23"/>
      <c r="EV566" s="23"/>
      <c r="EW566" s="23"/>
      <c r="EX566" s="23"/>
      <c r="EY566" s="23"/>
      <c r="EZ566" s="23"/>
      <c r="FA566" s="23"/>
      <c r="FB566" s="23"/>
      <c r="FC566" s="23"/>
      <c r="FD566" s="23"/>
      <c r="FE566" s="23"/>
      <c r="FF566" s="23"/>
      <c r="FG566" s="23"/>
      <c r="FH566" s="23"/>
      <c r="FI566" s="23"/>
      <c r="FJ566" s="23"/>
      <c r="FK566" s="23"/>
      <c r="FL566" s="23"/>
      <c r="FM566" s="23"/>
      <c r="FN566" s="23"/>
      <c r="FO566" s="23"/>
      <c r="FP566" s="23"/>
      <c r="FQ566" s="23"/>
      <c r="FR566" s="23"/>
      <c r="FS566" s="23"/>
      <c r="FT566" s="23"/>
      <c r="FU566" s="23"/>
      <c r="FV566" s="23"/>
      <c r="FW566" s="23"/>
      <c r="FX566" s="23"/>
      <c r="FY566" s="23"/>
      <c r="FZ566" s="23"/>
      <c r="GA566" s="23"/>
      <c r="GB566" s="23"/>
      <c r="GC566" s="23"/>
      <c r="GD566" s="23"/>
      <c r="GE566" s="23"/>
      <c r="GF566" s="23"/>
      <c r="GG566" s="23"/>
      <c r="GH566" s="23"/>
      <c r="GI566" s="23"/>
      <c r="GJ566" s="23"/>
      <c r="GK566" s="23"/>
      <c r="GL566" s="23"/>
    </row>
    <row r="567" spans="1:194" ht="13">
      <c r="A567" s="23"/>
      <c r="B567" s="23"/>
      <c r="C567" s="23"/>
      <c r="D567" s="23"/>
      <c r="E567" s="23"/>
      <c r="F567" s="23"/>
      <c r="G567" s="23"/>
      <c r="H567" s="401"/>
      <c r="I567" s="401"/>
      <c r="J567" s="401"/>
      <c r="K567" s="401"/>
      <c r="L567" s="401"/>
      <c r="M567" s="438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  <c r="AL567" s="23"/>
      <c r="AM567" s="23"/>
      <c r="AN567" s="23"/>
      <c r="AO567" s="23"/>
      <c r="AP567" s="23"/>
      <c r="AQ567" s="23"/>
      <c r="AR567" s="23"/>
      <c r="AS567" s="23"/>
      <c r="AT567" s="23"/>
      <c r="AU567" s="23"/>
      <c r="AV567" s="23"/>
      <c r="AW567" s="23"/>
      <c r="AX567" s="23"/>
      <c r="AY567" s="23"/>
      <c r="AZ567" s="23"/>
      <c r="BA567" s="23"/>
      <c r="BB567" s="23"/>
      <c r="BC567" s="23"/>
      <c r="BD567" s="23"/>
      <c r="BE567" s="23"/>
      <c r="BF567" s="23"/>
      <c r="BG567" s="23"/>
      <c r="BH567" s="23"/>
      <c r="BI567" s="23"/>
      <c r="BJ567" s="23"/>
      <c r="BK567" s="23"/>
      <c r="BL567" s="23"/>
      <c r="BM567" s="23"/>
      <c r="BN567" s="23"/>
      <c r="BO567" s="23"/>
      <c r="BP567" s="23"/>
      <c r="BQ567" s="23"/>
      <c r="BR567" s="23"/>
      <c r="BS567" s="23"/>
      <c r="BT567" s="23"/>
      <c r="BU567" s="23"/>
      <c r="BV567" s="23"/>
      <c r="BW567" s="23"/>
      <c r="BX567" s="23"/>
      <c r="BY567" s="23"/>
      <c r="BZ567" s="23"/>
      <c r="CA567" s="23"/>
      <c r="CB567" s="23"/>
      <c r="CC567" s="23"/>
      <c r="CD567" s="23"/>
      <c r="CE567" s="23"/>
      <c r="CF567" s="23"/>
      <c r="CG567" s="23"/>
      <c r="CH567" s="23"/>
      <c r="CI567" s="23"/>
      <c r="CJ567" s="23"/>
      <c r="CK567" s="23"/>
      <c r="CL567" s="23"/>
      <c r="CM567" s="23"/>
      <c r="CN567" s="23"/>
      <c r="CO567" s="23"/>
      <c r="CP567" s="23"/>
      <c r="CQ567" s="23"/>
      <c r="CR567" s="23"/>
      <c r="CS567" s="23"/>
      <c r="CT567" s="23"/>
      <c r="CU567" s="23"/>
      <c r="CV567" s="23"/>
      <c r="CW567" s="23"/>
      <c r="CX567" s="23"/>
      <c r="CY567" s="23"/>
      <c r="CZ567" s="23"/>
      <c r="DA567" s="23"/>
      <c r="DB567" s="23"/>
      <c r="DC567" s="23"/>
      <c r="DD567" s="23"/>
      <c r="DE567" s="23"/>
      <c r="DF567" s="23"/>
      <c r="DG567" s="23"/>
      <c r="DH567" s="23"/>
      <c r="DI567" s="23"/>
      <c r="DJ567" s="23"/>
      <c r="DK567" s="23"/>
      <c r="DL567" s="23"/>
      <c r="DM567" s="23"/>
      <c r="DN567" s="23"/>
      <c r="DO567" s="23"/>
      <c r="DP567" s="23"/>
      <c r="DQ567" s="23"/>
      <c r="DR567" s="23"/>
      <c r="DS567" s="23"/>
      <c r="DT567" s="23"/>
      <c r="DU567" s="23"/>
      <c r="DV567" s="23"/>
      <c r="DW567" s="23"/>
      <c r="DX567" s="23"/>
      <c r="DY567" s="23"/>
      <c r="DZ567" s="23"/>
      <c r="EA567" s="23"/>
      <c r="EB567" s="23"/>
      <c r="EC567" s="23"/>
      <c r="ED567" s="23"/>
      <c r="EE567" s="23"/>
      <c r="EF567" s="23"/>
      <c r="EG567" s="23"/>
      <c r="EH567" s="23"/>
      <c r="EI567" s="23"/>
      <c r="EJ567" s="23"/>
      <c r="EK567" s="23"/>
      <c r="EL567" s="23"/>
      <c r="EM567" s="23"/>
      <c r="EN567" s="23"/>
      <c r="EO567" s="23"/>
      <c r="EP567" s="23"/>
      <c r="EQ567" s="23"/>
      <c r="ER567" s="23"/>
      <c r="ES567" s="23"/>
      <c r="ET567" s="23"/>
      <c r="EU567" s="23"/>
      <c r="EV567" s="23"/>
      <c r="EW567" s="23"/>
      <c r="EX567" s="23"/>
      <c r="EY567" s="23"/>
      <c r="EZ567" s="23"/>
      <c r="FA567" s="23"/>
      <c r="FB567" s="23"/>
      <c r="FC567" s="23"/>
      <c r="FD567" s="23"/>
      <c r="FE567" s="23"/>
      <c r="FF567" s="23"/>
      <c r="FG567" s="23"/>
      <c r="FH567" s="23"/>
      <c r="FI567" s="23"/>
      <c r="FJ567" s="23"/>
      <c r="FK567" s="23"/>
      <c r="FL567" s="23"/>
      <c r="FM567" s="23"/>
      <c r="FN567" s="23"/>
      <c r="FO567" s="23"/>
      <c r="FP567" s="23"/>
      <c r="FQ567" s="23"/>
      <c r="FR567" s="23"/>
      <c r="FS567" s="23"/>
      <c r="FT567" s="23"/>
      <c r="FU567" s="23"/>
      <c r="FV567" s="23"/>
      <c r="FW567" s="23"/>
      <c r="FX567" s="23"/>
      <c r="FY567" s="23"/>
      <c r="FZ567" s="23"/>
      <c r="GA567" s="23"/>
      <c r="GB567" s="23"/>
      <c r="GC567" s="23"/>
      <c r="GD567" s="23"/>
      <c r="GE567" s="23"/>
      <c r="GF567" s="23"/>
      <c r="GG567" s="23"/>
      <c r="GH567" s="23"/>
      <c r="GI567" s="23"/>
      <c r="GJ567" s="23"/>
      <c r="GK567" s="23"/>
      <c r="GL567" s="23"/>
    </row>
    <row r="568" spans="1:194" ht="13">
      <c r="A568" s="23"/>
      <c r="B568" s="23"/>
      <c r="C568" s="23"/>
      <c r="D568" s="23"/>
      <c r="E568" s="23"/>
      <c r="F568" s="23"/>
      <c r="G568" s="23"/>
      <c r="H568" s="401"/>
      <c r="I568" s="401"/>
      <c r="J568" s="401"/>
      <c r="K568" s="401"/>
      <c r="L568" s="401"/>
      <c r="M568" s="438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  <c r="AL568" s="23"/>
      <c r="AM568" s="23"/>
      <c r="AN568" s="23"/>
      <c r="AO568" s="23"/>
      <c r="AP568" s="23"/>
      <c r="AQ568" s="23"/>
      <c r="AR568" s="23"/>
      <c r="AS568" s="23"/>
      <c r="AT568" s="23"/>
      <c r="AU568" s="23"/>
      <c r="AV568" s="23"/>
      <c r="AW568" s="23"/>
      <c r="AX568" s="23"/>
      <c r="AY568" s="23"/>
      <c r="AZ568" s="23"/>
      <c r="BA568" s="23"/>
      <c r="BB568" s="23"/>
      <c r="BC568" s="23"/>
      <c r="BD568" s="23"/>
      <c r="BE568" s="23"/>
      <c r="BF568" s="23"/>
      <c r="BG568" s="23"/>
      <c r="BH568" s="23"/>
      <c r="BI568" s="23"/>
      <c r="BJ568" s="23"/>
      <c r="BK568" s="23"/>
      <c r="BL568" s="23"/>
      <c r="BM568" s="23"/>
      <c r="BN568" s="23"/>
      <c r="BO568" s="23"/>
      <c r="BP568" s="23"/>
      <c r="BQ568" s="23"/>
      <c r="BR568" s="23"/>
      <c r="BS568" s="23"/>
      <c r="BT568" s="23"/>
      <c r="BU568" s="23"/>
      <c r="BV568" s="23"/>
      <c r="BW568" s="23"/>
      <c r="BX568" s="23"/>
      <c r="BY568" s="23"/>
      <c r="BZ568" s="23"/>
      <c r="CA568" s="23"/>
      <c r="CB568" s="23"/>
      <c r="CC568" s="23"/>
      <c r="CD568" s="23"/>
      <c r="CE568" s="23"/>
      <c r="CF568" s="23"/>
      <c r="CG568" s="23"/>
      <c r="CH568" s="23"/>
      <c r="CI568" s="23"/>
      <c r="CJ568" s="23"/>
      <c r="CK568" s="23"/>
      <c r="CL568" s="23"/>
      <c r="CM568" s="23"/>
      <c r="CN568" s="23"/>
      <c r="CO568" s="23"/>
      <c r="CP568" s="23"/>
      <c r="CQ568" s="23"/>
      <c r="CR568" s="23"/>
      <c r="CS568" s="23"/>
      <c r="CT568" s="23"/>
      <c r="CU568" s="23"/>
      <c r="CV568" s="23"/>
      <c r="CW568" s="23"/>
      <c r="CX568" s="23"/>
      <c r="CY568" s="23"/>
      <c r="CZ568" s="23"/>
      <c r="DA568" s="23"/>
      <c r="DB568" s="23"/>
      <c r="DC568" s="23"/>
      <c r="DD568" s="23"/>
      <c r="DE568" s="23"/>
      <c r="DF568" s="23"/>
      <c r="DG568" s="23"/>
      <c r="DH568" s="23"/>
      <c r="DI568" s="23"/>
      <c r="DJ568" s="23"/>
      <c r="DK568" s="23"/>
      <c r="DL568" s="23"/>
      <c r="DM568" s="23"/>
      <c r="DN568" s="23"/>
      <c r="DO568" s="23"/>
      <c r="DP568" s="23"/>
      <c r="DQ568" s="23"/>
      <c r="DR568" s="23"/>
      <c r="DS568" s="23"/>
      <c r="DT568" s="23"/>
      <c r="DU568" s="23"/>
      <c r="DV568" s="23"/>
      <c r="DW568" s="23"/>
      <c r="DX568" s="23"/>
      <c r="DY568" s="23"/>
      <c r="DZ568" s="23"/>
      <c r="EA568" s="23"/>
      <c r="EB568" s="23"/>
      <c r="EC568" s="23"/>
      <c r="ED568" s="23"/>
      <c r="EE568" s="23"/>
      <c r="EF568" s="23"/>
      <c r="EG568" s="23"/>
      <c r="EH568" s="23"/>
      <c r="EI568" s="23"/>
      <c r="EJ568" s="23"/>
      <c r="EK568" s="23"/>
      <c r="EL568" s="23"/>
      <c r="EM568" s="23"/>
      <c r="EN568" s="23"/>
      <c r="EO568" s="23"/>
      <c r="EP568" s="23"/>
      <c r="EQ568" s="23"/>
      <c r="ER568" s="23"/>
      <c r="ES568" s="23"/>
      <c r="ET568" s="23"/>
      <c r="EU568" s="23"/>
      <c r="EV568" s="23"/>
      <c r="EW568" s="23"/>
      <c r="EX568" s="23"/>
      <c r="EY568" s="23"/>
      <c r="EZ568" s="23"/>
      <c r="FA568" s="23"/>
      <c r="FB568" s="23"/>
      <c r="FC568" s="23"/>
      <c r="FD568" s="23"/>
      <c r="FE568" s="23"/>
      <c r="FF568" s="23"/>
      <c r="FG568" s="23"/>
      <c r="FH568" s="23"/>
      <c r="FI568" s="23"/>
      <c r="FJ568" s="23"/>
      <c r="FK568" s="23"/>
      <c r="FL568" s="23"/>
      <c r="FM568" s="23"/>
      <c r="FN568" s="23"/>
      <c r="FO568" s="23"/>
      <c r="FP568" s="23"/>
      <c r="FQ568" s="23"/>
      <c r="FR568" s="23"/>
      <c r="FS568" s="23"/>
      <c r="FT568" s="23"/>
      <c r="FU568" s="23"/>
      <c r="FV568" s="23"/>
      <c r="FW568" s="23"/>
      <c r="FX568" s="23"/>
      <c r="FY568" s="23"/>
      <c r="FZ568" s="23"/>
      <c r="GA568" s="23"/>
      <c r="GB568" s="23"/>
      <c r="GC568" s="23"/>
      <c r="GD568" s="23"/>
      <c r="GE568" s="23"/>
      <c r="GF568" s="23"/>
      <c r="GG568" s="23"/>
      <c r="GH568" s="23"/>
      <c r="GI568" s="23"/>
      <c r="GJ568" s="23"/>
      <c r="GK568" s="23"/>
      <c r="GL568" s="23"/>
    </row>
    <row r="569" spans="1:194" ht="13">
      <c r="A569" s="23"/>
      <c r="B569" s="23"/>
      <c r="C569" s="23"/>
      <c r="D569" s="23"/>
      <c r="E569" s="23"/>
      <c r="F569" s="23"/>
      <c r="G569" s="23"/>
      <c r="H569" s="401"/>
      <c r="I569" s="401"/>
      <c r="J569" s="401"/>
      <c r="K569" s="401"/>
      <c r="L569" s="401"/>
      <c r="M569" s="438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  <c r="AL569" s="23"/>
      <c r="AM569" s="23"/>
      <c r="AN569" s="23"/>
      <c r="AO569" s="23"/>
      <c r="AP569" s="23"/>
      <c r="AQ569" s="23"/>
      <c r="AR569" s="23"/>
      <c r="AS569" s="23"/>
      <c r="AT569" s="23"/>
      <c r="AU569" s="23"/>
      <c r="AV569" s="23"/>
      <c r="AW569" s="23"/>
      <c r="AX569" s="23"/>
      <c r="AY569" s="23"/>
      <c r="AZ569" s="23"/>
      <c r="BA569" s="23"/>
      <c r="BB569" s="23"/>
      <c r="BC569" s="23"/>
      <c r="BD569" s="23"/>
      <c r="BE569" s="23"/>
      <c r="BF569" s="23"/>
      <c r="BG569" s="23"/>
      <c r="BH569" s="23"/>
      <c r="BI569" s="23"/>
      <c r="BJ569" s="23"/>
      <c r="BK569" s="23"/>
      <c r="BL569" s="23"/>
      <c r="BM569" s="23"/>
      <c r="BN569" s="23"/>
      <c r="BO569" s="23"/>
      <c r="BP569" s="23"/>
      <c r="BQ569" s="23"/>
      <c r="BR569" s="23"/>
      <c r="BS569" s="23"/>
      <c r="BT569" s="23"/>
      <c r="BU569" s="23"/>
      <c r="BV569" s="23"/>
      <c r="BW569" s="23"/>
      <c r="BX569" s="23"/>
      <c r="BY569" s="23"/>
      <c r="BZ569" s="23"/>
      <c r="CA569" s="23"/>
      <c r="CB569" s="23"/>
      <c r="CC569" s="23"/>
      <c r="CD569" s="23"/>
      <c r="CE569" s="23"/>
      <c r="CF569" s="23"/>
      <c r="CG569" s="23"/>
      <c r="CH569" s="23"/>
      <c r="CI569" s="23"/>
      <c r="CJ569" s="23"/>
      <c r="CK569" s="23"/>
      <c r="CL569" s="23"/>
      <c r="CM569" s="23"/>
      <c r="CN569" s="23"/>
      <c r="CO569" s="23"/>
      <c r="CP569" s="23"/>
      <c r="CQ569" s="23"/>
      <c r="CR569" s="23"/>
      <c r="CS569" s="23"/>
      <c r="CT569" s="23"/>
      <c r="CU569" s="23"/>
      <c r="CV569" s="23"/>
      <c r="CW569" s="23"/>
      <c r="CX569" s="23"/>
      <c r="CY569" s="23"/>
      <c r="CZ569" s="23"/>
      <c r="DA569" s="23"/>
      <c r="DB569" s="23"/>
      <c r="DC569" s="23"/>
      <c r="DD569" s="23"/>
      <c r="DE569" s="23"/>
      <c r="DF569" s="23"/>
      <c r="DG569" s="23"/>
      <c r="DH569" s="23"/>
      <c r="DI569" s="23"/>
      <c r="DJ569" s="23"/>
      <c r="DK569" s="23"/>
      <c r="DL569" s="23"/>
      <c r="DM569" s="23"/>
      <c r="DN569" s="23"/>
      <c r="DO569" s="23"/>
      <c r="DP569" s="23"/>
      <c r="DQ569" s="23"/>
      <c r="DR569" s="23"/>
      <c r="DS569" s="23"/>
      <c r="DT569" s="23"/>
      <c r="DU569" s="23"/>
      <c r="DV569" s="23"/>
      <c r="DW569" s="23"/>
      <c r="DX569" s="23"/>
      <c r="DY569" s="23"/>
      <c r="DZ569" s="23"/>
      <c r="EA569" s="23"/>
      <c r="EB569" s="23"/>
      <c r="EC569" s="23"/>
      <c r="ED569" s="23"/>
      <c r="EE569" s="23"/>
      <c r="EF569" s="23"/>
      <c r="EG569" s="23"/>
      <c r="EH569" s="23"/>
      <c r="EI569" s="23"/>
      <c r="EJ569" s="23"/>
      <c r="EK569" s="23"/>
      <c r="EL569" s="23"/>
      <c r="EM569" s="23"/>
      <c r="EN569" s="23"/>
      <c r="EO569" s="23"/>
      <c r="EP569" s="23"/>
      <c r="EQ569" s="23"/>
      <c r="ER569" s="23"/>
      <c r="ES569" s="23"/>
      <c r="ET569" s="23"/>
      <c r="EU569" s="23"/>
      <c r="EV569" s="23"/>
      <c r="EW569" s="23"/>
      <c r="EX569" s="23"/>
      <c r="EY569" s="23"/>
      <c r="EZ569" s="23"/>
      <c r="FA569" s="23"/>
      <c r="FB569" s="23"/>
      <c r="FC569" s="23"/>
      <c r="FD569" s="23"/>
      <c r="FE569" s="23"/>
      <c r="FF569" s="23"/>
      <c r="FG569" s="23"/>
      <c r="FH569" s="23"/>
      <c r="FI569" s="23"/>
      <c r="FJ569" s="23"/>
      <c r="FK569" s="23"/>
      <c r="FL569" s="23"/>
      <c r="FM569" s="23"/>
      <c r="FN569" s="23"/>
      <c r="FO569" s="23"/>
      <c r="FP569" s="23"/>
      <c r="FQ569" s="23"/>
      <c r="FR569" s="23"/>
      <c r="FS569" s="23"/>
      <c r="FT569" s="23"/>
      <c r="FU569" s="23"/>
      <c r="FV569" s="23"/>
      <c r="FW569" s="23"/>
      <c r="FX569" s="23"/>
      <c r="FY569" s="23"/>
      <c r="FZ569" s="23"/>
      <c r="GA569" s="23"/>
      <c r="GB569" s="23"/>
      <c r="GC569" s="23"/>
      <c r="GD569" s="23"/>
      <c r="GE569" s="23"/>
      <c r="GF569" s="23"/>
      <c r="GG569" s="23"/>
      <c r="GH569" s="23"/>
      <c r="GI569" s="23"/>
      <c r="GJ569" s="23"/>
      <c r="GK569" s="23"/>
      <c r="GL569" s="23"/>
    </row>
    <row r="570" spans="1:194" ht="13">
      <c r="A570" s="23"/>
      <c r="B570" s="23"/>
      <c r="C570" s="23"/>
      <c r="D570" s="23"/>
      <c r="E570" s="23"/>
      <c r="F570" s="23"/>
      <c r="G570" s="23"/>
      <c r="H570" s="401"/>
      <c r="I570" s="401"/>
      <c r="J570" s="401"/>
      <c r="K570" s="401"/>
      <c r="L570" s="401"/>
      <c r="M570" s="438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  <c r="AL570" s="23"/>
      <c r="AM570" s="23"/>
      <c r="AN570" s="23"/>
      <c r="AO570" s="23"/>
      <c r="AP570" s="23"/>
      <c r="AQ570" s="23"/>
      <c r="AR570" s="23"/>
      <c r="AS570" s="23"/>
      <c r="AT570" s="23"/>
      <c r="AU570" s="23"/>
      <c r="AV570" s="23"/>
      <c r="AW570" s="23"/>
      <c r="AX570" s="23"/>
      <c r="AY570" s="23"/>
      <c r="AZ570" s="23"/>
      <c r="BA570" s="23"/>
      <c r="BB570" s="23"/>
      <c r="BC570" s="23"/>
      <c r="BD570" s="23"/>
      <c r="BE570" s="23"/>
      <c r="BF570" s="23"/>
      <c r="BG570" s="23"/>
      <c r="BH570" s="23"/>
      <c r="BI570" s="23"/>
      <c r="BJ570" s="23"/>
      <c r="BK570" s="23"/>
      <c r="BL570" s="23"/>
      <c r="BM570" s="23"/>
      <c r="BN570" s="23"/>
      <c r="BO570" s="23"/>
      <c r="BP570" s="23"/>
      <c r="BQ570" s="23"/>
      <c r="BR570" s="23"/>
      <c r="BS570" s="23"/>
      <c r="BT570" s="23"/>
      <c r="BU570" s="23"/>
      <c r="BV570" s="23"/>
      <c r="BW570" s="23"/>
      <c r="BX570" s="23"/>
      <c r="BY570" s="23"/>
      <c r="BZ570" s="23"/>
      <c r="CA570" s="23"/>
      <c r="CB570" s="23"/>
      <c r="CC570" s="23"/>
      <c r="CD570" s="23"/>
      <c r="CE570" s="23"/>
      <c r="CF570" s="23"/>
      <c r="CG570" s="23"/>
      <c r="CH570" s="23"/>
      <c r="CI570" s="23"/>
      <c r="CJ570" s="23"/>
      <c r="CK570" s="23"/>
      <c r="CL570" s="23"/>
      <c r="CM570" s="23"/>
      <c r="CN570" s="23"/>
      <c r="CO570" s="23"/>
      <c r="CP570" s="23"/>
      <c r="CQ570" s="23"/>
      <c r="CR570" s="23"/>
      <c r="CS570" s="23"/>
      <c r="CT570" s="23"/>
      <c r="CU570" s="23"/>
      <c r="CV570" s="23"/>
      <c r="CW570" s="23"/>
      <c r="CX570" s="23"/>
      <c r="CY570" s="23"/>
      <c r="CZ570" s="23"/>
      <c r="DA570" s="23"/>
      <c r="DB570" s="23"/>
      <c r="DC570" s="23"/>
      <c r="DD570" s="23"/>
      <c r="DE570" s="23"/>
      <c r="DF570" s="23"/>
      <c r="DG570" s="23"/>
      <c r="DH570" s="23"/>
      <c r="DI570" s="23"/>
      <c r="DJ570" s="23"/>
      <c r="DK570" s="23"/>
      <c r="DL570" s="23"/>
      <c r="DM570" s="23"/>
      <c r="DN570" s="23"/>
      <c r="DO570" s="23"/>
      <c r="DP570" s="23"/>
      <c r="DQ570" s="23"/>
      <c r="DR570" s="23"/>
      <c r="DS570" s="23"/>
      <c r="DT570" s="23"/>
      <c r="DU570" s="23"/>
      <c r="DV570" s="23"/>
      <c r="DW570" s="23"/>
      <c r="DX570" s="23"/>
      <c r="DY570" s="23"/>
      <c r="DZ570" s="23"/>
      <c r="EA570" s="23"/>
      <c r="EB570" s="23"/>
      <c r="EC570" s="23"/>
      <c r="ED570" s="23"/>
      <c r="EE570" s="23"/>
      <c r="EF570" s="23"/>
      <c r="EG570" s="23"/>
      <c r="EH570" s="23"/>
      <c r="EI570" s="23"/>
      <c r="EJ570" s="23"/>
      <c r="EK570" s="23"/>
      <c r="EL570" s="23"/>
      <c r="EM570" s="23"/>
      <c r="EN570" s="23"/>
      <c r="EO570" s="23"/>
      <c r="EP570" s="23"/>
      <c r="EQ570" s="23"/>
      <c r="ER570" s="23"/>
      <c r="ES570" s="23"/>
      <c r="ET570" s="23"/>
      <c r="EU570" s="23"/>
      <c r="EV570" s="23"/>
      <c r="EW570" s="23"/>
      <c r="EX570" s="23"/>
      <c r="EY570" s="23"/>
      <c r="EZ570" s="23"/>
      <c r="FA570" s="23"/>
      <c r="FB570" s="23"/>
      <c r="FC570" s="23"/>
      <c r="FD570" s="23"/>
      <c r="FE570" s="23"/>
      <c r="FF570" s="23"/>
      <c r="FG570" s="23"/>
      <c r="FH570" s="23"/>
      <c r="FI570" s="23"/>
      <c r="FJ570" s="23"/>
      <c r="FK570" s="23"/>
      <c r="FL570" s="23"/>
      <c r="FM570" s="23"/>
      <c r="FN570" s="23"/>
      <c r="FO570" s="23"/>
      <c r="FP570" s="23"/>
      <c r="FQ570" s="23"/>
      <c r="FR570" s="23"/>
      <c r="FS570" s="23"/>
      <c r="FT570" s="23"/>
      <c r="FU570" s="23"/>
      <c r="FV570" s="23"/>
      <c r="FW570" s="23"/>
      <c r="FX570" s="23"/>
      <c r="FY570" s="23"/>
      <c r="FZ570" s="23"/>
      <c r="GA570" s="23"/>
      <c r="GB570" s="23"/>
      <c r="GC570" s="23"/>
      <c r="GD570" s="23"/>
      <c r="GE570" s="23"/>
      <c r="GF570" s="23"/>
      <c r="GG570" s="23"/>
      <c r="GH570" s="23"/>
      <c r="GI570" s="23"/>
      <c r="GJ570" s="23"/>
      <c r="GK570" s="23"/>
      <c r="GL570" s="23"/>
    </row>
    <row r="571" spans="1:194" ht="13">
      <c r="A571" s="23"/>
      <c r="B571" s="23"/>
      <c r="C571" s="23"/>
      <c r="D571" s="23"/>
      <c r="E571" s="23"/>
      <c r="F571" s="23"/>
      <c r="G571" s="23"/>
      <c r="H571" s="401"/>
      <c r="I571" s="401"/>
      <c r="J571" s="401"/>
      <c r="K571" s="401"/>
      <c r="L571" s="401"/>
      <c r="M571" s="438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  <c r="AL571" s="23"/>
      <c r="AM571" s="23"/>
      <c r="AN571" s="23"/>
      <c r="AO571" s="23"/>
      <c r="AP571" s="23"/>
      <c r="AQ571" s="23"/>
      <c r="AR571" s="23"/>
      <c r="AS571" s="23"/>
      <c r="AT571" s="23"/>
      <c r="AU571" s="23"/>
      <c r="AV571" s="23"/>
      <c r="AW571" s="23"/>
      <c r="AX571" s="23"/>
      <c r="AY571" s="23"/>
      <c r="AZ571" s="23"/>
      <c r="BA571" s="23"/>
      <c r="BB571" s="23"/>
      <c r="BC571" s="23"/>
      <c r="BD571" s="23"/>
      <c r="BE571" s="23"/>
      <c r="BF571" s="23"/>
      <c r="BG571" s="23"/>
      <c r="BH571" s="23"/>
      <c r="BI571" s="23"/>
      <c r="BJ571" s="23"/>
      <c r="BK571" s="23"/>
      <c r="BL571" s="23"/>
      <c r="BM571" s="23"/>
      <c r="BN571" s="23"/>
      <c r="BO571" s="23"/>
      <c r="BP571" s="23"/>
      <c r="BQ571" s="23"/>
      <c r="BR571" s="23"/>
      <c r="BS571" s="23"/>
      <c r="BT571" s="23"/>
      <c r="BU571" s="23"/>
      <c r="BV571" s="23"/>
      <c r="BW571" s="23"/>
      <c r="BX571" s="23"/>
      <c r="BY571" s="23"/>
      <c r="BZ571" s="23"/>
      <c r="CA571" s="23"/>
      <c r="CB571" s="23"/>
      <c r="CC571" s="23"/>
      <c r="CD571" s="23"/>
      <c r="CE571" s="23"/>
      <c r="CF571" s="23"/>
      <c r="CG571" s="23"/>
      <c r="CH571" s="23"/>
      <c r="CI571" s="23"/>
      <c r="CJ571" s="23"/>
      <c r="CK571" s="23"/>
      <c r="CL571" s="23"/>
      <c r="CM571" s="23"/>
      <c r="CN571" s="23"/>
      <c r="CO571" s="23"/>
      <c r="CP571" s="23"/>
      <c r="CQ571" s="23"/>
      <c r="CR571" s="23"/>
      <c r="CS571" s="23"/>
      <c r="CT571" s="23"/>
      <c r="CU571" s="23"/>
      <c r="CV571" s="23"/>
      <c r="CW571" s="23"/>
      <c r="CX571" s="23"/>
      <c r="CY571" s="23"/>
      <c r="CZ571" s="23"/>
      <c r="DA571" s="23"/>
      <c r="DB571" s="23"/>
      <c r="DC571" s="23"/>
      <c r="DD571" s="23"/>
      <c r="DE571" s="23"/>
      <c r="DF571" s="23"/>
      <c r="DG571" s="23"/>
      <c r="DH571" s="23"/>
      <c r="DI571" s="23"/>
      <c r="DJ571" s="23"/>
      <c r="DK571" s="23"/>
      <c r="DL571" s="23"/>
      <c r="DM571" s="23"/>
      <c r="DN571" s="23"/>
      <c r="DO571" s="23"/>
      <c r="DP571" s="23"/>
      <c r="DQ571" s="23"/>
      <c r="DR571" s="23"/>
      <c r="DS571" s="23"/>
      <c r="DT571" s="23"/>
      <c r="DU571" s="23"/>
      <c r="DV571" s="23"/>
      <c r="DW571" s="23"/>
      <c r="DX571" s="23"/>
      <c r="DY571" s="23"/>
      <c r="DZ571" s="23"/>
      <c r="EA571" s="23"/>
      <c r="EB571" s="23"/>
      <c r="EC571" s="23"/>
      <c r="ED571" s="23"/>
      <c r="EE571" s="23"/>
      <c r="EF571" s="23"/>
      <c r="EG571" s="23"/>
      <c r="EH571" s="23"/>
      <c r="EI571" s="23"/>
      <c r="EJ571" s="23"/>
      <c r="EK571" s="23"/>
      <c r="EL571" s="23"/>
      <c r="EM571" s="23"/>
      <c r="EN571" s="23"/>
      <c r="EO571" s="23"/>
      <c r="EP571" s="23"/>
      <c r="EQ571" s="23"/>
      <c r="ER571" s="23"/>
      <c r="ES571" s="23"/>
      <c r="ET571" s="23"/>
      <c r="EU571" s="23"/>
      <c r="EV571" s="23"/>
      <c r="EW571" s="23"/>
      <c r="EX571" s="23"/>
      <c r="EY571" s="23"/>
      <c r="EZ571" s="23"/>
      <c r="FA571" s="23"/>
      <c r="FB571" s="23"/>
      <c r="FC571" s="23"/>
      <c r="FD571" s="23"/>
      <c r="FE571" s="23"/>
      <c r="FF571" s="23"/>
      <c r="FG571" s="23"/>
      <c r="FH571" s="23"/>
      <c r="FI571" s="23"/>
      <c r="FJ571" s="23"/>
      <c r="FK571" s="23"/>
      <c r="FL571" s="23"/>
      <c r="FM571" s="23"/>
      <c r="FN571" s="23"/>
      <c r="FO571" s="23"/>
      <c r="FP571" s="23"/>
      <c r="FQ571" s="23"/>
      <c r="FR571" s="23"/>
      <c r="FS571" s="23"/>
      <c r="FT571" s="23"/>
      <c r="FU571" s="23"/>
      <c r="FV571" s="23"/>
      <c r="FW571" s="23"/>
      <c r="FX571" s="23"/>
      <c r="FY571" s="23"/>
      <c r="FZ571" s="23"/>
      <c r="GA571" s="23"/>
      <c r="GB571" s="23"/>
      <c r="GC571" s="23"/>
      <c r="GD571" s="23"/>
      <c r="GE571" s="23"/>
      <c r="GF571" s="23"/>
      <c r="GG571" s="23"/>
      <c r="GH571" s="23"/>
      <c r="GI571" s="23"/>
      <c r="GJ571" s="23"/>
      <c r="GK571" s="23"/>
      <c r="GL571" s="23"/>
    </row>
    <row r="572" spans="1:194" ht="13">
      <c r="A572" s="23"/>
      <c r="B572" s="23"/>
      <c r="C572" s="23"/>
      <c r="D572" s="23"/>
      <c r="E572" s="23"/>
      <c r="F572" s="23"/>
      <c r="G572" s="23"/>
      <c r="H572" s="401"/>
      <c r="I572" s="401"/>
      <c r="J572" s="401"/>
      <c r="K572" s="401"/>
      <c r="L572" s="401"/>
      <c r="M572" s="438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  <c r="AL572" s="23"/>
      <c r="AM572" s="23"/>
      <c r="AN572" s="23"/>
      <c r="AO572" s="23"/>
      <c r="AP572" s="23"/>
      <c r="AQ572" s="23"/>
      <c r="AR572" s="23"/>
      <c r="AS572" s="23"/>
      <c r="AT572" s="23"/>
      <c r="AU572" s="23"/>
      <c r="AV572" s="23"/>
      <c r="AW572" s="23"/>
      <c r="AX572" s="23"/>
      <c r="AY572" s="23"/>
      <c r="AZ572" s="23"/>
      <c r="BA572" s="23"/>
      <c r="BB572" s="23"/>
      <c r="BC572" s="23"/>
      <c r="BD572" s="23"/>
      <c r="BE572" s="23"/>
      <c r="BF572" s="23"/>
      <c r="BG572" s="23"/>
      <c r="BH572" s="23"/>
      <c r="BI572" s="23"/>
      <c r="BJ572" s="23"/>
      <c r="BK572" s="23"/>
      <c r="BL572" s="23"/>
      <c r="BM572" s="23"/>
      <c r="BN572" s="23"/>
      <c r="BO572" s="23"/>
      <c r="BP572" s="23"/>
      <c r="BQ572" s="23"/>
      <c r="BR572" s="23"/>
      <c r="BS572" s="23"/>
      <c r="BT572" s="23"/>
      <c r="BU572" s="23"/>
      <c r="BV572" s="23"/>
      <c r="BW572" s="23"/>
      <c r="BX572" s="23"/>
      <c r="BY572" s="23"/>
      <c r="BZ572" s="23"/>
      <c r="CA572" s="23"/>
      <c r="CB572" s="23"/>
      <c r="CC572" s="23"/>
      <c r="CD572" s="23"/>
      <c r="CE572" s="23"/>
      <c r="CF572" s="23"/>
      <c r="CG572" s="23"/>
      <c r="CH572" s="23"/>
      <c r="CI572" s="23"/>
      <c r="CJ572" s="23"/>
      <c r="CK572" s="23"/>
      <c r="CL572" s="23"/>
      <c r="CM572" s="23"/>
      <c r="CN572" s="23"/>
      <c r="CO572" s="23"/>
      <c r="CP572" s="23"/>
      <c r="CQ572" s="23"/>
      <c r="CR572" s="23"/>
      <c r="CS572" s="23"/>
      <c r="CT572" s="23"/>
      <c r="CU572" s="23"/>
      <c r="CV572" s="23"/>
      <c r="CW572" s="23"/>
      <c r="CX572" s="23"/>
      <c r="CY572" s="23"/>
      <c r="CZ572" s="23"/>
      <c r="DA572" s="23"/>
      <c r="DB572" s="23"/>
      <c r="DC572" s="23"/>
      <c r="DD572" s="23"/>
      <c r="DE572" s="23"/>
      <c r="DF572" s="23"/>
      <c r="DG572" s="23"/>
      <c r="DH572" s="23"/>
      <c r="DI572" s="23"/>
      <c r="DJ572" s="23"/>
      <c r="DK572" s="23"/>
      <c r="DL572" s="23"/>
      <c r="DM572" s="23"/>
      <c r="DN572" s="23"/>
      <c r="DO572" s="23"/>
      <c r="DP572" s="23"/>
      <c r="DQ572" s="23"/>
      <c r="DR572" s="23"/>
      <c r="DS572" s="23"/>
      <c r="DT572" s="23"/>
      <c r="DU572" s="23"/>
      <c r="DV572" s="23"/>
      <c r="DW572" s="23"/>
      <c r="DX572" s="23"/>
      <c r="DY572" s="23"/>
      <c r="DZ572" s="23"/>
      <c r="EA572" s="23"/>
      <c r="EB572" s="23"/>
      <c r="EC572" s="23"/>
      <c r="ED572" s="23"/>
      <c r="EE572" s="23"/>
      <c r="EF572" s="23"/>
      <c r="EG572" s="23"/>
      <c r="EH572" s="23"/>
      <c r="EI572" s="23"/>
      <c r="EJ572" s="23"/>
      <c r="EK572" s="23"/>
      <c r="EL572" s="23"/>
      <c r="EM572" s="23"/>
      <c r="EN572" s="23"/>
      <c r="EO572" s="23"/>
      <c r="EP572" s="23"/>
      <c r="EQ572" s="23"/>
      <c r="ER572" s="23"/>
      <c r="ES572" s="23"/>
      <c r="ET572" s="23"/>
      <c r="EU572" s="23"/>
      <c r="EV572" s="23"/>
      <c r="EW572" s="23"/>
      <c r="EX572" s="23"/>
      <c r="EY572" s="23"/>
      <c r="EZ572" s="23"/>
      <c r="FA572" s="23"/>
      <c r="FB572" s="23"/>
      <c r="FC572" s="23"/>
      <c r="FD572" s="23"/>
      <c r="FE572" s="23"/>
      <c r="FF572" s="23"/>
      <c r="FG572" s="23"/>
      <c r="FH572" s="23"/>
      <c r="FI572" s="23"/>
      <c r="FJ572" s="23"/>
      <c r="FK572" s="23"/>
      <c r="FL572" s="23"/>
      <c r="FM572" s="23"/>
      <c r="FN572" s="23"/>
      <c r="FO572" s="23"/>
      <c r="FP572" s="23"/>
      <c r="FQ572" s="23"/>
      <c r="FR572" s="23"/>
      <c r="FS572" s="23"/>
      <c r="FT572" s="23"/>
      <c r="FU572" s="23"/>
      <c r="FV572" s="23"/>
      <c r="FW572" s="23"/>
      <c r="FX572" s="23"/>
      <c r="FY572" s="23"/>
      <c r="FZ572" s="23"/>
      <c r="GA572" s="23"/>
      <c r="GB572" s="23"/>
      <c r="GC572" s="23"/>
      <c r="GD572" s="23"/>
      <c r="GE572" s="23"/>
      <c r="GF572" s="23"/>
      <c r="GG572" s="23"/>
      <c r="GH572" s="23"/>
      <c r="GI572" s="23"/>
      <c r="GJ572" s="23"/>
      <c r="GK572" s="23"/>
      <c r="GL572" s="23"/>
    </row>
    <row r="573" spans="1:194" ht="13">
      <c r="A573" s="23"/>
      <c r="B573" s="23"/>
      <c r="C573" s="23"/>
      <c r="D573" s="23"/>
      <c r="E573" s="23"/>
      <c r="F573" s="23"/>
      <c r="G573" s="23"/>
      <c r="H573" s="401"/>
      <c r="I573" s="401"/>
      <c r="J573" s="401"/>
      <c r="K573" s="401"/>
      <c r="L573" s="401"/>
      <c r="M573" s="438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  <c r="AL573" s="23"/>
      <c r="AM573" s="23"/>
      <c r="AN573" s="23"/>
      <c r="AO573" s="23"/>
      <c r="AP573" s="23"/>
      <c r="AQ573" s="23"/>
      <c r="AR573" s="23"/>
      <c r="AS573" s="23"/>
      <c r="AT573" s="23"/>
      <c r="AU573" s="23"/>
      <c r="AV573" s="23"/>
      <c r="AW573" s="23"/>
      <c r="AX573" s="23"/>
      <c r="AY573" s="23"/>
      <c r="AZ573" s="23"/>
      <c r="BA573" s="23"/>
      <c r="BB573" s="23"/>
      <c r="BC573" s="23"/>
      <c r="BD573" s="23"/>
      <c r="BE573" s="23"/>
      <c r="BF573" s="23"/>
      <c r="BG573" s="23"/>
      <c r="BH573" s="23"/>
      <c r="BI573" s="23"/>
      <c r="BJ573" s="23"/>
      <c r="BK573" s="23"/>
      <c r="BL573" s="23"/>
      <c r="BM573" s="23"/>
      <c r="BN573" s="23"/>
      <c r="BO573" s="23"/>
      <c r="BP573" s="23"/>
      <c r="BQ573" s="23"/>
      <c r="BR573" s="23"/>
      <c r="BS573" s="23"/>
      <c r="BT573" s="23"/>
      <c r="BU573" s="23"/>
      <c r="BV573" s="23"/>
      <c r="BW573" s="23"/>
      <c r="BX573" s="23"/>
      <c r="BY573" s="23"/>
      <c r="BZ573" s="23"/>
      <c r="CA573" s="23"/>
      <c r="CB573" s="23"/>
      <c r="CC573" s="23"/>
      <c r="CD573" s="23"/>
      <c r="CE573" s="23"/>
      <c r="CF573" s="23"/>
      <c r="CG573" s="23"/>
      <c r="CH573" s="23"/>
      <c r="CI573" s="23"/>
      <c r="CJ573" s="23"/>
      <c r="CK573" s="23"/>
      <c r="CL573" s="23"/>
      <c r="CM573" s="23"/>
      <c r="CN573" s="23"/>
      <c r="CO573" s="23"/>
      <c r="CP573" s="23"/>
      <c r="CQ573" s="23"/>
      <c r="CR573" s="23"/>
      <c r="CS573" s="23"/>
      <c r="CT573" s="23"/>
      <c r="CU573" s="23"/>
      <c r="CV573" s="23"/>
      <c r="CW573" s="23"/>
      <c r="CX573" s="23"/>
      <c r="CY573" s="23"/>
      <c r="CZ573" s="23"/>
      <c r="DA573" s="23"/>
      <c r="DB573" s="23"/>
      <c r="DC573" s="23"/>
      <c r="DD573" s="23"/>
      <c r="DE573" s="23"/>
      <c r="DF573" s="23"/>
      <c r="DG573" s="23"/>
      <c r="DH573" s="23"/>
      <c r="DI573" s="23"/>
      <c r="DJ573" s="23"/>
      <c r="DK573" s="23"/>
      <c r="DL573" s="23"/>
      <c r="DM573" s="23"/>
      <c r="DN573" s="23"/>
      <c r="DO573" s="23"/>
      <c r="DP573" s="23"/>
      <c r="DQ573" s="23"/>
      <c r="DR573" s="23"/>
      <c r="DS573" s="23"/>
      <c r="DT573" s="23"/>
      <c r="DU573" s="23"/>
      <c r="DV573" s="23"/>
      <c r="DW573" s="23"/>
      <c r="DX573" s="23"/>
      <c r="DY573" s="23"/>
      <c r="DZ573" s="23"/>
      <c r="EA573" s="23"/>
      <c r="EB573" s="23"/>
      <c r="EC573" s="23"/>
      <c r="ED573" s="23"/>
      <c r="EE573" s="23"/>
      <c r="EF573" s="23"/>
      <c r="EG573" s="23"/>
      <c r="EH573" s="23"/>
      <c r="EI573" s="23"/>
      <c r="EJ573" s="23"/>
      <c r="EK573" s="23"/>
      <c r="EL573" s="23"/>
      <c r="EM573" s="23"/>
      <c r="EN573" s="23"/>
      <c r="EO573" s="23"/>
      <c r="EP573" s="23"/>
      <c r="EQ573" s="23"/>
      <c r="ER573" s="23"/>
      <c r="ES573" s="23"/>
      <c r="ET573" s="23"/>
      <c r="EU573" s="23"/>
      <c r="EV573" s="23"/>
      <c r="EW573" s="23"/>
      <c r="EX573" s="23"/>
      <c r="EY573" s="23"/>
      <c r="EZ573" s="23"/>
      <c r="FA573" s="23"/>
      <c r="FB573" s="23"/>
      <c r="FC573" s="23"/>
      <c r="FD573" s="23"/>
      <c r="FE573" s="23"/>
      <c r="FF573" s="23"/>
      <c r="FG573" s="23"/>
      <c r="FH573" s="23"/>
      <c r="FI573" s="23"/>
      <c r="FJ573" s="23"/>
      <c r="FK573" s="23"/>
      <c r="FL573" s="23"/>
      <c r="FM573" s="23"/>
      <c r="FN573" s="23"/>
      <c r="FO573" s="23"/>
      <c r="FP573" s="23"/>
      <c r="FQ573" s="23"/>
      <c r="FR573" s="23"/>
      <c r="FS573" s="23"/>
      <c r="FT573" s="23"/>
      <c r="FU573" s="23"/>
      <c r="FV573" s="23"/>
      <c r="FW573" s="23"/>
      <c r="FX573" s="23"/>
      <c r="FY573" s="23"/>
      <c r="FZ573" s="23"/>
      <c r="GA573" s="23"/>
      <c r="GB573" s="23"/>
      <c r="GC573" s="23"/>
      <c r="GD573" s="23"/>
      <c r="GE573" s="23"/>
      <c r="GF573" s="23"/>
      <c r="GG573" s="23"/>
      <c r="GH573" s="23"/>
      <c r="GI573" s="23"/>
      <c r="GJ573" s="23"/>
      <c r="GK573" s="23"/>
      <c r="GL573" s="23"/>
    </row>
    <row r="574" spans="1:194" ht="13">
      <c r="A574" s="23"/>
      <c r="B574" s="23"/>
      <c r="C574" s="23"/>
      <c r="D574" s="23"/>
      <c r="E574" s="23"/>
      <c r="F574" s="23"/>
      <c r="G574" s="23"/>
      <c r="H574" s="401"/>
      <c r="I574" s="401"/>
      <c r="J574" s="401"/>
      <c r="K574" s="401"/>
      <c r="L574" s="401"/>
      <c r="M574" s="438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  <c r="AL574" s="23"/>
      <c r="AM574" s="23"/>
      <c r="AN574" s="23"/>
      <c r="AO574" s="23"/>
      <c r="AP574" s="23"/>
      <c r="AQ574" s="23"/>
      <c r="AR574" s="23"/>
      <c r="AS574" s="23"/>
      <c r="AT574" s="23"/>
      <c r="AU574" s="23"/>
      <c r="AV574" s="23"/>
      <c r="AW574" s="23"/>
      <c r="AX574" s="23"/>
      <c r="AY574" s="23"/>
      <c r="AZ574" s="23"/>
      <c r="BA574" s="23"/>
      <c r="BB574" s="23"/>
      <c r="BC574" s="23"/>
      <c r="BD574" s="23"/>
      <c r="BE574" s="23"/>
      <c r="BF574" s="23"/>
      <c r="BG574" s="23"/>
      <c r="BH574" s="23"/>
      <c r="BI574" s="23"/>
      <c r="BJ574" s="23"/>
      <c r="BK574" s="23"/>
      <c r="BL574" s="23"/>
      <c r="BM574" s="23"/>
      <c r="BN574" s="23"/>
      <c r="BO574" s="23"/>
      <c r="BP574" s="23"/>
      <c r="BQ574" s="23"/>
      <c r="BR574" s="23"/>
      <c r="BS574" s="23"/>
      <c r="BT574" s="23"/>
      <c r="BU574" s="23"/>
      <c r="BV574" s="23"/>
      <c r="BW574" s="23"/>
      <c r="BX574" s="23"/>
      <c r="BY574" s="23"/>
      <c r="BZ574" s="23"/>
      <c r="CA574" s="23"/>
      <c r="CB574" s="23"/>
      <c r="CC574" s="23"/>
      <c r="CD574" s="23"/>
      <c r="CE574" s="23"/>
      <c r="CF574" s="23"/>
      <c r="CG574" s="23"/>
      <c r="CH574" s="23"/>
      <c r="CI574" s="23"/>
      <c r="CJ574" s="23"/>
      <c r="CK574" s="23"/>
      <c r="CL574" s="23"/>
      <c r="CM574" s="23"/>
      <c r="CN574" s="23"/>
      <c r="CO574" s="23"/>
      <c r="CP574" s="23"/>
      <c r="CQ574" s="23"/>
      <c r="CR574" s="23"/>
      <c r="CS574" s="23"/>
      <c r="CT574" s="23"/>
      <c r="CU574" s="23"/>
      <c r="CV574" s="23"/>
      <c r="CW574" s="23"/>
      <c r="CX574" s="23"/>
      <c r="CY574" s="23"/>
      <c r="CZ574" s="23"/>
      <c r="DA574" s="23"/>
      <c r="DB574" s="23"/>
      <c r="DC574" s="23"/>
      <c r="DD574" s="23"/>
      <c r="DE574" s="23"/>
      <c r="DF574" s="23"/>
      <c r="DG574" s="23"/>
      <c r="DH574" s="23"/>
      <c r="DI574" s="23"/>
      <c r="DJ574" s="23"/>
      <c r="DK574" s="23"/>
      <c r="DL574" s="23"/>
      <c r="DM574" s="23"/>
      <c r="DN574" s="23"/>
      <c r="DO574" s="23"/>
      <c r="DP574" s="23"/>
      <c r="DQ574" s="23"/>
      <c r="DR574" s="23"/>
      <c r="DS574" s="23"/>
      <c r="DT574" s="23"/>
      <c r="DU574" s="23"/>
      <c r="DV574" s="23"/>
      <c r="DW574" s="23"/>
      <c r="DX574" s="23"/>
      <c r="DY574" s="23"/>
      <c r="DZ574" s="23"/>
      <c r="EA574" s="23"/>
      <c r="EB574" s="23"/>
      <c r="EC574" s="23"/>
      <c r="ED574" s="23"/>
      <c r="EE574" s="23"/>
      <c r="EF574" s="23"/>
      <c r="EG574" s="23"/>
      <c r="EH574" s="23"/>
      <c r="EI574" s="23"/>
      <c r="EJ574" s="23"/>
      <c r="EK574" s="23"/>
      <c r="EL574" s="23"/>
      <c r="EM574" s="23"/>
      <c r="EN574" s="23"/>
      <c r="EO574" s="23"/>
      <c r="EP574" s="23"/>
      <c r="EQ574" s="23"/>
      <c r="ER574" s="23"/>
      <c r="ES574" s="23"/>
      <c r="ET574" s="23"/>
      <c r="EU574" s="23"/>
      <c r="EV574" s="23"/>
      <c r="EW574" s="23"/>
      <c r="EX574" s="23"/>
      <c r="EY574" s="23"/>
      <c r="EZ574" s="23"/>
      <c r="FA574" s="23"/>
      <c r="FB574" s="23"/>
      <c r="FC574" s="23"/>
      <c r="FD574" s="23"/>
      <c r="FE574" s="23"/>
      <c r="FF574" s="23"/>
      <c r="FG574" s="23"/>
      <c r="FH574" s="23"/>
      <c r="FI574" s="23"/>
      <c r="FJ574" s="23"/>
      <c r="FK574" s="23"/>
      <c r="FL574" s="23"/>
      <c r="FM574" s="23"/>
      <c r="FN574" s="23"/>
      <c r="FO574" s="23"/>
      <c r="FP574" s="23"/>
      <c r="FQ574" s="23"/>
      <c r="FR574" s="23"/>
      <c r="FS574" s="23"/>
      <c r="FT574" s="23"/>
      <c r="FU574" s="23"/>
      <c r="FV574" s="23"/>
      <c r="FW574" s="23"/>
      <c r="FX574" s="23"/>
      <c r="FY574" s="23"/>
      <c r="FZ574" s="23"/>
      <c r="GA574" s="23"/>
      <c r="GB574" s="23"/>
      <c r="GC574" s="23"/>
      <c r="GD574" s="23"/>
      <c r="GE574" s="23"/>
      <c r="GF574" s="23"/>
      <c r="GG574" s="23"/>
      <c r="GH574" s="23"/>
      <c r="GI574" s="23"/>
      <c r="GJ574" s="23"/>
      <c r="GK574" s="23"/>
      <c r="GL574" s="23"/>
    </row>
    <row r="575" spans="1:194" ht="13">
      <c r="A575" s="23"/>
      <c r="B575" s="23"/>
      <c r="C575" s="23"/>
      <c r="D575" s="23"/>
      <c r="E575" s="23"/>
      <c r="F575" s="23"/>
      <c r="G575" s="23"/>
      <c r="H575" s="401"/>
      <c r="I575" s="401"/>
      <c r="J575" s="401"/>
      <c r="K575" s="401"/>
      <c r="L575" s="401"/>
      <c r="M575" s="438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  <c r="AL575" s="23"/>
      <c r="AM575" s="23"/>
      <c r="AN575" s="23"/>
      <c r="AO575" s="23"/>
      <c r="AP575" s="23"/>
      <c r="AQ575" s="23"/>
      <c r="AR575" s="23"/>
      <c r="AS575" s="23"/>
      <c r="AT575" s="23"/>
      <c r="AU575" s="23"/>
      <c r="AV575" s="23"/>
      <c r="AW575" s="23"/>
      <c r="AX575" s="23"/>
      <c r="AY575" s="23"/>
      <c r="AZ575" s="23"/>
      <c r="BA575" s="23"/>
      <c r="BB575" s="23"/>
      <c r="BC575" s="23"/>
      <c r="BD575" s="23"/>
      <c r="BE575" s="23"/>
      <c r="BF575" s="23"/>
      <c r="BG575" s="23"/>
      <c r="BH575" s="23"/>
      <c r="BI575" s="23"/>
      <c r="BJ575" s="23"/>
      <c r="BK575" s="23"/>
      <c r="BL575" s="23"/>
      <c r="BM575" s="23"/>
      <c r="BN575" s="23"/>
      <c r="BO575" s="23"/>
      <c r="BP575" s="23"/>
      <c r="BQ575" s="23"/>
      <c r="BR575" s="23"/>
      <c r="BS575" s="23"/>
      <c r="BT575" s="23"/>
      <c r="BU575" s="23"/>
      <c r="BV575" s="23"/>
      <c r="BW575" s="23"/>
      <c r="BX575" s="23"/>
      <c r="BY575" s="23"/>
      <c r="BZ575" s="23"/>
      <c r="CA575" s="23"/>
      <c r="CB575" s="23"/>
      <c r="CC575" s="23"/>
      <c r="CD575" s="23"/>
      <c r="CE575" s="23"/>
      <c r="CF575" s="23"/>
      <c r="CG575" s="23"/>
      <c r="CH575" s="23"/>
      <c r="CI575" s="23"/>
      <c r="CJ575" s="23"/>
      <c r="CK575" s="23"/>
      <c r="CL575" s="23"/>
      <c r="CM575" s="23"/>
      <c r="CN575" s="23"/>
      <c r="CO575" s="23"/>
      <c r="CP575" s="23"/>
      <c r="CQ575" s="23"/>
      <c r="CR575" s="23"/>
      <c r="CS575" s="23"/>
      <c r="CT575" s="23"/>
      <c r="CU575" s="23"/>
      <c r="CV575" s="23"/>
      <c r="CW575" s="23"/>
      <c r="CX575" s="23"/>
      <c r="CY575" s="23"/>
      <c r="CZ575" s="23"/>
      <c r="DA575" s="23"/>
      <c r="DB575" s="23"/>
      <c r="DC575" s="23"/>
      <c r="DD575" s="23"/>
      <c r="DE575" s="23"/>
      <c r="DF575" s="23"/>
      <c r="DG575" s="23"/>
      <c r="DH575" s="23"/>
      <c r="DI575" s="23"/>
      <c r="DJ575" s="23"/>
      <c r="DK575" s="23"/>
      <c r="DL575" s="23"/>
      <c r="DM575" s="23"/>
      <c r="DN575" s="23"/>
      <c r="DO575" s="23"/>
      <c r="DP575" s="23"/>
      <c r="DQ575" s="23"/>
      <c r="DR575" s="23"/>
      <c r="DS575" s="23"/>
      <c r="DT575" s="23"/>
      <c r="DU575" s="23"/>
      <c r="DV575" s="23"/>
      <c r="DW575" s="23"/>
      <c r="DX575" s="23"/>
      <c r="DY575" s="23"/>
      <c r="DZ575" s="23"/>
      <c r="EA575" s="23"/>
      <c r="EB575" s="23"/>
      <c r="EC575" s="23"/>
      <c r="ED575" s="23"/>
      <c r="EE575" s="23"/>
      <c r="EF575" s="23"/>
      <c r="EG575" s="23"/>
      <c r="EH575" s="23"/>
      <c r="EI575" s="23"/>
      <c r="EJ575" s="23"/>
      <c r="EK575" s="23"/>
      <c r="EL575" s="23"/>
      <c r="EM575" s="23"/>
      <c r="EN575" s="23"/>
      <c r="EO575" s="23"/>
      <c r="EP575" s="23"/>
      <c r="EQ575" s="23"/>
      <c r="ER575" s="23"/>
      <c r="ES575" s="23"/>
      <c r="ET575" s="23"/>
      <c r="EU575" s="23"/>
      <c r="EV575" s="23"/>
      <c r="EW575" s="23"/>
      <c r="EX575" s="23"/>
      <c r="EY575" s="23"/>
      <c r="EZ575" s="23"/>
      <c r="FA575" s="23"/>
      <c r="FB575" s="23"/>
      <c r="FC575" s="23"/>
      <c r="FD575" s="23"/>
      <c r="FE575" s="23"/>
      <c r="FF575" s="23"/>
      <c r="FG575" s="23"/>
      <c r="FH575" s="23"/>
      <c r="FI575" s="23"/>
      <c r="FJ575" s="23"/>
      <c r="FK575" s="23"/>
      <c r="FL575" s="23"/>
      <c r="FM575" s="23"/>
      <c r="FN575" s="23"/>
      <c r="FO575" s="23"/>
      <c r="FP575" s="23"/>
      <c r="FQ575" s="23"/>
      <c r="FR575" s="23"/>
      <c r="FS575" s="23"/>
      <c r="FT575" s="23"/>
      <c r="FU575" s="23"/>
      <c r="FV575" s="23"/>
      <c r="FW575" s="23"/>
      <c r="FX575" s="23"/>
      <c r="FY575" s="23"/>
      <c r="FZ575" s="23"/>
      <c r="GA575" s="23"/>
      <c r="GB575" s="23"/>
      <c r="GC575" s="23"/>
      <c r="GD575" s="23"/>
      <c r="GE575" s="23"/>
      <c r="GF575" s="23"/>
      <c r="GG575" s="23"/>
      <c r="GH575" s="23"/>
      <c r="GI575" s="23"/>
      <c r="GJ575" s="23"/>
      <c r="GK575" s="23"/>
      <c r="GL575" s="23"/>
    </row>
    <row r="576" spans="1:194" ht="13">
      <c r="A576" s="23"/>
      <c r="B576" s="23"/>
      <c r="C576" s="23"/>
      <c r="D576" s="23"/>
      <c r="E576" s="23"/>
      <c r="F576" s="23"/>
      <c r="G576" s="23"/>
      <c r="H576" s="401"/>
      <c r="I576" s="401"/>
      <c r="J576" s="401"/>
      <c r="K576" s="401"/>
      <c r="L576" s="401"/>
      <c r="M576" s="438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  <c r="AL576" s="23"/>
      <c r="AM576" s="23"/>
      <c r="AN576" s="23"/>
      <c r="AO576" s="23"/>
      <c r="AP576" s="23"/>
      <c r="AQ576" s="23"/>
      <c r="AR576" s="23"/>
      <c r="AS576" s="23"/>
      <c r="AT576" s="23"/>
      <c r="AU576" s="23"/>
      <c r="AV576" s="23"/>
      <c r="AW576" s="23"/>
      <c r="AX576" s="23"/>
      <c r="AY576" s="23"/>
      <c r="AZ576" s="23"/>
      <c r="BA576" s="23"/>
      <c r="BB576" s="23"/>
      <c r="BC576" s="23"/>
      <c r="BD576" s="23"/>
      <c r="BE576" s="23"/>
      <c r="BF576" s="23"/>
      <c r="BG576" s="23"/>
      <c r="BH576" s="23"/>
      <c r="BI576" s="23"/>
      <c r="BJ576" s="23"/>
      <c r="BK576" s="23"/>
      <c r="BL576" s="23"/>
      <c r="BM576" s="23"/>
      <c r="BN576" s="23"/>
      <c r="BO576" s="23"/>
      <c r="BP576" s="23"/>
      <c r="BQ576" s="23"/>
      <c r="BR576" s="23"/>
      <c r="BS576" s="23"/>
      <c r="BT576" s="23"/>
      <c r="BU576" s="23"/>
      <c r="BV576" s="23"/>
      <c r="BW576" s="23"/>
      <c r="BX576" s="23"/>
      <c r="BY576" s="23"/>
      <c r="BZ576" s="23"/>
      <c r="CA576" s="23"/>
      <c r="CB576" s="23"/>
      <c r="CC576" s="23"/>
      <c r="CD576" s="23"/>
      <c r="CE576" s="23"/>
      <c r="CF576" s="23"/>
      <c r="CG576" s="23"/>
      <c r="CH576" s="23"/>
      <c r="CI576" s="23"/>
      <c r="CJ576" s="23"/>
      <c r="CK576" s="23"/>
      <c r="CL576" s="23"/>
      <c r="CM576" s="23"/>
      <c r="CN576" s="23"/>
      <c r="CO576" s="23"/>
      <c r="CP576" s="23"/>
      <c r="CQ576" s="23"/>
      <c r="CR576" s="23"/>
      <c r="CS576" s="23"/>
      <c r="CT576" s="23"/>
      <c r="CU576" s="23"/>
      <c r="CV576" s="23"/>
      <c r="CW576" s="23"/>
      <c r="CX576" s="23"/>
      <c r="CY576" s="23"/>
      <c r="CZ576" s="23"/>
      <c r="DA576" s="23"/>
      <c r="DB576" s="23"/>
      <c r="DC576" s="23"/>
      <c r="DD576" s="23"/>
      <c r="DE576" s="23"/>
      <c r="DF576" s="23"/>
      <c r="DG576" s="23"/>
      <c r="DH576" s="23"/>
      <c r="DI576" s="23"/>
      <c r="DJ576" s="23"/>
      <c r="DK576" s="23"/>
      <c r="DL576" s="23"/>
      <c r="DM576" s="23"/>
      <c r="DN576" s="23"/>
      <c r="DO576" s="23"/>
      <c r="DP576" s="23"/>
      <c r="DQ576" s="23"/>
      <c r="DR576" s="23"/>
      <c r="DS576" s="23"/>
      <c r="DT576" s="23"/>
      <c r="DU576" s="23"/>
      <c r="DV576" s="23"/>
      <c r="DW576" s="23"/>
      <c r="DX576" s="23"/>
      <c r="DY576" s="23"/>
      <c r="DZ576" s="23"/>
      <c r="EA576" s="23"/>
      <c r="EB576" s="23"/>
      <c r="EC576" s="23"/>
      <c r="ED576" s="23"/>
      <c r="EE576" s="23"/>
      <c r="EF576" s="23"/>
      <c r="EG576" s="23"/>
      <c r="EH576" s="23"/>
      <c r="EI576" s="23"/>
      <c r="EJ576" s="23"/>
      <c r="EK576" s="23"/>
      <c r="EL576" s="23"/>
      <c r="EM576" s="23"/>
      <c r="EN576" s="23"/>
      <c r="EO576" s="23"/>
      <c r="EP576" s="23"/>
      <c r="EQ576" s="23"/>
      <c r="ER576" s="23"/>
      <c r="ES576" s="23"/>
      <c r="ET576" s="23"/>
      <c r="EU576" s="23"/>
      <c r="EV576" s="23"/>
      <c r="EW576" s="23"/>
      <c r="EX576" s="23"/>
      <c r="EY576" s="23"/>
      <c r="EZ576" s="23"/>
      <c r="FA576" s="23"/>
      <c r="FB576" s="23"/>
      <c r="FC576" s="23"/>
      <c r="FD576" s="23"/>
      <c r="FE576" s="23"/>
      <c r="FF576" s="23"/>
      <c r="FG576" s="23"/>
      <c r="FH576" s="23"/>
      <c r="FI576" s="23"/>
      <c r="FJ576" s="23"/>
      <c r="FK576" s="23"/>
      <c r="FL576" s="23"/>
      <c r="FM576" s="23"/>
      <c r="FN576" s="23"/>
      <c r="FO576" s="23"/>
      <c r="FP576" s="23"/>
      <c r="FQ576" s="23"/>
      <c r="FR576" s="23"/>
      <c r="FS576" s="23"/>
      <c r="FT576" s="23"/>
      <c r="FU576" s="23"/>
      <c r="FV576" s="23"/>
      <c r="FW576" s="23"/>
      <c r="FX576" s="23"/>
      <c r="FY576" s="23"/>
      <c r="FZ576" s="23"/>
      <c r="GA576" s="23"/>
      <c r="GB576" s="23"/>
      <c r="GC576" s="23"/>
      <c r="GD576" s="23"/>
      <c r="GE576" s="23"/>
      <c r="GF576" s="23"/>
      <c r="GG576" s="23"/>
      <c r="GH576" s="23"/>
      <c r="GI576" s="23"/>
      <c r="GJ576" s="23"/>
      <c r="GK576" s="23"/>
      <c r="GL576" s="23"/>
    </row>
    <row r="577" spans="1:194" ht="13">
      <c r="A577" s="23"/>
      <c r="B577" s="23"/>
      <c r="C577" s="23"/>
      <c r="D577" s="23"/>
      <c r="E577" s="23"/>
      <c r="F577" s="23"/>
      <c r="G577" s="23"/>
      <c r="H577" s="401"/>
      <c r="I577" s="401"/>
      <c r="J577" s="401"/>
      <c r="K577" s="401"/>
      <c r="L577" s="401"/>
      <c r="M577" s="438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  <c r="AL577" s="23"/>
      <c r="AM577" s="23"/>
      <c r="AN577" s="23"/>
      <c r="AO577" s="23"/>
      <c r="AP577" s="23"/>
      <c r="AQ577" s="23"/>
      <c r="AR577" s="23"/>
      <c r="AS577" s="23"/>
      <c r="AT577" s="23"/>
      <c r="AU577" s="23"/>
      <c r="AV577" s="23"/>
      <c r="AW577" s="23"/>
      <c r="AX577" s="23"/>
      <c r="AY577" s="23"/>
      <c r="AZ577" s="23"/>
      <c r="BA577" s="23"/>
      <c r="BB577" s="23"/>
      <c r="BC577" s="23"/>
      <c r="BD577" s="23"/>
      <c r="BE577" s="23"/>
      <c r="BF577" s="23"/>
      <c r="BG577" s="23"/>
      <c r="BH577" s="23"/>
      <c r="BI577" s="23"/>
      <c r="BJ577" s="23"/>
      <c r="BK577" s="23"/>
      <c r="BL577" s="23"/>
      <c r="BM577" s="23"/>
      <c r="BN577" s="23"/>
      <c r="BO577" s="23"/>
      <c r="BP577" s="23"/>
      <c r="BQ577" s="23"/>
      <c r="BR577" s="23"/>
      <c r="BS577" s="23"/>
      <c r="BT577" s="23"/>
      <c r="BU577" s="23"/>
      <c r="BV577" s="23"/>
      <c r="BW577" s="23"/>
      <c r="BX577" s="23"/>
      <c r="BY577" s="23"/>
      <c r="BZ577" s="23"/>
      <c r="CA577" s="23"/>
      <c r="CB577" s="23"/>
      <c r="CC577" s="23"/>
      <c r="CD577" s="23"/>
      <c r="CE577" s="23"/>
      <c r="CF577" s="23"/>
      <c r="CG577" s="23"/>
      <c r="CH577" s="23"/>
      <c r="CI577" s="23"/>
      <c r="CJ577" s="23"/>
      <c r="CK577" s="23"/>
      <c r="CL577" s="23"/>
      <c r="CM577" s="23"/>
      <c r="CN577" s="23"/>
      <c r="CO577" s="23"/>
      <c r="CP577" s="23"/>
      <c r="CQ577" s="23"/>
      <c r="CR577" s="23"/>
      <c r="CS577" s="23"/>
      <c r="CT577" s="23"/>
      <c r="CU577" s="23"/>
      <c r="CV577" s="23"/>
      <c r="CW577" s="23"/>
      <c r="CX577" s="23"/>
      <c r="CY577" s="23"/>
      <c r="CZ577" s="23"/>
      <c r="DA577" s="23"/>
      <c r="DB577" s="23"/>
      <c r="DC577" s="23"/>
      <c r="DD577" s="23"/>
      <c r="DE577" s="23"/>
      <c r="DF577" s="23"/>
      <c r="DG577" s="23"/>
      <c r="DH577" s="23"/>
      <c r="DI577" s="23"/>
      <c r="DJ577" s="23"/>
      <c r="DK577" s="23"/>
      <c r="DL577" s="23"/>
      <c r="DM577" s="23"/>
      <c r="DN577" s="23"/>
      <c r="DO577" s="23"/>
      <c r="DP577" s="23"/>
      <c r="DQ577" s="23"/>
      <c r="DR577" s="23"/>
      <c r="DS577" s="23"/>
      <c r="DT577" s="23"/>
      <c r="DU577" s="23"/>
      <c r="DV577" s="23"/>
      <c r="DW577" s="23"/>
      <c r="DX577" s="23"/>
      <c r="DY577" s="23"/>
      <c r="DZ577" s="23"/>
      <c r="EA577" s="23"/>
      <c r="EB577" s="23"/>
      <c r="EC577" s="23"/>
      <c r="ED577" s="23"/>
      <c r="EE577" s="23"/>
      <c r="EF577" s="23"/>
      <c r="EG577" s="23"/>
      <c r="EH577" s="23"/>
      <c r="EI577" s="23"/>
      <c r="EJ577" s="23"/>
      <c r="EK577" s="23"/>
      <c r="EL577" s="23"/>
      <c r="EM577" s="23"/>
      <c r="EN577" s="23"/>
      <c r="EO577" s="23"/>
      <c r="EP577" s="23"/>
      <c r="EQ577" s="23"/>
      <c r="ER577" s="23"/>
      <c r="ES577" s="23"/>
      <c r="ET577" s="23"/>
      <c r="EU577" s="23"/>
      <c r="EV577" s="23"/>
      <c r="EW577" s="23"/>
      <c r="EX577" s="23"/>
      <c r="EY577" s="23"/>
      <c r="EZ577" s="23"/>
      <c r="FA577" s="23"/>
      <c r="FB577" s="23"/>
      <c r="FC577" s="23"/>
      <c r="FD577" s="23"/>
      <c r="FE577" s="23"/>
      <c r="FF577" s="23"/>
      <c r="FG577" s="23"/>
      <c r="FH577" s="23"/>
      <c r="FI577" s="23"/>
      <c r="FJ577" s="23"/>
      <c r="FK577" s="23"/>
      <c r="FL577" s="23"/>
      <c r="FM577" s="23"/>
      <c r="FN577" s="23"/>
      <c r="FO577" s="23"/>
      <c r="FP577" s="23"/>
      <c r="FQ577" s="23"/>
      <c r="FR577" s="23"/>
      <c r="FS577" s="23"/>
      <c r="FT577" s="23"/>
      <c r="FU577" s="23"/>
      <c r="FV577" s="23"/>
      <c r="FW577" s="23"/>
      <c r="FX577" s="23"/>
      <c r="FY577" s="23"/>
      <c r="FZ577" s="23"/>
      <c r="GA577" s="23"/>
      <c r="GB577" s="23"/>
      <c r="GC577" s="23"/>
      <c r="GD577" s="23"/>
      <c r="GE577" s="23"/>
      <c r="GF577" s="23"/>
      <c r="GG577" s="23"/>
      <c r="GH577" s="23"/>
      <c r="GI577" s="23"/>
      <c r="GJ577" s="23"/>
      <c r="GK577" s="23"/>
      <c r="GL577" s="23"/>
    </row>
    <row r="578" spans="1:194" ht="13">
      <c r="A578" s="23"/>
      <c r="B578" s="23"/>
      <c r="C578" s="23"/>
      <c r="D578" s="23"/>
      <c r="E578" s="23"/>
      <c r="F578" s="23"/>
      <c r="G578" s="23"/>
      <c r="H578" s="401"/>
      <c r="I578" s="401"/>
      <c r="J578" s="401"/>
      <c r="K578" s="401"/>
      <c r="L578" s="401"/>
      <c r="M578" s="438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  <c r="AL578" s="23"/>
      <c r="AM578" s="23"/>
      <c r="AN578" s="23"/>
      <c r="AO578" s="23"/>
      <c r="AP578" s="23"/>
      <c r="AQ578" s="23"/>
      <c r="AR578" s="23"/>
      <c r="AS578" s="23"/>
      <c r="AT578" s="23"/>
      <c r="AU578" s="23"/>
      <c r="AV578" s="23"/>
      <c r="AW578" s="23"/>
      <c r="AX578" s="23"/>
      <c r="AY578" s="23"/>
      <c r="AZ578" s="23"/>
      <c r="BA578" s="23"/>
      <c r="BB578" s="23"/>
      <c r="BC578" s="23"/>
      <c r="BD578" s="23"/>
      <c r="BE578" s="23"/>
      <c r="BF578" s="23"/>
      <c r="BG578" s="23"/>
      <c r="BH578" s="23"/>
      <c r="BI578" s="23"/>
      <c r="BJ578" s="23"/>
      <c r="BK578" s="23"/>
      <c r="BL578" s="23"/>
      <c r="BM578" s="23"/>
      <c r="BN578" s="23"/>
      <c r="BO578" s="23"/>
      <c r="BP578" s="23"/>
      <c r="BQ578" s="23"/>
      <c r="BR578" s="23"/>
      <c r="BS578" s="23"/>
      <c r="BT578" s="23"/>
      <c r="BU578" s="23"/>
      <c r="BV578" s="23"/>
      <c r="BW578" s="23"/>
      <c r="BX578" s="23"/>
      <c r="BY578" s="23"/>
      <c r="BZ578" s="23"/>
      <c r="CA578" s="23"/>
      <c r="CB578" s="23"/>
      <c r="CC578" s="23"/>
      <c r="CD578" s="23"/>
      <c r="CE578" s="23"/>
      <c r="CF578" s="23"/>
      <c r="CG578" s="23"/>
      <c r="CH578" s="23"/>
      <c r="CI578" s="23"/>
      <c r="CJ578" s="23"/>
      <c r="CK578" s="23"/>
      <c r="CL578" s="23"/>
      <c r="CM578" s="23"/>
      <c r="CN578" s="23"/>
      <c r="CO578" s="23"/>
      <c r="CP578" s="23"/>
      <c r="CQ578" s="23"/>
      <c r="CR578" s="23"/>
      <c r="CS578" s="23"/>
      <c r="CT578" s="23"/>
      <c r="CU578" s="23"/>
      <c r="CV578" s="23"/>
      <c r="CW578" s="23"/>
      <c r="CX578" s="23"/>
      <c r="CY578" s="23"/>
      <c r="CZ578" s="23"/>
      <c r="DA578" s="23"/>
      <c r="DB578" s="23"/>
      <c r="DC578" s="23"/>
      <c r="DD578" s="23"/>
      <c r="DE578" s="23"/>
      <c r="DF578" s="23"/>
      <c r="DG578" s="23"/>
      <c r="DH578" s="23"/>
      <c r="DI578" s="23"/>
      <c r="DJ578" s="23"/>
      <c r="DK578" s="23"/>
      <c r="DL578" s="23"/>
      <c r="DM578" s="23"/>
      <c r="DN578" s="23"/>
      <c r="DO578" s="23"/>
      <c r="DP578" s="23"/>
      <c r="DQ578" s="23"/>
      <c r="DR578" s="23"/>
      <c r="DS578" s="23"/>
      <c r="DT578" s="23"/>
      <c r="DU578" s="23"/>
      <c r="DV578" s="23"/>
      <c r="DW578" s="23"/>
      <c r="DX578" s="23"/>
      <c r="DY578" s="23"/>
      <c r="DZ578" s="23"/>
      <c r="EA578" s="23"/>
      <c r="EB578" s="23"/>
      <c r="EC578" s="23"/>
      <c r="ED578" s="23"/>
      <c r="EE578" s="23"/>
      <c r="EF578" s="23"/>
      <c r="EG578" s="23"/>
      <c r="EH578" s="23"/>
      <c r="EI578" s="23"/>
      <c r="EJ578" s="23"/>
      <c r="EK578" s="23"/>
      <c r="EL578" s="23"/>
      <c r="EM578" s="23"/>
      <c r="EN578" s="23"/>
      <c r="EO578" s="23"/>
      <c r="EP578" s="23"/>
      <c r="EQ578" s="23"/>
      <c r="ER578" s="23"/>
      <c r="ES578" s="23"/>
      <c r="ET578" s="23"/>
      <c r="EU578" s="23"/>
      <c r="EV578" s="23"/>
      <c r="EW578" s="23"/>
      <c r="EX578" s="23"/>
      <c r="EY578" s="23"/>
      <c r="EZ578" s="23"/>
      <c r="FA578" s="23"/>
      <c r="FB578" s="23"/>
      <c r="FC578" s="23"/>
      <c r="FD578" s="23"/>
      <c r="FE578" s="23"/>
      <c r="FF578" s="23"/>
      <c r="FG578" s="23"/>
      <c r="FH578" s="23"/>
      <c r="FI578" s="23"/>
      <c r="FJ578" s="23"/>
      <c r="FK578" s="23"/>
      <c r="FL578" s="23"/>
      <c r="FM578" s="23"/>
      <c r="FN578" s="23"/>
      <c r="FO578" s="23"/>
      <c r="FP578" s="23"/>
      <c r="FQ578" s="23"/>
      <c r="FR578" s="23"/>
      <c r="FS578" s="23"/>
      <c r="FT578" s="23"/>
      <c r="FU578" s="23"/>
      <c r="FV578" s="23"/>
      <c r="FW578" s="23"/>
      <c r="FX578" s="23"/>
      <c r="FY578" s="23"/>
      <c r="FZ578" s="23"/>
      <c r="GA578" s="23"/>
      <c r="GB578" s="23"/>
      <c r="GC578" s="23"/>
      <c r="GD578" s="23"/>
      <c r="GE578" s="23"/>
      <c r="GF578" s="23"/>
      <c r="GG578" s="23"/>
      <c r="GH578" s="23"/>
      <c r="GI578" s="23"/>
      <c r="GJ578" s="23"/>
      <c r="GK578" s="23"/>
      <c r="GL578" s="23"/>
    </row>
    <row r="579" spans="1:194" ht="13">
      <c r="A579" s="23"/>
      <c r="B579" s="23"/>
      <c r="C579" s="23"/>
      <c r="D579" s="23"/>
      <c r="E579" s="23"/>
      <c r="F579" s="23"/>
      <c r="G579" s="23"/>
      <c r="H579" s="401"/>
      <c r="I579" s="401"/>
      <c r="J579" s="401"/>
      <c r="K579" s="401"/>
      <c r="L579" s="401"/>
      <c r="M579" s="438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  <c r="AL579" s="23"/>
      <c r="AM579" s="23"/>
      <c r="AN579" s="23"/>
      <c r="AO579" s="23"/>
      <c r="AP579" s="23"/>
      <c r="AQ579" s="23"/>
      <c r="AR579" s="23"/>
      <c r="AS579" s="23"/>
      <c r="AT579" s="23"/>
      <c r="AU579" s="23"/>
      <c r="AV579" s="23"/>
      <c r="AW579" s="23"/>
      <c r="AX579" s="23"/>
      <c r="AY579" s="23"/>
      <c r="AZ579" s="23"/>
      <c r="BA579" s="23"/>
      <c r="BB579" s="23"/>
      <c r="BC579" s="23"/>
      <c r="BD579" s="23"/>
      <c r="BE579" s="23"/>
      <c r="BF579" s="23"/>
      <c r="BG579" s="23"/>
      <c r="BH579" s="23"/>
      <c r="BI579" s="23"/>
      <c r="BJ579" s="23"/>
      <c r="BK579" s="23"/>
      <c r="BL579" s="23"/>
      <c r="BM579" s="23"/>
      <c r="BN579" s="23"/>
      <c r="BO579" s="23"/>
      <c r="BP579" s="23"/>
      <c r="BQ579" s="23"/>
      <c r="BR579" s="23"/>
      <c r="BS579" s="23"/>
      <c r="BT579" s="23"/>
      <c r="BU579" s="23"/>
      <c r="BV579" s="23"/>
      <c r="BW579" s="23"/>
      <c r="BX579" s="23"/>
      <c r="BY579" s="23"/>
      <c r="BZ579" s="23"/>
      <c r="CA579" s="23"/>
      <c r="CB579" s="23"/>
      <c r="CC579" s="23"/>
      <c r="CD579" s="23"/>
      <c r="CE579" s="23"/>
      <c r="CF579" s="23"/>
      <c r="CG579" s="23"/>
      <c r="CH579" s="23"/>
      <c r="CI579" s="23"/>
      <c r="CJ579" s="23"/>
      <c r="CK579" s="23"/>
      <c r="CL579" s="23"/>
      <c r="CM579" s="23"/>
      <c r="CN579" s="23"/>
      <c r="CO579" s="23"/>
      <c r="CP579" s="23"/>
      <c r="CQ579" s="23"/>
      <c r="CR579" s="23"/>
      <c r="CS579" s="23"/>
      <c r="CT579" s="23"/>
      <c r="CU579" s="23"/>
      <c r="CV579" s="23"/>
      <c r="CW579" s="23"/>
      <c r="CX579" s="23"/>
      <c r="CY579" s="23"/>
      <c r="CZ579" s="23"/>
      <c r="DA579" s="23"/>
      <c r="DB579" s="23"/>
      <c r="DC579" s="23"/>
      <c r="DD579" s="23"/>
      <c r="DE579" s="23"/>
      <c r="DF579" s="23"/>
      <c r="DG579" s="23"/>
      <c r="DH579" s="23"/>
      <c r="DI579" s="23"/>
      <c r="DJ579" s="23"/>
      <c r="DK579" s="23"/>
      <c r="DL579" s="23"/>
      <c r="DM579" s="23"/>
      <c r="DN579" s="23"/>
      <c r="DO579" s="23"/>
      <c r="DP579" s="23"/>
      <c r="DQ579" s="23"/>
      <c r="DR579" s="23"/>
      <c r="DS579" s="23"/>
      <c r="DT579" s="23"/>
      <c r="DU579" s="23"/>
      <c r="DV579" s="23"/>
      <c r="DW579" s="23"/>
      <c r="DX579" s="23"/>
      <c r="DY579" s="23"/>
      <c r="DZ579" s="23"/>
      <c r="EA579" s="23"/>
      <c r="EB579" s="23"/>
      <c r="EC579" s="23"/>
      <c r="ED579" s="23"/>
      <c r="EE579" s="23"/>
      <c r="EF579" s="23"/>
      <c r="EG579" s="23"/>
      <c r="EH579" s="23"/>
      <c r="EI579" s="23"/>
      <c r="EJ579" s="23"/>
      <c r="EK579" s="23"/>
      <c r="EL579" s="23"/>
      <c r="EM579" s="23"/>
      <c r="EN579" s="23"/>
      <c r="EO579" s="23"/>
      <c r="EP579" s="23"/>
      <c r="EQ579" s="23"/>
      <c r="ER579" s="23"/>
      <c r="ES579" s="23"/>
      <c r="ET579" s="23"/>
      <c r="EU579" s="23"/>
      <c r="EV579" s="23"/>
      <c r="EW579" s="23"/>
      <c r="EX579" s="23"/>
      <c r="EY579" s="23"/>
      <c r="EZ579" s="23"/>
      <c r="FA579" s="23"/>
      <c r="FB579" s="23"/>
      <c r="FC579" s="23"/>
      <c r="FD579" s="23"/>
      <c r="FE579" s="23"/>
      <c r="FF579" s="23"/>
      <c r="FG579" s="23"/>
      <c r="FH579" s="23"/>
      <c r="FI579" s="23"/>
      <c r="FJ579" s="23"/>
      <c r="FK579" s="23"/>
      <c r="FL579" s="23"/>
      <c r="FM579" s="23"/>
      <c r="FN579" s="23"/>
      <c r="FO579" s="23"/>
      <c r="FP579" s="23"/>
      <c r="FQ579" s="23"/>
      <c r="FR579" s="23"/>
      <c r="FS579" s="23"/>
      <c r="FT579" s="23"/>
      <c r="FU579" s="23"/>
      <c r="FV579" s="23"/>
      <c r="FW579" s="23"/>
      <c r="FX579" s="23"/>
      <c r="FY579" s="23"/>
      <c r="FZ579" s="23"/>
      <c r="GA579" s="23"/>
      <c r="GB579" s="23"/>
      <c r="GC579" s="23"/>
      <c r="GD579" s="23"/>
      <c r="GE579" s="23"/>
      <c r="GF579" s="23"/>
      <c r="GG579" s="23"/>
      <c r="GH579" s="23"/>
      <c r="GI579" s="23"/>
      <c r="GJ579" s="23"/>
      <c r="GK579" s="23"/>
      <c r="GL579" s="23"/>
    </row>
    <row r="580" spans="1:194" ht="13">
      <c r="A580" s="23"/>
      <c r="B580" s="23"/>
      <c r="C580" s="23"/>
      <c r="D580" s="23"/>
      <c r="E580" s="23"/>
      <c r="F580" s="23"/>
      <c r="G580" s="23"/>
      <c r="H580" s="401"/>
      <c r="I580" s="401"/>
      <c r="J580" s="401"/>
      <c r="K580" s="401"/>
      <c r="L580" s="401"/>
      <c r="M580" s="438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  <c r="AL580" s="23"/>
      <c r="AM580" s="23"/>
      <c r="AN580" s="23"/>
      <c r="AO580" s="23"/>
      <c r="AP580" s="23"/>
      <c r="AQ580" s="23"/>
      <c r="AR580" s="23"/>
      <c r="AS580" s="23"/>
      <c r="AT580" s="23"/>
      <c r="AU580" s="23"/>
      <c r="AV580" s="23"/>
      <c r="AW580" s="23"/>
      <c r="AX580" s="23"/>
      <c r="AY580" s="23"/>
      <c r="AZ580" s="23"/>
      <c r="BA580" s="23"/>
      <c r="BB580" s="23"/>
      <c r="BC580" s="23"/>
      <c r="BD580" s="23"/>
      <c r="BE580" s="23"/>
      <c r="BF580" s="23"/>
      <c r="BG580" s="23"/>
      <c r="BH580" s="23"/>
      <c r="BI580" s="23"/>
      <c r="BJ580" s="23"/>
      <c r="BK580" s="23"/>
      <c r="BL580" s="23"/>
      <c r="BM580" s="23"/>
      <c r="BN580" s="23"/>
      <c r="BO580" s="23"/>
      <c r="BP580" s="23"/>
      <c r="BQ580" s="23"/>
      <c r="BR580" s="23"/>
      <c r="BS580" s="23"/>
      <c r="BT580" s="23"/>
      <c r="BU580" s="23"/>
      <c r="BV580" s="23"/>
      <c r="BW580" s="23"/>
      <c r="BX580" s="23"/>
      <c r="BY580" s="23"/>
      <c r="BZ580" s="23"/>
      <c r="CA580" s="23"/>
      <c r="CB580" s="23"/>
      <c r="CC580" s="23"/>
      <c r="CD580" s="23"/>
      <c r="CE580" s="23"/>
      <c r="CF580" s="23"/>
      <c r="CG580" s="23"/>
      <c r="CH580" s="23"/>
      <c r="CI580" s="23"/>
      <c r="CJ580" s="23"/>
      <c r="CK580" s="23"/>
      <c r="CL580" s="23"/>
      <c r="CM580" s="23"/>
      <c r="CN580" s="23"/>
      <c r="CO580" s="23"/>
      <c r="CP580" s="23"/>
      <c r="CQ580" s="23"/>
      <c r="CR580" s="23"/>
      <c r="CS580" s="23"/>
      <c r="CT580" s="23"/>
      <c r="CU580" s="23"/>
      <c r="CV580" s="23"/>
      <c r="CW580" s="23"/>
      <c r="CX580" s="23"/>
      <c r="CY580" s="23"/>
      <c r="CZ580" s="23"/>
      <c r="DA580" s="23"/>
      <c r="DB580" s="23"/>
      <c r="DC580" s="23"/>
      <c r="DD580" s="23"/>
      <c r="DE580" s="23"/>
      <c r="DF580" s="23"/>
      <c r="DG580" s="23"/>
      <c r="DH580" s="23"/>
      <c r="DI580" s="23"/>
      <c r="DJ580" s="23"/>
      <c r="DK580" s="23"/>
      <c r="DL580" s="23"/>
      <c r="DM580" s="23"/>
      <c r="DN580" s="23"/>
      <c r="DO580" s="23"/>
      <c r="DP580" s="23"/>
      <c r="DQ580" s="23"/>
      <c r="DR580" s="23"/>
      <c r="DS580" s="23"/>
      <c r="DT580" s="23"/>
      <c r="DU580" s="23"/>
      <c r="DV580" s="23"/>
      <c r="DW580" s="23"/>
      <c r="DX580" s="23"/>
      <c r="DY580" s="23"/>
      <c r="DZ580" s="23"/>
      <c r="EA580" s="23"/>
      <c r="EB580" s="23"/>
      <c r="EC580" s="23"/>
      <c r="ED580" s="23"/>
      <c r="EE580" s="23"/>
      <c r="EF580" s="23"/>
      <c r="EG580" s="23"/>
      <c r="EH580" s="23"/>
      <c r="EI580" s="23"/>
      <c r="EJ580" s="23"/>
      <c r="EK580" s="23"/>
      <c r="EL580" s="23"/>
      <c r="EM580" s="23"/>
      <c r="EN580" s="23"/>
      <c r="EO580" s="23"/>
      <c r="EP580" s="23"/>
      <c r="EQ580" s="23"/>
      <c r="ER580" s="23"/>
      <c r="ES580" s="23"/>
      <c r="ET580" s="23"/>
      <c r="EU580" s="23"/>
      <c r="EV580" s="23"/>
      <c r="EW580" s="23"/>
      <c r="EX580" s="23"/>
      <c r="EY580" s="23"/>
      <c r="EZ580" s="23"/>
      <c r="FA580" s="23"/>
      <c r="FB580" s="23"/>
      <c r="FC580" s="23"/>
      <c r="FD580" s="23"/>
      <c r="FE580" s="23"/>
      <c r="FF580" s="23"/>
      <c r="FG580" s="23"/>
      <c r="FH580" s="23"/>
      <c r="FI580" s="23"/>
      <c r="FJ580" s="23"/>
      <c r="FK580" s="23"/>
      <c r="FL580" s="23"/>
      <c r="FM580" s="23"/>
      <c r="FN580" s="23"/>
      <c r="FO580" s="23"/>
      <c r="FP580" s="23"/>
      <c r="FQ580" s="23"/>
      <c r="FR580" s="23"/>
      <c r="FS580" s="23"/>
      <c r="FT580" s="23"/>
      <c r="FU580" s="23"/>
      <c r="FV580" s="23"/>
      <c r="FW580" s="23"/>
      <c r="FX580" s="23"/>
      <c r="FY580" s="23"/>
      <c r="FZ580" s="23"/>
      <c r="GA580" s="23"/>
      <c r="GB580" s="23"/>
      <c r="GC580" s="23"/>
      <c r="GD580" s="23"/>
      <c r="GE580" s="23"/>
      <c r="GF580" s="23"/>
      <c r="GG580" s="23"/>
      <c r="GH580" s="23"/>
      <c r="GI580" s="23"/>
      <c r="GJ580" s="23"/>
      <c r="GK580" s="23"/>
      <c r="GL580" s="23"/>
    </row>
    <row r="581" spans="1:194" ht="13">
      <c r="A581" s="23"/>
      <c r="B581" s="23"/>
      <c r="C581" s="23"/>
      <c r="D581" s="23"/>
      <c r="E581" s="23"/>
      <c r="F581" s="23"/>
      <c r="G581" s="23"/>
      <c r="H581" s="401"/>
      <c r="I581" s="401"/>
      <c r="J581" s="401"/>
      <c r="K581" s="401"/>
      <c r="L581" s="401"/>
      <c r="M581" s="438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  <c r="AL581" s="23"/>
      <c r="AM581" s="23"/>
      <c r="AN581" s="23"/>
      <c r="AO581" s="23"/>
      <c r="AP581" s="23"/>
      <c r="AQ581" s="23"/>
      <c r="AR581" s="23"/>
      <c r="AS581" s="23"/>
      <c r="AT581" s="23"/>
      <c r="AU581" s="23"/>
      <c r="AV581" s="23"/>
      <c r="AW581" s="23"/>
      <c r="AX581" s="23"/>
      <c r="AY581" s="23"/>
      <c r="AZ581" s="23"/>
      <c r="BA581" s="23"/>
      <c r="BB581" s="23"/>
      <c r="BC581" s="23"/>
      <c r="BD581" s="23"/>
      <c r="BE581" s="23"/>
      <c r="BF581" s="23"/>
      <c r="BG581" s="23"/>
      <c r="BH581" s="23"/>
      <c r="BI581" s="23"/>
      <c r="BJ581" s="23"/>
      <c r="BK581" s="23"/>
      <c r="BL581" s="23"/>
      <c r="BM581" s="23"/>
      <c r="BN581" s="23"/>
      <c r="BO581" s="23"/>
      <c r="BP581" s="23"/>
      <c r="BQ581" s="23"/>
      <c r="BR581" s="23"/>
      <c r="BS581" s="23"/>
      <c r="BT581" s="23"/>
      <c r="BU581" s="23"/>
      <c r="BV581" s="23"/>
      <c r="BW581" s="23"/>
      <c r="BX581" s="23"/>
      <c r="BY581" s="23"/>
      <c r="BZ581" s="23"/>
      <c r="CA581" s="23"/>
      <c r="CB581" s="23"/>
      <c r="CC581" s="23"/>
      <c r="CD581" s="23"/>
      <c r="CE581" s="23"/>
      <c r="CF581" s="23"/>
      <c r="CG581" s="23"/>
      <c r="CH581" s="23"/>
      <c r="CI581" s="23"/>
      <c r="CJ581" s="23"/>
      <c r="CK581" s="23"/>
      <c r="CL581" s="23"/>
      <c r="CM581" s="23"/>
      <c r="CN581" s="23"/>
      <c r="CO581" s="23"/>
      <c r="CP581" s="23"/>
      <c r="CQ581" s="23"/>
      <c r="CR581" s="23"/>
      <c r="CS581" s="23"/>
      <c r="CT581" s="23"/>
      <c r="CU581" s="23"/>
      <c r="CV581" s="23"/>
      <c r="CW581" s="23"/>
      <c r="CX581" s="23"/>
      <c r="CY581" s="23"/>
      <c r="CZ581" s="23"/>
      <c r="DA581" s="23"/>
      <c r="DB581" s="23"/>
      <c r="DC581" s="23"/>
      <c r="DD581" s="23"/>
      <c r="DE581" s="23"/>
      <c r="DF581" s="23"/>
      <c r="DG581" s="23"/>
      <c r="DH581" s="23"/>
      <c r="DI581" s="23"/>
      <c r="DJ581" s="23"/>
      <c r="DK581" s="23"/>
      <c r="DL581" s="23"/>
      <c r="DM581" s="23"/>
      <c r="DN581" s="23"/>
      <c r="DO581" s="23"/>
      <c r="DP581" s="23"/>
      <c r="DQ581" s="23"/>
      <c r="DR581" s="23"/>
      <c r="DS581" s="23"/>
      <c r="DT581" s="23"/>
      <c r="DU581" s="23"/>
      <c r="DV581" s="23"/>
      <c r="DW581" s="23"/>
      <c r="DX581" s="23"/>
      <c r="DY581" s="23"/>
      <c r="DZ581" s="23"/>
      <c r="EA581" s="23"/>
      <c r="EB581" s="23"/>
      <c r="EC581" s="23"/>
      <c r="ED581" s="23"/>
      <c r="EE581" s="23"/>
      <c r="EF581" s="23"/>
      <c r="EG581" s="23"/>
      <c r="EH581" s="23"/>
      <c r="EI581" s="23"/>
      <c r="EJ581" s="23"/>
      <c r="EK581" s="23"/>
      <c r="EL581" s="23"/>
      <c r="EM581" s="23"/>
      <c r="EN581" s="23"/>
      <c r="EO581" s="23"/>
      <c r="EP581" s="23"/>
      <c r="EQ581" s="23"/>
      <c r="ER581" s="23"/>
      <c r="ES581" s="23"/>
      <c r="ET581" s="23"/>
      <c r="EU581" s="23"/>
      <c r="EV581" s="23"/>
      <c r="EW581" s="23"/>
      <c r="EX581" s="23"/>
      <c r="EY581" s="23"/>
      <c r="EZ581" s="23"/>
      <c r="FA581" s="23"/>
      <c r="FB581" s="23"/>
      <c r="FC581" s="23"/>
      <c r="FD581" s="23"/>
      <c r="FE581" s="23"/>
      <c r="FF581" s="23"/>
      <c r="FG581" s="23"/>
      <c r="FH581" s="23"/>
      <c r="FI581" s="23"/>
      <c r="FJ581" s="23"/>
      <c r="FK581" s="23"/>
      <c r="FL581" s="23"/>
      <c r="FM581" s="23"/>
      <c r="FN581" s="23"/>
      <c r="FO581" s="23"/>
      <c r="FP581" s="23"/>
      <c r="FQ581" s="23"/>
      <c r="FR581" s="23"/>
      <c r="FS581" s="23"/>
      <c r="FT581" s="23"/>
      <c r="FU581" s="23"/>
      <c r="FV581" s="23"/>
      <c r="FW581" s="23"/>
      <c r="FX581" s="23"/>
      <c r="FY581" s="23"/>
      <c r="FZ581" s="23"/>
      <c r="GA581" s="23"/>
      <c r="GB581" s="23"/>
      <c r="GC581" s="23"/>
      <c r="GD581" s="23"/>
      <c r="GE581" s="23"/>
      <c r="GF581" s="23"/>
      <c r="GG581" s="23"/>
      <c r="GH581" s="23"/>
      <c r="GI581" s="23"/>
      <c r="GJ581" s="23"/>
      <c r="GK581" s="23"/>
      <c r="GL581" s="23"/>
    </row>
    <row r="582" spans="1:194" ht="13">
      <c r="A582" s="23"/>
      <c r="B582" s="23"/>
      <c r="C582" s="23"/>
      <c r="D582" s="23"/>
      <c r="E582" s="23"/>
      <c r="F582" s="23"/>
      <c r="G582" s="23"/>
      <c r="H582" s="401"/>
      <c r="I582" s="401"/>
      <c r="J582" s="401"/>
      <c r="K582" s="401"/>
      <c r="L582" s="401"/>
      <c r="M582" s="438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  <c r="AL582" s="23"/>
      <c r="AM582" s="23"/>
      <c r="AN582" s="23"/>
      <c r="AO582" s="23"/>
      <c r="AP582" s="23"/>
      <c r="AQ582" s="23"/>
      <c r="AR582" s="23"/>
      <c r="AS582" s="23"/>
      <c r="AT582" s="23"/>
      <c r="AU582" s="23"/>
      <c r="AV582" s="23"/>
      <c r="AW582" s="23"/>
      <c r="AX582" s="23"/>
      <c r="AY582" s="23"/>
      <c r="AZ582" s="23"/>
      <c r="BA582" s="23"/>
      <c r="BB582" s="23"/>
      <c r="BC582" s="23"/>
      <c r="BD582" s="23"/>
      <c r="BE582" s="23"/>
      <c r="BF582" s="23"/>
      <c r="BG582" s="23"/>
      <c r="BH582" s="23"/>
      <c r="BI582" s="23"/>
      <c r="BJ582" s="23"/>
      <c r="BK582" s="23"/>
      <c r="BL582" s="23"/>
      <c r="BM582" s="23"/>
      <c r="BN582" s="23"/>
      <c r="BO582" s="23"/>
      <c r="BP582" s="23"/>
      <c r="BQ582" s="23"/>
      <c r="BR582" s="23"/>
      <c r="BS582" s="23"/>
      <c r="BT582" s="23"/>
      <c r="BU582" s="23"/>
      <c r="BV582" s="23"/>
      <c r="BW582" s="23"/>
      <c r="BX582" s="23"/>
      <c r="BY582" s="23"/>
      <c r="BZ582" s="23"/>
      <c r="CA582" s="23"/>
      <c r="CB582" s="23"/>
      <c r="CC582" s="23"/>
      <c r="CD582" s="23"/>
      <c r="CE582" s="23"/>
      <c r="CF582" s="23"/>
      <c r="CG582" s="23"/>
      <c r="CH582" s="23"/>
      <c r="CI582" s="23"/>
      <c r="CJ582" s="23"/>
      <c r="CK582" s="23"/>
      <c r="CL582" s="23"/>
      <c r="CM582" s="23"/>
      <c r="CN582" s="23"/>
      <c r="CO582" s="23"/>
      <c r="CP582" s="23"/>
      <c r="CQ582" s="23"/>
      <c r="CR582" s="23"/>
      <c r="CS582" s="23"/>
      <c r="CT582" s="23"/>
      <c r="CU582" s="23"/>
      <c r="CV582" s="23"/>
      <c r="CW582" s="23"/>
      <c r="CX582" s="23"/>
      <c r="CY582" s="23"/>
      <c r="CZ582" s="23"/>
      <c r="DA582" s="23"/>
      <c r="DB582" s="23"/>
      <c r="DC582" s="23"/>
      <c r="DD582" s="23"/>
      <c r="DE582" s="23"/>
      <c r="DF582" s="23"/>
      <c r="DG582" s="23"/>
      <c r="DH582" s="23"/>
      <c r="DI582" s="23"/>
      <c r="DJ582" s="23"/>
      <c r="DK582" s="23"/>
      <c r="DL582" s="23"/>
      <c r="DM582" s="23"/>
      <c r="DN582" s="23"/>
      <c r="DO582" s="23"/>
      <c r="DP582" s="23"/>
      <c r="DQ582" s="23"/>
      <c r="DR582" s="23"/>
      <c r="DS582" s="23"/>
      <c r="DT582" s="23"/>
      <c r="DU582" s="23"/>
      <c r="DV582" s="23"/>
      <c r="DW582" s="23"/>
      <c r="DX582" s="23"/>
      <c r="DY582" s="23"/>
      <c r="DZ582" s="23"/>
      <c r="EA582" s="23"/>
      <c r="EB582" s="23"/>
      <c r="EC582" s="23"/>
      <c r="ED582" s="23"/>
      <c r="EE582" s="23"/>
      <c r="EF582" s="23"/>
      <c r="EG582" s="23"/>
      <c r="EH582" s="23"/>
      <c r="EI582" s="23"/>
      <c r="EJ582" s="23"/>
      <c r="EK582" s="23"/>
      <c r="EL582" s="23"/>
      <c r="EM582" s="23"/>
      <c r="EN582" s="23"/>
      <c r="EO582" s="23"/>
      <c r="EP582" s="23"/>
      <c r="EQ582" s="23"/>
      <c r="ER582" s="23"/>
      <c r="ES582" s="23"/>
      <c r="ET582" s="23"/>
      <c r="EU582" s="23"/>
      <c r="EV582" s="23"/>
      <c r="EW582" s="23"/>
      <c r="EX582" s="23"/>
      <c r="EY582" s="23"/>
      <c r="EZ582" s="23"/>
      <c r="FA582" s="23"/>
      <c r="FB582" s="23"/>
      <c r="FC582" s="23"/>
      <c r="FD582" s="23"/>
      <c r="FE582" s="23"/>
      <c r="FF582" s="23"/>
      <c r="FG582" s="23"/>
      <c r="FH582" s="23"/>
      <c r="FI582" s="23"/>
      <c r="FJ582" s="23"/>
      <c r="FK582" s="23"/>
      <c r="FL582" s="23"/>
      <c r="FM582" s="23"/>
      <c r="FN582" s="23"/>
      <c r="FO582" s="23"/>
      <c r="FP582" s="23"/>
      <c r="FQ582" s="23"/>
      <c r="FR582" s="23"/>
      <c r="FS582" s="23"/>
      <c r="FT582" s="23"/>
      <c r="FU582" s="23"/>
      <c r="FV582" s="23"/>
      <c r="FW582" s="23"/>
      <c r="FX582" s="23"/>
      <c r="FY582" s="23"/>
      <c r="FZ582" s="23"/>
      <c r="GA582" s="23"/>
      <c r="GB582" s="23"/>
      <c r="GC582" s="23"/>
      <c r="GD582" s="23"/>
      <c r="GE582" s="23"/>
      <c r="GF582" s="23"/>
      <c r="GG582" s="23"/>
      <c r="GH582" s="23"/>
      <c r="GI582" s="23"/>
      <c r="GJ582" s="23"/>
      <c r="GK582" s="23"/>
      <c r="GL582" s="23"/>
    </row>
    <row r="583" spans="1:194" ht="13">
      <c r="A583" s="23"/>
      <c r="B583" s="23"/>
      <c r="C583" s="23"/>
      <c r="D583" s="23"/>
      <c r="E583" s="23"/>
      <c r="F583" s="23"/>
      <c r="G583" s="23"/>
      <c r="H583" s="401"/>
      <c r="I583" s="401"/>
      <c r="J583" s="401"/>
      <c r="K583" s="401"/>
      <c r="L583" s="401"/>
      <c r="M583" s="438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  <c r="AL583" s="23"/>
      <c r="AM583" s="23"/>
      <c r="AN583" s="23"/>
      <c r="AO583" s="23"/>
      <c r="AP583" s="23"/>
      <c r="AQ583" s="23"/>
      <c r="AR583" s="23"/>
      <c r="AS583" s="23"/>
      <c r="AT583" s="23"/>
      <c r="AU583" s="23"/>
      <c r="AV583" s="23"/>
      <c r="AW583" s="23"/>
      <c r="AX583" s="23"/>
      <c r="AY583" s="23"/>
      <c r="AZ583" s="23"/>
      <c r="BA583" s="23"/>
      <c r="BB583" s="23"/>
      <c r="BC583" s="23"/>
      <c r="BD583" s="23"/>
      <c r="BE583" s="23"/>
      <c r="BF583" s="23"/>
      <c r="BG583" s="23"/>
      <c r="BH583" s="23"/>
      <c r="BI583" s="23"/>
      <c r="BJ583" s="23"/>
      <c r="BK583" s="23"/>
      <c r="BL583" s="23"/>
      <c r="BM583" s="23"/>
      <c r="BN583" s="23"/>
      <c r="BO583" s="23"/>
      <c r="BP583" s="23"/>
      <c r="BQ583" s="23"/>
      <c r="BR583" s="23"/>
      <c r="BS583" s="23"/>
      <c r="BT583" s="23"/>
      <c r="BU583" s="23"/>
      <c r="BV583" s="23"/>
      <c r="BW583" s="23"/>
      <c r="BX583" s="23"/>
      <c r="BY583" s="23"/>
      <c r="BZ583" s="23"/>
      <c r="CA583" s="23"/>
      <c r="CB583" s="23"/>
      <c r="CC583" s="23"/>
      <c r="CD583" s="23"/>
      <c r="CE583" s="23"/>
      <c r="CF583" s="23"/>
      <c r="CG583" s="23"/>
      <c r="CH583" s="23"/>
      <c r="CI583" s="23"/>
      <c r="CJ583" s="23"/>
      <c r="CK583" s="23"/>
      <c r="CL583" s="23"/>
      <c r="CM583" s="23"/>
      <c r="CN583" s="23"/>
      <c r="CO583" s="23"/>
      <c r="CP583" s="23"/>
      <c r="CQ583" s="23"/>
      <c r="CR583" s="23"/>
      <c r="CS583" s="23"/>
      <c r="CT583" s="23"/>
      <c r="CU583" s="23"/>
      <c r="CV583" s="23"/>
      <c r="CW583" s="23"/>
      <c r="CX583" s="23"/>
      <c r="CY583" s="23"/>
      <c r="CZ583" s="23"/>
      <c r="DA583" s="23"/>
      <c r="DB583" s="23"/>
      <c r="DC583" s="23"/>
      <c r="DD583" s="23"/>
      <c r="DE583" s="23"/>
      <c r="DF583" s="23"/>
      <c r="DG583" s="23"/>
      <c r="DH583" s="23"/>
      <c r="DI583" s="23"/>
      <c r="DJ583" s="23"/>
      <c r="DK583" s="23"/>
      <c r="DL583" s="23"/>
      <c r="DM583" s="23"/>
      <c r="DN583" s="23"/>
      <c r="DO583" s="23"/>
      <c r="DP583" s="23"/>
      <c r="DQ583" s="23"/>
      <c r="DR583" s="23"/>
      <c r="DS583" s="23"/>
      <c r="DT583" s="23"/>
      <c r="DU583" s="23"/>
      <c r="DV583" s="23"/>
      <c r="DW583" s="23"/>
      <c r="DX583" s="23"/>
      <c r="DY583" s="23"/>
      <c r="DZ583" s="23"/>
      <c r="EA583" s="23"/>
      <c r="EB583" s="23"/>
      <c r="EC583" s="23"/>
      <c r="ED583" s="23"/>
      <c r="EE583" s="23"/>
      <c r="EF583" s="23"/>
      <c r="EG583" s="23"/>
      <c r="EH583" s="23"/>
      <c r="EI583" s="23"/>
      <c r="EJ583" s="23"/>
      <c r="EK583" s="23"/>
      <c r="EL583" s="23"/>
      <c r="EM583" s="23"/>
      <c r="EN583" s="23"/>
      <c r="EO583" s="23"/>
      <c r="EP583" s="23"/>
      <c r="EQ583" s="23"/>
      <c r="ER583" s="23"/>
      <c r="ES583" s="23"/>
      <c r="ET583" s="23"/>
      <c r="EU583" s="23"/>
      <c r="EV583" s="23"/>
      <c r="EW583" s="23"/>
      <c r="EX583" s="23"/>
      <c r="EY583" s="23"/>
      <c r="EZ583" s="23"/>
      <c r="FA583" s="23"/>
      <c r="FB583" s="23"/>
      <c r="FC583" s="23"/>
      <c r="FD583" s="23"/>
      <c r="FE583" s="23"/>
      <c r="FF583" s="23"/>
      <c r="FG583" s="23"/>
      <c r="FH583" s="23"/>
      <c r="FI583" s="23"/>
      <c r="FJ583" s="23"/>
      <c r="FK583" s="23"/>
      <c r="FL583" s="23"/>
      <c r="FM583" s="23"/>
      <c r="FN583" s="23"/>
      <c r="FO583" s="23"/>
      <c r="FP583" s="23"/>
      <c r="FQ583" s="23"/>
      <c r="FR583" s="23"/>
      <c r="FS583" s="23"/>
      <c r="FT583" s="23"/>
      <c r="FU583" s="23"/>
      <c r="FV583" s="23"/>
      <c r="FW583" s="23"/>
      <c r="FX583" s="23"/>
      <c r="FY583" s="23"/>
      <c r="FZ583" s="23"/>
      <c r="GA583" s="23"/>
      <c r="GB583" s="23"/>
      <c r="GC583" s="23"/>
      <c r="GD583" s="23"/>
      <c r="GE583" s="23"/>
      <c r="GF583" s="23"/>
      <c r="GG583" s="23"/>
      <c r="GH583" s="23"/>
      <c r="GI583" s="23"/>
      <c r="GJ583" s="23"/>
      <c r="GK583" s="23"/>
      <c r="GL583" s="23"/>
    </row>
    <row r="584" spans="1:194" ht="13">
      <c r="A584" s="23"/>
      <c r="B584" s="23"/>
      <c r="C584" s="23"/>
      <c r="D584" s="23"/>
      <c r="E584" s="23"/>
      <c r="F584" s="23"/>
      <c r="G584" s="23"/>
      <c r="H584" s="401"/>
      <c r="I584" s="401"/>
      <c r="J584" s="401"/>
      <c r="K584" s="401"/>
      <c r="L584" s="401"/>
      <c r="M584" s="438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  <c r="AL584" s="23"/>
      <c r="AM584" s="23"/>
      <c r="AN584" s="23"/>
      <c r="AO584" s="23"/>
      <c r="AP584" s="23"/>
      <c r="AQ584" s="23"/>
      <c r="AR584" s="23"/>
      <c r="AS584" s="23"/>
      <c r="AT584" s="23"/>
      <c r="AU584" s="23"/>
      <c r="AV584" s="23"/>
      <c r="AW584" s="23"/>
      <c r="AX584" s="23"/>
      <c r="AY584" s="23"/>
      <c r="AZ584" s="23"/>
      <c r="BA584" s="23"/>
      <c r="BB584" s="23"/>
      <c r="BC584" s="23"/>
      <c r="BD584" s="23"/>
      <c r="BE584" s="23"/>
      <c r="BF584" s="23"/>
      <c r="BG584" s="23"/>
      <c r="BH584" s="23"/>
      <c r="BI584" s="23"/>
      <c r="BJ584" s="23"/>
      <c r="BK584" s="23"/>
      <c r="BL584" s="23"/>
      <c r="BM584" s="23"/>
      <c r="BN584" s="23"/>
      <c r="BO584" s="23"/>
      <c r="BP584" s="23"/>
      <c r="BQ584" s="23"/>
      <c r="BR584" s="23"/>
      <c r="BS584" s="23"/>
      <c r="BT584" s="23"/>
      <c r="BU584" s="23"/>
      <c r="BV584" s="23"/>
      <c r="BW584" s="23"/>
      <c r="BX584" s="23"/>
      <c r="BY584" s="23"/>
      <c r="BZ584" s="23"/>
      <c r="CA584" s="23"/>
      <c r="CB584" s="23"/>
      <c r="CC584" s="23"/>
      <c r="CD584" s="23"/>
      <c r="CE584" s="23"/>
      <c r="CF584" s="23"/>
      <c r="CG584" s="23"/>
      <c r="CH584" s="23"/>
      <c r="CI584" s="23"/>
      <c r="CJ584" s="23"/>
      <c r="CK584" s="23"/>
      <c r="CL584" s="23"/>
      <c r="CM584" s="23"/>
      <c r="CN584" s="23"/>
      <c r="CO584" s="23"/>
      <c r="CP584" s="23"/>
      <c r="CQ584" s="23"/>
      <c r="CR584" s="23"/>
      <c r="CS584" s="23"/>
      <c r="CT584" s="23"/>
      <c r="CU584" s="23"/>
      <c r="CV584" s="23"/>
      <c r="CW584" s="23"/>
      <c r="CX584" s="23"/>
      <c r="CY584" s="23"/>
      <c r="CZ584" s="23"/>
      <c r="DA584" s="23"/>
      <c r="DB584" s="23"/>
      <c r="DC584" s="23"/>
      <c r="DD584" s="23"/>
      <c r="DE584" s="23"/>
      <c r="DF584" s="23"/>
      <c r="DG584" s="23"/>
      <c r="DH584" s="23"/>
      <c r="DI584" s="23"/>
      <c r="DJ584" s="23"/>
      <c r="DK584" s="23"/>
      <c r="DL584" s="23"/>
      <c r="DM584" s="23"/>
      <c r="DN584" s="23"/>
      <c r="DO584" s="23"/>
      <c r="DP584" s="23"/>
      <c r="DQ584" s="23"/>
      <c r="DR584" s="23"/>
      <c r="DS584" s="23"/>
      <c r="DT584" s="23"/>
      <c r="DU584" s="23"/>
      <c r="DV584" s="23"/>
      <c r="DW584" s="23"/>
      <c r="DX584" s="23"/>
      <c r="DY584" s="23"/>
      <c r="DZ584" s="23"/>
      <c r="EA584" s="23"/>
      <c r="EB584" s="23"/>
      <c r="EC584" s="23"/>
      <c r="ED584" s="23"/>
      <c r="EE584" s="23"/>
      <c r="EF584" s="23"/>
      <c r="EG584" s="23"/>
      <c r="EH584" s="23"/>
      <c r="EI584" s="23"/>
      <c r="EJ584" s="23"/>
      <c r="EK584" s="23"/>
      <c r="EL584" s="23"/>
      <c r="EM584" s="23"/>
      <c r="EN584" s="23"/>
      <c r="EO584" s="23"/>
      <c r="EP584" s="23"/>
      <c r="EQ584" s="23"/>
      <c r="ER584" s="23"/>
      <c r="ES584" s="23"/>
      <c r="ET584" s="23"/>
      <c r="EU584" s="23"/>
      <c r="EV584" s="23"/>
      <c r="EW584" s="23"/>
      <c r="EX584" s="23"/>
      <c r="EY584" s="23"/>
      <c r="EZ584" s="23"/>
      <c r="FA584" s="23"/>
      <c r="FB584" s="23"/>
      <c r="FC584" s="23"/>
      <c r="FD584" s="23"/>
      <c r="FE584" s="23"/>
      <c r="FF584" s="23"/>
      <c r="FG584" s="23"/>
      <c r="FH584" s="23"/>
      <c r="FI584" s="23"/>
      <c r="FJ584" s="23"/>
      <c r="FK584" s="23"/>
      <c r="FL584" s="23"/>
      <c r="FM584" s="23"/>
      <c r="FN584" s="23"/>
      <c r="FO584" s="23"/>
      <c r="FP584" s="23"/>
      <c r="FQ584" s="23"/>
      <c r="FR584" s="23"/>
      <c r="FS584" s="23"/>
      <c r="FT584" s="23"/>
      <c r="FU584" s="23"/>
      <c r="FV584" s="23"/>
      <c r="FW584" s="23"/>
      <c r="FX584" s="23"/>
      <c r="FY584" s="23"/>
      <c r="FZ584" s="23"/>
      <c r="GA584" s="23"/>
      <c r="GB584" s="23"/>
      <c r="GC584" s="23"/>
      <c r="GD584" s="23"/>
      <c r="GE584" s="23"/>
      <c r="GF584" s="23"/>
      <c r="GG584" s="23"/>
      <c r="GH584" s="23"/>
      <c r="GI584" s="23"/>
      <c r="GJ584" s="23"/>
      <c r="GK584" s="23"/>
      <c r="GL584" s="23"/>
    </row>
    <row r="585" spans="1:194" ht="13">
      <c r="A585" s="23"/>
      <c r="B585" s="23"/>
      <c r="C585" s="23"/>
      <c r="D585" s="23"/>
      <c r="E585" s="23"/>
      <c r="F585" s="23"/>
      <c r="G585" s="23"/>
      <c r="H585" s="401"/>
      <c r="I585" s="401"/>
      <c r="J585" s="401"/>
      <c r="K585" s="401"/>
      <c r="L585" s="401"/>
      <c r="M585" s="438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  <c r="AL585" s="23"/>
      <c r="AM585" s="23"/>
      <c r="AN585" s="23"/>
      <c r="AO585" s="23"/>
      <c r="AP585" s="23"/>
      <c r="AQ585" s="23"/>
      <c r="AR585" s="23"/>
      <c r="AS585" s="23"/>
      <c r="AT585" s="23"/>
      <c r="AU585" s="23"/>
      <c r="AV585" s="23"/>
      <c r="AW585" s="23"/>
      <c r="AX585" s="23"/>
      <c r="AY585" s="23"/>
      <c r="AZ585" s="23"/>
      <c r="BA585" s="23"/>
      <c r="BB585" s="23"/>
      <c r="BC585" s="23"/>
      <c r="BD585" s="23"/>
      <c r="BE585" s="23"/>
      <c r="BF585" s="23"/>
      <c r="BG585" s="23"/>
      <c r="BH585" s="23"/>
      <c r="BI585" s="23"/>
      <c r="BJ585" s="23"/>
      <c r="BK585" s="23"/>
      <c r="BL585" s="23"/>
      <c r="BM585" s="23"/>
      <c r="BN585" s="23"/>
      <c r="BO585" s="23"/>
      <c r="BP585" s="23"/>
      <c r="BQ585" s="23"/>
      <c r="BR585" s="23"/>
      <c r="BS585" s="23"/>
      <c r="BT585" s="23"/>
      <c r="BU585" s="23"/>
      <c r="BV585" s="23"/>
      <c r="BW585" s="23"/>
      <c r="BX585" s="23"/>
      <c r="BY585" s="23"/>
      <c r="BZ585" s="23"/>
      <c r="CA585" s="23"/>
      <c r="CB585" s="23"/>
      <c r="CC585" s="23"/>
      <c r="CD585" s="23"/>
      <c r="CE585" s="23"/>
      <c r="CF585" s="23"/>
      <c r="CG585" s="23"/>
      <c r="CH585" s="23"/>
      <c r="CI585" s="23"/>
      <c r="CJ585" s="23"/>
      <c r="CK585" s="23"/>
      <c r="CL585" s="23"/>
      <c r="CM585" s="23"/>
      <c r="CN585" s="23"/>
      <c r="CO585" s="23"/>
      <c r="CP585" s="23"/>
      <c r="CQ585" s="23"/>
      <c r="CR585" s="23"/>
      <c r="CS585" s="23"/>
      <c r="CT585" s="23"/>
      <c r="CU585" s="23"/>
      <c r="CV585" s="23"/>
      <c r="CW585" s="23"/>
      <c r="CX585" s="23"/>
      <c r="CY585" s="23"/>
      <c r="CZ585" s="23"/>
      <c r="DA585" s="23"/>
      <c r="DB585" s="23"/>
      <c r="DC585" s="23"/>
      <c r="DD585" s="23"/>
      <c r="DE585" s="23"/>
      <c r="DF585" s="23"/>
      <c r="DG585" s="23"/>
      <c r="DH585" s="23"/>
      <c r="DI585" s="23"/>
      <c r="DJ585" s="23"/>
      <c r="DK585" s="23"/>
      <c r="DL585" s="23"/>
      <c r="DM585" s="23"/>
      <c r="DN585" s="23"/>
      <c r="DO585" s="23"/>
      <c r="DP585" s="23"/>
      <c r="DQ585" s="23"/>
      <c r="DR585" s="23"/>
      <c r="DS585" s="23"/>
      <c r="DT585" s="23"/>
      <c r="DU585" s="23"/>
      <c r="DV585" s="23"/>
      <c r="DW585" s="23"/>
      <c r="DX585" s="23"/>
      <c r="DY585" s="23"/>
      <c r="DZ585" s="23"/>
      <c r="EA585" s="23"/>
      <c r="EB585" s="23"/>
      <c r="EC585" s="23"/>
      <c r="ED585" s="23"/>
      <c r="EE585" s="23"/>
      <c r="EF585" s="23"/>
      <c r="EG585" s="23"/>
      <c r="EH585" s="23"/>
      <c r="EI585" s="23"/>
      <c r="EJ585" s="23"/>
      <c r="EK585" s="23"/>
      <c r="EL585" s="23"/>
      <c r="EM585" s="23"/>
      <c r="EN585" s="23"/>
      <c r="EO585" s="23"/>
      <c r="EP585" s="23"/>
      <c r="EQ585" s="23"/>
      <c r="ER585" s="23"/>
      <c r="ES585" s="23"/>
      <c r="ET585" s="23"/>
      <c r="EU585" s="23"/>
      <c r="EV585" s="23"/>
      <c r="EW585" s="23"/>
      <c r="EX585" s="23"/>
      <c r="EY585" s="23"/>
      <c r="EZ585" s="23"/>
      <c r="FA585" s="23"/>
      <c r="FB585" s="23"/>
      <c r="FC585" s="23"/>
      <c r="FD585" s="23"/>
      <c r="FE585" s="23"/>
      <c r="FF585" s="23"/>
      <c r="FG585" s="23"/>
      <c r="FH585" s="23"/>
      <c r="FI585" s="23"/>
      <c r="FJ585" s="23"/>
      <c r="FK585" s="23"/>
      <c r="FL585" s="23"/>
      <c r="FM585" s="23"/>
      <c r="FN585" s="23"/>
      <c r="FO585" s="23"/>
      <c r="FP585" s="23"/>
      <c r="FQ585" s="23"/>
      <c r="FR585" s="23"/>
      <c r="FS585" s="23"/>
      <c r="FT585" s="23"/>
      <c r="FU585" s="23"/>
      <c r="FV585" s="23"/>
      <c r="FW585" s="23"/>
      <c r="FX585" s="23"/>
      <c r="FY585" s="23"/>
      <c r="FZ585" s="23"/>
      <c r="GA585" s="23"/>
      <c r="GB585" s="23"/>
      <c r="GC585" s="23"/>
      <c r="GD585" s="23"/>
      <c r="GE585" s="23"/>
      <c r="GF585" s="23"/>
      <c r="GG585" s="23"/>
      <c r="GH585" s="23"/>
      <c r="GI585" s="23"/>
      <c r="GJ585" s="23"/>
      <c r="GK585" s="23"/>
      <c r="GL585" s="23"/>
    </row>
    <row r="586" spans="1:194" ht="13">
      <c r="A586" s="23"/>
      <c r="B586" s="23"/>
      <c r="C586" s="23"/>
      <c r="D586" s="23"/>
      <c r="E586" s="23"/>
      <c r="F586" s="23"/>
      <c r="G586" s="23"/>
      <c r="H586" s="401"/>
      <c r="I586" s="401"/>
      <c r="J586" s="401"/>
      <c r="K586" s="401"/>
      <c r="L586" s="401"/>
      <c r="M586" s="438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  <c r="AL586" s="23"/>
      <c r="AM586" s="23"/>
      <c r="AN586" s="23"/>
      <c r="AO586" s="23"/>
      <c r="AP586" s="23"/>
      <c r="AQ586" s="23"/>
      <c r="AR586" s="23"/>
      <c r="AS586" s="23"/>
      <c r="AT586" s="23"/>
      <c r="AU586" s="23"/>
      <c r="AV586" s="23"/>
      <c r="AW586" s="23"/>
      <c r="AX586" s="23"/>
      <c r="AY586" s="23"/>
      <c r="AZ586" s="23"/>
      <c r="BA586" s="23"/>
      <c r="BB586" s="23"/>
      <c r="BC586" s="23"/>
      <c r="BD586" s="23"/>
      <c r="BE586" s="23"/>
      <c r="BF586" s="23"/>
      <c r="BG586" s="23"/>
      <c r="BH586" s="23"/>
      <c r="BI586" s="23"/>
      <c r="BJ586" s="23"/>
      <c r="BK586" s="23"/>
      <c r="BL586" s="23"/>
      <c r="BM586" s="23"/>
      <c r="BN586" s="23"/>
      <c r="BO586" s="23"/>
      <c r="BP586" s="23"/>
      <c r="BQ586" s="23"/>
      <c r="BR586" s="23"/>
      <c r="BS586" s="23"/>
      <c r="BT586" s="23"/>
      <c r="BU586" s="23"/>
      <c r="BV586" s="23"/>
      <c r="BW586" s="23"/>
      <c r="BX586" s="23"/>
      <c r="BY586" s="23"/>
      <c r="BZ586" s="23"/>
      <c r="CA586" s="23"/>
      <c r="CB586" s="23"/>
      <c r="CC586" s="23"/>
      <c r="CD586" s="23"/>
      <c r="CE586" s="23"/>
      <c r="CF586" s="23"/>
      <c r="CG586" s="23"/>
      <c r="CH586" s="23"/>
      <c r="CI586" s="23"/>
      <c r="CJ586" s="23"/>
      <c r="CK586" s="23"/>
      <c r="CL586" s="23"/>
      <c r="CM586" s="23"/>
      <c r="CN586" s="23"/>
      <c r="CO586" s="23"/>
      <c r="CP586" s="23"/>
      <c r="CQ586" s="23"/>
      <c r="CR586" s="23"/>
      <c r="CS586" s="23"/>
      <c r="CT586" s="23"/>
      <c r="CU586" s="23"/>
      <c r="CV586" s="23"/>
      <c r="CW586" s="23"/>
      <c r="CX586" s="23"/>
      <c r="CY586" s="23"/>
      <c r="CZ586" s="23"/>
      <c r="DA586" s="23"/>
      <c r="DB586" s="23"/>
      <c r="DC586" s="23"/>
      <c r="DD586" s="23"/>
      <c r="DE586" s="23"/>
      <c r="DF586" s="23"/>
      <c r="DG586" s="23"/>
      <c r="DH586" s="23"/>
      <c r="DI586" s="23"/>
      <c r="DJ586" s="23"/>
      <c r="DK586" s="23"/>
      <c r="DL586" s="23"/>
      <c r="DM586" s="23"/>
      <c r="DN586" s="23"/>
      <c r="DO586" s="23"/>
      <c r="DP586" s="23"/>
      <c r="DQ586" s="23"/>
      <c r="DR586" s="23"/>
      <c r="DS586" s="23"/>
      <c r="DT586" s="23"/>
      <c r="DU586" s="23"/>
      <c r="DV586" s="23"/>
      <c r="DW586" s="23"/>
      <c r="DX586" s="23"/>
      <c r="DY586" s="23"/>
      <c r="DZ586" s="23"/>
      <c r="EA586" s="23"/>
      <c r="EB586" s="23"/>
      <c r="EC586" s="23"/>
      <c r="ED586" s="23"/>
      <c r="EE586" s="23"/>
      <c r="EF586" s="23"/>
      <c r="EG586" s="23"/>
      <c r="EH586" s="23"/>
      <c r="EI586" s="23"/>
      <c r="EJ586" s="23"/>
      <c r="EK586" s="23"/>
      <c r="EL586" s="23"/>
      <c r="EM586" s="23"/>
      <c r="EN586" s="23"/>
      <c r="EO586" s="23"/>
      <c r="EP586" s="23"/>
      <c r="EQ586" s="23"/>
      <c r="ER586" s="23"/>
      <c r="ES586" s="23"/>
      <c r="ET586" s="23"/>
      <c r="EU586" s="23"/>
      <c r="EV586" s="23"/>
      <c r="EW586" s="23"/>
      <c r="EX586" s="23"/>
      <c r="EY586" s="23"/>
      <c r="EZ586" s="23"/>
      <c r="FA586" s="23"/>
      <c r="FB586" s="23"/>
      <c r="FC586" s="23"/>
      <c r="FD586" s="23"/>
      <c r="FE586" s="23"/>
      <c r="FF586" s="23"/>
      <c r="FG586" s="23"/>
      <c r="FH586" s="23"/>
      <c r="FI586" s="23"/>
      <c r="FJ586" s="23"/>
      <c r="FK586" s="23"/>
      <c r="FL586" s="23"/>
      <c r="FM586" s="23"/>
      <c r="FN586" s="23"/>
      <c r="FO586" s="23"/>
      <c r="FP586" s="23"/>
      <c r="FQ586" s="23"/>
      <c r="FR586" s="23"/>
      <c r="FS586" s="23"/>
      <c r="FT586" s="23"/>
      <c r="FU586" s="23"/>
      <c r="FV586" s="23"/>
      <c r="FW586" s="23"/>
      <c r="FX586" s="23"/>
      <c r="FY586" s="23"/>
      <c r="FZ586" s="23"/>
      <c r="GA586" s="23"/>
      <c r="GB586" s="23"/>
      <c r="GC586" s="23"/>
      <c r="GD586" s="23"/>
      <c r="GE586" s="23"/>
      <c r="GF586" s="23"/>
      <c r="GG586" s="23"/>
      <c r="GH586" s="23"/>
      <c r="GI586" s="23"/>
      <c r="GJ586" s="23"/>
      <c r="GK586" s="23"/>
      <c r="GL586" s="23"/>
    </row>
    <row r="587" spans="1:194" ht="13">
      <c r="A587" s="23"/>
      <c r="B587" s="23"/>
      <c r="C587" s="23"/>
      <c r="D587" s="23"/>
      <c r="E587" s="23"/>
      <c r="F587" s="23"/>
      <c r="G587" s="23"/>
      <c r="H587" s="401"/>
      <c r="I587" s="401"/>
      <c r="J587" s="401"/>
      <c r="K587" s="401"/>
      <c r="L587" s="401"/>
      <c r="M587" s="438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  <c r="AL587" s="23"/>
      <c r="AM587" s="23"/>
      <c r="AN587" s="23"/>
      <c r="AO587" s="23"/>
      <c r="AP587" s="23"/>
      <c r="AQ587" s="23"/>
      <c r="AR587" s="23"/>
      <c r="AS587" s="23"/>
      <c r="AT587" s="23"/>
      <c r="AU587" s="23"/>
      <c r="AV587" s="23"/>
      <c r="AW587" s="23"/>
      <c r="AX587" s="23"/>
      <c r="AY587" s="23"/>
      <c r="AZ587" s="23"/>
      <c r="BA587" s="23"/>
      <c r="BB587" s="23"/>
      <c r="BC587" s="23"/>
      <c r="BD587" s="23"/>
      <c r="BE587" s="23"/>
      <c r="BF587" s="23"/>
      <c r="BG587" s="23"/>
      <c r="BH587" s="23"/>
      <c r="BI587" s="23"/>
      <c r="BJ587" s="23"/>
      <c r="BK587" s="23"/>
      <c r="BL587" s="23"/>
      <c r="BM587" s="23"/>
      <c r="BN587" s="23"/>
      <c r="BO587" s="23"/>
      <c r="BP587" s="23"/>
      <c r="BQ587" s="23"/>
      <c r="BR587" s="23"/>
      <c r="BS587" s="23"/>
      <c r="BT587" s="23"/>
      <c r="BU587" s="23"/>
      <c r="BV587" s="23"/>
      <c r="BW587" s="23"/>
      <c r="BX587" s="23"/>
      <c r="BY587" s="23"/>
      <c r="BZ587" s="23"/>
      <c r="CA587" s="23"/>
      <c r="CB587" s="23"/>
      <c r="CC587" s="23"/>
      <c r="CD587" s="23"/>
      <c r="CE587" s="23"/>
      <c r="CF587" s="23"/>
      <c r="CG587" s="23"/>
      <c r="CH587" s="23"/>
      <c r="CI587" s="23"/>
      <c r="CJ587" s="23"/>
      <c r="CK587" s="23"/>
      <c r="CL587" s="23"/>
      <c r="CM587" s="23"/>
      <c r="CN587" s="23"/>
      <c r="CO587" s="23"/>
      <c r="CP587" s="23"/>
      <c r="CQ587" s="23"/>
      <c r="CR587" s="23"/>
      <c r="CS587" s="23"/>
      <c r="CT587" s="23"/>
      <c r="CU587" s="23"/>
      <c r="CV587" s="23"/>
      <c r="CW587" s="23"/>
      <c r="CX587" s="23"/>
      <c r="CY587" s="23"/>
      <c r="CZ587" s="23"/>
      <c r="DA587" s="23"/>
      <c r="DB587" s="23"/>
      <c r="DC587" s="23"/>
      <c r="DD587" s="23"/>
      <c r="DE587" s="23"/>
      <c r="DF587" s="23"/>
      <c r="DG587" s="23"/>
      <c r="DH587" s="23"/>
      <c r="DI587" s="23"/>
      <c r="DJ587" s="23"/>
      <c r="DK587" s="23"/>
      <c r="DL587" s="23"/>
      <c r="DM587" s="23"/>
      <c r="DN587" s="23"/>
      <c r="DO587" s="23"/>
      <c r="DP587" s="23"/>
      <c r="DQ587" s="23"/>
      <c r="DR587" s="23"/>
      <c r="DS587" s="23"/>
      <c r="DT587" s="23"/>
      <c r="DU587" s="23"/>
      <c r="DV587" s="23"/>
      <c r="DW587" s="23"/>
      <c r="DX587" s="23"/>
      <c r="DY587" s="23"/>
      <c r="DZ587" s="23"/>
      <c r="EA587" s="23"/>
      <c r="EB587" s="23"/>
      <c r="EC587" s="23"/>
      <c r="ED587" s="23"/>
      <c r="EE587" s="23"/>
      <c r="EF587" s="23"/>
      <c r="EG587" s="23"/>
      <c r="EH587" s="23"/>
      <c r="EI587" s="23"/>
      <c r="EJ587" s="23"/>
      <c r="EK587" s="23"/>
      <c r="EL587" s="23"/>
      <c r="EM587" s="23"/>
      <c r="EN587" s="23"/>
      <c r="EO587" s="23"/>
      <c r="EP587" s="23"/>
      <c r="EQ587" s="23"/>
      <c r="ER587" s="23"/>
      <c r="ES587" s="23"/>
      <c r="ET587" s="23"/>
      <c r="EU587" s="23"/>
      <c r="EV587" s="23"/>
      <c r="EW587" s="23"/>
      <c r="EX587" s="23"/>
      <c r="EY587" s="23"/>
      <c r="EZ587" s="23"/>
      <c r="FA587" s="23"/>
      <c r="FB587" s="23"/>
      <c r="FC587" s="23"/>
      <c r="FD587" s="23"/>
      <c r="FE587" s="23"/>
      <c r="FF587" s="23"/>
      <c r="FG587" s="23"/>
      <c r="FH587" s="23"/>
      <c r="FI587" s="23"/>
      <c r="FJ587" s="23"/>
      <c r="FK587" s="23"/>
      <c r="FL587" s="23"/>
      <c r="FM587" s="23"/>
      <c r="FN587" s="23"/>
      <c r="FO587" s="23"/>
      <c r="FP587" s="23"/>
      <c r="FQ587" s="23"/>
      <c r="FR587" s="23"/>
      <c r="FS587" s="23"/>
      <c r="FT587" s="23"/>
      <c r="FU587" s="23"/>
      <c r="FV587" s="23"/>
      <c r="FW587" s="23"/>
      <c r="FX587" s="23"/>
      <c r="FY587" s="23"/>
      <c r="FZ587" s="23"/>
      <c r="GA587" s="23"/>
      <c r="GB587" s="23"/>
      <c r="GC587" s="23"/>
      <c r="GD587" s="23"/>
      <c r="GE587" s="23"/>
      <c r="GF587" s="23"/>
      <c r="GG587" s="23"/>
      <c r="GH587" s="23"/>
      <c r="GI587" s="23"/>
      <c r="GJ587" s="23"/>
      <c r="GK587" s="23"/>
      <c r="GL587" s="23"/>
    </row>
    <row r="588" spans="1:194" ht="13">
      <c r="A588" s="23"/>
      <c r="B588" s="23"/>
      <c r="C588" s="23"/>
      <c r="D588" s="23"/>
      <c r="E588" s="23"/>
      <c r="F588" s="23"/>
      <c r="G588" s="23"/>
      <c r="H588" s="401"/>
      <c r="I588" s="401"/>
      <c r="J588" s="401"/>
      <c r="K588" s="401"/>
      <c r="L588" s="401"/>
      <c r="M588" s="438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  <c r="AL588" s="23"/>
      <c r="AM588" s="23"/>
      <c r="AN588" s="23"/>
      <c r="AO588" s="23"/>
      <c r="AP588" s="23"/>
      <c r="AQ588" s="23"/>
      <c r="AR588" s="23"/>
      <c r="AS588" s="23"/>
      <c r="AT588" s="23"/>
      <c r="AU588" s="23"/>
      <c r="AV588" s="23"/>
      <c r="AW588" s="23"/>
      <c r="AX588" s="23"/>
      <c r="AY588" s="23"/>
      <c r="AZ588" s="23"/>
      <c r="BA588" s="23"/>
      <c r="BB588" s="23"/>
      <c r="BC588" s="23"/>
      <c r="BD588" s="23"/>
      <c r="BE588" s="23"/>
      <c r="BF588" s="23"/>
      <c r="BG588" s="23"/>
      <c r="BH588" s="23"/>
      <c r="BI588" s="23"/>
      <c r="BJ588" s="23"/>
      <c r="BK588" s="23"/>
      <c r="BL588" s="23"/>
      <c r="BM588" s="23"/>
      <c r="BN588" s="23"/>
      <c r="BO588" s="23"/>
      <c r="BP588" s="23"/>
      <c r="BQ588" s="23"/>
      <c r="BR588" s="23"/>
      <c r="BS588" s="23"/>
      <c r="BT588" s="23"/>
      <c r="BU588" s="23"/>
      <c r="BV588" s="23"/>
      <c r="BW588" s="23"/>
      <c r="BX588" s="23"/>
      <c r="BY588" s="23"/>
      <c r="BZ588" s="23"/>
      <c r="CA588" s="23"/>
      <c r="CB588" s="23"/>
      <c r="CC588" s="23"/>
      <c r="CD588" s="23"/>
      <c r="CE588" s="23"/>
      <c r="CF588" s="23"/>
      <c r="CG588" s="23"/>
      <c r="CH588" s="23"/>
      <c r="CI588" s="23"/>
      <c r="CJ588" s="23"/>
      <c r="CK588" s="23"/>
      <c r="CL588" s="23"/>
      <c r="CM588" s="23"/>
      <c r="CN588" s="23"/>
      <c r="CO588" s="23"/>
      <c r="CP588" s="23"/>
      <c r="CQ588" s="23"/>
      <c r="CR588" s="23"/>
      <c r="CS588" s="23"/>
      <c r="CT588" s="23"/>
      <c r="CU588" s="23"/>
      <c r="CV588" s="23"/>
      <c r="CW588" s="23"/>
      <c r="CX588" s="23"/>
      <c r="CY588" s="23"/>
      <c r="CZ588" s="23"/>
      <c r="DA588" s="23"/>
      <c r="DB588" s="23"/>
      <c r="DC588" s="23"/>
      <c r="DD588" s="23"/>
      <c r="DE588" s="23"/>
      <c r="DF588" s="23"/>
      <c r="DG588" s="23"/>
      <c r="DH588" s="23"/>
      <c r="DI588" s="23"/>
      <c r="DJ588" s="23"/>
      <c r="DK588" s="23"/>
      <c r="DL588" s="23"/>
      <c r="DM588" s="23"/>
      <c r="DN588" s="23"/>
      <c r="DO588" s="23"/>
      <c r="DP588" s="23"/>
      <c r="DQ588" s="23"/>
      <c r="DR588" s="23"/>
      <c r="DS588" s="23"/>
      <c r="DT588" s="23"/>
      <c r="DU588" s="23"/>
      <c r="DV588" s="23"/>
      <c r="DW588" s="23"/>
      <c r="DX588" s="23"/>
      <c r="DY588" s="23"/>
      <c r="DZ588" s="23"/>
      <c r="EA588" s="23"/>
      <c r="EB588" s="23"/>
      <c r="EC588" s="23"/>
      <c r="ED588" s="23"/>
      <c r="EE588" s="23"/>
      <c r="EF588" s="23"/>
      <c r="EG588" s="23"/>
      <c r="EH588" s="23"/>
      <c r="EI588" s="23"/>
      <c r="EJ588" s="23"/>
      <c r="EK588" s="23"/>
      <c r="EL588" s="23"/>
      <c r="EM588" s="23"/>
      <c r="EN588" s="23"/>
      <c r="EO588" s="23"/>
      <c r="EP588" s="23"/>
      <c r="EQ588" s="23"/>
      <c r="ER588" s="23"/>
      <c r="ES588" s="23"/>
      <c r="ET588" s="23"/>
      <c r="EU588" s="23"/>
      <c r="EV588" s="23"/>
      <c r="EW588" s="23"/>
      <c r="EX588" s="23"/>
      <c r="EY588" s="23"/>
      <c r="EZ588" s="23"/>
      <c r="FA588" s="23"/>
      <c r="FB588" s="23"/>
      <c r="FC588" s="23"/>
      <c r="FD588" s="23"/>
      <c r="FE588" s="23"/>
      <c r="FF588" s="23"/>
      <c r="FG588" s="23"/>
      <c r="FH588" s="23"/>
      <c r="FI588" s="23"/>
      <c r="FJ588" s="23"/>
      <c r="FK588" s="23"/>
      <c r="FL588" s="23"/>
      <c r="FM588" s="23"/>
      <c r="FN588" s="23"/>
      <c r="FO588" s="23"/>
      <c r="FP588" s="23"/>
      <c r="FQ588" s="23"/>
      <c r="FR588" s="23"/>
      <c r="FS588" s="23"/>
      <c r="FT588" s="23"/>
      <c r="FU588" s="23"/>
      <c r="FV588" s="23"/>
      <c r="FW588" s="23"/>
      <c r="FX588" s="23"/>
      <c r="FY588" s="23"/>
      <c r="FZ588" s="23"/>
      <c r="GA588" s="23"/>
      <c r="GB588" s="23"/>
      <c r="GC588" s="23"/>
      <c r="GD588" s="23"/>
      <c r="GE588" s="23"/>
      <c r="GF588" s="23"/>
      <c r="GG588" s="23"/>
      <c r="GH588" s="23"/>
      <c r="GI588" s="23"/>
      <c r="GJ588" s="23"/>
      <c r="GK588" s="23"/>
      <c r="GL588" s="23"/>
    </row>
    <row r="589" spans="1:194" ht="13">
      <c r="A589" s="23"/>
      <c r="B589" s="23"/>
      <c r="C589" s="23"/>
      <c r="D589" s="23"/>
      <c r="E589" s="23"/>
      <c r="F589" s="23"/>
      <c r="G589" s="23"/>
      <c r="H589" s="401"/>
      <c r="I589" s="401"/>
      <c r="J589" s="401"/>
      <c r="K589" s="401"/>
      <c r="L589" s="401"/>
      <c r="M589" s="438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  <c r="AL589" s="23"/>
      <c r="AM589" s="23"/>
      <c r="AN589" s="23"/>
      <c r="AO589" s="23"/>
      <c r="AP589" s="23"/>
      <c r="AQ589" s="23"/>
      <c r="AR589" s="23"/>
      <c r="AS589" s="23"/>
      <c r="AT589" s="23"/>
      <c r="AU589" s="23"/>
      <c r="AV589" s="23"/>
      <c r="AW589" s="23"/>
      <c r="AX589" s="23"/>
      <c r="AY589" s="23"/>
      <c r="AZ589" s="23"/>
      <c r="BA589" s="23"/>
      <c r="BB589" s="23"/>
      <c r="BC589" s="23"/>
      <c r="BD589" s="23"/>
      <c r="BE589" s="23"/>
      <c r="BF589" s="23"/>
      <c r="BG589" s="23"/>
      <c r="BH589" s="23"/>
      <c r="BI589" s="23"/>
      <c r="BJ589" s="23"/>
      <c r="BK589" s="23"/>
      <c r="BL589" s="23"/>
      <c r="BM589" s="23"/>
      <c r="BN589" s="23"/>
      <c r="BO589" s="23"/>
      <c r="BP589" s="23"/>
      <c r="BQ589" s="23"/>
      <c r="BR589" s="23"/>
      <c r="BS589" s="23"/>
      <c r="BT589" s="23"/>
      <c r="BU589" s="23"/>
      <c r="BV589" s="23"/>
      <c r="BW589" s="23"/>
      <c r="BX589" s="23"/>
      <c r="BY589" s="23"/>
      <c r="BZ589" s="23"/>
      <c r="CA589" s="23"/>
      <c r="CB589" s="23"/>
      <c r="CC589" s="23"/>
      <c r="CD589" s="23"/>
      <c r="CE589" s="23"/>
      <c r="CF589" s="23"/>
      <c r="CG589" s="23"/>
      <c r="CH589" s="23"/>
      <c r="CI589" s="23"/>
      <c r="CJ589" s="23"/>
      <c r="CK589" s="23"/>
      <c r="CL589" s="23"/>
      <c r="CM589" s="23"/>
      <c r="CN589" s="23"/>
      <c r="CO589" s="23"/>
      <c r="CP589" s="23"/>
      <c r="CQ589" s="23"/>
      <c r="CR589" s="23"/>
      <c r="CS589" s="23"/>
      <c r="CT589" s="23"/>
      <c r="CU589" s="23"/>
      <c r="CV589" s="23"/>
      <c r="CW589" s="23"/>
      <c r="CX589" s="23"/>
      <c r="CY589" s="23"/>
      <c r="CZ589" s="23"/>
      <c r="DA589" s="23"/>
      <c r="DB589" s="23"/>
      <c r="DC589" s="23"/>
      <c r="DD589" s="23"/>
      <c r="DE589" s="23"/>
      <c r="DF589" s="23"/>
      <c r="DG589" s="23"/>
      <c r="DH589" s="23"/>
      <c r="DI589" s="23"/>
      <c r="DJ589" s="23"/>
      <c r="DK589" s="23"/>
      <c r="DL589" s="23"/>
      <c r="DM589" s="23"/>
      <c r="DN589" s="23"/>
      <c r="DO589" s="23"/>
      <c r="DP589" s="23"/>
      <c r="DQ589" s="23"/>
      <c r="DR589" s="23"/>
      <c r="DS589" s="23"/>
      <c r="DT589" s="23"/>
      <c r="DU589" s="23"/>
      <c r="DV589" s="23"/>
      <c r="DW589" s="23"/>
      <c r="DX589" s="23"/>
      <c r="DY589" s="23"/>
      <c r="DZ589" s="23"/>
      <c r="EA589" s="23"/>
      <c r="EB589" s="23"/>
      <c r="EC589" s="23"/>
      <c r="ED589" s="23"/>
      <c r="EE589" s="23"/>
      <c r="EF589" s="23"/>
      <c r="EG589" s="23"/>
      <c r="EH589" s="23"/>
      <c r="EI589" s="23"/>
      <c r="EJ589" s="23"/>
      <c r="EK589" s="23"/>
      <c r="EL589" s="23"/>
      <c r="EM589" s="23"/>
      <c r="EN589" s="23"/>
      <c r="EO589" s="23"/>
      <c r="EP589" s="23"/>
      <c r="EQ589" s="23"/>
      <c r="ER589" s="23"/>
      <c r="ES589" s="23"/>
      <c r="ET589" s="23"/>
      <c r="EU589" s="23"/>
      <c r="EV589" s="23"/>
      <c r="EW589" s="23"/>
      <c r="EX589" s="23"/>
      <c r="EY589" s="23"/>
      <c r="EZ589" s="23"/>
      <c r="FA589" s="23"/>
      <c r="FB589" s="23"/>
      <c r="FC589" s="23"/>
      <c r="FD589" s="23"/>
      <c r="FE589" s="23"/>
      <c r="FF589" s="23"/>
      <c r="FG589" s="23"/>
      <c r="FH589" s="23"/>
      <c r="FI589" s="23"/>
      <c r="FJ589" s="23"/>
      <c r="FK589" s="23"/>
      <c r="FL589" s="23"/>
      <c r="FM589" s="23"/>
      <c r="FN589" s="23"/>
      <c r="FO589" s="23"/>
      <c r="FP589" s="23"/>
      <c r="FQ589" s="23"/>
      <c r="FR589" s="23"/>
      <c r="FS589" s="23"/>
      <c r="FT589" s="23"/>
      <c r="FU589" s="23"/>
      <c r="FV589" s="23"/>
      <c r="FW589" s="23"/>
      <c r="FX589" s="23"/>
      <c r="FY589" s="23"/>
      <c r="FZ589" s="23"/>
      <c r="GA589" s="23"/>
      <c r="GB589" s="23"/>
      <c r="GC589" s="23"/>
      <c r="GD589" s="23"/>
      <c r="GE589" s="23"/>
      <c r="GF589" s="23"/>
      <c r="GG589" s="23"/>
      <c r="GH589" s="23"/>
      <c r="GI589" s="23"/>
      <c r="GJ589" s="23"/>
      <c r="GK589" s="23"/>
      <c r="GL589" s="23"/>
    </row>
    <row r="590" spans="1:194" ht="13">
      <c r="A590" s="23"/>
      <c r="B590" s="23"/>
      <c r="C590" s="23"/>
      <c r="D590" s="23"/>
      <c r="E590" s="23"/>
      <c r="F590" s="23"/>
      <c r="G590" s="23"/>
      <c r="H590" s="401"/>
      <c r="I590" s="401"/>
      <c r="J590" s="401"/>
      <c r="K590" s="401"/>
      <c r="L590" s="401"/>
      <c r="M590" s="438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  <c r="AL590" s="23"/>
      <c r="AM590" s="23"/>
      <c r="AN590" s="23"/>
      <c r="AO590" s="23"/>
      <c r="AP590" s="23"/>
      <c r="AQ590" s="23"/>
      <c r="AR590" s="23"/>
      <c r="AS590" s="23"/>
      <c r="AT590" s="23"/>
      <c r="AU590" s="23"/>
      <c r="AV590" s="23"/>
      <c r="AW590" s="23"/>
      <c r="AX590" s="23"/>
      <c r="AY590" s="23"/>
      <c r="AZ590" s="23"/>
      <c r="BA590" s="23"/>
      <c r="BB590" s="23"/>
      <c r="BC590" s="23"/>
      <c r="BD590" s="23"/>
      <c r="BE590" s="23"/>
      <c r="BF590" s="23"/>
      <c r="BG590" s="23"/>
      <c r="BH590" s="23"/>
      <c r="BI590" s="23"/>
      <c r="BJ590" s="23"/>
      <c r="BK590" s="23"/>
      <c r="BL590" s="23"/>
      <c r="BM590" s="23"/>
      <c r="BN590" s="23"/>
      <c r="BO590" s="23"/>
      <c r="BP590" s="23"/>
      <c r="BQ590" s="23"/>
      <c r="BR590" s="23"/>
      <c r="BS590" s="23"/>
      <c r="BT590" s="23"/>
      <c r="BU590" s="23"/>
      <c r="BV590" s="23"/>
      <c r="BW590" s="23"/>
      <c r="BX590" s="23"/>
      <c r="BY590" s="23"/>
      <c r="BZ590" s="23"/>
      <c r="CA590" s="23"/>
      <c r="CB590" s="23"/>
      <c r="CC590" s="23"/>
      <c r="CD590" s="23"/>
      <c r="CE590" s="23"/>
      <c r="CF590" s="23"/>
      <c r="CG590" s="23"/>
      <c r="CH590" s="23"/>
      <c r="CI590" s="23"/>
      <c r="CJ590" s="23"/>
      <c r="CK590" s="23"/>
      <c r="CL590" s="23"/>
      <c r="CM590" s="23"/>
      <c r="CN590" s="23"/>
      <c r="CO590" s="23"/>
      <c r="CP590" s="23"/>
      <c r="CQ590" s="23"/>
      <c r="CR590" s="23"/>
      <c r="CS590" s="23"/>
      <c r="CT590" s="23"/>
      <c r="CU590" s="23"/>
      <c r="CV590" s="23"/>
      <c r="CW590" s="23"/>
      <c r="CX590" s="23"/>
      <c r="CY590" s="23"/>
      <c r="CZ590" s="23"/>
      <c r="DA590" s="23"/>
      <c r="DB590" s="23"/>
      <c r="DC590" s="23"/>
      <c r="DD590" s="23"/>
      <c r="DE590" s="23"/>
      <c r="DF590" s="23"/>
      <c r="DG590" s="23"/>
      <c r="DH590" s="23"/>
      <c r="DI590" s="23"/>
      <c r="DJ590" s="23"/>
      <c r="DK590" s="23"/>
      <c r="DL590" s="23"/>
      <c r="DM590" s="23"/>
      <c r="DN590" s="23"/>
      <c r="DO590" s="23"/>
      <c r="DP590" s="23"/>
      <c r="DQ590" s="23"/>
      <c r="DR590" s="23"/>
      <c r="DS590" s="23"/>
      <c r="DT590" s="23"/>
      <c r="DU590" s="23"/>
      <c r="DV590" s="23"/>
      <c r="DW590" s="23"/>
      <c r="DX590" s="23"/>
      <c r="DY590" s="23"/>
      <c r="DZ590" s="23"/>
      <c r="EA590" s="23"/>
      <c r="EB590" s="23"/>
      <c r="EC590" s="23"/>
      <c r="ED590" s="23"/>
      <c r="EE590" s="23"/>
      <c r="EF590" s="23"/>
      <c r="EG590" s="23"/>
      <c r="EH590" s="23"/>
      <c r="EI590" s="23"/>
      <c r="EJ590" s="23"/>
      <c r="EK590" s="23"/>
      <c r="EL590" s="23"/>
      <c r="EM590" s="23"/>
      <c r="EN590" s="23"/>
      <c r="EO590" s="23"/>
      <c r="EP590" s="23"/>
      <c r="EQ590" s="23"/>
      <c r="ER590" s="23"/>
      <c r="ES590" s="23"/>
      <c r="ET590" s="23"/>
      <c r="EU590" s="23"/>
      <c r="EV590" s="23"/>
      <c r="EW590" s="23"/>
      <c r="EX590" s="23"/>
      <c r="EY590" s="23"/>
      <c r="EZ590" s="23"/>
      <c r="FA590" s="23"/>
      <c r="FB590" s="23"/>
      <c r="FC590" s="23"/>
      <c r="FD590" s="23"/>
      <c r="FE590" s="23"/>
      <c r="FF590" s="23"/>
      <c r="FG590" s="23"/>
      <c r="FH590" s="23"/>
      <c r="FI590" s="23"/>
      <c r="FJ590" s="23"/>
      <c r="FK590" s="23"/>
      <c r="FL590" s="23"/>
      <c r="FM590" s="23"/>
      <c r="FN590" s="23"/>
      <c r="FO590" s="23"/>
      <c r="FP590" s="23"/>
      <c r="FQ590" s="23"/>
      <c r="FR590" s="23"/>
      <c r="FS590" s="23"/>
      <c r="FT590" s="23"/>
      <c r="FU590" s="23"/>
      <c r="FV590" s="23"/>
      <c r="FW590" s="23"/>
      <c r="FX590" s="23"/>
      <c r="FY590" s="23"/>
      <c r="FZ590" s="23"/>
      <c r="GA590" s="23"/>
      <c r="GB590" s="23"/>
      <c r="GC590" s="23"/>
      <c r="GD590" s="23"/>
      <c r="GE590" s="23"/>
      <c r="GF590" s="23"/>
      <c r="GG590" s="23"/>
      <c r="GH590" s="23"/>
      <c r="GI590" s="23"/>
      <c r="GJ590" s="23"/>
      <c r="GK590" s="23"/>
      <c r="GL590" s="23"/>
    </row>
    <row r="591" spans="1:194" ht="13">
      <c r="A591" s="23"/>
      <c r="B591" s="23"/>
      <c r="C591" s="23"/>
      <c r="D591" s="23"/>
      <c r="E591" s="23"/>
      <c r="F591" s="23"/>
      <c r="G591" s="23"/>
      <c r="H591" s="401"/>
      <c r="I591" s="401"/>
      <c r="J591" s="401"/>
      <c r="K591" s="401"/>
      <c r="L591" s="401"/>
      <c r="M591" s="438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  <c r="AL591" s="23"/>
      <c r="AM591" s="23"/>
      <c r="AN591" s="23"/>
      <c r="AO591" s="23"/>
      <c r="AP591" s="23"/>
      <c r="AQ591" s="23"/>
      <c r="AR591" s="23"/>
      <c r="AS591" s="23"/>
      <c r="AT591" s="23"/>
      <c r="AU591" s="23"/>
      <c r="AV591" s="23"/>
      <c r="AW591" s="23"/>
      <c r="AX591" s="23"/>
      <c r="AY591" s="23"/>
      <c r="AZ591" s="23"/>
      <c r="BA591" s="23"/>
      <c r="BB591" s="23"/>
      <c r="BC591" s="23"/>
      <c r="BD591" s="23"/>
      <c r="BE591" s="23"/>
      <c r="BF591" s="23"/>
      <c r="BG591" s="23"/>
      <c r="BH591" s="23"/>
      <c r="BI591" s="23"/>
      <c r="BJ591" s="23"/>
      <c r="BK591" s="23"/>
      <c r="BL591" s="23"/>
      <c r="BM591" s="23"/>
      <c r="BN591" s="23"/>
      <c r="BO591" s="23"/>
      <c r="BP591" s="23"/>
      <c r="BQ591" s="23"/>
      <c r="BR591" s="23"/>
      <c r="BS591" s="23"/>
      <c r="BT591" s="23"/>
      <c r="BU591" s="23"/>
      <c r="BV591" s="23"/>
      <c r="BW591" s="23"/>
      <c r="BX591" s="23"/>
      <c r="BY591" s="23"/>
      <c r="BZ591" s="23"/>
      <c r="CA591" s="23"/>
      <c r="CB591" s="23"/>
      <c r="CC591" s="23"/>
      <c r="CD591" s="23"/>
      <c r="CE591" s="23"/>
      <c r="CF591" s="23"/>
      <c r="CG591" s="23"/>
      <c r="CH591" s="23"/>
      <c r="CI591" s="23"/>
      <c r="CJ591" s="23"/>
      <c r="CK591" s="23"/>
      <c r="CL591" s="23"/>
      <c r="CM591" s="23"/>
      <c r="CN591" s="23"/>
      <c r="CO591" s="23"/>
      <c r="CP591" s="23"/>
      <c r="CQ591" s="23"/>
      <c r="CR591" s="23"/>
      <c r="CS591" s="23"/>
      <c r="CT591" s="23"/>
      <c r="CU591" s="23"/>
      <c r="CV591" s="23"/>
      <c r="CW591" s="23"/>
      <c r="CX591" s="23"/>
      <c r="CY591" s="23"/>
      <c r="CZ591" s="23"/>
      <c r="DA591" s="23"/>
      <c r="DB591" s="23"/>
      <c r="DC591" s="23"/>
      <c r="DD591" s="23"/>
      <c r="DE591" s="23"/>
      <c r="DF591" s="23"/>
      <c r="DG591" s="23"/>
      <c r="DH591" s="23"/>
      <c r="DI591" s="23"/>
      <c r="DJ591" s="23"/>
      <c r="DK591" s="23"/>
      <c r="DL591" s="23"/>
      <c r="DM591" s="23"/>
      <c r="DN591" s="23"/>
      <c r="DO591" s="23"/>
      <c r="DP591" s="23"/>
      <c r="DQ591" s="23"/>
      <c r="DR591" s="23"/>
      <c r="DS591" s="23"/>
      <c r="DT591" s="23"/>
      <c r="DU591" s="23"/>
      <c r="DV591" s="23"/>
      <c r="DW591" s="23"/>
      <c r="DX591" s="23"/>
      <c r="DY591" s="23"/>
      <c r="DZ591" s="23"/>
      <c r="EA591" s="23"/>
      <c r="EB591" s="23"/>
      <c r="EC591" s="23"/>
      <c r="ED591" s="23"/>
      <c r="EE591" s="23"/>
      <c r="EF591" s="23"/>
      <c r="EG591" s="23"/>
      <c r="EH591" s="23"/>
      <c r="EI591" s="23"/>
      <c r="EJ591" s="23"/>
      <c r="EK591" s="23"/>
      <c r="EL591" s="23"/>
      <c r="EM591" s="23"/>
      <c r="EN591" s="23"/>
      <c r="EO591" s="23"/>
      <c r="EP591" s="23"/>
      <c r="EQ591" s="23"/>
      <c r="ER591" s="23"/>
      <c r="ES591" s="23"/>
      <c r="ET591" s="23"/>
      <c r="EU591" s="23"/>
      <c r="EV591" s="23"/>
      <c r="EW591" s="23"/>
      <c r="EX591" s="23"/>
      <c r="EY591" s="23"/>
      <c r="EZ591" s="23"/>
      <c r="FA591" s="23"/>
      <c r="FB591" s="23"/>
      <c r="FC591" s="23"/>
      <c r="FD591" s="23"/>
      <c r="FE591" s="23"/>
      <c r="FF591" s="23"/>
      <c r="FG591" s="23"/>
      <c r="FH591" s="23"/>
      <c r="FI591" s="23"/>
      <c r="FJ591" s="23"/>
      <c r="FK591" s="23"/>
      <c r="FL591" s="23"/>
      <c r="FM591" s="23"/>
      <c r="FN591" s="23"/>
      <c r="FO591" s="23"/>
      <c r="FP591" s="23"/>
      <c r="FQ591" s="23"/>
      <c r="FR591" s="23"/>
      <c r="FS591" s="23"/>
      <c r="FT591" s="23"/>
      <c r="FU591" s="23"/>
      <c r="FV591" s="23"/>
      <c r="FW591" s="23"/>
      <c r="FX591" s="23"/>
      <c r="FY591" s="23"/>
      <c r="FZ591" s="23"/>
      <c r="GA591" s="23"/>
      <c r="GB591" s="23"/>
      <c r="GC591" s="23"/>
      <c r="GD591" s="23"/>
      <c r="GE591" s="23"/>
      <c r="GF591" s="23"/>
      <c r="GG591" s="23"/>
      <c r="GH591" s="23"/>
      <c r="GI591" s="23"/>
      <c r="GJ591" s="23"/>
      <c r="GK591" s="23"/>
      <c r="GL591" s="23"/>
    </row>
    <row r="592" spans="1:194" ht="13">
      <c r="A592" s="23"/>
      <c r="B592" s="23"/>
      <c r="C592" s="23"/>
      <c r="D592" s="23"/>
      <c r="E592" s="23"/>
      <c r="F592" s="23"/>
      <c r="G592" s="23"/>
      <c r="H592" s="401"/>
      <c r="I592" s="401"/>
      <c r="J592" s="401"/>
      <c r="K592" s="401"/>
      <c r="L592" s="401"/>
      <c r="M592" s="438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  <c r="AL592" s="23"/>
      <c r="AM592" s="23"/>
      <c r="AN592" s="23"/>
      <c r="AO592" s="23"/>
      <c r="AP592" s="23"/>
      <c r="AQ592" s="23"/>
      <c r="AR592" s="23"/>
      <c r="AS592" s="23"/>
      <c r="AT592" s="23"/>
      <c r="AU592" s="23"/>
      <c r="AV592" s="23"/>
      <c r="AW592" s="23"/>
      <c r="AX592" s="23"/>
      <c r="AY592" s="23"/>
      <c r="AZ592" s="23"/>
      <c r="BA592" s="23"/>
      <c r="BB592" s="23"/>
      <c r="BC592" s="23"/>
      <c r="BD592" s="23"/>
      <c r="BE592" s="23"/>
      <c r="BF592" s="23"/>
      <c r="BG592" s="23"/>
      <c r="BH592" s="23"/>
      <c r="BI592" s="23"/>
      <c r="BJ592" s="23"/>
      <c r="BK592" s="23"/>
      <c r="BL592" s="23"/>
      <c r="BM592" s="23"/>
      <c r="BN592" s="23"/>
      <c r="BO592" s="23"/>
      <c r="BP592" s="23"/>
      <c r="BQ592" s="23"/>
      <c r="BR592" s="23"/>
      <c r="BS592" s="23"/>
      <c r="BT592" s="23"/>
      <c r="BU592" s="23"/>
      <c r="BV592" s="23"/>
      <c r="BW592" s="23"/>
      <c r="BX592" s="23"/>
      <c r="BY592" s="23"/>
      <c r="BZ592" s="23"/>
      <c r="CA592" s="23"/>
      <c r="CB592" s="23"/>
      <c r="CC592" s="23"/>
      <c r="CD592" s="23"/>
      <c r="CE592" s="23"/>
      <c r="CF592" s="23"/>
      <c r="CG592" s="23"/>
      <c r="CH592" s="23"/>
      <c r="CI592" s="23"/>
      <c r="CJ592" s="23"/>
      <c r="CK592" s="23"/>
      <c r="CL592" s="23"/>
      <c r="CM592" s="23"/>
      <c r="CN592" s="23"/>
      <c r="CO592" s="23"/>
      <c r="CP592" s="23"/>
      <c r="CQ592" s="23"/>
      <c r="CR592" s="23"/>
      <c r="CS592" s="23"/>
      <c r="CT592" s="23"/>
      <c r="CU592" s="23"/>
      <c r="CV592" s="23"/>
      <c r="CW592" s="23"/>
      <c r="CX592" s="23"/>
      <c r="CY592" s="23"/>
      <c r="CZ592" s="23"/>
      <c r="DA592" s="23"/>
      <c r="DB592" s="23"/>
      <c r="DC592" s="23"/>
      <c r="DD592" s="23"/>
      <c r="DE592" s="23"/>
      <c r="DF592" s="23"/>
      <c r="DG592" s="23"/>
      <c r="DH592" s="23"/>
      <c r="DI592" s="23"/>
      <c r="DJ592" s="23"/>
      <c r="DK592" s="23"/>
      <c r="DL592" s="23"/>
      <c r="DM592" s="23"/>
      <c r="DN592" s="23"/>
      <c r="DO592" s="23"/>
      <c r="DP592" s="23"/>
      <c r="DQ592" s="23"/>
      <c r="DR592" s="23"/>
      <c r="DS592" s="23"/>
      <c r="DT592" s="23"/>
      <c r="DU592" s="23"/>
      <c r="DV592" s="23"/>
      <c r="DW592" s="23"/>
      <c r="DX592" s="23"/>
      <c r="DY592" s="23"/>
      <c r="DZ592" s="23"/>
      <c r="EA592" s="23"/>
      <c r="EB592" s="23"/>
      <c r="EC592" s="23"/>
      <c r="ED592" s="23"/>
      <c r="EE592" s="23"/>
      <c r="EF592" s="23"/>
      <c r="EG592" s="23"/>
      <c r="EH592" s="23"/>
      <c r="EI592" s="23"/>
      <c r="EJ592" s="23"/>
      <c r="EK592" s="23"/>
      <c r="EL592" s="23"/>
      <c r="EM592" s="23"/>
      <c r="EN592" s="23"/>
      <c r="EO592" s="23"/>
      <c r="EP592" s="23"/>
      <c r="EQ592" s="23"/>
      <c r="ER592" s="23"/>
      <c r="ES592" s="23"/>
      <c r="ET592" s="23"/>
      <c r="EU592" s="23"/>
      <c r="EV592" s="23"/>
      <c r="EW592" s="23"/>
      <c r="EX592" s="23"/>
      <c r="EY592" s="23"/>
      <c r="EZ592" s="23"/>
      <c r="FA592" s="23"/>
      <c r="FB592" s="23"/>
      <c r="FC592" s="23"/>
      <c r="FD592" s="23"/>
      <c r="FE592" s="23"/>
      <c r="FF592" s="23"/>
      <c r="FG592" s="23"/>
      <c r="FH592" s="23"/>
      <c r="FI592" s="23"/>
      <c r="FJ592" s="23"/>
      <c r="FK592" s="23"/>
      <c r="FL592" s="23"/>
      <c r="FM592" s="23"/>
      <c r="FN592" s="23"/>
      <c r="FO592" s="23"/>
      <c r="FP592" s="23"/>
      <c r="FQ592" s="23"/>
      <c r="FR592" s="23"/>
      <c r="FS592" s="23"/>
      <c r="FT592" s="23"/>
      <c r="FU592" s="23"/>
      <c r="FV592" s="23"/>
      <c r="FW592" s="23"/>
      <c r="FX592" s="23"/>
      <c r="FY592" s="23"/>
      <c r="FZ592" s="23"/>
      <c r="GA592" s="23"/>
      <c r="GB592" s="23"/>
      <c r="GC592" s="23"/>
      <c r="GD592" s="23"/>
      <c r="GE592" s="23"/>
      <c r="GF592" s="23"/>
      <c r="GG592" s="23"/>
      <c r="GH592" s="23"/>
      <c r="GI592" s="23"/>
      <c r="GJ592" s="23"/>
      <c r="GK592" s="23"/>
      <c r="GL592" s="23"/>
    </row>
    <row r="593" spans="1:194" ht="13">
      <c r="A593" s="23"/>
      <c r="B593" s="23"/>
      <c r="C593" s="23"/>
      <c r="D593" s="23"/>
      <c r="E593" s="23"/>
      <c r="F593" s="23"/>
      <c r="G593" s="23"/>
      <c r="H593" s="401"/>
      <c r="I593" s="401"/>
      <c r="J593" s="401"/>
      <c r="K593" s="401"/>
      <c r="L593" s="401"/>
      <c r="M593" s="438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  <c r="AL593" s="23"/>
      <c r="AM593" s="23"/>
      <c r="AN593" s="23"/>
      <c r="AO593" s="23"/>
      <c r="AP593" s="23"/>
      <c r="AQ593" s="23"/>
      <c r="AR593" s="23"/>
      <c r="AS593" s="23"/>
      <c r="AT593" s="23"/>
      <c r="AU593" s="23"/>
      <c r="AV593" s="23"/>
      <c r="AW593" s="23"/>
      <c r="AX593" s="23"/>
      <c r="AY593" s="23"/>
      <c r="AZ593" s="23"/>
      <c r="BA593" s="23"/>
      <c r="BB593" s="23"/>
      <c r="BC593" s="23"/>
      <c r="BD593" s="23"/>
      <c r="BE593" s="23"/>
      <c r="BF593" s="23"/>
      <c r="BG593" s="23"/>
      <c r="BH593" s="23"/>
      <c r="BI593" s="23"/>
      <c r="BJ593" s="23"/>
      <c r="BK593" s="23"/>
      <c r="BL593" s="23"/>
      <c r="BM593" s="23"/>
      <c r="BN593" s="23"/>
      <c r="BO593" s="23"/>
      <c r="BP593" s="23"/>
      <c r="BQ593" s="23"/>
      <c r="BR593" s="23"/>
      <c r="BS593" s="23"/>
      <c r="BT593" s="23"/>
      <c r="BU593" s="23"/>
      <c r="BV593" s="23"/>
      <c r="BW593" s="23"/>
      <c r="BX593" s="23"/>
      <c r="BY593" s="23"/>
      <c r="BZ593" s="23"/>
      <c r="CA593" s="23"/>
      <c r="CB593" s="23"/>
      <c r="CC593" s="23"/>
      <c r="CD593" s="23"/>
      <c r="CE593" s="23"/>
      <c r="CF593" s="23"/>
      <c r="CG593" s="23"/>
      <c r="CH593" s="23"/>
      <c r="CI593" s="23"/>
      <c r="CJ593" s="23"/>
      <c r="CK593" s="23"/>
      <c r="CL593" s="23"/>
      <c r="CM593" s="23"/>
      <c r="CN593" s="23"/>
      <c r="CO593" s="23"/>
      <c r="CP593" s="23"/>
      <c r="CQ593" s="23"/>
      <c r="CR593" s="23"/>
      <c r="CS593" s="23"/>
      <c r="CT593" s="23"/>
      <c r="CU593" s="23"/>
      <c r="CV593" s="23"/>
      <c r="CW593" s="23"/>
      <c r="CX593" s="23"/>
      <c r="CY593" s="23"/>
      <c r="CZ593" s="23"/>
      <c r="DA593" s="23"/>
      <c r="DB593" s="23"/>
      <c r="DC593" s="23"/>
      <c r="DD593" s="23"/>
      <c r="DE593" s="23"/>
      <c r="DF593" s="23"/>
      <c r="DG593" s="23"/>
      <c r="DH593" s="23"/>
      <c r="DI593" s="23"/>
      <c r="DJ593" s="23"/>
      <c r="DK593" s="23"/>
      <c r="DL593" s="23"/>
      <c r="DM593" s="23"/>
      <c r="DN593" s="23"/>
      <c r="DO593" s="23"/>
      <c r="DP593" s="23"/>
      <c r="DQ593" s="23"/>
      <c r="DR593" s="23"/>
      <c r="DS593" s="23"/>
      <c r="DT593" s="23"/>
      <c r="DU593" s="23"/>
      <c r="DV593" s="23"/>
      <c r="DW593" s="23"/>
      <c r="DX593" s="23"/>
      <c r="DY593" s="23"/>
      <c r="DZ593" s="23"/>
      <c r="EA593" s="23"/>
      <c r="EB593" s="23"/>
      <c r="EC593" s="23"/>
      <c r="ED593" s="23"/>
      <c r="EE593" s="23"/>
      <c r="EF593" s="23"/>
      <c r="EG593" s="23"/>
      <c r="EH593" s="23"/>
      <c r="EI593" s="23"/>
      <c r="EJ593" s="23"/>
      <c r="EK593" s="23"/>
      <c r="EL593" s="23"/>
      <c r="EM593" s="23"/>
      <c r="EN593" s="23"/>
      <c r="EO593" s="23"/>
      <c r="EP593" s="23"/>
      <c r="EQ593" s="23"/>
      <c r="ER593" s="23"/>
      <c r="ES593" s="23"/>
      <c r="ET593" s="23"/>
      <c r="EU593" s="23"/>
      <c r="EV593" s="23"/>
      <c r="EW593" s="23"/>
      <c r="EX593" s="23"/>
      <c r="EY593" s="23"/>
      <c r="EZ593" s="23"/>
      <c r="FA593" s="23"/>
      <c r="FB593" s="23"/>
      <c r="FC593" s="23"/>
      <c r="FD593" s="23"/>
      <c r="FE593" s="23"/>
      <c r="FF593" s="23"/>
      <c r="FG593" s="23"/>
      <c r="FH593" s="23"/>
      <c r="FI593" s="23"/>
      <c r="FJ593" s="23"/>
      <c r="FK593" s="23"/>
      <c r="FL593" s="23"/>
      <c r="FM593" s="23"/>
      <c r="FN593" s="23"/>
      <c r="FO593" s="23"/>
      <c r="FP593" s="23"/>
      <c r="FQ593" s="23"/>
      <c r="FR593" s="23"/>
      <c r="FS593" s="23"/>
      <c r="FT593" s="23"/>
      <c r="FU593" s="23"/>
      <c r="FV593" s="23"/>
      <c r="FW593" s="23"/>
      <c r="FX593" s="23"/>
      <c r="FY593" s="23"/>
      <c r="FZ593" s="23"/>
      <c r="GA593" s="23"/>
      <c r="GB593" s="23"/>
      <c r="GC593" s="23"/>
      <c r="GD593" s="23"/>
      <c r="GE593" s="23"/>
      <c r="GF593" s="23"/>
      <c r="GG593" s="23"/>
      <c r="GH593" s="23"/>
      <c r="GI593" s="23"/>
      <c r="GJ593" s="23"/>
      <c r="GK593" s="23"/>
      <c r="GL593" s="23"/>
    </row>
    <row r="594" spans="1:194" ht="13">
      <c r="A594" s="23"/>
      <c r="B594" s="23"/>
      <c r="C594" s="23"/>
      <c r="D594" s="23"/>
      <c r="E594" s="23"/>
      <c r="F594" s="23"/>
      <c r="G594" s="23"/>
      <c r="H594" s="401"/>
      <c r="I594" s="401"/>
      <c r="J594" s="401"/>
      <c r="K594" s="401"/>
      <c r="L594" s="401"/>
      <c r="M594" s="438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  <c r="AL594" s="23"/>
      <c r="AM594" s="23"/>
      <c r="AN594" s="23"/>
      <c r="AO594" s="23"/>
      <c r="AP594" s="23"/>
      <c r="AQ594" s="23"/>
      <c r="AR594" s="23"/>
      <c r="AS594" s="23"/>
      <c r="AT594" s="23"/>
      <c r="AU594" s="23"/>
      <c r="AV594" s="23"/>
      <c r="AW594" s="23"/>
      <c r="AX594" s="23"/>
      <c r="AY594" s="23"/>
      <c r="AZ594" s="23"/>
      <c r="BA594" s="23"/>
      <c r="BB594" s="23"/>
      <c r="BC594" s="23"/>
      <c r="BD594" s="23"/>
      <c r="BE594" s="23"/>
      <c r="BF594" s="23"/>
      <c r="BG594" s="23"/>
      <c r="BH594" s="23"/>
      <c r="BI594" s="23"/>
      <c r="BJ594" s="23"/>
      <c r="BK594" s="23"/>
      <c r="BL594" s="23"/>
      <c r="BM594" s="23"/>
      <c r="BN594" s="23"/>
      <c r="BO594" s="23"/>
      <c r="BP594" s="23"/>
      <c r="BQ594" s="23"/>
      <c r="BR594" s="23"/>
      <c r="BS594" s="23"/>
      <c r="BT594" s="23"/>
      <c r="BU594" s="23"/>
      <c r="BV594" s="23"/>
      <c r="BW594" s="23"/>
      <c r="BX594" s="23"/>
      <c r="BY594" s="23"/>
      <c r="BZ594" s="23"/>
      <c r="CA594" s="23"/>
      <c r="CB594" s="23"/>
      <c r="CC594" s="23"/>
      <c r="CD594" s="23"/>
      <c r="CE594" s="23"/>
      <c r="CF594" s="23"/>
      <c r="CG594" s="23"/>
      <c r="CH594" s="23"/>
      <c r="CI594" s="23"/>
      <c r="CJ594" s="23"/>
      <c r="CK594" s="23"/>
      <c r="CL594" s="23"/>
      <c r="CM594" s="23"/>
      <c r="CN594" s="23"/>
      <c r="CO594" s="23"/>
      <c r="CP594" s="23"/>
      <c r="CQ594" s="23"/>
      <c r="CR594" s="23"/>
      <c r="CS594" s="23"/>
      <c r="CT594" s="23"/>
      <c r="CU594" s="23"/>
      <c r="CV594" s="23"/>
      <c r="CW594" s="23"/>
      <c r="CX594" s="23"/>
      <c r="CY594" s="23"/>
      <c r="CZ594" s="23"/>
      <c r="DA594" s="23"/>
      <c r="DB594" s="23"/>
      <c r="DC594" s="23"/>
      <c r="DD594" s="23"/>
      <c r="DE594" s="23"/>
      <c r="DF594" s="23"/>
      <c r="DG594" s="23"/>
      <c r="DH594" s="23"/>
      <c r="DI594" s="23"/>
      <c r="DJ594" s="23"/>
      <c r="DK594" s="23"/>
      <c r="DL594" s="23"/>
      <c r="DM594" s="23"/>
      <c r="DN594" s="23"/>
      <c r="DO594" s="23"/>
      <c r="DP594" s="23"/>
      <c r="DQ594" s="23"/>
      <c r="DR594" s="23"/>
      <c r="DS594" s="23"/>
      <c r="DT594" s="23"/>
      <c r="DU594" s="23"/>
      <c r="DV594" s="23"/>
      <c r="DW594" s="23"/>
      <c r="DX594" s="23"/>
      <c r="DY594" s="23"/>
      <c r="DZ594" s="23"/>
      <c r="EA594" s="23"/>
      <c r="EB594" s="23"/>
      <c r="EC594" s="23"/>
      <c r="ED594" s="23"/>
      <c r="EE594" s="23"/>
      <c r="EF594" s="23"/>
      <c r="EG594" s="23"/>
      <c r="EH594" s="23"/>
      <c r="EI594" s="23"/>
      <c r="EJ594" s="23"/>
      <c r="EK594" s="23"/>
      <c r="EL594" s="23"/>
      <c r="EM594" s="23"/>
      <c r="EN594" s="23"/>
      <c r="EO594" s="23"/>
      <c r="EP594" s="23"/>
      <c r="EQ594" s="23"/>
      <c r="ER594" s="23"/>
      <c r="ES594" s="23"/>
      <c r="ET594" s="23"/>
      <c r="EU594" s="23"/>
      <c r="EV594" s="23"/>
      <c r="EW594" s="23"/>
      <c r="EX594" s="23"/>
      <c r="EY594" s="23"/>
      <c r="EZ594" s="23"/>
      <c r="FA594" s="23"/>
      <c r="FB594" s="23"/>
      <c r="FC594" s="23"/>
      <c r="FD594" s="23"/>
      <c r="FE594" s="23"/>
      <c r="FF594" s="23"/>
      <c r="FG594" s="23"/>
      <c r="FH594" s="23"/>
      <c r="FI594" s="23"/>
      <c r="FJ594" s="23"/>
      <c r="FK594" s="23"/>
      <c r="FL594" s="23"/>
      <c r="FM594" s="23"/>
      <c r="FN594" s="23"/>
      <c r="FO594" s="23"/>
      <c r="FP594" s="23"/>
      <c r="FQ594" s="23"/>
      <c r="FR594" s="23"/>
      <c r="FS594" s="23"/>
      <c r="FT594" s="23"/>
      <c r="FU594" s="23"/>
      <c r="FV594" s="23"/>
      <c r="FW594" s="23"/>
      <c r="FX594" s="23"/>
      <c r="FY594" s="23"/>
      <c r="FZ594" s="23"/>
      <c r="GA594" s="23"/>
      <c r="GB594" s="23"/>
      <c r="GC594" s="23"/>
      <c r="GD594" s="23"/>
      <c r="GE594" s="23"/>
      <c r="GF594" s="23"/>
      <c r="GG594" s="23"/>
      <c r="GH594" s="23"/>
      <c r="GI594" s="23"/>
      <c r="GJ594" s="23"/>
      <c r="GK594" s="23"/>
      <c r="GL594" s="23"/>
    </row>
    <row r="595" spans="1:194" ht="13">
      <c r="A595" s="23"/>
      <c r="B595" s="23"/>
      <c r="C595" s="23"/>
      <c r="D595" s="23"/>
      <c r="E595" s="23"/>
      <c r="F595" s="23"/>
      <c r="G595" s="23"/>
      <c r="H595" s="401"/>
      <c r="I595" s="401"/>
      <c r="J595" s="401"/>
      <c r="K595" s="401"/>
      <c r="L595" s="401"/>
      <c r="M595" s="438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  <c r="AL595" s="23"/>
      <c r="AM595" s="23"/>
      <c r="AN595" s="23"/>
      <c r="AO595" s="23"/>
      <c r="AP595" s="23"/>
      <c r="AQ595" s="23"/>
      <c r="AR595" s="23"/>
      <c r="AS595" s="23"/>
      <c r="AT595" s="23"/>
      <c r="AU595" s="23"/>
      <c r="AV595" s="23"/>
      <c r="AW595" s="23"/>
      <c r="AX595" s="23"/>
      <c r="AY595" s="23"/>
      <c r="AZ595" s="23"/>
      <c r="BA595" s="23"/>
      <c r="BB595" s="23"/>
      <c r="BC595" s="23"/>
      <c r="BD595" s="23"/>
      <c r="BE595" s="23"/>
      <c r="BF595" s="23"/>
      <c r="BG595" s="23"/>
      <c r="BH595" s="23"/>
      <c r="BI595" s="23"/>
      <c r="BJ595" s="23"/>
      <c r="BK595" s="23"/>
      <c r="BL595" s="23"/>
      <c r="BM595" s="23"/>
      <c r="BN595" s="23"/>
      <c r="BO595" s="23"/>
      <c r="BP595" s="23"/>
      <c r="BQ595" s="23"/>
      <c r="BR595" s="23"/>
      <c r="BS595" s="23"/>
      <c r="BT595" s="23"/>
      <c r="BU595" s="23"/>
      <c r="BV595" s="23"/>
      <c r="BW595" s="23"/>
      <c r="BX595" s="23"/>
      <c r="BY595" s="23"/>
      <c r="BZ595" s="23"/>
      <c r="CA595" s="23"/>
      <c r="CB595" s="23"/>
      <c r="CC595" s="23"/>
      <c r="CD595" s="23"/>
      <c r="CE595" s="23"/>
      <c r="CF595" s="23"/>
      <c r="CG595" s="23"/>
      <c r="CH595" s="23"/>
      <c r="CI595" s="23"/>
      <c r="CJ595" s="23"/>
      <c r="CK595" s="23"/>
      <c r="CL595" s="23"/>
      <c r="CM595" s="23"/>
      <c r="CN595" s="23"/>
      <c r="CO595" s="23"/>
      <c r="CP595" s="23"/>
      <c r="CQ595" s="23"/>
      <c r="CR595" s="23"/>
      <c r="CS595" s="23"/>
      <c r="CT595" s="23"/>
      <c r="CU595" s="23"/>
      <c r="CV595" s="23"/>
      <c r="CW595" s="23"/>
      <c r="CX595" s="23"/>
      <c r="CY595" s="23"/>
      <c r="CZ595" s="23"/>
      <c r="DA595" s="23"/>
      <c r="DB595" s="23"/>
      <c r="DC595" s="23"/>
      <c r="DD595" s="23"/>
      <c r="DE595" s="23"/>
      <c r="DF595" s="23"/>
      <c r="DG595" s="23"/>
      <c r="DH595" s="23"/>
      <c r="DI595" s="23"/>
      <c r="DJ595" s="23"/>
      <c r="DK595" s="23"/>
      <c r="DL595" s="23"/>
      <c r="DM595" s="23"/>
      <c r="DN595" s="23"/>
      <c r="DO595" s="23"/>
      <c r="DP595" s="23"/>
      <c r="DQ595" s="23"/>
      <c r="DR595" s="23"/>
      <c r="DS595" s="23"/>
      <c r="DT595" s="23"/>
      <c r="DU595" s="23"/>
      <c r="DV595" s="23"/>
      <c r="DW595" s="23"/>
      <c r="DX595" s="23"/>
      <c r="DY595" s="23"/>
      <c r="DZ595" s="23"/>
      <c r="EA595" s="23"/>
      <c r="EB595" s="23"/>
      <c r="EC595" s="23"/>
      <c r="ED595" s="23"/>
      <c r="EE595" s="23"/>
      <c r="EF595" s="23"/>
      <c r="EG595" s="23"/>
      <c r="EH595" s="23"/>
      <c r="EI595" s="23"/>
      <c r="EJ595" s="23"/>
      <c r="EK595" s="23"/>
      <c r="EL595" s="23"/>
      <c r="EM595" s="23"/>
      <c r="EN595" s="23"/>
      <c r="EO595" s="23"/>
      <c r="EP595" s="23"/>
      <c r="EQ595" s="23"/>
      <c r="ER595" s="23"/>
      <c r="ES595" s="23"/>
      <c r="ET595" s="23"/>
      <c r="EU595" s="23"/>
      <c r="EV595" s="23"/>
      <c r="EW595" s="23"/>
      <c r="EX595" s="23"/>
      <c r="EY595" s="23"/>
      <c r="EZ595" s="23"/>
      <c r="FA595" s="23"/>
      <c r="FB595" s="23"/>
      <c r="FC595" s="23"/>
      <c r="FD595" s="23"/>
      <c r="FE595" s="23"/>
      <c r="FF595" s="23"/>
      <c r="FG595" s="23"/>
      <c r="FH595" s="23"/>
      <c r="FI595" s="23"/>
      <c r="FJ595" s="23"/>
      <c r="FK595" s="23"/>
      <c r="FL595" s="23"/>
      <c r="FM595" s="23"/>
      <c r="FN595" s="23"/>
      <c r="FO595" s="23"/>
      <c r="FP595" s="23"/>
      <c r="FQ595" s="23"/>
      <c r="FR595" s="23"/>
      <c r="FS595" s="23"/>
      <c r="FT595" s="23"/>
      <c r="FU595" s="23"/>
      <c r="FV595" s="23"/>
      <c r="FW595" s="23"/>
      <c r="FX595" s="23"/>
      <c r="FY595" s="23"/>
      <c r="FZ595" s="23"/>
      <c r="GA595" s="23"/>
      <c r="GB595" s="23"/>
      <c r="GC595" s="23"/>
      <c r="GD595" s="23"/>
      <c r="GE595" s="23"/>
      <c r="GF595" s="23"/>
      <c r="GG595" s="23"/>
      <c r="GH595" s="23"/>
      <c r="GI595" s="23"/>
      <c r="GJ595" s="23"/>
      <c r="GK595" s="23"/>
      <c r="GL595" s="23"/>
    </row>
    <row r="596" spans="1:194" ht="13">
      <c r="A596" s="23"/>
      <c r="B596" s="23"/>
      <c r="C596" s="23"/>
      <c r="D596" s="23"/>
      <c r="E596" s="23"/>
      <c r="F596" s="23"/>
      <c r="G596" s="23"/>
      <c r="H596" s="401"/>
      <c r="I596" s="401"/>
      <c r="J596" s="401"/>
      <c r="K596" s="401"/>
      <c r="L596" s="401"/>
      <c r="M596" s="438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  <c r="AL596" s="23"/>
      <c r="AM596" s="23"/>
      <c r="AN596" s="23"/>
      <c r="AO596" s="23"/>
      <c r="AP596" s="23"/>
      <c r="AQ596" s="23"/>
      <c r="AR596" s="23"/>
      <c r="AS596" s="23"/>
      <c r="AT596" s="23"/>
      <c r="AU596" s="23"/>
      <c r="AV596" s="23"/>
      <c r="AW596" s="23"/>
      <c r="AX596" s="23"/>
      <c r="AY596" s="23"/>
      <c r="AZ596" s="23"/>
      <c r="BA596" s="23"/>
      <c r="BB596" s="23"/>
      <c r="BC596" s="23"/>
      <c r="BD596" s="23"/>
      <c r="BE596" s="23"/>
      <c r="BF596" s="23"/>
      <c r="BG596" s="23"/>
      <c r="BH596" s="23"/>
      <c r="BI596" s="23"/>
      <c r="BJ596" s="23"/>
      <c r="BK596" s="23"/>
      <c r="BL596" s="23"/>
      <c r="BM596" s="23"/>
      <c r="BN596" s="23"/>
      <c r="BO596" s="23"/>
      <c r="BP596" s="23"/>
      <c r="BQ596" s="23"/>
      <c r="BR596" s="23"/>
      <c r="BS596" s="23"/>
      <c r="BT596" s="23"/>
      <c r="BU596" s="23"/>
      <c r="BV596" s="23"/>
      <c r="BW596" s="23"/>
      <c r="BX596" s="23"/>
      <c r="BY596" s="23"/>
      <c r="BZ596" s="23"/>
      <c r="CA596" s="23"/>
      <c r="CB596" s="23"/>
      <c r="CC596" s="23"/>
      <c r="CD596" s="23"/>
      <c r="CE596" s="23"/>
      <c r="CF596" s="23"/>
      <c r="CG596" s="23"/>
      <c r="CH596" s="23"/>
      <c r="CI596" s="23"/>
      <c r="CJ596" s="23"/>
      <c r="CK596" s="23"/>
      <c r="CL596" s="23"/>
      <c r="CM596" s="23"/>
      <c r="CN596" s="23"/>
      <c r="CO596" s="23"/>
      <c r="CP596" s="23"/>
      <c r="CQ596" s="23"/>
      <c r="CR596" s="23"/>
      <c r="CS596" s="23"/>
      <c r="CT596" s="23"/>
      <c r="CU596" s="23"/>
      <c r="CV596" s="23"/>
      <c r="CW596" s="23"/>
      <c r="CX596" s="23"/>
      <c r="CY596" s="23"/>
      <c r="CZ596" s="23"/>
      <c r="DA596" s="23"/>
      <c r="DB596" s="23"/>
      <c r="DC596" s="23"/>
      <c r="DD596" s="23"/>
      <c r="DE596" s="23"/>
      <c r="DF596" s="23"/>
      <c r="DG596" s="23"/>
      <c r="DH596" s="23"/>
      <c r="DI596" s="23"/>
      <c r="DJ596" s="23"/>
      <c r="DK596" s="23"/>
      <c r="DL596" s="23"/>
      <c r="DM596" s="23"/>
      <c r="DN596" s="23"/>
      <c r="DO596" s="23"/>
      <c r="DP596" s="23"/>
      <c r="DQ596" s="23"/>
      <c r="DR596" s="23"/>
      <c r="DS596" s="23"/>
      <c r="DT596" s="23"/>
      <c r="DU596" s="23"/>
      <c r="DV596" s="23"/>
      <c r="DW596" s="23"/>
      <c r="DX596" s="23"/>
      <c r="DY596" s="23"/>
      <c r="DZ596" s="23"/>
      <c r="EA596" s="23"/>
      <c r="EB596" s="23"/>
      <c r="EC596" s="23"/>
      <c r="ED596" s="23"/>
      <c r="EE596" s="23"/>
      <c r="EF596" s="23"/>
      <c r="EG596" s="23"/>
      <c r="EH596" s="23"/>
      <c r="EI596" s="23"/>
      <c r="EJ596" s="23"/>
      <c r="EK596" s="23"/>
      <c r="EL596" s="23"/>
      <c r="EM596" s="23"/>
      <c r="EN596" s="23"/>
      <c r="EO596" s="23"/>
      <c r="EP596" s="23"/>
      <c r="EQ596" s="23"/>
      <c r="ER596" s="23"/>
      <c r="ES596" s="23"/>
      <c r="ET596" s="23"/>
      <c r="EU596" s="23"/>
      <c r="EV596" s="23"/>
      <c r="EW596" s="23"/>
      <c r="EX596" s="23"/>
      <c r="EY596" s="23"/>
      <c r="EZ596" s="23"/>
      <c r="FA596" s="23"/>
      <c r="FB596" s="23"/>
      <c r="FC596" s="23"/>
      <c r="FD596" s="23"/>
      <c r="FE596" s="23"/>
      <c r="FF596" s="23"/>
      <c r="FG596" s="23"/>
      <c r="FH596" s="23"/>
      <c r="FI596" s="23"/>
      <c r="FJ596" s="23"/>
      <c r="FK596" s="23"/>
      <c r="FL596" s="23"/>
      <c r="FM596" s="23"/>
      <c r="FN596" s="23"/>
      <c r="FO596" s="23"/>
      <c r="FP596" s="23"/>
      <c r="FQ596" s="23"/>
      <c r="FR596" s="23"/>
      <c r="FS596" s="23"/>
      <c r="FT596" s="23"/>
      <c r="FU596" s="23"/>
      <c r="FV596" s="23"/>
      <c r="FW596" s="23"/>
      <c r="FX596" s="23"/>
      <c r="FY596" s="23"/>
      <c r="FZ596" s="23"/>
      <c r="GA596" s="23"/>
      <c r="GB596" s="23"/>
      <c r="GC596" s="23"/>
      <c r="GD596" s="23"/>
      <c r="GE596" s="23"/>
      <c r="GF596" s="23"/>
      <c r="GG596" s="23"/>
      <c r="GH596" s="23"/>
      <c r="GI596" s="23"/>
      <c r="GJ596" s="23"/>
      <c r="GK596" s="23"/>
      <c r="GL596" s="23"/>
    </row>
    <row r="597" spans="1:194" ht="13">
      <c r="A597" s="23"/>
      <c r="B597" s="23"/>
      <c r="C597" s="23"/>
      <c r="D597" s="23"/>
      <c r="E597" s="23"/>
      <c r="F597" s="23"/>
      <c r="G597" s="23"/>
      <c r="H597" s="401"/>
      <c r="I597" s="401"/>
      <c r="J597" s="401"/>
      <c r="K597" s="401"/>
      <c r="L597" s="401"/>
      <c r="M597" s="438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  <c r="AL597" s="23"/>
      <c r="AM597" s="23"/>
      <c r="AN597" s="23"/>
      <c r="AO597" s="23"/>
      <c r="AP597" s="23"/>
      <c r="AQ597" s="23"/>
      <c r="AR597" s="23"/>
      <c r="AS597" s="23"/>
      <c r="AT597" s="23"/>
      <c r="AU597" s="23"/>
      <c r="AV597" s="23"/>
      <c r="AW597" s="23"/>
      <c r="AX597" s="23"/>
      <c r="AY597" s="23"/>
      <c r="AZ597" s="23"/>
      <c r="BA597" s="23"/>
      <c r="BB597" s="23"/>
      <c r="BC597" s="23"/>
      <c r="BD597" s="23"/>
      <c r="BE597" s="23"/>
      <c r="BF597" s="23"/>
      <c r="BG597" s="23"/>
      <c r="BH597" s="23"/>
      <c r="BI597" s="23"/>
      <c r="BJ597" s="23"/>
      <c r="BK597" s="23"/>
      <c r="BL597" s="23"/>
      <c r="BM597" s="23"/>
      <c r="BN597" s="23"/>
      <c r="BO597" s="23"/>
      <c r="BP597" s="23"/>
      <c r="BQ597" s="23"/>
      <c r="BR597" s="23"/>
      <c r="BS597" s="23"/>
      <c r="BT597" s="23"/>
      <c r="BU597" s="23"/>
      <c r="BV597" s="23"/>
      <c r="BW597" s="23"/>
      <c r="BX597" s="23"/>
      <c r="BY597" s="23"/>
      <c r="BZ597" s="23"/>
      <c r="CA597" s="23"/>
      <c r="CB597" s="23"/>
      <c r="CC597" s="23"/>
      <c r="CD597" s="23"/>
      <c r="CE597" s="23"/>
      <c r="CF597" s="23"/>
      <c r="CG597" s="23"/>
      <c r="CH597" s="23"/>
      <c r="CI597" s="23"/>
      <c r="CJ597" s="23"/>
      <c r="CK597" s="23"/>
      <c r="CL597" s="23"/>
      <c r="CM597" s="23"/>
      <c r="CN597" s="23"/>
      <c r="CO597" s="23"/>
      <c r="CP597" s="23"/>
      <c r="CQ597" s="23"/>
      <c r="CR597" s="23"/>
      <c r="CS597" s="23"/>
      <c r="CT597" s="23"/>
      <c r="CU597" s="23"/>
      <c r="CV597" s="23"/>
      <c r="CW597" s="23"/>
      <c r="CX597" s="23"/>
      <c r="CY597" s="23"/>
      <c r="CZ597" s="23"/>
      <c r="DA597" s="23"/>
      <c r="DB597" s="23"/>
      <c r="DC597" s="23"/>
      <c r="DD597" s="23"/>
      <c r="DE597" s="23"/>
      <c r="DF597" s="23"/>
      <c r="DG597" s="23"/>
      <c r="DH597" s="23"/>
      <c r="DI597" s="23"/>
      <c r="DJ597" s="23"/>
      <c r="DK597" s="23"/>
      <c r="DL597" s="23"/>
      <c r="DM597" s="23"/>
      <c r="DN597" s="23"/>
      <c r="DO597" s="23"/>
      <c r="DP597" s="23"/>
      <c r="DQ597" s="23"/>
      <c r="DR597" s="23"/>
      <c r="DS597" s="23"/>
      <c r="DT597" s="23"/>
      <c r="DU597" s="23"/>
      <c r="DV597" s="23"/>
      <c r="DW597" s="23"/>
      <c r="DX597" s="23"/>
      <c r="DY597" s="23"/>
      <c r="DZ597" s="23"/>
      <c r="EA597" s="23"/>
      <c r="EB597" s="23"/>
      <c r="EC597" s="23"/>
      <c r="ED597" s="23"/>
      <c r="EE597" s="23"/>
      <c r="EF597" s="23"/>
      <c r="EG597" s="23"/>
      <c r="EH597" s="23"/>
      <c r="EI597" s="23"/>
      <c r="EJ597" s="23"/>
      <c r="EK597" s="23"/>
      <c r="EL597" s="23"/>
      <c r="EM597" s="23"/>
      <c r="EN597" s="23"/>
      <c r="EO597" s="23"/>
      <c r="EP597" s="23"/>
      <c r="EQ597" s="23"/>
      <c r="ER597" s="23"/>
      <c r="ES597" s="23"/>
      <c r="ET597" s="23"/>
      <c r="EU597" s="23"/>
      <c r="EV597" s="23"/>
      <c r="EW597" s="23"/>
      <c r="EX597" s="23"/>
      <c r="EY597" s="23"/>
      <c r="EZ597" s="23"/>
      <c r="FA597" s="23"/>
      <c r="FB597" s="23"/>
      <c r="FC597" s="23"/>
      <c r="FD597" s="23"/>
      <c r="FE597" s="23"/>
      <c r="FF597" s="23"/>
      <c r="FG597" s="23"/>
      <c r="FH597" s="23"/>
      <c r="FI597" s="23"/>
      <c r="FJ597" s="23"/>
      <c r="FK597" s="23"/>
      <c r="FL597" s="23"/>
      <c r="FM597" s="23"/>
      <c r="FN597" s="23"/>
      <c r="FO597" s="23"/>
      <c r="FP597" s="23"/>
      <c r="FQ597" s="23"/>
      <c r="FR597" s="23"/>
      <c r="FS597" s="23"/>
      <c r="FT597" s="23"/>
      <c r="FU597" s="23"/>
      <c r="FV597" s="23"/>
      <c r="FW597" s="23"/>
      <c r="FX597" s="23"/>
      <c r="FY597" s="23"/>
      <c r="FZ597" s="23"/>
      <c r="GA597" s="23"/>
      <c r="GB597" s="23"/>
      <c r="GC597" s="23"/>
      <c r="GD597" s="23"/>
      <c r="GE597" s="23"/>
      <c r="GF597" s="23"/>
      <c r="GG597" s="23"/>
      <c r="GH597" s="23"/>
      <c r="GI597" s="23"/>
      <c r="GJ597" s="23"/>
      <c r="GK597" s="23"/>
      <c r="GL597" s="23"/>
    </row>
    <row r="598" spans="1:194" ht="13">
      <c r="A598" s="23"/>
      <c r="B598" s="23"/>
      <c r="C598" s="23"/>
      <c r="D598" s="23"/>
      <c r="E598" s="23"/>
      <c r="F598" s="23"/>
      <c r="G598" s="23"/>
      <c r="H598" s="401"/>
      <c r="I598" s="401"/>
      <c r="J598" s="401"/>
      <c r="K598" s="401"/>
      <c r="L598" s="401"/>
      <c r="M598" s="438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  <c r="AL598" s="23"/>
      <c r="AM598" s="23"/>
      <c r="AN598" s="23"/>
      <c r="AO598" s="23"/>
      <c r="AP598" s="23"/>
      <c r="AQ598" s="23"/>
      <c r="AR598" s="23"/>
      <c r="AS598" s="23"/>
      <c r="AT598" s="23"/>
      <c r="AU598" s="23"/>
      <c r="AV598" s="23"/>
      <c r="AW598" s="23"/>
      <c r="AX598" s="23"/>
      <c r="AY598" s="23"/>
      <c r="AZ598" s="23"/>
      <c r="BA598" s="23"/>
      <c r="BB598" s="23"/>
      <c r="BC598" s="23"/>
      <c r="BD598" s="23"/>
      <c r="BE598" s="23"/>
      <c r="BF598" s="23"/>
      <c r="BG598" s="23"/>
      <c r="BH598" s="23"/>
      <c r="BI598" s="23"/>
      <c r="BJ598" s="23"/>
      <c r="BK598" s="23"/>
      <c r="BL598" s="23"/>
      <c r="BM598" s="23"/>
      <c r="BN598" s="23"/>
      <c r="BO598" s="23"/>
      <c r="BP598" s="23"/>
      <c r="BQ598" s="23"/>
      <c r="BR598" s="23"/>
      <c r="BS598" s="23"/>
      <c r="BT598" s="23"/>
      <c r="BU598" s="23"/>
      <c r="BV598" s="23"/>
      <c r="BW598" s="23"/>
      <c r="BX598" s="23"/>
      <c r="BY598" s="23"/>
      <c r="BZ598" s="23"/>
      <c r="CA598" s="23"/>
      <c r="CB598" s="23"/>
      <c r="CC598" s="23"/>
      <c r="CD598" s="23"/>
      <c r="CE598" s="23"/>
      <c r="CF598" s="23"/>
      <c r="CG598" s="23"/>
      <c r="CH598" s="23"/>
      <c r="CI598" s="23"/>
      <c r="CJ598" s="23"/>
      <c r="CK598" s="23"/>
      <c r="CL598" s="23"/>
      <c r="CM598" s="23"/>
      <c r="CN598" s="23"/>
      <c r="CO598" s="23"/>
      <c r="CP598" s="23"/>
      <c r="CQ598" s="23"/>
      <c r="CR598" s="23"/>
      <c r="CS598" s="23"/>
      <c r="CT598" s="23"/>
      <c r="CU598" s="23"/>
      <c r="CV598" s="23"/>
      <c r="CW598" s="23"/>
      <c r="CX598" s="23"/>
      <c r="CY598" s="23"/>
      <c r="CZ598" s="23"/>
      <c r="DA598" s="23"/>
      <c r="DB598" s="23"/>
      <c r="DC598" s="23"/>
      <c r="DD598" s="23"/>
      <c r="DE598" s="23"/>
      <c r="DF598" s="23"/>
      <c r="DG598" s="23"/>
      <c r="DH598" s="23"/>
      <c r="DI598" s="23"/>
      <c r="DJ598" s="23"/>
      <c r="DK598" s="23"/>
      <c r="DL598" s="23"/>
      <c r="DM598" s="23"/>
      <c r="DN598" s="23"/>
      <c r="DO598" s="23"/>
      <c r="DP598" s="23"/>
      <c r="DQ598" s="23"/>
      <c r="DR598" s="23"/>
      <c r="DS598" s="23"/>
      <c r="DT598" s="23"/>
      <c r="DU598" s="23"/>
      <c r="DV598" s="23"/>
      <c r="DW598" s="23"/>
      <c r="DX598" s="23"/>
      <c r="DY598" s="23"/>
      <c r="DZ598" s="23"/>
      <c r="EA598" s="23"/>
      <c r="EB598" s="23"/>
      <c r="EC598" s="23"/>
      <c r="ED598" s="23"/>
      <c r="EE598" s="23"/>
      <c r="EF598" s="23"/>
      <c r="EG598" s="23"/>
      <c r="EH598" s="23"/>
      <c r="EI598" s="23"/>
      <c r="EJ598" s="23"/>
      <c r="EK598" s="23"/>
      <c r="EL598" s="23"/>
      <c r="EM598" s="23"/>
      <c r="EN598" s="23"/>
      <c r="EO598" s="23"/>
      <c r="EP598" s="23"/>
      <c r="EQ598" s="23"/>
      <c r="ER598" s="23"/>
      <c r="ES598" s="23"/>
      <c r="ET598" s="23"/>
      <c r="EU598" s="23"/>
      <c r="EV598" s="23"/>
      <c r="EW598" s="23"/>
      <c r="EX598" s="23"/>
      <c r="EY598" s="23"/>
      <c r="EZ598" s="23"/>
      <c r="FA598" s="23"/>
      <c r="FB598" s="23"/>
      <c r="FC598" s="23"/>
      <c r="FD598" s="23"/>
      <c r="FE598" s="23"/>
      <c r="FF598" s="23"/>
      <c r="FG598" s="23"/>
      <c r="FH598" s="23"/>
      <c r="FI598" s="23"/>
      <c r="FJ598" s="23"/>
      <c r="FK598" s="23"/>
      <c r="FL598" s="23"/>
      <c r="FM598" s="23"/>
      <c r="FN598" s="23"/>
      <c r="FO598" s="23"/>
      <c r="FP598" s="23"/>
      <c r="FQ598" s="23"/>
      <c r="FR598" s="23"/>
      <c r="FS598" s="23"/>
      <c r="FT598" s="23"/>
      <c r="FU598" s="23"/>
      <c r="FV598" s="23"/>
      <c r="FW598" s="23"/>
      <c r="FX598" s="23"/>
      <c r="FY598" s="23"/>
      <c r="FZ598" s="23"/>
      <c r="GA598" s="23"/>
      <c r="GB598" s="23"/>
      <c r="GC598" s="23"/>
      <c r="GD598" s="23"/>
      <c r="GE598" s="23"/>
      <c r="GF598" s="23"/>
      <c r="GG598" s="23"/>
      <c r="GH598" s="23"/>
      <c r="GI598" s="23"/>
      <c r="GJ598" s="23"/>
      <c r="GK598" s="23"/>
      <c r="GL598" s="23"/>
    </row>
    <row r="599" spans="1:194" ht="13">
      <c r="A599" s="23"/>
      <c r="B599" s="23"/>
      <c r="C599" s="23"/>
      <c r="D599" s="23"/>
      <c r="E599" s="23"/>
      <c r="F599" s="23"/>
      <c r="G599" s="23"/>
      <c r="H599" s="401"/>
      <c r="I599" s="401"/>
      <c r="J599" s="401"/>
      <c r="K599" s="401"/>
      <c r="L599" s="401"/>
      <c r="M599" s="438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  <c r="AL599" s="23"/>
      <c r="AM599" s="23"/>
      <c r="AN599" s="23"/>
      <c r="AO599" s="23"/>
      <c r="AP599" s="23"/>
      <c r="AQ599" s="23"/>
      <c r="AR599" s="23"/>
      <c r="AS599" s="23"/>
      <c r="AT599" s="23"/>
      <c r="AU599" s="23"/>
      <c r="AV599" s="23"/>
      <c r="AW599" s="23"/>
      <c r="AX599" s="23"/>
      <c r="AY599" s="23"/>
      <c r="AZ599" s="23"/>
      <c r="BA599" s="23"/>
      <c r="BB599" s="23"/>
      <c r="BC599" s="23"/>
      <c r="BD599" s="23"/>
      <c r="BE599" s="23"/>
      <c r="BF599" s="23"/>
      <c r="BG599" s="23"/>
      <c r="BH599" s="23"/>
      <c r="BI599" s="23"/>
      <c r="BJ599" s="23"/>
      <c r="BK599" s="23"/>
      <c r="BL599" s="23"/>
      <c r="BM599" s="23"/>
      <c r="BN599" s="23"/>
      <c r="BO599" s="23"/>
      <c r="BP599" s="23"/>
      <c r="BQ599" s="23"/>
      <c r="BR599" s="23"/>
      <c r="BS599" s="23"/>
      <c r="BT599" s="23"/>
      <c r="BU599" s="23"/>
      <c r="BV599" s="23"/>
      <c r="BW599" s="23"/>
      <c r="BX599" s="23"/>
      <c r="BY599" s="23"/>
      <c r="BZ599" s="23"/>
      <c r="CA599" s="23"/>
      <c r="CB599" s="23"/>
      <c r="CC599" s="23"/>
      <c r="CD599" s="23"/>
      <c r="CE599" s="23"/>
      <c r="CF599" s="23"/>
      <c r="CG599" s="23"/>
      <c r="CH599" s="23"/>
      <c r="CI599" s="23"/>
      <c r="CJ599" s="23"/>
      <c r="CK599" s="23"/>
      <c r="CL599" s="23"/>
      <c r="CM599" s="23"/>
      <c r="CN599" s="23"/>
      <c r="CO599" s="23"/>
      <c r="CP599" s="23"/>
      <c r="CQ599" s="23"/>
      <c r="CR599" s="23"/>
      <c r="CS599" s="23"/>
      <c r="CT599" s="23"/>
      <c r="CU599" s="23"/>
      <c r="CV599" s="23"/>
      <c r="CW599" s="23"/>
      <c r="CX599" s="23"/>
      <c r="CY599" s="23"/>
      <c r="CZ599" s="23"/>
      <c r="DA599" s="23"/>
      <c r="DB599" s="23"/>
      <c r="DC599" s="23"/>
      <c r="DD599" s="23"/>
      <c r="DE599" s="23"/>
      <c r="DF599" s="23"/>
      <c r="DG599" s="23"/>
      <c r="DH599" s="23"/>
      <c r="DI599" s="23"/>
      <c r="DJ599" s="23"/>
      <c r="DK599" s="23"/>
      <c r="DL599" s="23"/>
      <c r="DM599" s="23"/>
      <c r="DN599" s="23"/>
      <c r="DO599" s="23"/>
      <c r="DP599" s="23"/>
      <c r="DQ599" s="23"/>
      <c r="DR599" s="23"/>
      <c r="DS599" s="23"/>
      <c r="DT599" s="23"/>
      <c r="DU599" s="23"/>
      <c r="DV599" s="23"/>
      <c r="DW599" s="23"/>
      <c r="DX599" s="23"/>
      <c r="DY599" s="23"/>
      <c r="DZ599" s="23"/>
      <c r="EA599" s="23"/>
      <c r="EB599" s="23"/>
      <c r="EC599" s="23"/>
      <c r="ED599" s="23"/>
      <c r="EE599" s="23"/>
      <c r="EF599" s="23"/>
      <c r="EG599" s="23"/>
      <c r="EH599" s="23"/>
      <c r="EI599" s="23"/>
      <c r="EJ599" s="23"/>
      <c r="EK599" s="23"/>
      <c r="EL599" s="23"/>
      <c r="EM599" s="23"/>
      <c r="EN599" s="23"/>
      <c r="EO599" s="23"/>
      <c r="EP599" s="23"/>
      <c r="EQ599" s="23"/>
      <c r="ER599" s="23"/>
      <c r="ES599" s="23"/>
      <c r="ET599" s="23"/>
      <c r="EU599" s="23"/>
      <c r="EV599" s="23"/>
      <c r="EW599" s="23"/>
      <c r="EX599" s="23"/>
      <c r="EY599" s="23"/>
      <c r="EZ599" s="23"/>
      <c r="FA599" s="23"/>
      <c r="FB599" s="23"/>
      <c r="FC599" s="23"/>
      <c r="FD599" s="23"/>
      <c r="FE599" s="23"/>
      <c r="FF599" s="23"/>
      <c r="FG599" s="23"/>
      <c r="FH599" s="23"/>
      <c r="FI599" s="23"/>
      <c r="FJ599" s="23"/>
      <c r="FK599" s="23"/>
      <c r="FL599" s="23"/>
      <c r="FM599" s="23"/>
      <c r="FN599" s="23"/>
      <c r="FO599" s="23"/>
      <c r="FP599" s="23"/>
      <c r="FQ599" s="23"/>
      <c r="FR599" s="23"/>
      <c r="FS599" s="23"/>
      <c r="FT599" s="23"/>
      <c r="FU599" s="23"/>
      <c r="FV599" s="23"/>
      <c r="FW599" s="23"/>
      <c r="FX599" s="23"/>
      <c r="FY599" s="23"/>
      <c r="FZ599" s="23"/>
      <c r="GA599" s="23"/>
      <c r="GB599" s="23"/>
      <c r="GC599" s="23"/>
      <c r="GD599" s="23"/>
      <c r="GE599" s="23"/>
      <c r="GF599" s="23"/>
      <c r="GG599" s="23"/>
      <c r="GH599" s="23"/>
      <c r="GI599" s="23"/>
      <c r="GJ599" s="23"/>
      <c r="GK599" s="23"/>
      <c r="GL599" s="23"/>
    </row>
    <row r="600" spans="1:194" ht="13">
      <c r="A600" s="23"/>
      <c r="B600" s="23"/>
      <c r="C600" s="23"/>
      <c r="D600" s="23"/>
      <c r="E600" s="23"/>
      <c r="F600" s="23"/>
      <c r="G600" s="23"/>
      <c r="H600" s="401"/>
      <c r="I600" s="401"/>
      <c r="J600" s="401"/>
      <c r="K600" s="401"/>
      <c r="L600" s="401"/>
      <c r="M600" s="438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  <c r="AL600" s="23"/>
      <c r="AM600" s="23"/>
      <c r="AN600" s="23"/>
      <c r="AO600" s="23"/>
      <c r="AP600" s="23"/>
      <c r="AQ600" s="23"/>
      <c r="AR600" s="23"/>
      <c r="AS600" s="23"/>
      <c r="AT600" s="23"/>
      <c r="AU600" s="23"/>
      <c r="AV600" s="23"/>
      <c r="AW600" s="23"/>
      <c r="AX600" s="23"/>
      <c r="AY600" s="23"/>
      <c r="AZ600" s="23"/>
      <c r="BA600" s="23"/>
      <c r="BB600" s="23"/>
      <c r="BC600" s="23"/>
      <c r="BD600" s="23"/>
      <c r="BE600" s="23"/>
      <c r="BF600" s="23"/>
      <c r="BG600" s="23"/>
      <c r="BH600" s="23"/>
      <c r="BI600" s="23"/>
      <c r="BJ600" s="23"/>
      <c r="BK600" s="23"/>
      <c r="BL600" s="23"/>
      <c r="BM600" s="23"/>
      <c r="BN600" s="23"/>
      <c r="BO600" s="23"/>
      <c r="BP600" s="23"/>
      <c r="BQ600" s="23"/>
      <c r="BR600" s="23"/>
      <c r="BS600" s="23"/>
      <c r="BT600" s="23"/>
      <c r="BU600" s="23"/>
      <c r="BV600" s="23"/>
      <c r="BW600" s="23"/>
      <c r="BX600" s="23"/>
      <c r="BY600" s="23"/>
      <c r="BZ600" s="23"/>
      <c r="CA600" s="23"/>
      <c r="CB600" s="23"/>
      <c r="CC600" s="23"/>
      <c r="CD600" s="23"/>
      <c r="CE600" s="23"/>
      <c r="CF600" s="23"/>
      <c r="CG600" s="23"/>
      <c r="CH600" s="23"/>
      <c r="CI600" s="23"/>
      <c r="CJ600" s="23"/>
      <c r="CK600" s="23"/>
      <c r="CL600" s="23"/>
      <c r="CM600" s="23"/>
      <c r="CN600" s="23"/>
      <c r="CO600" s="23"/>
      <c r="CP600" s="23"/>
      <c r="CQ600" s="23"/>
      <c r="CR600" s="23"/>
      <c r="CS600" s="23"/>
      <c r="CT600" s="23"/>
      <c r="CU600" s="23"/>
      <c r="CV600" s="23"/>
      <c r="CW600" s="23"/>
      <c r="CX600" s="23"/>
      <c r="CY600" s="23"/>
      <c r="CZ600" s="23"/>
      <c r="DA600" s="23"/>
      <c r="DB600" s="23"/>
      <c r="DC600" s="23"/>
      <c r="DD600" s="23"/>
      <c r="DE600" s="23"/>
      <c r="DF600" s="23"/>
      <c r="DG600" s="23"/>
      <c r="DH600" s="23"/>
      <c r="DI600" s="23"/>
      <c r="DJ600" s="23"/>
      <c r="DK600" s="23"/>
      <c r="DL600" s="23"/>
      <c r="DM600" s="23"/>
      <c r="DN600" s="23"/>
      <c r="DO600" s="23"/>
      <c r="DP600" s="23"/>
      <c r="DQ600" s="23"/>
      <c r="DR600" s="23"/>
      <c r="DS600" s="23"/>
      <c r="DT600" s="23"/>
      <c r="DU600" s="23"/>
      <c r="DV600" s="23"/>
      <c r="DW600" s="23"/>
      <c r="DX600" s="23"/>
      <c r="DY600" s="23"/>
      <c r="DZ600" s="23"/>
      <c r="EA600" s="23"/>
      <c r="EB600" s="23"/>
      <c r="EC600" s="23"/>
      <c r="ED600" s="23"/>
      <c r="EE600" s="23"/>
      <c r="EF600" s="23"/>
      <c r="EG600" s="23"/>
      <c r="EH600" s="23"/>
      <c r="EI600" s="23"/>
      <c r="EJ600" s="23"/>
      <c r="EK600" s="23"/>
      <c r="EL600" s="23"/>
      <c r="EM600" s="23"/>
      <c r="EN600" s="23"/>
      <c r="EO600" s="23"/>
      <c r="EP600" s="23"/>
      <c r="EQ600" s="23"/>
      <c r="ER600" s="23"/>
      <c r="ES600" s="23"/>
      <c r="ET600" s="23"/>
      <c r="EU600" s="23"/>
      <c r="EV600" s="23"/>
      <c r="EW600" s="23"/>
      <c r="EX600" s="23"/>
      <c r="EY600" s="23"/>
      <c r="EZ600" s="23"/>
      <c r="FA600" s="23"/>
      <c r="FB600" s="23"/>
      <c r="FC600" s="23"/>
      <c r="FD600" s="23"/>
      <c r="FE600" s="23"/>
      <c r="FF600" s="23"/>
      <c r="FG600" s="23"/>
      <c r="FH600" s="23"/>
      <c r="FI600" s="23"/>
      <c r="FJ600" s="23"/>
      <c r="FK600" s="23"/>
      <c r="FL600" s="23"/>
      <c r="FM600" s="23"/>
      <c r="FN600" s="23"/>
      <c r="FO600" s="23"/>
      <c r="FP600" s="23"/>
      <c r="FQ600" s="23"/>
      <c r="FR600" s="23"/>
      <c r="FS600" s="23"/>
      <c r="FT600" s="23"/>
      <c r="FU600" s="23"/>
      <c r="FV600" s="23"/>
      <c r="FW600" s="23"/>
      <c r="FX600" s="23"/>
      <c r="FY600" s="23"/>
      <c r="FZ600" s="23"/>
      <c r="GA600" s="23"/>
      <c r="GB600" s="23"/>
      <c r="GC600" s="23"/>
      <c r="GD600" s="23"/>
      <c r="GE600" s="23"/>
      <c r="GF600" s="23"/>
      <c r="GG600" s="23"/>
      <c r="GH600" s="23"/>
      <c r="GI600" s="23"/>
      <c r="GJ600" s="23"/>
      <c r="GK600" s="23"/>
      <c r="GL600" s="23"/>
    </row>
    <row r="601" spans="1:194" ht="13">
      <c r="A601" s="23"/>
      <c r="B601" s="23"/>
      <c r="C601" s="23"/>
      <c r="D601" s="23"/>
      <c r="E601" s="23"/>
      <c r="F601" s="23"/>
      <c r="G601" s="23"/>
      <c r="H601" s="401"/>
      <c r="I601" s="401"/>
      <c r="J601" s="401"/>
      <c r="K601" s="401"/>
      <c r="L601" s="401"/>
      <c r="M601" s="438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  <c r="AL601" s="23"/>
      <c r="AM601" s="23"/>
      <c r="AN601" s="23"/>
      <c r="AO601" s="23"/>
      <c r="AP601" s="23"/>
      <c r="AQ601" s="23"/>
      <c r="AR601" s="23"/>
      <c r="AS601" s="23"/>
      <c r="AT601" s="23"/>
      <c r="AU601" s="23"/>
      <c r="AV601" s="23"/>
      <c r="AW601" s="23"/>
      <c r="AX601" s="23"/>
      <c r="AY601" s="23"/>
      <c r="AZ601" s="23"/>
      <c r="BA601" s="23"/>
      <c r="BB601" s="23"/>
      <c r="BC601" s="23"/>
      <c r="BD601" s="23"/>
      <c r="BE601" s="23"/>
      <c r="BF601" s="23"/>
      <c r="BG601" s="23"/>
      <c r="BH601" s="23"/>
      <c r="BI601" s="23"/>
      <c r="BJ601" s="23"/>
      <c r="BK601" s="23"/>
      <c r="BL601" s="23"/>
      <c r="BM601" s="23"/>
      <c r="BN601" s="23"/>
      <c r="BO601" s="23"/>
      <c r="BP601" s="23"/>
      <c r="BQ601" s="23"/>
      <c r="BR601" s="23"/>
      <c r="BS601" s="23"/>
      <c r="BT601" s="23"/>
      <c r="BU601" s="23"/>
      <c r="BV601" s="23"/>
      <c r="BW601" s="23"/>
      <c r="BX601" s="23"/>
      <c r="BY601" s="23"/>
      <c r="BZ601" s="23"/>
      <c r="CA601" s="23"/>
      <c r="CB601" s="23"/>
      <c r="CC601" s="23"/>
      <c r="CD601" s="23"/>
      <c r="CE601" s="23"/>
      <c r="CF601" s="23"/>
      <c r="CG601" s="23"/>
      <c r="CH601" s="23"/>
      <c r="CI601" s="23"/>
      <c r="CJ601" s="23"/>
      <c r="CK601" s="23"/>
      <c r="CL601" s="23"/>
      <c r="CM601" s="23"/>
      <c r="CN601" s="23"/>
      <c r="CO601" s="23"/>
      <c r="CP601" s="23"/>
      <c r="CQ601" s="23"/>
      <c r="CR601" s="23"/>
      <c r="CS601" s="23"/>
      <c r="CT601" s="23"/>
      <c r="CU601" s="23"/>
      <c r="CV601" s="23"/>
      <c r="CW601" s="23"/>
      <c r="CX601" s="23"/>
      <c r="CY601" s="23"/>
      <c r="CZ601" s="23"/>
      <c r="DA601" s="23"/>
      <c r="DB601" s="23"/>
      <c r="DC601" s="23"/>
      <c r="DD601" s="23"/>
      <c r="DE601" s="23"/>
      <c r="DF601" s="23"/>
      <c r="DG601" s="23"/>
      <c r="DH601" s="23"/>
      <c r="DI601" s="23"/>
      <c r="DJ601" s="23"/>
      <c r="DK601" s="23"/>
      <c r="DL601" s="23"/>
      <c r="DM601" s="23"/>
      <c r="DN601" s="23"/>
      <c r="DO601" s="23"/>
      <c r="DP601" s="23"/>
      <c r="DQ601" s="23"/>
      <c r="DR601" s="23"/>
      <c r="DS601" s="23"/>
      <c r="DT601" s="23"/>
      <c r="DU601" s="23"/>
      <c r="DV601" s="23"/>
      <c r="DW601" s="23"/>
      <c r="DX601" s="23"/>
      <c r="DY601" s="23"/>
      <c r="DZ601" s="23"/>
      <c r="EA601" s="23"/>
      <c r="EB601" s="23"/>
      <c r="EC601" s="23"/>
      <c r="ED601" s="23"/>
      <c r="EE601" s="23"/>
      <c r="EF601" s="23"/>
      <c r="EG601" s="23"/>
      <c r="EH601" s="23"/>
      <c r="EI601" s="23"/>
      <c r="EJ601" s="23"/>
      <c r="EK601" s="23"/>
      <c r="EL601" s="23"/>
      <c r="EM601" s="23"/>
      <c r="EN601" s="23"/>
      <c r="EO601" s="23"/>
      <c r="EP601" s="23"/>
      <c r="EQ601" s="23"/>
      <c r="ER601" s="23"/>
      <c r="ES601" s="23"/>
      <c r="ET601" s="23"/>
      <c r="EU601" s="23"/>
      <c r="EV601" s="23"/>
      <c r="EW601" s="23"/>
      <c r="EX601" s="23"/>
      <c r="EY601" s="23"/>
      <c r="EZ601" s="23"/>
      <c r="FA601" s="23"/>
      <c r="FB601" s="23"/>
      <c r="FC601" s="23"/>
      <c r="FD601" s="23"/>
      <c r="FE601" s="23"/>
      <c r="FF601" s="23"/>
      <c r="FG601" s="23"/>
      <c r="FH601" s="23"/>
      <c r="FI601" s="23"/>
      <c r="FJ601" s="23"/>
      <c r="FK601" s="23"/>
      <c r="FL601" s="23"/>
      <c r="FM601" s="23"/>
      <c r="FN601" s="23"/>
      <c r="FO601" s="23"/>
      <c r="FP601" s="23"/>
      <c r="FQ601" s="23"/>
      <c r="FR601" s="23"/>
      <c r="FS601" s="23"/>
      <c r="FT601" s="23"/>
      <c r="FU601" s="23"/>
      <c r="FV601" s="23"/>
      <c r="FW601" s="23"/>
      <c r="FX601" s="23"/>
      <c r="FY601" s="23"/>
      <c r="FZ601" s="23"/>
      <c r="GA601" s="23"/>
      <c r="GB601" s="23"/>
      <c r="GC601" s="23"/>
      <c r="GD601" s="23"/>
      <c r="GE601" s="23"/>
      <c r="GF601" s="23"/>
      <c r="GG601" s="23"/>
      <c r="GH601" s="23"/>
      <c r="GI601" s="23"/>
      <c r="GJ601" s="23"/>
      <c r="GK601" s="23"/>
      <c r="GL601" s="23"/>
    </row>
    <row r="602" spans="1:194" ht="13">
      <c r="A602" s="23"/>
      <c r="B602" s="23"/>
      <c r="C602" s="23"/>
      <c r="D602" s="23"/>
      <c r="E602" s="23"/>
      <c r="F602" s="23"/>
      <c r="G602" s="23"/>
      <c r="H602" s="401"/>
      <c r="I602" s="401"/>
      <c r="J602" s="401"/>
      <c r="K602" s="401"/>
      <c r="L602" s="401"/>
      <c r="M602" s="438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  <c r="AL602" s="23"/>
      <c r="AM602" s="23"/>
      <c r="AN602" s="23"/>
      <c r="AO602" s="23"/>
      <c r="AP602" s="23"/>
      <c r="AQ602" s="23"/>
      <c r="AR602" s="23"/>
      <c r="AS602" s="23"/>
      <c r="AT602" s="23"/>
      <c r="AU602" s="23"/>
      <c r="AV602" s="23"/>
      <c r="AW602" s="23"/>
      <c r="AX602" s="23"/>
      <c r="AY602" s="23"/>
      <c r="AZ602" s="23"/>
      <c r="BA602" s="23"/>
      <c r="BB602" s="23"/>
      <c r="BC602" s="23"/>
      <c r="BD602" s="23"/>
      <c r="BE602" s="23"/>
      <c r="BF602" s="23"/>
      <c r="BG602" s="23"/>
      <c r="BH602" s="23"/>
      <c r="BI602" s="23"/>
      <c r="BJ602" s="23"/>
      <c r="BK602" s="23"/>
      <c r="BL602" s="23"/>
      <c r="BM602" s="23"/>
      <c r="BN602" s="23"/>
      <c r="BO602" s="23"/>
      <c r="BP602" s="23"/>
      <c r="BQ602" s="23"/>
      <c r="BR602" s="23"/>
      <c r="BS602" s="23"/>
      <c r="BT602" s="23"/>
      <c r="BU602" s="23"/>
      <c r="BV602" s="23"/>
      <c r="BW602" s="23"/>
      <c r="BX602" s="23"/>
      <c r="BY602" s="23"/>
      <c r="BZ602" s="23"/>
      <c r="CA602" s="23"/>
      <c r="CB602" s="23"/>
      <c r="CC602" s="23"/>
      <c r="CD602" s="23"/>
      <c r="CE602" s="23"/>
      <c r="CF602" s="23"/>
      <c r="CG602" s="23"/>
      <c r="CH602" s="23"/>
      <c r="CI602" s="23"/>
      <c r="CJ602" s="23"/>
      <c r="CK602" s="23"/>
      <c r="CL602" s="23"/>
      <c r="CM602" s="23"/>
      <c r="CN602" s="23"/>
      <c r="CO602" s="23"/>
      <c r="CP602" s="23"/>
      <c r="CQ602" s="23"/>
      <c r="CR602" s="23"/>
      <c r="CS602" s="23"/>
      <c r="CT602" s="23"/>
      <c r="CU602" s="23"/>
      <c r="CV602" s="23"/>
      <c r="CW602" s="23"/>
      <c r="CX602" s="23"/>
      <c r="CY602" s="23"/>
      <c r="CZ602" s="23"/>
      <c r="DA602" s="23"/>
      <c r="DB602" s="23"/>
      <c r="DC602" s="23"/>
      <c r="DD602" s="23"/>
      <c r="DE602" s="23"/>
      <c r="DF602" s="23"/>
      <c r="DG602" s="23"/>
      <c r="DH602" s="23"/>
      <c r="DI602" s="23"/>
      <c r="DJ602" s="23"/>
      <c r="DK602" s="23"/>
      <c r="DL602" s="23"/>
      <c r="DM602" s="23"/>
      <c r="DN602" s="23"/>
      <c r="DO602" s="23"/>
      <c r="DP602" s="23"/>
      <c r="DQ602" s="23"/>
      <c r="DR602" s="23"/>
      <c r="DS602" s="23"/>
      <c r="DT602" s="23"/>
      <c r="DU602" s="23"/>
      <c r="DV602" s="23"/>
      <c r="DW602" s="23"/>
      <c r="DX602" s="23"/>
      <c r="DY602" s="23"/>
      <c r="DZ602" s="23"/>
      <c r="EA602" s="23"/>
      <c r="EB602" s="23"/>
      <c r="EC602" s="23"/>
      <c r="ED602" s="23"/>
      <c r="EE602" s="23"/>
      <c r="EF602" s="23"/>
      <c r="EG602" s="23"/>
      <c r="EH602" s="23"/>
      <c r="EI602" s="23"/>
      <c r="EJ602" s="23"/>
      <c r="EK602" s="23"/>
      <c r="EL602" s="23"/>
      <c r="EM602" s="23"/>
      <c r="EN602" s="23"/>
      <c r="EO602" s="23"/>
      <c r="EP602" s="23"/>
      <c r="EQ602" s="23"/>
      <c r="ER602" s="23"/>
      <c r="ES602" s="23"/>
      <c r="ET602" s="23"/>
      <c r="EU602" s="23"/>
      <c r="EV602" s="23"/>
      <c r="EW602" s="23"/>
      <c r="EX602" s="23"/>
      <c r="EY602" s="23"/>
      <c r="EZ602" s="23"/>
      <c r="FA602" s="23"/>
      <c r="FB602" s="23"/>
      <c r="FC602" s="23"/>
      <c r="FD602" s="23"/>
      <c r="FE602" s="23"/>
      <c r="FF602" s="23"/>
      <c r="FG602" s="23"/>
      <c r="FH602" s="23"/>
      <c r="FI602" s="23"/>
      <c r="FJ602" s="23"/>
      <c r="FK602" s="23"/>
      <c r="FL602" s="23"/>
      <c r="FM602" s="23"/>
      <c r="FN602" s="23"/>
      <c r="FO602" s="23"/>
      <c r="FP602" s="23"/>
      <c r="FQ602" s="23"/>
      <c r="FR602" s="23"/>
      <c r="FS602" s="23"/>
      <c r="FT602" s="23"/>
      <c r="FU602" s="23"/>
      <c r="FV602" s="23"/>
      <c r="FW602" s="23"/>
      <c r="FX602" s="23"/>
      <c r="FY602" s="23"/>
      <c r="FZ602" s="23"/>
      <c r="GA602" s="23"/>
      <c r="GB602" s="23"/>
      <c r="GC602" s="23"/>
      <c r="GD602" s="23"/>
      <c r="GE602" s="23"/>
      <c r="GF602" s="23"/>
      <c r="GG602" s="23"/>
      <c r="GH602" s="23"/>
      <c r="GI602" s="23"/>
      <c r="GJ602" s="23"/>
      <c r="GK602" s="23"/>
      <c r="GL602" s="23"/>
    </row>
    <row r="603" spans="1:194" ht="13">
      <c r="A603" s="23"/>
      <c r="B603" s="23"/>
      <c r="C603" s="23"/>
      <c r="D603" s="23"/>
      <c r="E603" s="23"/>
      <c r="F603" s="23"/>
      <c r="G603" s="23"/>
      <c r="H603" s="401"/>
      <c r="I603" s="401"/>
      <c r="J603" s="401"/>
      <c r="K603" s="401"/>
      <c r="L603" s="401"/>
      <c r="M603" s="438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  <c r="AL603" s="23"/>
      <c r="AM603" s="23"/>
      <c r="AN603" s="23"/>
      <c r="AO603" s="23"/>
      <c r="AP603" s="23"/>
      <c r="AQ603" s="23"/>
      <c r="AR603" s="23"/>
      <c r="AS603" s="23"/>
      <c r="AT603" s="23"/>
      <c r="AU603" s="23"/>
      <c r="AV603" s="23"/>
      <c r="AW603" s="23"/>
      <c r="AX603" s="23"/>
      <c r="AY603" s="23"/>
      <c r="AZ603" s="23"/>
      <c r="BA603" s="23"/>
      <c r="BB603" s="23"/>
      <c r="BC603" s="23"/>
      <c r="BD603" s="23"/>
      <c r="BE603" s="23"/>
      <c r="BF603" s="23"/>
      <c r="BG603" s="23"/>
      <c r="BH603" s="23"/>
      <c r="BI603" s="23"/>
      <c r="BJ603" s="23"/>
      <c r="BK603" s="23"/>
      <c r="BL603" s="23"/>
      <c r="BM603" s="23"/>
      <c r="BN603" s="23"/>
      <c r="BO603" s="23"/>
      <c r="BP603" s="23"/>
      <c r="BQ603" s="23"/>
      <c r="BR603" s="23"/>
      <c r="BS603" s="23"/>
      <c r="BT603" s="23"/>
      <c r="BU603" s="23"/>
      <c r="BV603" s="23"/>
      <c r="BW603" s="23"/>
      <c r="BX603" s="23"/>
      <c r="BY603" s="23"/>
      <c r="BZ603" s="23"/>
      <c r="CA603" s="23"/>
      <c r="CB603" s="23"/>
      <c r="CC603" s="23"/>
      <c r="CD603" s="23"/>
      <c r="CE603" s="23"/>
      <c r="CF603" s="23"/>
      <c r="CG603" s="23"/>
      <c r="CH603" s="23"/>
      <c r="CI603" s="23"/>
      <c r="CJ603" s="23"/>
      <c r="CK603" s="23"/>
      <c r="CL603" s="23"/>
      <c r="CM603" s="23"/>
      <c r="CN603" s="23"/>
      <c r="CO603" s="23"/>
      <c r="CP603" s="23"/>
      <c r="CQ603" s="23"/>
      <c r="CR603" s="23"/>
      <c r="CS603" s="23"/>
      <c r="CT603" s="23"/>
      <c r="CU603" s="23"/>
      <c r="CV603" s="23"/>
      <c r="CW603" s="23"/>
      <c r="CX603" s="23"/>
      <c r="CY603" s="23"/>
      <c r="CZ603" s="23"/>
      <c r="DA603" s="23"/>
      <c r="DB603" s="23"/>
      <c r="DC603" s="23"/>
      <c r="DD603" s="23"/>
      <c r="DE603" s="23"/>
      <c r="DF603" s="23"/>
      <c r="DG603" s="23"/>
      <c r="DH603" s="23"/>
      <c r="DI603" s="23"/>
      <c r="DJ603" s="23"/>
      <c r="DK603" s="23"/>
      <c r="DL603" s="23"/>
      <c r="DM603" s="23"/>
      <c r="DN603" s="23"/>
      <c r="DO603" s="23"/>
      <c r="DP603" s="23"/>
      <c r="DQ603" s="23"/>
      <c r="DR603" s="23"/>
      <c r="DS603" s="23"/>
      <c r="DT603" s="23"/>
      <c r="DU603" s="23"/>
      <c r="DV603" s="23"/>
      <c r="DW603" s="23"/>
      <c r="DX603" s="23"/>
      <c r="DY603" s="23"/>
      <c r="DZ603" s="23"/>
      <c r="EA603" s="23"/>
      <c r="EB603" s="23"/>
      <c r="EC603" s="23"/>
      <c r="ED603" s="23"/>
      <c r="EE603" s="23"/>
      <c r="EF603" s="23"/>
      <c r="EG603" s="23"/>
      <c r="EH603" s="23"/>
      <c r="EI603" s="23"/>
      <c r="EJ603" s="23"/>
      <c r="EK603" s="23"/>
      <c r="EL603" s="23"/>
      <c r="EM603" s="23"/>
      <c r="EN603" s="23"/>
      <c r="EO603" s="23"/>
      <c r="EP603" s="23"/>
      <c r="EQ603" s="23"/>
      <c r="ER603" s="23"/>
      <c r="ES603" s="23"/>
      <c r="ET603" s="23"/>
      <c r="EU603" s="23"/>
      <c r="EV603" s="23"/>
      <c r="EW603" s="23"/>
      <c r="EX603" s="23"/>
      <c r="EY603" s="23"/>
      <c r="EZ603" s="23"/>
      <c r="FA603" s="23"/>
      <c r="FB603" s="23"/>
      <c r="FC603" s="23"/>
      <c r="FD603" s="23"/>
      <c r="FE603" s="23"/>
      <c r="FF603" s="23"/>
      <c r="FG603" s="23"/>
      <c r="FH603" s="23"/>
      <c r="FI603" s="23"/>
      <c r="FJ603" s="23"/>
      <c r="FK603" s="23"/>
      <c r="FL603" s="23"/>
      <c r="FM603" s="23"/>
      <c r="FN603" s="23"/>
      <c r="FO603" s="23"/>
      <c r="FP603" s="23"/>
      <c r="FQ603" s="23"/>
      <c r="FR603" s="23"/>
      <c r="FS603" s="23"/>
      <c r="FT603" s="23"/>
      <c r="FU603" s="23"/>
      <c r="FV603" s="23"/>
      <c r="FW603" s="23"/>
      <c r="FX603" s="23"/>
      <c r="FY603" s="23"/>
      <c r="FZ603" s="23"/>
      <c r="GA603" s="23"/>
      <c r="GB603" s="23"/>
      <c r="GC603" s="23"/>
      <c r="GD603" s="23"/>
      <c r="GE603" s="23"/>
      <c r="GF603" s="23"/>
      <c r="GG603" s="23"/>
      <c r="GH603" s="23"/>
      <c r="GI603" s="23"/>
      <c r="GJ603" s="23"/>
      <c r="GK603" s="23"/>
      <c r="GL603" s="23"/>
    </row>
    <row r="604" spans="1:194" ht="13">
      <c r="A604" s="23"/>
      <c r="B604" s="23"/>
      <c r="C604" s="23"/>
      <c r="D604" s="23"/>
      <c r="E604" s="23"/>
      <c r="F604" s="23"/>
      <c r="G604" s="23"/>
      <c r="H604" s="401"/>
      <c r="I604" s="401"/>
      <c r="J604" s="401"/>
      <c r="K604" s="401"/>
      <c r="L604" s="401"/>
      <c r="M604" s="438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  <c r="AL604" s="23"/>
      <c r="AM604" s="23"/>
      <c r="AN604" s="23"/>
      <c r="AO604" s="23"/>
      <c r="AP604" s="23"/>
      <c r="AQ604" s="23"/>
      <c r="AR604" s="23"/>
      <c r="AS604" s="23"/>
      <c r="AT604" s="23"/>
      <c r="AU604" s="23"/>
      <c r="AV604" s="23"/>
      <c r="AW604" s="23"/>
      <c r="AX604" s="23"/>
      <c r="AY604" s="23"/>
      <c r="AZ604" s="23"/>
      <c r="BA604" s="23"/>
      <c r="BB604" s="23"/>
      <c r="BC604" s="23"/>
      <c r="BD604" s="23"/>
      <c r="BE604" s="23"/>
      <c r="BF604" s="23"/>
      <c r="BG604" s="23"/>
      <c r="BH604" s="23"/>
      <c r="BI604" s="23"/>
      <c r="BJ604" s="23"/>
      <c r="BK604" s="23"/>
      <c r="BL604" s="23"/>
      <c r="BM604" s="23"/>
      <c r="BN604" s="23"/>
      <c r="BO604" s="23"/>
      <c r="BP604" s="23"/>
      <c r="BQ604" s="23"/>
      <c r="BR604" s="23"/>
      <c r="BS604" s="23"/>
      <c r="BT604" s="23"/>
      <c r="BU604" s="23"/>
      <c r="BV604" s="23"/>
      <c r="BW604" s="23"/>
      <c r="BX604" s="23"/>
      <c r="BY604" s="23"/>
      <c r="BZ604" s="23"/>
      <c r="CA604" s="23"/>
      <c r="CB604" s="23"/>
      <c r="CC604" s="23"/>
      <c r="CD604" s="23"/>
      <c r="CE604" s="23"/>
      <c r="CF604" s="23"/>
      <c r="CG604" s="23"/>
      <c r="CH604" s="23"/>
      <c r="CI604" s="23"/>
      <c r="CJ604" s="23"/>
      <c r="CK604" s="23"/>
      <c r="CL604" s="23"/>
      <c r="CM604" s="23"/>
      <c r="CN604" s="23"/>
      <c r="CO604" s="23"/>
      <c r="CP604" s="23"/>
      <c r="CQ604" s="23"/>
      <c r="CR604" s="23"/>
      <c r="CS604" s="23"/>
      <c r="CT604" s="23"/>
      <c r="CU604" s="23"/>
      <c r="CV604" s="23"/>
      <c r="CW604" s="23"/>
      <c r="CX604" s="23"/>
      <c r="CY604" s="23"/>
      <c r="CZ604" s="23"/>
      <c r="DA604" s="23"/>
      <c r="DB604" s="23"/>
      <c r="DC604" s="23"/>
      <c r="DD604" s="23"/>
      <c r="DE604" s="23"/>
      <c r="DF604" s="23"/>
      <c r="DG604" s="23"/>
      <c r="DH604" s="23"/>
      <c r="DI604" s="23"/>
      <c r="DJ604" s="23"/>
      <c r="DK604" s="23"/>
      <c r="DL604" s="23"/>
      <c r="DM604" s="23"/>
      <c r="DN604" s="23"/>
      <c r="DO604" s="23"/>
      <c r="DP604" s="23"/>
      <c r="DQ604" s="23"/>
      <c r="DR604" s="23"/>
      <c r="DS604" s="23"/>
      <c r="DT604" s="23"/>
      <c r="DU604" s="23"/>
      <c r="DV604" s="23"/>
      <c r="DW604" s="23"/>
      <c r="DX604" s="23"/>
      <c r="DY604" s="23"/>
      <c r="DZ604" s="23"/>
      <c r="EA604" s="23"/>
      <c r="EB604" s="23"/>
      <c r="EC604" s="23"/>
      <c r="ED604" s="23"/>
      <c r="EE604" s="23"/>
      <c r="EF604" s="23"/>
      <c r="EG604" s="23"/>
      <c r="EH604" s="23"/>
      <c r="EI604" s="23"/>
      <c r="EJ604" s="23"/>
      <c r="EK604" s="23"/>
      <c r="EL604" s="23"/>
      <c r="EM604" s="23"/>
      <c r="EN604" s="23"/>
      <c r="EO604" s="23"/>
      <c r="EP604" s="23"/>
      <c r="EQ604" s="23"/>
      <c r="ER604" s="23"/>
      <c r="ES604" s="23"/>
      <c r="ET604" s="23"/>
      <c r="EU604" s="23"/>
      <c r="EV604" s="23"/>
      <c r="EW604" s="23"/>
      <c r="EX604" s="23"/>
      <c r="EY604" s="23"/>
      <c r="EZ604" s="23"/>
      <c r="FA604" s="23"/>
      <c r="FB604" s="23"/>
      <c r="FC604" s="23"/>
      <c r="FD604" s="23"/>
      <c r="FE604" s="23"/>
      <c r="FF604" s="23"/>
      <c r="FG604" s="23"/>
      <c r="FH604" s="23"/>
      <c r="FI604" s="23"/>
      <c r="FJ604" s="23"/>
      <c r="FK604" s="23"/>
      <c r="FL604" s="23"/>
      <c r="FM604" s="23"/>
      <c r="FN604" s="23"/>
      <c r="FO604" s="23"/>
      <c r="FP604" s="23"/>
      <c r="FQ604" s="23"/>
      <c r="FR604" s="23"/>
      <c r="FS604" s="23"/>
      <c r="FT604" s="23"/>
      <c r="FU604" s="23"/>
      <c r="FV604" s="23"/>
      <c r="FW604" s="23"/>
      <c r="FX604" s="23"/>
      <c r="FY604" s="23"/>
      <c r="FZ604" s="23"/>
      <c r="GA604" s="23"/>
      <c r="GB604" s="23"/>
      <c r="GC604" s="23"/>
      <c r="GD604" s="23"/>
      <c r="GE604" s="23"/>
      <c r="GF604" s="23"/>
      <c r="GG604" s="23"/>
      <c r="GH604" s="23"/>
      <c r="GI604" s="23"/>
      <c r="GJ604" s="23"/>
      <c r="GK604" s="23"/>
      <c r="GL604" s="23"/>
    </row>
    <row r="605" spans="1:194" ht="13">
      <c r="A605" s="23"/>
      <c r="B605" s="23"/>
      <c r="C605" s="23"/>
      <c r="D605" s="23"/>
      <c r="E605" s="23"/>
      <c r="F605" s="23"/>
      <c r="G605" s="23"/>
      <c r="H605" s="401"/>
      <c r="I605" s="401"/>
      <c r="J605" s="401"/>
      <c r="K605" s="401"/>
      <c r="L605" s="401"/>
      <c r="M605" s="438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  <c r="AL605" s="23"/>
      <c r="AM605" s="23"/>
      <c r="AN605" s="23"/>
      <c r="AO605" s="23"/>
      <c r="AP605" s="23"/>
      <c r="AQ605" s="23"/>
      <c r="AR605" s="23"/>
      <c r="AS605" s="23"/>
      <c r="AT605" s="23"/>
      <c r="AU605" s="23"/>
      <c r="AV605" s="23"/>
      <c r="AW605" s="23"/>
      <c r="AX605" s="23"/>
      <c r="AY605" s="23"/>
      <c r="AZ605" s="23"/>
      <c r="BA605" s="23"/>
      <c r="BB605" s="23"/>
      <c r="BC605" s="23"/>
      <c r="BD605" s="23"/>
      <c r="BE605" s="23"/>
      <c r="BF605" s="23"/>
      <c r="BG605" s="23"/>
      <c r="BH605" s="23"/>
      <c r="BI605" s="23"/>
      <c r="BJ605" s="23"/>
      <c r="BK605" s="23"/>
      <c r="BL605" s="23"/>
      <c r="BM605" s="23"/>
      <c r="BN605" s="23"/>
      <c r="BO605" s="23"/>
      <c r="BP605" s="23"/>
      <c r="BQ605" s="23"/>
      <c r="BR605" s="23"/>
      <c r="BS605" s="23"/>
      <c r="BT605" s="23"/>
      <c r="BU605" s="23"/>
      <c r="BV605" s="23"/>
      <c r="BW605" s="23"/>
      <c r="BX605" s="23"/>
      <c r="BY605" s="23"/>
      <c r="BZ605" s="23"/>
      <c r="CA605" s="23"/>
      <c r="CB605" s="23"/>
      <c r="CC605" s="23"/>
      <c r="CD605" s="23"/>
      <c r="CE605" s="23"/>
      <c r="CF605" s="23"/>
      <c r="CG605" s="23"/>
      <c r="CH605" s="23"/>
      <c r="CI605" s="23"/>
      <c r="CJ605" s="23"/>
      <c r="CK605" s="23"/>
      <c r="CL605" s="23"/>
      <c r="CM605" s="23"/>
      <c r="CN605" s="23"/>
      <c r="CO605" s="23"/>
      <c r="CP605" s="23"/>
      <c r="CQ605" s="23"/>
      <c r="CR605" s="23"/>
      <c r="CS605" s="23"/>
      <c r="CT605" s="23"/>
      <c r="CU605" s="23"/>
      <c r="CV605" s="23"/>
      <c r="CW605" s="23"/>
      <c r="CX605" s="23"/>
      <c r="CY605" s="23"/>
      <c r="CZ605" s="23"/>
      <c r="DA605" s="23"/>
      <c r="DB605" s="23"/>
      <c r="DC605" s="23"/>
      <c r="DD605" s="23"/>
      <c r="DE605" s="23"/>
      <c r="DF605" s="23"/>
      <c r="DG605" s="23"/>
      <c r="DH605" s="23"/>
      <c r="DI605" s="23"/>
      <c r="DJ605" s="23"/>
      <c r="DK605" s="23"/>
      <c r="DL605" s="23"/>
      <c r="DM605" s="23"/>
      <c r="DN605" s="23"/>
      <c r="DO605" s="23"/>
      <c r="DP605" s="23"/>
      <c r="DQ605" s="23"/>
      <c r="DR605" s="23"/>
      <c r="DS605" s="23"/>
      <c r="DT605" s="23"/>
      <c r="DU605" s="23"/>
      <c r="DV605" s="23"/>
      <c r="DW605" s="23"/>
      <c r="DX605" s="23"/>
      <c r="DY605" s="23"/>
      <c r="DZ605" s="23"/>
      <c r="EA605" s="23"/>
      <c r="EB605" s="23"/>
      <c r="EC605" s="23"/>
      <c r="ED605" s="23"/>
      <c r="EE605" s="23"/>
      <c r="EF605" s="23"/>
      <c r="EG605" s="23"/>
      <c r="EH605" s="23"/>
      <c r="EI605" s="23"/>
      <c r="EJ605" s="23"/>
      <c r="EK605" s="23"/>
      <c r="EL605" s="23"/>
      <c r="EM605" s="23"/>
      <c r="EN605" s="23"/>
      <c r="EO605" s="23"/>
      <c r="EP605" s="23"/>
      <c r="EQ605" s="23"/>
      <c r="ER605" s="23"/>
      <c r="ES605" s="23"/>
      <c r="ET605" s="23"/>
      <c r="EU605" s="23"/>
      <c r="EV605" s="23"/>
      <c r="EW605" s="23"/>
      <c r="EX605" s="23"/>
      <c r="EY605" s="23"/>
      <c r="EZ605" s="23"/>
      <c r="FA605" s="23"/>
      <c r="FB605" s="23"/>
      <c r="FC605" s="23"/>
      <c r="FD605" s="23"/>
      <c r="FE605" s="23"/>
      <c r="FF605" s="23"/>
      <c r="FG605" s="23"/>
      <c r="FH605" s="23"/>
      <c r="FI605" s="23"/>
      <c r="FJ605" s="23"/>
      <c r="FK605" s="23"/>
      <c r="FL605" s="23"/>
      <c r="FM605" s="23"/>
      <c r="FN605" s="23"/>
      <c r="FO605" s="23"/>
      <c r="FP605" s="23"/>
      <c r="FQ605" s="23"/>
      <c r="FR605" s="23"/>
      <c r="FS605" s="23"/>
      <c r="FT605" s="23"/>
      <c r="FU605" s="23"/>
      <c r="FV605" s="23"/>
      <c r="FW605" s="23"/>
      <c r="FX605" s="23"/>
      <c r="FY605" s="23"/>
      <c r="FZ605" s="23"/>
      <c r="GA605" s="23"/>
      <c r="GB605" s="23"/>
      <c r="GC605" s="23"/>
      <c r="GD605" s="23"/>
      <c r="GE605" s="23"/>
      <c r="GF605" s="23"/>
      <c r="GG605" s="23"/>
      <c r="GH605" s="23"/>
      <c r="GI605" s="23"/>
      <c r="GJ605" s="23"/>
      <c r="GK605" s="23"/>
      <c r="GL605" s="23"/>
    </row>
    <row r="606" spans="1:194" ht="13">
      <c r="A606" s="23"/>
      <c r="B606" s="23"/>
      <c r="C606" s="23"/>
      <c r="D606" s="23"/>
      <c r="E606" s="23"/>
      <c r="F606" s="23"/>
      <c r="G606" s="23"/>
      <c r="H606" s="401"/>
      <c r="I606" s="401"/>
      <c r="J606" s="401"/>
      <c r="K606" s="401"/>
      <c r="L606" s="401"/>
      <c r="M606" s="438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  <c r="AL606" s="23"/>
      <c r="AM606" s="23"/>
      <c r="AN606" s="23"/>
      <c r="AO606" s="23"/>
      <c r="AP606" s="23"/>
      <c r="AQ606" s="23"/>
      <c r="AR606" s="23"/>
      <c r="AS606" s="23"/>
      <c r="AT606" s="23"/>
      <c r="AU606" s="23"/>
      <c r="AV606" s="23"/>
      <c r="AW606" s="23"/>
      <c r="AX606" s="23"/>
      <c r="AY606" s="23"/>
      <c r="AZ606" s="23"/>
      <c r="BA606" s="23"/>
      <c r="BB606" s="23"/>
      <c r="BC606" s="23"/>
      <c r="BD606" s="23"/>
      <c r="BE606" s="23"/>
      <c r="BF606" s="23"/>
      <c r="BG606" s="23"/>
      <c r="BH606" s="23"/>
      <c r="BI606" s="23"/>
      <c r="BJ606" s="23"/>
      <c r="BK606" s="23"/>
      <c r="BL606" s="23"/>
      <c r="BM606" s="23"/>
      <c r="BN606" s="23"/>
      <c r="BO606" s="23"/>
      <c r="BP606" s="23"/>
      <c r="BQ606" s="23"/>
      <c r="BR606" s="23"/>
      <c r="BS606" s="23"/>
      <c r="BT606" s="23"/>
      <c r="BU606" s="23"/>
      <c r="BV606" s="23"/>
      <c r="BW606" s="23"/>
      <c r="BX606" s="23"/>
      <c r="BY606" s="23"/>
      <c r="BZ606" s="23"/>
      <c r="CA606" s="23"/>
      <c r="CB606" s="23"/>
      <c r="CC606" s="23"/>
      <c r="CD606" s="23"/>
      <c r="CE606" s="23"/>
      <c r="CF606" s="23"/>
      <c r="CG606" s="23"/>
      <c r="CH606" s="23"/>
      <c r="CI606" s="23"/>
      <c r="CJ606" s="23"/>
      <c r="CK606" s="23"/>
      <c r="CL606" s="23"/>
      <c r="CM606" s="23"/>
      <c r="CN606" s="23"/>
      <c r="CO606" s="23"/>
      <c r="CP606" s="23"/>
      <c r="CQ606" s="23"/>
      <c r="CR606" s="23"/>
      <c r="CS606" s="23"/>
      <c r="CT606" s="23"/>
      <c r="CU606" s="23"/>
      <c r="CV606" s="23"/>
      <c r="CW606" s="23"/>
      <c r="CX606" s="23"/>
      <c r="CY606" s="23"/>
      <c r="CZ606" s="23"/>
      <c r="DA606" s="23"/>
      <c r="DB606" s="23"/>
      <c r="DC606" s="23"/>
      <c r="DD606" s="23"/>
      <c r="DE606" s="23"/>
      <c r="DF606" s="23"/>
      <c r="DG606" s="23"/>
      <c r="DH606" s="23"/>
      <c r="DI606" s="23"/>
      <c r="DJ606" s="23"/>
      <c r="DK606" s="23"/>
      <c r="DL606" s="23"/>
      <c r="DM606" s="23"/>
      <c r="DN606" s="23"/>
      <c r="DO606" s="23"/>
      <c r="DP606" s="23"/>
      <c r="DQ606" s="23"/>
      <c r="DR606" s="23"/>
      <c r="DS606" s="23"/>
      <c r="DT606" s="23"/>
      <c r="DU606" s="23"/>
      <c r="DV606" s="23"/>
      <c r="DW606" s="23"/>
      <c r="DX606" s="23"/>
      <c r="DY606" s="23"/>
      <c r="DZ606" s="23"/>
      <c r="EA606" s="23"/>
      <c r="EB606" s="23"/>
      <c r="EC606" s="23"/>
      <c r="ED606" s="23"/>
      <c r="EE606" s="23"/>
      <c r="EF606" s="23"/>
      <c r="EG606" s="23"/>
      <c r="EH606" s="23"/>
      <c r="EI606" s="23"/>
      <c r="EJ606" s="23"/>
      <c r="EK606" s="23"/>
      <c r="EL606" s="23"/>
      <c r="EM606" s="23"/>
      <c r="EN606" s="23"/>
      <c r="EO606" s="23"/>
      <c r="EP606" s="23"/>
      <c r="EQ606" s="23"/>
      <c r="ER606" s="23"/>
      <c r="ES606" s="23"/>
      <c r="ET606" s="23"/>
      <c r="EU606" s="23"/>
      <c r="EV606" s="23"/>
      <c r="EW606" s="23"/>
      <c r="EX606" s="23"/>
      <c r="EY606" s="23"/>
      <c r="EZ606" s="23"/>
      <c r="FA606" s="23"/>
      <c r="FB606" s="23"/>
      <c r="FC606" s="23"/>
      <c r="FD606" s="23"/>
      <c r="FE606" s="23"/>
      <c r="FF606" s="23"/>
      <c r="FG606" s="23"/>
      <c r="FH606" s="23"/>
      <c r="FI606" s="23"/>
      <c r="FJ606" s="23"/>
      <c r="FK606" s="23"/>
      <c r="FL606" s="23"/>
      <c r="FM606" s="23"/>
      <c r="FN606" s="23"/>
      <c r="FO606" s="23"/>
      <c r="FP606" s="23"/>
      <c r="FQ606" s="23"/>
      <c r="FR606" s="23"/>
      <c r="FS606" s="23"/>
      <c r="FT606" s="23"/>
      <c r="FU606" s="23"/>
      <c r="FV606" s="23"/>
      <c r="FW606" s="23"/>
      <c r="FX606" s="23"/>
      <c r="FY606" s="23"/>
      <c r="FZ606" s="23"/>
      <c r="GA606" s="23"/>
      <c r="GB606" s="23"/>
      <c r="GC606" s="23"/>
      <c r="GD606" s="23"/>
      <c r="GE606" s="23"/>
      <c r="GF606" s="23"/>
      <c r="GG606" s="23"/>
      <c r="GH606" s="23"/>
      <c r="GI606" s="23"/>
      <c r="GJ606" s="23"/>
      <c r="GK606" s="23"/>
      <c r="GL606" s="23"/>
    </row>
    <row r="607" spans="1:194" ht="13">
      <c r="A607" s="23"/>
      <c r="B607" s="23"/>
      <c r="C607" s="23"/>
      <c r="D607" s="23"/>
      <c r="E607" s="23"/>
      <c r="F607" s="23"/>
      <c r="G607" s="23"/>
      <c r="H607" s="401"/>
      <c r="I607" s="401"/>
      <c r="J607" s="401"/>
      <c r="K607" s="401"/>
      <c r="L607" s="401"/>
      <c r="M607" s="438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  <c r="AL607" s="23"/>
      <c r="AM607" s="23"/>
      <c r="AN607" s="23"/>
      <c r="AO607" s="23"/>
      <c r="AP607" s="23"/>
      <c r="AQ607" s="23"/>
      <c r="AR607" s="23"/>
      <c r="AS607" s="23"/>
      <c r="AT607" s="23"/>
      <c r="AU607" s="23"/>
      <c r="AV607" s="23"/>
      <c r="AW607" s="23"/>
      <c r="AX607" s="23"/>
      <c r="AY607" s="23"/>
      <c r="AZ607" s="23"/>
      <c r="BA607" s="23"/>
      <c r="BB607" s="23"/>
      <c r="BC607" s="23"/>
      <c r="BD607" s="23"/>
      <c r="BE607" s="23"/>
      <c r="BF607" s="23"/>
      <c r="BG607" s="23"/>
      <c r="BH607" s="23"/>
      <c r="BI607" s="23"/>
      <c r="BJ607" s="23"/>
      <c r="BK607" s="23"/>
      <c r="BL607" s="23"/>
      <c r="BM607" s="23"/>
      <c r="BN607" s="23"/>
      <c r="BO607" s="23"/>
      <c r="BP607" s="23"/>
      <c r="BQ607" s="23"/>
      <c r="BR607" s="23"/>
      <c r="BS607" s="23"/>
      <c r="BT607" s="23"/>
      <c r="BU607" s="23"/>
      <c r="BV607" s="23"/>
      <c r="BW607" s="23"/>
      <c r="BX607" s="23"/>
      <c r="BY607" s="23"/>
      <c r="BZ607" s="23"/>
      <c r="CA607" s="23"/>
      <c r="CB607" s="23"/>
      <c r="CC607" s="23"/>
      <c r="CD607" s="23"/>
      <c r="CE607" s="23"/>
      <c r="CF607" s="23"/>
      <c r="CG607" s="23"/>
      <c r="CH607" s="23"/>
      <c r="CI607" s="23"/>
      <c r="CJ607" s="23"/>
      <c r="CK607" s="23"/>
      <c r="CL607" s="23"/>
      <c r="CM607" s="23"/>
      <c r="CN607" s="23"/>
      <c r="CO607" s="23"/>
      <c r="CP607" s="23"/>
      <c r="CQ607" s="23"/>
      <c r="CR607" s="23"/>
      <c r="CS607" s="23"/>
      <c r="CT607" s="23"/>
      <c r="CU607" s="23"/>
      <c r="CV607" s="23"/>
      <c r="CW607" s="23"/>
      <c r="CX607" s="23"/>
      <c r="CY607" s="23"/>
      <c r="CZ607" s="23"/>
      <c r="DA607" s="23"/>
      <c r="DB607" s="23"/>
      <c r="DC607" s="23"/>
      <c r="DD607" s="23"/>
      <c r="DE607" s="23"/>
      <c r="DF607" s="23"/>
      <c r="DG607" s="23"/>
      <c r="DH607" s="23"/>
      <c r="DI607" s="23"/>
      <c r="DJ607" s="23"/>
      <c r="DK607" s="23"/>
      <c r="DL607" s="23"/>
      <c r="DM607" s="23"/>
      <c r="DN607" s="23"/>
      <c r="DO607" s="23"/>
      <c r="DP607" s="23"/>
      <c r="DQ607" s="23"/>
      <c r="DR607" s="23"/>
      <c r="DS607" s="23"/>
      <c r="DT607" s="23"/>
      <c r="DU607" s="23"/>
      <c r="DV607" s="23"/>
      <c r="DW607" s="23"/>
      <c r="DX607" s="23"/>
      <c r="DY607" s="23"/>
      <c r="DZ607" s="23"/>
      <c r="EA607" s="23"/>
      <c r="EB607" s="23"/>
      <c r="EC607" s="23"/>
      <c r="ED607" s="23"/>
      <c r="EE607" s="23"/>
      <c r="EF607" s="23"/>
      <c r="EG607" s="23"/>
      <c r="EH607" s="23"/>
      <c r="EI607" s="23"/>
      <c r="EJ607" s="23"/>
      <c r="EK607" s="23"/>
      <c r="EL607" s="23"/>
      <c r="EM607" s="23"/>
      <c r="EN607" s="23"/>
      <c r="EO607" s="23"/>
      <c r="EP607" s="23"/>
      <c r="EQ607" s="23"/>
      <c r="ER607" s="23"/>
      <c r="ES607" s="23"/>
      <c r="ET607" s="23"/>
      <c r="EU607" s="23"/>
      <c r="EV607" s="23"/>
      <c r="EW607" s="23"/>
      <c r="EX607" s="23"/>
      <c r="EY607" s="23"/>
      <c r="EZ607" s="23"/>
      <c r="FA607" s="23"/>
      <c r="FB607" s="23"/>
      <c r="FC607" s="23"/>
      <c r="FD607" s="23"/>
      <c r="FE607" s="23"/>
      <c r="FF607" s="23"/>
      <c r="FG607" s="23"/>
      <c r="FH607" s="23"/>
      <c r="FI607" s="23"/>
      <c r="FJ607" s="23"/>
      <c r="FK607" s="23"/>
      <c r="FL607" s="23"/>
      <c r="FM607" s="23"/>
      <c r="FN607" s="23"/>
      <c r="FO607" s="23"/>
      <c r="FP607" s="23"/>
      <c r="FQ607" s="23"/>
      <c r="FR607" s="23"/>
      <c r="FS607" s="23"/>
      <c r="FT607" s="23"/>
      <c r="FU607" s="23"/>
      <c r="FV607" s="23"/>
      <c r="FW607" s="23"/>
      <c r="FX607" s="23"/>
      <c r="FY607" s="23"/>
      <c r="FZ607" s="23"/>
      <c r="GA607" s="23"/>
      <c r="GB607" s="23"/>
      <c r="GC607" s="23"/>
      <c r="GD607" s="23"/>
      <c r="GE607" s="23"/>
      <c r="GF607" s="23"/>
      <c r="GG607" s="23"/>
      <c r="GH607" s="23"/>
      <c r="GI607" s="23"/>
      <c r="GJ607" s="23"/>
      <c r="GK607" s="23"/>
      <c r="GL607" s="23"/>
    </row>
    <row r="608" spans="1:194" ht="13">
      <c r="A608" s="23"/>
      <c r="B608" s="23"/>
      <c r="C608" s="23"/>
      <c r="D608" s="23"/>
      <c r="E608" s="23"/>
      <c r="F608" s="23"/>
      <c r="G608" s="23"/>
      <c r="H608" s="401"/>
      <c r="I608" s="401"/>
      <c r="J608" s="401"/>
      <c r="K608" s="401"/>
      <c r="L608" s="401"/>
      <c r="M608" s="438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  <c r="AL608" s="23"/>
      <c r="AM608" s="23"/>
      <c r="AN608" s="23"/>
      <c r="AO608" s="23"/>
      <c r="AP608" s="23"/>
      <c r="AQ608" s="23"/>
      <c r="AR608" s="23"/>
      <c r="AS608" s="23"/>
      <c r="AT608" s="23"/>
      <c r="AU608" s="23"/>
      <c r="AV608" s="23"/>
      <c r="AW608" s="23"/>
      <c r="AX608" s="23"/>
      <c r="AY608" s="23"/>
      <c r="AZ608" s="23"/>
      <c r="BA608" s="23"/>
      <c r="BB608" s="23"/>
      <c r="BC608" s="23"/>
      <c r="BD608" s="23"/>
      <c r="BE608" s="23"/>
      <c r="BF608" s="23"/>
      <c r="BG608" s="23"/>
      <c r="BH608" s="23"/>
      <c r="BI608" s="23"/>
      <c r="BJ608" s="23"/>
      <c r="BK608" s="23"/>
      <c r="BL608" s="23"/>
      <c r="BM608" s="23"/>
      <c r="BN608" s="23"/>
      <c r="BO608" s="23"/>
      <c r="BP608" s="23"/>
      <c r="BQ608" s="23"/>
      <c r="BR608" s="23"/>
      <c r="BS608" s="23"/>
      <c r="BT608" s="23"/>
      <c r="BU608" s="23"/>
      <c r="BV608" s="23"/>
      <c r="BW608" s="23"/>
      <c r="BX608" s="23"/>
      <c r="BY608" s="23"/>
      <c r="BZ608" s="23"/>
      <c r="CA608" s="23"/>
      <c r="CB608" s="23"/>
      <c r="CC608" s="23"/>
      <c r="CD608" s="23"/>
      <c r="CE608" s="23"/>
      <c r="CF608" s="23"/>
      <c r="CG608" s="23"/>
      <c r="CH608" s="23"/>
      <c r="CI608" s="23"/>
      <c r="CJ608" s="23"/>
      <c r="CK608" s="23"/>
      <c r="CL608" s="23"/>
      <c r="CM608" s="23"/>
      <c r="CN608" s="23"/>
      <c r="CO608" s="23"/>
      <c r="CP608" s="23"/>
      <c r="CQ608" s="23"/>
      <c r="CR608" s="23"/>
      <c r="CS608" s="23"/>
      <c r="CT608" s="23"/>
      <c r="CU608" s="23"/>
      <c r="CV608" s="23"/>
      <c r="CW608" s="23"/>
      <c r="CX608" s="23"/>
      <c r="CY608" s="23"/>
      <c r="CZ608" s="23"/>
      <c r="DA608" s="23"/>
      <c r="DB608" s="23"/>
      <c r="DC608" s="23"/>
      <c r="DD608" s="23"/>
      <c r="DE608" s="23"/>
      <c r="DF608" s="23"/>
      <c r="DG608" s="23"/>
      <c r="DH608" s="23"/>
      <c r="DI608" s="23"/>
      <c r="DJ608" s="23"/>
      <c r="DK608" s="23"/>
      <c r="DL608" s="23"/>
      <c r="DM608" s="23"/>
      <c r="DN608" s="23"/>
      <c r="DO608" s="23"/>
      <c r="DP608" s="23"/>
      <c r="DQ608" s="23"/>
      <c r="DR608" s="23"/>
      <c r="DS608" s="23"/>
      <c r="DT608" s="23"/>
      <c r="DU608" s="23"/>
      <c r="DV608" s="23"/>
      <c r="DW608" s="23"/>
      <c r="DX608" s="23"/>
      <c r="DY608" s="23"/>
      <c r="DZ608" s="23"/>
      <c r="EA608" s="23"/>
      <c r="EB608" s="23"/>
      <c r="EC608" s="23"/>
      <c r="ED608" s="23"/>
      <c r="EE608" s="23"/>
      <c r="EF608" s="23"/>
      <c r="EG608" s="23"/>
      <c r="EH608" s="23"/>
      <c r="EI608" s="23"/>
      <c r="EJ608" s="23"/>
      <c r="EK608" s="23"/>
      <c r="EL608" s="23"/>
      <c r="EM608" s="23"/>
      <c r="EN608" s="23"/>
      <c r="EO608" s="23"/>
      <c r="EP608" s="23"/>
      <c r="EQ608" s="23"/>
      <c r="ER608" s="23"/>
      <c r="ES608" s="23"/>
      <c r="ET608" s="23"/>
      <c r="EU608" s="23"/>
      <c r="EV608" s="23"/>
      <c r="EW608" s="23"/>
      <c r="EX608" s="23"/>
      <c r="EY608" s="23"/>
      <c r="EZ608" s="23"/>
      <c r="FA608" s="23"/>
      <c r="FB608" s="23"/>
      <c r="FC608" s="23"/>
      <c r="FD608" s="23"/>
      <c r="FE608" s="23"/>
      <c r="FF608" s="23"/>
      <c r="FG608" s="23"/>
      <c r="FH608" s="23"/>
      <c r="FI608" s="23"/>
      <c r="FJ608" s="23"/>
      <c r="FK608" s="23"/>
      <c r="FL608" s="23"/>
      <c r="FM608" s="23"/>
      <c r="FN608" s="23"/>
      <c r="FO608" s="23"/>
      <c r="FP608" s="23"/>
      <c r="FQ608" s="23"/>
      <c r="FR608" s="23"/>
      <c r="FS608" s="23"/>
      <c r="FT608" s="23"/>
      <c r="FU608" s="23"/>
      <c r="FV608" s="23"/>
      <c r="FW608" s="23"/>
      <c r="FX608" s="23"/>
      <c r="FY608" s="23"/>
      <c r="FZ608" s="23"/>
      <c r="GA608" s="23"/>
      <c r="GB608" s="23"/>
      <c r="GC608" s="23"/>
      <c r="GD608" s="23"/>
      <c r="GE608" s="23"/>
      <c r="GF608" s="23"/>
      <c r="GG608" s="23"/>
      <c r="GH608" s="23"/>
      <c r="GI608" s="23"/>
      <c r="GJ608" s="23"/>
      <c r="GK608" s="23"/>
      <c r="GL608" s="23"/>
    </row>
    <row r="609" spans="1:194" ht="13">
      <c r="A609" s="23"/>
      <c r="B609" s="23"/>
      <c r="C609" s="23"/>
      <c r="D609" s="23"/>
      <c r="E609" s="23"/>
      <c r="F609" s="23"/>
      <c r="G609" s="23"/>
      <c r="H609" s="401"/>
      <c r="I609" s="401"/>
      <c r="J609" s="401"/>
      <c r="K609" s="401"/>
      <c r="L609" s="401"/>
      <c r="M609" s="438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  <c r="AL609" s="23"/>
      <c r="AM609" s="23"/>
      <c r="AN609" s="23"/>
      <c r="AO609" s="23"/>
      <c r="AP609" s="23"/>
      <c r="AQ609" s="23"/>
      <c r="AR609" s="23"/>
      <c r="AS609" s="23"/>
      <c r="AT609" s="23"/>
      <c r="AU609" s="23"/>
      <c r="AV609" s="23"/>
      <c r="AW609" s="23"/>
      <c r="AX609" s="23"/>
      <c r="AY609" s="23"/>
      <c r="AZ609" s="23"/>
      <c r="BA609" s="23"/>
      <c r="BB609" s="23"/>
      <c r="BC609" s="23"/>
      <c r="BD609" s="23"/>
      <c r="BE609" s="23"/>
      <c r="BF609" s="23"/>
      <c r="BG609" s="23"/>
      <c r="BH609" s="23"/>
      <c r="BI609" s="23"/>
      <c r="BJ609" s="23"/>
      <c r="BK609" s="23"/>
      <c r="BL609" s="23"/>
      <c r="BM609" s="23"/>
      <c r="BN609" s="23"/>
      <c r="BO609" s="23"/>
      <c r="BP609" s="23"/>
      <c r="BQ609" s="23"/>
      <c r="BR609" s="23"/>
      <c r="BS609" s="23"/>
      <c r="BT609" s="23"/>
      <c r="BU609" s="23"/>
      <c r="BV609" s="23"/>
      <c r="BW609" s="23"/>
      <c r="BX609" s="23"/>
      <c r="BY609" s="23"/>
      <c r="BZ609" s="23"/>
      <c r="CA609" s="23"/>
      <c r="CB609" s="23"/>
      <c r="CC609" s="23"/>
      <c r="CD609" s="23"/>
      <c r="CE609" s="23"/>
      <c r="CF609" s="23"/>
      <c r="CG609" s="23"/>
      <c r="CH609" s="23"/>
      <c r="CI609" s="23"/>
      <c r="CJ609" s="23"/>
      <c r="CK609" s="23"/>
      <c r="CL609" s="23"/>
      <c r="CM609" s="23"/>
      <c r="CN609" s="23"/>
      <c r="CO609" s="23"/>
      <c r="CP609" s="23"/>
      <c r="CQ609" s="23"/>
      <c r="CR609" s="23"/>
      <c r="CS609" s="23"/>
      <c r="CT609" s="23"/>
      <c r="CU609" s="23"/>
      <c r="CV609" s="23"/>
      <c r="CW609" s="23"/>
      <c r="CX609" s="23"/>
      <c r="CY609" s="23"/>
      <c r="CZ609" s="23"/>
      <c r="DA609" s="23"/>
      <c r="DB609" s="23"/>
      <c r="DC609" s="23"/>
      <c r="DD609" s="23"/>
      <c r="DE609" s="23"/>
      <c r="DF609" s="23"/>
      <c r="DG609" s="23"/>
      <c r="DH609" s="23"/>
      <c r="DI609" s="23"/>
      <c r="DJ609" s="23"/>
      <c r="DK609" s="23"/>
      <c r="DL609" s="23"/>
      <c r="DM609" s="23"/>
      <c r="DN609" s="23"/>
      <c r="DO609" s="23"/>
      <c r="DP609" s="23"/>
      <c r="DQ609" s="23"/>
      <c r="DR609" s="23"/>
      <c r="DS609" s="23"/>
      <c r="DT609" s="23"/>
      <c r="DU609" s="23"/>
      <c r="DV609" s="23"/>
      <c r="DW609" s="23"/>
      <c r="DX609" s="23"/>
      <c r="DY609" s="23"/>
      <c r="DZ609" s="23"/>
      <c r="EA609" s="23"/>
      <c r="EB609" s="23"/>
      <c r="EC609" s="23"/>
      <c r="ED609" s="23"/>
      <c r="EE609" s="23"/>
      <c r="EF609" s="23"/>
      <c r="EG609" s="23"/>
      <c r="EH609" s="23"/>
      <c r="EI609" s="23"/>
      <c r="EJ609" s="23"/>
      <c r="EK609" s="23"/>
      <c r="EL609" s="23"/>
      <c r="EM609" s="23"/>
      <c r="EN609" s="23"/>
      <c r="EO609" s="23"/>
      <c r="EP609" s="23"/>
      <c r="EQ609" s="23"/>
      <c r="ER609" s="23"/>
      <c r="ES609" s="23"/>
      <c r="ET609" s="23"/>
      <c r="EU609" s="23"/>
      <c r="EV609" s="23"/>
      <c r="EW609" s="23"/>
      <c r="EX609" s="23"/>
      <c r="EY609" s="23"/>
      <c r="EZ609" s="23"/>
      <c r="FA609" s="23"/>
      <c r="FB609" s="23"/>
      <c r="FC609" s="23"/>
      <c r="FD609" s="23"/>
      <c r="FE609" s="23"/>
      <c r="FF609" s="23"/>
      <c r="FG609" s="23"/>
      <c r="FH609" s="23"/>
      <c r="FI609" s="23"/>
      <c r="FJ609" s="23"/>
      <c r="FK609" s="23"/>
      <c r="FL609" s="23"/>
      <c r="FM609" s="23"/>
      <c r="FN609" s="23"/>
      <c r="FO609" s="23"/>
      <c r="FP609" s="23"/>
      <c r="FQ609" s="23"/>
      <c r="FR609" s="23"/>
      <c r="FS609" s="23"/>
      <c r="FT609" s="23"/>
      <c r="FU609" s="23"/>
      <c r="FV609" s="23"/>
      <c r="FW609" s="23"/>
      <c r="FX609" s="23"/>
      <c r="FY609" s="23"/>
      <c r="FZ609" s="23"/>
      <c r="GA609" s="23"/>
      <c r="GB609" s="23"/>
      <c r="GC609" s="23"/>
      <c r="GD609" s="23"/>
      <c r="GE609" s="23"/>
      <c r="GF609" s="23"/>
      <c r="GG609" s="23"/>
      <c r="GH609" s="23"/>
      <c r="GI609" s="23"/>
      <c r="GJ609" s="23"/>
      <c r="GK609" s="23"/>
      <c r="GL609" s="23"/>
    </row>
    <row r="610" spans="1:194" ht="13">
      <c r="A610" s="23"/>
      <c r="B610" s="23"/>
      <c r="C610" s="23"/>
      <c r="D610" s="23"/>
      <c r="E610" s="23"/>
      <c r="F610" s="23"/>
      <c r="G610" s="23"/>
      <c r="H610" s="401"/>
      <c r="I610" s="401"/>
      <c r="J610" s="401"/>
      <c r="K610" s="401"/>
      <c r="L610" s="401"/>
      <c r="M610" s="438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  <c r="AL610" s="23"/>
      <c r="AM610" s="23"/>
      <c r="AN610" s="23"/>
      <c r="AO610" s="23"/>
      <c r="AP610" s="23"/>
      <c r="AQ610" s="23"/>
      <c r="AR610" s="23"/>
      <c r="AS610" s="23"/>
      <c r="AT610" s="23"/>
      <c r="AU610" s="23"/>
      <c r="AV610" s="23"/>
      <c r="AW610" s="23"/>
      <c r="AX610" s="23"/>
      <c r="AY610" s="23"/>
      <c r="AZ610" s="23"/>
      <c r="BA610" s="23"/>
      <c r="BB610" s="23"/>
      <c r="BC610" s="23"/>
      <c r="BD610" s="23"/>
      <c r="BE610" s="23"/>
      <c r="BF610" s="23"/>
      <c r="BG610" s="23"/>
      <c r="BH610" s="23"/>
      <c r="BI610" s="23"/>
      <c r="BJ610" s="23"/>
      <c r="BK610" s="23"/>
      <c r="BL610" s="23"/>
      <c r="BM610" s="23"/>
      <c r="BN610" s="23"/>
      <c r="BO610" s="23"/>
      <c r="BP610" s="23"/>
      <c r="BQ610" s="23"/>
      <c r="BR610" s="23"/>
      <c r="BS610" s="23"/>
      <c r="BT610" s="23"/>
      <c r="BU610" s="23"/>
      <c r="BV610" s="23"/>
      <c r="BW610" s="23"/>
      <c r="BX610" s="23"/>
      <c r="BY610" s="23"/>
      <c r="BZ610" s="23"/>
      <c r="CA610" s="23"/>
      <c r="CB610" s="23"/>
      <c r="CC610" s="23"/>
      <c r="CD610" s="23"/>
      <c r="CE610" s="23"/>
      <c r="CF610" s="23"/>
      <c r="CG610" s="23"/>
      <c r="CH610" s="23"/>
      <c r="CI610" s="23"/>
      <c r="CJ610" s="23"/>
      <c r="CK610" s="23"/>
      <c r="CL610" s="23"/>
      <c r="CM610" s="23"/>
      <c r="CN610" s="23"/>
      <c r="CO610" s="23"/>
      <c r="CP610" s="23"/>
      <c r="CQ610" s="23"/>
      <c r="CR610" s="23"/>
      <c r="CS610" s="23"/>
      <c r="CT610" s="23"/>
      <c r="CU610" s="23"/>
      <c r="CV610" s="23"/>
      <c r="CW610" s="23"/>
      <c r="CX610" s="23"/>
      <c r="CY610" s="23"/>
      <c r="CZ610" s="23"/>
      <c r="DA610" s="23"/>
      <c r="DB610" s="23"/>
      <c r="DC610" s="23"/>
      <c r="DD610" s="23"/>
      <c r="DE610" s="23"/>
      <c r="DF610" s="23"/>
      <c r="DG610" s="23"/>
      <c r="DH610" s="23"/>
      <c r="DI610" s="23"/>
      <c r="DJ610" s="23"/>
      <c r="DK610" s="23"/>
      <c r="DL610" s="23"/>
      <c r="DM610" s="23"/>
      <c r="DN610" s="23"/>
      <c r="DO610" s="23"/>
      <c r="DP610" s="23"/>
      <c r="DQ610" s="23"/>
      <c r="DR610" s="23"/>
      <c r="DS610" s="23"/>
      <c r="DT610" s="23"/>
      <c r="DU610" s="23"/>
      <c r="DV610" s="23"/>
      <c r="DW610" s="23"/>
      <c r="DX610" s="23"/>
      <c r="DY610" s="23"/>
      <c r="DZ610" s="23"/>
      <c r="EA610" s="23"/>
      <c r="EB610" s="23"/>
      <c r="EC610" s="23"/>
      <c r="ED610" s="23"/>
      <c r="EE610" s="23"/>
      <c r="EF610" s="23"/>
      <c r="EG610" s="23"/>
      <c r="EH610" s="23"/>
      <c r="EI610" s="23"/>
      <c r="EJ610" s="23"/>
      <c r="EK610" s="23"/>
      <c r="EL610" s="23"/>
      <c r="EM610" s="23"/>
      <c r="EN610" s="23"/>
      <c r="EO610" s="23"/>
      <c r="EP610" s="23"/>
      <c r="EQ610" s="23"/>
      <c r="ER610" s="23"/>
      <c r="ES610" s="23"/>
      <c r="ET610" s="23"/>
      <c r="EU610" s="23"/>
      <c r="EV610" s="23"/>
      <c r="EW610" s="23"/>
      <c r="EX610" s="23"/>
      <c r="EY610" s="23"/>
      <c r="EZ610" s="23"/>
      <c r="FA610" s="23"/>
      <c r="FB610" s="23"/>
      <c r="FC610" s="23"/>
      <c r="FD610" s="23"/>
      <c r="FE610" s="23"/>
      <c r="FF610" s="23"/>
      <c r="FG610" s="23"/>
      <c r="FH610" s="23"/>
      <c r="FI610" s="23"/>
      <c r="FJ610" s="23"/>
      <c r="FK610" s="23"/>
      <c r="FL610" s="23"/>
      <c r="FM610" s="23"/>
      <c r="FN610" s="23"/>
      <c r="FO610" s="23"/>
      <c r="FP610" s="23"/>
      <c r="FQ610" s="23"/>
      <c r="FR610" s="23"/>
      <c r="FS610" s="23"/>
      <c r="FT610" s="23"/>
      <c r="FU610" s="23"/>
      <c r="FV610" s="23"/>
      <c r="FW610" s="23"/>
      <c r="FX610" s="23"/>
      <c r="FY610" s="23"/>
      <c r="FZ610" s="23"/>
      <c r="GA610" s="23"/>
      <c r="GB610" s="23"/>
      <c r="GC610" s="23"/>
      <c r="GD610" s="23"/>
      <c r="GE610" s="23"/>
      <c r="GF610" s="23"/>
      <c r="GG610" s="23"/>
      <c r="GH610" s="23"/>
      <c r="GI610" s="23"/>
      <c r="GJ610" s="23"/>
      <c r="GK610" s="23"/>
      <c r="GL610" s="23"/>
    </row>
    <row r="611" spans="1:194" ht="13">
      <c r="A611" s="23"/>
      <c r="B611" s="23"/>
      <c r="C611" s="23"/>
      <c r="D611" s="23"/>
      <c r="E611" s="23"/>
      <c r="F611" s="23"/>
      <c r="G611" s="23"/>
      <c r="H611" s="401"/>
      <c r="I611" s="401"/>
      <c r="J611" s="401"/>
      <c r="K611" s="401"/>
      <c r="L611" s="401"/>
      <c r="M611" s="438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  <c r="AL611" s="23"/>
      <c r="AM611" s="23"/>
      <c r="AN611" s="23"/>
      <c r="AO611" s="23"/>
      <c r="AP611" s="23"/>
      <c r="AQ611" s="23"/>
      <c r="AR611" s="23"/>
      <c r="AS611" s="23"/>
      <c r="AT611" s="23"/>
      <c r="AU611" s="23"/>
      <c r="AV611" s="23"/>
      <c r="AW611" s="23"/>
      <c r="AX611" s="23"/>
      <c r="AY611" s="23"/>
      <c r="AZ611" s="23"/>
      <c r="BA611" s="23"/>
      <c r="BB611" s="23"/>
      <c r="BC611" s="23"/>
      <c r="BD611" s="23"/>
      <c r="BE611" s="23"/>
      <c r="BF611" s="23"/>
      <c r="BG611" s="23"/>
      <c r="BH611" s="23"/>
      <c r="BI611" s="23"/>
      <c r="BJ611" s="23"/>
      <c r="BK611" s="23"/>
      <c r="BL611" s="23"/>
      <c r="BM611" s="23"/>
      <c r="BN611" s="23"/>
      <c r="BO611" s="23"/>
      <c r="BP611" s="23"/>
      <c r="BQ611" s="23"/>
      <c r="BR611" s="23"/>
      <c r="BS611" s="23"/>
      <c r="BT611" s="23"/>
      <c r="BU611" s="23"/>
      <c r="BV611" s="23"/>
      <c r="BW611" s="23"/>
      <c r="BX611" s="23"/>
      <c r="BY611" s="23"/>
      <c r="BZ611" s="23"/>
      <c r="CA611" s="23"/>
      <c r="CB611" s="23"/>
      <c r="CC611" s="23"/>
      <c r="CD611" s="23"/>
      <c r="CE611" s="23"/>
      <c r="CF611" s="23"/>
      <c r="CG611" s="23"/>
      <c r="CH611" s="23"/>
      <c r="CI611" s="23"/>
      <c r="CJ611" s="23"/>
      <c r="CK611" s="23"/>
      <c r="CL611" s="23"/>
      <c r="CM611" s="23"/>
      <c r="CN611" s="23"/>
      <c r="CO611" s="23"/>
      <c r="CP611" s="23"/>
      <c r="CQ611" s="23"/>
      <c r="CR611" s="23"/>
      <c r="CS611" s="23"/>
      <c r="CT611" s="23"/>
      <c r="CU611" s="23"/>
      <c r="CV611" s="23"/>
      <c r="CW611" s="23"/>
      <c r="CX611" s="23"/>
      <c r="CY611" s="23"/>
      <c r="CZ611" s="23"/>
      <c r="DA611" s="23"/>
      <c r="DB611" s="23"/>
      <c r="DC611" s="23"/>
      <c r="DD611" s="23"/>
      <c r="DE611" s="23"/>
      <c r="DF611" s="23"/>
      <c r="DG611" s="23"/>
      <c r="DH611" s="23"/>
      <c r="DI611" s="23"/>
      <c r="DJ611" s="23"/>
      <c r="DK611" s="23"/>
      <c r="DL611" s="23"/>
      <c r="DM611" s="23"/>
      <c r="DN611" s="23"/>
      <c r="DO611" s="23"/>
      <c r="DP611" s="23"/>
      <c r="DQ611" s="23"/>
      <c r="DR611" s="23"/>
      <c r="DS611" s="23"/>
      <c r="DT611" s="23"/>
      <c r="DU611" s="23"/>
      <c r="DV611" s="23"/>
      <c r="DW611" s="23"/>
      <c r="DX611" s="23"/>
      <c r="DY611" s="23"/>
      <c r="DZ611" s="23"/>
      <c r="EA611" s="23"/>
      <c r="EB611" s="23"/>
      <c r="EC611" s="23"/>
      <c r="ED611" s="23"/>
      <c r="EE611" s="23"/>
      <c r="EF611" s="23"/>
      <c r="EG611" s="23"/>
      <c r="EH611" s="23"/>
      <c r="EI611" s="23"/>
      <c r="EJ611" s="23"/>
      <c r="EK611" s="23"/>
      <c r="EL611" s="23"/>
      <c r="EM611" s="23"/>
      <c r="EN611" s="23"/>
      <c r="EO611" s="23"/>
      <c r="EP611" s="23"/>
      <c r="EQ611" s="23"/>
      <c r="ER611" s="23"/>
      <c r="ES611" s="23"/>
      <c r="ET611" s="23"/>
      <c r="EU611" s="23"/>
      <c r="EV611" s="23"/>
      <c r="EW611" s="23"/>
      <c r="EX611" s="23"/>
      <c r="EY611" s="23"/>
      <c r="EZ611" s="23"/>
      <c r="FA611" s="23"/>
      <c r="FB611" s="23"/>
      <c r="FC611" s="23"/>
      <c r="FD611" s="23"/>
      <c r="FE611" s="23"/>
      <c r="FF611" s="23"/>
      <c r="FG611" s="23"/>
      <c r="FH611" s="23"/>
      <c r="FI611" s="23"/>
      <c r="FJ611" s="23"/>
      <c r="FK611" s="23"/>
      <c r="FL611" s="23"/>
      <c r="FM611" s="23"/>
      <c r="FN611" s="23"/>
      <c r="FO611" s="23"/>
      <c r="FP611" s="23"/>
      <c r="FQ611" s="23"/>
      <c r="FR611" s="23"/>
      <c r="FS611" s="23"/>
      <c r="FT611" s="23"/>
      <c r="FU611" s="23"/>
      <c r="FV611" s="23"/>
      <c r="FW611" s="23"/>
      <c r="FX611" s="23"/>
      <c r="FY611" s="23"/>
      <c r="FZ611" s="23"/>
      <c r="GA611" s="23"/>
      <c r="GB611" s="23"/>
      <c r="GC611" s="23"/>
      <c r="GD611" s="23"/>
      <c r="GE611" s="23"/>
      <c r="GF611" s="23"/>
      <c r="GG611" s="23"/>
      <c r="GH611" s="23"/>
      <c r="GI611" s="23"/>
      <c r="GJ611" s="23"/>
      <c r="GK611" s="23"/>
      <c r="GL611" s="23"/>
    </row>
    <row r="612" spans="1:194" ht="13">
      <c r="A612" s="23"/>
      <c r="B612" s="23"/>
      <c r="C612" s="23"/>
      <c r="D612" s="23"/>
      <c r="E612" s="23"/>
      <c r="F612" s="23"/>
      <c r="G612" s="23"/>
      <c r="H612" s="401"/>
      <c r="I612" s="401"/>
      <c r="J612" s="401"/>
      <c r="K612" s="401"/>
      <c r="L612" s="401"/>
      <c r="M612" s="438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  <c r="AL612" s="23"/>
      <c r="AM612" s="23"/>
      <c r="AN612" s="23"/>
      <c r="AO612" s="23"/>
      <c r="AP612" s="23"/>
      <c r="AQ612" s="23"/>
      <c r="AR612" s="23"/>
      <c r="AS612" s="23"/>
      <c r="AT612" s="23"/>
      <c r="AU612" s="23"/>
      <c r="AV612" s="23"/>
      <c r="AW612" s="23"/>
      <c r="AX612" s="23"/>
      <c r="AY612" s="23"/>
      <c r="AZ612" s="23"/>
      <c r="BA612" s="23"/>
      <c r="BB612" s="23"/>
      <c r="BC612" s="23"/>
      <c r="BD612" s="23"/>
      <c r="BE612" s="23"/>
      <c r="BF612" s="23"/>
      <c r="BG612" s="23"/>
      <c r="BH612" s="23"/>
      <c r="BI612" s="23"/>
      <c r="BJ612" s="23"/>
      <c r="BK612" s="23"/>
      <c r="BL612" s="23"/>
      <c r="BM612" s="23"/>
      <c r="BN612" s="23"/>
      <c r="BO612" s="23"/>
      <c r="BP612" s="23"/>
      <c r="BQ612" s="23"/>
      <c r="BR612" s="23"/>
      <c r="BS612" s="23"/>
      <c r="BT612" s="23"/>
      <c r="BU612" s="23"/>
      <c r="BV612" s="23"/>
      <c r="BW612" s="23"/>
      <c r="BX612" s="23"/>
      <c r="BY612" s="23"/>
      <c r="BZ612" s="23"/>
      <c r="CA612" s="23"/>
      <c r="CB612" s="23"/>
      <c r="CC612" s="23"/>
      <c r="CD612" s="23"/>
      <c r="CE612" s="23"/>
      <c r="CF612" s="23"/>
      <c r="CG612" s="23"/>
      <c r="CH612" s="23"/>
      <c r="CI612" s="23"/>
      <c r="CJ612" s="23"/>
      <c r="CK612" s="23"/>
      <c r="CL612" s="23"/>
      <c r="CM612" s="23"/>
      <c r="CN612" s="23"/>
      <c r="CO612" s="23"/>
      <c r="CP612" s="23"/>
      <c r="CQ612" s="23"/>
      <c r="CR612" s="23"/>
      <c r="CS612" s="23"/>
      <c r="CT612" s="23"/>
      <c r="CU612" s="23"/>
      <c r="CV612" s="23"/>
      <c r="CW612" s="23"/>
      <c r="CX612" s="23"/>
      <c r="CY612" s="23"/>
      <c r="CZ612" s="23"/>
      <c r="DA612" s="23"/>
      <c r="DB612" s="23"/>
      <c r="DC612" s="23"/>
      <c r="DD612" s="23"/>
      <c r="DE612" s="23"/>
      <c r="DF612" s="23"/>
      <c r="DG612" s="23"/>
      <c r="DH612" s="23"/>
      <c r="DI612" s="23"/>
      <c r="DJ612" s="23"/>
      <c r="DK612" s="23"/>
      <c r="DL612" s="23"/>
      <c r="DM612" s="23"/>
      <c r="DN612" s="23"/>
      <c r="DO612" s="23"/>
      <c r="DP612" s="23"/>
      <c r="DQ612" s="23"/>
      <c r="DR612" s="23"/>
      <c r="DS612" s="23"/>
      <c r="DT612" s="23"/>
      <c r="DU612" s="23"/>
      <c r="DV612" s="23"/>
      <c r="DW612" s="23"/>
      <c r="DX612" s="23"/>
      <c r="DY612" s="23"/>
      <c r="DZ612" s="23"/>
      <c r="EA612" s="23"/>
      <c r="EB612" s="23"/>
      <c r="EC612" s="23"/>
      <c r="ED612" s="23"/>
      <c r="EE612" s="23"/>
      <c r="EF612" s="23"/>
      <c r="EG612" s="23"/>
      <c r="EH612" s="23"/>
      <c r="EI612" s="23"/>
      <c r="EJ612" s="23"/>
      <c r="EK612" s="23"/>
      <c r="EL612" s="23"/>
      <c r="EM612" s="23"/>
      <c r="EN612" s="23"/>
      <c r="EO612" s="23"/>
      <c r="EP612" s="23"/>
      <c r="EQ612" s="23"/>
      <c r="ER612" s="23"/>
      <c r="ES612" s="23"/>
      <c r="ET612" s="23"/>
      <c r="EU612" s="23"/>
      <c r="EV612" s="23"/>
      <c r="EW612" s="23"/>
      <c r="EX612" s="23"/>
      <c r="EY612" s="23"/>
      <c r="EZ612" s="23"/>
      <c r="FA612" s="23"/>
      <c r="FB612" s="23"/>
      <c r="FC612" s="23"/>
      <c r="FD612" s="23"/>
      <c r="FE612" s="23"/>
      <c r="FF612" s="23"/>
      <c r="FG612" s="23"/>
      <c r="FH612" s="23"/>
      <c r="FI612" s="23"/>
      <c r="FJ612" s="23"/>
      <c r="FK612" s="23"/>
      <c r="FL612" s="23"/>
      <c r="FM612" s="23"/>
      <c r="FN612" s="23"/>
      <c r="FO612" s="23"/>
      <c r="FP612" s="23"/>
      <c r="FQ612" s="23"/>
      <c r="FR612" s="23"/>
      <c r="FS612" s="23"/>
      <c r="FT612" s="23"/>
      <c r="FU612" s="23"/>
      <c r="FV612" s="23"/>
      <c r="FW612" s="23"/>
      <c r="FX612" s="23"/>
      <c r="FY612" s="23"/>
      <c r="FZ612" s="23"/>
      <c r="GA612" s="23"/>
      <c r="GB612" s="23"/>
      <c r="GC612" s="23"/>
      <c r="GD612" s="23"/>
      <c r="GE612" s="23"/>
      <c r="GF612" s="23"/>
      <c r="GG612" s="23"/>
      <c r="GH612" s="23"/>
      <c r="GI612" s="23"/>
      <c r="GJ612" s="23"/>
      <c r="GK612" s="23"/>
      <c r="GL612" s="23"/>
    </row>
    <row r="613" spans="1:194" ht="13">
      <c r="A613" s="23"/>
      <c r="B613" s="23"/>
      <c r="C613" s="23"/>
      <c r="D613" s="23"/>
      <c r="E613" s="23"/>
      <c r="F613" s="23"/>
      <c r="G613" s="23"/>
      <c r="H613" s="401"/>
      <c r="I613" s="401"/>
      <c r="J613" s="401"/>
      <c r="K613" s="401"/>
      <c r="L613" s="401"/>
      <c r="M613" s="438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  <c r="AL613" s="23"/>
      <c r="AM613" s="23"/>
      <c r="AN613" s="23"/>
      <c r="AO613" s="23"/>
      <c r="AP613" s="23"/>
      <c r="AQ613" s="23"/>
      <c r="AR613" s="23"/>
      <c r="AS613" s="23"/>
      <c r="AT613" s="23"/>
      <c r="AU613" s="23"/>
      <c r="AV613" s="23"/>
      <c r="AW613" s="23"/>
      <c r="AX613" s="23"/>
      <c r="AY613" s="23"/>
      <c r="AZ613" s="23"/>
      <c r="BA613" s="23"/>
      <c r="BB613" s="23"/>
      <c r="BC613" s="23"/>
      <c r="BD613" s="23"/>
      <c r="BE613" s="23"/>
      <c r="BF613" s="23"/>
      <c r="BG613" s="23"/>
      <c r="BH613" s="23"/>
      <c r="BI613" s="23"/>
      <c r="BJ613" s="23"/>
      <c r="BK613" s="23"/>
      <c r="BL613" s="23"/>
      <c r="BM613" s="23"/>
      <c r="BN613" s="23"/>
      <c r="BO613" s="23"/>
      <c r="BP613" s="23"/>
      <c r="BQ613" s="23"/>
      <c r="BR613" s="23"/>
      <c r="BS613" s="23"/>
      <c r="BT613" s="23"/>
      <c r="BU613" s="23"/>
      <c r="BV613" s="23"/>
      <c r="BW613" s="23"/>
      <c r="BX613" s="23"/>
      <c r="BY613" s="23"/>
      <c r="BZ613" s="23"/>
      <c r="CA613" s="23"/>
      <c r="CB613" s="23"/>
      <c r="CC613" s="23"/>
      <c r="CD613" s="23"/>
      <c r="CE613" s="23"/>
      <c r="CF613" s="23"/>
      <c r="CG613" s="23"/>
      <c r="CH613" s="23"/>
      <c r="CI613" s="23"/>
      <c r="CJ613" s="23"/>
      <c r="CK613" s="23"/>
      <c r="CL613" s="23"/>
      <c r="CM613" s="23"/>
      <c r="CN613" s="23"/>
      <c r="CO613" s="23"/>
      <c r="CP613" s="23"/>
      <c r="CQ613" s="23"/>
      <c r="CR613" s="23"/>
      <c r="CS613" s="23"/>
      <c r="CT613" s="23"/>
      <c r="CU613" s="23"/>
      <c r="CV613" s="23"/>
      <c r="CW613" s="23"/>
      <c r="CX613" s="23"/>
      <c r="CY613" s="23"/>
      <c r="CZ613" s="23"/>
      <c r="DA613" s="23"/>
      <c r="DB613" s="23"/>
      <c r="DC613" s="23"/>
      <c r="DD613" s="23"/>
      <c r="DE613" s="23"/>
      <c r="DF613" s="23"/>
      <c r="DG613" s="23"/>
      <c r="DH613" s="23"/>
      <c r="DI613" s="23"/>
      <c r="DJ613" s="23"/>
      <c r="DK613" s="23"/>
      <c r="DL613" s="23"/>
      <c r="DM613" s="23"/>
      <c r="DN613" s="23"/>
      <c r="DO613" s="23"/>
      <c r="DP613" s="23"/>
      <c r="DQ613" s="23"/>
      <c r="DR613" s="23"/>
      <c r="DS613" s="23"/>
      <c r="DT613" s="23"/>
      <c r="DU613" s="23"/>
      <c r="DV613" s="23"/>
      <c r="DW613" s="23"/>
      <c r="DX613" s="23"/>
      <c r="DY613" s="23"/>
      <c r="DZ613" s="23"/>
      <c r="EA613" s="23"/>
      <c r="EB613" s="23"/>
      <c r="EC613" s="23"/>
      <c r="ED613" s="23"/>
      <c r="EE613" s="23"/>
      <c r="EF613" s="23"/>
      <c r="EG613" s="23"/>
      <c r="EH613" s="23"/>
      <c r="EI613" s="23"/>
      <c r="EJ613" s="23"/>
      <c r="EK613" s="23"/>
      <c r="EL613" s="23"/>
      <c r="EM613" s="23"/>
      <c r="EN613" s="23"/>
      <c r="EO613" s="23"/>
      <c r="EP613" s="23"/>
      <c r="EQ613" s="23"/>
      <c r="ER613" s="23"/>
      <c r="ES613" s="23"/>
      <c r="ET613" s="23"/>
      <c r="EU613" s="23"/>
      <c r="EV613" s="23"/>
      <c r="EW613" s="23"/>
      <c r="EX613" s="23"/>
      <c r="EY613" s="23"/>
      <c r="EZ613" s="23"/>
      <c r="FA613" s="23"/>
      <c r="FB613" s="23"/>
      <c r="FC613" s="23"/>
      <c r="FD613" s="23"/>
      <c r="FE613" s="23"/>
      <c r="FF613" s="23"/>
      <c r="FG613" s="23"/>
      <c r="FH613" s="23"/>
      <c r="FI613" s="23"/>
      <c r="FJ613" s="23"/>
      <c r="FK613" s="23"/>
      <c r="FL613" s="23"/>
      <c r="FM613" s="23"/>
      <c r="FN613" s="23"/>
      <c r="FO613" s="23"/>
      <c r="FP613" s="23"/>
      <c r="FQ613" s="23"/>
      <c r="FR613" s="23"/>
      <c r="FS613" s="23"/>
      <c r="FT613" s="23"/>
      <c r="FU613" s="23"/>
      <c r="FV613" s="23"/>
      <c r="FW613" s="23"/>
      <c r="FX613" s="23"/>
      <c r="FY613" s="23"/>
      <c r="FZ613" s="23"/>
      <c r="GA613" s="23"/>
      <c r="GB613" s="23"/>
      <c r="GC613" s="23"/>
      <c r="GD613" s="23"/>
      <c r="GE613" s="23"/>
      <c r="GF613" s="23"/>
      <c r="GG613" s="23"/>
      <c r="GH613" s="23"/>
      <c r="GI613" s="23"/>
      <c r="GJ613" s="23"/>
      <c r="GK613" s="23"/>
      <c r="GL613" s="23"/>
    </row>
    <row r="614" spans="1:194" ht="13">
      <c r="A614" s="23"/>
      <c r="B614" s="23"/>
      <c r="C614" s="23"/>
      <c r="D614" s="23"/>
      <c r="E614" s="23"/>
      <c r="F614" s="23"/>
      <c r="G614" s="23"/>
      <c r="H614" s="401"/>
      <c r="I614" s="401"/>
      <c r="J614" s="401"/>
      <c r="K614" s="401"/>
      <c r="L614" s="401"/>
      <c r="M614" s="438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  <c r="AL614" s="23"/>
      <c r="AM614" s="23"/>
      <c r="AN614" s="23"/>
      <c r="AO614" s="23"/>
      <c r="AP614" s="23"/>
      <c r="AQ614" s="23"/>
      <c r="AR614" s="23"/>
      <c r="AS614" s="23"/>
      <c r="AT614" s="23"/>
      <c r="AU614" s="23"/>
      <c r="AV614" s="23"/>
      <c r="AW614" s="23"/>
      <c r="AX614" s="23"/>
      <c r="AY614" s="23"/>
      <c r="AZ614" s="23"/>
      <c r="BA614" s="23"/>
      <c r="BB614" s="23"/>
      <c r="BC614" s="23"/>
      <c r="BD614" s="23"/>
      <c r="BE614" s="23"/>
      <c r="BF614" s="23"/>
      <c r="BG614" s="23"/>
      <c r="BH614" s="23"/>
      <c r="BI614" s="23"/>
      <c r="BJ614" s="23"/>
      <c r="BK614" s="23"/>
      <c r="BL614" s="23"/>
      <c r="BM614" s="23"/>
      <c r="BN614" s="23"/>
      <c r="BO614" s="23"/>
      <c r="BP614" s="23"/>
      <c r="BQ614" s="23"/>
      <c r="BR614" s="23"/>
      <c r="BS614" s="23"/>
      <c r="BT614" s="23"/>
      <c r="BU614" s="23"/>
      <c r="BV614" s="23"/>
      <c r="BW614" s="23"/>
      <c r="BX614" s="23"/>
      <c r="BY614" s="23"/>
      <c r="BZ614" s="23"/>
      <c r="CA614" s="23"/>
      <c r="CB614" s="23"/>
      <c r="CC614" s="23"/>
      <c r="CD614" s="23"/>
      <c r="CE614" s="23"/>
      <c r="CF614" s="23"/>
      <c r="CG614" s="23"/>
      <c r="CH614" s="23"/>
      <c r="CI614" s="23"/>
      <c r="CJ614" s="23"/>
      <c r="CK614" s="23"/>
      <c r="CL614" s="23"/>
      <c r="CM614" s="23"/>
      <c r="CN614" s="23"/>
      <c r="CO614" s="23"/>
      <c r="CP614" s="23"/>
      <c r="CQ614" s="23"/>
      <c r="CR614" s="23"/>
      <c r="CS614" s="23"/>
      <c r="CT614" s="23"/>
      <c r="CU614" s="23"/>
      <c r="CV614" s="23"/>
      <c r="CW614" s="23"/>
      <c r="CX614" s="23"/>
      <c r="CY614" s="23"/>
      <c r="CZ614" s="23"/>
      <c r="DA614" s="23"/>
      <c r="DB614" s="23"/>
      <c r="DC614" s="23"/>
      <c r="DD614" s="23"/>
      <c r="DE614" s="23"/>
      <c r="DF614" s="23"/>
      <c r="DG614" s="23"/>
      <c r="DH614" s="23"/>
      <c r="DI614" s="23"/>
      <c r="DJ614" s="23"/>
      <c r="DK614" s="23"/>
      <c r="DL614" s="23"/>
      <c r="DM614" s="23"/>
      <c r="DN614" s="23"/>
      <c r="DO614" s="23"/>
      <c r="DP614" s="23"/>
      <c r="DQ614" s="23"/>
      <c r="DR614" s="23"/>
      <c r="DS614" s="23"/>
      <c r="DT614" s="23"/>
      <c r="DU614" s="23"/>
      <c r="DV614" s="23"/>
      <c r="DW614" s="23"/>
      <c r="DX614" s="23"/>
      <c r="DY614" s="23"/>
      <c r="DZ614" s="23"/>
      <c r="EA614" s="23"/>
      <c r="EB614" s="23"/>
      <c r="EC614" s="23"/>
      <c r="ED614" s="23"/>
      <c r="EE614" s="23"/>
      <c r="EF614" s="23"/>
      <c r="EG614" s="23"/>
      <c r="EH614" s="23"/>
      <c r="EI614" s="23"/>
      <c r="EJ614" s="23"/>
      <c r="EK614" s="23"/>
      <c r="EL614" s="23"/>
      <c r="EM614" s="23"/>
      <c r="EN614" s="23"/>
      <c r="EO614" s="23"/>
      <c r="EP614" s="23"/>
      <c r="EQ614" s="23"/>
      <c r="ER614" s="23"/>
      <c r="ES614" s="23"/>
      <c r="ET614" s="23"/>
      <c r="EU614" s="23"/>
      <c r="EV614" s="23"/>
      <c r="EW614" s="23"/>
      <c r="EX614" s="23"/>
      <c r="EY614" s="23"/>
      <c r="EZ614" s="23"/>
      <c r="FA614" s="23"/>
      <c r="FB614" s="23"/>
      <c r="FC614" s="23"/>
      <c r="FD614" s="23"/>
      <c r="FE614" s="23"/>
      <c r="FF614" s="23"/>
      <c r="FG614" s="23"/>
      <c r="FH614" s="23"/>
      <c r="FI614" s="23"/>
      <c r="FJ614" s="23"/>
      <c r="FK614" s="23"/>
      <c r="FL614" s="23"/>
      <c r="FM614" s="23"/>
      <c r="FN614" s="23"/>
      <c r="FO614" s="23"/>
      <c r="FP614" s="23"/>
      <c r="FQ614" s="23"/>
      <c r="FR614" s="23"/>
      <c r="FS614" s="23"/>
      <c r="FT614" s="23"/>
      <c r="FU614" s="23"/>
      <c r="FV614" s="23"/>
      <c r="FW614" s="23"/>
      <c r="FX614" s="23"/>
      <c r="FY614" s="23"/>
      <c r="FZ614" s="23"/>
      <c r="GA614" s="23"/>
      <c r="GB614" s="23"/>
      <c r="GC614" s="23"/>
      <c r="GD614" s="23"/>
      <c r="GE614" s="23"/>
      <c r="GF614" s="23"/>
      <c r="GG614" s="23"/>
      <c r="GH614" s="23"/>
      <c r="GI614" s="23"/>
      <c r="GJ614" s="23"/>
      <c r="GK614" s="23"/>
      <c r="GL614" s="23"/>
    </row>
    <row r="615" spans="1:194" ht="13">
      <c r="A615" s="23"/>
      <c r="B615" s="23"/>
      <c r="C615" s="23"/>
      <c r="D615" s="23"/>
      <c r="E615" s="23"/>
      <c r="F615" s="23"/>
      <c r="G615" s="23"/>
      <c r="H615" s="401"/>
      <c r="I615" s="401"/>
      <c r="J615" s="401"/>
      <c r="K615" s="401"/>
      <c r="L615" s="401"/>
      <c r="M615" s="438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  <c r="AL615" s="23"/>
      <c r="AM615" s="23"/>
      <c r="AN615" s="23"/>
      <c r="AO615" s="23"/>
      <c r="AP615" s="23"/>
      <c r="AQ615" s="23"/>
      <c r="AR615" s="23"/>
      <c r="AS615" s="23"/>
      <c r="AT615" s="23"/>
      <c r="AU615" s="23"/>
      <c r="AV615" s="23"/>
      <c r="AW615" s="23"/>
      <c r="AX615" s="23"/>
      <c r="AY615" s="23"/>
      <c r="AZ615" s="23"/>
      <c r="BA615" s="23"/>
      <c r="BB615" s="23"/>
      <c r="BC615" s="23"/>
      <c r="BD615" s="23"/>
      <c r="BE615" s="23"/>
      <c r="BF615" s="23"/>
      <c r="BG615" s="23"/>
      <c r="BH615" s="23"/>
      <c r="BI615" s="23"/>
      <c r="BJ615" s="23"/>
      <c r="BK615" s="23"/>
      <c r="BL615" s="23"/>
      <c r="BM615" s="23"/>
      <c r="BN615" s="23"/>
      <c r="BO615" s="23"/>
      <c r="BP615" s="23"/>
      <c r="BQ615" s="23"/>
      <c r="BR615" s="23"/>
      <c r="BS615" s="23"/>
      <c r="BT615" s="23"/>
      <c r="BU615" s="23"/>
      <c r="BV615" s="23"/>
      <c r="BW615" s="23"/>
      <c r="BX615" s="23"/>
      <c r="BY615" s="23"/>
      <c r="BZ615" s="23"/>
      <c r="CA615" s="23"/>
      <c r="CB615" s="23"/>
      <c r="CC615" s="23"/>
      <c r="CD615" s="23"/>
      <c r="CE615" s="23"/>
      <c r="CF615" s="23"/>
      <c r="CG615" s="23"/>
      <c r="CH615" s="23"/>
      <c r="CI615" s="23"/>
      <c r="CJ615" s="23"/>
      <c r="CK615" s="23"/>
      <c r="CL615" s="23"/>
      <c r="CM615" s="23"/>
      <c r="CN615" s="23"/>
      <c r="CO615" s="23"/>
      <c r="CP615" s="23"/>
      <c r="CQ615" s="23"/>
      <c r="CR615" s="23"/>
      <c r="CS615" s="23"/>
      <c r="CT615" s="23"/>
      <c r="CU615" s="23"/>
      <c r="CV615" s="23"/>
      <c r="CW615" s="23"/>
      <c r="CX615" s="23"/>
      <c r="CY615" s="23"/>
      <c r="CZ615" s="23"/>
      <c r="DA615" s="23"/>
      <c r="DB615" s="23"/>
      <c r="DC615" s="23"/>
      <c r="DD615" s="23"/>
      <c r="DE615" s="23"/>
      <c r="DF615" s="23"/>
      <c r="DG615" s="23"/>
      <c r="DH615" s="23"/>
      <c r="DI615" s="23"/>
      <c r="DJ615" s="23"/>
      <c r="DK615" s="23"/>
      <c r="DL615" s="23"/>
      <c r="DM615" s="23"/>
      <c r="DN615" s="23"/>
      <c r="DO615" s="23"/>
      <c r="DP615" s="23"/>
      <c r="DQ615" s="23"/>
      <c r="DR615" s="23"/>
      <c r="DS615" s="23"/>
      <c r="DT615" s="23"/>
      <c r="DU615" s="23"/>
      <c r="DV615" s="23"/>
      <c r="DW615" s="23"/>
      <c r="DX615" s="23"/>
      <c r="DY615" s="23"/>
      <c r="DZ615" s="23"/>
      <c r="EA615" s="23"/>
      <c r="EB615" s="23"/>
      <c r="EC615" s="23"/>
      <c r="ED615" s="23"/>
      <c r="EE615" s="23"/>
      <c r="EF615" s="23"/>
      <c r="EG615" s="23"/>
      <c r="EH615" s="23"/>
      <c r="EI615" s="23"/>
      <c r="EJ615" s="23"/>
      <c r="EK615" s="23"/>
      <c r="EL615" s="23"/>
      <c r="EM615" s="23"/>
      <c r="EN615" s="23"/>
      <c r="EO615" s="23"/>
      <c r="EP615" s="23"/>
      <c r="EQ615" s="23"/>
      <c r="ER615" s="23"/>
      <c r="ES615" s="23"/>
      <c r="ET615" s="23"/>
      <c r="EU615" s="23"/>
      <c r="EV615" s="23"/>
      <c r="EW615" s="23"/>
      <c r="EX615" s="23"/>
      <c r="EY615" s="23"/>
      <c r="EZ615" s="23"/>
      <c r="FA615" s="23"/>
      <c r="FB615" s="23"/>
      <c r="FC615" s="23"/>
      <c r="FD615" s="23"/>
      <c r="FE615" s="23"/>
      <c r="FF615" s="23"/>
      <c r="FG615" s="23"/>
      <c r="FH615" s="23"/>
      <c r="FI615" s="23"/>
      <c r="FJ615" s="23"/>
      <c r="FK615" s="23"/>
      <c r="FL615" s="23"/>
      <c r="FM615" s="23"/>
      <c r="FN615" s="23"/>
      <c r="FO615" s="23"/>
      <c r="FP615" s="23"/>
      <c r="FQ615" s="23"/>
      <c r="FR615" s="23"/>
      <c r="FS615" s="23"/>
      <c r="FT615" s="23"/>
      <c r="FU615" s="23"/>
      <c r="FV615" s="23"/>
      <c r="FW615" s="23"/>
      <c r="FX615" s="23"/>
      <c r="FY615" s="23"/>
      <c r="FZ615" s="23"/>
      <c r="GA615" s="23"/>
      <c r="GB615" s="23"/>
      <c r="GC615" s="23"/>
      <c r="GD615" s="23"/>
      <c r="GE615" s="23"/>
      <c r="GF615" s="23"/>
      <c r="GG615" s="23"/>
      <c r="GH615" s="23"/>
      <c r="GI615" s="23"/>
      <c r="GJ615" s="23"/>
      <c r="GK615" s="23"/>
      <c r="GL615" s="23"/>
    </row>
    <row r="616" spans="1:194" ht="13">
      <c r="A616" s="23"/>
      <c r="B616" s="23"/>
      <c r="C616" s="23"/>
      <c r="D616" s="23"/>
      <c r="E616" s="23"/>
      <c r="F616" s="23"/>
      <c r="G616" s="23"/>
      <c r="H616" s="401"/>
      <c r="I616" s="401"/>
      <c r="J616" s="401"/>
      <c r="K616" s="401"/>
      <c r="L616" s="401"/>
      <c r="M616" s="438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  <c r="AL616" s="23"/>
      <c r="AM616" s="23"/>
      <c r="AN616" s="23"/>
      <c r="AO616" s="23"/>
      <c r="AP616" s="23"/>
      <c r="AQ616" s="23"/>
      <c r="AR616" s="23"/>
      <c r="AS616" s="23"/>
      <c r="AT616" s="23"/>
      <c r="AU616" s="23"/>
      <c r="AV616" s="23"/>
      <c r="AW616" s="23"/>
      <c r="AX616" s="23"/>
      <c r="AY616" s="23"/>
      <c r="AZ616" s="23"/>
      <c r="BA616" s="23"/>
      <c r="BB616" s="23"/>
      <c r="BC616" s="23"/>
      <c r="BD616" s="23"/>
      <c r="BE616" s="23"/>
      <c r="BF616" s="23"/>
      <c r="BG616" s="23"/>
      <c r="BH616" s="23"/>
      <c r="BI616" s="23"/>
      <c r="BJ616" s="23"/>
      <c r="BK616" s="23"/>
      <c r="BL616" s="23"/>
      <c r="BM616" s="23"/>
      <c r="BN616" s="23"/>
      <c r="BO616" s="23"/>
      <c r="BP616" s="23"/>
      <c r="BQ616" s="23"/>
      <c r="BR616" s="23"/>
      <c r="BS616" s="23"/>
      <c r="BT616" s="23"/>
      <c r="BU616" s="23"/>
      <c r="BV616" s="23"/>
      <c r="BW616" s="23"/>
      <c r="BX616" s="23"/>
      <c r="BY616" s="23"/>
      <c r="BZ616" s="23"/>
      <c r="CA616" s="23"/>
      <c r="CB616" s="23"/>
      <c r="CC616" s="23"/>
      <c r="CD616" s="23"/>
      <c r="CE616" s="23"/>
      <c r="CF616" s="23"/>
      <c r="CG616" s="23"/>
      <c r="CH616" s="23"/>
      <c r="CI616" s="23"/>
      <c r="CJ616" s="23"/>
      <c r="CK616" s="23"/>
      <c r="CL616" s="23"/>
      <c r="CM616" s="23"/>
      <c r="CN616" s="23"/>
      <c r="CO616" s="23"/>
      <c r="CP616" s="23"/>
      <c r="CQ616" s="23"/>
      <c r="CR616" s="23"/>
      <c r="CS616" s="23"/>
      <c r="CT616" s="23"/>
      <c r="CU616" s="23"/>
      <c r="CV616" s="23"/>
      <c r="CW616" s="23"/>
      <c r="CX616" s="23"/>
      <c r="CY616" s="23"/>
      <c r="CZ616" s="23"/>
      <c r="DA616" s="23"/>
      <c r="DB616" s="23"/>
      <c r="DC616" s="23"/>
      <c r="DD616" s="23"/>
      <c r="DE616" s="23"/>
      <c r="DF616" s="23"/>
      <c r="DG616" s="23"/>
      <c r="DH616" s="23"/>
      <c r="DI616" s="23"/>
      <c r="DJ616" s="23"/>
      <c r="DK616" s="23"/>
      <c r="DL616" s="23"/>
      <c r="DM616" s="23"/>
      <c r="DN616" s="23"/>
      <c r="DO616" s="23"/>
      <c r="DP616" s="23"/>
      <c r="DQ616" s="23"/>
      <c r="DR616" s="23"/>
      <c r="DS616" s="23"/>
      <c r="DT616" s="23"/>
      <c r="DU616" s="23"/>
      <c r="DV616" s="23"/>
      <c r="DW616" s="23"/>
      <c r="DX616" s="23"/>
      <c r="DY616" s="23"/>
      <c r="DZ616" s="23"/>
      <c r="EA616" s="23"/>
      <c r="EB616" s="23"/>
      <c r="EC616" s="23"/>
      <c r="ED616" s="23"/>
      <c r="EE616" s="23"/>
      <c r="EF616" s="23"/>
      <c r="EG616" s="23"/>
      <c r="EH616" s="23"/>
      <c r="EI616" s="23"/>
      <c r="EJ616" s="23"/>
      <c r="EK616" s="23"/>
      <c r="EL616" s="23"/>
      <c r="EM616" s="23"/>
      <c r="EN616" s="23"/>
      <c r="EO616" s="23"/>
      <c r="EP616" s="23"/>
      <c r="EQ616" s="23"/>
      <c r="ER616" s="23"/>
      <c r="ES616" s="23"/>
      <c r="ET616" s="23"/>
      <c r="EU616" s="23"/>
      <c r="EV616" s="23"/>
      <c r="EW616" s="23"/>
      <c r="EX616" s="23"/>
      <c r="EY616" s="23"/>
      <c r="EZ616" s="23"/>
      <c r="FA616" s="23"/>
      <c r="FB616" s="23"/>
      <c r="FC616" s="23"/>
      <c r="FD616" s="23"/>
      <c r="FE616" s="23"/>
      <c r="FF616" s="23"/>
      <c r="FG616" s="23"/>
      <c r="FH616" s="23"/>
      <c r="FI616" s="23"/>
      <c r="FJ616" s="23"/>
      <c r="FK616" s="23"/>
      <c r="FL616" s="23"/>
      <c r="FM616" s="23"/>
      <c r="FN616" s="23"/>
      <c r="FO616" s="23"/>
      <c r="FP616" s="23"/>
      <c r="FQ616" s="23"/>
      <c r="FR616" s="23"/>
      <c r="FS616" s="23"/>
      <c r="FT616" s="23"/>
      <c r="FU616" s="23"/>
      <c r="FV616" s="23"/>
      <c r="FW616" s="23"/>
      <c r="FX616" s="23"/>
      <c r="FY616" s="23"/>
      <c r="FZ616" s="23"/>
      <c r="GA616" s="23"/>
      <c r="GB616" s="23"/>
      <c r="GC616" s="23"/>
      <c r="GD616" s="23"/>
      <c r="GE616" s="23"/>
      <c r="GF616" s="23"/>
      <c r="GG616" s="23"/>
      <c r="GH616" s="23"/>
      <c r="GI616" s="23"/>
      <c r="GJ616" s="23"/>
      <c r="GK616" s="23"/>
      <c r="GL616" s="23"/>
    </row>
    <row r="617" spans="1:194" ht="13">
      <c r="A617" s="23"/>
      <c r="B617" s="23"/>
      <c r="C617" s="23"/>
      <c r="D617" s="23"/>
      <c r="E617" s="23"/>
      <c r="F617" s="23"/>
      <c r="G617" s="23"/>
      <c r="H617" s="401"/>
      <c r="I617" s="401"/>
      <c r="J617" s="401"/>
      <c r="K617" s="401"/>
      <c r="L617" s="401"/>
      <c r="M617" s="438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  <c r="AL617" s="23"/>
      <c r="AM617" s="23"/>
      <c r="AN617" s="23"/>
      <c r="AO617" s="23"/>
      <c r="AP617" s="23"/>
      <c r="AQ617" s="23"/>
      <c r="AR617" s="23"/>
      <c r="AS617" s="23"/>
      <c r="AT617" s="23"/>
      <c r="AU617" s="23"/>
      <c r="AV617" s="23"/>
      <c r="AW617" s="23"/>
      <c r="AX617" s="23"/>
      <c r="AY617" s="23"/>
      <c r="AZ617" s="23"/>
      <c r="BA617" s="23"/>
      <c r="BB617" s="23"/>
      <c r="BC617" s="23"/>
      <c r="BD617" s="23"/>
      <c r="BE617" s="23"/>
      <c r="BF617" s="23"/>
      <c r="BG617" s="23"/>
      <c r="BH617" s="23"/>
      <c r="BI617" s="23"/>
      <c r="BJ617" s="23"/>
      <c r="BK617" s="23"/>
      <c r="BL617" s="23"/>
      <c r="BM617" s="23"/>
      <c r="BN617" s="23"/>
      <c r="BO617" s="23"/>
      <c r="BP617" s="23"/>
      <c r="BQ617" s="23"/>
      <c r="BR617" s="23"/>
      <c r="BS617" s="23"/>
      <c r="BT617" s="23"/>
      <c r="BU617" s="23"/>
      <c r="BV617" s="23"/>
      <c r="BW617" s="23"/>
      <c r="BX617" s="23"/>
      <c r="BY617" s="23"/>
      <c r="BZ617" s="23"/>
      <c r="CA617" s="23"/>
      <c r="CB617" s="23"/>
      <c r="CC617" s="23"/>
      <c r="CD617" s="23"/>
      <c r="CE617" s="23"/>
      <c r="CF617" s="23"/>
      <c r="CG617" s="23"/>
      <c r="CH617" s="23"/>
      <c r="CI617" s="23"/>
      <c r="CJ617" s="23"/>
      <c r="CK617" s="23"/>
      <c r="CL617" s="23"/>
      <c r="CM617" s="23"/>
      <c r="CN617" s="23"/>
      <c r="CO617" s="23"/>
      <c r="CP617" s="23"/>
      <c r="CQ617" s="23"/>
      <c r="CR617" s="23"/>
      <c r="CS617" s="23"/>
      <c r="CT617" s="23"/>
      <c r="CU617" s="23"/>
      <c r="CV617" s="23"/>
      <c r="CW617" s="23"/>
      <c r="CX617" s="23"/>
      <c r="CY617" s="23"/>
      <c r="CZ617" s="23"/>
      <c r="DA617" s="23"/>
      <c r="DB617" s="23"/>
      <c r="DC617" s="23"/>
      <c r="DD617" s="23"/>
      <c r="DE617" s="23"/>
      <c r="DF617" s="23"/>
      <c r="DG617" s="23"/>
      <c r="DH617" s="23"/>
      <c r="DI617" s="23"/>
      <c r="DJ617" s="23"/>
      <c r="DK617" s="23"/>
      <c r="DL617" s="23"/>
      <c r="DM617" s="23"/>
      <c r="DN617" s="23"/>
      <c r="DO617" s="23"/>
      <c r="DP617" s="23"/>
      <c r="DQ617" s="23"/>
      <c r="DR617" s="23"/>
      <c r="DS617" s="23"/>
      <c r="DT617" s="23"/>
      <c r="DU617" s="23"/>
      <c r="DV617" s="23"/>
      <c r="DW617" s="23"/>
      <c r="DX617" s="23"/>
      <c r="DY617" s="23"/>
      <c r="DZ617" s="23"/>
      <c r="EA617" s="23"/>
      <c r="EB617" s="23"/>
      <c r="EC617" s="23"/>
      <c r="ED617" s="23"/>
      <c r="EE617" s="23"/>
      <c r="EF617" s="23"/>
      <c r="EG617" s="23"/>
      <c r="EH617" s="23"/>
      <c r="EI617" s="23"/>
      <c r="EJ617" s="23"/>
      <c r="EK617" s="23"/>
      <c r="EL617" s="23"/>
      <c r="EM617" s="23"/>
      <c r="EN617" s="23"/>
      <c r="EO617" s="23"/>
      <c r="EP617" s="23"/>
      <c r="EQ617" s="23"/>
      <c r="ER617" s="23"/>
      <c r="ES617" s="23"/>
      <c r="ET617" s="23"/>
      <c r="EU617" s="23"/>
      <c r="EV617" s="23"/>
      <c r="EW617" s="23"/>
      <c r="EX617" s="23"/>
      <c r="EY617" s="23"/>
      <c r="EZ617" s="23"/>
      <c r="FA617" s="23"/>
      <c r="FB617" s="23"/>
      <c r="FC617" s="23"/>
      <c r="FD617" s="23"/>
      <c r="FE617" s="23"/>
      <c r="FF617" s="23"/>
      <c r="FG617" s="23"/>
      <c r="FH617" s="23"/>
      <c r="FI617" s="23"/>
      <c r="FJ617" s="23"/>
      <c r="FK617" s="23"/>
      <c r="FL617" s="23"/>
      <c r="FM617" s="23"/>
      <c r="FN617" s="23"/>
      <c r="FO617" s="23"/>
      <c r="FP617" s="23"/>
      <c r="FQ617" s="23"/>
      <c r="FR617" s="23"/>
      <c r="FS617" s="23"/>
      <c r="FT617" s="23"/>
      <c r="FU617" s="23"/>
      <c r="FV617" s="23"/>
      <c r="FW617" s="23"/>
      <c r="FX617" s="23"/>
      <c r="FY617" s="23"/>
      <c r="FZ617" s="23"/>
      <c r="GA617" s="23"/>
      <c r="GB617" s="23"/>
      <c r="GC617" s="23"/>
      <c r="GD617" s="23"/>
      <c r="GE617" s="23"/>
      <c r="GF617" s="23"/>
      <c r="GG617" s="23"/>
      <c r="GH617" s="23"/>
      <c r="GI617" s="23"/>
      <c r="GJ617" s="23"/>
      <c r="GK617" s="23"/>
      <c r="GL617" s="23"/>
    </row>
    <row r="618" spans="1:194" ht="13">
      <c r="A618" s="23"/>
      <c r="B618" s="23"/>
      <c r="C618" s="23"/>
      <c r="D618" s="23"/>
      <c r="E618" s="23"/>
      <c r="F618" s="23"/>
      <c r="G618" s="23"/>
      <c r="H618" s="401"/>
      <c r="I618" s="401"/>
      <c r="J618" s="401"/>
      <c r="K618" s="401"/>
      <c r="L618" s="401"/>
      <c r="M618" s="438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  <c r="AL618" s="23"/>
      <c r="AM618" s="23"/>
      <c r="AN618" s="23"/>
      <c r="AO618" s="23"/>
      <c r="AP618" s="23"/>
      <c r="AQ618" s="23"/>
      <c r="AR618" s="23"/>
      <c r="AS618" s="23"/>
      <c r="AT618" s="23"/>
      <c r="AU618" s="23"/>
      <c r="AV618" s="23"/>
      <c r="AW618" s="23"/>
      <c r="AX618" s="23"/>
      <c r="AY618" s="23"/>
      <c r="AZ618" s="23"/>
      <c r="BA618" s="23"/>
      <c r="BB618" s="23"/>
      <c r="BC618" s="23"/>
      <c r="BD618" s="23"/>
      <c r="BE618" s="23"/>
      <c r="BF618" s="23"/>
      <c r="BG618" s="23"/>
      <c r="BH618" s="23"/>
      <c r="BI618" s="23"/>
      <c r="BJ618" s="23"/>
      <c r="BK618" s="23"/>
      <c r="BL618" s="23"/>
      <c r="BM618" s="23"/>
      <c r="BN618" s="23"/>
      <c r="BO618" s="23"/>
      <c r="BP618" s="23"/>
      <c r="BQ618" s="23"/>
      <c r="BR618" s="23"/>
      <c r="BS618" s="23"/>
      <c r="BT618" s="23"/>
      <c r="BU618" s="23"/>
      <c r="BV618" s="23"/>
      <c r="BW618" s="23"/>
      <c r="BX618" s="23"/>
      <c r="BY618" s="23"/>
      <c r="BZ618" s="23"/>
      <c r="CA618" s="23"/>
      <c r="CB618" s="23"/>
      <c r="CC618" s="23"/>
      <c r="CD618" s="23"/>
      <c r="CE618" s="23"/>
      <c r="CF618" s="23"/>
      <c r="CG618" s="23"/>
      <c r="CH618" s="23"/>
      <c r="CI618" s="23"/>
      <c r="CJ618" s="23"/>
      <c r="CK618" s="23"/>
      <c r="CL618" s="23"/>
      <c r="CM618" s="23"/>
      <c r="CN618" s="23"/>
      <c r="CO618" s="23"/>
      <c r="CP618" s="23"/>
      <c r="CQ618" s="23"/>
      <c r="CR618" s="23"/>
      <c r="CS618" s="23"/>
      <c r="CT618" s="23"/>
      <c r="CU618" s="23"/>
      <c r="CV618" s="23"/>
      <c r="CW618" s="23"/>
      <c r="CX618" s="23"/>
      <c r="CY618" s="23"/>
      <c r="CZ618" s="23"/>
      <c r="DA618" s="23"/>
      <c r="DB618" s="23"/>
      <c r="DC618" s="23"/>
      <c r="DD618" s="23"/>
      <c r="DE618" s="23"/>
      <c r="DF618" s="23"/>
      <c r="DG618" s="23"/>
      <c r="DH618" s="23"/>
      <c r="DI618" s="23"/>
      <c r="DJ618" s="23"/>
      <c r="DK618" s="23"/>
      <c r="DL618" s="23"/>
      <c r="DM618" s="23"/>
      <c r="DN618" s="23"/>
      <c r="DO618" s="23"/>
      <c r="DP618" s="23"/>
      <c r="DQ618" s="23"/>
      <c r="DR618" s="23"/>
      <c r="DS618" s="23"/>
      <c r="DT618" s="23"/>
      <c r="DU618" s="23"/>
      <c r="DV618" s="23"/>
      <c r="DW618" s="23"/>
      <c r="DX618" s="23"/>
      <c r="DY618" s="23"/>
      <c r="DZ618" s="23"/>
      <c r="EA618" s="23"/>
      <c r="EB618" s="23"/>
      <c r="EC618" s="23"/>
      <c r="ED618" s="23"/>
      <c r="EE618" s="23"/>
      <c r="EF618" s="23"/>
      <c r="EG618" s="23"/>
      <c r="EH618" s="23"/>
      <c r="EI618" s="23"/>
      <c r="EJ618" s="23"/>
      <c r="EK618" s="23"/>
      <c r="EL618" s="23"/>
      <c r="EM618" s="23"/>
      <c r="EN618" s="23"/>
      <c r="EO618" s="23"/>
      <c r="EP618" s="23"/>
      <c r="EQ618" s="23"/>
      <c r="ER618" s="23"/>
      <c r="ES618" s="23"/>
      <c r="ET618" s="23"/>
      <c r="EU618" s="23"/>
      <c r="EV618" s="23"/>
      <c r="EW618" s="23"/>
      <c r="EX618" s="23"/>
      <c r="EY618" s="23"/>
      <c r="EZ618" s="23"/>
      <c r="FA618" s="23"/>
      <c r="FB618" s="23"/>
      <c r="FC618" s="23"/>
      <c r="FD618" s="23"/>
      <c r="FE618" s="23"/>
      <c r="FF618" s="23"/>
      <c r="FG618" s="23"/>
      <c r="FH618" s="23"/>
      <c r="FI618" s="23"/>
      <c r="FJ618" s="23"/>
      <c r="FK618" s="23"/>
      <c r="FL618" s="23"/>
      <c r="FM618" s="23"/>
      <c r="FN618" s="23"/>
      <c r="FO618" s="23"/>
      <c r="FP618" s="23"/>
      <c r="FQ618" s="23"/>
      <c r="FR618" s="23"/>
      <c r="FS618" s="23"/>
      <c r="FT618" s="23"/>
      <c r="FU618" s="23"/>
      <c r="FV618" s="23"/>
      <c r="FW618" s="23"/>
      <c r="FX618" s="23"/>
      <c r="FY618" s="23"/>
      <c r="FZ618" s="23"/>
      <c r="GA618" s="23"/>
      <c r="GB618" s="23"/>
      <c r="GC618" s="23"/>
      <c r="GD618" s="23"/>
      <c r="GE618" s="23"/>
      <c r="GF618" s="23"/>
      <c r="GG618" s="23"/>
      <c r="GH618" s="23"/>
      <c r="GI618" s="23"/>
      <c r="GJ618" s="23"/>
      <c r="GK618" s="23"/>
      <c r="GL618" s="23"/>
    </row>
    <row r="619" spans="1:194" ht="13">
      <c r="A619" s="23"/>
      <c r="B619" s="23"/>
      <c r="C619" s="23"/>
      <c r="D619" s="23"/>
      <c r="E619" s="23"/>
      <c r="F619" s="23"/>
      <c r="G619" s="23"/>
      <c r="H619" s="401"/>
      <c r="I619" s="401"/>
      <c r="J619" s="401"/>
      <c r="K619" s="401"/>
      <c r="L619" s="401"/>
      <c r="M619" s="438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  <c r="AL619" s="23"/>
      <c r="AM619" s="23"/>
      <c r="AN619" s="23"/>
      <c r="AO619" s="23"/>
      <c r="AP619" s="23"/>
      <c r="AQ619" s="23"/>
      <c r="AR619" s="23"/>
      <c r="AS619" s="23"/>
      <c r="AT619" s="23"/>
      <c r="AU619" s="23"/>
      <c r="AV619" s="23"/>
      <c r="AW619" s="23"/>
      <c r="AX619" s="23"/>
      <c r="AY619" s="23"/>
      <c r="AZ619" s="23"/>
      <c r="BA619" s="23"/>
      <c r="BB619" s="23"/>
      <c r="BC619" s="23"/>
      <c r="BD619" s="23"/>
      <c r="BE619" s="23"/>
      <c r="BF619" s="23"/>
      <c r="BG619" s="23"/>
      <c r="BH619" s="23"/>
      <c r="BI619" s="23"/>
      <c r="BJ619" s="23"/>
      <c r="BK619" s="23"/>
      <c r="BL619" s="23"/>
      <c r="BM619" s="23"/>
      <c r="BN619" s="23"/>
      <c r="BO619" s="23"/>
      <c r="BP619" s="23"/>
      <c r="BQ619" s="23"/>
      <c r="BR619" s="23"/>
      <c r="BS619" s="23"/>
      <c r="BT619" s="23"/>
      <c r="BU619" s="23"/>
      <c r="BV619" s="23"/>
      <c r="BW619" s="23"/>
      <c r="BX619" s="23"/>
      <c r="BY619" s="23"/>
      <c r="BZ619" s="23"/>
      <c r="CA619" s="23"/>
      <c r="CB619" s="23"/>
      <c r="CC619" s="23"/>
      <c r="CD619" s="23"/>
      <c r="CE619" s="23"/>
      <c r="CF619" s="23"/>
      <c r="CG619" s="23"/>
      <c r="CH619" s="23"/>
      <c r="CI619" s="23"/>
      <c r="CJ619" s="23"/>
      <c r="CK619" s="23"/>
      <c r="CL619" s="23"/>
      <c r="CM619" s="23"/>
      <c r="CN619" s="23"/>
      <c r="CO619" s="23"/>
      <c r="CP619" s="23"/>
      <c r="CQ619" s="23"/>
      <c r="CR619" s="23"/>
      <c r="CS619" s="23"/>
      <c r="CT619" s="23"/>
      <c r="CU619" s="23"/>
      <c r="CV619" s="23"/>
      <c r="CW619" s="23"/>
      <c r="CX619" s="23"/>
      <c r="CY619" s="23"/>
      <c r="CZ619" s="23"/>
      <c r="DA619" s="23"/>
      <c r="DB619" s="23"/>
      <c r="DC619" s="23"/>
      <c r="DD619" s="23"/>
      <c r="DE619" s="23"/>
      <c r="DF619" s="23"/>
      <c r="DG619" s="23"/>
      <c r="DH619" s="23"/>
      <c r="DI619" s="23"/>
      <c r="DJ619" s="23"/>
      <c r="DK619" s="23"/>
      <c r="DL619" s="23"/>
      <c r="DM619" s="23"/>
      <c r="DN619" s="23"/>
      <c r="DO619" s="23"/>
      <c r="DP619" s="23"/>
      <c r="DQ619" s="23"/>
      <c r="DR619" s="23"/>
      <c r="DS619" s="23"/>
      <c r="DT619" s="23"/>
      <c r="DU619" s="23"/>
      <c r="DV619" s="23"/>
      <c r="DW619" s="23"/>
      <c r="DX619" s="23"/>
      <c r="DY619" s="23"/>
      <c r="DZ619" s="23"/>
      <c r="EA619" s="23"/>
      <c r="EB619" s="23"/>
      <c r="EC619" s="23"/>
      <c r="ED619" s="23"/>
      <c r="EE619" s="23"/>
      <c r="EF619" s="23"/>
      <c r="EG619" s="23"/>
      <c r="EH619" s="23"/>
      <c r="EI619" s="23"/>
      <c r="EJ619" s="23"/>
      <c r="EK619" s="23"/>
      <c r="EL619" s="23"/>
      <c r="EM619" s="23"/>
      <c r="EN619" s="23"/>
      <c r="EO619" s="23"/>
      <c r="EP619" s="23"/>
      <c r="EQ619" s="23"/>
      <c r="ER619" s="23"/>
      <c r="ES619" s="23"/>
      <c r="ET619" s="23"/>
      <c r="EU619" s="23"/>
      <c r="EV619" s="23"/>
      <c r="EW619" s="23"/>
      <c r="EX619" s="23"/>
      <c r="EY619" s="23"/>
      <c r="EZ619" s="23"/>
      <c r="FA619" s="23"/>
      <c r="FB619" s="23"/>
      <c r="FC619" s="23"/>
      <c r="FD619" s="23"/>
      <c r="FE619" s="23"/>
      <c r="FF619" s="23"/>
      <c r="FG619" s="23"/>
      <c r="FH619" s="23"/>
      <c r="FI619" s="23"/>
      <c r="FJ619" s="23"/>
      <c r="FK619" s="23"/>
      <c r="FL619" s="23"/>
      <c r="FM619" s="23"/>
      <c r="FN619" s="23"/>
      <c r="FO619" s="23"/>
      <c r="FP619" s="23"/>
      <c r="FQ619" s="23"/>
      <c r="FR619" s="23"/>
      <c r="FS619" s="23"/>
      <c r="FT619" s="23"/>
      <c r="FU619" s="23"/>
      <c r="FV619" s="23"/>
      <c r="FW619" s="23"/>
      <c r="FX619" s="23"/>
      <c r="FY619" s="23"/>
      <c r="FZ619" s="23"/>
      <c r="GA619" s="23"/>
      <c r="GB619" s="23"/>
      <c r="GC619" s="23"/>
      <c r="GD619" s="23"/>
      <c r="GE619" s="23"/>
      <c r="GF619" s="23"/>
      <c r="GG619" s="23"/>
      <c r="GH619" s="23"/>
      <c r="GI619" s="23"/>
      <c r="GJ619" s="23"/>
      <c r="GK619" s="23"/>
      <c r="GL619" s="23"/>
    </row>
    <row r="620" spans="1:194" ht="13">
      <c r="A620" s="23"/>
      <c r="B620" s="23"/>
      <c r="C620" s="23"/>
      <c r="D620" s="23"/>
      <c r="E620" s="23"/>
      <c r="F620" s="23"/>
      <c r="G620" s="23"/>
      <c r="H620" s="401"/>
      <c r="I620" s="401"/>
      <c r="J620" s="401"/>
      <c r="K620" s="401"/>
      <c r="L620" s="401"/>
      <c r="M620" s="438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  <c r="AL620" s="23"/>
      <c r="AM620" s="23"/>
      <c r="AN620" s="23"/>
      <c r="AO620" s="23"/>
      <c r="AP620" s="23"/>
      <c r="AQ620" s="23"/>
      <c r="AR620" s="23"/>
      <c r="AS620" s="23"/>
      <c r="AT620" s="23"/>
      <c r="AU620" s="23"/>
      <c r="AV620" s="23"/>
      <c r="AW620" s="23"/>
      <c r="AX620" s="23"/>
      <c r="AY620" s="23"/>
      <c r="AZ620" s="23"/>
      <c r="BA620" s="23"/>
      <c r="BB620" s="23"/>
      <c r="BC620" s="23"/>
      <c r="BD620" s="23"/>
      <c r="BE620" s="23"/>
      <c r="BF620" s="23"/>
      <c r="BG620" s="23"/>
      <c r="BH620" s="23"/>
      <c r="BI620" s="23"/>
      <c r="BJ620" s="23"/>
      <c r="BK620" s="23"/>
      <c r="BL620" s="23"/>
      <c r="BM620" s="23"/>
      <c r="BN620" s="23"/>
      <c r="BO620" s="23"/>
      <c r="BP620" s="23"/>
      <c r="BQ620" s="23"/>
      <c r="BR620" s="23"/>
      <c r="BS620" s="23"/>
      <c r="BT620" s="23"/>
      <c r="BU620" s="23"/>
      <c r="BV620" s="23"/>
      <c r="BW620" s="23"/>
      <c r="BX620" s="23"/>
      <c r="BY620" s="23"/>
      <c r="BZ620" s="23"/>
      <c r="CA620" s="23"/>
      <c r="CB620" s="23"/>
      <c r="CC620" s="23"/>
      <c r="CD620" s="23"/>
      <c r="CE620" s="23"/>
      <c r="CF620" s="23"/>
      <c r="CG620" s="23"/>
      <c r="CH620" s="23"/>
      <c r="CI620" s="23"/>
      <c r="CJ620" s="23"/>
      <c r="CK620" s="23"/>
      <c r="CL620" s="23"/>
      <c r="CM620" s="23"/>
      <c r="CN620" s="23"/>
      <c r="CO620" s="23"/>
      <c r="CP620" s="23"/>
      <c r="CQ620" s="23"/>
      <c r="CR620" s="23"/>
      <c r="CS620" s="23"/>
      <c r="CT620" s="23"/>
      <c r="CU620" s="23"/>
      <c r="CV620" s="23"/>
      <c r="CW620" s="23"/>
      <c r="CX620" s="23"/>
      <c r="CY620" s="23"/>
      <c r="CZ620" s="23"/>
      <c r="DA620" s="23"/>
      <c r="DB620" s="23"/>
      <c r="DC620" s="23"/>
      <c r="DD620" s="23"/>
      <c r="DE620" s="23"/>
      <c r="DF620" s="23"/>
      <c r="DG620" s="23"/>
      <c r="DH620" s="23"/>
      <c r="DI620" s="23"/>
      <c r="DJ620" s="23"/>
      <c r="DK620" s="23"/>
      <c r="DL620" s="23"/>
      <c r="DM620" s="23"/>
      <c r="DN620" s="23"/>
      <c r="DO620" s="23"/>
      <c r="DP620" s="23"/>
      <c r="DQ620" s="23"/>
      <c r="DR620" s="23"/>
      <c r="DS620" s="23"/>
      <c r="DT620" s="23"/>
      <c r="DU620" s="23"/>
      <c r="DV620" s="23"/>
      <c r="DW620" s="23"/>
      <c r="DX620" s="23"/>
      <c r="DY620" s="23"/>
      <c r="DZ620" s="23"/>
      <c r="EA620" s="23"/>
      <c r="EB620" s="23"/>
      <c r="EC620" s="23"/>
      <c r="ED620" s="23"/>
      <c r="EE620" s="23"/>
      <c r="EF620" s="23"/>
      <c r="EG620" s="23"/>
      <c r="EH620" s="23"/>
      <c r="EI620" s="23"/>
      <c r="EJ620" s="23"/>
      <c r="EK620" s="23"/>
      <c r="EL620" s="23"/>
      <c r="EM620" s="23"/>
      <c r="EN620" s="23"/>
      <c r="EO620" s="23"/>
      <c r="EP620" s="23"/>
      <c r="EQ620" s="23"/>
      <c r="ER620" s="23"/>
      <c r="ES620" s="23"/>
      <c r="ET620" s="23"/>
      <c r="EU620" s="23"/>
      <c r="EV620" s="23"/>
      <c r="EW620" s="23"/>
      <c r="EX620" s="23"/>
      <c r="EY620" s="23"/>
      <c r="EZ620" s="23"/>
      <c r="FA620" s="23"/>
      <c r="FB620" s="23"/>
      <c r="FC620" s="23"/>
      <c r="FD620" s="23"/>
      <c r="FE620" s="23"/>
      <c r="FF620" s="23"/>
      <c r="FG620" s="23"/>
      <c r="FH620" s="23"/>
      <c r="FI620" s="23"/>
      <c r="FJ620" s="23"/>
      <c r="FK620" s="23"/>
      <c r="FL620" s="23"/>
      <c r="FM620" s="23"/>
      <c r="FN620" s="23"/>
      <c r="FO620" s="23"/>
      <c r="FP620" s="23"/>
      <c r="FQ620" s="23"/>
      <c r="FR620" s="23"/>
      <c r="FS620" s="23"/>
      <c r="FT620" s="23"/>
      <c r="FU620" s="23"/>
      <c r="FV620" s="23"/>
      <c r="FW620" s="23"/>
      <c r="FX620" s="23"/>
      <c r="FY620" s="23"/>
      <c r="FZ620" s="23"/>
      <c r="GA620" s="23"/>
      <c r="GB620" s="23"/>
      <c r="GC620" s="23"/>
      <c r="GD620" s="23"/>
      <c r="GE620" s="23"/>
      <c r="GF620" s="23"/>
      <c r="GG620" s="23"/>
      <c r="GH620" s="23"/>
      <c r="GI620" s="23"/>
      <c r="GJ620" s="23"/>
      <c r="GK620" s="23"/>
      <c r="GL620" s="23"/>
    </row>
    <row r="621" spans="1:194" ht="13">
      <c r="A621" s="23"/>
      <c r="B621" s="23"/>
      <c r="C621" s="23"/>
      <c r="D621" s="23"/>
      <c r="E621" s="23"/>
      <c r="F621" s="23"/>
      <c r="G621" s="23"/>
      <c r="H621" s="401"/>
      <c r="I621" s="401"/>
      <c r="J621" s="401"/>
      <c r="K621" s="401"/>
      <c r="L621" s="401"/>
      <c r="M621" s="438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  <c r="AL621" s="23"/>
      <c r="AM621" s="23"/>
      <c r="AN621" s="23"/>
      <c r="AO621" s="23"/>
      <c r="AP621" s="23"/>
      <c r="AQ621" s="23"/>
      <c r="AR621" s="23"/>
      <c r="AS621" s="23"/>
      <c r="AT621" s="23"/>
      <c r="AU621" s="23"/>
      <c r="AV621" s="23"/>
      <c r="AW621" s="23"/>
      <c r="AX621" s="23"/>
      <c r="AY621" s="23"/>
      <c r="AZ621" s="23"/>
      <c r="BA621" s="23"/>
      <c r="BB621" s="23"/>
      <c r="BC621" s="23"/>
      <c r="BD621" s="23"/>
      <c r="BE621" s="23"/>
      <c r="BF621" s="23"/>
      <c r="BG621" s="23"/>
      <c r="BH621" s="23"/>
      <c r="BI621" s="23"/>
      <c r="BJ621" s="23"/>
      <c r="BK621" s="23"/>
      <c r="BL621" s="23"/>
      <c r="BM621" s="23"/>
      <c r="BN621" s="23"/>
      <c r="BO621" s="23"/>
      <c r="BP621" s="23"/>
      <c r="BQ621" s="23"/>
      <c r="BR621" s="23"/>
      <c r="BS621" s="23"/>
      <c r="BT621" s="23"/>
      <c r="BU621" s="23"/>
      <c r="BV621" s="23"/>
      <c r="BW621" s="23"/>
      <c r="BX621" s="23"/>
      <c r="BY621" s="23"/>
      <c r="BZ621" s="23"/>
      <c r="CA621" s="23"/>
      <c r="CB621" s="23"/>
      <c r="CC621" s="23"/>
      <c r="CD621" s="23"/>
      <c r="CE621" s="23"/>
      <c r="CF621" s="23"/>
      <c r="CG621" s="23"/>
      <c r="CH621" s="23"/>
      <c r="CI621" s="23"/>
      <c r="CJ621" s="23"/>
      <c r="CK621" s="23"/>
      <c r="CL621" s="23"/>
      <c r="CM621" s="23"/>
      <c r="CN621" s="23"/>
      <c r="CO621" s="23"/>
      <c r="CP621" s="23"/>
      <c r="CQ621" s="23"/>
      <c r="CR621" s="23"/>
      <c r="CS621" s="23"/>
      <c r="CT621" s="23"/>
      <c r="CU621" s="23"/>
      <c r="CV621" s="23"/>
      <c r="CW621" s="23"/>
      <c r="CX621" s="23"/>
      <c r="CY621" s="23"/>
      <c r="CZ621" s="23"/>
      <c r="DA621" s="23"/>
      <c r="DB621" s="23"/>
      <c r="DC621" s="23"/>
      <c r="DD621" s="23"/>
      <c r="DE621" s="23"/>
      <c r="DF621" s="23"/>
      <c r="DG621" s="23"/>
      <c r="DH621" s="23"/>
      <c r="DI621" s="23"/>
      <c r="DJ621" s="23"/>
      <c r="DK621" s="23"/>
      <c r="DL621" s="23"/>
      <c r="DM621" s="23"/>
      <c r="DN621" s="23"/>
      <c r="DO621" s="23"/>
      <c r="DP621" s="23"/>
      <c r="DQ621" s="23"/>
      <c r="DR621" s="23"/>
      <c r="DS621" s="23"/>
      <c r="DT621" s="23"/>
      <c r="DU621" s="23"/>
      <c r="DV621" s="23"/>
      <c r="DW621" s="23"/>
      <c r="DX621" s="23"/>
      <c r="DY621" s="23"/>
      <c r="DZ621" s="23"/>
      <c r="EA621" s="23"/>
      <c r="EB621" s="23"/>
      <c r="EC621" s="23"/>
      <c r="ED621" s="23"/>
      <c r="EE621" s="23"/>
      <c r="EF621" s="23"/>
      <c r="EG621" s="23"/>
      <c r="EH621" s="23"/>
      <c r="EI621" s="23"/>
      <c r="EJ621" s="23"/>
      <c r="EK621" s="23"/>
      <c r="EL621" s="23"/>
      <c r="EM621" s="23"/>
      <c r="EN621" s="23"/>
      <c r="EO621" s="23"/>
      <c r="EP621" s="23"/>
      <c r="EQ621" s="23"/>
      <c r="ER621" s="23"/>
      <c r="ES621" s="23"/>
      <c r="ET621" s="23"/>
      <c r="EU621" s="23"/>
      <c r="EV621" s="23"/>
      <c r="EW621" s="23"/>
      <c r="EX621" s="23"/>
      <c r="EY621" s="23"/>
      <c r="EZ621" s="23"/>
      <c r="FA621" s="23"/>
      <c r="FB621" s="23"/>
      <c r="FC621" s="23"/>
      <c r="FD621" s="23"/>
      <c r="FE621" s="23"/>
      <c r="FF621" s="23"/>
      <c r="FG621" s="23"/>
      <c r="FH621" s="23"/>
      <c r="FI621" s="23"/>
      <c r="FJ621" s="23"/>
      <c r="FK621" s="23"/>
      <c r="FL621" s="23"/>
      <c r="FM621" s="23"/>
      <c r="FN621" s="23"/>
      <c r="FO621" s="23"/>
      <c r="FP621" s="23"/>
      <c r="FQ621" s="23"/>
      <c r="FR621" s="23"/>
      <c r="FS621" s="23"/>
      <c r="FT621" s="23"/>
      <c r="FU621" s="23"/>
      <c r="FV621" s="23"/>
      <c r="FW621" s="23"/>
      <c r="FX621" s="23"/>
      <c r="FY621" s="23"/>
      <c r="FZ621" s="23"/>
      <c r="GA621" s="23"/>
      <c r="GB621" s="23"/>
      <c r="GC621" s="23"/>
      <c r="GD621" s="23"/>
      <c r="GE621" s="23"/>
      <c r="GF621" s="23"/>
      <c r="GG621" s="23"/>
      <c r="GH621" s="23"/>
      <c r="GI621" s="23"/>
      <c r="GJ621" s="23"/>
      <c r="GK621" s="23"/>
      <c r="GL621" s="23"/>
    </row>
    <row r="622" spans="1:194" ht="13">
      <c r="A622" s="23"/>
      <c r="B622" s="23"/>
      <c r="C622" s="23"/>
      <c r="D622" s="23"/>
      <c r="E622" s="23"/>
      <c r="F622" s="23"/>
      <c r="G622" s="23"/>
      <c r="H622" s="401"/>
      <c r="I622" s="401"/>
      <c r="J622" s="401"/>
      <c r="K622" s="401"/>
      <c r="L622" s="401"/>
      <c r="M622" s="438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  <c r="AL622" s="23"/>
      <c r="AM622" s="23"/>
      <c r="AN622" s="23"/>
      <c r="AO622" s="23"/>
      <c r="AP622" s="23"/>
      <c r="AQ622" s="23"/>
      <c r="AR622" s="23"/>
      <c r="AS622" s="23"/>
      <c r="AT622" s="23"/>
      <c r="AU622" s="23"/>
      <c r="AV622" s="23"/>
      <c r="AW622" s="23"/>
      <c r="AX622" s="23"/>
      <c r="AY622" s="23"/>
      <c r="AZ622" s="23"/>
      <c r="BA622" s="23"/>
      <c r="BB622" s="23"/>
      <c r="BC622" s="23"/>
      <c r="BD622" s="23"/>
      <c r="BE622" s="23"/>
      <c r="BF622" s="23"/>
      <c r="BG622" s="23"/>
      <c r="BH622" s="23"/>
      <c r="BI622" s="23"/>
      <c r="BJ622" s="23"/>
      <c r="BK622" s="23"/>
      <c r="BL622" s="23"/>
      <c r="BM622" s="23"/>
      <c r="BN622" s="23"/>
      <c r="BO622" s="23"/>
      <c r="BP622" s="23"/>
      <c r="BQ622" s="23"/>
      <c r="BR622" s="23"/>
      <c r="BS622" s="23"/>
      <c r="BT622" s="23"/>
      <c r="BU622" s="23"/>
      <c r="BV622" s="23"/>
      <c r="BW622" s="23"/>
      <c r="BX622" s="23"/>
      <c r="BY622" s="23"/>
      <c r="BZ622" s="23"/>
      <c r="CA622" s="23"/>
      <c r="CB622" s="23"/>
      <c r="CC622" s="23"/>
      <c r="CD622" s="23"/>
      <c r="CE622" s="23"/>
      <c r="CF622" s="23"/>
      <c r="CG622" s="23"/>
      <c r="CH622" s="23"/>
      <c r="CI622" s="23"/>
      <c r="CJ622" s="23"/>
      <c r="CK622" s="23"/>
      <c r="CL622" s="23"/>
      <c r="CM622" s="23"/>
      <c r="CN622" s="23"/>
      <c r="CO622" s="23"/>
      <c r="CP622" s="23"/>
      <c r="CQ622" s="23"/>
      <c r="CR622" s="23"/>
      <c r="CS622" s="23"/>
      <c r="CT622" s="23"/>
      <c r="CU622" s="23"/>
      <c r="CV622" s="23"/>
      <c r="CW622" s="23"/>
      <c r="CX622" s="23"/>
      <c r="CY622" s="23"/>
      <c r="CZ622" s="23"/>
      <c r="DA622" s="23"/>
      <c r="DB622" s="23"/>
      <c r="DC622" s="23"/>
      <c r="DD622" s="23"/>
      <c r="DE622" s="23"/>
      <c r="DF622" s="23"/>
      <c r="DG622" s="23"/>
      <c r="DH622" s="23"/>
      <c r="DI622" s="23"/>
      <c r="DJ622" s="23"/>
      <c r="DK622" s="23"/>
      <c r="DL622" s="23"/>
      <c r="DM622" s="23"/>
      <c r="DN622" s="23"/>
      <c r="DO622" s="23"/>
      <c r="DP622" s="23"/>
      <c r="DQ622" s="23"/>
      <c r="DR622" s="23"/>
      <c r="DS622" s="23"/>
      <c r="DT622" s="23"/>
      <c r="DU622" s="23"/>
      <c r="DV622" s="23"/>
      <c r="DW622" s="23"/>
      <c r="DX622" s="23"/>
      <c r="DY622" s="23"/>
      <c r="DZ622" s="23"/>
      <c r="EA622" s="23"/>
      <c r="EB622" s="23"/>
      <c r="EC622" s="23"/>
      <c r="ED622" s="23"/>
      <c r="EE622" s="23"/>
      <c r="EF622" s="23"/>
      <c r="EG622" s="23"/>
      <c r="EH622" s="23"/>
      <c r="EI622" s="23"/>
      <c r="EJ622" s="23"/>
      <c r="EK622" s="23"/>
      <c r="EL622" s="23"/>
      <c r="EM622" s="23"/>
      <c r="EN622" s="23"/>
      <c r="EO622" s="23"/>
      <c r="EP622" s="23"/>
      <c r="EQ622" s="23"/>
      <c r="ER622" s="23"/>
      <c r="ES622" s="23"/>
      <c r="ET622" s="23"/>
      <c r="EU622" s="23"/>
      <c r="EV622" s="23"/>
      <c r="EW622" s="23"/>
      <c r="EX622" s="23"/>
      <c r="EY622" s="23"/>
      <c r="EZ622" s="23"/>
      <c r="FA622" s="23"/>
      <c r="FB622" s="23"/>
      <c r="FC622" s="23"/>
      <c r="FD622" s="23"/>
      <c r="FE622" s="23"/>
      <c r="FF622" s="23"/>
      <c r="FG622" s="23"/>
      <c r="FH622" s="23"/>
      <c r="FI622" s="23"/>
      <c r="FJ622" s="23"/>
      <c r="FK622" s="23"/>
      <c r="FL622" s="23"/>
      <c r="FM622" s="23"/>
      <c r="FN622" s="23"/>
      <c r="FO622" s="23"/>
      <c r="FP622" s="23"/>
      <c r="FQ622" s="23"/>
      <c r="FR622" s="23"/>
      <c r="FS622" s="23"/>
      <c r="FT622" s="23"/>
      <c r="FU622" s="23"/>
      <c r="FV622" s="23"/>
      <c r="FW622" s="23"/>
      <c r="FX622" s="23"/>
      <c r="FY622" s="23"/>
      <c r="FZ622" s="23"/>
      <c r="GA622" s="23"/>
      <c r="GB622" s="23"/>
      <c r="GC622" s="23"/>
      <c r="GD622" s="23"/>
      <c r="GE622" s="23"/>
      <c r="GF622" s="23"/>
      <c r="GG622" s="23"/>
      <c r="GH622" s="23"/>
      <c r="GI622" s="23"/>
      <c r="GJ622" s="23"/>
      <c r="GK622" s="23"/>
      <c r="GL622" s="23"/>
    </row>
    <row r="623" spans="1:194" ht="13">
      <c r="A623" s="23"/>
      <c r="B623" s="23"/>
      <c r="C623" s="23"/>
      <c r="D623" s="23"/>
      <c r="E623" s="23"/>
      <c r="F623" s="23"/>
      <c r="G623" s="23"/>
      <c r="H623" s="401"/>
      <c r="I623" s="401"/>
      <c r="J623" s="401"/>
      <c r="K623" s="401"/>
      <c r="L623" s="401"/>
      <c r="M623" s="438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  <c r="AL623" s="23"/>
      <c r="AM623" s="23"/>
      <c r="AN623" s="23"/>
      <c r="AO623" s="23"/>
      <c r="AP623" s="23"/>
      <c r="AQ623" s="23"/>
      <c r="AR623" s="23"/>
      <c r="AS623" s="23"/>
      <c r="AT623" s="23"/>
      <c r="AU623" s="23"/>
      <c r="AV623" s="23"/>
      <c r="AW623" s="23"/>
      <c r="AX623" s="23"/>
      <c r="AY623" s="23"/>
      <c r="AZ623" s="23"/>
      <c r="BA623" s="23"/>
      <c r="BB623" s="23"/>
      <c r="BC623" s="23"/>
      <c r="BD623" s="23"/>
      <c r="BE623" s="23"/>
      <c r="BF623" s="23"/>
      <c r="BG623" s="23"/>
      <c r="BH623" s="23"/>
      <c r="BI623" s="23"/>
      <c r="BJ623" s="23"/>
      <c r="BK623" s="23"/>
      <c r="BL623" s="23"/>
      <c r="BM623" s="23"/>
      <c r="BN623" s="23"/>
      <c r="BO623" s="23"/>
      <c r="BP623" s="23"/>
      <c r="BQ623" s="23"/>
      <c r="BR623" s="23"/>
      <c r="BS623" s="23"/>
      <c r="BT623" s="23"/>
      <c r="BU623" s="23"/>
      <c r="BV623" s="23"/>
      <c r="BW623" s="23"/>
      <c r="BX623" s="23"/>
      <c r="BY623" s="23"/>
      <c r="BZ623" s="23"/>
      <c r="CA623" s="23"/>
      <c r="CB623" s="23"/>
      <c r="CC623" s="23"/>
      <c r="CD623" s="23"/>
      <c r="CE623" s="23"/>
      <c r="CF623" s="23"/>
      <c r="CG623" s="23"/>
      <c r="CH623" s="23"/>
      <c r="CI623" s="23"/>
      <c r="CJ623" s="23"/>
      <c r="CK623" s="23"/>
      <c r="CL623" s="23"/>
      <c r="CM623" s="23"/>
      <c r="CN623" s="23"/>
      <c r="CO623" s="23"/>
      <c r="CP623" s="23"/>
      <c r="CQ623" s="23"/>
      <c r="CR623" s="23"/>
      <c r="CS623" s="23"/>
      <c r="CT623" s="23"/>
      <c r="CU623" s="23"/>
      <c r="CV623" s="23"/>
      <c r="CW623" s="23"/>
      <c r="CX623" s="23"/>
      <c r="CY623" s="23"/>
      <c r="CZ623" s="23"/>
      <c r="DA623" s="23"/>
      <c r="DB623" s="23"/>
      <c r="DC623" s="23"/>
      <c r="DD623" s="23"/>
      <c r="DE623" s="23"/>
      <c r="DF623" s="23"/>
      <c r="DG623" s="23"/>
      <c r="DH623" s="23"/>
      <c r="DI623" s="23"/>
      <c r="DJ623" s="23"/>
      <c r="DK623" s="23"/>
      <c r="DL623" s="23"/>
      <c r="DM623" s="23"/>
      <c r="DN623" s="23"/>
      <c r="DO623" s="23"/>
      <c r="DP623" s="23"/>
      <c r="DQ623" s="23"/>
      <c r="DR623" s="23"/>
      <c r="DS623" s="23"/>
      <c r="DT623" s="23"/>
      <c r="DU623" s="23"/>
      <c r="DV623" s="23"/>
      <c r="DW623" s="23"/>
      <c r="DX623" s="23"/>
      <c r="DY623" s="23"/>
      <c r="DZ623" s="23"/>
      <c r="EA623" s="23"/>
      <c r="EB623" s="23"/>
      <c r="EC623" s="23"/>
      <c r="ED623" s="23"/>
      <c r="EE623" s="23"/>
      <c r="EF623" s="23"/>
      <c r="EG623" s="23"/>
      <c r="EH623" s="23"/>
      <c r="EI623" s="23"/>
      <c r="EJ623" s="23"/>
      <c r="EK623" s="23"/>
      <c r="EL623" s="23"/>
      <c r="EM623" s="23"/>
      <c r="EN623" s="23"/>
      <c r="EO623" s="23"/>
      <c r="EP623" s="23"/>
      <c r="EQ623" s="23"/>
      <c r="ER623" s="23"/>
      <c r="ES623" s="23"/>
      <c r="ET623" s="23"/>
      <c r="EU623" s="23"/>
      <c r="EV623" s="23"/>
      <c r="EW623" s="23"/>
      <c r="EX623" s="23"/>
      <c r="EY623" s="23"/>
      <c r="EZ623" s="23"/>
      <c r="FA623" s="23"/>
      <c r="FB623" s="23"/>
      <c r="FC623" s="23"/>
      <c r="FD623" s="23"/>
      <c r="FE623" s="23"/>
      <c r="FF623" s="23"/>
      <c r="FG623" s="23"/>
      <c r="FH623" s="23"/>
      <c r="FI623" s="23"/>
      <c r="FJ623" s="23"/>
      <c r="FK623" s="23"/>
      <c r="FL623" s="23"/>
      <c r="FM623" s="23"/>
      <c r="FN623" s="23"/>
      <c r="FO623" s="23"/>
      <c r="FP623" s="23"/>
      <c r="FQ623" s="23"/>
      <c r="FR623" s="23"/>
      <c r="FS623" s="23"/>
      <c r="FT623" s="23"/>
      <c r="FU623" s="23"/>
      <c r="FV623" s="23"/>
      <c r="FW623" s="23"/>
      <c r="FX623" s="23"/>
      <c r="FY623" s="23"/>
      <c r="FZ623" s="23"/>
      <c r="GA623" s="23"/>
      <c r="GB623" s="23"/>
      <c r="GC623" s="23"/>
      <c r="GD623" s="23"/>
      <c r="GE623" s="23"/>
      <c r="GF623" s="23"/>
      <c r="GG623" s="23"/>
      <c r="GH623" s="23"/>
      <c r="GI623" s="23"/>
      <c r="GJ623" s="23"/>
      <c r="GK623" s="23"/>
      <c r="GL623" s="23"/>
    </row>
    <row r="624" spans="1:194" ht="13">
      <c r="A624" s="23"/>
      <c r="B624" s="23"/>
      <c r="C624" s="23"/>
      <c r="D624" s="23"/>
      <c r="E624" s="23"/>
      <c r="F624" s="23"/>
      <c r="G624" s="23"/>
      <c r="H624" s="401"/>
      <c r="I624" s="401"/>
      <c r="J624" s="401"/>
      <c r="K624" s="401"/>
      <c r="L624" s="401"/>
      <c r="M624" s="438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  <c r="AL624" s="23"/>
      <c r="AM624" s="23"/>
      <c r="AN624" s="23"/>
      <c r="AO624" s="23"/>
      <c r="AP624" s="23"/>
      <c r="AQ624" s="23"/>
      <c r="AR624" s="23"/>
      <c r="AS624" s="23"/>
      <c r="AT624" s="23"/>
      <c r="AU624" s="23"/>
      <c r="AV624" s="23"/>
      <c r="AW624" s="23"/>
      <c r="AX624" s="23"/>
      <c r="AY624" s="23"/>
      <c r="AZ624" s="23"/>
      <c r="BA624" s="23"/>
      <c r="BB624" s="23"/>
      <c r="BC624" s="23"/>
      <c r="BD624" s="23"/>
      <c r="BE624" s="23"/>
      <c r="BF624" s="23"/>
      <c r="BG624" s="23"/>
      <c r="BH624" s="23"/>
      <c r="BI624" s="23"/>
      <c r="BJ624" s="23"/>
      <c r="BK624" s="23"/>
      <c r="BL624" s="23"/>
      <c r="BM624" s="23"/>
      <c r="BN624" s="23"/>
      <c r="BO624" s="23"/>
      <c r="BP624" s="23"/>
      <c r="BQ624" s="23"/>
      <c r="BR624" s="23"/>
      <c r="BS624" s="23"/>
      <c r="BT624" s="23"/>
      <c r="BU624" s="23"/>
      <c r="BV624" s="23"/>
      <c r="BW624" s="23"/>
      <c r="BX624" s="23"/>
      <c r="BY624" s="23"/>
      <c r="BZ624" s="23"/>
      <c r="CA624" s="23"/>
      <c r="CB624" s="23"/>
      <c r="CC624" s="23"/>
      <c r="CD624" s="23"/>
      <c r="CE624" s="23"/>
      <c r="CF624" s="23"/>
      <c r="CG624" s="23"/>
      <c r="CH624" s="23"/>
      <c r="CI624" s="23"/>
      <c r="CJ624" s="23"/>
      <c r="CK624" s="23"/>
      <c r="CL624" s="23"/>
      <c r="CM624" s="23"/>
      <c r="CN624" s="23"/>
      <c r="CO624" s="23"/>
      <c r="CP624" s="23"/>
      <c r="CQ624" s="23"/>
      <c r="CR624" s="23"/>
      <c r="CS624" s="23"/>
      <c r="CT624" s="23"/>
      <c r="CU624" s="23"/>
      <c r="CV624" s="23"/>
      <c r="CW624" s="23"/>
      <c r="CX624" s="23"/>
      <c r="CY624" s="23"/>
      <c r="CZ624" s="23"/>
      <c r="DA624" s="23"/>
      <c r="DB624" s="23"/>
      <c r="DC624" s="23"/>
      <c r="DD624" s="23"/>
      <c r="DE624" s="23"/>
      <c r="DF624" s="23"/>
      <c r="DG624" s="23"/>
      <c r="DH624" s="23"/>
      <c r="DI624" s="23"/>
      <c r="DJ624" s="23"/>
      <c r="DK624" s="23"/>
      <c r="DL624" s="23"/>
      <c r="DM624" s="23"/>
      <c r="DN624" s="23"/>
      <c r="DO624" s="23"/>
      <c r="DP624" s="23"/>
      <c r="DQ624" s="23"/>
      <c r="DR624" s="23"/>
      <c r="DS624" s="23"/>
      <c r="DT624" s="23"/>
      <c r="DU624" s="23"/>
      <c r="DV624" s="23"/>
      <c r="DW624" s="23"/>
      <c r="DX624" s="23"/>
      <c r="DY624" s="23"/>
      <c r="DZ624" s="23"/>
      <c r="EA624" s="23"/>
      <c r="EB624" s="23"/>
      <c r="EC624" s="23"/>
      <c r="ED624" s="23"/>
      <c r="EE624" s="23"/>
      <c r="EF624" s="23"/>
      <c r="EG624" s="23"/>
      <c r="EH624" s="23"/>
      <c r="EI624" s="23"/>
      <c r="EJ624" s="23"/>
      <c r="EK624" s="23"/>
      <c r="EL624" s="23"/>
      <c r="EM624" s="23"/>
      <c r="EN624" s="23"/>
      <c r="EO624" s="23"/>
      <c r="EP624" s="23"/>
      <c r="EQ624" s="23"/>
      <c r="ER624" s="23"/>
      <c r="ES624" s="23"/>
      <c r="ET624" s="23"/>
      <c r="EU624" s="23"/>
      <c r="EV624" s="23"/>
      <c r="EW624" s="23"/>
      <c r="EX624" s="23"/>
      <c r="EY624" s="23"/>
      <c r="EZ624" s="23"/>
      <c r="FA624" s="23"/>
      <c r="FB624" s="23"/>
      <c r="FC624" s="23"/>
      <c r="FD624" s="23"/>
      <c r="FE624" s="23"/>
      <c r="FF624" s="23"/>
      <c r="FG624" s="23"/>
      <c r="FH624" s="23"/>
      <c r="FI624" s="23"/>
      <c r="FJ624" s="23"/>
      <c r="FK624" s="23"/>
      <c r="FL624" s="23"/>
      <c r="FM624" s="23"/>
      <c r="FN624" s="23"/>
      <c r="FO624" s="23"/>
      <c r="FP624" s="23"/>
      <c r="FQ624" s="23"/>
      <c r="FR624" s="23"/>
      <c r="FS624" s="23"/>
      <c r="FT624" s="23"/>
      <c r="FU624" s="23"/>
      <c r="FV624" s="23"/>
      <c r="FW624" s="23"/>
      <c r="FX624" s="23"/>
      <c r="FY624" s="23"/>
      <c r="FZ624" s="23"/>
      <c r="GA624" s="23"/>
      <c r="GB624" s="23"/>
      <c r="GC624" s="23"/>
      <c r="GD624" s="23"/>
      <c r="GE624" s="23"/>
      <c r="GF624" s="23"/>
      <c r="GG624" s="23"/>
      <c r="GH624" s="23"/>
      <c r="GI624" s="23"/>
      <c r="GJ624" s="23"/>
      <c r="GK624" s="23"/>
      <c r="GL624" s="23"/>
    </row>
    <row r="625" spans="1:194" ht="13">
      <c r="A625" s="23"/>
      <c r="B625" s="23"/>
      <c r="C625" s="23"/>
      <c r="D625" s="23"/>
      <c r="E625" s="23"/>
      <c r="F625" s="23"/>
      <c r="G625" s="23"/>
      <c r="H625" s="401"/>
      <c r="I625" s="401"/>
      <c r="J625" s="401"/>
      <c r="K625" s="401"/>
      <c r="L625" s="401"/>
      <c r="M625" s="438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  <c r="AL625" s="23"/>
      <c r="AM625" s="23"/>
      <c r="AN625" s="23"/>
      <c r="AO625" s="23"/>
      <c r="AP625" s="23"/>
      <c r="AQ625" s="23"/>
      <c r="AR625" s="23"/>
      <c r="AS625" s="23"/>
      <c r="AT625" s="23"/>
      <c r="AU625" s="23"/>
      <c r="AV625" s="23"/>
      <c r="AW625" s="23"/>
      <c r="AX625" s="23"/>
      <c r="AY625" s="23"/>
      <c r="AZ625" s="23"/>
      <c r="BA625" s="23"/>
      <c r="BB625" s="23"/>
      <c r="BC625" s="23"/>
      <c r="BD625" s="23"/>
      <c r="BE625" s="23"/>
      <c r="BF625" s="23"/>
      <c r="BG625" s="23"/>
      <c r="BH625" s="23"/>
      <c r="BI625" s="23"/>
      <c r="BJ625" s="23"/>
      <c r="BK625" s="23"/>
      <c r="BL625" s="23"/>
      <c r="BM625" s="23"/>
      <c r="BN625" s="23"/>
      <c r="BO625" s="23"/>
      <c r="BP625" s="23"/>
      <c r="BQ625" s="23"/>
      <c r="BR625" s="23"/>
      <c r="BS625" s="23"/>
      <c r="BT625" s="23"/>
      <c r="BU625" s="23"/>
      <c r="BV625" s="23"/>
      <c r="BW625" s="23"/>
      <c r="BX625" s="23"/>
      <c r="BY625" s="23"/>
      <c r="BZ625" s="23"/>
      <c r="CA625" s="23"/>
      <c r="CB625" s="23"/>
      <c r="CC625" s="23"/>
      <c r="CD625" s="23"/>
      <c r="CE625" s="23"/>
      <c r="CF625" s="23"/>
      <c r="CG625" s="23"/>
      <c r="CH625" s="23"/>
      <c r="CI625" s="23"/>
      <c r="CJ625" s="23"/>
      <c r="CK625" s="23"/>
      <c r="CL625" s="23"/>
      <c r="CM625" s="23"/>
      <c r="CN625" s="23"/>
      <c r="CO625" s="23"/>
      <c r="CP625" s="23"/>
      <c r="CQ625" s="23"/>
      <c r="CR625" s="23"/>
      <c r="CS625" s="23"/>
      <c r="CT625" s="23"/>
      <c r="CU625" s="23"/>
      <c r="CV625" s="23"/>
      <c r="CW625" s="23"/>
      <c r="CX625" s="23"/>
      <c r="CY625" s="23"/>
      <c r="CZ625" s="23"/>
      <c r="DA625" s="23"/>
      <c r="DB625" s="23"/>
      <c r="DC625" s="23"/>
      <c r="DD625" s="23"/>
      <c r="DE625" s="23"/>
      <c r="DF625" s="23"/>
      <c r="DG625" s="23"/>
      <c r="DH625" s="23"/>
      <c r="DI625" s="23"/>
      <c r="DJ625" s="23"/>
      <c r="DK625" s="23"/>
      <c r="DL625" s="23"/>
      <c r="DM625" s="23"/>
      <c r="DN625" s="23"/>
      <c r="DO625" s="23"/>
      <c r="DP625" s="23"/>
      <c r="DQ625" s="23"/>
      <c r="DR625" s="23"/>
      <c r="DS625" s="23"/>
      <c r="DT625" s="23"/>
      <c r="DU625" s="23"/>
      <c r="DV625" s="23"/>
      <c r="DW625" s="23"/>
      <c r="DX625" s="23"/>
      <c r="DY625" s="23"/>
      <c r="DZ625" s="23"/>
      <c r="EA625" s="23"/>
      <c r="EB625" s="23"/>
      <c r="EC625" s="23"/>
      <c r="ED625" s="23"/>
      <c r="EE625" s="23"/>
      <c r="EF625" s="23"/>
      <c r="EG625" s="23"/>
      <c r="EH625" s="23"/>
      <c r="EI625" s="23"/>
      <c r="EJ625" s="23"/>
      <c r="EK625" s="23"/>
      <c r="EL625" s="23"/>
      <c r="EM625" s="23"/>
      <c r="EN625" s="23"/>
      <c r="EO625" s="23"/>
      <c r="EP625" s="23"/>
      <c r="EQ625" s="23"/>
      <c r="ER625" s="23"/>
      <c r="ES625" s="23"/>
      <c r="ET625" s="23"/>
      <c r="EU625" s="23"/>
      <c r="EV625" s="23"/>
      <c r="EW625" s="23"/>
      <c r="EX625" s="23"/>
      <c r="EY625" s="23"/>
      <c r="EZ625" s="23"/>
      <c r="FA625" s="23"/>
      <c r="FB625" s="23"/>
      <c r="FC625" s="23"/>
      <c r="FD625" s="23"/>
      <c r="FE625" s="23"/>
      <c r="FF625" s="23"/>
      <c r="FG625" s="23"/>
      <c r="FH625" s="23"/>
      <c r="FI625" s="23"/>
      <c r="FJ625" s="23"/>
      <c r="FK625" s="23"/>
      <c r="FL625" s="23"/>
      <c r="FM625" s="23"/>
      <c r="FN625" s="23"/>
      <c r="FO625" s="23"/>
      <c r="FP625" s="23"/>
      <c r="FQ625" s="23"/>
      <c r="FR625" s="23"/>
      <c r="FS625" s="23"/>
      <c r="FT625" s="23"/>
      <c r="FU625" s="23"/>
      <c r="FV625" s="23"/>
      <c r="FW625" s="23"/>
      <c r="FX625" s="23"/>
      <c r="FY625" s="23"/>
      <c r="FZ625" s="23"/>
      <c r="GA625" s="23"/>
      <c r="GB625" s="23"/>
      <c r="GC625" s="23"/>
      <c r="GD625" s="23"/>
      <c r="GE625" s="23"/>
      <c r="GF625" s="23"/>
      <c r="GG625" s="23"/>
      <c r="GH625" s="23"/>
      <c r="GI625" s="23"/>
      <c r="GJ625" s="23"/>
      <c r="GK625" s="23"/>
      <c r="GL625" s="23"/>
    </row>
    <row r="626" spans="1:194" ht="13">
      <c r="A626" s="23"/>
      <c r="B626" s="23"/>
      <c r="C626" s="23"/>
      <c r="D626" s="23"/>
      <c r="E626" s="23"/>
      <c r="F626" s="23"/>
      <c r="G626" s="23"/>
      <c r="H626" s="401"/>
      <c r="I626" s="401"/>
      <c r="J626" s="401"/>
      <c r="K626" s="401"/>
      <c r="L626" s="401"/>
      <c r="M626" s="438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  <c r="AL626" s="23"/>
      <c r="AM626" s="23"/>
      <c r="AN626" s="23"/>
      <c r="AO626" s="23"/>
      <c r="AP626" s="23"/>
      <c r="AQ626" s="23"/>
      <c r="AR626" s="23"/>
      <c r="AS626" s="23"/>
      <c r="AT626" s="23"/>
      <c r="AU626" s="23"/>
      <c r="AV626" s="23"/>
      <c r="AW626" s="23"/>
      <c r="AX626" s="23"/>
      <c r="AY626" s="23"/>
      <c r="AZ626" s="23"/>
      <c r="BA626" s="23"/>
      <c r="BB626" s="23"/>
      <c r="BC626" s="23"/>
      <c r="BD626" s="23"/>
      <c r="BE626" s="23"/>
      <c r="BF626" s="23"/>
      <c r="BG626" s="23"/>
      <c r="BH626" s="23"/>
      <c r="BI626" s="23"/>
      <c r="BJ626" s="23"/>
      <c r="BK626" s="23"/>
      <c r="BL626" s="23"/>
      <c r="BM626" s="23"/>
      <c r="BN626" s="23"/>
      <c r="BO626" s="23"/>
      <c r="BP626" s="23"/>
      <c r="BQ626" s="23"/>
      <c r="BR626" s="23"/>
      <c r="BS626" s="23"/>
      <c r="BT626" s="23"/>
      <c r="BU626" s="23"/>
      <c r="BV626" s="23"/>
      <c r="BW626" s="23"/>
      <c r="BX626" s="23"/>
      <c r="BY626" s="23"/>
      <c r="BZ626" s="23"/>
      <c r="CA626" s="23"/>
      <c r="CB626" s="23"/>
      <c r="CC626" s="23"/>
      <c r="CD626" s="23"/>
      <c r="CE626" s="23"/>
      <c r="CF626" s="23"/>
      <c r="CG626" s="23"/>
      <c r="CH626" s="23"/>
      <c r="CI626" s="23"/>
      <c r="CJ626" s="23"/>
      <c r="CK626" s="23"/>
      <c r="CL626" s="23"/>
      <c r="CM626" s="23"/>
      <c r="CN626" s="23"/>
      <c r="CO626" s="23"/>
      <c r="CP626" s="23"/>
      <c r="CQ626" s="23"/>
      <c r="CR626" s="23"/>
      <c r="CS626" s="23"/>
      <c r="CT626" s="23"/>
      <c r="CU626" s="23"/>
      <c r="CV626" s="23"/>
      <c r="CW626" s="23"/>
      <c r="CX626" s="23"/>
      <c r="CY626" s="23"/>
      <c r="CZ626" s="23"/>
      <c r="DA626" s="23"/>
      <c r="DB626" s="23"/>
      <c r="DC626" s="23"/>
      <c r="DD626" s="23"/>
      <c r="DE626" s="23"/>
      <c r="DF626" s="23"/>
      <c r="DG626" s="23"/>
      <c r="DH626" s="23"/>
      <c r="DI626" s="23"/>
      <c r="DJ626" s="23"/>
      <c r="DK626" s="23"/>
      <c r="DL626" s="23"/>
      <c r="DM626" s="23"/>
      <c r="DN626" s="23"/>
      <c r="DO626" s="23"/>
      <c r="DP626" s="23"/>
      <c r="DQ626" s="23"/>
      <c r="DR626" s="23"/>
      <c r="DS626" s="23"/>
      <c r="DT626" s="23"/>
      <c r="DU626" s="23"/>
      <c r="DV626" s="23"/>
      <c r="DW626" s="23"/>
      <c r="DX626" s="23"/>
      <c r="DY626" s="23"/>
      <c r="DZ626" s="23"/>
      <c r="EA626" s="23"/>
      <c r="EB626" s="23"/>
      <c r="EC626" s="23"/>
      <c r="ED626" s="23"/>
      <c r="EE626" s="23"/>
      <c r="EF626" s="23"/>
      <c r="EG626" s="23"/>
      <c r="EH626" s="23"/>
      <c r="EI626" s="23"/>
      <c r="EJ626" s="23"/>
      <c r="EK626" s="23"/>
      <c r="EL626" s="23"/>
      <c r="EM626" s="23"/>
      <c r="EN626" s="23"/>
      <c r="EO626" s="23"/>
      <c r="EP626" s="23"/>
      <c r="EQ626" s="23"/>
      <c r="ER626" s="23"/>
      <c r="ES626" s="23"/>
      <c r="ET626" s="23"/>
      <c r="EU626" s="23"/>
      <c r="EV626" s="23"/>
      <c r="EW626" s="23"/>
      <c r="EX626" s="23"/>
      <c r="EY626" s="23"/>
      <c r="EZ626" s="23"/>
      <c r="FA626" s="23"/>
      <c r="FB626" s="23"/>
      <c r="FC626" s="23"/>
      <c r="FD626" s="23"/>
      <c r="FE626" s="23"/>
      <c r="FF626" s="23"/>
      <c r="FG626" s="23"/>
      <c r="FH626" s="23"/>
      <c r="FI626" s="23"/>
      <c r="FJ626" s="23"/>
      <c r="FK626" s="23"/>
      <c r="FL626" s="23"/>
      <c r="FM626" s="23"/>
      <c r="FN626" s="23"/>
      <c r="FO626" s="23"/>
      <c r="FP626" s="23"/>
      <c r="FQ626" s="23"/>
      <c r="FR626" s="23"/>
      <c r="FS626" s="23"/>
      <c r="FT626" s="23"/>
      <c r="FU626" s="23"/>
      <c r="FV626" s="23"/>
      <c r="FW626" s="23"/>
      <c r="FX626" s="23"/>
      <c r="FY626" s="23"/>
      <c r="FZ626" s="23"/>
      <c r="GA626" s="23"/>
      <c r="GB626" s="23"/>
      <c r="GC626" s="23"/>
      <c r="GD626" s="23"/>
      <c r="GE626" s="23"/>
      <c r="GF626" s="23"/>
      <c r="GG626" s="23"/>
      <c r="GH626" s="23"/>
      <c r="GI626" s="23"/>
      <c r="GJ626" s="23"/>
      <c r="GK626" s="23"/>
      <c r="GL626" s="23"/>
    </row>
    <row r="627" spans="1:194" ht="13">
      <c r="A627" s="23"/>
      <c r="B627" s="23"/>
      <c r="C627" s="23"/>
      <c r="D627" s="23"/>
      <c r="E627" s="23"/>
      <c r="F627" s="23"/>
      <c r="G627" s="23"/>
      <c r="H627" s="401"/>
      <c r="I627" s="401"/>
      <c r="J627" s="401"/>
      <c r="K627" s="401"/>
      <c r="L627" s="401"/>
      <c r="M627" s="438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  <c r="AL627" s="23"/>
      <c r="AM627" s="23"/>
      <c r="AN627" s="23"/>
      <c r="AO627" s="23"/>
      <c r="AP627" s="23"/>
      <c r="AQ627" s="23"/>
      <c r="AR627" s="23"/>
      <c r="AS627" s="23"/>
      <c r="AT627" s="23"/>
      <c r="AU627" s="23"/>
      <c r="AV627" s="23"/>
      <c r="AW627" s="23"/>
      <c r="AX627" s="23"/>
      <c r="AY627" s="23"/>
      <c r="AZ627" s="23"/>
      <c r="BA627" s="23"/>
      <c r="BB627" s="23"/>
      <c r="BC627" s="23"/>
      <c r="BD627" s="23"/>
      <c r="BE627" s="23"/>
      <c r="BF627" s="23"/>
      <c r="BG627" s="23"/>
      <c r="BH627" s="23"/>
      <c r="BI627" s="23"/>
      <c r="BJ627" s="23"/>
      <c r="BK627" s="23"/>
      <c r="BL627" s="23"/>
      <c r="BM627" s="23"/>
      <c r="BN627" s="23"/>
      <c r="BO627" s="23"/>
      <c r="BP627" s="23"/>
      <c r="BQ627" s="23"/>
      <c r="BR627" s="23"/>
      <c r="BS627" s="23"/>
      <c r="BT627" s="23"/>
      <c r="BU627" s="23"/>
      <c r="BV627" s="23"/>
      <c r="BW627" s="23"/>
      <c r="BX627" s="23"/>
      <c r="BY627" s="23"/>
      <c r="BZ627" s="23"/>
      <c r="CA627" s="23"/>
      <c r="CB627" s="23"/>
      <c r="CC627" s="23"/>
      <c r="CD627" s="23"/>
      <c r="CE627" s="23"/>
      <c r="CF627" s="23"/>
      <c r="CG627" s="23"/>
      <c r="CH627" s="23"/>
      <c r="CI627" s="23"/>
      <c r="CJ627" s="23"/>
      <c r="CK627" s="23"/>
      <c r="CL627" s="23"/>
      <c r="CM627" s="23"/>
      <c r="CN627" s="23"/>
      <c r="CO627" s="23"/>
      <c r="CP627" s="23"/>
      <c r="CQ627" s="23"/>
      <c r="CR627" s="23"/>
      <c r="CS627" s="23"/>
      <c r="CT627" s="23"/>
      <c r="CU627" s="23"/>
      <c r="CV627" s="23"/>
      <c r="CW627" s="23"/>
      <c r="CX627" s="23"/>
      <c r="CY627" s="23"/>
      <c r="CZ627" s="23"/>
      <c r="DA627" s="23"/>
      <c r="DB627" s="23"/>
      <c r="DC627" s="23"/>
      <c r="DD627" s="23"/>
      <c r="DE627" s="23"/>
      <c r="DF627" s="23"/>
      <c r="DG627" s="23"/>
      <c r="DH627" s="23"/>
      <c r="DI627" s="23"/>
      <c r="DJ627" s="23"/>
      <c r="DK627" s="23"/>
      <c r="DL627" s="23"/>
      <c r="DM627" s="23"/>
      <c r="DN627" s="23"/>
      <c r="DO627" s="23"/>
      <c r="DP627" s="23"/>
      <c r="DQ627" s="23"/>
      <c r="DR627" s="23"/>
      <c r="DS627" s="23"/>
      <c r="DT627" s="23"/>
      <c r="DU627" s="23"/>
      <c r="DV627" s="23"/>
      <c r="DW627" s="23"/>
      <c r="DX627" s="23"/>
      <c r="DY627" s="23"/>
      <c r="DZ627" s="23"/>
      <c r="EA627" s="23"/>
      <c r="EB627" s="23"/>
      <c r="EC627" s="23"/>
      <c r="ED627" s="23"/>
      <c r="EE627" s="23"/>
      <c r="EF627" s="23"/>
      <c r="EG627" s="23"/>
      <c r="EH627" s="23"/>
      <c r="EI627" s="23"/>
      <c r="EJ627" s="23"/>
      <c r="EK627" s="23"/>
      <c r="EL627" s="23"/>
      <c r="EM627" s="23"/>
      <c r="EN627" s="23"/>
      <c r="EO627" s="23"/>
      <c r="EP627" s="23"/>
      <c r="EQ627" s="23"/>
      <c r="ER627" s="23"/>
      <c r="ES627" s="23"/>
      <c r="ET627" s="23"/>
      <c r="EU627" s="23"/>
      <c r="EV627" s="23"/>
      <c r="EW627" s="23"/>
      <c r="EX627" s="23"/>
      <c r="EY627" s="23"/>
      <c r="EZ627" s="23"/>
      <c r="FA627" s="23"/>
      <c r="FB627" s="23"/>
      <c r="FC627" s="23"/>
      <c r="FD627" s="23"/>
      <c r="FE627" s="23"/>
      <c r="FF627" s="23"/>
      <c r="FG627" s="23"/>
      <c r="FH627" s="23"/>
      <c r="FI627" s="23"/>
      <c r="FJ627" s="23"/>
      <c r="FK627" s="23"/>
      <c r="FL627" s="23"/>
      <c r="FM627" s="23"/>
      <c r="FN627" s="23"/>
      <c r="FO627" s="23"/>
      <c r="FP627" s="23"/>
      <c r="FQ627" s="23"/>
      <c r="FR627" s="23"/>
      <c r="FS627" s="23"/>
      <c r="FT627" s="23"/>
      <c r="FU627" s="23"/>
      <c r="FV627" s="23"/>
      <c r="FW627" s="23"/>
      <c r="FX627" s="23"/>
      <c r="FY627" s="23"/>
      <c r="FZ627" s="23"/>
      <c r="GA627" s="23"/>
      <c r="GB627" s="23"/>
      <c r="GC627" s="23"/>
      <c r="GD627" s="23"/>
      <c r="GE627" s="23"/>
      <c r="GF627" s="23"/>
      <c r="GG627" s="23"/>
      <c r="GH627" s="23"/>
      <c r="GI627" s="23"/>
      <c r="GJ627" s="23"/>
      <c r="GK627" s="23"/>
      <c r="GL627" s="23"/>
    </row>
    <row r="628" spans="1:194" ht="13">
      <c r="A628" s="23"/>
      <c r="B628" s="23"/>
      <c r="C628" s="23"/>
      <c r="D628" s="23"/>
      <c r="E628" s="23"/>
      <c r="F628" s="23"/>
      <c r="G628" s="23"/>
      <c r="H628" s="401"/>
      <c r="I628" s="401"/>
      <c r="J628" s="401"/>
      <c r="K628" s="401"/>
      <c r="L628" s="401"/>
      <c r="M628" s="438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  <c r="AL628" s="23"/>
      <c r="AM628" s="23"/>
      <c r="AN628" s="23"/>
      <c r="AO628" s="23"/>
      <c r="AP628" s="23"/>
      <c r="AQ628" s="23"/>
      <c r="AR628" s="23"/>
      <c r="AS628" s="23"/>
      <c r="AT628" s="23"/>
      <c r="AU628" s="23"/>
      <c r="AV628" s="23"/>
      <c r="AW628" s="23"/>
      <c r="AX628" s="23"/>
      <c r="AY628" s="23"/>
      <c r="AZ628" s="23"/>
      <c r="BA628" s="23"/>
      <c r="BB628" s="23"/>
      <c r="BC628" s="23"/>
      <c r="BD628" s="23"/>
      <c r="BE628" s="23"/>
      <c r="BF628" s="23"/>
      <c r="BG628" s="23"/>
      <c r="BH628" s="23"/>
      <c r="BI628" s="23"/>
      <c r="BJ628" s="23"/>
      <c r="BK628" s="23"/>
      <c r="BL628" s="23"/>
      <c r="BM628" s="23"/>
      <c r="BN628" s="23"/>
      <c r="BO628" s="23"/>
      <c r="BP628" s="23"/>
      <c r="BQ628" s="23"/>
      <c r="BR628" s="23"/>
      <c r="BS628" s="23"/>
      <c r="BT628" s="23"/>
      <c r="BU628" s="23"/>
      <c r="BV628" s="23"/>
      <c r="BW628" s="23"/>
      <c r="BX628" s="23"/>
      <c r="BY628" s="23"/>
      <c r="BZ628" s="23"/>
      <c r="CA628" s="23"/>
      <c r="CB628" s="23"/>
      <c r="CC628" s="23"/>
      <c r="CD628" s="23"/>
      <c r="CE628" s="23"/>
      <c r="CF628" s="23"/>
      <c r="CG628" s="23"/>
      <c r="CH628" s="23"/>
      <c r="CI628" s="23"/>
      <c r="CJ628" s="23"/>
      <c r="CK628" s="23"/>
      <c r="CL628" s="23"/>
      <c r="CM628" s="23"/>
      <c r="CN628" s="23"/>
      <c r="CO628" s="23"/>
      <c r="CP628" s="23"/>
      <c r="CQ628" s="23"/>
      <c r="CR628" s="23"/>
      <c r="CS628" s="23"/>
      <c r="CT628" s="23"/>
      <c r="CU628" s="23"/>
      <c r="CV628" s="23"/>
      <c r="CW628" s="23"/>
      <c r="CX628" s="23"/>
      <c r="CY628" s="23"/>
      <c r="CZ628" s="23"/>
      <c r="DA628" s="23"/>
      <c r="DB628" s="23"/>
      <c r="DC628" s="23"/>
      <c r="DD628" s="23"/>
      <c r="DE628" s="23"/>
      <c r="DF628" s="23"/>
      <c r="DG628" s="23"/>
      <c r="DH628" s="23"/>
      <c r="DI628" s="23"/>
      <c r="DJ628" s="23"/>
      <c r="DK628" s="23"/>
      <c r="DL628" s="23"/>
      <c r="DM628" s="23"/>
      <c r="DN628" s="23"/>
      <c r="DO628" s="23"/>
      <c r="DP628" s="23"/>
      <c r="DQ628" s="23"/>
      <c r="DR628" s="23"/>
      <c r="DS628" s="23"/>
      <c r="DT628" s="23"/>
      <c r="DU628" s="23"/>
      <c r="DV628" s="23"/>
      <c r="DW628" s="23"/>
      <c r="DX628" s="23"/>
      <c r="DY628" s="23"/>
      <c r="DZ628" s="23"/>
      <c r="EA628" s="23"/>
      <c r="EB628" s="23"/>
      <c r="EC628" s="23"/>
      <c r="ED628" s="23"/>
      <c r="EE628" s="23"/>
      <c r="EF628" s="23"/>
      <c r="EG628" s="23"/>
      <c r="EH628" s="23"/>
      <c r="EI628" s="23"/>
      <c r="EJ628" s="23"/>
      <c r="EK628" s="23"/>
      <c r="EL628" s="23"/>
      <c r="EM628" s="23"/>
      <c r="EN628" s="23"/>
      <c r="EO628" s="23"/>
      <c r="EP628" s="23"/>
      <c r="EQ628" s="23"/>
      <c r="ER628" s="23"/>
      <c r="ES628" s="23"/>
      <c r="ET628" s="23"/>
      <c r="EU628" s="23"/>
      <c r="EV628" s="23"/>
      <c r="EW628" s="23"/>
      <c r="EX628" s="23"/>
      <c r="EY628" s="23"/>
      <c r="EZ628" s="23"/>
      <c r="FA628" s="23"/>
      <c r="FB628" s="23"/>
      <c r="FC628" s="23"/>
      <c r="FD628" s="23"/>
      <c r="FE628" s="23"/>
      <c r="FF628" s="23"/>
      <c r="FG628" s="23"/>
      <c r="FH628" s="23"/>
      <c r="FI628" s="23"/>
      <c r="FJ628" s="23"/>
      <c r="FK628" s="23"/>
      <c r="FL628" s="23"/>
      <c r="FM628" s="23"/>
      <c r="FN628" s="23"/>
      <c r="FO628" s="23"/>
      <c r="FP628" s="23"/>
      <c r="FQ628" s="23"/>
      <c r="FR628" s="23"/>
      <c r="FS628" s="23"/>
      <c r="FT628" s="23"/>
      <c r="FU628" s="23"/>
      <c r="FV628" s="23"/>
      <c r="FW628" s="23"/>
      <c r="FX628" s="23"/>
      <c r="FY628" s="23"/>
      <c r="FZ628" s="23"/>
      <c r="GA628" s="23"/>
      <c r="GB628" s="23"/>
      <c r="GC628" s="23"/>
      <c r="GD628" s="23"/>
      <c r="GE628" s="23"/>
      <c r="GF628" s="23"/>
      <c r="GG628" s="23"/>
      <c r="GH628" s="23"/>
      <c r="GI628" s="23"/>
      <c r="GJ628" s="23"/>
      <c r="GK628" s="23"/>
      <c r="GL628" s="23"/>
    </row>
    <row r="629" spans="1:194" ht="13">
      <c r="A629" s="23"/>
      <c r="B629" s="23"/>
      <c r="C629" s="23"/>
      <c r="D629" s="23"/>
      <c r="E629" s="23"/>
      <c r="F629" s="23"/>
      <c r="G629" s="23"/>
      <c r="H629" s="401"/>
      <c r="I629" s="401"/>
      <c r="J629" s="401"/>
      <c r="K629" s="401"/>
      <c r="L629" s="401"/>
      <c r="M629" s="438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  <c r="AL629" s="23"/>
      <c r="AM629" s="23"/>
      <c r="AN629" s="23"/>
      <c r="AO629" s="23"/>
      <c r="AP629" s="23"/>
      <c r="AQ629" s="23"/>
      <c r="AR629" s="23"/>
      <c r="AS629" s="23"/>
      <c r="AT629" s="23"/>
      <c r="AU629" s="23"/>
      <c r="AV629" s="23"/>
      <c r="AW629" s="23"/>
      <c r="AX629" s="23"/>
      <c r="AY629" s="23"/>
      <c r="AZ629" s="23"/>
      <c r="BA629" s="23"/>
      <c r="BB629" s="23"/>
      <c r="BC629" s="23"/>
      <c r="BD629" s="23"/>
      <c r="BE629" s="23"/>
      <c r="BF629" s="23"/>
      <c r="BG629" s="23"/>
      <c r="BH629" s="23"/>
      <c r="BI629" s="23"/>
      <c r="BJ629" s="23"/>
      <c r="BK629" s="23"/>
      <c r="BL629" s="23"/>
      <c r="BM629" s="23"/>
      <c r="BN629" s="23"/>
      <c r="BO629" s="23"/>
      <c r="BP629" s="23"/>
      <c r="BQ629" s="23"/>
      <c r="BR629" s="23"/>
      <c r="BS629" s="23"/>
      <c r="BT629" s="23"/>
      <c r="BU629" s="23"/>
      <c r="BV629" s="23"/>
      <c r="BW629" s="23"/>
      <c r="BX629" s="23"/>
      <c r="BY629" s="23"/>
      <c r="BZ629" s="23"/>
      <c r="CA629" s="23"/>
      <c r="CB629" s="23"/>
      <c r="CC629" s="23"/>
      <c r="CD629" s="23"/>
      <c r="CE629" s="23"/>
      <c r="CF629" s="23"/>
      <c r="CG629" s="23"/>
      <c r="CH629" s="23"/>
      <c r="CI629" s="23"/>
      <c r="CJ629" s="23"/>
      <c r="CK629" s="23"/>
      <c r="CL629" s="23"/>
      <c r="CM629" s="23"/>
      <c r="CN629" s="23"/>
      <c r="CO629" s="23"/>
      <c r="CP629" s="23"/>
      <c r="CQ629" s="23"/>
      <c r="CR629" s="23"/>
      <c r="CS629" s="23"/>
      <c r="CT629" s="23"/>
      <c r="CU629" s="23"/>
      <c r="CV629" s="23"/>
      <c r="CW629" s="23"/>
      <c r="CX629" s="23"/>
      <c r="CY629" s="23"/>
      <c r="CZ629" s="23"/>
      <c r="DA629" s="23"/>
      <c r="DB629" s="23"/>
      <c r="DC629" s="23"/>
      <c r="DD629" s="23"/>
      <c r="DE629" s="23"/>
      <c r="DF629" s="23"/>
      <c r="DG629" s="23"/>
      <c r="DH629" s="23"/>
      <c r="DI629" s="23"/>
      <c r="DJ629" s="23"/>
      <c r="DK629" s="23"/>
      <c r="DL629" s="23"/>
      <c r="DM629" s="23"/>
      <c r="DN629" s="23"/>
      <c r="DO629" s="23"/>
      <c r="DP629" s="23"/>
      <c r="DQ629" s="23"/>
      <c r="DR629" s="23"/>
      <c r="DS629" s="23"/>
      <c r="DT629" s="23"/>
      <c r="DU629" s="23"/>
      <c r="DV629" s="23"/>
      <c r="DW629" s="23"/>
      <c r="DX629" s="23"/>
      <c r="DY629" s="23"/>
      <c r="DZ629" s="23"/>
      <c r="EA629" s="23"/>
      <c r="EB629" s="23"/>
      <c r="EC629" s="23"/>
      <c r="ED629" s="23"/>
      <c r="EE629" s="23"/>
      <c r="EF629" s="23"/>
      <c r="EG629" s="23"/>
      <c r="EH629" s="23"/>
      <c r="EI629" s="23"/>
      <c r="EJ629" s="23"/>
      <c r="EK629" s="23"/>
      <c r="EL629" s="23"/>
      <c r="EM629" s="23"/>
      <c r="EN629" s="23"/>
      <c r="EO629" s="23"/>
      <c r="EP629" s="23"/>
      <c r="EQ629" s="23"/>
      <c r="ER629" s="23"/>
      <c r="ES629" s="23"/>
      <c r="ET629" s="23"/>
      <c r="EU629" s="23"/>
      <c r="EV629" s="23"/>
      <c r="EW629" s="23"/>
      <c r="EX629" s="23"/>
      <c r="EY629" s="23"/>
      <c r="EZ629" s="23"/>
      <c r="FA629" s="23"/>
      <c r="FB629" s="23"/>
      <c r="FC629" s="23"/>
      <c r="FD629" s="23"/>
      <c r="FE629" s="23"/>
      <c r="FF629" s="23"/>
      <c r="FG629" s="23"/>
      <c r="FH629" s="23"/>
      <c r="FI629" s="23"/>
      <c r="FJ629" s="23"/>
      <c r="FK629" s="23"/>
      <c r="FL629" s="23"/>
      <c r="FM629" s="23"/>
      <c r="FN629" s="23"/>
      <c r="FO629" s="23"/>
      <c r="FP629" s="23"/>
      <c r="FQ629" s="23"/>
      <c r="FR629" s="23"/>
      <c r="FS629" s="23"/>
      <c r="FT629" s="23"/>
      <c r="FU629" s="23"/>
      <c r="FV629" s="23"/>
      <c r="FW629" s="23"/>
      <c r="FX629" s="23"/>
      <c r="FY629" s="23"/>
      <c r="FZ629" s="23"/>
      <c r="GA629" s="23"/>
      <c r="GB629" s="23"/>
      <c r="GC629" s="23"/>
      <c r="GD629" s="23"/>
      <c r="GE629" s="23"/>
      <c r="GF629" s="23"/>
      <c r="GG629" s="23"/>
      <c r="GH629" s="23"/>
      <c r="GI629" s="23"/>
      <c r="GJ629" s="23"/>
      <c r="GK629" s="23"/>
      <c r="GL629" s="23"/>
    </row>
    <row r="630" spans="1:194" ht="13">
      <c r="A630" s="23"/>
      <c r="B630" s="23"/>
      <c r="C630" s="23"/>
      <c r="D630" s="23"/>
      <c r="E630" s="23"/>
      <c r="F630" s="23"/>
      <c r="G630" s="23"/>
      <c r="H630" s="401"/>
      <c r="I630" s="401"/>
      <c r="J630" s="401"/>
      <c r="K630" s="401"/>
      <c r="L630" s="401"/>
      <c r="M630" s="438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  <c r="AL630" s="23"/>
      <c r="AM630" s="23"/>
      <c r="AN630" s="23"/>
      <c r="AO630" s="23"/>
      <c r="AP630" s="23"/>
      <c r="AQ630" s="23"/>
      <c r="AR630" s="23"/>
      <c r="AS630" s="23"/>
      <c r="AT630" s="23"/>
      <c r="AU630" s="23"/>
      <c r="AV630" s="23"/>
      <c r="AW630" s="23"/>
      <c r="AX630" s="23"/>
      <c r="AY630" s="23"/>
      <c r="AZ630" s="23"/>
      <c r="BA630" s="23"/>
      <c r="BB630" s="23"/>
      <c r="BC630" s="23"/>
      <c r="BD630" s="23"/>
      <c r="BE630" s="23"/>
      <c r="BF630" s="23"/>
      <c r="BG630" s="23"/>
      <c r="BH630" s="23"/>
      <c r="BI630" s="23"/>
      <c r="BJ630" s="23"/>
      <c r="BK630" s="23"/>
      <c r="BL630" s="23"/>
      <c r="BM630" s="23"/>
      <c r="BN630" s="23"/>
      <c r="BO630" s="23"/>
      <c r="BP630" s="23"/>
      <c r="BQ630" s="23"/>
      <c r="BR630" s="23"/>
      <c r="BS630" s="23"/>
      <c r="BT630" s="23"/>
      <c r="BU630" s="23"/>
      <c r="BV630" s="23"/>
      <c r="BW630" s="23"/>
      <c r="BX630" s="23"/>
      <c r="BY630" s="23"/>
      <c r="BZ630" s="23"/>
      <c r="CA630" s="23"/>
      <c r="CB630" s="23"/>
      <c r="CC630" s="23"/>
      <c r="CD630" s="23"/>
      <c r="CE630" s="23"/>
      <c r="CF630" s="23"/>
      <c r="CG630" s="23"/>
      <c r="CH630" s="23"/>
      <c r="CI630" s="23"/>
      <c r="CJ630" s="23"/>
      <c r="CK630" s="23"/>
      <c r="CL630" s="23"/>
      <c r="CM630" s="23"/>
      <c r="CN630" s="23"/>
      <c r="CO630" s="23"/>
      <c r="CP630" s="23"/>
      <c r="CQ630" s="23"/>
      <c r="CR630" s="23"/>
      <c r="CS630" s="23"/>
      <c r="CT630" s="23"/>
      <c r="CU630" s="23"/>
      <c r="CV630" s="23"/>
      <c r="CW630" s="23"/>
      <c r="CX630" s="23"/>
      <c r="CY630" s="23"/>
      <c r="CZ630" s="23"/>
      <c r="DA630" s="23"/>
      <c r="DB630" s="23"/>
      <c r="DC630" s="23"/>
      <c r="DD630" s="23"/>
      <c r="DE630" s="23"/>
      <c r="DF630" s="23"/>
      <c r="DG630" s="23"/>
      <c r="DH630" s="23"/>
      <c r="DI630" s="23"/>
      <c r="DJ630" s="23"/>
      <c r="DK630" s="23"/>
      <c r="DL630" s="23"/>
      <c r="DM630" s="23"/>
      <c r="DN630" s="23"/>
      <c r="DO630" s="23"/>
      <c r="DP630" s="23"/>
      <c r="DQ630" s="23"/>
      <c r="DR630" s="23"/>
      <c r="DS630" s="23"/>
      <c r="DT630" s="23"/>
      <c r="DU630" s="23"/>
      <c r="DV630" s="23"/>
      <c r="DW630" s="23"/>
      <c r="DX630" s="23"/>
      <c r="DY630" s="23"/>
      <c r="DZ630" s="23"/>
      <c r="EA630" s="23"/>
      <c r="EB630" s="23"/>
      <c r="EC630" s="23"/>
      <c r="ED630" s="23"/>
      <c r="EE630" s="23"/>
      <c r="EF630" s="23"/>
      <c r="EG630" s="23"/>
      <c r="EH630" s="23"/>
      <c r="EI630" s="23"/>
      <c r="EJ630" s="23"/>
      <c r="EK630" s="23"/>
      <c r="EL630" s="23"/>
      <c r="EM630" s="23"/>
      <c r="EN630" s="23"/>
      <c r="EO630" s="23"/>
      <c r="EP630" s="23"/>
      <c r="EQ630" s="23"/>
      <c r="ER630" s="23"/>
      <c r="ES630" s="23"/>
      <c r="ET630" s="23"/>
      <c r="EU630" s="23"/>
      <c r="EV630" s="23"/>
      <c r="EW630" s="23"/>
      <c r="EX630" s="23"/>
      <c r="EY630" s="23"/>
      <c r="EZ630" s="23"/>
      <c r="FA630" s="23"/>
      <c r="FB630" s="23"/>
      <c r="FC630" s="23"/>
      <c r="FD630" s="23"/>
      <c r="FE630" s="23"/>
      <c r="FF630" s="23"/>
      <c r="FG630" s="23"/>
      <c r="FH630" s="23"/>
      <c r="FI630" s="23"/>
      <c r="FJ630" s="23"/>
      <c r="FK630" s="23"/>
      <c r="FL630" s="23"/>
      <c r="FM630" s="23"/>
      <c r="FN630" s="23"/>
      <c r="FO630" s="23"/>
      <c r="FP630" s="23"/>
      <c r="FQ630" s="23"/>
      <c r="FR630" s="23"/>
      <c r="FS630" s="23"/>
      <c r="FT630" s="23"/>
      <c r="FU630" s="23"/>
      <c r="FV630" s="23"/>
      <c r="FW630" s="23"/>
      <c r="FX630" s="23"/>
      <c r="FY630" s="23"/>
      <c r="FZ630" s="23"/>
      <c r="GA630" s="23"/>
      <c r="GB630" s="23"/>
      <c r="GC630" s="23"/>
      <c r="GD630" s="23"/>
      <c r="GE630" s="23"/>
      <c r="GF630" s="23"/>
      <c r="GG630" s="23"/>
      <c r="GH630" s="23"/>
      <c r="GI630" s="23"/>
      <c r="GJ630" s="23"/>
      <c r="GK630" s="23"/>
      <c r="GL630" s="23"/>
    </row>
    <row r="631" spans="1:194" ht="13">
      <c r="A631" s="23"/>
      <c r="B631" s="23"/>
      <c r="C631" s="23"/>
      <c r="D631" s="23"/>
      <c r="E631" s="23"/>
      <c r="F631" s="23"/>
      <c r="G631" s="23"/>
      <c r="H631" s="401"/>
      <c r="I631" s="401"/>
      <c r="J631" s="401"/>
      <c r="K631" s="401"/>
      <c r="L631" s="401"/>
      <c r="M631" s="438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  <c r="AL631" s="23"/>
      <c r="AM631" s="23"/>
      <c r="AN631" s="23"/>
      <c r="AO631" s="23"/>
      <c r="AP631" s="23"/>
      <c r="AQ631" s="23"/>
      <c r="AR631" s="23"/>
      <c r="AS631" s="23"/>
      <c r="AT631" s="23"/>
      <c r="AU631" s="23"/>
      <c r="AV631" s="23"/>
      <c r="AW631" s="23"/>
      <c r="AX631" s="23"/>
      <c r="AY631" s="23"/>
      <c r="AZ631" s="23"/>
      <c r="BA631" s="23"/>
      <c r="BB631" s="23"/>
      <c r="BC631" s="23"/>
      <c r="BD631" s="23"/>
      <c r="BE631" s="23"/>
      <c r="BF631" s="23"/>
      <c r="BG631" s="23"/>
      <c r="BH631" s="23"/>
      <c r="BI631" s="23"/>
      <c r="BJ631" s="23"/>
      <c r="BK631" s="23"/>
      <c r="BL631" s="23"/>
      <c r="BM631" s="23"/>
      <c r="BN631" s="23"/>
      <c r="BO631" s="23"/>
      <c r="BP631" s="23"/>
      <c r="BQ631" s="23"/>
      <c r="BR631" s="23"/>
      <c r="BS631" s="23"/>
      <c r="BT631" s="23"/>
      <c r="BU631" s="23"/>
      <c r="BV631" s="23"/>
      <c r="BW631" s="23"/>
      <c r="BX631" s="23"/>
      <c r="BY631" s="23"/>
      <c r="BZ631" s="23"/>
      <c r="CA631" s="23"/>
      <c r="CB631" s="23"/>
      <c r="CC631" s="23"/>
      <c r="CD631" s="23"/>
      <c r="CE631" s="23"/>
      <c r="CF631" s="23"/>
      <c r="CG631" s="23"/>
      <c r="CH631" s="23"/>
      <c r="CI631" s="23"/>
      <c r="CJ631" s="23"/>
      <c r="CK631" s="23"/>
      <c r="CL631" s="23"/>
      <c r="CM631" s="23"/>
      <c r="CN631" s="23"/>
      <c r="CO631" s="23"/>
      <c r="CP631" s="23"/>
      <c r="CQ631" s="23"/>
      <c r="CR631" s="23"/>
      <c r="CS631" s="23"/>
      <c r="CT631" s="23"/>
      <c r="CU631" s="23"/>
      <c r="CV631" s="23"/>
      <c r="CW631" s="23"/>
      <c r="CX631" s="23"/>
      <c r="CY631" s="23"/>
      <c r="CZ631" s="23"/>
      <c r="DA631" s="23"/>
      <c r="DB631" s="23"/>
      <c r="DC631" s="23"/>
      <c r="DD631" s="23"/>
      <c r="DE631" s="23"/>
      <c r="DF631" s="23"/>
      <c r="DG631" s="23"/>
      <c r="DH631" s="23"/>
      <c r="DI631" s="23"/>
      <c r="DJ631" s="23"/>
      <c r="DK631" s="23"/>
      <c r="DL631" s="23"/>
      <c r="DM631" s="23"/>
      <c r="DN631" s="23"/>
      <c r="DO631" s="23"/>
      <c r="DP631" s="23"/>
      <c r="DQ631" s="23"/>
      <c r="DR631" s="23"/>
      <c r="DS631" s="23"/>
      <c r="DT631" s="23"/>
      <c r="DU631" s="23"/>
      <c r="DV631" s="23"/>
      <c r="DW631" s="23"/>
      <c r="DX631" s="23"/>
      <c r="DY631" s="23"/>
      <c r="DZ631" s="23"/>
      <c r="EA631" s="23"/>
      <c r="EB631" s="23"/>
      <c r="EC631" s="23"/>
      <c r="ED631" s="23"/>
      <c r="EE631" s="23"/>
      <c r="EF631" s="23"/>
      <c r="EG631" s="23"/>
      <c r="EH631" s="23"/>
      <c r="EI631" s="23"/>
      <c r="EJ631" s="23"/>
      <c r="EK631" s="23"/>
      <c r="EL631" s="23"/>
      <c r="EM631" s="23"/>
      <c r="EN631" s="23"/>
      <c r="EO631" s="23"/>
      <c r="EP631" s="23"/>
      <c r="EQ631" s="23"/>
      <c r="ER631" s="23"/>
      <c r="ES631" s="23"/>
      <c r="ET631" s="23"/>
      <c r="EU631" s="23"/>
      <c r="EV631" s="23"/>
      <c r="EW631" s="23"/>
      <c r="EX631" s="23"/>
      <c r="EY631" s="23"/>
      <c r="EZ631" s="23"/>
      <c r="FA631" s="23"/>
      <c r="FB631" s="23"/>
      <c r="FC631" s="23"/>
      <c r="FD631" s="23"/>
      <c r="FE631" s="23"/>
      <c r="FF631" s="23"/>
      <c r="FG631" s="23"/>
      <c r="FH631" s="23"/>
      <c r="FI631" s="23"/>
      <c r="FJ631" s="23"/>
      <c r="FK631" s="23"/>
      <c r="FL631" s="23"/>
      <c r="FM631" s="23"/>
      <c r="FN631" s="23"/>
      <c r="FO631" s="23"/>
      <c r="FP631" s="23"/>
      <c r="FQ631" s="23"/>
      <c r="FR631" s="23"/>
      <c r="FS631" s="23"/>
      <c r="FT631" s="23"/>
      <c r="FU631" s="23"/>
      <c r="FV631" s="23"/>
      <c r="FW631" s="23"/>
      <c r="FX631" s="23"/>
      <c r="FY631" s="23"/>
      <c r="FZ631" s="23"/>
      <c r="GA631" s="23"/>
      <c r="GB631" s="23"/>
      <c r="GC631" s="23"/>
      <c r="GD631" s="23"/>
      <c r="GE631" s="23"/>
      <c r="GF631" s="23"/>
      <c r="GG631" s="23"/>
      <c r="GH631" s="23"/>
      <c r="GI631" s="23"/>
      <c r="GJ631" s="23"/>
      <c r="GK631" s="23"/>
      <c r="GL631" s="23"/>
    </row>
    <row r="632" spans="1:194" ht="13">
      <c r="A632" s="23"/>
      <c r="B632" s="23"/>
      <c r="C632" s="23"/>
      <c r="D632" s="23"/>
      <c r="E632" s="23"/>
      <c r="F632" s="23"/>
      <c r="G632" s="23"/>
      <c r="H632" s="401"/>
      <c r="I632" s="401"/>
      <c r="J632" s="401"/>
      <c r="K632" s="401"/>
      <c r="L632" s="401"/>
      <c r="M632" s="438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  <c r="AL632" s="23"/>
      <c r="AM632" s="23"/>
      <c r="AN632" s="23"/>
      <c r="AO632" s="23"/>
      <c r="AP632" s="23"/>
      <c r="AQ632" s="23"/>
      <c r="AR632" s="23"/>
      <c r="AS632" s="23"/>
      <c r="AT632" s="23"/>
      <c r="AU632" s="23"/>
      <c r="AV632" s="23"/>
      <c r="AW632" s="23"/>
      <c r="AX632" s="23"/>
      <c r="AY632" s="23"/>
      <c r="AZ632" s="23"/>
      <c r="BA632" s="23"/>
      <c r="BB632" s="23"/>
      <c r="BC632" s="23"/>
      <c r="BD632" s="23"/>
      <c r="BE632" s="23"/>
      <c r="BF632" s="23"/>
      <c r="BG632" s="23"/>
      <c r="BH632" s="23"/>
      <c r="BI632" s="23"/>
      <c r="BJ632" s="23"/>
      <c r="BK632" s="23"/>
      <c r="BL632" s="23"/>
      <c r="BM632" s="23"/>
      <c r="BN632" s="23"/>
      <c r="BO632" s="23"/>
      <c r="BP632" s="23"/>
      <c r="BQ632" s="23"/>
      <c r="BR632" s="23"/>
      <c r="BS632" s="23"/>
      <c r="BT632" s="23"/>
      <c r="BU632" s="23"/>
      <c r="BV632" s="23"/>
      <c r="BW632" s="23"/>
      <c r="BX632" s="23"/>
      <c r="BY632" s="23"/>
      <c r="BZ632" s="23"/>
      <c r="CA632" s="23"/>
      <c r="CB632" s="23"/>
      <c r="CC632" s="23"/>
      <c r="CD632" s="23"/>
      <c r="CE632" s="23"/>
      <c r="CF632" s="23"/>
      <c r="CG632" s="23"/>
      <c r="CH632" s="23"/>
      <c r="CI632" s="23"/>
      <c r="CJ632" s="23"/>
      <c r="CK632" s="23"/>
      <c r="CL632" s="23"/>
      <c r="CM632" s="23"/>
      <c r="CN632" s="23"/>
      <c r="CO632" s="23"/>
      <c r="CP632" s="23"/>
      <c r="CQ632" s="23"/>
      <c r="CR632" s="23"/>
      <c r="CS632" s="23"/>
      <c r="CT632" s="23"/>
      <c r="CU632" s="23"/>
      <c r="CV632" s="23"/>
      <c r="CW632" s="23"/>
      <c r="CX632" s="23"/>
      <c r="CY632" s="23"/>
      <c r="CZ632" s="23"/>
      <c r="DA632" s="23"/>
      <c r="DB632" s="23"/>
      <c r="DC632" s="23"/>
      <c r="DD632" s="23"/>
      <c r="DE632" s="23"/>
      <c r="DF632" s="23"/>
      <c r="DG632" s="23"/>
      <c r="DH632" s="23"/>
      <c r="DI632" s="23"/>
      <c r="DJ632" s="23"/>
      <c r="DK632" s="23"/>
      <c r="DL632" s="23"/>
      <c r="DM632" s="23"/>
      <c r="DN632" s="23"/>
      <c r="DO632" s="23"/>
      <c r="DP632" s="23"/>
      <c r="DQ632" s="23"/>
      <c r="DR632" s="23"/>
      <c r="DS632" s="23"/>
      <c r="DT632" s="23"/>
      <c r="DU632" s="23"/>
      <c r="DV632" s="23"/>
      <c r="DW632" s="23"/>
      <c r="DX632" s="23"/>
      <c r="DY632" s="23"/>
      <c r="DZ632" s="23"/>
      <c r="EA632" s="23"/>
      <c r="EB632" s="23"/>
      <c r="EC632" s="23"/>
      <c r="ED632" s="23"/>
      <c r="EE632" s="23"/>
      <c r="EF632" s="23"/>
      <c r="EG632" s="23"/>
      <c r="EH632" s="23"/>
      <c r="EI632" s="23"/>
      <c r="EJ632" s="23"/>
      <c r="EK632" s="23"/>
      <c r="EL632" s="23"/>
      <c r="EM632" s="23"/>
      <c r="EN632" s="23"/>
      <c r="EO632" s="23"/>
      <c r="EP632" s="23"/>
      <c r="EQ632" s="23"/>
      <c r="ER632" s="23"/>
      <c r="ES632" s="23"/>
      <c r="ET632" s="23"/>
      <c r="EU632" s="23"/>
      <c r="EV632" s="23"/>
      <c r="EW632" s="23"/>
      <c r="EX632" s="23"/>
      <c r="EY632" s="23"/>
      <c r="EZ632" s="23"/>
      <c r="FA632" s="23"/>
      <c r="FB632" s="23"/>
      <c r="FC632" s="23"/>
      <c r="FD632" s="23"/>
      <c r="FE632" s="23"/>
      <c r="FF632" s="23"/>
      <c r="FG632" s="23"/>
      <c r="FH632" s="23"/>
      <c r="FI632" s="23"/>
      <c r="FJ632" s="23"/>
      <c r="FK632" s="23"/>
      <c r="FL632" s="23"/>
      <c r="FM632" s="23"/>
      <c r="FN632" s="23"/>
      <c r="FO632" s="23"/>
      <c r="FP632" s="23"/>
      <c r="FQ632" s="23"/>
      <c r="FR632" s="23"/>
      <c r="FS632" s="23"/>
      <c r="FT632" s="23"/>
      <c r="FU632" s="23"/>
      <c r="FV632" s="23"/>
      <c r="FW632" s="23"/>
      <c r="FX632" s="23"/>
      <c r="FY632" s="23"/>
      <c r="FZ632" s="23"/>
      <c r="GA632" s="23"/>
      <c r="GB632" s="23"/>
      <c r="GC632" s="23"/>
      <c r="GD632" s="23"/>
      <c r="GE632" s="23"/>
      <c r="GF632" s="23"/>
      <c r="GG632" s="23"/>
      <c r="GH632" s="23"/>
      <c r="GI632" s="23"/>
      <c r="GJ632" s="23"/>
      <c r="GK632" s="23"/>
      <c r="GL632" s="23"/>
    </row>
    <row r="633" spans="1:194" ht="13">
      <c r="A633" s="23"/>
      <c r="B633" s="23"/>
      <c r="C633" s="23"/>
      <c r="D633" s="23"/>
      <c r="E633" s="23"/>
      <c r="F633" s="23"/>
      <c r="G633" s="23"/>
      <c r="H633" s="401"/>
      <c r="I633" s="401"/>
      <c r="J633" s="401"/>
      <c r="K633" s="401"/>
      <c r="L633" s="401"/>
      <c r="M633" s="438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  <c r="AL633" s="23"/>
      <c r="AM633" s="23"/>
      <c r="AN633" s="23"/>
      <c r="AO633" s="23"/>
      <c r="AP633" s="23"/>
      <c r="AQ633" s="23"/>
      <c r="AR633" s="23"/>
      <c r="AS633" s="23"/>
      <c r="AT633" s="23"/>
      <c r="AU633" s="23"/>
      <c r="AV633" s="23"/>
      <c r="AW633" s="23"/>
      <c r="AX633" s="23"/>
      <c r="AY633" s="23"/>
      <c r="AZ633" s="23"/>
      <c r="BA633" s="23"/>
      <c r="BB633" s="23"/>
      <c r="BC633" s="23"/>
      <c r="BD633" s="23"/>
      <c r="BE633" s="23"/>
      <c r="BF633" s="23"/>
      <c r="BG633" s="23"/>
      <c r="BH633" s="23"/>
      <c r="BI633" s="23"/>
      <c r="BJ633" s="23"/>
      <c r="BK633" s="23"/>
      <c r="BL633" s="23"/>
      <c r="BM633" s="23"/>
      <c r="BN633" s="23"/>
      <c r="BO633" s="23"/>
      <c r="BP633" s="23"/>
      <c r="BQ633" s="23"/>
      <c r="BR633" s="23"/>
      <c r="BS633" s="23"/>
      <c r="BT633" s="23"/>
      <c r="BU633" s="23"/>
      <c r="BV633" s="23"/>
      <c r="BW633" s="23"/>
      <c r="BX633" s="23"/>
      <c r="BY633" s="23"/>
      <c r="BZ633" s="23"/>
      <c r="CA633" s="23"/>
      <c r="CB633" s="23"/>
      <c r="CC633" s="23"/>
      <c r="CD633" s="23"/>
      <c r="CE633" s="23"/>
      <c r="CF633" s="23"/>
      <c r="CG633" s="23"/>
      <c r="CH633" s="23"/>
      <c r="CI633" s="23"/>
      <c r="CJ633" s="23"/>
      <c r="CK633" s="23"/>
      <c r="CL633" s="23"/>
      <c r="CM633" s="23"/>
      <c r="CN633" s="23"/>
      <c r="CO633" s="23"/>
      <c r="CP633" s="23"/>
      <c r="CQ633" s="23"/>
      <c r="CR633" s="23"/>
      <c r="CS633" s="23"/>
      <c r="CT633" s="23"/>
      <c r="CU633" s="23"/>
      <c r="CV633" s="23"/>
      <c r="CW633" s="23"/>
      <c r="CX633" s="23"/>
      <c r="CY633" s="23"/>
      <c r="CZ633" s="23"/>
      <c r="DA633" s="23"/>
      <c r="DB633" s="23"/>
      <c r="DC633" s="23"/>
      <c r="DD633" s="23"/>
      <c r="DE633" s="23"/>
      <c r="DF633" s="23"/>
      <c r="DG633" s="23"/>
      <c r="DH633" s="23"/>
      <c r="DI633" s="23"/>
      <c r="DJ633" s="23"/>
      <c r="DK633" s="23"/>
      <c r="DL633" s="23"/>
      <c r="DM633" s="23"/>
      <c r="DN633" s="23"/>
      <c r="DO633" s="23"/>
      <c r="DP633" s="23"/>
      <c r="DQ633" s="23"/>
      <c r="DR633" s="23"/>
      <c r="DS633" s="23"/>
      <c r="DT633" s="23"/>
      <c r="DU633" s="23"/>
      <c r="DV633" s="23"/>
      <c r="DW633" s="23"/>
      <c r="DX633" s="23"/>
      <c r="DY633" s="23"/>
      <c r="DZ633" s="23"/>
      <c r="EA633" s="23"/>
      <c r="EB633" s="23"/>
      <c r="EC633" s="23"/>
      <c r="ED633" s="23"/>
      <c r="EE633" s="23"/>
      <c r="EF633" s="23"/>
      <c r="EG633" s="23"/>
      <c r="EH633" s="23"/>
      <c r="EI633" s="23"/>
      <c r="EJ633" s="23"/>
      <c r="EK633" s="23"/>
      <c r="EL633" s="23"/>
      <c r="EM633" s="23"/>
      <c r="EN633" s="23"/>
      <c r="EO633" s="23"/>
      <c r="EP633" s="23"/>
      <c r="EQ633" s="23"/>
      <c r="ER633" s="23"/>
      <c r="ES633" s="23"/>
      <c r="ET633" s="23"/>
      <c r="EU633" s="23"/>
      <c r="EV633" s="23"/>
      <c r="EW633" s="23"/>
      <c r="EX633" s="23"/>
      <c r="EY633" s="23"/>
      <c r="EZ633" s="23"/>
      <c r="FA633" s="23"/>
      <c r="FB633" s="23"/>
      <c r="FC633" s="23"/>
      <c r="FD633" s="23"/>
      <c r="FE633" s="23"/>
      <c r="FF633" s="23"/>
      <c r="FG633" s="23"/>
      <c r="FH633" s="23"/>
      <c r="FI633" s="23"/>
      <c r="FJ633" s="23"/>
      <c r="FK633" s="23"/>
      <c r="FL633" s="23"/>
      <c r="FM633" s="23"/>
      <c r="FN633" s="23"/>
      <c r="FO633" s="23"/>
      <c r="FP633" s="23"/>
      <c r="FQ633" s="23"/>
      <c r="FR633" s="23"/>
      <c r="FS633" s="23"/>
      <c r="FT633" s="23"/>
      <c r="FU633" s="23"/>
      <c r="FV633" s="23"/>
      <c r="FW633" s="23"/>
      <c r="FX633" s="23"/>
      <c r="FY633" s="23"/>
      <c r="FZ633" s="23"/>
      <c r="GA633" s="23"/>
      <c r="GB633" s="23"/>
      <c r="GC633" s="23"/>
      <c r="GD633" s="23"/>
      <c r="GE633" s="23"/>
      <c r="GF633" s="23"/>
      <c r="GG633" s="23"/>
      <c r="GH633" s="23"/>
      <c r="GI633" s="23"/>
      <c r="GJ633" s="23"/>
      <c r="GK633" s="23"/>
      <c r="GL633" s="23"/>
    </row>
    <row r="634" spans="1:194" ht="13">
      <c r="A634" s="23"/>
      <c r="B634" s="23"/>
      <c r="C634" s="23"/>
      <c r="D634" s="23"/>
      <c r="E634" s="23"/>
      <c r="F634" s="23"/>
      <c r="G634" s="23"/>
      <c r="H634" s="401"/>
      <c r="I634" s="401"/>
      <c r="J634" s="401"/>
      <c r="K634" s="401"/>
      <c r="L634" s="401"/>
      <c r="M634" s="438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  <c r="AL634" s="23"/>
      <c r="AM634" s="23"/>
      <c r="AN634" s="23"/>
      <c r="AO634" s="23"/>
      <c r="AP634" s="23"/>
      <c r="AQ634" s="23"/>
      <c r="AR634" s="23"/>
      <c r="AS634" s="23"/>
      <c r="AT634" s="23"/>
      <c r="AU634" s="23"/>
      <c r="AV634" s="23"/>
      <c r="AW634" s="23"/>
      <c r="AX634" s="23"/>
      <c r="AY634" s="23"/>
      <c r="AZ634" s="23"/>
      <c r="BA634" s="23"/>
      <c r="BB634" s="23"/>
      <c r="BC634" s="23"/>
      <c r="BD634" s="23"/>
      <c r="BE634" s="23"/>
      <c r="BF634" s="23"/>
      <c r="BG634" s="23"/>
      <c r="BH634" s="23"/>
      <c r="BI634" s="23"/>
      <c r="BJ634" s="23"/>
      <c r="BK634" s="23"/>
      <c r="BL634" s="23"/>
      <c r="BM634" s="23"/>
      <c r="BN634" s="23"/>
      <c r="BO634" s="23"/>
      <c r="BP634" s="23"/>
      <c r="BQ634" s="23"/>
      <c r="BR634" s="23"/>
      <c r="BS634" s="23"/>
      <c r="BT634" s="23"/>
      <c r="BU634" s="23"/>
      <c r="BV634" s="23"/>
      <c r="BW634" s="23"/>
      <c r="BX634" s="23"/>
      <c r="BY634" s="23"/>
      <c r="BZ634" s="23"/>
      <c r="CA634" s="23"/>
      <c r="CB634" s="23"/>
      <c r="CC634" s="23"/>
      <c r="CD634" s="23"/>
      <c r="CE634" s="23"/>
      <c r="CF634" s="23"/>
      <c r="CG634" s="23"/>
      <c r="CH634" s="23"/>
      <c r="CI634" s="23"/>
      <c r="CJ634" s="23"/>
      <c r="CK634" s="23"/>
      <c r="CL634" s="23"/>
      <c r="CM634" s="23"/>
      <c r="CN634" s="23"/>
      <c r="CO634" s="23"/>
      <c r="CP634" s="23"/>
      <c r="CQ634" s="23"/>
      <c r="CR634" s="23"/>
      <c r="CS634" s="23"/>
      <c r="CT634" s="23"/>
      <c r="CU634" s="23"/>
      <c r="CV634" s="23"/>
      <c r="CW634" s="23"/>
      <c r="CX634" s="23"/>
      <c r="CY634" s="23"/>
      <c r="CZ634" s="23"/>
      <c r="DA634" s="23"/>
      <c r="DB634" s="23"/>
      <c r="DC634" s="23"/>
      <c r="DD634" s="23"/>
      <c r="DE634" s="23"/>
      <c r="DF634" s="23"/>
      <c r="DG634" s="23"/>
      <c r="DH634" s="23"/>
      <c r="DI634" s="23"/>
      <c r="DJ634" s="23"/>
      <c r="DK634" s="23"/>
      <c r="DL634" s="23"/>
      <c r="DM634" s="23"/>
      <c r="DN634" s="23"/>
      <c r="DO634" s="23"/>
      <c r="DP634" s="23"/>
      <c r="DQ634" s="23"/>
      <c r="DR634" s="23"/>
      <c r="DS634" s="23"/>
      <c r="DT634" s="23"/>
      <c r="DU634" s="23"/>
      <c r="DV634" s="23"/>
      <c r="DW634" s="23"/>
      <c r="DX634" s="23"/>
      <c r="DY634" s="23"/>
      <c r="DZ634" s="23"/>
      <c r="EA634" s="23"/>
      <c r="EB634" s="23"/>
      <c r="EC634" s="23"/>
      <c r="ED634" s="23"/>
      <c r="EE634" s="23"/>
      <c r="EF634" s="23"/>
      <c r="EG634" s="23"/>
      <c r="EH634" s="23"/>
      <c r="EI634" s="23"/>
      <c r="EJ634" s="23"/>
      <c r="EK634" s="23"/>
      <c r="EL634" s="23"/>
      <c r="EM634" s="23"/>
      <c r="EN634" s="23"/>
      <c r="EO634" s="23"/>
      <c r="EP634" s="23"/>
      <c r="EQ634" s="23"/>
      <c r="ER634" s="23"/>
      <c r="ES634" s="23"/>
      <c r="ET634" s="23"/>
      <c r="EU634" s="23"/>
      <c r="EV634" s="23"/>
      <c r="EW634" s="23"/>
      <c r="EX634" s="23"/>
      <c r="EY634" s="23"/>
      <c r="EZ634" s="23"/>
      <c r="FA634" s="23"/>
      <c r="FB634" s="23"/>
      <c r="FC634" s="23"/>
      <c r="FD634" s="23"/>
      <c r="FE634" s="23"/>
      <c r="FF634" s="23"/>
      <c r="FG634" s="23"/>
      <c r="FH634" s="23"/>
      <c r="FI634" s="23"/>
      <c r="FJ634" s="23"/>
      <c r="FK634" s="23"/>
      <c r="FL634" s="23"/>
      <c r="FM634" s="23"/>
      <c r="FN634" s="23"/>
      <c r="FO634" s="23"/>
      <c r="FP634" s="23"/>
      <c r="FQ634" s="23"/>
      <c r="FR634" s="23"/>
      <c r="FS634" s="23"/>
      <c r="FT634" s="23"/>
      <c r="FU634" s="23"/>
      <c r="FV634" s="23"/>
      <c r="FW634" s="23"/>
      <c r="FX634" s="23"/>
      <c r="FY634" s="23"/>
      <c r="FZ634" s="23"/>
      <c r="GA634" s="23"/>
      <c r="GB634" s="23"/>
      <c r="GC634" s="23"/>
      <c r="GD634" s="23"/>
      <c r="GE634" s="23"/>
      <c r="GF634" s="23"/>
      <c r="GG634" s="23"/>
      <c r="GH634" s="23"/>
      <c r="GI634" s="23"/>
      <c r="GJ634" s="23"/>
      <c r="GK634" s="23"/>
      <c r="GL634" s="23"/>
    </row>
    <row r="635" spans="1:194" ht="13">
      <c r="A635" s="23"/>
      <c r="B635" s="23"/>
      <c r="C635" s="23"/>
      <c r="D635" s="23"/>
      <c r="E635" s="23"/>
      <c r="F635" s="23"/>
      <c r="G635" s="23"/>
      <c r="H635" s="401"/>
      <c r="I635" s="401"/>
      <c r="J635" s="401"/>
      <c r="K635" s="401"/>
      <c r="L635" s="401"/>
      <c r="M635" s="438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  <c r="AL635" s="23"/>
      <c r="AM635" s="23"/>
      <c r="AN635" s="23"/>
      <c r="AO635" s="23"/>
      <c r="AP635" s="23"/>
      <c r="AQ635" s="23"/>
      <c r="AR635" s="23"/>
      <c r="AS635" s="23"/>
      <c r="AT635" s="23"/>
      <c r="AU635" s="23"/>
      <c r="AV635" s="23"/>
      <c r="AW635" s="23"/>
      <c r="AX635" s="23"/>
      <c r="AY635" s="23"/>
      <c r="AZ635" s="23"/>
      <c r="BA635" s="23"/>
      <c r="BB635" s="23"/>
      <c r="BC635" s="23"/>
      <c r="BD635" s="23"/>
      <c r="BE635" s="23"/>
      <c r="BF635" s="23"/>
      <c r="BG635" s="23"/>
      <c r="BH635" s="23"/>
      <c r="BI635" s="23"/>
      <c r="BJ635" s="23"/>
      <c r="BK635" s="23"/>
      <c r="BL635" s="23"/>
      <c r="BM635" s="23"/>
      <c r="BN635" s="23"/>
      <c r="BO635" s="23"/>
      <c r="BP635" s="23"/>
      <c r="BQ635" s="23"/>
      <c r="BR635" s="23"/>
      <c r="BS635" s="23"/>
      <c r="BT635" s="23"/>
      <c r="BU635" s="23"/>
      <c r="BV635" s="23"/>
      <c r="BW635" s="23"/>
      <c r="BX635" s="23"/>
      <c r="BY635" s="23"/>
      <c r="BZ635" s="23"/>
      <c r="CA635" s="23"/>
      <c r="CB635" s="23"/>
      <c r="CC635" s="23"/>
      <c r="CD635" s="23"/>
      <c r="CE635" s="23"/>
      <c r="CF635" s="23"/>
      <c r="CG635" s="23"/>
      <c r="CH635" s="23"/>
      <c r="CI635" s="23"/>
      <c r="CJ635" s="23"/>
      <c r="CK635" s="23"/>
      <c r="CL635" s="23"/>
      <c r="CM635" s="23"/>
      <c r="CN635" s="23"/>
      <c r="CO635" s="23"/>
      <c r="CP635" s="23"/>
      <c r="CQ635" s="23"/>
      <c r="CR635" s="23"/>
      <c r="CS635" s="23"/>
      <c r="CT635" s="23"/>
      <c r="CU635" s="23"/>
      <c r="CV635" s="23"/>
      <c r="CW635" s="23"/>
      <c r="CX635" s="23"/>
      <c r="CY635" s="23"/>
      <c r="CZ635" s="23"/>
      <c r="DA635" s="23"/>
      <c r="DB635" s="23"/>
      <c r="DC635" s="23"/>
      <c r="DD635" s="23"/>
      <c r="DE635" s="23"/>
      <c r="DF635" s="23"/>
      <c r="DG635" s="23"/>
      <c r="DH635" s="23"/>
      <c r="DI635" s="23"/>
      <c r="DJ635" s="23"/>
      <c r="DK635" s="23"/>
      <c r="DL635" s="23"/>
      <c r="DM635" s="23"/>
      <c r="DN635" s="23"/>
      <c r="DO635" s="23"/>
      <c r="DP635" s="23"/>
      <c r="DQ635" s="23"/>
      <c r="DR635" s="23"/>
      <c r="DS635" s="23"/>
      <c r="DT635" s="23"/>
      <c r="DU635" s="23"/>
      <c r="DV635" s="23"/>
      <c r="DW635" s="23"/>
      <c r="DX635" s="23"/>
      <c r="DY635" s="23"/>
      <c r="DZ635" s="23"/>
      <c r="EA635" s="23"/>
      <c r="EB635" s="23"/>
      <c r="EC635" s="23"/>
      <c r="ED635" s="23"/>
      <c r="EE635" s="23"/>
      <c r="EF635" s="23"/>
      <c r="EG635" s="23"/>
      <c r="EH635" s="23"/>
      <c r="EI635" s="23"/>
      <c r="EJ635" s="23"/>
      <c r="EK635" s="23"/>
      <c r="EL635" s="23"/>
      <c r="EM635" s="23"/>
      <c r="EN635" s="23"/>
      <c r="EO635" s="23"/>
      <c r="EP635" s="23"/>
      <c r="EQ635" s="23"/>
      <c r="ER635" s="23"/>
      <c r="ES635" s="23"/>
      <c r="ET635" s="23"/>
      <c r="EU635" s="23"/>
      <c r="EV635" s="23"/>
      <c r="EW635" s="23"/>
      <c r="EX635" s="23"/>
      <c r="EY635" s="23"/>
      <c r="EZ635" s="23"/>
      <c r="FA635" s="23"/>
      <c r="FB635" s="23"/>
      <c r="FC635" s="23"/>
      <c r="FD635" s="23"/>
      <c r="FE635" s="23"/>
      <c r="FF635" s="23"/>
      <c r="FG635" s="23"/>
      <c r="FH635" s="23"/>
      <c r="FI635" s="23"/>
      <c r="FJ635" s="23"/>
      <c r="FK635" s="23"/>
      <c r="FL635" s="23"/>
      <c r="FM635" s="23"/>
      <c r="FN635" s="23"/>
      <c r="FO635" s="23"/>
      <c r="FP635" s="23"/>
      <c r="FQ635" s="23"/>
      <c r="FR635" s="23"/>
      <c r="FS635" s="23"/>
      <c r="FT635" s="23"/>
      <c r="FU635" s="23"/>
      <c r="FV635" s="23"/>
      <c r="FW635" s="23"/>
      <c r="FX635" s="23"/>
      <c r="FY635" s="23"/>
      <c r="FZ635" s="23"/>
      <c r="GA635" s="23"/>
      <c r="GB635" s="23"/>
      <c r="GC635" s="23"/>
      <c r="GD635" s="23"/>
      <c r="GE635" s="23"/>
      <c r="GF635" s="23"/>
      <c r="GG635" s="23"/>
      <c r="GH635" s="23"/>
      <c r="GI635" s="23"/>
      <c r="GJ635" s="23"/>
      <c r="GK635" s="23"/>
      <c r="GL635" s="23"/>
    </row>
    <row r="636" spans="1:194" ht="13">
      <c r="A636" s="23"/>
      <c r="B636" s="23"/>
      <c r="C636" s="23"/>
      <c r="D636" s="23"/>
      <c r="E636" s="23"/>
      <c r="F636" s="23"/>
      <c r="G636" s="23"/>
      <c r="H636" s="401"/>
      <c r="I636" s="401"/>
      <c r="J636" s="401"/>
      <c r="K636" s="401"/>
      <c r="L636" s="401"/>
      <c r="M636" s="438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  <c r="AL636" s="23"/>
      <c r="AM636" s="23"/>
      <c r="AN636" s="23"/>
      <c r="AO636" s="23"/>
      <c r="AP636" s="23"/>
      <c r="AQ636" s="23"/>
      <c r="AR636" s="23"/>
      <c r="AS636" s="23"/>
      <c r="AT636" s="23"/>
      <c r="AU636" s="23"/>
      <c r="AV636" s="23"/>
      <c r="AW636" s="23"/>
      <c r="AX636" s="23"/>
      <c r="AY636" s="23"/>
      <c r="AZ636" s="23"/>
      <c r="BA636" s="23"/>
      <c r="BB636" s="23"/>
      <c r="BC636" s="23"/>
      <c r="BD636" s="23"/>
      <c r="BE636" s="23"/>
      <c r="BF636" s="23"/>
      <c r="BG636" s="23"/>
      <c r="BH636" s="23"/>
      <c r="BI636" s="23"/>
      <c r="BJ636" s="23"/>
      <c r="BK636" s="23"/>
      <c r="BL636" s="23"/>
      <c r="BM636" s="23"/>
      <c r="BN636" s="23"/>
      <c r="BO636" s="23"/>
      <c r="BP636" s="23"/>
      <c r="BQ636" s="23"/>
      <c r="BR636" s="23"/>
      <c r="BS636" s="23"/>
      <c r="BT636" s="23"/>
      <c r="BU636" s="23"/>
      <c r="BV636" s="23"/>
      <c r="BW636" s="23"/>
      <c r="BX636" s="23"/>
      <c r="BY636" s="23"/>
      <c r="BZ636" s="23"/>
      <c r="CA636" s="23"/>
      <c r="CB636" s="23"/>
      <c r="CC636" s="23"/>
      <c r="CD636" s="23"/>
      <c r="CE636" s="23"/>
      <c r="CF636" s="23"/>
      <c r="CG636" s="23"/>
      <c r="CH636" s="23"/>
      <c r="CI636" s="23"/>
      <c r="CJ636" s="23"/>
      <c r="CK636" s="23"/>
      <c r="CL636" s="23"/>
      <c r="CM636" s="23"/>
      <c r="CN636" s="23"/>
      <c r="CO636" s="23"/>
      <c r="CP636" s="23"/>
      <c r="CQ636" s="23"/>
      <c r="CR636" s="23"/>
      <c r="CS636" s="23"/>
      <c r="CT636" s="23"/>
      <c r="CU636" s="23"/>
      <c r="CV636" s="23"/>
      <c r="CW636" s="23"/>
      <c r="CX636" s="23"/>
      <c r="CY636" s="23"/>
      <c r="CZ636" s="23"/>
      <c r="DA636" s="23"/>
      <c r="DB636" s="23"/>
      <c r="DC636" s="23"/>
      <c r="DD636" s="23"/>
      <c r="DE636" s="23"/>
      <c r="DF636" s="23"/>
      <c r="DG636" s="23"/>
      <c r="DH636" s="23"/>
      <c r="DI636" s="23"/>
      <c r="DJ636" s="23"/>
      <c r="DK636" s="23"/>
      <c r="DL636" s="23"/>
      <c r="DM636" s="23"/>
      <c r="DN636" s="23"/>
      <c r="DO636" s="23"/>
      <c r="DP636" s="23"/>
      <c r="DQ636" s="23"/>
      <c r="DR636" s="23"/>
      <c r="DS636" s="23"/>
      <c r="DT636" s="23"/>
      <c r="DU636" s="23"/>
      <c r="DV636" s="23"/>
      <c r="DW636" s="23"/>
      <c r="DX636" s="23"/>
      <c r="DY636" s="23"/>
      <c r="DZ636" s="23"/>
      <c r="EA636" s="23"/>
      <c r="EB636" s="23"/>
      <c r="EC636" s="23"/>
      <c r="ED636" s="23"/>
      <c r="EE636" s="23"/>
      <c r="EF636" s="23"/>
      <c r="EG636" s="23"/>
      <c r="EH636" s="23"/>
      <c r="EI636" s="23"/>
      <c r="EJ636" s="23"/>
      <c r="EK636" s="23"/>
      <c r="EL636" s="23"/>
      <c r="EM636" s="23"/>
      <c r="EN636" s="23"/>
      <c r="EO636" s="23"/>
      <c r="EP636" s="23"/>
      <c r="EQ636" s="23"/>
      <c r="ER636" s="23"/>
      <c r="ES636" s="23"/>
      <c r="ET636" s="23"/>
      <c r="EU636" s="23"/>
      <c r="EV636" s="23"/>
      <c r="EW636" s="23"/>
      <c r="EX636" s="23"/>
      <c r="EY636" s="23"/>
      <c r="EZ636" s="23"/>
      <c r="FA636" s="23"/>
      <c r="FB636" s="23"/>
      <c r="FC636" s="23"/>
      <c r="FD636" s="23"/>
      <c r="FE636" s="23"/>
      <c r="FF636" s="23"/>
      <c r="FG636" s="23"/>
      <c r="FH636" s="23"/>
      <c r="FI636" s="23"/>
      <c r="FJ636" s="23"/>
      <c r="FK636" s="23"/>
      <c r="FL636" s="23"/>
      <c r="FM636" s="23"/>
      <c r="FN636" s="23"/>
      <c r="FO636" s="23"/>
      <c r="FP636" s="23"/>
      <c r="FQ636" s="23"/>
      <c r="FR636" s="23"/>
      <c r="FS636" s="23"/>
      <c r="FT636" s="23"/>
      <c r="FU636" s="23"/>
      <c r="FV636" s="23"/>
      <c r="FW636" s="23"/>
      <c r="FX636" s="23"/>
      <c r="FY636" s="23"/>
      <c r="FZ636" s="23"/>
      <c r="GA636" s="23"/>
      <c r="GB636" s="23"/>
      <c r="GC636" s="23"/>
      <c r="GD636" s="23"/>
      <c r="GE636" s="23"/>
      <c r="GF636" s="23"/>
      <c r="GG636" s="23"/>
      <c r="GH636" s="23"/>
      <c r="GI636" s="23"/>
      <c r="GJ636" s="23"/>
      <c r="GK636" s="23"/>
      <c r="GL636" s="23"/>
    </row>
    <row r="637" spans="1:194" ht="13">
      <c r="A637" s="23"/>
      <c r="B637" s="23"/>
      <c r="C637" s="23"/>
      <c r="D637" s="23"/>
      <c r="E637" s="23"/>
      <c r="F637" s="23"/>
      <c r="G637" s="23"/>
      <c r="H637" s="401"/>
      <c r="I637" s="401"/>
      <c r="J637" s="401"/>
      <c r="K637" s="401"/>
      <c r="L637" s="401"/>
      <c r="M637" s="438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  <c r="AL637" s="23"/>
      <c r="AM637" s="23"/>
      <c r="AN637" s="23"/>
      <c r="AO637" s="23"/>
      <c r="AP637" s="23"/>
      <c r="AQ637" s="23"/>
      <c r="AR637" s="23"/>
      <c r="AS637" s="23"/>
      <c r="AT637" s="23"/>
      <c r="AU637" s="23"/>
      <c r="AV637" s="23"/>
      <c r="AW637" s="23"/>
      <c r="AX637" s="23"/>
      <c r="AY637" s="23"/>
      <c r="AZ637" s="23"/>
      <c r="BA637" s="23"/>
      <c r="BB637" s="23"/>
      <c r="BC637" s="23"/>
      <c r="BD637" s="23"/>
      <c r="BE637" s="23"/>
      <c r="BF637" s="23"/>
      <c r="BG637" s="23"/>
      <c r="BH637" s="23"/>
      <c r="BI637" s="23"/>
      <c r="BJ637" s="23"/>
      <c r="BK637" s="23"/>
      <c r="BL637" s="23"/>
      <c r="BM637" s="23"/>
      <c r="BN637" s="23"/>
      <c r="BO637" s="23"/>
      <c r="BP637" s="23"/>
      <c r="BQ637" s="23"/>
      <c r="BR637" s="23"/>
      <c r="BS637" s="23"/>
      <c r="BT637" s="23"/>
      <c r="BU637" s="23"/>
      <c r="BV637" s="23"/>
      <c r="BW637" s="23"/>
      <c r="BX637" s="23"/>
      <c r="BY637" s="23"/>
      <c r="BZ637" s="23"/>
      <c r="CA637" s="23"/>
      <c r="CB637" s="23"/>
      <c r="CC637" s="23"/>
      <c r="CD637" s="23"/>
      <c r="CE637" s="23"/>
      <c r="CF637" s="23"/>
      <c r="CG637" s="23"/>
      <c r="CH637" s="23"/>
      <c r="CI637" s="23"/>
      <c r="CJ637" s="23"/>
      <c r="CK637" s="23"/>
      <c r="CL637" s="23"/>
      <c r="CM637" s="23"/>
      <c r="CN637" s="23"/>
      <c r="CO637" s="23"/>
      <c r="CP637" s="23"/>
      <c r="CQ637" s="23"/>
      <c r="CR637" s="23"/>
      <c r="CS637" s="23"/>
      <c r="CT637" s="23"/>
      <c r="CU637" s="23"/>
      <c r="CV637" s="23"/>
      <c r="CW637" s="23"/>
      <c r="CX637" s="23"/>
      <c r="CY637" s="23"/>
      <c r="CZ637" s="23"/>
      <c r="DA637" s="23"/>
      <c r="DB637" s="23"/>
      <c r="DC637" s="23"/>
      <c r="DD637" s="23"/>
      <c r="DE637" s="23"/>
      <c r="DF637" s="23"/>
      <c r="DG637" s="23"/>
      <c r="DH637" s="23"/>
      <c r="DI637" s="23"/>
      <c r="DJ637" s="23"/>
      <c r="DK637" s="23"/>
      <c r="DL637" s="23"/>
      <c r="DM637" s="23"/>
      <c r="DN637" s="23"/>
      <c r="DO637" s="23"/>
      <c r="DP637" s="23"/>
      <c r="DQ637" s="23"/>
      <c r="DR637" s="23"/>
      <c r="DS637" s="23"/>
      <c r="DT637" s="23"/>
      <c r="DU637" s="23"/>
      <c r="DV637" s="23"/>
      <c r="DW637" s="23"/>
      <c r="DX637" s="23"/>
      <c r="DY637" s="23"/>
      <c r="DZ637" s="23"/>
      <c r="EA637" s="23"/>
      <c r="EB637" s="23"/>
      <c r="EC637" s="23"/>
      <c r="ED637" s="23"/>
      <c r="EE637" s="23"/>
      <c r="EF637" s="23"/>
      <c r="EG637" s="23"/>
      <c r="EH637" s="23"/>
      <c r="EI637" s="23"/>
      <c r="EJ637" s="23"/>
      <c r="EK637" s="23"/>
      <c r="EL637" s="23"/>
      <c r="EM637" s="23"/>
      <c r="EN637" s="23"/>
      <c r="EO637" s="23"/>
      <c r="EP637" s="23"/>
      <c r="EQ637" s="23"/>
      <c r="ER637" s="23"/>
      <c r="ES637" s="23"/>
      <c r="ET637" s="23"/>
      <c r="EU637" s="23"/>
      <c r="EV637" s="23"/>
      <c r="EW637" s="23"/>
      <c r="EX637" s="23"/>
      <c r="EY637" s="23"/>
      <c r="EZ637" s="23"/>
      <c r="FA637" s="23"/>
      <c r="FB637" s="23"/>
      <c r="FC637" s="23"/>
      <c r="FD637" s="23"/>
      <c r="FE637" s="23"/>
      <c r="FF637" s="23"/>
      <c r="FG637" s="23"/>
      <c r="FH637" s="23"/>
      <c r="FI637" s="23"/>
      <c r="FJ637" s="23"/>
      <c r="FK637" s="23"/>
      <c r="FL637" s="23"/>
      <c r="FM637" s="23"/>
      <c r="FN637" s="23"/>
      <c r="FO637" s="23"/>
      <c r="FP637" s="23"/>
      <c r="FQ637" s="23"/>
      <c r="FR637" s="23"/>
      <c r="FS637" s="23"/>
      <c r="FT637" s="23"/>
      <c r="FU637" s="23"/>
      <c r="FV637" s="23"/>
      <c r="FW637" s="23"/>
      <c r="FX637" s="23"/>
      <c r="FY637" s="23"/>
      <c r="FZ637" s="23"/>
      <c r="GA637" s="23"/>
      <c r="GB637" s="23"/>
      <c r="GC637" s="23"/>
      <c r="GD637" s="23"/>
      <c r="GE637" s="23"/>
      <c r="GF637" s="23"/>
      <c r="GG637" s="23"/>
      <c r="GH637" s="23"/>
      <c r="GI637" s="23"/>
      <c r="GJ637" s="23"/>
      <c r="GK637" s="23"/>
      <c r="GL637" s="23"/>
    </row>
    <row r="638" spans="1:194" ht="13">
      <c r="A638" s="23"/>
      <c r="B638" s="23"/>
      <c r="C638" s="23"/>
      <c r="D638" s="23"/>
      <c r="E638" s="23"/>
      <c r="F638" s="23"/>
      <c r="G638" s="23"/>
      <c r="H638" s="401"/>
      <c r="I638" s="401"/>
      <c r="J638" s="401"/>
      <c r="K638" s="401"/>
      <c r="L638" s="401"/>
      <c r="M638" s="438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  <c r="AL638" s="23"/>
      <c r="AM638" s="23"/>
      <c r="AN638" s="23"/>
      <c r="AO638" s="23"/>
      <c r="AP638" s="23"/>
      <c r="AQ638" s="23"/>
      <c r="AR638" s="23"/>
      <c r="AS638" s="23"/>
      <c r="AT638" s="23"/>
      <c r="AU638" s="23"/>
      <c r="AV638" s="23"/>
      <c r="AW638" s="23"/>
      <c r="AX638" s="23"/>
      <c r="AY638" s="23"/>
      <c r="AZ638" s="23"/>
      <c r="BA638" s="23"/>
      <c r="BB638" s="23"/>
      <c r="BC638" s="23"/>
      <c r="BD638" s="23"/>
      <c r="BE638" s="23"/>
      <c r="BF638" s="23"/>
      <c r="BG638" s="23"/>
      <c r="BH638" s="23"/>
      <c r="BI638" s="23"/>
      <c r="BJ638" s="23"/>
      <c r="BK638" s="23"/>
      <c r="BL638" s="23"/>
      <c r="BM638" s="23"/>
      <c r="BN638" s="23"/>
      <c r="BO638" s="23"/>
      <c r="BP638" s="23"/>
      <c r="BQ638" s="23"/>
      <c r="BR638" s="23"/>
      <c r="BS638" s="23"/>
      <c r="BT638" s="23"/>
      <c r="BU638" s="23"/>
      <c r="BV638" s="23"/>
      <c r="BW638" s="23"/>
      <c r="BX638" s="23"/>
      <c r="BY638" s="23"/>
      <c r="BZ638" s="23"/>
      <c r="CA638" s="23"/>
      <c r="CB638" s="23"/>
      <c r="CC638" s="23"/>
      <c r="CD638" s="23"/>
      <c r="CE638" s="23"/>
      <c r="CF638" s="23"/>
      <c r="CG638" s="23"/>
      <c r="CH638" s="23"/>
      <c r="CI638" s="23"/>
      <c r="CJ638" s="23"/>
      <c r="CK638" s="23"/>
      <c r="CL638" s="23"/>
      <c r="CM638" s="23"/>
      <c r="CN638" s="23"/>
      <c r="CO638" s="23"/>
      <c r="CP638" s="23"/>
      <c r="CQ638" s="23"/>
      <c r="CR638" s="23"/>
      <c r="CS638" s="23"/>
      <c r="CT638" s="23"/>
      <c r="CU638" s="23"/>
      <c r="CV638" s="23"/>
      <c r="CW638" s="23"/>
      <c r="CX638" s="23"/>
      <c r="CY638" s="23"/>
      <c r="CZ638" s="23"/>
      <c r="DA638" s="23"/>
      <c r="DB638" s="23"/>
      <c r="DC638" s="23"/>
      <c r="DD638" s="23"/>
      <c r="DE638" s="23"/>
      <c r="DF638" s="23"/>
      <c r="DG638" s="23"/>
      <c r="DH638" s="23"/>
      <c r="DI638" s="23"/>
      <c r="DJ638" s="23"/>
      <c r="DK638" s="23"/>
      <c r="DL638" s="23"/>
      <c r="DM638" s="23"/>
      <c r="DN638" s="23"/>
      <c r="DO638" s="23"/>
      <c r="DP638" s="23"/>
      <c r="DQ638" s="23"/>
      <c r="DR638" s="23"/>
      <c r="DS638" s="23"/>
      <c r="DT638" s="23"/>
      <c r="DU638" s="23"/>
      <c r="DV638" s="23"/>
      <c r="DW638" s="23"/>
      <c r="DX638" s="23"/>
      <c r="DY638" s="23"/>
      <c r="DZ638" s="23"/>
      <c r="EA638" s="23"/>
      <c r="EB638" s="23"/>
      <c r="EC638" s="23"/>
      <c r="ED638" s="23"/>
      <c r="EE638" s="23"/>
      <c r="EF638" s="23"/>
      <c r="EG638" s="23"/>
      <c r="EH638" s="23"/>
      <c r="EI638" s="23"/>
      <c r="EJ638" s="23"/>
      <c r="EK638" s="23"/>
      <c r="EL638" s="23"/>
      <c r="EM638" s="23"/>
      <c r="EN638" s="23"/>
      <c r="EO638" s="23"/>
      <c r="EP638" s="23"/>
      <c r="EQ638" s="23"/>
      <c r="ER638" s="23"/>
      <c r="ES638" s="23"/>
      <c r="ET638" s="23"/>
      <c r="EU638" s="23"/>
      <c r="EV638" s="23"/>
      <c r="EW638" s="23"/>
      <c r="EX638" s="23"/>
      <c r="EY638" s="23"/>
      <c r="EZ638" s="23"/>
      <c r="FA638" s="23"/>
      <c r="FB638" s="23"/>
      <c r="FC638" s="23"/>
      <c r="FD638" s="23"/>
      <c r="FE638" s="23"/>
      <c r="FF638" s="23"/>
      <c r="FG638" s="23"/>
      <c r="FH638" s="23"/>
      <c r="FI638" s="23"/>
      <c r="FJ638" s="23"/>
      <c r="FK638" s="23"/>
      <c r="FL638" s="23"/>
      <c r="FM638" s="23"/>
      <c r="FN638" s="23"/>
      <c r="FO638" s="23"/>
      <c r="FP638" s="23"/>
      <c r="FQ638" s="23"/>
      <c r="FR638" s="23"/>
      <c r="FS638" s="23"/>
      <c r="FT638" s="23"/>
      <c r="FU638" s="23"/>
      <c r="FV638" s="23"/>
      <c r="FW638" s="23"/>
      <c r="FX638" s="23"/>
      <c r="FY638" s="23"/>
      <c r="FZ638" s="23"/>
      <c r="GA638" s="23"/>
      <c r="GB638" s="23"/>
      <c r="GC638" s="23"/>
      <c r="GD638" s="23"/>
      <c r="GE638" s="23"/>
      <c r="GF638" s="23"/>
      <c r="GG638" s="23"/>
      <c r="GH638" s="23"/>
      <c r="GI638" s="23"/>
      <c r="GJ638" s="23"/>
      <c r="GK638" s="23"/>
      <c r="GL638" s="23"/>
    </row>
    <row r="639" spans="1:194" ht="13">
      <c r="A639" s="23"/>
      <c r="B639" s="23"/>
      <c r="C639" s="23"/>
      <c r="D639" s="23"/>
      <c r="E639" s="23"/>
      <c r="F639" s="23"/>
      <c r="G639" s="23"/>
      <c r="H639" s="401"/>
      <c r="I639" s="401"/>
      <c r="J639" s="401"/>
      <c r="K639" s="401"/>
      <c r="L639" s="401"/>
      <c r="M639" s="438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  <c r="AL639" s="23"/>
      <c r="AM639" s="23"/>
      <c r="AN639" s="23"/>
      <c r="AO639" s="23"/>
      <c r="AP639" s="23"/>
      <c r="AQ639" s="23"/>
      <c r="AR639" s="23"/>
      <c r="AS639" s="23"/>
      <c r="AT639" s="23"/>
      <c r="AU639" s="23"/>
      <c r="AV639" s="23"/>
      <c r="AW639" s="23"/>
      <c r="AX639" s="23"/>
      <c r="AY639" s="23"/>
      <c r="AZ639" s="23"/>
      <c r="BA639" s="23"/>
      <c r="BB639" s="23"/>
      <c r="BC639" s="23"/>
      <c r="BD639" s="23"/>
      <c r="BE639" s="23"/>
      <c r="BF639" s="23"/>
      <c r="BG639" s="23"/>
      <c r="BH639" s="23"/>
      <c r="BI639" s="23"/>
      <c r="BJ639" s="23"/>
      <c r="BK639" s="23"/>
      <c r="BL639" s="23"/>
      <c r="BM639" s="23"/>
      <c r="BN639" s="23"/>
      <c r="BO639" s="23"/>
      <c r="BP639" s="23"/>
      <c r="BQ639" s="23"/>
      <c r="BR639" s="23"/>
      <c r="BS639" s="23"/>
      <c r="BT639" s="23"/>
      <c r="BU639" s="23"/>
      <c r="BV639" s="23"/>
      <c r="BW639" s="23"/>
      <c r="BX639" s="23"/>
      <c r="BY639" s="23"/>
      <c r="BZ639" s="23"/>
      <c r="CA639" s="23"/>
      <c r="CB639" s="23"/>
      <c r="CC639" s="23"/>
      <c r="CD639" s="23"/>
      <c r="CE639" s="23"/>
      <c r="CF639" s="23"/>
      <c r="CG639" s="23"/>
      <c r="CH639" s="23"/>
      <c r="CI639" s="23"/>
      <c r="CJ639" s="23"/>
      <c r="CK639" s="23"/>
      <c r="CL639" s="23"/>
      <c r="CM639" s="23"/>
      <c r="CN639" s="23"/>
      <c r="CO639" s="23"/>
      <c r="CP639" s="23"/>
      <c r="CQ639" s="23"/>
      <c r="CR639" s="23"/>
      <c r="CS639" s="23"/>
      <c r="CT639" s="23"/>
      <c r="CU639" s="23"/>
      <c r="CV639" s="23"/>
      <c r="CW639" s="23"/>
      <c r="CX639" s="23"/>
      <c r="CY639" s="23"/>
      <c r="CZ639" s="23"/>
      <c r="DA639" s="23"/>
      <c r="DB639" s="23"/>
      <c r="DC639" s="23"/>
      <c r="DD639" s="23"/>
      <c r="DE639" s="23"/>
      <c r="DF639" s="23"/>
      <c r="DG639" s="23"/>
      <c r="DH639" s="23"/>
      <c r="DI639" s="23"/>
      <c r="DJ639" s="23"/>
      <c r="DK639" s="23"/>
      <c r="DL639" s="23"/>
      <c r="DM639" s="23"/>
      <c r="DN639" s="23"/>
      <c r="DO639" s="23"/>
      <c r="DP639" s="23"/>
      <c r="DQ639" s="23"/>
      <c r="DR639" s="23"/>
      <c r="DS639" s="23"/>
      <c r="DT639" s="23"/>
      <c r="DU639" s="23"/>
      <c r="DV639" s="23"/>
      <c r="DW639" s="23"/>
      <c r="DX639" s="23"/>
      <c r="DY639" s="23"/>
      <c r="DZ639" s="23"/>
      <c r="EA639" s="23"/>
      <c r="EB639" s="23"/>
      <c r="EC639" s="23"/>
      <c r="ED639" s="23"/>
      <c r="EE639" s="23"/>
      <c r="EF639" s="23"/>
      <c r="EG639" s="23"/>
      <c r="EH639" s="23"/>
      <c r="EI639" s="23"/>
      <c r="EJ639" s="23"/>
      <c r="EK639" s="23"/>
      <c r="EL639" s="23"/>
      <c r="EM639" s="23"/>
      <c r="EN639" s="23"/>
      <c r="EO639" s="23"/>
      <c r="EP639" s="23"/>
      <c r="EQ639" s="23"/>
      <c r="ER639" s="23"/>
      <c r="ES639" s="23"/>
      <c r="ET639" s="23"/>
      <c r="EU639" s="23"/>
      <c r="EV639" s="23"/>
      <c r="EW639" s="23"/>
      <c r="EX639" s="23"/>
      <c r="EY639" s="23"/>
      <c r="EZ639" s="23"/>
      <c r="FA639" s="23"/>
      <c r="FB639" s="23"/>
      <c r="FC639" s="23"/>
      <c r="FD639" s="23"/>
      <c r="FE639" s="23"/>
      <c r="FF639" s="23"/>
      <c r="FG639" s="23"/>
      <c r="FH639" s="23"/>
      <c r="FI639" s="23"/>
      <c r="FJ639" s="23"/>
      <c r="FK639" s="23"/>
      <c r="FL639" s="23"/>
      <c r="FM639" s="23"/>
      <c r="FN639" s="23"/>
      <c r="FO639" s="23"/>
      <c r="FP639" s="23"/>
      <c r="FQ639" s="23"/>
      <c r="FR639" s="23"/>
      <c r="FS639" s="23"/>
      <c r="FT639" s="23"/>
      <c r="FU639" s="23"/>
      <c r="FV639" s="23"/>
      <c r="FW639" s="23"/>
      <c r="FX639" s="23"/>
      <c r="FY639" s="23"/>
      <c r="FZ639" s="23"/>
      <c r="GA639" s="23"/>
      <c r="GB639" s="23"/>
      <c r="GC639" s="23"/>
      <c r="GD639" s="23"/>
      <c r="GE639" s="23"/>
      <c r="GF639" s="23"/>
      <c r="GG639" s="23"/>
      <c r="GH639" s="23"/>
      <c r="GI639" s="23"/>
      <c r="GJ639" s="23"/>
      <c r="GK639" s="23"/>
      <c r="GL639" s="23"/>
    </row>
    <row r="640" spans="1:194" ht="13">
      <c r="A640" s="23"/>
      <c r="B640" s="23"/>
      <c r="C640" s="23"/>
      <c r="D640" s="23"/>
      <c r="E640" s="23"/>
      <c r="F640" s="23"/>
      <c r="G640" s="23"/>
      <c r="H640" s="401"/>
      <c r="I640" s="401"/>
      <c r="J640" s="401"/>
      <c r="K640" s="401"/>
      <c r="L640" s="401"/>
      <c r="M640" s="438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  <c r="AL640" s="23"/>
      <c r="AM640" s="23"/>
      <c r="AN640" s="23"/>
      <c r="AO640" s="23"/>
      <c r="AP640" s="23"/>
      <c r="AQ640" s="23"/>
      <c r="AR640" s="23"/>
      <c r="AS640" s="23"/>
      <c r="AT640" s="23"/>
      <c r="AU640" s="23"/>
      <c r="AV640" s="23"/>
      <c r="AW640" s="23"/>
      <c r="AX640" s="23"/>
      <c r="AY640" s="23"/>
      <c r="AZ640" s="23"/>
      <c r="BA640" s="23"/>
      <c r="BB640" s="23"/>
      <c r="BC640" s="23"/>
      <c r="BD640" s="23"/>
      <c r="BE640" s="23"/>
      <c r="BF640" s="23"/>
      <c r="BG640" s="23"/>
      <c r="BH640" s="23"/>
      <c r="BI640" s="23"/>
      <c r="BJ640" s="23"/>
      <c r="BK640" s="23"/>
      <c r="BL640" s="23"/>
      <c r="BM640" s="23"/>
      <c r="BN640" s="23"/>
      <c r="BO640" s="23"/>
      <c r="BP640" s="23"/>
      <c r="BQ640" s="23"/>
      <c r="BR640" s="23"/>
      <c r="BS640" s="23"/>
      <c r="BT640" s="23"/>
      <c r="BU640" s="23"/>
      <c r="BV640" s="23"/>
      <c r="BW640" s="23"/>
      <c r="BX640" s="23"/>
      <c r="BY640" s="23"/>
      <c r="BZ640" s="23"/>
      <c r="CA640" s="23"/>
      <c r="CB640" s="23"/>
      <c r="CC640" s="23"/>
      <c r="CD640" s="23"/>
      <c r="CE640" s="23"/>
      <c r="CF640" s="23"/>
      <c r="CG640" s="23"/>
      <c r="CH640" s="23"/>
      <c r="CI640" s="23"/>
      <c r="CJ640" s="23"/>
      <c r="CK640" s="23"/>
      <c r="CL640" s="23"/>
      <c r="CM640" s="23"/>
      <c r="CN640" s="23"/>
      <c r="CO640" s="23"/>
      <c r="CP640" s="23"/>
      <c r="CQ640" s="23"/>
      <c r="CR640" s="23"/>
      <c r="CS640" s="23"/>
      <c r="CT640" s="23"/>
      <c r="CU640" s="23"/>
      <c r="CV640" s="23"/>
      <c r="CW640" s="23"/>
      <c r="CX640" s="23"/>
      <c r="CY640" s="23"/>
      <c r="CZ640" s="23"/>
      <c r="DA640" s="23"/>
      <c r="DB640" s="23"/>
      <c r="DC640" s="23"/>
      <c r="DD640" s="23"/>
      <c r="DE640" s="23"/>
      <c r="DF640" s="23"/>
      <c r="DG640" s="23"/>
      <c r="DH640" s="23"/>
      <c r="DI640" s="23"/>
      <c r="DJ640" s="23"/>
      <c r="DK640" s="23"/>
      <c r="DL640" s="23"/>
      <c r="DM640" s="23"/>
      <c r="DN640" s="23"/>
      <c r="DO640" s="23"/>
      <c r="DP640" s="23"/>
      <c r="DQ640" s="23"/>
      <c r="DR640" s="23"/>
      <c r="DS640" s="23"/>
      <c r="DT640" s="23"/>
      <c r="DU640" s="23"/>
      <c r="DV640" s="23"/>
      <c r="DW640" s="23"/>
      <c r="DX640" s="23"/>
      <c r="DY640" s="23"/>
      <c r="DZ640" s="23"/>
      <c r="EA640" s="23"/>
      <c r="EB640" s="23"/>
      <c r="EC640" s="23"/>
      <c r="ED640" s="23"/>
      <c r="EE640" s="23"/>
      <c r="EF640" s="23"/>
      <c r="EG640" s="23"/>
      <c r="EH640" s="23"/>
      <c r="EI640" s="23"/>
      <c r="EJ640" s="23"/>
      <c r="EK640" s="23"/>
      <c r="EL640" s="23"/>
      <c r="EM640" s="23"/>
      <c r="EN640" s="23"/>
      <c r="EO640" s="23"/>
      <c r="EP640" s="23"/>
      <c r="EQ640" s="23"/>
      <c r="ER640" s="23"/>
      <c r="ES640" s="23"/>
      <c r="ET640" s="23"/>
      <c r="EU640" s="23"/>
      <c r="EV640" s="23"/>
      <c r="EW640" s="23"/>
      <c r="EX640" s="23"/>
      <c r="EY640" s="23"/>
      <c r="EZ640" s="23"/>
      <c r="FA640" s="23"/>
      <c r="FB640" s="23"/>
      <c r="FC640" s="23"/>
      <c r="FD640" s="23"/>
      <c r="FE640" s="23"/>
      <c r="FF640" s="23"/>
      <c r="FG640" s="23"/>
      <c r="FH640" s="23"/>
      <c r="FI640" s="23"/>
      <c r="FJ640" s="23"/>
      <c r="FK640" s="23"/>
      <c r="FL640" s="23"/>
      <c r="FM640" s="23"/>
      <c r="FN640" s="23"/>
      <c r="FO640" s="23"/>
      <c r="FP640" s="23"/>
      <c r="FQ640" s="23"/>
      <c r="FR640" s="23"/>
      <c r="FS640" s="23"/>
      <c r="FT640" s="23"/>
      <c r="FU640" s="23"/>
      <c r="FV640" s="23"/>
      <c r="FW640" s="23"/>
      <c r="FX640" s="23"/>
      <c r="FY640" s="23"/>
      <c r="FZ640" s="23"/>
      <c r="GA640" s="23"/>
      <c r="GB640" s="23"/>
      <c r="GC640" s="23"/>
      <c r="GD640" s="23"/>
      <c r="GE640" s="23"/>
      <c r="GF640" s="23"/>
      <c r="GG640" s="23"/>
      <c r="GH640" s="23"/>
      <c r="GI640" s="23"/>
      <c r="GJ640" s="23"/>
      <c r="GK640" s="23"/>
      <c r="GL640" s="23"/>
    </row>
    <row r="641" spans="1:194" ht="13">
      <c r="A641" s="23"/>
      <c r="B641" s="23"/>
      <c r="C641" s="23"/>
      <c r="D641" s="23"/>
      <c r="E641" s="23"/>
      <c r="F641" s="23"/>
      <c r="G641" s="23"/>
      <c r="H641" s="401"/>
      <c r="I641" s="401"/>
      <c r="J641" s="401"/>
      <c r="K641" s="401"/>
      <c r="L641" s="401"/>
      <c r="M641" s="438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  <c r="AL641" s="23"/>
      <c r="AM641" s="23"/>
      <c r="AN641" s="23"/>
      <c r="AO641" s="23"/>
      <c r="AP641" s="23"/>
      <c r="AQ641" s="23"/>
      <c r="AR641" s="23"/>
      <c r="AS641" s="23"/>
      <c r="AT641" s="23"/>
      <c r="AU641" s="23"/>
      <c r="AV641" s="23"/>
      <c r="AW641" s="23"/>
      <c r="AX641" s="23"/>
      <c r="AY641" s="23"/>
      <c r="AZ641" s="23"/>
      <c r="BA641" s="23"/>
      <c r="BB641" s="23"/>
      <c r="BC641" s="23"/>
      <c r="BD641" s="23"/>
      <c r="BE641" s="23"/>
      <c r="BF641" s="23"/>
      <c r="BG641" s="23"/>
      <c r="BH641" s="23"/>
      <c r="BI641" s="23"/>
      <c r="BJ641" s="23"/>
      <c r="BK641" s="23"/>
      <c r="BL641" s="23"/>
      <c r="BM641" s="23"/>
      <c r="BN641" s="23"/>
      <c r="BO641" s="23"/>
      <c r="BP641" s="23"/>
      <c r="BQ641" s="23"/>
      <c r="BR641" s="23"/>
      <c r="BS641" s="23"/>
      <c r="BT641" s="23"/>
      <c r="BU641" s="23"/>
      <c r="BV641" s="23"/>
      <c r="BW641" s="23"/>
      <c r="BX641" s="23"/>
      <c r="BY641" s="23"/>
      <c r="BZ641" s="23"/>
      <c r="CA641" s="23"/>
      <c r="CB641" s="23"/>
      <c r="CC641" s="23"/>
      <c r="CD641" s="23"/>
      <c r="CE641" s="23"/>
      <c r="CF641" s="23"/>
      <c r="CG641" s="23"/>
      <c r="CH641" s="23"/>
      <c r="CI641" s="23"/>
      <c r="CJ641" s="23"/>
      <c r="CK641" s="23"/>
      <c r="CL641" s="23"/>
      <c r="CM641" s="23"/>
      <c r="CN641" s="23"/>
      <c r="CO641" s="23"/>
      <c r="CP641" s="23"/>
      <c r="CQ641" s="23"/>
      <c r="CR641" s="23"/>
      <c r="CS641" s="23"/>
      <c r="CT641" s="23"/>
      <c r="CU641" s="23"/>
      <c r="CV641" s="23"/>
      <c r="CW641" s="23"/>
      <c r="CX641" s="23"/>
      <c r="CY641" s="23"/>
      <c r="CZ641" s="23"/>
      <c r="DA641" s="23"/>
      <c r="DB641" s="23"/>
      <c r="DC641" s="23"/>
      <c r="DD641" s="23"/>
      <c r="DE641" s="23"/>
      <c r="DF641" s="23"/>
      <c r="DG641" s="23"/>
      <c r="DH641" s="23"/>
      <c r="DI641" s="23"/>
      <c r="DJ641" s="23"/>
      <c r="DK641" s="23"/>
      <c r="DL641" s="23"/>
      <c r="DM641" s="23"/>
      <c r="DN641" s="23"/>
      <c r="DO641" s="23"/>
      <c r="DP641" s="23"/>
      <c r="DQ641" s="23"/>
      <c r="DR641" s="23"/>
      <c r="DS641" s="23"/>
      <c r="DT641" s="23"/>
      <c r="DU641" s="23"/>
      <c r="DV641" s="23"/>
      <c r="DW641" s="23"/>
      <c r="DX641" s="23"/>
      <c r="DY641" s="23"/>
      <c r="DZ641" s="23"/>
      <c r="EA641" s="23"/>
      <c r="EB641" s="23"/>
      <c r="EC641" s="23"/>
      <c r="ED641" s="23"/>
      <c r="EE641" s="23"/>
      <c r="EF641" s="23"/>
      <c r="EG641" s="23"/>
      <c r="EH641" s="23"/>
      <c r="EI641" s="23"/>
      <c r="EJ641" s="23"/>
      <c r="EK641" s="23"/>
      <c r="EL641" s="23"/>
      <c r="EM641" s="23"/>
      <c r="EN641" s="23"/>
      <c r="EO641" s="23"/>
      <c r="EP641" s="23"/>
      <c r="EQ641" s="23"/>
      <c r="ER641" s="23"/>
      <c r="ES641" s="23"/>
      <c r="ET641" s="23"/>
      <c r="EU641" s="23"/>
      <c r="EV641" s="23"/>
      <c r="EW641" s="23"/>
      <c r="EX641" s="23"/>
      <c r="EY641" s="23"/>
      <c r="EZ641" s="23"/>
      <c r="FA641" s="23"/>
      <c r="FB641" s="23"/>
      <c r="FC641" s="23"/>
      <c r="FD641" s="23"/>
      <c r="FE641" s="23"/>
      <c r="FF641" s="23"/>
      <c r="FG641" s="23"/>
      <c r="FH641" s="23"/>
      <c r="FI641" s="23"/>
      <c r="FJ641" s="23"/>
      <c r="FK641" s="23"/>
      <c r="FL641" s="23"/>
      <c r="FM641" s="23"/>
      <c r="FN641" s="23"/>
      <c r="FO641" s="23"/>
      <c r="FP641" s="23"/>
      <c r="FQ641" s="23"/>
      <c r="FR641" s="23"/>
      <c r="FS641" s="23"/>
      <c r="FT641" s="23"/>
      <c r="FU641" s="23"/>
      <c r="FV641" s="23"/>
      <c r="FW641" s="23"/>
      <c r="FX641" s="23"/>
      <c r="FY641" s="23"/>
      <c r="FZ641" s="23"/>
      <c r="GA641" s="23"/>
      <c r="GB641" s="23"/>
      <c r="GC641" s="23"/>
      <c r="GD641" s="23"/>
      <c r="GE641" s="23"/>
      <c r="GF641" s="23"/>
      <c r="GG641" s="23"/>
      <c r="GH641" s="23"/>
      <c r="GI641" s="23"/>
      <c r="GJ641" s="23"/>
      <c r="GK641" s="23"/>
      <c r="GL641" s="23"/>
    </row>
    <row r="642" spans="1:194" ht="13">
      <c r="A642" s="23"/>
      <c r="B642" s="23"/>
      <c r="C642" s="23"/>
      <c r="D642" s="23"/>
      <c r="E642" s="23"/>
      <c r="F642" s="23"/>
      <c r="G642" s="23"/>
      <c r="H642" s="401"/>
      <c r="I642" s="401"/>
      <c r="J642" s="401"/>
      <c r="K642" s="401"/>
      <c r="L642" s="401"/>
      <c r="M642" s="438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  <c r="AL642" s="23"/>
      <c r="AM642" s="23"/>
      <c r="AN642" s="23"/>
      <c r="AO642" s="23"/>
      <c r="AP642" s="23"/>
      <c r="AQ642" s="23"/>
      <c r="AR642" s="23"/>
      <c r="AS642" s="23"/>
      <c r="AT642" s="23"/>
      <c r="AU642" s="23"/>
      <c r="AV642" s="23"/>
      <c r="AW642" s="23"/>
      <c r="AX642" s="23"/>
      <c r="AY642" s="23"/>
      <c r="AZ642" s="23"/>
      <c r="BA642" s="23"/>
      <c r="BB642" s="23"/>
      <c r="BC642" s="23"/>
      <c r="BD642" s="23"/>
      <c r="BE642" s="23"/>
      <c r="BF642" s="23"/>
      <c r="BG642" s="23"/>
      <c r="BH642" s="23"/>
      <c r="BI642" s="23"/>
      <c r="BJ642" s="23"/>
      <c r="BK642" s="23"/>
      <c r="BL642" s="23"/>
      <c r="BM642" s="23"/>
      <c r="BN642" s="23"/>
      <c r="BO642" s="23"/>
      <c r="BP642" s="23"/>
      <c r="BQ642" s="23"/>
      <c r="BR642" s="23"/>
      <c r="BS642" s="23"/>
      <c r="BT642" s="23"/>
      <c r="BU642" s="23"/>
      <c r="BV642" s="23"/>
      <c r="BW642" s="23"/>
      <c r="BX642" s="23"/>
      <c r="BY642" s="23"/>
      <c r="BZ642" s="23"/>
      <c r="CA642" s="23"/>
      <c r="CB642" s="23"/>
      <c r="CC642" s="23"/>
      <c r="CD642" s="23"/>
      <c r="CE642" s="23"/>
      <c r="CF642" s="23"/>
      <c r="CG642" s="23"/>
      <c r="CH642" s="23"/>
      <c r="CI642" s="23"/>
      <c r="CJ642" s="23"/>
      <c r="CK642" s="23"/>
      <c r="CL642" s="23"/>
      <c r="CM642" s="23"/>
      <c r="CN642" s="23"/>
      <c r="CO642" s="23"/>
      <c r="CP642" s="23"/>
      <c r="CQ642" s="23"/>
      <c r="CR642" s="23"/>
      <c r="CS642" s="23"/>
      <c r="CT642" s="23"/>
      <c r="CU642" s="23"/>
      <c r="CV642" s="23"/>
      <c r="CW642" s="23"/>
      <c r="CX642" s="23"/>
      <c r="CY642" s="23"/>
      <c r="CZ642" s="23"/>
      <c r="DA642" s="23"/>
      <c r="DB642" s="23"/>
      <c r="DC642" s="23"/>
      <c r="DD642" s="23"/>
      <c r="DE642" s="23"/>
      <c r="DF642" s="23"/>
      <c r="DG642" s="23"/>
      <c r="DH642" s="23"/>
      <c r="DI642" s="23"/>
      <c r="DJ642" s="23"/>
      <c r="DK642" s="23"/>
      <c r="DL642" s="23"/>
      <c r="DM642" s="23"/>
      <c r="DN642" s="23"/>
      <c r="DO642" s="23"/>
      <c r="DP642" s="23"/>
      <c r="DQ642" s="23"/>
      <c r="DR642" s="23"/>
      <c r="DS642" s="23"/>
      <c r="DT642" s="23"/>
      <c r="DU642" s="23"/>
      <c r="DV642" s="23"/>
      <c r="DW642" s="23"/>
      <c r="DX642" s="23"/>
      <c r="DY642" s="23"/>
      <c r="DZ642" s="23"/>
      <c r="EA642" s="23"/>
      <c r="EB642" s="23"/>
      <c r="EC642" s="23"/>
      <c r="ED642" s="23"/>
      <c r="EE642" s="23"/>
      <c r="EF642" s="23"/>
      <c r="EG642" s="23"/>
      <c r="EH642" s="23"/>
      <c r="EI642" s="23"/>
      <c r="EJ642" s="23"/>
      <c r="EK642" s="23"/>
      <c r="EL642" s="23"/>
      <c r="EM642" s="23"/>
      <c r="EN642" s="23"/>
      <c r="EO642" s="23"/>
      <c r="EP642" s="23"/>
      <c r="EQ642" s="23"/>
      <c r="ER642" s="23"/>
      <c r="ES642" s="23"/>
      <c r="ET642" s="23"/>
      <c r="EU642" s="23"/>
      <c r="EV642" s="23"/>
      <c r="EW642" s="23"/>
      <c r="EX642" s="23"/>
      <c r="EY642" s="23"/>
      <c r="EZ642" s="23"/>
      <c r="FA642" s="23"/>
      <c r="FB642" s="23"/>
      <c r="FC642" s="23"/>
      <c r="FD642" s="23"/>
      <c r="FE642" s="23"/>
      <c r="FF642" s="23"/>
      <c r="FG642" s="23"/>
      <c r="FH642" s="23"/>
      <c r="FI642" s="23"/>
      <c r="FJ642" s="23"/>
      <c r="FK642" s="23"/>
      <c r="FL642" s="23"/>
      <c r="FM642" s="23"/>
      <c r="FN642" s="23"/>
      <c r="FO642" s="23"/>
      <c r="FP642" s="23"/>
      <c r="FQ642" s="23"/>
      <c r="FR642" s="23"/>
      <c r="FS642" s="23"/>
      <c r="FT642" s="23"/>
      <c r="FU642" s="23"/>
      <c r="FV642" s="23"/>
      <c r="FW642" s="23"/>
      <c r="FX642" s="23"/>
      <c r="FY642" s="23"/>
      <c r="FZ642" s="23"/>
      <c r="GA642" s="23"/>
      <c r="GB642" s="23"/>
      <c r="GC642" s="23"/>
      <c r="GD642" s="23"/>
      <c r="GE642" s="23"/>
      <c r="GF642" s="23"/>
      <c r="GG642" s="23"/>
      <c r="GH642" s="23"/>
      <c r="GI642" s="23"/>
      <c r="GJ642" s="23"/>
      <c r="GK642" s="23"/>
      <c r="GL642" s="23"/>
    </row>
    <row r="643" spans="1:194" ht="13">
      <c r="A643" s="23"/>
      <c r="B643" s="23"/>
      <c r="C643" s="23"/>
      <c r="D643" s="23"/>
      <c r="E643" s="23"/>
      <c r="F643" s="23"/>
      <c r="G643" s="23"/>
      <c r="H643" s="401"/>
      <c r="I643" s="401"/>
      <c r="J643" s="401"/>
      <c r="K643" s="401"/>
      <c r="L643" s="401"/>
      <c r="M643" s="438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  <c r="AL643" s="23"/>
      <c r="AM643" s="23"/>
      <c r="AN643" s="23"/>
      <c r="AO643" s="23"/>
      <c r="AP643" s="23"/>
      <c r="AQ643" s="23"/>
      <c r="AR643" s="23"/>
      <c r="AS643" s="23"/>
      <c r="AT643" s="23"/>
      <c r="AU643" s="23"/>
      <c r="AV643" s="23"/>
      <c r="AW643" s="23"/>
      <c r="AX643" s="23"/>
      <c r="AY643" s="23"/>
      <c r="AZ643" s="23"/>
      <c r="BA643" s="23"/>
      <c r="BB643" s="23"/>
      <c r="BC643" s="23"/>
      <c r="BD643" s="23"/>
      <c r="BE643" s="23"/>
      <c r="BF643" s="23"/>
      <c r="BG643" s="23"/>
      <c r="BH643" s="23"/>
      <c r="BI643" s="23"/>
      <c r="BJ643" s="23"/>
      <c r="BK643" s="23"/>
      <c r="BL643" s="23"/>
      <c r="BM643" s="23"/>
      <c r="BN643" s="23"/>
      <c r="BO643" s="23"/>
      <c r="BP643" s="23"/>
      <c r="BQ643" s="23"/>
      <c r="BR643" s="23"/>
      <c r="BS643" s="23"/>
      <c r="BT643" s="23"/>
      <c r="BU643" s="23"/>
      <c r="BV643" s="23"/>
      <c r="BW643" s="23"/>
      <c r="BX643" s="23"/>
      <c r="BY643" s="23"/>
      <c r="BZ643" s="23"/>
      <c r="CA643" s="23"/>
      <c r="CB643" s="23"/>
      <c r="CC643" s="23"/>
      <c r="CD643" s="23"/>
      <c r="CE643" s="23"/>
      <c r="CF643" s="23"/>
      <c r="CG643" s="23"/>
      <c r="CH643" s="23"/>
      <c r="CI643" s="23"/>
      <c r="CJ643" s="23"/>
      <c r="CK643" s="23"/>
      <c r="CL643" s="23"/>
      <c r="CM643" s="23"/>
      <c r="CN643" s="23"/>
      <c r="CO643" s="23"/>
      <c r="CP643" s="23"/>
      <c r="CQ643" s="23"/>
      <c r="CR643" s="23"/>
      <c r="CS643" s="23"/>
      <c r="CT643" s="23"/>
      <c r="CU643" s="23"/>
      <c r="CV643" s="23"/>
      <c r="CW643" s="23"/>
      <c r="CX643" s="23"/>
      <c r="CY643" s="23"/>
      <c r="CZ643" s="23"/>
      <c r="DA643" s="23"/>
      <c r="DB643" s="23"/>
      <c r="DC643" s="23"/>
      <c r="DD643" s="23"/>
      <c r="DE643" s="23"/>
      <c r="DF643" s="23"/>
      <c r="DG643" s="23"/>
      <c r="DH643" s="23"/>
      <c r="DI643" s="23"/>
      <c r="DJ643" s="23"/>
      <c r="DK643" s="23"/>
      <c r="DL643" s="23"/>
      <c r="DM643" s="23"/>
      <c r="DN643" s="23"/>
      <c r="DO643" s="23"/>
      <c r="DP643" s="23"/>
      <c r="DQ643" s="23"/>
      <c r="DR643" s="23"/>
      <c r="DS643" s="23"/>
      <c r="DT643" s="23"/>
      <c r="DU643" s="23"/>
      <c r="DV643" s="23"/>
      <c r="DW643" s="23"/>
      <c r="DX643" s="23"/>
      <c r="DY643" s="23"/>
      <c r="DZ643" s="23"/>
      <c r="EA643" s="23"/>
      <c r="EB643" s="23"/>
      <c r="EC643" s="23"/>
      <c r="ED643" s="23"/>
      <c r="EE643" s="23"/>
      <c r="EF643" s="23"/>
      <c r="EG643" s="23"/>
      <c r="EH643" s="23"/>
      <c r="EI643" s="23"/>
      <c r="EJ643" s="23"/>
      <c r="EK643" s="23"/>
      <c r="EL643" s="23"/>
      <c r="EM643" s="23"/>
      <c r="EN643" s="23"/>
      <c r="EO643" s="23"/>
      <c r="EP643" s="23"/>
      <c r="EQ643" s="23"/>
      <c r="ER643" s="23"/>
      <c r="ES643" s="23"/>
      <c r="ET643" s="23"/>
      <c r="EU643" s="23"/>
      <c r="EV643" s="23"/>
      <c r="EW643" s="23"/>
      <c r="EX643" s="23"/>
      <c r="EY643" s="23"/>
      <c r="EZ643" s="23"/>
      <c r="FA643" s="23"/>
      <c r="FB643" s="23"/>
      <c r="FC643" s="23"/>
      <c r="FD643" s="23"/>
      <c r="FE643" s="23"/>
      <c r="FF643" s="23"/>
      <c r="FG643" s="23"/>
      <c r="FH643" s="23"/>
      <c r="FI643" s="23"/>
      <c r="FJ643" s="23"/>
      <c r="FK643" s="23"/>
      <c r="FL643" s="23"/>
      <c r="FM643" s="23"/>
      <c r="FN643" s="23"/>
      <c r="FO643" s="23"/>
      <c r="FP643" s="23"/>
      <c r="FQ643" s="23"/>
      <c r="FR643" s="23"/>
      <c r="FS643" s="23"/>
      <c r="FT643" s="23"/>
      <c r="FU643" s="23"/>
      <c r="FV643" s="23"/>
      <c r="FW643" s="23"/>
      <c r="FX643" s="23"/>
      <c r="FY643" s="23"/>
      <c r="FZ643" s="23"/>
      <c r="GA643" s="23"/>
      <c r="GB643" s="23"/>
      <c r="GC643" s="23"/>
      <c r="GD643" s="23"/>
      <c r="GE643" s="23"/>
      <c r="GF643" s="23"/>
      <c r="GG643" s="23"/>
      <c r="GH643" s="23"/>
      <c r="GI643" s="23"/>
      <c r="GJ643" s="23"/>
      <c r="GK643" s="23"/>
      <c r="GL643" s="23"/>
    </row>
    <row r="644" spans="1:194" ht="13">
      <c r="A644" s="23"/>
      <c r="B644" s="23"/>
      <c r="C644" s="23"/>
      <c r="D644" s="23"/>
      <c r="E644" s="23"/>
      <c r="F644" s="23"/>
      <c r="G644" s="23"/>
      <c r="H644" s="401"/>
      <c r="I644" s="401"/>
      <c r="J644" s="401"/>
      <c r="K644" s="401"/>
      <c r="L644" s="401"/>
      <c r="M644" s="438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  <c r="AL644" s="23"/>
      <c r="AM644" s="23"/>
      <c r="AN644" s="23"/>
      <c r="AO644" s="23"/>
      <c r="AP644" s="23"/>
      <c r="AQ644" s="23"/>
      <c r="AR644" s="23"/>
      <c r="AS644" s="23"/>
      <c r="AT644" s="23"/>
      <c r="AU644" s="23"/>
      <c r="AV644" s="23"/>
      <c r="AW644" s="23"/>
      <c r="AX644" s="23"/>
      <c r="AY644" s="23"/>
      <c r="AZ644" s="23"/>
      <c r="BA644" s="23"/>
      <c r="BB644" s="23"/>
      <c r="BC644" s="23"/>
      <c r="BD644" s="23"/>
      <c r="BE644" s="23"/>
      <c r="BF644" s="23"/>
      <c r="BG644" s="23"/>
      <c r="BH644" s="23"/>
      <c r="BI644" s="23"/>
      <c r="BJ644" s="23"/>
      <c r="BK644" s="23"/>
      <c r="BL644" s="23"/>
      <c r="BM644" s="23"/>
      <c r="BN644" s="23"/>
      <c r="BO644" s="23"/>
      <c r="BP644" s="23"/>
      <c r="BQ644" s="23"/>
      <c r="BR644" s="23"/>
      <c r="BS644" s="23"/>
      <c r="BT644" s="23"/>
      <c r="BU644" s="23"/>
      <c r="BV644" s="23"/>
      <c r="BW644" s="23"/>
      <c r="BX644" s="23"/>
      <c r="BY644" s="23"/>
      <c r="BZ644" s="23"/>
      <c r="CA644" s="23"/>
      <c r="CB644" s="23"/>
      <c r="CC644" s="23"/>
      <c r="CD644" s="23"/>
      <c r="CE644" s="23"/>
      <c r="CF644" s="23"/>
      <c r="CG644" s="23"/>
      <c r="CH644" s="23"/>
      <c r="CI644" s="23"/>
      <c r="CJ644" s="23"/>
      <c r="CK644" s="23"/>
      <c r="CL644" s="23"/>
      <c r="CM644" s="23"/>
      <c r="CN644" s="23"/>
      <c r="CO644" s="23"/>
      <c r="CP644" s="23"/>
      <c r="CQ644" s="23"/>
      <c r="CR644" s="23"/>
      <c r="CS644" s="23"/>
      <c r="CT644" s="23"/>
      <c r="CU644" s="23"/>
      <c r="CV644" s="23"/>
      <c r="CW644" s="23"/>
      <c r="CX644" s="23"/>
      <c r="CY644" s="23"/>
      <c r="CZ644" s="23"/>
      <c r="DA644" s="23"/>
      <c r="DB644" s="23"/>
      <c r="DC644" s="23"/>
      <c r="DD644" s="23"/>
      <c r="DE644" s="23"/>
      <c r="DF644" s="23"/>
      <c r="DG644" s="23"/>
      <c r="DH644" s="23"/>
      <c r="DI644" s="23"/>
      <c r="DJ644" s="23"/>
      <c r="DK644" s="23"/>
      <c r="DL644" s="23"/>
      <c r="DM644" s="23"/>
      <c r="DN644" s="23"/>
      <c r="DO644" s="23"/>
      <c r="DP644" s="23"/>
      <c r="DQ644" s="23"/>
      <c r="DR644" s="23"/>
      <c r="DS644" s="23"/>
      <c r="DT644" s="23"/>
      <c r="DU644" s="23"/>
      <c r="DV644" s="23"/>
      <c r="DW644" s="23"/>
      <c r="DX644" s="23"/>
      <c r="DY644" s="23"/>
      <c r="DZ644" s="23"/>
      <c r="EA644" s="23"/>
      <c r="EB644" s="23"/>
      <c r="EC644" s="23"/>
      <c r="ED644" s="23"/>
      <c r="EE644" s="23"/>
      <c r="EF644" s="23"/>
      <c r="EG644" s="23"/>
      <c r="EH644" s="23"/>
      <c r="EI644" s="23"/>
      <c r="EJ644" s="23"/>
      <c r="EK644" s="23"/>
      <c r="EL644" s="23"/>
      <c r="EM644" s="23"/>
      <c r="EN644" s="23"/>
      <c r="EO644" s="23"/>
      <c r="EP644" s="23"/>
      <c r="EQ644" s="23"/>
      <c r="ER644" s="23"/>
      <c r="ES644" s="23"/>
      <c r="ET644" s="23"/>
      <c r="EU644" s="23"/>
      <c r="EV644" s="23"/>
      <c r="EW644" s="23"/>
      <c r="EX644" s="23"/>
      <c r="EY644" s="23"/>
      <c r="EZ644" s="23"/>
      <c r="FA644" s="23"/>
      <c r="FB644" s="23"/>
      <c r="FC644" s="23"/>
      <c r="FD644" s="23"/>
      <c r="FE644" s="23"/>
      <c r="FF644" s="23"/>
      <c r="FG644" s="23"/>
      <c r="FH644" s="23"/>
      <c r="FI644" s="23"/>
      <c r="FJ644" s="23"/>
      <c r="FK644" s="23"/>
      <c r="FL644" s="23"/>
      <c r="FM644" s="23"/>
      <c r="FN644" s="23"/>
      <c r="FO644" s="23"/>
      <c r="FP644" s="23"/>
      <c r="FQ644" s="23"/>
      <c r="FR644" s="23"/>
      <c r="FS644" s="23"/>
      <c r="FT644" s="23"/>
      <c r="FU644" s="23"/>
      <c r="FV644" s="23"/>
      <c r="FW644" s="23"/>
      <c r="FX644" s="23"/>
      <c r="FY644" s="23"/>
      <c r="FZ644" s="23"/>
      <c r="GA644" s="23"/>
      <c r="GB644" s="23"/>
      <c r="GC644" s="23"/>
      <c r="GD644" s="23"/>
      <c r="GE644" s="23"/>
      <c r="GF644" s="23"/>
      <c r="GG644" s="23"/>
      <c r="GH644" s="23"/>
      <c r="GI644" s="23"/>
      <c r="GJ644" s="23"/>
      <c r="GK644" s="23"/>
      <c r="GL644" s="23"/>
    </row>
    <row r="645" spans="1:194" ht="13">
      <c r="A645" s="23"/>
      <c r="B645" s="23"/>
      <c r="C645" s="23"/>
      <c r="D645" s="23"/>
      <c r="E645" s="23"/>
      <c r="F645" s="23"/>
      <c r="G645" s="23"/>
      <c r="H645" s="401"/>
      <c r="I645" s="401"/>
      <c r="J645" s="401"/>
      <c r="K645" s="401"/>
      <c r="L645" s="401"/>
      <c r="M645" s="438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  <c r="AL645" s="23"/>
      <c r="AM645" s="23"/>
      <c r="AN645" s="23"/>
      <c r="AO645" s="23"/>
      <c r="AP645" s="23"/>
      <c r="AQ645" s="23"/>
      <c r="AR645" s="23"/>
      <c r="AS645" s="23"/>
      <c r="AT645" s="23"/>
      <c r="AU645" s="23"/>
      <c r="AV645" s="23"/>
      <c r="AW645" s="23"/>
      <c r="AX645" s="23"/>
      <c r="AY645" s="23"/>
      <c r="AZ645" s="23"/>
      <c r="BA645" s="23"/>
      <c r="BB645" s="23"/>
      <c r="BC645" s="23"/>
      <c r="BD645" s="23"/>
      <c r="BE645" s="23"/>
      <c r="BF645" s="23"/>
      <c r="BG645" s="23"/>
      <c r="BH645" s="23"/>
      <c r="BI645" s="23"/>
      <c r="BJ645" s="23"/>
      <c r="BK645" s="23"/>
      <c r="BL645" s="23"/>
      <c r="BM645" s="23"/>
      <c r="BN645" s="23"/>
      <c r="BO645" s="23"/>
      <c r="BP645" s="23"/>
      <c r="BQ645" s="23"/>
      <c r="BR645" s="23"/>
      <c r="BS645" s="23"/>
      <c r="BT645" s="23"/>
      <c r="BU645" s="23"/>
      <c r="BV645" s="23"/>
      <c r="BW645" s="23"/>
      <c r="BX645" s="23"/>
      <c r="BY645" s="23"/>
      <c r="BZ645" s="23"/>
      <c r="CA645" s="23"/>
      <c r="CB645" s="23"/>
      <c r="CC645" s="23"/>
      <c r="CD645" s="23"/>
      <c r="CE645" s="23"/>
      <c r="CF645" s="23"/>
      <c r="CG645" s="23"/>
      <c r="CH645" s="23"/>
      <c r="CI645" s="23"/>
      <c r="CJ645" s="23"/>
      <c r="CK645" s="23"/>
      <c r="CL645" s="23"/>
      <c r="CM645" s="23"/>
      <c r="CN645" s="23"/>
      <c r="CO645" s="23"/>
      <c r="CP645" s="23"/>
      <c r="CQ645" s="23"/>
      <c r="CR645" s="23"/>
      <c r="CS645" s="23"/>
      <c r="CT645" s="23"/>
      <c r="CU645" s="23"/>
      <c r="CV645" s="23"/>
      <c r="CW645" s="23"/>
      <c r="CX645" s="23"/>
      <c r="CY645" s="23"/>
      <c r="CZ645" s="23"/>
      <c r="DA645" s="23"/>
      <c r="DB645" s="23"/>
      <c r="DC645" s="23"/>
      <c r="DD645" s="23"/>
      <c r="DE645" s="23"/>
      <c r="DF645" s="23"/>
      <c r="DG645" s="23"/>
      <c r="DH645" s="23"/>
      <c r="DI645" s="23"/>
      <c r="DJ645" s="23"/>
      <c r="DK645" s="23"/>
      <c r="DL645" s="23"/>
      <c r="DM645" s="23"/>
      <c r="DN645" s="23"/>
      <c r="DO645" s="23"/>
      <c r="DP645" s="23"/>
      <c r="DQ645" s="23"/>
      <c r="DR645" s="23"/>
      <c r="DS645" s="23"/>
      <c r="DT645" s="23"/>
      <c r="DU645" s="23"/>
      <c r="DV645" s="23"/>
      <c r="DW645" s="23"/>
      <c r="DX645" s="23"/>
      <c r="DY645" s="23"/>
      <c r="DZ645" s="23"/>
      <c r="EA645" s="23"/>
      <c r="EB645" s="23"/>
      <c r="EC645" s="23"/>
      <c r="ED645" s="23"/>
      <c r="EE645" s="23"/>
      <c r="EF645" s="23"/>
      <c r="EG645" s="23"/>
      <c r="EH645" s="23"/>
      <c r="EI645" s="23"/>
      <c r="EJ645" s="23"/>
      <c r="EK645" s="23"/>
      <c r="EL645" s="23"/>
      <c r="EM645" s="23"/>
      <c r="EN645" s="23"/>
      <c r="EO645" s="23"/>
      <c r="EP645" s="23"/>
      <c r="EQ645" s="23"/>
      <c r="ER645" s="23"/>
      <c r="ES645" s="23"/>
      <c r="ET645" s="23"/>
      <c r="EU645" s="23"/>
      <c r="EV645" s="23"/>
      <c r="EW645" s="23"/>
      <c r="EX645" s="23"/>
      <c r="EY645" s="23"/>
      <c r="EZ645" s="23"/>
      <c r="FA645" s="23"/>
      <c r="FB645" s="23"/>
      <c r="FC645" s="23"/>
      <c r="FD645" s="23"/>
      <c r="FE645" s="23"/>
      <c r="FF645" s="23"/>
      <c r="FG645" s="23"/>
      <c r="FH645" s="23"/>
      <c r="FI645" s="23"/>
      <c r="FJ645" s="23"/>
      <c r="FK645" s="23"/>
      <c r="FL645" s="23"/>
      <c r="FM645" s="23"/>
      <c r="FN645" s="23"/>
      <c r="FO645" s="23"/>
      <c r="FP645" s="23"/>
      <c r="FQ645" s="23"/>
      <c r="FR645" s="23"/>
      <c r="FS645" s="23"/>
      <c r="FT645" s="23"/>
      <c r="FU645" s="23"/>
      <c r="FV645" s="23"/>
      <c r="FW645" s="23"/>
      <c r="FX645" s="23"/>
      <c r="FY645" s="23"/>
      <c r="FZ645" s="23"/>
      <c r="GA645" s="23"/>
      <c r="GB645" s="23"/>
      <c r="GC645" s="23"/>
      <c r="GD645" s="23"/>
      <c r="GE645" s="23"/>
      <c r="GF645" s="23"/>
      <c r="GG645" s="23"/>
      <c r="GH645" s="23"/>
      <c r="GI645" s="23"/>
      <c r="GJ645" s="23"/>
      <c r="GK645" s="23"/>
      <c r="GL645" s="23"/>
    </row>
    <row r="646" spans="1:194" ht="13">
      <c r="A646" s="23"/>
      <c r="B646" s="23"/>
      <c r="C646" s="23"/>
      <c r="D646" s="23"/>
      <c r="E646" s="23"/>
      <c r="F646" s="23"/>
      <c r="G646" s="23"/>
      <c r="H646" s="401"/>
      <c r="I646" s="401"/>
      <c r="J646" s="401"/>
      <c r="K646" s="401"/>
      <c r="L646" s="401"/>
      <c r="M646" s="438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  <c r="AL646" s="23"/>
      <c r="AM646" s="23"/>
      <c r="AN646" s="23"/>
      <c r="AO646" s="23"/>
      <c r="AP646" s="23"/>
      <c r="AQ646" s="23"/>
      <c r="AR646" s="23"/>
      <c r="AS646" s="23"/>
      <c r="AT646" s="23"/>
      <c r="AU646" s="23"/>
      <c r="AV646" s="23"/>
      <c r="AW646" s="23"/>
      <c r="AX646" s="23"/>
      <c r="AY646" s="23"/>
      <c r="AZ646" s="23"/>
      <c r="BA646" s="23"/>
      <c r="BB646" s="23"/>
      <c r="BC646" s="23"/>
      <c r="BD646" s="23"/>
      <c r="BE646" s="23"/>
      <c r="BF646" s="23"/>
      <c r="BG646" s="23"/>
      <c r="BH646" s="23"/>
      <c r="BI646" s="23"/>
      <c r="BJ646" s="23"/>
      <c r="BK646" s="23"/>
      <c r="BL646" s="23"/>
      <c r="BM646" s="23"/>
      <c r="BN646" s="23"/>
      <c r="BO646" s="23"/>
      <c r="BP646" s="23"/>
      <c r="BQ646" s="23"/>
      <c r="BR646" s="23"/>
      <c r="BS646" s="23"/>
      <c r="BT646" s="23"/>
      <c r="BU646" s="23"/>
      <c r="BV646" s="23"/>
      <c r="BW646" s="23"/>
      <c r="BX646" s="23"/>
      <c r="BY646" s="23"/>
      <c r="BZ646" s="23"/>
      <c r="CA646" s="23"/>
      <c r="CB646" s="23"/>
      <c r="CC646" s="23"/>
      <c r="CD646" s="23"/>
      <c r="CE646" s="23"/>
      <c r="CF646" s="23"/>
      <c r="CG646" s="23"/>
      <c r="CH646" s="23"/>
      <c r="CI646" s="23"/>
      <c r="CJ646" s="23"/>
      <c r="CK646" s="23"/>
      <c r="CL646" s="23"/>
      <c r="CM646" s="23"/>
      <c r="CN646" s="23"/>
      <c r="CO646" s="23"/>
      <c r="CP646" s="23"/>
      <c r="CQ646" s="23"/>
      <c r="CR646" s="23"/>
      <c r="CS646" s="23"/>
      <c r="CT646" s="23"/>
      <c r="CU646" s="23"/>
      <c r="CV646" s="23"/>
      <c r="CW646" s="23"/>
      <c r="CX646" s="23"/>
      <c r="CY646" s="23"/>
      <c r="CZ646" s="23"/>
      <c r="DA646" s="23"/>
      <c r="DB646" s="23"/>
      <c r="DC646" s="23"/>
      <c r="DD646" s="23"/>
      <c r="DE646" s="23"/>
      <c r="DF646" s="23"/>
      <c r="DG646" s="23"/>
      <c r="DH646" s="23"/>
      <c r="DI646" s="23"/>
      <c r="DJ646" s="23"/>
      <c r="DK646" s="23"/>
      <c r="DL646" s="23"/>
      <c r="DM646" s="23"/>
      <c r="DN646" s="23"/>
      <c r="DO646" s="23"/>
      <c r="DP646" s="23"/>
      <c r="DQ646" s="23"/>
      <c r="DR646" s="23"/>
      <c r="DS646" s="23"/>
      <c r="DT646" s="23"/>
      <c r="DU646" s="23"/>
      <c r="DV646" s="23"/>
      <c r="DW646" s="23"/>
      <c r="DX646" s="23"/>
      <c r="DY646" s="23"/>
      <c r="DZ646" s="23"/>
      <c r="EA646" s="23"/>
      <c r="EB646" s="23"/>
      <c r="EC646" s="23"/>
      <c r="ED646" s="23"/>
      <c r="EE646" s="23"/>
      <c r="EF646" s="23"/>
      <c r="EG646" s="23"/>
      <c r="EH646" s="23"/>
      <c r="EI646" s="23"/>
      <c r="EJ646" s="23"/>
      <c r="EK646" s="23"/>
      <c r="EL646" s="23"/>
      <c r="EM646" s="23"/>
      <c r="EN646" s="23"/>
      <c r="EO646" s="23"/>
      <c r="EP646" s="23"/>
      <c r="EQ646" s="23"/>
      <c r="ER646" s="23"/>
      <c r="ES646" s="23"/>
      <c r="ET646" s="23"/>
      <c r="EU646" s="23"/>
      <c r="EV646" s="23"/>
      <c r="EW646" s="23"/>
      <c r="EX646" s="23"/>
      <c r="EY646" s="23"/>
      <c r="EZ646" s="23"/>
      <c r="FA646" s="23"/>
      <c r="FB646" s="23"/>
      <c r="FC646" s="23"/>
      <c r="FD646" s="23"/>
      <c r="FE646" s="23"/>
      <c r="FF646" s="23"/>
      <c r="FG646" s="23"/>
      <c r="FH646" s="23"/>
      <c r="FI646" s="23"/>
      <c r="FJ646" s="23"/>
      <c r="FK646" s="23"/>
      <c r="FL646" s="23"/>
      <c r="FM646" s="23"/>
      <c r="FN646" s="23"/>
      <c r="FO646" s="23"/>
      <c r="FP646" s="23"/>
      <c r="FQ646" s="23"/>
      <c r="FR646" s="23"/>
      <c r="FS646" s="23"/>
      <c r="FT646" s="23"/>
      <c r="FU646" s="23"/>
      <c r="FV646" s="23"/>
      <c r="FW646" s="23"/>
      <c r="FX646" s="23"/>
      <c r="FY646" s="23"/>
      <c r="FZ646" s="23"/>
      <c r="GA646" s="23"/>
      <c r="GB646" s="23"/>
      <c r="GC646" s="23"/>
      <c r="GD646" s="23"/>
      <c r="GE646" s="23"/>
      <c r="GF646" s="23"/>
      <c r="GG646" s="23"/>
      <c r="GH646" s="23"/>
      <c r="GI646" s="23"/>
      <c r="GJ646" s="23"/>
      <c r="GK646" s="23"/>
      <c r="GL646" s="23"/>
    </row>
    <row r="647" spans="1:194" ht="13">
      <c r="A647" s="23"/>
      <c r="B647" s="23"/>
      <c r="C647" s="23"/>
      <c r="D647" s="23"/>
      <c r="E647" s="23"/>
      <c r="F647" s="23"/>
      <c r="G647" s="23"/>
      <c r="H647" s="401"/>
      <c r="I647" s="401"/>
      <c r="J647" s="401"/>
      <c r="K647" s="401"/>
      <c r="L647" s="401"/>
      <c r="M647" s="438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  <c r="AL647" s="23"/>
      <c r="AM647" s="23"/>
      <c r="AN647" s="23"/>
      <c r="AO647" s="23"/>
      <c r="AP647" s="23"/>
      <c r="AQ647" s="23"/>
      <c r="AR647" s="23"/>
      <c r="AS647" s="23"/>
      <c r="AT647" s="23"/>
      <c r="AU647" s="23"/>
      <c r="AV647" s="23"/>
      <c r="AW647" s="23"/>
      <c r="AX647" s="23"/>
      <c r="AY647" s="23"/>
      <c r="AZ647" s="23"/>
      <c r="BA647" s="23"/>
      <c r="BB647" s="23"/>
      <c r="BC647" s="23"/>
      <c r="BD647" s="23"/>
      <c r="BE647" s="23"/>
      <c r="BF647" s="23"/>
      <c r="BG647" s="23"/>
      <c r="BH647" s="23"/>
      <c r="BI647" s="23"/>
      <c r="BJ647" s="23"/>
      <c r="BK647" s="23"/>
      <c r="BL647" s="23"/>
      <c r="BM647" s="23"/>
      <c r="BN647" s="23"/>
      <c r="BO647" s="23"/>
      <c r="BP647" s="23"/>
      <c r="BQ647" s="23"/>
      <c r="BR647" s="23"/>
      <c r="BS647" s="23"/>
      <c r="BT647" s="23"/>
      <c r="BU647" s="23"/>
      <c r="BV647" s="23"/>
      <c r="BW647" s="23"/>
      <c r="BX647" s="23"/>
      <c r="BY647" s="23"/>
      <c r="BZ647" s="23"/>
      <c r="CA647" s="23"/>
      <c r="CB647" s="23"/>
      <c r="CC647" s="23"/>
      <c r="CD647" s="23"/>
      <c r="CE647" s="23"/>
      <c r="CF647" s="23"/>
      <c r="CG647" s="23"/>
      <c r="CH647" s="23"/>
      <c r="CI647" s="23"/>
      <c r="CJ647" s="23"/>
      <c r="CK647" s="23"/>
      <c r="CL647" s="23"/>
      <c r="CM647" s="23"/>
      <c r="CN647" s="23"/>
      <c r="CO647" s="23"/>
      <c r="CP647" s="23"/>
      <c r="CQ647" s="23"/>
      <c r="CR647" s="23"/>
      <c r="CS647" s="23"/>
      <c r="CT647" s="23"/>
      <c r="CU647" s="23"/>
      <c r="CV647" s="23"/>
      <c r="CW647" s="23"/>
      <c r="CX647" s="23"/>
      <c r="CY647" s="23"/>
      <c r="CZ647" s="23"/>
      <c r="DA647" s="23"/>
      <c r="DB647" s="23"/>
      <c r="DC647" s="23"/>
      <c r="DD647" s="23"/>
      <c r="DE647" s="23"/>
      <c r="DF647" s="23"/>
      <c r="DG647" s="23"/>
      <c r="DH647" s="23"/>
      <c r="DI647" s="23"/>
      <c r="DJ647" s="23"/>
      <c r="DK647" s="23"/>
      <c r="DL647" s="23"/>
      <c r="DM647" s="23"/>
      <c r="DN647" s="23"/>
      <c r="DO647" s="23"/>
      <c r="DP647" s="23"/>
      <c r="DQ647" s="23"/>
      <c r="DR647" s="23"/>
      <c r="DS647" s="23"/>
      <c r="DT647" s="23"/>
      <c r="DU647" s="23"/>
      <c r="DV647" s="23"/>
      <c r="DW647" s="23"/>
      <c r="DX647" s="23"/>
      <c r="DY647" s="23"/>
      <c r="DZ647" s="23"/>
      <c r="EA647" s="23"/>
      <c r="EB647" s="23"/>
      <c r="EC647" s="23"/>
      <c r="ED647" s="23"/>
      <c r="EE647" s="23"/>
      <c r="EF647" s="23"/>
      <c r="EG647" s="23"/>
      <c r="EH647" s="23"/>
      <c r="EI647" s="23"/>
      <c r="EJ647" s="23"/>
      <c r="EK647" s="23"/>
      <c r="EL647" s="23"/>
      <c r="EM647" s="23"/>
      <c r="EN647" s="23"/>
      <c r="EO647" s="23"/>
      <c r="EP647" s="23"/>
      <c r="EQ647" s="23"/>
      <c r="ER647" s="23"/>
      <c r="ES647" s="23"/>
      <c r="ET647" s="23"/>
      <c r="EU647" s="23"/>
      <c r="EV647" s="23"/>
      <c r="EW647" s="23"/>
      <c r="EX647" s="23"/>
      <c r="EY647" s="23"/>
      <c r="EZ647" s="23"/>
      <c r="FA647" s="23"/>
      <c r="FB647" s="23"/>
      <c r="FC647" s="23"/>
      <c r="FD647" s="23"/>
      <c r="FE647" s="23"/>
      <c r="FF647" s="23"/>
      <c r="FG647" s="23"/>
      <c r="FH647" s="23"/>
      <c r="FI647" s="23"/>
      <c r="FJ647" s="23"/>
      <c r="FK647" s="23"/>
      <c r="FL647" s="23"/>
      <c r="FM647" s="23"/>
      <c r="FN647" s="23"/>
      <c r="FO647" s="23"/>
      <c r="FP647" s="23"/>
      <c r="FQ647" s="23"/>
      <c r="FR647" s="23"/>
      <c r="FS647" s="23"/>
      <c r="FT647" s="23"/>
      <c r="FU647" s="23"/>
      <c r="FV647" s="23"/>
      <c r="FW647" s="23"/>
      <c r="FX647" s="23"/>
      <c r="FY647" s="23"/>
      <c r="FZ647" s="23"/>
      <c r="GA647" s="23"/>
      <c r="GB647" s="23"/>
      <c r="GC647" s="23"/>
      <c r="GD647" s="23"/>
      <c r="GE647" s="23"/>
      <c r="GF647" s="23"/>
      <c r="GG647" s="23"/>
      <c r="GH647" s="23"/>
      <c r="GI647" s="23"/>
      <c r="GJ647" s="23"/>
      <c r="GK647" s="23"/>
      <c r="GL647" s="23"/>
    </row>
    <row r="648" spans="1:194" ht="13">
      <c r="A648" s="23"/>
      <c r="B648" s="23"/>
      <c r="C648" s="23"/>
      <c r="D648" s="23"/>
      <c r="E648" s="23"/>
      <c r="F648" s="23"/>
      <c r="G648" s="23"/>
      <c r="H648" s="401"/>
      <c r="I648" s="401"/>
      <c r="J648" s="401"/>
      <c r="K648" s="401"/>
      <c r="L648" s="401"/>
      <c r="M648" s="438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  <c r="AL648" s="23"/>
      <c r="AM648" s="23"/>
      <c r="AN648" s="23"/>
      <c r="AO648" s="23"/>
      <c r="AP648" s="23"/>
      <c r="AQ648" s="23"/>
      <c r="AR648" s="23"/>
      <c r="AS648" s="23"/>
      <c r="AT648" s="23"/>
      <c r="AU648" s="23"/>
      <c r="AV648" s="23"/>
      <c r="AW648" s="23"/>
      <c r="AX648" s="23"/>
      <c r="AY648" s="23"/>
      <c r="AZ648" s="23"/>
      <c r="BA648" s="23"/>
      <c r="BB648" s="23"/>
      <c r="BC648" s="23"/>
      <c r="BD648" s="23"/>
      <c r="BE648" s="23"/>
      <c r="BF648" s="23"/>
      <c r="BG648" s="23"/>
      <c r="BH648" s="23"/>
      <c r="BI648" s="23"/>
      <c r="BJ648" s="23"/>
      <c r="BK648" s="23"/>
      <c r="BL648" s="23"/>
      <c r="BM648" s="23"/>
      <c r="BN648" s="23"/>
      <c r="BO648" s="23"/>
      <c r="BP648" s="23"/>
      <c r="BQ648" s="23"/>
      <c r="BR648" s="23"/>
      <c r="BS648" s="23"/>
      <c r="BT648" s="23"/>
      <c r="BU648" s="23"/>
      <c r="BV648" s="23"/>
      <c r="BW648" s="23"/>
      <c r="BX648" s="23"/>
      <c r="BY648" s="23"/>
      <c r="BZ648" s="23"/>
      <c r="CA648" s="23"/>
      <c r="CB648" s="23"/>
      <c r="CC648" s="23"/>
      <c r="CD648" s="23"/>
      <c r="CE648" s="23"/>
      <c r="CF648" s="23"/>
      <c r="CG648" s="23"/>
      <c r="CH648" s="23"/>
      <c r="CI648" s="23"/>
      <c r="CJ648" s="23"/>
      <c r="CK648" s="23"/>
      <c r="CL648" s="23"/>
      <c r="CM648" s="23"/>
      <c r="CN648" s="23"/>
      <c r="CO648" s="23"/>
      <c r="CP648" s="23"/>
      <c r="CQ648" s="23"/>
      <c r="CR648" s="23"/>
      <c r="CS648" s="23"/>
      <c r="CT648" s="23"/>
      <c r="CU648" s="23"/>
      <c r="CV648" s="23"/>
      <c r="CW648" s="23"/>
      <c r="CX648" s="23"/>
      <c r="CY648" s="23"/>
      <c r="CZ648" s="23"/>
      <c r="DA648" s="23"/>
      <c r="DB648" s="23"/>
      <c r="DC648" s="23"/>
      <c r="DD648" s="23"/>
      <c r="DE648" s="23"/>
      <c r="DF648" s="23"/>
      <c r="DG648" s="23"/>
      <c r="DH648" s="23"/>
      <c r="DI648" s="23"/>
      <c r="DJ648" s="23"/>
      <c r="DK648" s="23"/>
      <c r="DL648" s="23"/>
      <c r="DM648" s="23"/>
      <c r="DN648" s="23"/>
      <c r="DO648" s="23"/>
      <c r="DP648" s="23"/>
      <c r="DQ648" s="23"/>
      <c r="DR648" s="23"/>
      <c r="DS648" s="23"/>
      <c r="DT648" s="23"/>
      <c r="DU648" s="23"/>
      <c r="DV648" s="23"/>
      <c r="DW648" s="23"/>
      <c r="DX648" s="23"/>
      <c r="DY648" s="23"/>
      <c r="DZ648" s="23"/>
      <c r="EA648" s="23"/>
      <c r="EB648" s="23"/>
      <c r="EC648" s="23"/>
      <c r="ED648" s="23"/>
      <c r="EE648" s="23"/>
      <c r="EF648" s="23"/>
      <c r="EG648" s="23"/>
      <c r="EH648" s="23"/>
      <c r="EI648" s="23"/>
      <c r="EJ648" s="23"/>
      <c r="EK648" s="23"/>
      <c r="EL648" s="23"/>
      <c r="EM648" s="23"/>
      <c r="EN648" s="23"/>
      <c r="EO648" s="23"/>
      <c r="EP648" s="23"/>
      <c r="EQ648" s="23"/>
      <c r="ER648" s="23"/>
      <c r="ES648" s="23"/>
      <c r="ET648" s="23"/>
      <c r="EU648" s="23"/>
      <c r="EV648" s="23"/>
      <c r="EW648" s="23"/>
      <c r="EX648" s="23"/>
      <c r="EY648" s="23"/>
      <c r="EZ648" s="23"/>
      <c r="FA648" s="23"/>
      <c r="FB648" s="23"/>
      <c r="FC648" s="23"/>
      <c r="FD648" s="23"/>
      <c r="FE648" s="23"/>
      <c r="FF648" s="23"/>
      <c r="FG648" s="23"/>
      <c r="FH648" s="23"/>
      <c r="FI648" s="23"/>
      <c r="FJ648" s="23"/>
      <c r="FK648" s="23"/>
      <c r="FL648" s="23"/>
      <c r="FM648" s="23"/>
      <c r="FN648" s="23"/>
      <c r="FO648" s="23"/>
      <c r="FP648" s="23"/>
      <c r="FQ648" s="23"/>
      <c r="FR648" s="23"/>
      <c r="FS648" s="23"/>
      <c r="FT648" s="23"/>
      <c r="FU648" s="23"/>
      <c r="FV648" s="23"/>
      <c r="FW648" s="23"/>
      <c r="FX648" s="23"/>
      <c r="FY648" s="23"/>
      <c r="FZ648" s="23"/>
      <c r="GA648" s="23"/>
      <c r="GB648" s="23"/>
      <c r="GC648" s="23"/>
      <c r="GD648" s="23"/>
      <c r="GE648" s="23"/>
      <c r="GF648" s="23"/>
      <c r="GG648" s="23"/>
      <c r="GH648" s="23"/>
      <c r="GI648" s="23"/>
      <c r="GJ648" s="23"/>
      <c r="GK648" s="23"/>
      <c r="GL648" s="23"/>
    </row>
    <row r="649" spans="1:194" ht="13">
      <c r="A649" s="23"/>
      <c r="B649" s="23"/>
      <c r="C649" s="23"/>
      <c r="D649" s="23"/>
      <c r="E649" s="23"/>
      <c r="F649" s="23"/>
      <c r="G649" s="23"/>
      <c r="H649" s="401"/>
      <c r="I649" s="401"/>
      <c r="J649" s="401"/>
      <c r="K649" s="401"/>
      <c r="L649" s="401"/>
      <c r="M649" s="438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  <c r="AL649" s="23"/>
      <c r="AM649" s="23"/>
      <c r="AN649" s="23"/>
      <c r="AO649" s="23"/>
      <c r="AP649" s="23"/>
      <c r="AQ649" s="23"/>
      <c r="AR649" s="23"/>
      <c r="AS649" s="23"/>
      <c r="AT649" s="23"/>
      <c r="AU649" s="23"/>
      <c r="AV649" s="23"/>
      <c r="AW649" s="23"/>
      <c r="AX649" s="23"/>
      <c r="AY649" s="23"/>
      <c r="AZ649" s="23"/>
      <c r="BA649" s="23"/>
      <c r="BB649" s="23"/>
      <c r="BC649" s="23"/>
      <c r="BD649" s="23"/>
      <c r="BE649" s="23"/>
      <c r="BF649" s="23"/>
      <c r="BG649" s="23"/>
      <c r="BH649" s="23"/>
      <c r="BI649" s="23"/>
      <c r="BJ649" s="23"/>
      <c r="BK649" s="23"/>
      <c r="BL649" s="23"/>
      <c r="BM649" s="23"/>
      <c r="BN649" s="23"/>
      <c r="BO649" s="23"/>
      <c r="BP649" s="23"/>
      <c r="BQ649" s="23"/>
      <c r="BR649" s="23"/>
      <c r="BS649" s="23"/>
      <c r="BT649" s="23"/>
      <c r="BU649" s="23"/>
      <c r="BV649" s="23"/>
      <c r="BW649" s="23"/>
      <c r="BX649" s="23"/>
      <c r="BY649" s="23"/>
      <c r="BZ649" s="23"/>
      <c r="CA649" s="23"/>
      <c r="CB649" s="23"/>
      <c r="CC649" s="23"/>
      <c r="CD649" s="23"/>
      <c r="CE649" s="23"/>
      <c r="CF649" s="23"/>
      <c r="CG649" s="23"/>
      <c r="CH649" s="23"/>
      <c r="CI649" s="23"/>
      <c r="CJ649" s="23"/>
      <c r="CK649" s="23"/>
      <c r="CL649" s="23"/>
      <c r="CM649" s="23"/>
      <c r="CN649" s="23"/>
      <c r="CO649" s="23"/>
      <c r="CP649" s="23"/>
      <c r="CQ649" s="23"/>
      <c r="CR649" s="23"/>
      <c r="CS649" s="23"/>
      <c r="CT649" s="23"/>
      <c r="CU649" s="23"/>
      <c r="CV649" s="23"/>
      <c r="CW649" s="23"/>
      <c r="CX649" s="23"/>
      <c r="CY649" s="23"/>
      <c r="CZ649" s="23"/>
      <c r="DA649" s="23"/>
      <c r="DB649" s="23"/>
      <c r="DC649" s="23"/>
      <c r="DD649" s="23"/>
      <c r="DE649" s="23"/>
      <c r="DF649" s="23"/>
      <c r="DG649" s="23"/>
      <c r="DH649" s="23"/>
      <c r="DI649" s="23"/>
      <c r="DJ649" s="23"/>
      <c r="DK649" s="23"/>
      <c r="DL649" s="23"/>
      <c r="DM649" s="23"/>
      <c r="DN649" s="23"/>
      <c r="DO649" s="23"/>
      <c r="DP649" s="23"/>
      <c r="DQ649" s="23"/>
      <c r="DR649" s="23"/>
      <c r="DS649" s="23"/>
      <c r="DT649" s="23"/>
      <c r="DU649" s="23"/>
      <c r="DV649" s="23"/>
      <c r="DW649" s="23"/>
      <c r="DX649" s="23"/>
      <c r="DY649" s="23"/>
      <c r="DZ649" s="23"/>
      <c r="EA649" s="23"/>
      <c r="EB649" s="23"/>
      <c r="EC649" s="23"/>
      <c r="ED649" s="23"/>
      <c r="EE649" s="23"/>
      <c r="EF649" s="23"/>
      <c r="EG649" s="23"/>
      <c r="EH649" s="23"/>
      <c r="EI649" s="23"/>
      <c r="EJ649" s="23"/>
      <c r="EK649" s="23"/>
      <c r="EL649" s="23"/>
      <c r="EM649" s="23"/>
      <c r="EN649" s="23"/>
      <c r="EO649" s="23"/>
      <c r="EP649" s="23"/>
      <c r="EQ649" s="23"/>
      <c r="ER649" s="23"/>
      <c r="ES649" s="23"/>
      <c r="ET649" s="23"/>
      <c r="EU649" s="23"/>
      <c r="EV649" s="23"/>
      <c r="EW649" s="23"/>
      <c r="EX649" s="23"/>
      <c r="EY649" s="23"/>
      <c r="EZ649" s="23"/>
      <c r="FA649" s="23"/>
      <c r="FB649" s="23"/>
      <c r="FC649" s="23"/>
      <c r="FD649" s="23"/>
      <c r="FE649" s="23"/>
      <c r="FF649" s="23"/>
      <c r="FG649" s="23"/>
      <c r="FH649" s="23"/>
      <c r="FI649" s="23"/>
      <c r="FJ649" s="23"/>
      <c r="FK649" s="23"/>
      <c r="FL649" s="23"/>
      <c r="FM649" s="23"/>
      <c r="FN649" s="23"/>
      <c r="FO649" s="23"/>
      <c r="FP649" s="23"/>
      <c r="FQ649" s="23"/>
      <c r="FR649" s="23"/>
      <c r="FS649" s="23"/>
      <c r="FT649" s="23"/>
      <c r="FU649" s="23"/>
      <c r="FV649" s="23"/>
      <c r="FW649" s="23"/>
      <c r="FX649" s="23"/>
      <c r="FY649" s="23"/>
      <c r="FZ649" s="23"/>
      <c r="GA649" s="23"/>
      <c r="GB649" s="23"/>
      <c r="GC649" s="23"/>
      <c r="GD649" s="23"/>
      <c r="GE649" s="23"/>
      <c r="GF649" s="23"/>
      <c r="GG649" s="23"/>
      <c r="GH649" s="23"/>
      <c r="GI649" s="23"/>
      <c r="GJ649" s="23"/>
      <c r="GK649" s="23"/>
      <c r="GL649" s="23"/>
    </row>
    <row r="650" spans="1:194" ht="13">
      <c r="A650" s="23"/>
      <c r="B650" s="23"/>
      <c r="C650" s="23"/>
      <c r="D650" s="23"/>
      <c r="E650" s="23"/>
      <c r="F650" s="23"/>
      <c r="G650" s="23"/>
      <c r="H650" s="401"/>
      <c r="I650" s="401"/>
      <c r="J650" s="401"/>
      <c r="K650" s="401"/>
      <c r="L650" s="401"/>
      <c r="M650" s="438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  <c r="AL650" s="23"/>
      <c r="AM650" s="23"/>
      <c r="AN650" s="23"/>
      <c r="AO650" s="23"/>
      <c r="AP650" s="23"/>
      <c r="AQ650" s="23"/>
      <c r="AR650" s="23"/>
      <c r="AS650" s="23"/>
      <c r="AT650" s="23"/>
      <c r="AU650" s="23"/>
      <c r="AV650" s="23"/>
      <c r="AW650" s="23"/>
      <c r="AX650" s="23"/>
      <c r="AY650" s="23"/>
      <c r="AZ650" s="23"/>
      <c r="BA650" s="23"/>
      <c r="BB650" s="23"/>
      <c r="BC650" s="23"/>
      <c r="BD650" s="23"/>
      <c r="BE650" s="23"/>
      <c r="BF650" s="23"/>
      <c r="BG650" s="23"/>
      <c r="BH650" s="23"/>
      <c r="BI650" s="23"/>
      <c r="BJ650" s="23"/>
      <c r="BK650" s="23"/>
      <c r="BL650" s="23"/>
      <c r="BM650" s="23"/>
      <c r="BN650" s="23"/>
      <c r="BO650" s="23"/>
      <c r="BP650" s="23"/>
      <c r="BQ650" s="23"/>
      <c r="BR650" s="23"/>
      <c r="BS650" s="23"/>
      <c r="BT650" s="23"/>
      <c r="BU650" s="23"/>
      <c r="BV650" s="23"/>
      <c r="BW650" s="23"/>
      <c r="BX650" s="23"/>
      <c r="BY650" s="23"/>
      <c r="BZ650" s="23"/>
      <c r="CA650" s="23"/>
      <c r="CB650" s="23"/>
      <c r="CC650" s="23"/>
      <c r="CD650" s="23"/>
      <c r="CE650" s="23"/>
      <c r="CF650" s="23"/>
      <c r="CG650" s="23"/>
      <c r="CH650" s="23"/>
      <c r="CI650" s="23"/>
      <c r="CJ650" s="23"/>
      <c r="CK650" s="23"/>
      <c r="CL650" s="23"/>
      <c r="CM650" s="23"/>
      <c r="CN650" s="23"/>
      <c r="CO650" s="23"/>
      <c r="CP650" s="23"/>
      <c r="CQ650" s="23"/>
      <c r="CR650" s="23"/>
      <c r="CS650" s="23"/>
      <c r="CT650" s="23"/>
      <c r="CU650" s="23"/>
      <c r="CV650" s="23"/>
      <c r="CW650" s="23"/>
      <c r="CX650" s="23"/>
      <c r="CY650" s="23"/>
      <c r="CZ650" s="23"/>
      <c r="DA650" s="23"/>
      <c r="DB650" s="23"/>
      <c r="DC650" s="23"/>
      <c r="DD650" s="23"/>
      <c r="DE650" s="23"/>
      <c r="DF650" s="23"/>
      <c r="DG650" s="23"/>
      <c r="DH650" s="23"/>
      <c r="DI650" s="23"/>
      <c r="DJ650" s="23"/>
      <c r="DK650" s="23"/>
      <c r="DL650" s="23"/>
      <c r="DM650" s="23"/>
      <c r="DN650" s="23"/>
      <c r="DO650" s="23"/>
      <c r="DP650" s="23"/>
      <c r="DQ650" s="23"/>
      <c r="DR650" s="23"/>
      <c r="DS650" s="23"/>
      <c r="DT650" s="23"/>
      <c r="DU650" s="23"/>
      <c r="DV650" s="23"/>
      <c r="DW650" s="23"/>
      <c r="DX650" s="23"/>
      <c r="DY650" s="23"/>
      <c r="DZ650" s="23"/>
      <c r="EA650" s="23"/>
      <c r="EB650" s="23"/>
      <c r="EC650" s="23"/>
      <c r="ED650" s="23"/>
      <c r="EE650" s="23"/>
      <c r="EF650" s="23"/>
      <c r="EG650" s="23"/>
      <c r="EH650" s="23"/>
      <c r="EI650" s="23"/>
      <c r="EJ650" s="23"/>
      <c r="EK650" s="23"/>
      <c r="EL650" s="23"/>
      <c r="EM650" s="23"/>
      <c r="EN650" s="23"/>
      <c r="EO650" s="23"/>
      <c r="EP650" s="23"/>
      <c r="EQ650" s="23"/>
      <c r="ER650" s="23"/>
      <c r="ES650" s="23"/>
      <c r="ET650" s="23"/>
      <c r="EU650" s="23"/>
      <c r="EV650" s="23"/>
      <c r="EW650" s="23"/>
      <c r="EX650" s="23"/>
      <c r="EY650" s="23"/>
      <c r="EZ650" s="23"/>
      <c r="FA650" s="23"/>
      <c r="FB650" s="23"/>
      <c r="FC650" s="23"/>
      <c r="FD650" s="23"/>
      <c r="FE650" s="23"/>
      <c r="FF650" s="23"/>
      <c r="FG650" s="23"/>
      <c r="FH650" s="23"/>
      <c r="FI650" s="23"/>
      <c r="FJ650" s="23"/>
      <c r="FK650" s="23"/>
      <c r="FL650" s="23"/>
      <c r="FM650" s="23"/>
      <c r="FN650" s="23"/>
      <c r="FO650" s="23"/>
      <c r="FP650" s="23"/>
      <c r="FQ650" s="23"/>
      <c r="FR650" s="23"/>
      <c r="FS650" s="23"/>
      <c r="FT650" s="23"/>
      <c r="FU650" s="23"/>
      <c r="FV650" s="23"/>
      <c r="FW650" s="23"/>
      <c r="FX650" s="23"/>
      <c r="FY650" s="23"/>
      <c r="FZ650" s="23"/>
      <c r="GA650" s="23"/>
      <c r="GB650" s="23"/>
      <c r="GC650" s="23"/>
      <c r="GD650" s="23"/>
      <c r="GE650" s="23"/>
      <c r="GF650" s="23"/>
      <c r="GG650" s="23"/>
      <c r="GH650" s="23"/>
      <c r="GI650" s="23"/>
      <c r="GJ650" s="23"/>
      <c r="GK650" s="23"/>
      <c r="GL650" s="23"/>
    </row>
    <row r="651" spans="1:194" ht="13">
      <c r="A651" s="23"/>
      <c r="B651" s="23"/>
      <c r="C651" s="23"/>
      <c r="D651" s="23"/>
      <c r="E651" s="23"/>
      <c r="F651" s="23"/>
      <c r="G651" s="23"/>
      <c r="H651" s="401"/>
      <c r="I651" s="401"/>
      <c r="J651" s="401"/>
      <c r="K651" s="401"/>
      <c r="L651" s="401"/>
      <c r="M651" s="438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  <c r="AL651" s="23"/>
      <c r="AM651" s="23"/>
      <c r="AN651" s="23"/>
      <c r="AO651" s="23"/>
      <c r="AP651" s="23"/>
      <c r="AQ651" s="23"/>
      <c r="AR651" s="23"/>
      <c r="AS651" s="23"/>
      <c r="AT651" s="23"/>
      <c r="AU651" s="23"/>
      <c r="AV651" s="23"/>
      <c r="AW651" s="23"/>
      <c r="AX651" s="23"/>
      <c r="AY651" s="23"/>
      <c r="AZ651" s="23"/>
      <c r="BA651" s="23"/>
      <c r="BB651" s="23"/>
      <c r="BC651" s="23"/>
      <c r="BD651" s="23"/>
      <c r="BE651" s="23"/>
      <c r="BF651" s="23"/>
      <c r="BG651" s="23"/>
      <c r="BH651" s="23"/>
      <c r="BI651" s="23"/>
      <c r="BJ651" s="23"/>
      <c r="BK651" s="23"/>
      <c r="BL651" s="23"/>
      <c r="BM651" s="23"/>
      <c r="BN651" s="23"/>
      <c r="BO651" s="23"/>
      <c r="BP651" s="23"/>
      <c r="BQ651" s="23"/>
      <c r="BR651" s="23"/>
      <c r="BS651" s="23"/>
      <c r="BT651" s="23"/>
      <c r="BU651" s="23"/>
      <c r="BV651" s="23"/>
      <c r="BW651" s="23"/>
      <c r="BX651" s="23"/>
      <c r="BY651" s="23"/>
      <c r="BZ651" s="23"/>
      <c r="CA651" s="23"/>
      <c r="CB651" s="23"/>
      <c r="CC651" s="23"/>
      <c r="CD651" s="23"/>
      <c r="CE651" s="23"/>
      <c r="CF651" s="23"/>
      <c r="CG651" s="23"/>
      <c r="CH651" s="23"/>
      <c r="CI651" s="23"/>
      <c r="CJ651" s="23"/>
      <c r="CK651" s="23"/>
      <c r="CL651" s="23"/>
      <c r="CM651" s="23"/>
      <c r="CN651" s="23"/>
      <c r="CO651" s="23"/>
      <c r="CP651" s="23"/>
      <c r="CQ651" s="23"/>
      <c r="CR651" s="23"/>
      <c r="CS651" s="23"/>
      <c r="CT651" s="23"/>
      <c r="CU651" s="23"/>
      <c r="CV651" s="23"/>
      <c r="CW651" s="23"/>
      <c r="CX651" s="23"/>
      <c r="CY651" s="23"/>
      <c r="CZ651" s="23"/>
      <c r="DA651" s="23"/>
      <c r="DB651" s="23"/>
      <c r="DC651" s="23"/>
      <c r="DD651" s="23"/>
      <c r="DE651" s="23"/>
      <c r="DF651" s="23"/>
      <c r="DG651" s="23"/>
      <c r="DH651" s="23"/>
      <c r="DI651" s="23"/>
      <c r="DJ651" s="23"/>
      <c r="DK651" s="23"/>
      <c r="DL651" s="23"/>
      <c r="DM651" s="23"/>
      <c r="DN651" s="23"/>
      <c r="DO651" s="23"/>
      <c r="DP651" s="23"/>
      <c r="DQ651" s="23"/>
      <c r="DR651" s="23"/>
      <c r="DS651" s="23"/>
      <c r="DT651" s="23"/>
      <c r="DU651" s="23"/>
      <c r="DV651" s="23"/>
      <c r="DW651" s="23"/>
      <c r="DX651" s="23"/>
      <c r="DY651" s="23"/>
      <c r="DZ651" s="23"/>
      <c r="EA651" s="23"/>
      <c r="EB651" s="23"/>
      <c r="EC651" s="23"/>
      <c r="ED651" s="23"/>
      <c r="EE651" s="23"/>
      <c r="EF651" s="23"/>
      <c r="EG651" s="23"/>
      <c r="EH651" s="23"/>
      <c r="EI651" s="23"/>
      <c r="EJ651" s="23"/>
      <c r="EK651" s="23"/>
      <c r="EL651" s="23"/>
      <c r="EM651" s="23"/>
      <c r="EN651" s="23"/>
      <c r="EO651" s="23"/>
      <c r="EP651" s="23"/>
      <c r="EQ651" s="23"/>
      <c r="ER651" s="23"/>
      <c r="ES651" s="23"/>
      <c r="ET651" s="23"/>
      <c r="EU651" s="23"/>
      <c r="EV651" s="23"/>
      <c r="EW651" s="23"/>
      <c r="EX651" s="23"/>
      <c r="EY651" s="23"/>
      <c r="EZ651" s="23"/>
      <c r="FA651" s="23"/>
      <c r="FB651" s="23"/>
      <c r="FC651" s="23"/>
      <c r="FD651" s="23"/>
      <c r="FE651" s="23"/>
      <c r="FF651" s="23"/>
      <c r="FG651" s="23"/>
      <c r="FH651" s="23"/>
      <c r="FI651" s="23"/>
      <c r="FJ651" s="23"/>
      <c r="FK651" s="23"/>
      <c r="FL651" s="23"/>
      <c r="FM651" s="23"/>
      <c r="FN651" s="23"/>
      <c r="FO651" s="23"/>
      <c r="FP651" s="23"/>
      <c r="FQ651" s="23"/>
      <c r="FR651" s="23"/>
      <c r="FS651" s="23"/>
      <c r="FT651" s="23"/>
      <c r="FU651" s="23"/>
      <c r="FV651" s="23"/>
      <c r="FW651" s="23"/>
      <c r="FX651" s="23"/>
      <c r="FY651" s="23"/>
      <c r="FZ651" s="23"/>
      <c r="GA651" s="23"/>
      <c r="GB651" s="23"/>
      <c r="GC651" s="23"/>
      <c r="GD651" s="23"/>
      <c r="GE651" s="23"/>
      <c r="GF651" s="23"/>
      <c r="GG651" s="23"/>
      <c r="GH651" s="23"/>
      <c r="GI651" s="23"/>
      <c r="GJ651" s="23"/>
      <c r="GK651" s="23"/>
      <c r="GL651" s="23"/>
    </row>
    <row r="652" spans="1:194" ht="13">
      <c r="A652" s="23"/>
      <c r="B652" s="23"/>
      <c r="C652" s="23"/>
      <c r="D652" s="23"/>
      <c r="E652" s="23"/>
      <c r="F652" s="23"/>
      <c r="G652" s="23"/>
      <c r="H652" s="401"/>
      <c r="I652" s="401"/>
      <c r="J652" s="401"/>
      <c r="K652" s="401"/>
      <c r="L652" s="401"/>
      <c r="M652" s="438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  <c r="AQ652" s="23"/>
      <c r="AR652" s="23"/>
      <c r="AS652" s="23"/>
      <c r="AT652" s="23"/>
      <c r="AU652" s="23"/>
      <c r="AV652" s="23"/>
      <c r="AW652" s="23"/>
      <c r="AX652" s="23"/>
      <c r="AY652" s="23"/>
      <c r="AZ652" s="23"/>
      <c r="BA652" s="23"/>
      <c r="BB652" s="23"/>
      <c r="BC652" s="23"/>
      <c r="BD652" s="23"/>
      <c r="BE652" s="23"/>
      <c r="BF652" s="23"/>
      <c r="BG652" s="23"/>
      <c r="BH652" s="23"/>
      <c r="BI652" s="23"/>
      <c r="BJ652" s="23"/>
      <c r="BK652" s="23"/>
      <c r="BL652" s="23"/>
      <c r="BM652" s="23"/>
      <c r="BN652" s="23"/>
      <c r="BO652" s="23"/>
      <c r="BP652" s="23"/>
      <c r="BQ652" s="23"/>
      <c r="BR652" s="23"/>
      <c r="BS652" s="23"/>
      <c r="BT652" s="23"/>
      <c r="BU652" s="23"/>
      <c r="BV652" s="23"/>
      <c r="BW652" s="23"/>
      <c r="BX652" s="23"/>
      <c r="BY652" s="23"/>
      <c r="BZ652" s="23"/>
      <c r="CA652" s="23"/>
      <c r="CB652" s="23"/>
      <c r="CC652" s="23"/>
      <c r="CD652" s="23"/>
      <c r="CE652" s="23"/>
      <c r="CF652" s="23"/>
      <c r="CG652" s="23"/>
      <c r="CH652" s="23"/>
      <c r="CI652" s="23"/>
      <c r="CJ652" s="23"/>
      <c r="CK652" s="23"/>
      <c r="CL652" s="23"/>
      <c r="CM652" s="23"/>
      <c r="CN652" s="23"/>
      <c r="CO652" s="23"/>
      <c r="CP652" s="23"/>
      <c r="CQ652" s="23"/>
      <c r="CR652" s="23"/>
      <c r="CS652" s="23"/>
      <c r="CT652" s="23"/>
      <c r="CU652" s="23"/>
      <c r="CV652" s="23"/>
      <c r="CW652" s="23"/>
      <c r="CX652" s="23"/>
      <c r="CY652" s="23"/>
      <c r="CZ652" s="23"/>
      <c r="DA652" s="23"/>
      <c r="DB652" s="23"/>
      <c r="DC652" s="23"/>
      <c r="DD652" s="23"/>
      <c r="DE652" s="23"/>
      <c r="DF652" s="23"/>
      <c r="DG652" s="23"/>
      <c r="DH652" s="23"/>
      <c r="DI652" s="23"/>
      <c r="DJ652" s="23"/>
      <c r="DK652" s="23"/>
      <c r="DL652" s="23"/>
      <c r="DM652" s="23"/>
      <c r="DN652" s="23"/>
      <c r="DO652" s="23"/>
      <c r="DP652" s="23"/>
      <c r="DQ652" s="23"/>
      <c r="DR652" s="23"/>
      <c r="DS652" s="23"/>
      <c r="DT652" s="23"/>
      <c r="DU652" s="23"/>
      <c r="DV652" s="23"/>
      <c r="DW652" s="23"/>
      <c r="DX652" s="23"/>
      <c r="DY652" s="23"/>
      <c r="DZ652" s="23"/>
      <c r="EA652" s="23"/>
      <c r="EB652" s="23"/>
      <c r="EC652" s="23"/>
      <c r="ED652" s="23"/>
      <c r="EE652" s="23"/>
      <c r="EF652" s="23"/>
      <c r="EG652" s="23"/>
      <c r="EH652" s="23"/>
      <c r="EI652" s="23"/>
      <c r="EJ652" s="23"/>
      <c r="EK652" s="23"/>
      <c r="EL652" s="23"/>
      <c r="EM652" s="23"/>
      <c r="EN652" s="23"/>
      <c r="EO652" s="23"/>
      <c r="EP652" s="23"/>
      <c r="EQ652" s="23"/>
      <c r="ER652" s="23"/>
      <c r="ES652" s="23"/>
      <c r="ET652" s="23"/>
      <c r="EU652" s="23"/>
      <c r="EV652" s="23"/>
      <c r="EW652" s="23"/>
      <c r="EX652" s="23"/>
      <c r="EY652" s="23"/>
      <c r="EZ652" s="23"/>
      <c r="FA652" s="23"/>
      <c r="FB652" s="23"/>
      <c r="FC652" s="23"/>
      <c r="FD652" s="23"/>
      <c r="FE652" s="23"/>
      <c r="FF652" s="23"/>
      <c r="FG652" s="23"/>
      <c r="FH652" s="23"/>
      <c r="FI652" s="23"/>
      <c r="FJ652" s="23"/>
      <c r="FK652" s="23"/>
      <c r="FL652" s="23"/>
      <c r="FM652" s="23"/>
      <c r="FN652" s="23"/>
      <c r="FO652" s="23"/>
      <c r="FP652" s="23"/>
      <c r="FQ652" s="23"/>
      <c r="FR652" s="23"/>
      <c r="FS652" s="23"/>
      <c r="FT652" s="23"/>
      <c r="FU652" s="23"/>
      <c r="FV652" s="23"/>
      <c r="FW652" s="23"/>
      <c r="FX652" s="23"/>
      <c r="FY652" s="23"/>
      <c r="FZ652" s="23"/>
      <c r="GA652" s="23"/>
      <c r="GB652" s="23"/>
      <c r="GC652" s="23"/>
      <c r="GD652" s="23"/>
      <c r="GE652" s="23"/>
      <c r="GF652" s="23"/>
      <c r="GG652" s="23"/>
      <c r="GH652" s="23"/>
      <c r="GI652" s="23"/>
      <c r="GJ652" s="23"/>
      <c r="GK652" s="23"/>
      <c r="GL652" s="23"/>
    </row>
    <row r="653" spans="1:194" ht="13">
      <c r="A653" s="23"/>
      <c r="B653" s="23"/>
      <c r="C653" s="23"/>
      <c r="D653" s="23"/>
      <c r="E653" s="23"/>
      <c r="F653" s="23"/>
      <c r="G653" s="23"/>
      <c r="H653" s="401"/>
      <c r="I653" s="401"/>
      <c r="J653" s="401"/>
      <c r="K653" s="401"/>
      <c r="L653" s="401"/>
      <c r="M653" s="438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  <c r="AL653" s="23"/>
      <c r="AM653" s="23"/>
      <c r="AN653" s="23"/>
      <c r="AO653" s="23"/>
      <c r="AP653" s="23"/>
      <c r="AQ653" s="23"/>
      <c r="AR653" s="23"/>
      <c r="AS653" s="23"/>
      <c r="AT653" s="23"/>
      <c r="AU653" s="23"/>
      <c r="AV653" s="23"/>
      <c r="AW653" s="23"/>
      <c r="AX653" s="23"/>
      <c r="AY653" s="23"/>
      <c r="AZ653" s="23"/>
      <c r="BA653" s="23"/>
      <c r="BB653" s="23"/>
      <c r="BC653" s="23"/>
      <c r="BD653" s="23"/>
      <c r="BE653" s="23"/>
      <c r="BF653" s="23"/>
      <c r="BG653" s="23"/>
      <c r="BH653" s="23"/>
      <c r="BI653" s="23"/>
      <c r="BJ653" s="23"/>
      <c r="BK653" s="23"/>
      <c r="BL653" s="23"/>
      <c r="BM653" s="23"/>
      <c r="BN653" s="23"/>
      <c r="BO653" s="23"/>
      <c r="BP653" s="23"/>
      <c r="BQ653" s="23"/>
      <c r="BR653" s="23"/>
      <c r="BS653" s="23"/>
      <c r="BT653" s="23"/>
      <c r="BU653" s="23"/>
      <c r="BV653" s="23"/>
      <c r="BW653" s="23"/>
      <c r="BX653" s="23"/>
      <c r="BY653" s="23"/>
      <c r="BZ653" s="23"/>
      <c r="CA653" s="23"/>
      <c r="CB653" s="23"/>
      <c r="CC653" s="23"/>
      <c r="CD653" s="23"/>
      <c r="CE653" s="23"/>
      <c r="CF653" s="23"/>
      <c r="CG653" s="23"/>
      <c r="CH653" s="23"/>
      <c r="CI653" s="23"/>
      <c r="CJ653" s="23"/>
      <c r="CK653" s="23"/>
      <c r="CL653" s="23"/>
      <c r="CM653" s="23"/>
      <c r="CN653" s="23"/>
      <c r="CO653" s="23"/>
      <c r="CP653" s="23"/>
      <c r="CQ653" s="23"/>
      <c r="CR653" s="23"/>
      <c r="CS653" s="23"/>
      <c r="CT653" s="23"/>
      <c r="CU653" s="23"/>
      <c r="CV653" s="23"/>
      <c r="CW653" s="23"/>
      <c r="CX653" s="23"/>
      <c r="CY653" s="23"/>
      <c r="CZ653" s="23"/>
      <c r="DA653" s="23"/>
      <c r="DB653" s="23"/>
      <c r="DC653" s="23"/>
      <c r="DD653" s="23"/>
      <c r="DE653" s="23"/>
      <c r="DF653" s="23"/>
      <c r="DG653" s="23"/>
      <c r="DH653" s="23"/>
      <c r="DI653" s="23"/>
      <c r="DJ653" s="23"/>
      <c r="DK653" s="23"/>
      <c r="DL653" s="23"/>
      <c r="DM653" s="23"/>
      <c r="DN653" s="23"/>
      <c r="DO653" s="23"/>
      <c r="DP653" s="23"/>
      <c r="DQ653" s="23"/>
      <c r="DR653" s="23"/>
      <c r="DS653" s="23"/>
      <c r="DT653" s="23"/>
      <c r="DU653" s="23"/>
      <c r="DV653" s="23"/>
      <c r="DW653" s="23"/>
      <c r="DX653" s="23"/>
      <c r="DY653" s="23"/>
      <c r="DZ653" s="23"/>
      <c r="EA653" s="23"/>
      <c r="EB653" s="23"/>
      <c r="EC653" s="23"/>
      <c r="ED653" s="23"/>
      <c r="EE653" s="23"/>
      <c r="EF653" s="23"/>
      <c r="EG653" s="23"/>
      <c r="EH653" s="23"/>
      <c r="EI653" s="23"/>
      <c r="EJ653" s="23"/>
      <c r="EK653" s="23"/>
      <c r="EL653" s="23"/>
      <c r="EM653" s="23"/>
      <c r="EN653" s="23"/>
      <c r="EO653" s="23"/>
      <c r="EP653" s="23"/>
      <c r="EQ653" s="23"/>
      <c r="ER653" s="23"/>
      <c r="ES653" s="23"/>
      <c r="ET653" s="23"/>
      <c r="EU653" s="23"/>
      <c r="EV653" s="23"/>
      <c r="EW653" s="23"/>
      <c r="EX653" s="23"/>
      <c r="EY653" s="23"/>
      <c r="EZ653" s="23"/>
      <c r="FA653" s="23"/>
      <c r="FB653" s="23"/>
      <c r="FC653" s="23"/>
      <c r="FD653" s="23"/>
      <c r="FE653" s="23"/>
      <c r="FF653" s="23"/>
      <c r="FG653" s="23"/>
      <c r="FH653" s="23"/>
      <c r="FI653" s="23"/>
      <c r="FJ653" s="23"/>
      <c r="FK653" s="23"/>
      <c r="FL653" s="23"/>
      <c r="FM653" s="23"/>
      <c r="FN653" s="23"/>
      <c r="FO653" s="23"/>
      <c r="FP653" s="23"/>
      <c r="FQ653" s="23"/>
      <c r="FR653" s="23"/>
      <c r="FS653" s="23"/>
      <c r="FT653" s="23"/>
      <c r="FU653" s="23"/>
      <c r="FV653" s="23"/>
      <c r="FW653" s="23"/>
      <c r="FX653" s="23"/>
      <c r="FY653" s="23"/>
      <c r="FZ653" s="23"/>
      <c r="GA653" s="23"/>
      <c r="GB653" s="23"/>
      <c r="GC653" s="23"/>
      <c r="GD653" s="23"/>
      <c r="GE653" s="23"/>
      <c r="GF653" s="23"/>
      <c r="GG653" s="23"/>
      <c r="GH653" s="23"/>
      <c r="GI653" s="23"/>
      <c r="GJ653" s="23"/>
      <c r="GK653" s="23"/>
      <c r="GL653" s="23"/>
    </row>
    <row r="654" spans="1:194" ht="13">
      <c r="A654" s="23"/>
      <c r="B654" s="23"/>
      <c r="C654" s="23"/>
      <c r="D654" s="23"/>
      <c r="E654" s="23"/>
      <c r="F654" s="23"/>
      <c r="G654" s="23"/>
      <c r="H654" s="401"/>
      <c r="I654" s="401"/>
      <c r="J654" s="401"/>
      <c r="K654" s="401"/>
      <c r="L654" s="401"/>
      <c r="M654" s="438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  <c r="AL654" s="23"/>
      <c r="AM654" s="23"/>
      <c r="AN654" s="23"/>
      <c r="AO654" s="23"/>
      <c r="AP654" s="23"/>
      <c r="AQ654" s="23"/>
      <c r="AR654" s="23"/>
      <c r="AS654" s="23"/>
      <c r="AT654" s="23"/>
      <c r="AU654" s="23"/>
      <c r="AV654" s="23"/>
      <c r="AW654" s="23"/>
      <c r="AX654" s="23"/>
      <c r="AY654" s="23"/>
      <c r="AZ654" s="23"/>
      <c r="BA654" s="23"/>
      <c r="BB654" s="23"/>
      <c r="BC654" s="23"/>
      <c r="BD654" s="23"/>
      <c r="BE654" s="23"/>
      <c r="BF654" s="23"/>
      <c r="BG654" s="23"/>
      <c r="BH654" s="23"/>
      <c r="BI654" s="23"/>
      <c r="BJ654" s="23"/>
      <c r="BK654" s="23"/>
      <c r="BL654" s="23"/>
      <c r="BM654" s="23"/>
      <c r="BN654" s="23"/>
      <c r="BO654" s="23"/>
      <c r="BP654" s="23"/>
      <c r="BQ654" s="23"/>
      <c r="BR654" s="23"/>
      <c r="BS654" s="23"/>
      <c r="BT654" s="23"/>
      <c r="BU654" s="23"/>
      <c r="BV654" s="23"/>
      <c r="BW654" s="23"/>
      <c r="BX654" s="23"/>
      <c r="BY654" s="23"/>
      <c r="BZ654" s="23"/>
      <c r="CA654" s="23"/>
      <c r="CB654" s="23"/>
      <c r="CC654" s="23"/>
      <c r="CD654" s="23"/>
      <c r="CE654" s="23"/>
      <c r="CF654" s="23"/>
      <c r="CG654" s="23"/>
      <c r="CH654" s="23"/>
      <c r="CI654" s="23"/>
      <c r="CJ654" s="23"/>
      <c r="CK654" s="23"/>
      <c r="CL654" s="23"/>
      <c r="CM654" s="23"/>
      <c r="CN654" s="23"/>
      <c r="CO654" s="23"/>
      <c r="CP654" s="23"/>
      <c r="CQ654" s="23"/>
      <c r="CR654" s="23"/>
      <c r="CS654" s="23"/>
      <c r="CT654" s="23"/>
      <c r="CU654" s="23"/>
      <c r="CV654" s="23"/>
      <c r="CW654" s="23"/>
      <c r="CX654" s="23"/>
      <c r="CY654" s="23"/>
      <c r="CZ654" s="23"/>
      <c r="DA654" s="23"/>
      <c r="DB654" s="23"/>
      <c r="DC654" s="23"/>
      <c r="DD654" s="23"/>
      <c r="DE654" s="23"/>
      <c r="DF654" s="23"/>
      <c r="DG654" s="23"/>
      <c r="DH654" s="23"/>
      <c r="DI654" s="23"/>
      <c r="DJ654" s="23"/>
      <c r="DK654" s="23"/>
      <c r="DL654" s="23"/>
      <c r="DM654" s="23"/>
      <c r="DN654" s="23"/>
      <c r="DO654" s="23"/>
      <c r="DP654" s="23"/>
      <c r="DQ654" s="23"/>
      <c r="DR654" s="23"/>
      <c r="DS654" s="23"/>
      <c r="DT654" s="23"/>
      <c r="DU654" s="23"/>
      <c r="DV654" s="23"/>
      <c r="DW654" s="23"/>
      <c r="DX654" s="23"/>
      <c r="DY654" s="23"/>
      <c r="DZ654" s="23"/>
      <c r="EA654" s="23"/>
      <c r="EB654" s="23"/>
      <c r="EC654" s="23"/>
      <c r="ED654" s="23"/>
      <c r="EE654" s="23"/>
      <c r="EF654" s="23"/>
      <c r="EG654" s="23"/>
      <c r="EH654" s="23"/>
      <c r="EI654" s="23"/>
      <c r="EJ654" s="23"/>
      <c r="EK654" s="23"/>
      <c r="EL654" s="23"/>
      <c r="EM654" s="23"/>
      <c r="EN654" s="23"/>
      <c r="EO654" s="23"/>
      <c r="EP654" s="23"/>
      <c r="EQ654" s="23"/>
      <c r="ER654" s="23"/>
      <c r="ES654" s="23"/>
      <c r="ET654" s="23"/>
      <c r="EU654" s="23"/>
      <c r="EV654" s="23"/>
      <c r="EW654" s="23"/>
      <c r="EX654" s="23"/>
      <c r="EY654" s="23"/>
      <c r="EZ654" s="23"/>
      <c r="FA654" s="23"/>
      <c r="FB654" s="23"/>
      <c r="FC654" s="23"/>
      <c r="FD654" s="23"/>
      <c r="FE654" s="23"/>
      <c r="FF654" s="23"/>
      <c r="FG654" s="23"/>
      <c r="FH654" s="23"/>
      <c r="FI654" s="23"/>
      <c r="FJ654" s="23"/>
      <c r="FK654" s="23"/>
      <c r="FL654" s="23"/>
      <c r="FM654" s="23"/>
      <c r="FN654" s="23"/>
      <c r="FO654" s="23"/>
      <c r="FP654" s="23"/>
      <c r="FQ654" s="23"/>
      <c r="FR654" s="23"/>
      <c r="FS654" s="23"/>
      <c r="FT654" s="23"/>
      <c r="FU654" s="23"/>
      <c r="FV654" s="23"/>
      <c r="FW654" s="23"/>
      <c r="FX654" s="23"/>
      <c r="FY654" s="23"/>
      <c r="FZ654" s="23"/>
      <c r="GA654" s="23"/>
      <c r="GB654" s="23"/>
      <c r="GC654" s="23"/>
      <c r="GD654" s="23"/>
      <c r="GE654" s="23"/>
      <c r="GF654" s="23"/>
      <c r="GG654" s="23"/>
      <c r="GH654" s="23"/>
      <c r="GI654" s="23"/>
      <c r="GJ654" s="23"/>
      <c r="GK654" s="23"/>
      <c r="GL654" s="23"/>
    </row>
    <row r="655" spans="1:194" ht="13">
      <c r="A655" s="23"/>
      <c r="B655" s="23"/>
      <c r="C655" s="23"/>
      <c r="D655" s="23"/>
      <c r="E655" s="23"/>
      <c r="F655" s="23"/>
      <c r="G655" s="23"/>
      <c r="H655" s="401"/>
      <c r="I655" s="401"/>
      <c r="J655" s="401"/>
      <c r="K655" s="401"/>
      <c r="L655" s="401"/>
      <c r="M655" s="438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  <c r="AL655" s="23"/>
      <c r="AM655" s="23"/>
      <c r="AN655" s="23"/>
      <c r="AO655" s="23"/>
      <c r="AP655" s="23"/>
      <c r="AQ655" s="23"/>
      <c r="AR655" s="23"/>
      <c r="AS655" s="23"/>
      <c r="AT655" s="23"/>
      <c r="AU655" s="23"/>
      <c r="AV655" s="23"/>
      <c r="AW655" s="23"/>
      <c r="AX655" s="23"/>
      <c r="AY655" s="23"/>
      <c r="AZ655" s="23"/>
      <c r="BA655" s="23"/>
      <c r="BB655" s="23"/>
      <c r="BC655" s="23"/>
      <c r="BD655" s="23"/>
      <c r="BE655" s="23"/>
      <c r="BF655" s="23"/>
      <c r="BG655" s="23"/>
      <c r="BH655" s="23"/>
      <c r="BI655" s="23"/>
      <c r="BJ655" s="23"/>
      <c r="BK655" s="23"/>
      <c r="BL655" s="23"/>
      <c r="BM655" s="23"/>
      <c r="BN655" s="23"/>
      <c r="BO655" s="23"/>
      <c r="BP655" s="23"/>
      <c r="BQ655" s="23"/>
      <c r="BR655" s="23"/>
      <c r="BS655" s="23"/>
      <c r="BT655" s="23"/>
      <c r="BU655" s="23"/>
      <c r="BV655" s="23"/>
      <c r="BW655" s="23"/>
      <c r="BX655" s="23"/>
      <c r="BY655" s="23"/>
      <c r="BZ655" s="23"/>
      <c r="CA655" s="23"/>
      <c r="CB655" s="23"/>
      <c r="CC655" s="23"/>
      <c r="CD655" s="23"/>
      <c r="CE655" s="23"/>
      <c r="CF655" s="23"/>
      <c r="CG655" s="23"/>
      <c r="CH655" s="23"/>
      <c r="CI655" s="23"/>
      <c r="CJ655" s="23"/>
      <c r="CK655" s="23"/>
      <c r="CL655" s="23"/>
      <c r="CM655" s="23"/>
      <c r="CN655" s="23"/>
      <c r="CO655" s="23"/>
      <c r="CP655" s="23"/>
      <c r="CQ655" s="23"/>
      <c r="CR655" s="23"/>
      <c r="CS655" s="23"/>
      <c r="CT655" s="23"/>
      <c r="CU655" s="23"/>
      <c r="CV655" s="23"/>
      <c r="CW655" s="23"/>
      <c r="CX655" s="23"/>
      <c r="CY655" s="23"/>
      <c r="CZ655" s="23"/>
      <c r="DA655" s="23"/>
      <c r="DB655" s="23"/>
      <c r="DC655" s="23"/>
      <c r="DD655" s="23"/>
      <c r="DE655" s="23"/>
      <c r="DF655" s="23"/>
      <c r="DG655" s="23"/>
      <c r="DH655" s="23"/>
      <c r="DI655" s="23"/>
      <c r="DJ655" s="23"/>
      <c r="DK655" s="23"/>
      <c r="DL655" s="23"/>
      <c r="DM655" s="23"/>
      <c r="DN655" s="23"/>
      <c r="DO655" s="23"/>
      <c r="DP655" s="23"/>
      <c r="DQ655" s="23"/>
      <c r="DR655" s="23"/>
      <c r="DS655" s="23"/>
      <c r="DT655" s="23"/>
      <c r="DU655" s="23"/>
      <c r="DV655" s="23"/>
      <c r="DW655" s="23"/>
      <c r="DX655" s="23"/>
      <c r="DY655" s="23"/>
      <c r="DZ655" s="23"/>
      <c r="EA655" s="23"/>
      <c r="EB655" s="23"/>
      <c r="EC655" s="23"/>
      <c r="ED655" s="23"/>
      <c r="EE655" s="23"/>
      <c r="EF655" s="23"/>
      <c r="EG655" s="23"/>
      <c r="EH655" s="23"/>
      <c r="EI655" s="23"/>
      <c r="EJ655" s="23"/>
      <c r="EK655" s="23"/>
      <c r="EL655" s="23"/>
      <c r="EM655" s="23"/>
      <c r="EN655" s="23"/>
      <c r="EO655" s="23"/>
      <c r="EP655" s="23"/>
      <c r="EQ655" s="23"/>
      <c r="ER655" s="23"/>
      <c r="ES655" s="23"/>
      <c r="ET655" s="23"/>
      <c r="EU655" s="23"/>
      <c r="EV655" s="23"/>
      <c r="EW655" s="23"/>
      <c r="EX655" s="23"/>
      <c r="EY655" s="23"/>
      <c r="EZ655" s="23"/>
      <c r="FA655" s="23"/>
      <c r="FB655" s="23"/>
      <c r="FC655" s="23"/>
      <c r="FD655" s="23"/>
      <c r="FE655" s="23"/>
      <c r="FF655" s="23"/>
      <c r="FG655" s="23"/>
      <c r="FH655" s="23"/>
      <c r="FI655" s="23"/>
      <c r="FJ655" s="23"/>
      <c r="FK655" s="23"/>
      <c r="FL655" s="23"/>
      <c r="FM655" s="23"/>
      <c r="FN655" s="23"/>
      <c r="FO655" s="23"/>
      <c r="FP655" s="23"/>
      <c r="FQ655" s="23"/>
      <c r="FR655" s="23"/>
      <c r="FS655" s="23"/>
      <c r="FT655" s="23"/>
      <c r="FU655" s="23"/>
      <c r="FV655" s="23"/>
      <c r="FW655" s="23"/>
      <c r="FX655" s="23"/>
      <c r="FY655" s="23"/>
      <c r="FZ655" s="23"/>
      <c r="GA655" s="23"/>
      <c r="GB655" s="23"/>
      <c r="GC655" s="23"/>
      <c r="GD655" s="23"/>
      <c r="GE655" s="23"/>
      <c r="GF655" s="23"/>
      <c r="GG655" s="23"/>
      <c r="GH655" s="23"/>
      <c r="GI655" s="23"/>
      <c r="GJ655" s="23"/>
      <c r="GK655" s="23"/>
      <c r="GL655" s="23"/>
    </row>
    <row r="656" spans="1:194" ht="13">
      <c r="A656" s="23"/>
      <c r="B656" s="23"/>
      <c r="C656" s="23"/>
      <c r="D656" s="23"/>
      <c r="E656" s="23"/>
      <c r="F656" s="23"/>
      <c r="G656" s="23"/>
      <c r="H656" s="401"/>
      <c r="I656" s="401"/>
      <c r="J656" s="401"/>
      <c r="K656" s="401"/>
      <c r="L656" s="401"/>
      <c r="M656" s="438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  <c r="AL656" s="23"/>
      <c r="AM656" s="23"/>
      <c r="AN656" s="23"/>
      <c r="AO656" s="23"/>
      <c r="AP656" s="23"/>
      <c r="AQ656" s="23"/>
      <c r="AR656" s="23"/>
      <c r="AS656" s="23"/>
      <c r="AT656" s="23"/>
      <c r="AU656" s="23"/>
      <c r="AV656" s="23"/>
      <c r="AW656" s="23"/>
      <c r="AX656" s="23"/>
      <c r="AY656" s="23"/>
      <c r="AZ656" s="23"/>
      <c r="BA656" s="23"/>
      <c r="BB656" s="23"/>
      <c r="BC656" s="23"/>
      <c r="BD656" s="23"/>
      <c r="BE656" s="23"/>
      <c r="BF656" s="23"/>
      <c r="BG656" s="23"/>
      <c r="BH656" s="23"/>
      <c r="BI656" s="23"/>
      <c r="BJ656" s="23"/>
      <c r="BK656" s="23"/>
      <c r="BL656" s="23"/>
      <c r="BM656" s="23"/>
      <c r="BN656" s="23"/>
      <c r="BO656" s="23"/>
      <c r="BP656" s="23"/>
      <c r="BQ656" s="23"/>
      <c r="BR656" s="23"/>
      <c r="BS656" s="23"/>
      <c r="BT656" s="23"/>
      <c r="BU656" s="23"/>
      <c r="BV656" s="23"/>
      <c r="BW656" s="23"/>
      <c r="BX656" s="23"/>
      <c r="BY656" s="23"/>
      <c r="BZ656" s="23"/>
      <c r="CA656" s="23"/>
      <c r="CB656" s="23"/>
      <c r="CC656" s="23"/>
      <c r="CD656" s="23"/>
      <c r="CE656" s="23"/>
      <c r="CF656" s="23"/>
      <c r="CG656" s="23"/>
      <c r="CH656" s="23"/>
      <c r="CI656" s="23"/>
      <c r="CJ656" s="23"/>
      <c r="CK656" s="23"/>
      <c r="CL656" s="23"/>
      <c r="CM656" s="23"/>
      <c r="CN656" s="23"/>
      <c r="CO656" s="23"/>
      <c r="CP656" s="23"/>
      <c r="CQ656" s="23"/>
      <c r="CR656" s="23"/>
      <c r="CS656" s="23"/>
      <c r="CT656" s="23"/>
      <c r="CU656" s="23"/>
      <c r="CV656" s="23"/>
      <c r="CW656" s="23"/>
      <c r="CX656" s="23"/>
      <c r="CY656" s="23"/>
      <c r="CZ656" s="23"/>
      <c r="DA656" s="23"/>
      <c r="DB656" s="23"/>
      <c r="DC656" s="23"/>
      <c r="DD656" s="23"/>
      <c r="DE656" s="23"/>
      <c r="DF656" s="23"/>
      <c r="DG656" s="23"/>
      <c r="DH656" s="23"/>
      <c r="DI656" s="23"/>
      <c r="DJ656" s="23"/>
      <c r="DK656" s="23"/>
      <c r="DL656" s="23"/>
      <c r="DM656" s="23"/>
      <c r="DN656" s="23"/>
      <c r="DO656" s="23"/>
      <c r="DP656" s="23"/>
      <c r="DQ656" s="23"/>
      <c r="DR656" s="23"/>
      <c r="DS656" s="23"/>
      <c r="DT656" s="23"/>
      <c r="DU656" s="23"/>
      <c r="DV656" s="23"/>
      <c r="DW656" s="23"/>
      <c r="DX656" s="23"/>
      <c r="DY656" s="23"/>
      <c r="DZ656" s="23"/>
      <c r="EA656" s="23"/>
      <c r="EB656" s="23"/>
      <c r="EC656" s="23"/>
      <c r="ED656" s="23"/>
      <c r="EE656" s="23"/>
      <c r="EF656" s="23"/>
      <c r="EG656" s="23"/>
      <c r="EH656" s="23"/>
      <c r="EI656" s="23"/>
      <c r="EJ656" s="23"/>
      <c r="EK656" s="23"/>
      <c r="EL656" s="23"/>
      <c r="EM656" s="23"/>
      <c r="EN656" s="23"/>
      <c r="EO656" s="23"/>
      <c r="EP656" s="23"/>
      <c r="EQ656" s="23"/>
      <c r="ER656" s="23"/>
      <c r="ES656" s="23"/>
      <c r="ET656" s="23"/>
      <c r="EU656" s="23"/>
      <c r="EV656" s="23"/>
      <c r="EW656" s="23"/>
      <c r="EX656" s="23"/>
      <c r="EY656" s="23"/>
      <c r="EZ656" s="23"/>
      <c r="FA656" s="23"/>
      <c r="FB656" s="23"/>
      <c r="FC656" s="23"/>
      <c r="FD656" s="23"/>
      <c r="FE656" s="23"/>
      <c r="FF656" s="23"/>
      <c r="FG656" s="23"/>
      <c r="FH656" s="23"/>
      <c r="FI656" s="23"/>
      <c r="FJ656" s="23"/>
      <c r="FK656" s="23"/>
      <c r="FL656" s="23"/>
      <c r="FM656" s="23"/>
      <c r="FN656" s="23"/>
      <c r="FO656" s="23"/>
      <c r="FP656" s="23"/>
      <c r="FQ656" s="23"/>
      <c r="FR656" s="23"/>
      <c r="FS656" s="23"/>
      <c r="FT656" s="23"/>
      <c r="FU656" s="23"/>
      <c r="FV656" s="23"/>
      <c r="FW656" s="23"/>
      <c r="FX656" s="23"/>
      <c r="FY656" s="23"/>
      <c r="FZ656" s="23"/>
      <c r="GA656" s="23"/>
      <c r="GB656" s="23"/>
      <c r="GC656" s="23"/>
      <c r="GD656" s="23"/>
      <c r="GE656" s="23"/>
      <c r="GF656" s="23"/>
      <c r="GG656" s="23"/>
      <c r="GH656" s="23"/>
      <c r="GI656" s="23"/>
      <c r="GJ656" s="23"/>
      <c r="GK656" s="23"/>
      <c r="GL656" s="23"/>
    </row>
    <row r="657" spans="1:194" ht="13">
      <c r="A657" s="23"/>
      <c r="B657" s="23"/>
      <c r="C657" s="23"/>
      <c r="D657" s="23"/>
      <c r="E657" s="23"/>
      <c r="F657" s="23"/>
      <c r="G657" s="23"/>
      <c r="H657" s="401"/>
      <c r="I657" s="401"/>
      <c r="J657" s="401"/>
      <c r="K657" s="401"/>
      <c r="L657" s="401"/>
      <c r="M657" s="438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  <c r="AL657" s="23"/>
      <c r="AM657" s="23"/>
      <c r="AN657" s="23"/>
      <c r="AO657" s="23"/>
      <c r="AP657" s="23"/>
      <c r="AQ657" s="23"/>
      <c r="AR657" s="23"/>
      <c r="AS657" s="23"/>
      <c r="AT657" s="23"/>
      <c r="AU657" s="23"/>
      <c r="AV657" s="23"/>
      <c r="AW657" s="23"/>
      <c r="AX657" s="23"/>
      <c r="AY657" s="23"/>
      <c r="AZ657" s="23"/>
      <c r="BA657" s="23"/>
      <c r="BB657" s="23"/>
      <c r="BC657" s="23"/>
      <c r="BD657" s="23"/>
      <c r="BE657" s="23"/>
      <c r="BF657" s="23"/>
      <c r="BG657" s="23"/>
      <c r="BH657" s="23"/>
      <c r="BI657" s="23"/>
      <c r="BJ657" s="23"/>
      <c r="BK657" s="23"/>
      <c r="BL657" s="23"/>
      <c r="BM657" s="23"/>
      <c r="BN657" s="23"/>
      <c r="BO657" s="23"/>
      <c r="BP657" s="23"/>
      <c r="BQ657" s="23"/>
      <c r="BR657" s="23"/>
      <c r="BS657" s="23"/>
      <c r="BT657" s="23"/>
      <c r="BU657" s="23"/>
      <c r="BV657" s="23"/>
      <c r="BW657" s="23"/>
      <c r="BX657" s="23"/>
      <c r="BY657" s="23"/>
      <c r="BZ657" s="23"/>
      <c r="CA657" s="23"/>
      <c r="CB657" s="23"/>
      <c r="CC657" s="23"/>
      <c r="CD657" s="23"/>
      <c r="CE657" s="23"/>
      <c r="CF657" s="23"/>
      <c r="CG657" s="23"/>
      <c r="CH657" s="23"/>
      <c r="CI657" s="23"/>
      <c r="CJ657" s="23"/>
      <c r="CK657" s="23"/>
      <c r="CL657" s="23"/>
      <c r="CM657" s="23"/>
      <c r="CN657" s="23"/>
      <c r="CO657" s="23"/>
      <c r="CP657" s="23"/>
      <c r="CQ657" s="23"/>
      <c r="CR657" s="23"/>
      <c r="CS657" s="23"/>
      <c r="CT657" s="23"/>
      <c r="CU657" s="23"/>
      <c r="CV657" s="23"/>
      <c r="CW657" s="23"/>
      <c r="CX657" s="23"/>
      <c r="CY657" s="23"/>
      <c r="CZ657" s="23"/>
      <c r="DA657" s="23"/>
      <c r="DB657" s="23"/>
      <c r="DC657" s="23"/>
      <c r="DD657" s="23"/>
      <c r="DE657" s="23"/>
      <c r="DF657" s="23"/>
      <c r="DG657" s="23"/>
      <c r="DH657" s="23"/>
      <c r="DI657" s="23"/>
      <c r="DJ657" s="23"/>
      <c r="DK657" s="23"/>
      <c r="DL657" s="23"/>
      <c r="DM657" s="23"/>
      <c r="DN657" s="23"/>
      <c r="DO657" s="23"/>
      <c r="DP657" s="23"/>
      <c r="DQ657" s="23"/>
      <c r="DR657" s="23"/>
      <c r="DS657" s="23"/>
      <c r="DT657" s="23"/>
      <c r="DU657" s="23"/>
      <c r="DV657" s="23"/>
      <c r="DW657" s="23"/>
      <c r="DX657" s="23"/>
      <c r="DY657" s="23"/>
      <c r="DZ657" s="23"/>
      <c r="EA657" s="23"/>
      <c r="EB657" s="23"/>
      <c r="EC657" s="23"/>
      <c r="ED657" s="23"/>
      <c r="EE657" s="23"/>
      <c r="EF657" s="23"/>
      <c r="EG657" s="23"/>
      <c r="EH657" s="23"/>
      <c r="EI657" s="23"/>
      <c r="EJ657" s="23"/>
      <c r="EK657" s="23"/>
      <c r="EL657" s="23"/>
      <c r="EM657" s="23"/>
      <c r="EN657" s="23"/>
      <c r="EO657" s="23"/>
      <c r="EP657" s="23"/>
      <c r="EQ657" s="23"/>
      <c r="ER657" s="23"/>
      <c r="ES657" s="23"/>
      <c r="ET657" s="23"/>
      <c r="EU657" s="23"/>
      <c r="EV657" s="23"/>
      <c r="EW657" s="23"/>
      <c r="EX657" s="23"/>
      <c r="EY657" s="23"/>
      <c r="EZ657" s="23"/>
      <c r="FA657" s="23"/>
      <c r="FB657" s="23"/>
      <c r="FC657" s="23"/>
      <c r="FD657" s="23"/>
      <c r="FE657" s="23"/>
      <c r="FF657" s="23"/>
      <c r="FG657" s="23"/>
      <c r="FH657" s="23"/>
      <c r="FI657" s="23"/>
      <c r="FJ657" s="23"/>
      <c r="FK657" s="23"/>
      <c r="FL657" s="23"/>
      <c r="FM657" s="23"/>
      <c r="FN657" s="23"/>
      <c r="FO657" s="23"/>
      <c r="FP657" s="23"/>
      <c r="FQ657" s="23"/>
      <c r="FR657" s="23"/>
      <c r="FS657" s="23"/>
      <c r="FT657" s="23"/>
      <c r="FU657" s="23"/>
      <c r="FV657" s="23"/>
      <c r="FW657" s="23"/>
      <c r="FX657" s="23"/>
      <c r="FY657" s="23"/>
      <c r="FZ657" s="23"/>
      <c r="GA657" s="23"/>
      <c r="GB657" s="23"/>
      <c r="GC657" s="23"/>
      <c r="GD657" s="23"/>
      <c r="GE657" s="23"/>
      <c r="GF657" s="23"/>
      <c r="GG657" s="23"/>
      <c r="GH657" s="23"/>
      <c r="GI657" s="23"/>
      <c r="GJ657" s="23"/>
      <c r="GK657" s="23"/>
      <c r="GL657" s="23"/>
    </row>
    <row r="658" spans="1:194" ht="13">
      <c r="A658" s="23"/>
      <c r="B658" s="23"/>
      <c r="C658" s="23"/>
      <c r="D658" s="23"/>
      <c r="E658" s="23"/>
      <c r="F658" s="23"/>
      <c r="G658" s="23"/>
      <c r="H658" s="401"/>
      <c r="I658" s="401"/>
      <c r="J658" s="401"/>
      <c r="K658" s="401"/>
      <c r="L658" s="401"/>
      <c r="M658" s="438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  <c r="AL658" s="23"/>
      <c r="AM658" s="23"/>
      <c r="AN658" s="23"/>
      <c r="AO658" s="23"/>
      <c r="AP658" s="23"/>
      <c r="AQ658" s="23"/>
      <c r="AR658" s="23"/>
      <c r="AS658" s="23"/>
      <c r="AT658" s="23"/>
      <c r="AU658" s="23"/>
      <c r="AV658" s="23"/>
      <c r="AW658" s="23"/>
      <c r="AX658" s="23"/>
      <c r="AY658" s="23"/>
      <c r="AZ658" s="23"/>
      <c r="BA658" s="23"/>
      <c r="BB658" s="23"/>
      <c r="BC658" s="23"/>
      <c r="BD658" s="23"/>
      <c r="BE658" s="23"/>
      <c r="BF658" s="23"/>
      <c r="BG658" s="23"/>
      <c r="BH658" s="23"/>
      <c r="BI658" s="23"/>
      <c r="BJ658" s="23"/>
      <c r="BK658" s="23"/>
      <c r="BL658" s="23"/>
      <c r="BM658" s="23"/>
      <c r="BN658" s="23"/>
      <c r="BO658" s="23"/>
      <c r="BP658" s="23"/>
      <c r="BQ658" s="23"/>
      <c r="BR658" s="23"/>
      <c r="BS658" s="23"/>
      <c r="BT658" s="23"/>
      <c r="BU658" s="23"/>
      <c r="BV658" s="23"/>
      <c r="BW658" s="23"/>
      <c r="BX658" s="23"/>
      <c r="BY658" s="23"/>
      <c r="BZ658" s="23"/>
      <c r="CA658" s="23"/>
      <c r="CB658" s="23"/>
      <c r="CC658" s="23"/>
      <c r="CD658" s="23"/>
      <c r="CE658" s="23"/>
      <c r="CF658" s="23"/>
      <c r="CG658" s="23"/>
      <c r="CH658" s="23"/>
      <c r="CI658" s="23"/>
      <c r="CJ658" s="23"/>
      <c r="CK658" s="23"/>
      <c r="CL658" s="23"/>
      <c r="CM658" s="23"/>
      <c r="CN658" s="23"/>
      <c r="CO658" s="23"/>
      <c r="CP658" s="23"/>
      <c r="CQ658" s="23"/>
      <c r="CR658" s="23"/>
      <c r="CS658" s="23"/>
      <c r="CT658" s="23"/>
      <c r="CU658" s="23"/>
      <c r="CV658" s="23"/>
      <c r="CW658" s="23"/>
      <c r="CX658" s="23"/>
      <c r="CY658" s="23"/>
      <c r="CZ658" s="23"/>
      <c r="DA658" s="23"/>
      <c r="DB658" s="23"/>
      <c r="DC658" s="23"/>
      <c r="DD658" s="23"/>
      <c r="DE658" s="23"/>
      <c r="DF658" s="23"/>
      <c r="DG658" s="23"/>
      <c r="DH658" s="23"/>
      <c r="DI658" s="23"/>
      <c r="DJ658" s="23"/>
      <c r="DK658" s="23"/>
      <c r="DL658" s="23"/>
      <c r="DM658" s="23"/>
      <c r="DN658" s="23"/>
      <c r="DO658" s="23"/>
      <c r="DP658" s="23"/>
      <c r="DQ658" s="23"/>
      <c r="DR658" s="23"/>
      <c r="DS658" s="23"/>
      <c r="DT658" s="23"/>
      <c r="DU658" s="23"/>
      <c r="DV658" s="23"/>
      <c r="DW658" s="23"/>
      <c r="DX658" s="23"/>
      <c r="DY658" s="23"/>
      <c r="DZ658" s="23"/>
      <c r="EA658" s="23"/>
      <c r="EB658" s="23"/>
      <c r="EC658" s="23"/>
      <c r="ED658" s="23"/>
      <c r="EE658" s="23"/>
      <c r="EF658" s="23"/>
      <c r="EG658" s="23"/>
      <c r="EH658" s="23"/>
      <c r="EI658" s="23"/>
      <c r="EJ658" s="23"/>
      <c r="EK658" s="23"/>
      <c r="EL658" s="23"/>
      <c r="EM658" s="23"/>
      <c r="EN658" s="23"/>
      <c r="EO658" s="23"/>
      <c r="EP658" s="23"/>
      <c r="EQ658" s="23"/>
      <c r="ER658" s="23"/>
      <c r="ES658" s="23"/>
      <c r="ET658" s="23"/>
      <c r="EU658" s="23"/>
      <c r="EV658" s="23"/>
      <c r="EW658" s="23"/>
      <c r="EX658" s="23"/>
      <c r="EY658" s="23"/>
      <c r="EZ658" s="23"/>
      <c r="FA658" s="23"/>
      <c r="FB658" s="23"/>
      <c r="FC658" s="23"/>
      <c r="FD658" s="23"/>
      <c r="FE658" s="23"/>
      <c r="FF658" s="23"/>
      <c r="FG658" s="23"/>
      <c r="FH658" s="23"/>
      <c r="FI658" s="23"/>
      <c r="FJ658" s="23"/>
      <c r="FK658" s="23"/>
      <c r="FL658" s="23"/>
      <c r="FM658" s="23"/>
      <c r="FN658" s="23"/>
      <c r="FO658" s="23"/>
      <c r="FP658" s="23"/>
      <c r="FQ658" s="23"/>
      <c r="FR658" s="23"/>
      <c r="FS658" s="23"/>
      <c r="FT658" s="23"/>
      <c r="FU658" s="23"/>
      <c r="FV658" s="23"/>
      <c r="FW658" s="23"/>
      <c r="FX658" s="23"/>
      <c r="FY658" s="23"/>
      <c r="FZ658" s="23"/>
      <c r="GA658" s="23"/>
      <c r="GB658" s="23"/>
      <c r="GC658" s="23"/>
      <c r="GD658" s="23"/>
      <c r="GE658" s="23"/>
      <c r="GF658" s="23"/>
      <c r="GG658" s="23"/>
      <c r="GH658" s="23"/>
      <c r="GI658" s="23"/>
      <c r="GJ658" s="23"/>
      <c r="GK658" s="23"/>
      <c r="GL658" s="23"/>
    </row>
    <row r="659" spans="1:194" ht="13">
      <c r="A659" s="23"/>
      <c r="B659" s="23"/>
      <c r="C659" s="23"/>
      <c r="D659" s="23"/>
      <c r="E659" s="23"/>
      <c r="F659" s="23"/>
      <c r="G659" s="23"/>
      <c r="H659" s="401"/>
      <c r="I659" s="401"/>
      <c r="J659" s="401"/>
      <c r="K659" s="401"/>
      <c r="L659" s="401"/>
      <c r="M659" s="438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  <c r="AL659" s="23"/>
      <c r="AM659" s="23"/>
      <c r="AN659" s="23"/>
      <c r="AO659" s="23"/>
      <c r="AP659" s="23"/>
      <c r="AQ659" s="23"/>
      <c r="AR659" s="23"/>
      <c r="AS659" s="23"/>
      <c r="AT659" s="23"/>
      <c r="AU659" s="23"/>
      <c r="AV659" s="23"/>
      <c r="AW659" s="23"/>
      <c r="AX659" s="23"/>
      <c r="AY659" s="23"/>
      <c r="AZ659" s="23"/>
      <c r="BA659" s="23"/>
      <c r="BB659" s="23"/>
      <c r="BC659" s="23"/>
      <c r="BD659" s="23"/>
      <c r="BE659" s="23"/>
      <c r="BF659" s="23"/>
      <c r="BG659" s="23"/>
      <c r="BH659" s="23"/>
      <c r="BI659" s="23"/>
      <c r="BJ659" s="23"/>
      <c r="BK659" s="23"/>
      <c r="BL659" s="23"/>
      <c r="BM659" s="23"/>
      <c r="BN659" s="23"/>
      <c r="BO659" s="23"/>
      <c r="BP659" s="23"/>
      <c r="BQ659" s="23"/>
      <c r="BR659" s="23"/>
      <c r="BS659" s="23"/>
      <c r="BT659" s="23"/>
      <c r="BU659" s="23"/>
      <c r="BV659" s="23"/>
      <c r="BW659" s="23"/>
      <c r="BX659" s="23"/>
      <c r="BY659" s="23"/>
      <c r="BZ659" s="23"/>
      <c r="CA659" s="23"/>
      <c r="CB659" s="23"/>
      <c r="CC659" s="23"/>
      <c r="CD659" s="23"/>
      <c r="CE659" s="23"/>
      <c r="CF659" s="23"/>
      <c r="CG659" s="23"/>
      <c r="CH659" s="23"/>
      <c r="CI659" s="23"/>
      <c r="CJ659" s="23"/>
      <c r="CK659" s="23"/>
      <c r="CL659" s="23"/>
      <c r="CM659" s="23"/>
      <c r="CN659" s="23"/>
      <c r="CO659" s="23"/>
      <c r="CP659" s="23"/>
      <c r="CQ659" s="23"/>
      <c r="CR659" s="23"/>
      <c r="CS659" s="23"/>
      <c r="CT659" s="23"/>
      <c r="CU659" s="23"/>
      <c r="CV659" s="23"/>
      <c r="CW659" s="23"/>
      <c r="CX659" s="23"/>
      <c r="CY659" s="23"/>
      <c r="CZ659" s="23"/>
      <c r="DA659" s="23"/>
      <c r="DB659" s="23"/>
      <c r="DC659" s="23"/>
      <c r="DD659" s="23"/>
      <c r="DE659" s="23"/>
      <c r="DF659" s="23"/>
      <c r="DG659" s="23"/>
      <c r="DH659" s="23"/>
      <c r="DI659" s="23"/>
      <c r="DJ659" s="23"/>
      <c r="DK659" s="23"/>
      <c r="DL659" s="23"/>
      <c r="DM659" s="23"/>
      <c r="DN659" s="23"/>
      <c r="DO659" s="23"/>
      <c r="DP659" s="23"/>
      <c r="DQ659" s="23"/>
      <c r="DR659" s="23"/>
      <c r="DS659" s="23"/>
      <c r="DT659" s="23"/>
      <c r="DU659" s="23"/>
      <c r="DV659" s="23"/>
      <c r="DW659" s="23"/>
      <c r="DX659" s="23"/>
      <c r="DY659" s="23"/>
      <c r="DZ659" s="23"/>
      <c r="EA659" s="23"/>
      <c r="EB659" s="23"/>
      <c r="EC659" s="23"/>
      <c r="ED659" s="23"/>
      <c r="EE659" s="23"/>
      <c r="EF659" s="23"/>
      <c r="EG659" s="23"/>
      <c r="EH659" s="23"/>
      <c r="EI659" s="23"/>
      <c r="EJ659" s="23"/>
      <c r="EK659" s="23"/>
      <c r="EL659" s="23"/>
      <c r="EM659" s="23"/>
      <c r="EN659" s="23"/>
      <c r="EO659" s="23"/>
      <c r="EP659" s="23"/>
      <c r="EQ659" s="23"/>
      <c r="ER659" s="23"/>
      <c r="ES659" s="23"/>
      <c r="ET659" s="23"/>
      <c r="EU659" s="23"/>
      <c r="EV659" s="23"/>
      <c r="EW659" s="23"/>
      <c r="EX659" s="23"/>
      <c r="EY659" s="23"/>
      <c r="EZ659" s="23"/>
      <c r="FA659" s="23"/>
      <c r="FB659" s="23"/>
      <c r="FC659" s="23"/>
      <c r="FD659" s="23"/>
      <c r="FE659" s="23"/>
      <c r="FF659" s="23"/>
      <c r="FG659" s="23"/>
      <c r="FH659" s="23"/>
      <c r="FI659" s="23"/>
      <c r="FJ659" s="23"/>
      <c r="FK659" s="23"/>
      <c r="FL659" s="23"/>
      <c r="FM659" s="23"/>
      <c r="FN659" s="23"/>
      <c r="FO659" s="23"/>
      <c r="FP659" s="23"/>
      <c r="FQ659" s="23"/>
      <c r="FR659" s="23"/>
      <c r="FS659" s="23"/>
      <c r="FT659" s="23"/>
      <c r="FU659" s="23"/>
      <c r="FV659" s="23"/>
      <c r="FW659" s="23"/>
      <c r="FX659" s="23"/>
      <c r="FY659" s="23"/>
      <c r="FZ659" s="23"/>
      <c r="GA659" s="23"/>
      <c r="GB659" s="23"/>
      <c r="GC659" s="23"/>
      <c r="GD659" s="23"/>
      <c r="GE659" s="23"/>
      <c r="GF659" s="23"/>
      <c r="GG659" s="23"/>
      <c r="GH659" s="23"/>
      <c r="GI659" s="23"/>
      <c r="GJ659" s="23"/>
      <c r="GK659" s="23"/>
      <c r="GL659" s="23"/>
    </row>
    <row r="660" spans="1:194" ht="13">
      <c r="A660" s="23"/>
      <c r="B660" s="23"/>
      <c r="C660" s="23"/>
      <c r="D660" s="23"/>
      <c r="E660" s="23"/>
      <c r="F660" s="23"/>
      <c r="G660" s="23"/>
      <c r="H660" s="401"/>
      <c r="I660" s="401"/>
      <c r="J660" s="401"/>
      <c r="K660" s="401"/>
      <c r="L660" s="401"/>
      <c r="M660" s="438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  <c r="AL660" s="23"/>
      <c r="AM660" s="23"/>
      <c r="AN660" s="23"/>
      <c r="AO660" s="23"/>
      <c r="AP660" s="23"/>
      <c r="AQ660" s="23"/>
      <c r="AR660" s="23"/>
      <c r="AS660" s="23"/>
      <c r="AT660" s="23"/>
      <c r="AU660" s="23"/>
      <c r="AV660" s="23"/>
      <c r="AW660" s="23"/>
      <c r="AX660" s="23"/>
      <c r="AY660" s="23"/>
      <c r="AZ660" s="23"/>
      <c r="BA660" s="23"/>
      <c r="BB660" s="23"/>
      <c r="BC660" s="23"/>
      <c r="BD660" s="23"/>
      <c r="BE660" s="23"/>
      <c r="BF660" s="23"/>
      <c r="BG660" s="23"/>
      <c r="BH660" s="23"/>
      <c r="BI660" s="23"/>
      <c r="BJ660" s="23"/>
      <c r="BK660" s="23"/>
      <c r="BL660" s="23"/>
      <c r="BM660" s="23"/>
      <c r="BN660" s="23"/>
      <c r="BO660" s="23"/>
      <c r="BP660" s="23"/>
      <c r="BQ660" s="23"/>
      <c r="BR660" s="23"/>
      <c r="BS660" s="23"/>
      <c r="BT660" s="23"/>
      <c r="BU660" s="23"/>
      <c r="BV660" s="23"/>
      <c r="BW660" s="23"/>
      <c r="BX660" s="23"/>
      <c r="BY660" s="23"/>
      <c r="BZ660" s="23"/>
      <c r="CA660" s="23"/>
      <c r="CB660" s="23"/>
      <c r="CC660" s="23"/>
      <c r="CD660" s="23"/>
      <c r="CE660" s="23"/>
      <c r="CF660" s="23"/>
      <c r="CG660" s="23"/>
      <c r="CH660" s="23"/>
      <c r="CI660" s="23"/>
      <c r="CJ660" s="23"/>
      <c r="CK660" s="23"/>
      <c r="CL660" s="23"/>
      <c r="CM660" s="23"/>
      <c r="CN660" s="23"/>
      <c r="CO660" s="23"/>
      <c r="CP660" s="23"/>
      <c r="CQ660" s="23"/>
      <c r="CR660" s="23"/>
      <c r="CS660" s="23"/>
      <c r="CT660" s="23"/>
      <c r="CU660" s="23"/>
      <c r="CV660" s="23"/>
      <c r="CW660" s="23"/>
      <c r="CX660" s="23"/>
      <c r="CY660" s="23"/>
      <c r="CZ660" s="23"/>
      <c r="DA660" s="23"/>
      <c r="DB660" s="23"/>
      <c r="DC660" s="23"/>
      <c r="DD660" s="23"/>
      <c r="DE660" s="23"/>
      <c r="DF660" s="23"/>
      <c r="DG660" s="23"/>
      <c r="DH660" s="23"/>
      <c r="DI660" s="23"/>
      <c r="DJ660" s="23"/>
      <c r="DK660" s="23"/>
      <c r="DL660" s="23"/>
      <c r="DM660" s="23"/>
      <c r="DN660" s="23"/>
      <c r="DO660" s="23"/>
      <c r="DP660" s="23"/>
      <c r="DQ660" s="23"/>
      <c r="DR660" s="23"/>
      <c r="DS660" s="23"/>
      <c r="DT660" s="23"/>
      <c r="DU660" s="23"/>
      <c r="DV660" s="23"/>
      <c r="DW660" s="23"/>
      <c r="DX660" s="23"/>
      <c r="DY660" s="23"/>
      <c r="DZ660" s="23"/>
      <c r="EA660" s="23"/>
      <c r="EB660" s="23"/>
      <c r="EC660" s="23"/>
      <c r="ED660" s="23"/>
      <c r="EE660" s="23"/>
      <c r="EF660" s="23"/>
      <c r="EG660" s="23"/>
      <c r="EH660" s="23"/>
      <c r="EI660" s="23"/>
      <c r="EJ660" s="23"/>
      <c r="EK660" s="23"/>
      <c r="EL660" s="23"/>
      <c r="EM660" s="23"/>
      <c r="EN660" s="23"/>
      <c r="EO660" s="23"/>
      <c r="EP660" s="23"/>
      <c r="EQ660" s="23"/>
      <c r="ER660" s="23"/>
      <c r="ES660" s="23"/>
      <c r="ET660" s="23"/>
      <c r="EU660" s="23"/>
      <c r="EV660" s="23"/>
      <c r="EW660" s="23"/>
      <c r="EX660" s="23"/>
      <c r="EY660" s="23"/>
      <c r="EZ660" s="23"/>
      <c r="FA660" s="23"/>
      <c r="FB660" s="23"/>
      <c r="FC660" s="23"/>
      <c r="FD660" s="23"/>
      <c r="FE660" s="23"/>
      <c r="FF660" s="23"/>
      <c r="FG660" s="23"/>
      <c r="FH660" s="23"/>
      <c r="FI660" s="23"/>
      <c r="FJ660" s="23"/>
      <c r="FK660" s="23"/>
      <c r="FL660" s="23"/>
      <c r="FM660" s="23"/>
      <c r="FN660" s="23"/>
      <c r="FO660" s="23"/>
      <c r="FP660" s="23"/>
      <c r="FQ660" s="23"/>
      <c r="FR660" s="23"/>
      <c r="FS660" s="23"/>
      <c r="FT660" s="23"/>
      <c r="FU660" s="23"/>
      <c r="FV660" s="23"/>
      <c r="FW660" s="23"/>
      <c r="FX660" s="23"/>
      <c r="FY660" s="23"/>
      <c r="FZ660" s="23"/>
      <c r="GA660" s="23"/>
      <c r="GB660" s="23"/>
      <c r="GC660" s="23"/>
      <c r="GD660" s="23"/>
      <c r="GE660" s="23"/>
      <c r="GF660" s="23"/>
      <c r="GG660" s="23"/>
      <c r="GH660" s="23"/>
      <c r="GI660" s="23"/>
      <c r="GJ660" s="23"/>
      <c r="GK660" s="23"/>
      <c r="GL660" s="23"/>
    </row>
    <row r="661" spans="1:194" ht="13">
      <c r="A661" s="23"/>
      <c r="B661" s="23"/>
      <c r="C661" s="23"/>
      <c r="D661" s="23"/>
      <c r="E661" s="23"/>
      <c r="F661" s="23"/>
      <c r="G661" s="23"/>
      <c r="H661" s="401"/>
      <c r="I661" s="401"/>
      <c r="J661" s="401"/>
      <c r="K661" s="401"/>
      <c r="L661" s="401"/>
      <c r="M661" s="438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  <c r="AL661" s="23"/>
      <c r="AM661" s="23"/>
      <c r="AN661" s="23"/>
      <c r="AO661" s="23"/>
      <c r="AP661" s="23"/>
      <c r="AQ661" s="23"/>
      <c r="AR661" s="23"/>
      <c r="AS661" s="23"/>
      <c r="AT661" s="23"/>
      <c r="AU661" s="23"/>
      <c r="AV661" s="23"/>
      <c r="AW661" s="23"/>
      <c r="AX661" s="23"/>
      <c r="AY661" s="23"/>
      <c r="AZ661" s="23"/>
      <c r="BA661" s="23"/>
      <c r="BB661" s="23"/>
      <c r="BC661" s="23"/>
      <c r="BD661" s="23"/>
      <c r="BE661" s="23"/>
      <c r="BF661" s="23"/>
      <c r="BG661" s="23"/>
      <c r="BH661" s="23"/>
      <c r="BI661" s="23"/>
      <c r="BJ661" s="23"/>
      <c r="BK661" s="23"/>
      <c r="BL661" s="23"/>
      <c r="BM661" s="23"/>
      <c r="BN661" s="23"/>
      <c r="BO661" s="23"/>
      <c r="BP661" s="23"/>
      <c r="BQ661" s="23"/>
      <c r="BR661" s="23"/>
      <c r="BS661" s="23"/>
      <c r="BT661" s="23"/>
      <c r="BU661" s="23"/>
      <c r="BV661" s="23"/>
      <c r="BW661" s="23"/>
      <c r="BX661" s="23"/>
      <c r="BY661" s="23"/>
      <c r="BZ661" s="23"/>
      <c r="CA661" s="23"/>
      <c r="CB661" s="23"/>
      <c r="CC661" s="23"/>
      <c r="CD661" s="23"/>
      <c r="CE661" s="23"/>
      <c r="CF661" s="23"/>
      <c r="CG661" s="23"/>
      <c r="CH661" s="23"/>
      <c r="CI661" s="23"/>
      <c r="CJ661" s="23"/>
      <c r="CK661" s="23"/>
      <c r="CL661" s="23"/>
      <c r="CM661" s="23"/>
      <c r="CN661" s="23"/>
      <c r="CO661" s="23"/>
      <c r="CP661" s="23"/>
      <c r="CQ661" s="23"/>
      <c r="CR661" s="23"/>
      <c r="CS661" s="23"/>
      <c r="CT661" s="23"/>
      <c r="CU661" s="23"/>
      <c r="CV661" s="23"/>
      <c r="CW661" s="23"/>
      <c r="CX661" s="23"/>
      <c r="CY661" s="23"/>
      <c r="CZ661" s="23"/>
      <c r="DA661" s="23"/>
      <c r="DB661" s="23"/>
      <c r="DC661" s="23"/>
      <c r="DD661" s="23"/>
      <c r="DE661" s="23"/>
      <c r="DF661" s="23"/>
      <c r="DG661" s="23"/>
      <c r="DH661" s="23"/>
      <c r="DI661" s="23"/>
      <c r="DJ661" s="23"/>
      <c r="DK661" s="23"/>
      <c r="DL661" s="23"/>
      <c r="DM661" s="23"/>
      <c r="DN661" s="23"/>
      <c r="DO661" s="23"/>
      <c r="DP661" s="23"/>
      <c r="DQ661" s="23"/>
      <c r="DR661" s="23"/>
      <c r="DS661" s="23"/>
      <c r="DT661" s="23"/>
      <c r="DU661" s="23"/>
      <c r="DV661" s="23"/>
      <c r="DW661" s="23"/>
      <c r="DX661" s="23"/>
      <c r="DY661" s="23"/>
      <c r="DZ661" s="23"/>
      <c r="EA661" s="23"/>
      <c r="EB661" s="23"/>
      <c r="EC661" s="23"/>
      <c r="ED661" s="23"/>
      <c r="EE661" s="23"/>
      <c r="EF661" s="23"/>
      <c r="EG661" s="23"/>
      <c r="EH661" s="23"/>
      <c r="EI661" s="23"/>
      <c r="EJ661" s="23"/>
      <c r="EK661" s="23"/>
      <c r="EL661" s="23"/>
      <c r="EM661" s="23"/>
      <c r="EN661" s="23"/>
      <c r="EO661" s="23"/>
      <c r="EP661" s="23"/>
      <c r="EQ661" s="23"/>
      <c r="ER661" s="23"/>
      <c r="ES661" s="23"/>
      <c r="ET661" s="23"/>
      <c r="EU661" s="23"/>
      <c r="EV661" s="23"/>
      <c r="EW661" s="23"/>
      <c r="EX661" s="23"/>
      <c r="EY661" s="23"/>
      <c r="EZ661" s="23"/>
      <c r="FA661" s="23"/>
      <c r="FB661" s="23"/>
      <c r="FC661" s="23"/>
      <c r="FD661" s="23"/>
      <c r="FE661" s="23"/>
      <c r="FF661" s="23"/>
      <c r="FG661" s="23"/>
      <c r="FH661" s="23"/>
      <c r="FI661" s="23"/>
      <c r="FJ661" s="23"/>
      <c r="FK661" s="23"/>
      <c r="FL661" s="23"/>
      <c r="FM661" s="23"/>
      <c r="FN661" s="23"/>
      <c r="FO661" s="23"/>
      <c r="FP661" s="23"/>
      <c r="FQ661" s="23"/>
      <c r="FR661" s="23"/>
      <c r="FS661" s="23"/>
      <c r="FT661" s="23"/>
      <c r="FU661" s="23"/>
      <c r="FV661" s="23"/>
      <c r="FW661" s="23"/>
      <c r="FX661" s="23"/>
      <c r="FY661" s="23"/>
      <c r="FZ661" s="23"/>
      <c r="GA661" s="23"/>
      <c r="GB661" s="23"/>
      <c r="GC661" s="23"/>
      <c r="GD661" s="23"/>
      <c r="GE661" s="23"/>
      <c r="GF661" s="23"/>
      <c r="GG661" s="23"/>
      <c r="GH661" s="23"/>
      <c r="GI661" s="23"/>
      <c r="GJ661" s="23"/>
      <c r="GK661" s="23"/>
      <c r="GL661" s="23"/>
    </row>
    <row r="662" spans="1:194" ht="13">
      <c r="A662" s="23"/>
      <c r="B662" s="23"/>
      <c r="C662" s="23"/>
      <c r="D662" s="23"/>
      <c r="E662" s="23"/>
      <c r="F662" s="23"/>
      <c r="G662" s="23"/>
      <c r="H662" s="401"/>
      <c r="I662" s="401"/>
      <c r="J662" s="401"/>
      <c r="K662" s="401"/>
      <c r="L662" s="401"/>
      <c r="M662" s="438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  <c r="AL662" s="23"/>
      <c r="AM662" s="23"/>
      <c r="AN662" s="23"/>
      <c r="AO662" s="23"/>
      <c r="AP662" s="23"/>
      <c r="AQ662" s="23"/>
      <c r="AR662" s="23"/>
      <c r="AS662" s="23"/>
      <c r="AT662" s="23"/>
      <c r="AU662" s="23"/>
      <c r="AV662" s="23"/>
      <c r="AW662" s="23"/>
      <c r="AX662" s="23"/>
      <c r="AY662" s="23"/>
      <c r="AZ662" s="23"/>
      <c r="BA662" s="23"/>
      <c r="BB662" s="23"/>
      <c r="BC662" s="23"/>
      <c r="BD662" s="23"/>
      <c r="BE662" s="23"/>
      <c r="BF662" s="23"/>
      <c r="BG662" s="23"/>
      <c r="BH662" s="23"/>
      <c r="BI662" s="23"/>
      <c r="BJ662" s="23"/>
      <c r="BK662" s="23"/>
      <c r="BL662" s="23"/>
      <c r="BM662" s="23"/>
      <c r="BN662" s="23"/>
      <c r="BO662" s="23"/>
      <c r="BP662" s="23"/>
      <c r="BQ662" s="23"/>
      <c r="BR662" s="23"/>
      <c r="BS662" s="23"/>
      <c r="BT662" s="23"/>
      <c r="BU662" s="23"/>
      <c r="BV662" s="23"/>
      <c r="BW662" s="23"/>
      <c r="BX662" s="23"/>
      <c r="BY662" s="23"/>
      <c r="BZ662" s="23"/>
      <c r="CA662" s="23"/>
      <c r="CB662" s="23"/>
      <c r="CC662" s="23"/>
      <c r="CD662" s="23"/>
      <c r="CE662" s="23"/>
      <c r="CF662" s="23"/>
      <c r="CG662" s="23"/>
      <c r="CH662" s="23"/>
      <c r="CI662" s="23"/>
      <c r="CJ662" s="23"/>
      <c r="CK662" s="23"/>
      <c r="CL662" s="23"/>
      <c r="CM662" s="23"/>
      <c r="CN662" s="23"/>
      <c r="CO662" s="23"/>
      <c r="CP662" s="23"/>
      <c r="CQ662" s="23"/>
      <c r="CR662" s="23"/>
      <c r="CS662" s="23"/>
      <c r="CT662" s="23"/>
      <c r="CU662" s="23"/>
      <c r="CV662" s="23"/>
      <c r="CW662" s="23"/>
      <c r="CX662" s="23"/>
      <c r="CY662" s="23"/>
      <c r="CZ662" s="23"/>
      <c r="DA662" s="23"/>
      <c r="DB662" s="23"/>
      <c r="DC662" s="23"/>
      <c r="DD662" s="23"/>
      <c r="DE662" s="23"/>
      <c r="DF662" s="23"/>
      <c r="DG662" s="23"/>
      <c r="DH662" s="23"/>
      <c r="DI662" s="23"/>
      <c r="DJ662" s="23"/>
      <c r="DK662" s="23"/>
      <c r="DL662" s="23"/>
      <c r="DM662" s="23"/>
      <c r="DN662" s="23"/>
      <c r="DO662" s="23"/>
      <c r="DP662" s="23"/>
      <c r="DQ662" s="23"/>
      <c r="DR662" s="23"/>
      <c r="DS662" s="23"/>
      <c r="DT662" s="23"/>
      <c r="DU662" s="23"/>
      <c r="DV662" s="23"/>
      <c r="DW662" s="23"/>
      <c r="DX662" s="23"/>
      <c r="DY662" s="23"/>
      <c r="DZ662" s="23"/>
      <c r="EA662" s="23"/>
      <c r="EB662" s="23"/>
      <c r="EC662" s="23"/>
      <c r="ED662" s="23"/>
      <c r="EE662" s="23"/>
      <c r="EF662" s="23"/>
      <c r="EG662" s="23"/>
      <c r="EH662" s="23"/>
      <c r="EI662" s="23"/>
      <c r="EJ662" s="23"/>
      <c r="EK662" s="23"/>
      <c r="EL662" s="23"/>
      <c r="EM662" s="23"/>
      <c r="EN662" s="23"/>
      <c r="EO662" s="23"/>
      <c r="EP662" s="23"/>
      <c r="EQ662" s="23"/>
      <c r="ER662" s="23"/>
      <c r="ES662" s="23"/>
      <c r="ET662" s="23"/>
      <c r="EU662" s="23"/>
      <c r="EV662" s="23"/>
      <c r="EW662" s="23"/>
      <c r="EX662" s="23"/>
      <c r="EY662" s="23"/>
      <c r="EZ662" s="23"/>
      <c r="FA662" s="23"/>
      <c r="FB662" s="23"/>
      <c r="FC662" s="23"/>
      <c r="FD662" s="23"/>
      <c r="FE662" s="23"/>
      <c r="FF662" s="23"/>
      <c r="FG662" s="23"/>
      <c r="FH662" s="23"/>
      <c r="FI662" s="23"/>
      <c r="FJ662" s="23"/>
      <c r="FK662" s="23"/>
      <c r="FL662" s="23"/>
      <c r="FM662" s="23"/>
      <c r="FN662" s="23"/>
      <c r="FO662" s="23"/>
      <c r="FP662" s="23"/>
      <c r="FQ662" s="23"/>
      <c r="FR662" s="23"/>
      <c r="FS662" s="23"/>
      <c r="FT662" s="23"/>
      <c r="FU662" s="23"/>
      <c r="FV662" s="23"/>
      <c r="FW662" s="23"/>
      <c r="FX662" s="23"/>
      <c r="FY662" s="23"/>
      <c r="FZ662" s="23"/>
      <c r="GA662" s="23"/>
      <c r="GB662" s="23"/>
      <c r="GC662" s="23"/>
      <c r="GD662" s="23"/>
      <c r="GE662" s="23"/>
      <c r="GF662" s="23"/>
      <c r="GG662" s="23"/>
      <c r="GH662" s="23"/>
      <c r="GI662" s="23"/>
      <c r="GJ662" s="23"/>
      <c r="GK662" s="23"/>
      <c r="GL662" s="23"/>
    </row>
    <row r="663" spans="1:194" ht="13">
      <c r="A663" s="23"/>
      <c r="B663" s="23"/>
      <c r="C663" s="23"/>
      <c r="D663" s="23"/>
      <c r="E663" s="23"/>
      <c r="F663" s="23"/>
      <c r="G663" s="23"/>
      <c r="H663" s="401"/>
      <c r="I663" s="401"/>
      <c r="J663" s="401"/>
      <c r="K663" s="401"/>
      <c r="L663" s="401"/>
      <c r="M663" s="438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  <c r="AL663" s="23"/>
      <c r="AM663" s="23"/>
      <c r="AN663" s="23"/>
      <c r="AO663" s="23"/>
      <c r="AP663" s="23"/>
      <c r="AQ663" s="23"/>
      <c r="AR663" s="23"/>
      <c r="AS663" s="23"/>
      <c r="AT663" s="23"/>
      <c r="AU663" s="23"/>
      <c r="AV663" s="23"/>
      <c r="AW663" s="23"/>
      <c r="AX663" s="23"/>
      <c r="AY663" s="23"/>
      <c r="AZ663" s="23"/>
      <c r="BA663" s="23"/>
      <c r="BB663" s="23"/>
      <c r="BC663" s="23"/>
      <c r="BD663" s="23"/>
      <c r="BE663" s="23"/>
      <c r="BF663" s="23"/>
      <c r="BG663" s="23"/>
      <c r="BH663" s="23"/>
      <c r="BI663" s="23"/>
      <c r="BJ663" s="23"/>
      <c r="BK663" s="23"/>
      <c r="BL663" s="23"/>
      <c r="BM663" s="23"/>
      <c r="BN663" s="23"/>
      <c r="BO663" s="23"/>
      <c r="BP663" s="23"/>
      <c r="BQ663" s="23"/>
      <c r="BR663" s="23"/>
      <c r="BS663" s="23"/>
      <c r="BT663" s="23"/>
      <c r="BU663" s="23"/>
      <c r="BV663" s="23"/>
      <c r="BW663" s="23"/>
      <c r="BX663" s="23"/>
      <c r="BY663" s="23"/>
      <c r="BZ663" s="23"/>
      <c r="CA663" s="23"/>
      <c r="CB663" s="23"/>
      <c r="CC663" s="23"/>
      <c r="CD663" s="23"/>
      <c r="CE663" s="23"/>
      <c r="CF663" s="23"/>
      <c r="CG663" s="23"/>
      <c r="CH663" s="23"/>
      <c r="CI663" s="23"/>
      <c r="CJ663" s="23"/>
      <c r="CK663" s="23"/>
      <c r="CL663" s="23"/>
      <c r="CM663" s="23"/>
      <c r="CN663" s="23"/>
      <c r="CO663" s="23"/>
      <c r="CP663" s="23"/>
      <c r="CQ663" s="23"/>
      <c r="CR663" s="23"/>
      <c r="CS663" s="23"/>
      <c r="CT663" s="23"/>
      <c r="CU663" s="23"/>
      <c r="CV663" s="23"/>
      <c r="CW663" s="23"/>
      <c r="CX663" s="23"/>
      <c r="CY663" s="23"/>
      <c r="CZ663" s="23"/>
      <c r="DA663" s="23"/>
      <c r="DB663" s="23"/>
      <c r="DC663" s="23"/>
      <c r="DD663" s="23"/>
      <c r="DE663" s="23"/>
      <c r="DF663" s="23"/>
      <c r="DG663" s="23"/>
      <c r="DH663" s="23"/>
      <c r="DI663" s="23"/>
      <c r="DJ663" s="23"/>
      <c r="DK663" s="23"/>
      <c r="DL663" s="23"/>
      <c r="DM663" s="23"/>
      <c r="DN663" s="23"/>
      <c r="DO663" s="23"/>
      <c r="DP663" s="23"/>
      <c r="DQ663" s="23"/>
      <c r="DR663" s="23"/>
      <c r="DS663" s="23"/>
      <c r="DT663" s="23"/>
      <c r="DU663" s="23"/>
      <c r="DV663" s="23"/>
      <c r="DW663" s="23"/>
      <c r="DX663" s="23"/>
      <c r="DY663" s="23"/>
      <c r="DZ663" s="23"/>
      <c r="EA663" s="23"/>
      <c r="EB663" s="23"/>
      <c r="EC663" s="23"/>
      <c r="ED663" s="23"/>
      <c r="EE663" s="23"/>
      <c r="EF663" s="23"/>
      <c r="EG663" s="23"/>
      <c r="EH663" s="23"/>
      <c r="EI663" s="23"/>
      <c r="EJ663" s="23"/>
      <c r="EK663" s="23"/>
      <c r="EL663" s="23"/>
      <c r="EM663" s="23"/>
      <c r="EN663" s="23"/>
      <c r="EO663" s="23"/>
      <c r="EP663" s="23"/>
      <c r="EQ663" s="23"/>
      <c r="ER663" s="23"/>
      <c r="ES663" s="23"/>
      <c r="ET663" s="23"/>
      <c r="EU663" s="23"/>
      <c r="EV663" s="23"/>
      <c r="EW663" s="23"/>
      <c r="EX663" s="23"/>
      <c r="EY663" s="23"/>
      <c r="EZ663" s="23"/>
      <c r="FA663" s="23"/>
      <c r="FB663" s="23"/>
      <c r="FC663" s="23"/>
      <c r="FD663" s="23"/>
      <c r="FE663" s="23"/>
      <c r="FF663" s="23"/>
      <c r="FG663" s="23"/>
      <c r="FH663" s="23"/>
      <c r="FI663" s="23"/>
      <c r="FJ663" s="23"/>
      <c r="FK663" s="23"/>
      <c r="FL663" s="23"/>
      <c r="FM663" s="23"/>
      <c r="FN663" s="23"/>
      <c r="FO663" s="23"/>
      <c r="FP663" s="23"/>
      <c r="FQ663" s="23"/>
      <c r="FR663" s="23"/>
      <c r="FS663" s="23"/>
      <c r="FT663" s="23"/>
      <c r="FU663" s="23"/>
      <c r="FV663" s="23"/>
      <c r="FW663" s="23"/>
      <c r="FX663" s="23"/>
      <c r="FY663" s="23"/>
      <c r="FZ663" s="23"/>
      <c r="GA663" s="23"/>
      <c r="GB663" s="23"/>
      <c r="GC663" s="23"/>
      <c r="GD663" s="23"/>
      <c r="GE663" s="23"/>
      <c r="GF663" s="23"/>
      <c r="GG663" s="23"/>
      <c r="GH663" s="23"/>
      <c r="GI663" s="23"/>
      <c r="GJ663" s="23"/>
      <c r="GK663" s="23"/>
      <c r="GL663" s="23"/>
    </row>
    <row r="664" spans="1:194" ht="13">
      <c r="A664" s="23"/>
      <c r="B664" s="23"/>
      <c r="C664" s="23"/>
      <c r="D664" s="23"/>
      <c r="E664" s="23"/>
      <c r="F664" s="23"/>
      <c r="G664" s="23"/>
      <c r="H664" s="401"/>
      <c r="I664" s="401"/>
      <c r="J664" s="401"/>
      <c r="K664" s="401"/>
      <c r="L664" s="401"/>
      <c r="M664" s="438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  <c r="AL664" s="23"/>
      <c r="AM664" s="23"/>
      <c r="AN664" s="23"/>
      <c r="AO664" s="23"/>
      <c r="AP664" s="23"/>
      <c r="AQ664" s="23"/>
      <c r="AR664" s="23"/>
      <c r="AS664" s="23"/>
      <c r="AT664" s="23"/>
      <c r="AU664" s="23"/>
      <c r="AV664" s="23"/>
      <c r="AW664" s="23"/>
      <c r="AX664" s="23"/>
      <c r="AY664" s="23"/>
      <c r="AZ664" s="23"/>
      <c r="BA664" s="23"/>
      <c r="BB664" s="23"/>
      <c r="BC664" s="23"/>
      <c r="BD664" s="23"/>
      <c r="BE664" s="23"/>
      <c r="BF664" s="23"/>
      <c r="BG664" s="23"/>
      <c r="BH664" s="23"/>
      <c r="BI664" s="23"/>
      <c r="BJ664" s="23"/>
      <c r="BK664" s="23"/>
      <c r="BL664" s="23"/>
      <c r="BM664" s="23"/>
      <c r="BN664" s="23"/>
      <c r="BO664" s="23"/>
      <c r="BP664" s="23"/>
      <c r="BQ664" s="23"/>
      <c r="BR664" s="23"/>
      <c r="BS664" s="23"/>
      <c r="BT664" s="23"/>
      <c r="BU664" s="23"/>
      <c r="BV664" s="23"/>
      <c r="BW664" s="23"/>
      <c r="BX664" s="23"/>
      <c r="BY664" s="23"/>
      <c r="BZ664" s="23"/>
      <c r="CA664" s="23"/>
      <c r="CB664" s="23"/>
      <c r="CC664" s="23"/>
      <c r="CD664" s="23"/>
      <c r="CE664" s="23"/>
      <c r="CF664" s="23"/>
      <c r="CG664" s="23"/>
      <c r="CH664" s="23"/>
      <c r="CI664" s="23"/>
      <c r="CJ664" s="23"/>
      <c r="CK664" s="23"/>
      <c r="CL664" s="23"/>
      <c r="CM664" s="23"/>
      <c r="CN664" s="23"/>
      <c r="CO664" s="23"/>
      <c r="CP664" s="23"/>
      <c r="CQ664" s="23"/>
      <c r="CR664" s="23"/>
      <c r="CS664" s="23"/>
      <c r="CT664" s="23"/>
      <c r="CU664" s="23"/>
      <c r="CV664" s="23"/>
      <c r="CW664" s="23"/>
      <c r="CX664" s="23"/>
      <c r="CY664" s="23"/>
      <c r="CZ664" s="23"/>
      <c r="DA664" s="23"/>
      <c r="DB664" s="23"/>
      <c r="DC664" s="23"/>
      <c r="DD664" s="23"/>
      <c r="DE664" s="23"/>
      <c r="DF664" s="23"/>
      <c r="DG664" s="23"/>
      <c r="DH664" s="23"/>
      <c r="DI664" s="23"/>
      <c r="DJ664" s="23"/>
      <c r="DK664" s="23"/>
      <c r="DL664" s="23"/>
      <c r="DM664" s="23"/>
      <c r="DN664" s="23"/>
      <c r="DO664" s="23"/>
      <c r="DP664" s="23"/>
      <c r="DQ664" s="23"/>
      <c r="DR664" s="23"/>
      <c r="DS664" s="23"/>
      <c r="DT664" s="23"/>
      <c r="DU664" s="23"/>
      <c r="DV664" s="23"/>
      <c r="DW664" s="23"/>
      <c r="DX664" s="23"/>
      <c r="DY664" s="23"/>
      <c r="DZ664" s="23"/>
      <c r="EA664" s="23"/>
      <c r="EB664" s="23"/>
      <c r="EC664" s="23"/>
      <c r="ED664" s="23"/>
      <c r="EE664" s="23"/>
      <c r="EF664" s="23"/>
      <c r="EG664" s="23"/>
      <c r="EH664" s="23"/>
      <c r="EI664" s="23"/>
      <c r="EJ664" s="23"/>
      <c r="EK664" s="23"/>
      <c r="EL664" s="23"/>
      <c r="EM664" s="23"/>
      <c r="EN664" s="23"/>
      <c r="EO664" s="23"/>
      <c r="EP664" s="23"/>
      <c r="EQ664" s="23"/>
      <c r="ER664" s="23"/>
      <c r="ES664" s="23"/>
      <c r="ET664" s="23"/>
      <c r="EU664" s="23"/>
      <c r="EV664" s="23"/>
      <c r="EW664" s="23"/>
      <c r="EX664" s="23"/>
      <c r="EY664" s="23"/>
      <c r="EZ664" s="23"/>
      <c r="FA664" s="23"/>
      <c r="FB664" s="23"/>
      <c r="FC664" s="23"/>
      <c r="FD664" s="23"/>
      <c r="FE664" s="23"/>
      <c r="FF664" s="23"/>
      <c r="FG664" s="23"/>
      <c r="FH664" s="23"/>
      <c r="FI664" s="23"/>
      <c r="FJ664" s="23"/>
      <c r="FK664" s="23"/>
      <c r="FL664" s="23"/>
      <c r="FM664" s="23"/>
      <c r="FN664" s="23"/>
      <c r="FO664" s="23"/>
      <c r="FP664" s="23"/>
      <c r="FQ664" s="23"/>
      <c r="FR664" s="23"/>
      <c r="FS664" s="23"/>
      <c r="FT664" s="23"/>
      <c r="FU664" s="23"/>
      <c r="FV664" s="23"/>
      <c r="FW664" s="23"/>
      <c r="FX664" s="23"/>
      <c r="FY664" s="23"/>
      <c r="FZ664" s="23"/>
      <c r="GA664" s="23"/>
      <c r="GB664" s="23"/>
      <c r="GC664" s="23"/>
      <c r="GD664" s="23"/>
      <c r="GE664" s="23"/>
      <c r="GF664" s="23"/>
      <c r="GG664" s="23"/>
      <c r="GH664" s="23"/>
      <c r="GI664" s="23"/>
      <c r="GJ664" s="23"/>
      <c r="GK664" s="23"/>
      <c r="GL664" s="23"/>
    </row>
    <row r="665" spans="1:194" ht="13">
      <c r="A665" s="23"/>
      <c r="B665" s="23"/>
      <c r="C665" s="23"/>
      <c r="D665" s="23"/>
      <c r="E665" s="23"/>
      <c r="F665" s="23"/>
      <c r="G665" s="23"/>
      <c r="H665" s="401"/>
      <c r="I665" s="401"/>
      <c r="J665" s="401"/>
      <c r="K665" s="401"/>
      <c r="L665" s="401"/>
      <c r="M665" s="438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  <c r="AL665" s="23"/>
      <c r="AM665" s="23"/>
      <c r="AN665" s="23"/>
      <c r="AO665" s="23"/>
      <c r="AP665" s="23"/>
      <c r="AQ665" s="23"/>
      <c r="AR665" s="23"/>
      <c r="AS665" s="23"/>
      <c r="AT665" s="23"/>
      <c r="AU665" s="23"/>
      <c r="AV665" s="23"/>
      <c r="AW665" s="23"/>
      <c r="AX665" s="23"/>
      <c r="AY665" s="23"/>
      <c r="AZ665" s="23"/>
      <c r="BA665" s="23"/>
      <c r="BB665" s="23"/>
      <c r="BC665" s="23"/>
      <c r="BD665" s="23"/>
      <c r="BE665" s="23"/>
      <c r="BF665" s="23"/>
      <c r="BG665" s="23"/>
      <c r="BH665" s="23"/>
      <c r="BI665" s="23"/>
      <c r="BJ665" s="23"/>
      <c r="BK665" s="23"/>
      <c r="BL665" s="23"/>
      <c r="BM665" s="23"/>
      <c r="BN665" s="23"/>
      <c r="BO665" s="23"/>
      <c r="BP665" s="23"/>
      <c r="BQ665" s="23"/>
      <c r="BR665" s="23"/>
      <c r="BS665" s="23"/>
      <c r="BT665" s="23"/>
      <c r="BU665" s="23"/>
      <c r="BV665" s="23"/>
      <c r="BW665" s="23"/>
      <c r="BX665" s="23"/>
      <c r="BY665" s="23"/>
      <c r="BZ665" s="23"/>
      <c r="CA665" s="23"/>
      <c r="CB665" s="23"/>
      <c r="CC665" s="23"/>
      <c r="CD665" s="23"/>
      <c r="CE665" s="23"/>
      <c r="CF665" s="23"/>
      <c r="CG665" s="23"/>
      <c r="CH665" s="23"/>
      <c r="CI665" s="23"/>
      <c r="CJ665" s="23"/>
      <c r="CK665" s="23"/>
      <c r="CL665" s="23"/>
      <c r="CM665" s="23"/>
      <c r="CN665" s="23"/>
      <c r="CO665" s="23"/>
      <c r="CP665" s="23"/>
      <c r="CQ665" s="23"/>
      <c r="CR665" s="23"/>
      <c r="CS665" s="23"/>
      <c r="CT665" s="23"/>
      <c r="CU665" s="23"/>
      <c r="CV665" s="23"/>
      <c r="CW665" s="23"/>
      <c r="CX665" s="23"/>
      <c r="CY665" s="23"/>
      <c r="CZ665" s="23"/>
      <c r="DA665" s="23"/>
      <c r="DB665" s="23"/>
      <c r="DC665" s="23"/>
      <c r="DD665" s="23"/>
      <c r="DE665" s="23"/>
      <c r="DF665" s="23"/>
      <c r="DG665" s="23"/>
      <c r="DH665" s="23"/>
      <c r="DI665" s="23"/>
      <c r="DJ665" s="23"/>
      <c r="DK665" s="23"/>
      <c r="DL665" s="23"/>
      <c r="DM665" s="23"/>
      <c r="DN665" s="23"/>
      <c r="DO665" s="23"/>
      <c r="DP665" s="23"/>
      <c r="DQ665" s="23"/>
      <c r="DR665" s="23"/>
      <c r="DS665" s="23"/>
      <c r="DT665" s="23"/>
      <c r="DU665" s="23"/>
      <c r="DV665" s="23"/>
      <c r="DW665" s="23"/>
      <c r="DX665" s="23"/>
      <c r="DY665" s="23"/>
      <c r="DZ665" s="23"/>
      <c r="EA665" s="23"/>
      <c r="EB665" s="23"/>
      <c r="EC665" s="23"/>
      <c r="ED665" s="23"/>
      <c r="EE665" s="23"/>
      <c r="EF665" s="23"/>
      <c r="EG665" s="23"/>
      <c r="EH665" s="23"/>
      <c r="EI665" s="23"/>
      <c r="EJ665" s="23"/>
      <c r="EK665" s="23"/>
      <c r="EL665" s="23"/>
      <c r="EM665" s="23"/>
      <c r="EN665" s="23"/>
      <c r="EO665" s="23"/>
      <c r="EP665" s="23"/>
      <c r="EQ665" s="23"/>
      <c r="ER665" s="23"/>
      <c r="ES665" s="23"/>
      <c r="ET665" s="23"/>
      <c r="EU665" s="23"/>
      <c r="EV665" s="23"/>
      <c r="EW665" s="23"/>
      <c r="EX665" s="23"/>
      <c r="EY665" s="23"/>
      <c r="EZ665" s="23"/>
      <c r="FA665" s="23"/>
      <c r="FB665" s="23"/>
      <c r="FC665" s="23"/>
      <c r="FD665" s="23"/>
      <c r="FE665" s="23"/>
      <c r="FF665" s="23"/>
      <c r="FG665" s="23"/>
      <c r="FH665" s="23"/>
      <c r="FI665" s="23"/>
      <c r="FJ665" s="23"/>
      <c r="FK665" s="23"/>
      <c r="FL665" s="23"/>
      <c r="FM665" s="23"/>
      <c r="FN665" s="23"/>
      <c r="FO665" s="23"/>
      <c r="FP665" s="23"/>
      <c r="FQ665" s="23"/>
      <c r="FR665" s="23"/>
      <c r="FS665" s="23"/>
      <c r="FT665" s="23"/>
      <c r="FU665" s="23"/>
      <c r="FV665" s="23"/>
      <c r="FW665" s="23"/>
      <c r="FX665" s="23"/>
      <c r="FY665" s="23"/>
      <c r="FZ665" s="23"/>
      <c r="GA665" s="23"/>
      <c r="GB665" s="23"/>
      <c r="GC665" s="23"/>
      <c r="GD665" s="23"/>
      <c r="GE665" s="23"/>
      <c r="GF665" s="23"/>
      <c r="GG665" s="23"/>
      <c r="GH665" s="23"/>
      <c r="GI665" s="23"/>
      <c r="GJ665" s="23"/>
      <c r="GK665" s="23"/>
      <c r="GL665" s="23"/>
    </row>
    <row r="666" spans="1:194" ht="13">
      <c r="A666" s="23"/>
      <c r="B666" s="23"/>
      <c r="C666" s="23"/>
      <c r="D666" s="23"/>
      <c r="E666" s="23"/>
      <c r="F666" s="23"/>
      <c r="G666" s="23"/>
      <c r="H666" s="401"/>
      <c r="I666" s="401"/>
      <c r="J666" s="401"/>
      <c r="K666" s="401"/>
      <c r="L666" s="401"/>
      <c r="M666" s="438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  <c r="AL666" s="23"/>
      <c r="AM666" s="23"/>
      <c r="AN666" s="23"/>
      <c r="AO666" s="23"/>
      <c r="AP666" s="23"/>
      <c r="AQ666" s="23"/>
      <c r="AR666" s="23"/>
      <c r="AS666" s="23"/>
      <c r="AT666" s="23"/>
      <c r="AU666" s="23"/>
      <c r="AV666" s="23"/>
      <c r="AW666" s="23"/>
      <c r="AX666" s="23"/>
      <c r="AY666" s="23"/>
      <c r="AZ666" s="23"/>
      <c r="BA666" s="23"/>
      <c r="BB666" s="23"/>
      <c r="BC666" s="23"/>
      <c r="BD666" s="23"/>
      <c r="BE666" s="23"/>
      <c r="BF666" s="23"/>
      <c r="BG666" s="23"/>
      <c r="BH666" s="23"/>
      <c r="BI666" s="23"/>
      <c r="BJ666" s="23"/>
      <c r="BK666" s="23"/>
      <c r="BL666" s="23"/>
      <c r="BM666" s="23"/>
      <c r="BN666" s="23"/>
      <c r="BO666" s="23"/>
      <c r="BP666" s="23"/>
      <c r="BQ666" s="23"/>
      <c r="BR666" s="23"/>
      <c r="BS666" s="23"/>
      <c r="BT666" s="23"/>
      <c r="BU666" s="23"/>
      <c r="BV666" s="23"/>
      <c r="BW666" s="23"/>
      <c r="BX666" s="23"/>
      <c r="BY666" s="23"/>
      <c r="BZ666" s="23"/>
      <c r="CA666" s="23"/>
      <c r="CB666" s="23"/>
      <c r="CC666" s="23"/>
      <c r="CD666" s="23"/>
      <c r="CE666" s="23"/>
      <c r="CF666" s="23"/>
      <c r="CG666" s="23"/>
      <c r="CH666" s="23"/>
      <c r="CI666" s="23"/>
      <c r="CJ666" s="23"/>
      <c r="CK666" s="23"/>
      <c r="CL666" s="23"/>
      <c r="CM666" s="23"/>
      <c r="CN666" s="23"/>
      <c r="CO666" s="23"/>
      <c r="CP666" s="23"/>
      <c r="CQ666" s="23"/>
      <c r="CR666" s="23"/>
      <c r="CS666" s="23"/>
      <c r="CT666" s="23"/>
      <c r="CU666" s="23"/>
      <c r="CV666" s="23"/>
      <c r="CW666" s="23"/>
      <c r="CX666" s="23"/>
      <c r="CY666" s="23"/>
      <c r="CZ666" s="23"/>
      <c r="DA666" s="23"/>
      <c r="DB666" s="23"/>
      <c r="DC666" s="23"/>
      <c r="DD666" s="23"/>
      <c r="DE666" s="23"/>
      <c r="DF666" s="23"/>
      <c r="DG666" s="23"/>
      <c r="DH666" s="23"/>
      <c r="DI666" s="23"/>
      <c r="DJ666" s="23"/>
      <c r="DK666" s="23"/>
      <c r="DL666" s="23"/>
      <c r="DM666" s="23"/>
      <c r="DN666" s="23"/>
      <c r="DO666" s="23"/>
      <c r="DP666" s="23"/>
      <c r="DQ666" s="23"/>
      <c r="DR666" s="23"/>
      <c r="DS666" s="23"/>
      <c r="DT666" s="23"/>
      <c r="DU666" s="23"/>
      <c r="DV666" s="23"/>
      <c r="DW666" s="23"/>
      <c r="DX666" s="23"/>
      <c r="DY666" s="23"/>
      <c r="DZ666" s="23"/>
      <c r="EA666" s="23"/>
      <c r="EB666" s="23"/>
      <c r="EC666" s="23"/>
      <c r="ED666" s="23"/>
      <c r="EE666" s="23"/>
      <c r="EF666" s="23"/>
      <c r="EG666" s="23"/>
      <c r="EH666" s="23"/>
      <c r="EI666" s="23"/>
      <c r="EJ666" s="23"/>
      <c r="EK666" s="23"/>
      <c r="EL666" s="23"/>
      <c r="EM666" s="23"/>
      <c r="EN666" s="23"/>
      <c r="EO666" s="23"/>
      <c r="EP666" s="23"/>
      <c r="EQ666" s="23"/>
      <c r="ER666" s="23"/>
      <c r="ES666" s="23"/>
      <c r="ET666" s="23"/>
      <c r="EU666" s="23"/>
      <c r="EV666" s="23"/>
      <c r="EW666" s="23"/>
      <c r="EX666" s="23"/>
      <c r="EY666" s="23"/>
      <c r="EZ666" s="23"/>
      <c r="FA666" s="23"/>
      <c r="FB666" s="23"/>
      <c r="FC666" s="23"/>
      <c r="FD666" s="23"/>
      <c r="FE666" s="23"/>
      <c r="FF666" s="23"/>
      <c r="FG666" s="23"/>
      <c r="FH666" s="23"/>
      <c r="FI666" s="23"/>
      <c r="FJ666" s="23"/>
      <c r="FK666" s="23"/>
      <c r="FL666" s="23"/>
      <c r="FM666" s="23"/>
      <c r="FN666" s="23"/>
      <c r="FO666" s="23"/>
      <c r="FP666" s="23"/>
      <c r="FQ666" s="23"/>
      <c r="FR666" s="23"/>
      <c r="FS666" s="23"/>
      <c r="FT666" s="23"/>
      <c r="FU666" s="23"/>
      <c r="FV666" s="23"/>
      <c r="FW666" s="23"/>
      <c r="FX666" s="23"/>
      <c r="FY666" s="23"/>
      <c r="FZ666" s="23"/>
      <c r="GA666" s="23"/>
      <c r="GB666" s="23"/>
      <c r="GC666" s="23"/>
      <c r="GD666" s="23"/>
      <c r="GE666" s="23"/>
      <c r="GF666" s="23"/>
      <c r="GG666" s="23"/>
      <c r="GH666" s="23"/>
      <c r="GI666" s="23"/>
      <c r="GJ666" s="23"/>
      <c r="GK666" s="23"/>
      <c r="GL666" s="23"/>
    </row>
    <row r="667" spans="1:194" ht="13">
      <c r="A667" s="23"/>
      <c r="B667" s="23"/>
      <c r="C667" s="23"/>
      <c r="D667" s="23"/>
      <c r="E667" s="23"/>
      <c r="F667" s="23"/>
      <c r="G667" s="23"/>
      <c r="H667" s="401"/>
      <c r="I667" s="401"/>
      <c r="J667" s="401"/>
      <c r="K667" s="401"/>
      <c r="L667" s="401"/>
      <c r="M667" s="438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  <c r="AL667" s="23"/>
      <c r="AM667" s="23"/>
      <c r="AN667" s="23"/>
      <c r="AO667" s="23"/>
      <c r="AP667" s="23"/>
      <c r="AQ667" s="23"/>
      <c r="AR667" s="23"/>
      <c r="AS667" s="23"/>
      <c r="AT667" s="23"/>
      <c r="AU667" s="23"/>
      <c r="AV667" s="23"/>
      <c r="AW667" s="23"/>
      <c r="AX667" s="23"/>
      <c r="AY667" s="23"/>
      <c r="AZ667" s="23"/>
      <c r="BA667" s="23"/>
      <c r="BB667" s="23"/>
      <c r="BC667" s="23"/>
      <c r="BD667" s="23"/>
      <c r="BE667" s="23"/>
      <c r="BF667" s="23"/>
      <c r="BG667" s="23"/>
      <c r="BH667" s="23"/>
      <c r="BI667" s="23"/>
      <c r="BJ667" s="23"/>
      <c r="BK667" s="23"/>
      <c r="BL667" s="23"/>
      <c r="BM667" s="23"/>
      <c r="BN667" s="23"/>
      <c r="BO667" s="23"/>
      <c r="BP667" s="23"/>
      <c r="BQ667" s="23"/>
      <c r="BR667" s="23"/>
      <c r="BS667" s="23"/>
      <c r="BT667" s="23"/>
      <c r="BU667" s="23"/>
      <c r="BV667" s="23"/>
      <c r="BW667" s="23"/>
      <c r="BX667" s="23"/>
      <c r="BY667" s="23"/>
      <c r="BZ667" s="23"/>
      <c r="CA667" s="23"/>
      <c r="CB667" s="23"/>
      <c r="CC667" s="23"/>
      <c r="CD667" s="23"/>
      <c r="CE667" s="23"/>
      <c r="CF667" s="23"/>
      <c r="CG667" s="23"/>
      <c r="CH667" s="23"/>
      <c r="CI667" s="23"/>
      <c r="CJ667" s="23"/>
      <c r="CK667" s="23"/>
      <c r="CL667" s="23"/>
      <c r="CM667" s="23"/>
      <c r="CN667" s="23"/>
      <c r="CO667" s="23"/>
      <c r="CP667" s="23"/>
      <c r="CQ667" s="23"/>
      <c r="CR667" s="23"/>
      <c r="CS667" s="23"/>
      <c r="CT667" s="23"/>
      <c r="CU667" s="23"/>
      <c r="CV667" s="23"/>
      <c r="CW667" s="23"/>
      <c r="CX667" s="23"/>
      <c r="CY667" s="23"/>
      <c r="CZ667" s="23"/>
      <c r="DA667" s="23"/>
      <c r="DB667" s="23"/>
      <c r="DC667" s="23"/>
      <c r="DD667" s="23"/>
      <c r="DE667" s="23"/>
      <c r="DF667" s="23"/>
      <c r="DG667" s="23"/>
      <c r="DH667" s="23"/>
      <c r="DI667" s="23"/>
      <c r="DJ667" s="23"/>
      <c r="DK667" s="23"/>
      <c r="DL667" s="23"/>
      <c r="DM667" s="23"/>
      <c r="DN667" s="23"/>
      <c r="DO667" s="23"/>
      <c r="DP667" s="23"/>
      <c r="DQ667" s="23"/>
      <c r="DR667" s="23"/>
      <c r="DS667" s="23"/>
      <c r="DT667" s="23"/>
      <c r="DU667" s="23"/>
      <c r="DV667" s="23"/>
      <c r="DW667" s="23"/>
      <c r="DX667" s="23"/>
      <c r="DY667" s="23"/>
      <c r="DZ667" s="23"/>
      <c r="EA667" s="23"/>
      <c r="EB667" s="23"/>
      <c r="EC667" s="23"/>
      <c r="ED667" s="23"/>
      <c r="EE667" s="23"/>
      <c r="EF667" s="23"/>
      <c r="EG667" s="23"/>
      <c r="EH667" s="23"/>
      <c r="EI667" s="23"/>
      <c r="EJ667" s="23"/>
      <c r="EK667" s="23"/>
      <c r="EL667" s="23"/>
      <c r="EM667" s="23"/>
      <c r="EN667" s="23"/>
      <c r="EO667" s="23"/>
      <c r="EP667" s="23"/>
      <c r="EQ667" s="23"/>
      <c r="ER667" s="23"/>
      <c r="ES667" s="23"/>
      <c r="ET667" s="23"/>
      <c r="EU667" s="23"/>
      <c r="EV667" s="23"/>
      <c r="EW667" s="23"/>
      <c r="EX667" s="23"/>
      <c r="EY667" s="23"/>
      <c r="EZ667" s="23"/>
      <c r="FA667" s="23"/>
      <c r="FB667" s="23"/>
      <c r="FC667" s="23"/>
      <c r="FD667" s="23"/>
      <c r="FE667" s="23"/>
      <c r="FF667" s="23"/>
      <c r="FG667" s="23"/>
      <c r="FH667" s="23"/>
      <c r="FI667" s="23"/>
      <c r="FJ667" s="23"/>
      <c r="FK667" s="23"/>
      <c r="FL667" s="23"/>
      <c r="FM667" s="23"/>
      <c r="FN667" s="23"/>
      <c r="FO667" s="23"/>
      <c r="FP667" s="23"/>
      <c r="FQ667" s="23"/>
      <c r="FR667" s="23"/>
      <c r="FS667" s="23"/>
      <c r="FT667" s="23"/>
      <c r="FU667" s="23"/>
      <c r="FV667" s="23"/>
      <c r="FW667" s="23"/>
      <c r="FX667" s="23"/>
      <c r="FY667" s="23"/>
      <c r="FZ667" s="23"/>
      <c r="GA667" s="23"/>
      <c r="GB667" s="23"/>
      <c r="GC667" s="23"/>
      <c r="GD667" s="23"/>
      <c r="GE667" s="23"/>
      <c r="GF667" s="23"/>
      <c r="GG667" s="23"/>
      <c r="GH667" s="23"/>
      <c r="GI667" s="23"/>
      <c r="GJ667" s="23"/>
      <c r="GK667" s="23"/>
      <c r="GL667" s="23"/>
    </row>
    <row r="668" spans="1:194" ht="13">
      <c r="A668" s="23"/>
      <c r="B668" s="23"/>
      <c r="C668" s="23"/>
      <c r="D668" s="23"/>
      <c r="E668" s="23"/>
      <c r="F668" s="23"/>
      <c r="G668" s="23"/>
      <c r="H668" s="401"/>
      <c r="I668" s="401"/>
      <c r="J668" s="401"/>
      <c r="K668" s="401"/>
      <c r="L668" s="401"/>
      <c r="M668" s="438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  <c r="AL668" s="23"/>
      <c r="AM668" s="23"/>
      <c r="AN668" s="23"/>
      <c r="AO668" s="23"/>
      <c r="AP668" s="23"/>
      <c r="AQ668" s="23"/>
      <c r="AR668" s="23"/>
      <c r="AS668" s="23"/>
      <c r="AT668" s="23"/>
      <c r="AU668" s="23"/>
      <c r="AV668" s="23"/>
      <c r="AW668" s="23"/>
      <c r="AX668" s="23"/>
      <c r="AY668" s="23"/>
      <c r="AZ668" s="23"/>
      <c r="BA668" s="23"/>
      <c r="BB668" s="23"/>
      <c r="BC668" s="23"/>
      <c r="BD668" s="23"/>
      <c r="BE668" s="23"/>
      <c r="BF668" s="23"/>
      <c r="BG668" s="23"/>
      <c r="BH668" s="23"/>
      <c r="BI668" s="23"/>
      <c r="BJ668" s="23"/>
      <c r="BK668" s="23"/>
      <c r="BL668" s="23"/>
      <c r="BM668" s="23"/>
      <c r="BN668" s="23"/>
      <c r="BO668" s="23"/>
      <c r="BP668" s="23"/>
      <c r="BQ668" s="23"/>
      <c r="BR668" s="23"/>
      <c r="BS668" s="23"/>
      <c r="BT668" s="23"/>
      <c r="BU668" s="23"/>
      <c r="BV668" s="23"/>
      <c r="BW668" s="23"/>
      <c r="BX668" s="23"/>
      <c r="BY668" s="23"/>
      <c r="BZ668" s="23"/>
      <c r="CA668" s="23"/>
      <c r="CB668" s="23"/>
      <c r="CC668" s="23"/>
      <c r="CD668" s="23"/>
      <c r="CE668" s="23"/>
      <c r="CF668" s="23"/>
      <c r="CG668" s="23"/>
      <c r="CH668" s="23"/>
      <c r="CI668" s="23"/>
      <c r="CJ668" s="23"/>
      <c r="CK668" s="23"/>
      <c r="CL668" s="23"/>
      <c r="CM668" s="23"/>
      <c r="CN668" s="23"/>
      <c r="CO668" s="23"/>
      <c r="CP668" s="23"/>
      <c r="CQ668" s="23"/>
      <c r="CR668" s="23"/>
      <c r="CS668" s="23"/>
      <c r="CT668" s="23"/>
      <c r="CU668" s="23"/>
      <c r="CV668" s="23"/>
      <c r="CW668" s="23"/>
      <c r="CX668" s="23"/>
      <c r="CY668" s="23"/>
      <c r="CZ668" s="23"/>
      <c r="DA668" s="23"/>
      <c r="DB668" s="23"/>
      <c r="DC668" s="23"/>
      <c r="DD668" s="23"/>
      <c r="DE668" s="23"/>
      <c r="DF668" s="23"/>
      <c r="DG668" s="23"/>
      <c r="DH668" s="23"/>
      <c r="DI668" s="23"/>
      <c r="DJ668" s="23"/>
      <c r="DK668" s="23"/>
      <c r="DL668" s="23"/>
      <c r="DM668" s="23"/>
      <c r="DN668" s="23"/>
      <c r="DO668" s="23"/>
      <c r="DP668" s="23"/>
      <c r="DQ668" s="23"/>
      <c r="DR668" s="23"/>
      <c r="DS668" s="23"/>
      <c r="DT668" s="23"/>
      <c r="DU668" s="23"/>
      <c r="DV668" s="23"/>
      <c r="DW668" s="23"/>
      <c r="DX668" s="23"/>
      <c r="DY668" s="23"/>
      <c r="DZ668" s="23"/>
      <c r="EA668" s="23"/>
      <c r="EB668" s="23"/>
      <c r="EC668" s="23"/>
      <c r="ED668" s="23"/>
      <c r="EE668" s="23"/>
      <c r="EF668" s="23"/>
      <c r="EG668" s="23"/>
      <c r="EH668" s="23"/>
      <c r="EI668" s="23"/>
      <c r="EJ668" s="23"/>
      <c r="EK668" s="23"/>
      <c r="EL668" s="23"/>
      <c r="EM668" s="23"/>
      <c r="EN668" s="23"/>
      <c r="EO668" s="23"/>
      <c r="EP668" s="23"/>
      <c r="EQ668" s="23"/>
      <c r="ER668" s="23"/>
      <c r="ES668" s="23"/>
      <c r="ET668" s="23"/>
      <c r="EU668" s="23"/>
      <c r="EV668" s="23"/>
      <c r="EW668" s="23"/>
      <c r="EX668" s="23"/>
      <c r="EY668" s="23"/>
      <c r="EZ668" s="23"/>
      <c r="FA668" s="23"/>
      <c r="FB668" s="23"/>
      <c r="FC668" s="23"/>
      <c r="FD668" s="23"/>
      <c r="FE668" s="23"/>
      <c r="FF668" s="23"/>
      <c r="FG668" s="23"/>
      <c r="FH668" s="23"/>
      <c r="FI668" s="23"/>
      <c r="FJ668" s="23"/>
      <c r="FK668" s="23"/>
      <c r="FL668" s="23"/>
      <c r="FM668" s="23"/>
      <c r="FN668" s="23"/>
      <c r="FO668" s="23"/>
      <c r="FP668" s="23"/>
      <c r="FQ668" s="23"/>
      <c r="FR668" s="23"/>
      <c r="FS668" s="23"/>
      <c r="FT668" s="23"/>
      <c r="FU668" s="23"/>
      <c r="FV668" s="23"/>
      <c r="FW668" s="23"/>
      <c r="FX668" s="23"/>
      <c r="FY668" s="23"/>
      <c r="FZ668" s="23"/>
      <c r="GA668" s="23"/>
      <c r="GB668" s="23"/>
      <c r="GC668" s="23"/>
      <c r="GD668" s="23"/>
      <c r="GE668" s="23"/>
      <c r="GF668" s="23"/>
      <c r="GG668" s="23"/>
      <c r="GH668" s="23"/>
      <c r="GI668" s="23"/>
      <c r="GJ668" s="23"/>
      <c r="GK668" s="23"/>
      <c r="GL668" s="23"/>
    </row>
    <row r="669" spans="1:194" ht="13">
      <c r="A669" s="23"/>
      <c r="B669" s="23"/>
      <c r="C669" s="23"/>
      <c r="D669" s="23"/>
      <c r="E669" s="23"/>
      <c r="F669" s="23"/>
      <c r="G669" s="23"/>
      <c r="H669" s="401"/>
      <c r="I669" s="401"/>
      <c r="J669" s="401"/>
      <c r="K669" s="401"/>
      <c r="L669" s="401"/>
      <c r="M669" s="438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  <c r="AL669" s="23"/>
      <c r="AM669" s="23"/>
      <c r="AN669" s="23"/>
      <c r="AO669" s="23"/>
      <c r="AP669" s="23"/>
      <c r="AQ669" s="23"/>
      <c r="AR669" s="23"/>
      <c r="AS669" s="23"/>
      <c r="AT669" s="23"/>
      <c r="AU669" s="23"/>
      <c r="AV669" s="23"/>
      <c r="AW669" s="23"/>
      <c r="AX669" s="23"/>
      <c r="AY669" s="23"/>
      <c r="AZ669" s="23"/>
      <c r="BA669" s="23"/>
      <c r="BB669" s="23"/>
      <c r="BC669" s="23"/>
      <c r="BD669" s="23"/>
      <c r="BE669" s="23"/>
      <c r="BF669" s="23"/>
      <c r="BG669" s="23"/>
      <c r="BH669" s="23"/>
      <c r="BI669" s="23"/>
      <c r="BJ669" s="23"/>
      <c r="BK669" s="23"/>
      <c r="BL669" s="23"/>
      <c r="BM669" s="23"/>
      <c r="BN669" s="23"/>
      <c r="BO669" s="23"/>
      <c r="BP669" s="23"/>
      <c r="BQ669" s="23"/>
      <c r="BR669" s="23"/>
      <c r="BS669" s="23"/>
      <c r="BT669" s="23"/>
      <c r="BU669" s="23"/>
      <c r="BV669" s="23"/>
      <c r="BW669" s="23"/>
      <c r="BX669" s="23"/>
      <c r="BY669" s="23"/>
      <c r="BZ669" s="23"/>
      <c r="CA669" s="23"/>
      <c r="CB669" s="23"/>
      <c r="CC669" s="23"/>
      <c r="CD669" s="23"/>
      <c r="CE669" s="23"/>
      <c r="CF669" s="23"/>
      <c r="CG669" s="23"/>
      <c r="CH669" s="23"/>
      <c r="CI669" s="23"/>
      <c r="CJ669" s="23"/>
      <c r="CK669" s="23"/>
      <c r="CL669" s="23"/>
      <c r="CM669" s="23"/>
      <c r="CN669" s="23"/>
      <c r="CO669" s="23"/>
      <c r="CP669" s="23"/>
      <c r="CQ669" s="23"/>
      <c r="CR669" s="23"/>
      <c r="CS669" s="23"/>
      <c r="CT669" s="23"/>
      <c r="CU669" s="23"/>
      <c r="CV669" s="23"/>
      <c r="CW669" s="23"/>
      <c r="CX669" s="23"/>
      <c r="CY669" s="23"/>
      <c r="CZ669" s="23"/>
      <c r="DA669" s="23"/>
      <c r="DB669" s="23"/>
      <c r="DC669" s="23"/>
      <c r="DD669" s="23"/>
      <c r="DE669" s="23"/>
      <c r="DF669" s="23"/>
      <c r="DG669" s="23"/>
      <c r="DH669" s="23"/>
      <c r="DI669" s="23"/>
      <c r="DJ669" s="23"/>
      <c r="DK669" s="23"/>
      <c r="DL669" s="23"/>
      <c r="DM669" s="23"/>
      <c r="DN669" s="23"/>
      <c r="DO669" s="23"/>
      <c r="DP669" s="23"/>
      <c r="DQ669" s="23"/>
      <c r="DR669" s="23"/>
      <c r="DS669" s="23"/>
      <c r="DT669" s="23"/>
      <c r="DU669" s="23"/>
      <c r="DV669" s="23"/>
      <c r="DW669" s="23"/>
      <c r="DX669" s="23"/>
      <c r="DY669" s="23"/>
      <c r="DZ669" s="23"/>
      <c r="EA669" s="23"/>
      <c r="EB669" s="23"/>
      <c r="EC669" s="23"/>
      <c r="ED669" s="23"/>
      <c r="EE669" s="23"/>
      <c r="EF669" s="23"/>
      <c r="EG669" s="23"/>
      <c r="EH669" s="23"/>
      <c r="EI669" s="23"/>
      <c r="EJ669" s="23"/>
      <c r="EK669" s="23"/>
      <c r="EL669" s="23"/>
      <c r="EM669" s="23"/>
      <c r="EN669" s="23"/>
      <c r="EO669" s="23"/>
      <c r="EP669" s="23"/>
      <c r="EQ669" s="23"/>
      <c r="ER669" s="23"/>
      <c r="ES669" s="23"/>
      <c r="ET669" s="23"/>
      <c r="EU669" s="23"/>
      <c r="EV669" s="23"/>
      <c r="EW669" s="23"/>
      <c r="EX669" s="23"/>
      <c r="EY669" s="23"/>
      <c r="EZ669" s="23"/>
      <c r="FA669" s="23"/>
      <c r="FB669" s="23"/>
      <c r="FC669" s="23"/>
      <c r="FD669" s="23"/>
      <c r="FE669" s="23"/>
      <c r="FF669" s="23"/>
      <c r="FG669" s="23"/>
      <c r="FH669" s="23"/>
      <c r="FI669" s="23"/>
      <c r="FJ669" s="23"/>
      <c r="FK669" s="23"/>
      <c r="FL669" s="23"/>
      <c r="FM669" s="23"/>
      <c r="FN669" s="23"/>
      <c r="FO669" s="23"/>
      <c r="FP669" s="23"/>
      <c r="FQ669" s="23"/>
      <c r="FR669" s="23"/>
      <c r="FS669" s="23"/>
      <c r="FT669" s="23"/>
      <c r="FU669" s="23"/>
      <c r="FV669" s="23"/>
      <c r="FW669" s="23"/>
      <c r="FX669" s="23"/>
      <c r="FY669" s="23"/>
      <c r="FZ669" s="23"/>
      <c r="GA669" s="23"/>
      <c r="GB669" s="23"/>
      <c r="GC669" s="23"/>
      <c r="GD669" s="23"/>
      <c r="GE669" s="23"/>
      <c r="GF669" s="23"/>
      <c r="GG669" s="23"/>
      <c r="GH669" s="23"/>
      <c r="GI669" s="23"/>
      <c r="GJ669" s="23"/>
      <c r="GK669" s="23"/>
      <c r="GL669" s="23"/>
    </row>
    <row r="670" spans="1:194" ht="13">
      <c r="A670" s="23"/>
      <c r="B670" s="23"/>
      <c r="C670" s="23"/>
      <c r="D670" s="23"/>
      <c r="E670" s="23"/>
      <c r="F670" s="23"/>
      <c r="G670" s="23"/>
      <c r="H670" s="401"/>
      <c r="I670" s="401"/>
      <c r="J670" s="401"/>
      <c r="K670" s="401"/>
      <c r="L670" s="401"/>
      <c r="M670" s="438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  <c r="AL670" s="23"/>
      <c r="AM670" s="23"/>
      <c r="AN670" s="23"/>
      <c r="AO670" s="23"/>
      <c r="AP670" s="23"/>
      <c r="AQ670" s="23"/>
      <c r="AR670" s="23"/>
      <c r="AS670" s="23"/>
      <c r="AT670" s="23"/>
      <c r="AU670" s="23"/>
      <c r="AV670" s="23"/>
      <c r="AW670" s="23"/>
      <c r="AX670" s="23"/>
      <c r="AY670" s="23"/>
      <c r="AZ670" s="23"/>
      <c r="BA670" s="23"/>
      <c r="BB670" s="23"/>
      <c r="BC670" s="23"/>
      <c r="BD670" s="23"/>
      <c r="BE670" s="23"/>
      <c r="BF670" s="23"/>
      <c r="BG670" s="23"/>
      <c r="BH670" s="23"/>
      <c r="BI670" s="23"/>
      <c r="BJ670" s="23"/>
      <c r="BK670" s="23"/>
      <c r="BL670" s="23"/>
      <c r="BM670" s="23"/>
      <c r="BN670" s="23"/>
      <c r="BO670" s="23"/>
      <c r="BP670" s="23"/>
      <c r="BQ670" s="23"/>
      <c r="BR670" s="23"/>
      <c r="BS670" s="23"/>
      <c r="BT670" s="23"/>
      <c r="BU670" s="23"/>
      <c r="BV670" s="23"/>
      <c r="BW670" s="23"/>
      <c r="BX670" s="23"/>
      <c r="BY670" s="23"/>
      <c r="BZ670" s="23"/>
      <c r="CA670" s="23"/>
      <c r="CB670" s="23"/>
      <c r="CC670" s="23"/>
      <c r="CD670" s="23"/>
      <c r="CE670" s="23"/>
      <c r="CF670" s="23"/>
      <c r="CG670" s="23"/>
      <c r="CH670" s="23"/>
      <c r="CI670" s="23"/>
      <c r="CJ670" s="23"/>
      <c r="CK670" s="23"/>
      <c r="CL670" s="23"/>
      <c r="CM670" s="23"/>
      <c r="CN670" s="23"/>
      <c r="CO670" s="23"/>
      <c r="CP670" s="23"/>
      <c r="CQ670" s="23"/>
      <c r="CR670" s="23"/>
      <c r="CS670" s="23"/>
      <c r="CT670" s="23"/>
      <c r="CU670" s="23"/>
      <c r="CV670" s="23"/>
      <c r="CW670" s="23"/>
      <c r="CX670" s="23"/>
      <c r="CY670" s="23"/>
      <c r="CZ670" s="23"/>
      <c r="DA670" s="23"/>
      <c r="DB670" s="23"/>
      <c r="DC670" s="23"/>
      <c r="DD670" s="23"/>
      <c r="DE670" s="23"/>
      <c r="DF670" s="23"/>
      <c r="DG670" s="23"/>
      <c r="DH670" s="23"/>
      <c r="DI670" s="23"/>
      <c r="DJ670" s="23"/>
      <c r="DK670" s="23"/>
      <c r="DL670" s="23"/>
      <c r="DM670" s="23"/>
      <c r="DN670" s="23"/>
      <c r="DO670" s="23"/>
      <c r="DP670" s="23"/>
      <c r="DQ670" s="23"/>
      <c r="DR670" s="23"/>
      <c r="DS670" s="23"/>
      <c r="DT670" s="23"/>
      <c r="DU670" s="23"/>
      <c r="DV670" s="23"/>
      <c r="DW670" s="23"/>
      <c r="DX670" s="23"/>
      <c r="DY670" s="23"/>
      <c r="DZ670" s="23"/>
      <c r="EA670" s="23"/>
      <c r="EB670" s="23"/>
      <c r="EC670" s="23"/>
      <c r="ED670" s="23"/>
      <c r="EE670" s="23"/>
      <c r="EF670" s="23"/>
      <c r="EG670" s="23"/>
      <c r="EH670" s="23"/>
      <c r="EI670" s="23"/>
      <c r="EJ670" s="23"/>
      <c r="EK670" s="23"/>
      <c r="EL670" s="23"/>
      <c r="EM670" s="23"/>
      <c r="EN670" s="23"/>
      <c r="EO670" s="23"/>
      <c r="EP670" s="23"/>
      <c r="EQ670" s="23"/>
      <c r="ER670" s="23"/>
      <c r="ES670" s="23"/>
      <c r="ET670" s="23"/>
      <c r="EU670" s="23"/>
      <c r="EV670" s="23"/>
      <c r="EW670" s="23"/>
      <c r="EX670" s="23"/>
      <c r="EY670" s="23"/>
      <c r="EZ670" s="23"/>
      <c r="FA670" s="23"/>
      <c r="FB670" s="23"/>
      <c r="FC670" s="23"/>
      <c r="FD670" s="23"/>
      <c r="FE670" s="23"/>
      <c r="FF670" s="23"/>
      <c r="FG670" s="23"/>
      <c r="FH670" s="23"/>
      <c r="FI670" s="23"/>
      <c r="FJ670" s="23"/>
      <c r="FK670" s="23"/>
      <c r="FL670" s="23"/>
      <c r="FM670" s="23"/>
      <c r="FN670" s="23"/>
      <c r="FO670" s="23"/>
      <c r="FP670" s="23"/>
      <c r="FQ670" s="23"/>
      <c r="FR670" s="23"/>
      <c r="FS670" s="23"/>
      <c r="FT670" s="23"/>
      <c r="FU670" s="23"/>
      <c r="FV670" s="23"/>
      <c r="FW670" s="23"/>
      <c r="FX670" s="23"/>
      <c r="FY670" s="23"/>
      <c r="FZ670" s="23"/>
      <c r="GA670" s="23"/>
      <c r="GB670" s="23"/>
      <c r="GC670" s="23"/>
      <c r="GD670" s="23"/>
      <c r="GE670" s="23"/>
      <c r="GF670" s="23"/>
      <c r="GG670" s="23"/>
      <c r="GH670" s="23"/>
      <c r="GI670" s="23"/>
      <c r="GJ670" s="23"/>
      <c r="GK670" s="23"/>
      <c r="GL670" s="23"/>
    </row>
    <row r="671" spans="1:194" ht="13">
      <c r="A671" s="23"/>
      <c r="B671" s="23"/>
      <c r="C671" s="23"/>
      <c r="D671" s="23"/>
      <c r="E671" s="23"/>
      <c r="F671" s="23"/>
      <c r="G671" s="23"/>
      <c r="H671" s="401"/>
      <c r="I671" s="401"/>
      <c r="J671" s="401"/>
      <c r="K671" s="401"/>
      <c r="L671" s="401"/>
      <c r="M671" s="438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  <c r="AL671" s="23"/>
      <c r="AM671" s="23"/>
      <c r="AN671" s="23"/>
      <c r="AO671" s="23"/>
      <c r="AP671" s="23"/>
      <c r="AQ671" s="23"/>
      <c r="AR671" s="23"/>
      <c r="AS671" s="23"/>
      <c r="AT671" s="23"/>
      <c r="AU671" s="23"/>
      <c r="AV671" s="23"/>
      <c r="AW671" s="23"/>
      <c r="AX671" s="23"/>
      <c r="AY671" s="23"/>
      <c r="AZ671" s="23"/>
      <c r="BA671" s="23"/>
      <c r="BB671" s="23"/>
      <c r="BC671" s="23"/>
      <c r="BD671" s="23"/>
      <c r="BE671" s="23"/>
      <c r="BF671" s="23"/>
      <c r="BG671" s="23"/>
      <c r="BH671" s="23"/>
      <c r="BI671" s="23"/>
      <c r="BJ671" s="23"/>
      <c r="BK671" s="23"/>
      <c r="BL671" s="23"/>
      <c r="BM671" s="23"/>
      <c r="BN671" s="23"/>
      <c r="BO671" s="23"/>
      <c r="BP671" s="23"/>
      <c r="BQ671" s="23"/>
      <c r="BR671" s="23"/>
      <c r="BS671" s="23"/>
      <c r="BT671" s="23"/>
      <c r="BU671" s="23"/>
      <c r="BV671" s="23"/>
      <c r="BW671" s="23"/>
      <c r="BX671" s="23"/>
      <c r="BY671" s="23"/>
      <c r="BZ671" s="23"/>
      <c r="CA671" s="23"/>
      <c r="CB671" s="23"/>
      <c r="CC671" s="23"/>
      <c r="CD671" s="23"/>
      <c r="CE671" s="23"/>
      <c r="CF671" s="23"/>
      <c r="CG671" s="23"/>
      <c r="CH671" s="23"/>
      <c r="CI671" s="23"/>
      <c r="CJ671" s="23"/>
      <c r="CK671" s="23"/>
      <c r="CL671" s="23"/>
      <c r="CM671" s="23"/>
      <c r="CN671" s="23"/>
      <c r="CO671" s="23"/>
      <c r="CP671" s="23"/>
      <c r="CQ671" s="23"/>
      <c r="CR671" s="23"/>
      <c r="CS671" s="23"/>
      <c r="CT671" s="23"/>
      <c r="CU671" s="23"/>
      <c r="CV671" s="23"/>
      <c r="CW671" s="23"/>
      <c r="CX671" s="23"/>
      <c r="CY671" s="23"/>
      <c r="CZ671" s="23"/>
      <c r="DA671" s="23"/>
      <c r="DB671" s="23"/>
      <c r="DC671" s="23"/>
      <c r="DD671" s="23"/>
      <c r="DE671" s="23"/>
      <c r="DF671" s="23"/>
      <c r="DG671" s="23"/>
      <c r="DH671" s="23"/>
      <c r="DI671" s="23"/>
      <c r="DJ671" s="23"/>
      <c r="DK671" s="23"/>
      <c r="DL671" s="23"/>
      <c r="DM671" s="23"/>
      <c r="DN671" s="23"/>
      <c r="DO671" s="23"/>
      <c r="DP671" s="23"/>
      <c r="DQ671" s="23"/>
      <c r="DR671" s="23"/>
      <c r="DS671" s="23"/>
      <c r="DT671" s="23"/>
      <c r="DU671" s="23"/>
      <c r="DV671" s="23"/>
      <c r="DW671" s="23"/>
      <c r="DX671" s="23"/>
      <c r="DY671" s="23"/>
      <c r="DZ671" s="23"/>
      <c r="EA671" s="23"/>
      <c r="EB671" s="23"/>
      <c r="EC671" s="23"/>
      <c r="ED671" s="23"/>
      <c r="EE671" s="23"/>
      <c r="EF671" s="23"/>
      <c r="EG671" s="23"/>
      <c r="EH671" s="23"/>
      <c r="EI671" s="23"/>
      <c r="EJ671" s="23"/>
      <c r="EK671" s="23"/>
      <c r="EL671" s="23"/>
      <c r="EM671" s="23"/>
      <c r="EN671" s="23"/>
      <c r="EO671" s="23"/>
      <c r="EP671" s="23"/>
      <c r="EQ671" s="23"/>
      <c r="ER671" s="23"/>
      <c r="ES671" s="23"/>
      <c r="ET671" s="23"/>
      <c r="EU671" s="23"/>
      <c r="EV671" s="23"/>
      <c r="EW671" s="23"/>
      <c r="EX671" s="23"/>
      <c r="EY671" s="23"/>
      <c r="EZ671" s="23"/>
      <c r="FA671" s="23"/>
      <c r="FB671" s="23"/>
      <c r="FC671" s="23"/>
      <c r="FD671" s="23"/>
      <c r="FE671" s="23"/>
      <c r="FF671" s="23"/>
      <c r="FG671" s="23"/>
      <c r="FH671" s="23"/>
      <c r="FI671" s="23"/>
      <c r="FJ671" s="23"/>
      <c r="FK671" s="23"/>
      <c r="FL671" s="23"/>
      <c r="FM671" s="23"/>
      <c r="FN671" s="23"/>
      <c r="FO671" s="23"/>
      <c r="FP671" s="23"/>
      <c r="FQ671" s="23"/>
      <c r="FR671" s="23"/>
      <c r="FS671" s="23"/>
      <c r="FT671" s="23"/>
      <c r="FU671" s="23"/>
      <c r="FV671" s="23"/>
      <c r="FW671" s="23"/>
      <c r="FX671" s="23"/>
      <c r="FY671" s="23"/>
      <c r="FZ671" s="23"/>
      <c r="GA671" s="23"/>
      <c r="GB671" s="23"/>
      <c r="GC671" s="23"/>
      <c r="GD671" s="23"/>
      <c r="GE671" s="23"/>
      <c r="GF671" s="23"/>
      <c r="GG671" s="23"/>
      <c r="GH671" s="23"/>
      <c r="GI671" s="23"/>
      <c r="GJ671" s="23"/>
      <c r="GK671" s="23"/>
      <c r="GL671" s="23"/>
    </row>
    <row r="672" spans="1:194" ht="13">
      <c r="A672" s="23"/>
      <c r="B672" s="23"/>
      <c r="C672" s="23"/>
      <c r="D672" s="23"/>
      <c r="E672" s="23"/>
      <c r="F672" s="23"/>
      <c r="G672" s="23"/>
      <c r="H672" s="401"/>
      <c r="I672" s="401"/>
      <c r="J672" s="401"/>
      <c r="K672" s="401"/>
      <c r="L672" s="401"/>
      <c r="M672" s="438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  <c r="AL672" s="23"/>
      <c r="AM672" s="23"/>
      <c r="AN672" s="23"/>
      <c r="AO672" s="23"/>
      <c r="AP672" s="23"/>
      <c r="AQ672" s="23"/>
      <c r="AR672" s="23"/>
      <c r="AS672" s="23"/>
      <c r="AT672" s="23"/>
      <c r="AU672" s="23"/>
      <c r="AV672" s="23"/>
      <c r="AW672" s="23"/>
      <c r="AX672" s="23"/>
      <c r="AY672" s="23"/>
      <c r="AZ672" s="23"/>
      <c r="BA672" s="23"/>
      <c r="BB672" s="23"/>
      <c r="BC672" s="23"/>
      <c r="BD672" s="23"/>
      <c r="BE672" s="23"/>
      <c r="BF672" s="23"/>
      <c r="BG672" s="23"/>
      <c r="BH672" s="23"/>
      <c r="BI672" s="23"/>
      <c r="BJ672" s="23"/>
      <c r="BK672" s="23"/>
      <c r="BL672" s="23"/>
      <c r="BM672" s="23"/>
      <c r="BN672" s="23"/>
      <c r="BO672" s="23"/>
      <c r="BP672" s="23"/>
      <c r="BQ672" s="23"/>
      <c r="BR672" s="23"/>
      <c r="BS672" s="23"/>
      <c r="BT672" s="23"/>
      <c r="BU672" s="23"/>
      <c r="BV672" s="23"/>
      <c r="BW672" s="23"/>
      <c r="BX672" s="23"/>
      <c r="BY672" s="23"/>
      <c r="BZ672" s="23"/>
      <c r="CA672" s="23"/>
      <c r="CB672" s="23"/>
      <c r="CC672" s="23"/>
      <c r="CD672" s="23"/>
      <c r="CE672" s="23"/>
      <c r="CF672" s="23"/>
      <c r="CG672" s="23"/>
      <c r="CH672" s="23"/>
      <c r="CI672" s="23"/>
      <c r="CJ672" s="23"/>
      <c r="CK672" s="23"/>
      <c r="CL672" s="23"/>
      <c r="CM672" s="23"/>
      <c r="CN672" s="23"/>
      <c r="CO672" s="23"/>
      <c r="CP672" s="23"/>
      <c r="CQ672" s="23"/>
      <c r="CR672" s="23"/>
      <c r="CS672" s="23"/>
      <c r="CT672" s="23"/>
      <c r="CU672" s="23"/>
      <c r="CV672" s="23"/>
      <c r="CW672" s="23"/>
      <c r="CX672" s="23"/>
      <c r="CY672" s="23"/>
      <c r="CZ672" s="23"/>
      <c r="DA672" s="23"/>
      <c r="DB672" s="23"/>
      <c r="DC672" s="23"/>
      <c r="DD672" s="23"/>
      <c r="DE672" s="23"/>
      <c r="DF672" s="23"/>
      <c r="DG672" s="23"/>
      <c r="DH672" s="23"/>
      <c r="DI672" s="23"/>
      <c r="DJ672" s="23"/>
      <c r="DK672" s="23"/>
      <c r="DL672" s="23"/>
      <c r="DM672" s="23"/>
      <c r="DN672" s="23"/>
      <c r="DO672" s="23"/>
      <c r="DP672" s="23"/>
      <c r="DQ672" s="23"/>
      <c r="DR672" s="23"/>
      <c r="DS672" s="23"/>
      <c r="DT672" s="23"/>
      <c r="DU672" s="23"/>
      <c r="DV672" s="23"/>
      <c r="DW672" s="23"/>
      <c r="DX672" s="23"/>
      <c r="DY672" s="23"/>
      <c r="DZ672" s="23"/>
      <c r="EA672" s="23"/>
      <c r="EB672" s="23"/>
      <c r="EC672" s="23"/>
      <c r="ED672" s="23"/>
      <c r="EE672" s="23"/>
      <c r="EF672" s="23"/>
      <c r="EG672" s="23"/>
      <c r="EH672" s="23"/>
      <c r="EI672" s="23"/>
      <c r="EJ672" s="23"/>
      <c r="EK672" s="23"/>
      <c r="EL672" s="23"/>
      <c r="EM672" s="23"/>
      <c r="EN672" s="23"/>
      <c r="EO672" s="23"/>
      <c r="EP672" s="23"/>
      <c r="EQ672" s="23"/>
      <c r="ER672" s="23"/>
      <c r="ES672" s="23"/>
      <c r="ET672" s="23"/>
      <c r="EU672" s="23"/>
      <c r="EV672" s="23"/>
      <c r="EW672" s="23"/>
      <c r="EX672" s="23"/>
      <c r="EY672" s="23"/>
      <c r="EZ672" s="23"/>
      <c r="FA672" s="23"/>
      <c r="FB672" s="23"/>
      <c r="FC672" s="23"/>
      <c r="FD672" s="23"/>
      <c r="FE672" s="23"/>
      <c r="FF672" s="23"/>
      <c r="FG672" s="23"/>
      <c r="FH672" s="23"/>
      <c r="FI672" s="23"/>
      <c r="FJ672" s="23"/>
      <c r="FK672" s="23"/>
      <c r="FL672" s="23"/>
      <c r="FM672" s="23"/>
      <c r="FN672" s="23"/>
      <c r="FO672" s="23"/>
      <c r="FP672" s="23"/>
      <c r="FQ672" s="23"/>
      <c r="FR672" s="23"/>
      <c r="FS672" s="23"/>
      <c r="FT672" s="23"/>
      <c r="FU672" s="23"/>
      <c r="FV672" s="23"/>
      <c r="FW672" s="23"/>
      <c r="FX672" s="23"/>
      <c r="FY672" s="23"/>
      <c r="FZ672" s="23"/>
      <c r="GA672" s="23"/>
      <c r="GB672" s="23"/>
      <c r="GC672" s="23"/>
      <c r="GD672" s="23"/>
      <c r="GE672" s="23"/>
      <c r="GF672" s="23"/>
      <c r="GG672" s="23"/>
      <c r="GH672" s="23"/>
      <c r="GI672" s="23"/>
      <c r="GJ672" s="23"/>
      <c r="GK672" s="23"/>
      <c r="GL672" s="23"/>
    </row>
    <row r="673" spans="1:194" ht="13">
      <c r="A673" s="23"/>
      <c r="B673" s="23"/>
      <c r="C673" s="23"/>
      <c r="D673" s="23"/>
      <c r="E673" s="23"/>
      <c r="F673" s="23"/>
      <c r="G673" s="23"/>
      <c r="H673" s="401"/>
      <c r="I673" s="401"/>
      <c r="J673" s="401"/>
      <c r="K673" s="401"/>
      <c r="L673" s="401"/>
      <c r="M673" s="438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  <c r="AL673" s="23"/>
      <c r="AM673" s="23"/>
      <c r="AN673" s="23"/>
      <c r="AO673" s="23"/>
      <c r="AP673" s="23"/>
      <c r="AQ673" s="23"/>
      <c r="AR673" s="23"/>
      <c r="AS673" s="23"/>
      <c r="AT673" s="23"/>
      <c r="AU673" s="23"/>
      <c r="AV673" s="23"/>
      <c r="AW673" s="23"/>
      <c r="AX673" s="23"/>
      <c r="AY673" s="23"/>
      <c r="AZ673" s="23"/>
      <c r="BA673" s="23"/>
      <c r="BB673" s="23"/>
      <c r="BC673" s="23"/>
      <c r="BD673" s="23"/>
      <c r="BE673" s="23"/>
      <c r="BF673" s="23"/>
      <c r="BG673" s="23"/>
      <c r="BH673" s="23"/>
      <c r="BI673" s="23"/>
      <c r="BJ673" s="23"/>
      <c r="BK673" s="23"/>
      <c r="BL673" s="23"/>
      <c r="BM673" s="23"/>
      <c r="BN673" s="23"/>
      <c r="BO673" s="23"/>
      <c r="BP673" s="23"/>
      <c r="BQ673" s="23"/>
      <c r="BR673" s="23"/>
      <c r="BS673" s="23"/>
      <c r="BT673" s="23"/>
      <c r="BU673" s="23"/>
      <c r="BV673" s="23"/>
      <c r="BW673" s="23"/>
      <c r="BX673" s="23"/>
      <c r="BY673" s="23"/>
      <c r="BZ673" s="23"/>
      <c r="CA673" s="23"/>
      <c r="CB673" s="23"/>
      <c r="CC673" s="23"/>
      <c r="CD673" s="23"/>
      <c r="CE673" s="23"/>
      <c r="CF673" s="23"/>
      <c r="CG673" s="23"/>
      <c r="CH673" s="23"/>
      <c r="CI673" s="23"/>
      <c r="CJ673" s="23"/>
      <c r="CK673" s="23"/>
      <c r="CL673" s="23"/>
      <c r="CM673" s="23"/>
      <c r="CN673" s="23"/>
      <c r="CO673" s="23"/>
      <c r="CP673" s="23"/>
      <c r="CQ673" s="23"/>
      <c r="CR673" s="23"/>
      <c r="CS673" s="23"/>
      <c r="CT673" s="23"/>
      <c r="CU673" s="23"/>
      <c r="CV673" s="23"/>
      <c r="CW673" s="23"/>
      <c r="CX673" s="23"/>
      <c r="CY673" s="23"/>
      <c r="CZ673" s="23"/>
      <c r="DA673" s="23"/>
      <c r="DB673" s="23"/>
      <c r="DC673" s="23"/>
      <c r="DD673" s="23"/>
      <c r="DE673" s="23"/>
      <c r="DF673" s="23"/>
      <c r="DG673" s="23"/>
      <c r="DH673" s="23"/>
      <c r="DI673" s="23"/>
      <c r="DJ673" s="23"/>
      <c r="DK673" s="23"/>
      <c r="DL673" s="23"/>
      <c r="DM673" s="23"/>
      <c r="DN673" s="23"/>
      <c r="DO673" s="23"/>
      <c r="DP673" s="23"/>
      <c r="DQ673" s="23"/>
      <c r="DR673" s="23"/>
      <c r="DS673" s="23"/>
      <c r="DT673" s="23"/>
      <c r="DU673" s="23"/>
      <c r="DV673" s="23"/>
      <c r="DW673" s="23"/>
      <c r="DX673" s="23"/>
      <c r="DY673" s="23"/>
      <c r="DZ673" s="23"/>
      <c r="EA673" s="23"/>
      <c r="EB673" s="23"/>
      <c r="EC673" s="23"/>
      <c r="ED673" s="23"/>
      <c r="EE673" s="23"/>
      <c r="EF673" s="23"/>
      <c r="EG673" s="23"/>
      <c r="EH673" s="23"/>
      <c r="EI673" s="23"/>
      <c r="EJ673" s="23"/>
      <c r="EK673" s="23"/>
      <c r="EL673" s="23"/>
      <c r="EM673" s="23"/>
      <c r="EN673" s="23"/>
      <c r="EO673" s="23"/>
      <c r="EP673" s="23"/>
      <c r="EQ673" s="23"/>
      <c r="ER673" s="23"/>
      <c r="ES673" s="23"/>
      <c r="ET673" s="23"/>
      <c r="EU673" s="23"/>
      <c r="EV673" s="23"/>
      <c r="EW673" s="23"/>
      <c r="EX673" s="23"/>
      <c r="EY673" s="23"/>
      <c r="EZ673" s="23"/>
      <c r="FA673" s="23"/>
      <c r="FB673" s="23"/>
      <c r="FC673" s="23"/>
      <c r="FD673" s="23"/>
      <c r="FE673" s="23"/>
      <c r="FF673" s="23"/>
      <c r="FG673" s="23"/>
      <c r="FH673" s="23"/>
      <c r="FI673" s="23"/>
      <c r="FJ673" s="23"/>
      <c r="FK673" s="23"/>
      <c r="FL673" s="23"/>
      <c r="FM673" s="23"/>
      <c r="FN673" s="23"/>
      <c r="FO673" s="23"/>
      <c r="FP673" s="23"/>
      <c r="FQ673" s="23"/>
      <c r="FR673" s="23"/>
      <c r="FS673" s="23"/>
      <c r="FT673" s="23"/>
      <c r="FU673" s="23"/>
      <c r="FV673" s="23"/>
      <c r="FW673" s="23"/>
      <c r="FX673" s="23"/>
      <c r="FY673" s="23"/>
      <c r="FZ673" s="23"/>
      <c r="GA673" s="23"/>
      <c r="GB673" s="23"/>
      <c r="GC673" s="23"/>
      <c r="GD673" s="23"/>
      <c r="GE673" s="23"/>
      <c r="GF673" s="23"/>
      <c r="GG673" s="23"/>
      <c r="GH673" s="23"/>
      <c r="GI673" s="23"/>
      <c r="GJ673" s="23"/>
      <c r="GK673" s="23"/>
      <c r="GL673" s="23"/>
    </row>
    <row r="674" spans="1:194" ht="13">
      <c r="A674" s="23"/>
      <c r="B674" s="23"/>
      <c r="C674" s="23"/>
      <c r="D674" s="23"/>
      <c r="E674" s="23"/>
      <c r="F674" s="23"/>
      <c r="G674" s="23"/>
      <c r="H674" s="401"/>
      <c r="I674" s="401"/>
      <c r="J674" s="401"/>
      <c r="K674" s="401"/>
      <c r="L674" s="401"/>
      <c r="M674" s="438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  <c r="AL674" s="23"/>
      <c r="AM674" s="23"/>
      <c r="AN674" s="23"/>
      <c r="AO674" s="23"/>
      <c r="AP674" s="23"/>
      <c r="AQ674" s="23"/>
      <c r="AR674" s="23"/>
      <c r="AS674" s="23"/>
      <c r="AT674" s="23"/>
      <c r="AU674" s="23"/>
      <c r="AV674" s="23"/>
      <c r="AW674" s="23"/>
      <c r="AX674" s="23"/>
      <c r="AY674" s="23"/>
      <c r="AZ674" s="23"/>
      <c r="BA674" s="23"/>
      <c r="BB674" s="23"/>
      <c r="BC674" s="23"/>
      <c r="BD674" s="23"/>
      <c r="BE674" s="23"/>
      <c r="BF674" s="23"/>
      <c r="BG674" s="23"/>
      <c r="BH674" s="23"/>
      <c r="BI674" s="23"/>
      <c r="BJ674" s="23"/>
      <c r="BK674" s="23"/>
      <c r="BL674" s="23"/>
      <c r="BM674" s="23"/>
      <c r="BN674" s="23"/>
      <c r="BO674" s="23"/>
      <c r="BP674" s="23"/>
      <c r="BQ674" s="23"/>
      <c r="BR674" s="23"/>
      <c r="BS674" s="23"/>
      <c r="BT674" s="23"/>
      <c r="BU674" s="23"/>
      <c r="BV674" s="23"/>
      <c r="BW674" s="23"/>
      <c r="BX674" s="23"/>
      <c r="BY674" s="23"/>
      <c r="BZ674" s="23"/>
      <c r="CA674" s="23"/>
      <c r="CB674" s="23"/>
      <c r="CC674" s="23"/>
      <c r="CD674" s="23"/>
      <c r="CE674" s="23"/>
      <c r="CF674" s="23"/>
      <c r="CG674" s="23"/>
      <c r="CH674" s="23"/>
      <c r="CI674" s="23"/>
      <c r="CJ674" s="23"/>
      <c r="CK674" s="23"/>
      <c r="CL674" s="23"/>
      <c r="CM674" s="23"/>
      <c r="CN674" s="23"/>
      <c r="CO674" s="23"/>
      <c r="CP674" s="23"/>
      <c r="CQ674" s="23"/>
      <c r="CR674" s="23"/>
      <c r="CS674" s="23"/>
      <c r="CT674" s="23"/>
      <c r="CU674" s="23"/>
      <c r="CV674" s="23"/>
      <c r="CW674" s="23"/>
      <c r="CX674" s="23"/>
      <c r="CY674" s="23"/>
      <c r="CZ674" s="23"/>
      <c r="DA674" s="23"/>
      <c r="DB674" s="23"/>
      <c r="DC674" s="23"/>
      <c r="DD674" s="23"/>
      <c r="DE674" s="23"/>
      <c r="DF674" s="23"/>
      <c r="DG674" s="23"/>
      <c r="DH674" s="23"/>
      <c r="DI674" s="23"/>
      <c r="DJ674" s="23"/>
      <c r="DK674" s="23"/>
      <c r="DL674" s="23"/>
      <c r="DM674" s="23"/>
      <c r="DN674" s="23"/>
      <c r="DO674" s="23"/>
      <c r="DP674" s="23"/>
      <c r="DQ674" s="23"/>
      <c r="DR674" s="23"/>
      <c r="DS674" s="23"/>
      <c r="DT674" s="23"/>
      <c r="DU674" s="23"/>
      <c r="DV674" s="23"/>
      <c r="DW674" s="23"/>
      <c r="DX674" s="23"/>
      <c r="DY674" s="23"/>
      <c r="DZ674" s="23"/>
      <c r="EA674" s="23"/>
      <c r="EB674" s="23"/>
      <c r="EC674" s="23"/>
      <c r="ED674" s="23"/>
      <c r="EE674" s="23"/>
      <c r="EF674" s="23"/>
      <c r="EG674" s="23"/>
      <c r="EH674" s="23"/>
      <c r="EI674" s="23"/>
      <c r="EJ674" s="23"/>
      <c r="EK674" s="23"/>
      <c r="EL674" s="23"/>
      <c r="EM674" s="23"/>
      <c r="EN674" s="23"/>
      <c r="EO674" s="23"/>
      <c r="EP674" s="23"/>
      <c r="EQ674" s="23"/>
      <c r="ER674" s="23"/>
      <c r="ES674" s="23"/>
      <c r="ET674" s="23"/>
      <c r="EU674" s="23"/>
      <c r="EV674" s="23"/>
      <c r="EW674" s="23"/>
      <c r="EX674" s="23"/>
      <c r="EY674" s="23"/>
      <c r="EZ674" s="23"/>
      <c r="FA674" s="23"/>
      <c r="FB674" s="23"/>
      <c r="FC674" s="23"/>
      <c r="FD674" s="23"/>
      <c r="FE674" s="23"/>
      <c r="FF674" s="23"/>
      <c r="FG674" s="23"/>
      <c r="FH674" s="23"/>
      <c r="FI674" s="23"/>
      <c r="FJ674" s="23"/>
      <c r="FK674" s="23"/>
      <c r="FL674" s="23"/>
      <c r="FM674" s="23"/>
      <c r="FN674" s="23"/>
      <c r="FO674" s="23"/>
      <c r="FP674" s="23"/>
      <c r="FQ674" s="23"/>
      <c r="FR674" s="23"/>
      <c r="FS674" s="23"/>
      <c r="FT674" s="23"/>
      <c r="FU674" s="23"/>
      <c r="FV674" s="23"/>
      <c r="FW674" s="23"/>
      <c r="FX674" s="23"/>
      <c r="FY674" s="23"/>
      <c r="FZ674" s="23"/>
      <c r="GA674" s="23"/>
      <c r="GB674" s="23"/>
      <c r="GC674" s="23"/>
      <c r="GD674" s="23"/>
      <c r="GE674" s="23"/>
      <c r="GF674" s="23"/>
      <c r="GG674" s="23"/>
      <c r="GH674" s="23"/>
      <c r="GI674" s="23"/>
      <c r="GJ674" s="23"/>
      <c r="GK674" s="23"/>
      <c r="GL674" s="23"/>
    </row>
    <row r="675" spans="1:194" ht="13">
      <c r="A675" s="23"/>
      <c r="B675" s="23"/>
      <c r="C675" s="23"/>
      <c r="D675" s="23"/>
      <c r="E675" s="23"/>
      <c r="F675" s="23"/>
      <c r="G675" s="23"/>
      <c r="H675" s="401"/>
      <c r="I675" s="401"/>
      <c r="J675" s="401"/>
      <c r="K675" s="401"/>
      <c r="L675" s="401"/>
      <c r="M675" s="438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  <c r="AL675" s="23"/>
      <c r="AM675" s="23"/>
      <c r="AN675" s="23"/>
      <c r="AO675" s="23"/>
      <c r="AP675" s="23"/>
      <c r="AQ675" s="23"/>
      <c r="AR675" s="23"/>
      <c r="AS675" s="23"/>
      <c r="AT675" s="23"/>
      <c r="AU675" s="23"/>
      <c r="AV675" s="23"/>
      <c r="AW675" s="23"/>
      <c r="AX675" s="23"/>
      <c r="AY675" s="23"/>
      <c r="AZ675" s="23"/>
      <c r="BA675" s="23"/>
      <c r="BB675" s="23"/>
      <c r="BC675" s="23"/>
      <c r="BD675" s="23"/>
      <c r="BE675" s="23"/>
      <c r="BF675" s="23"/>
      <c r="BG675" s="23"/>
      <c r="BH675" s="23"/>
      <c r="BI675" s="23"/>
      <c r="BJ675" s="23"/>
      <c r="BK675" s="23"/>
      <c r="BL675" s="23"/>
      <c r="BM675" s="23"/>
      <c r="BN675" s="23"/>
      <c r="BO675" s="23"/>
      <c r="BP675" s="23"/>
      <c r="BQ675" s="23"/>
      <c r="BR675" s="23"/>
      <c r="BS675" s="23"/>
      <c r="BT675" s="23"/>
      <c r="BU675" s="23"/>
      <c r="BV675" s="23"/>
      <c r="BW675" s="23"/>
      <c r="BX675" s="23"/>
      <c r="BY675" s="23"/>
      <c r="BZ675" s="23"/>
      <c r="CA675" s="23"/>
      <c r="CB675" s="23"/>
      <c r="CC675" s="23"/>
      <c r="CD675" s="23"/>
      <c r="CE675" s="23"/>
      <c r="CF675" s="23"/>
      <c r="CG675" s="23"/>
      <c r="CH675" s="23"/>
      <c r="CI675" s="23"/>
      <c r="CJ675" s="23"/>
      <c r="CK675" s="23"/>
      <c r="CL675" s="23"/>
      <c r="CM675" s="23"/>
      <c r="CN675" s="23"/>
      <c r="CO675" s="23"/>
      <c r="CP675" s="23"/>
      <c r="CQ675" s="23"/>
      <c r="CR675" s="23"/>
      <c r="CS675" s="23"/>
      <c r="CT675" s="23"/>
      <c r="CU675" s="23"/>
      <c r="CV675" s="23"/>
      <c r="CW675" s="23"/>
      <c r="CX675" s="23"/>
      <c r="CY675" s="23"/>
      <c r="CZ675" s="23"/>
      <c r="DA675" s="23"/>
      <c r="DB675" s="23"/>
      <c r="DC675" s="23"/>
      <c r="DD675" s="23"/>
      <c r="DE675" s="23"/>
      <c r="DF675" s="23"/>
      <c r="DG675" s="23"/>
      <c r="DH675" s="23"/>
      <c r="DI675" s="23"/>
      <c r="DJ675" s="23"/>
      <c r="DK675" s="23"/>
      <c r="DL675" s="23"/>
      <c r="DM675" s="23"/>
      <c r="DN675" s="23"/>
      <c r="DO675" s="23"/>
      <c r="DP675" s="23"/>
      <c r="DQ675" s="23"/>
      <c r="DR675" s="23"/>
      <c r="DS675" s="23"/>
      <c r="DT675" s="23"/>
      <c r="DU675" s="23"/>
      <c r="DV675" s="23"/>
      <c r="DW675" s="23"/>
      <c r="DX675" s="23"/>
      <c r="DY675" s="23"/>
      <c r="DZ675" s="23"/>
      <c r="EA675" s="23"/>
      <c r="EB675" s="23"/>
      <c r="EC675" s="23"/>
      <c r="ED675" s="23"/>
      <c r="EE675" s="23"/>
      <c r="EF675" s="23"/>
      <c r="EG675" s="23"/>
      <c r="EH675" s="23"/>
      <c r="EI675" s="23"/>
      <c r="EJ675" s="23"/>
      <c r="EK675" s="23"/>
      <c r="EL675" s="23"/>
      <c r="EM675" s="23"/>
      <c r="EN675" s="23"/>
      <c r="EO675" s="23"/>
      <c r="EP675" s="23"/>
      <c r="EQ675" s="23"/>
      <c r="ER675" s="23"/>
      <c r="ES675" s="23"/>
      <c r="ET675" s="23"/>
      <c r="EU675" s="23"/>
      <c r="EV675" s="23"/>
      <c r="EW675" s="23"/>
      <c r="EX675" s="23"/>
      <c r="EY675" s="23"/>
      <c r="EZ675" s="23"/>
      <c r="FA675" s="23"/>
      <c r="FB675" s="23"/>
      <c r="FC675" s="23"/>
      <c r="FD675" s="23"/>
      <c r="FE675" s="23"/>
      <c r="FF675" s="23"/>
      <c r="FG675" s="23"/>
      <c r="FH675" s="23"/>
      <c r="FI675" s="23"/>
      <c r="FJ675" s="23"/>
      <c r="FK675" s="23"/>
      <c r="FL675" s="23"/>
      <c r="FM675" s="23"/>
      <c r="FN675" s="23"/>
      <c r="FO675" s="23"/>
      <c r="FP675" s="23"/>
      <c r="FQ675" s="23"/>
      <c r="FR675" s="23"/>
      <c r="FS675" s="23"/>
      <c r="FT675" s="23"/>
      <c r="FU675" s="23"/>
      <c r="FV675" s="23"/>
      <c r="FW675" s="23"/>
      <c r="FX675" s="23"/>
      <c r="FY675" s="23"/>
      <c r="FZ675" s="23"/>
      <c r="GA675" s="23"/>
      <c r="GB675" s="23"/>
      <c r="GC675" s="23"/>
      <c r="GD675" s="23"/>
      <c r="GE675" s="23"/>
      <c r="GF675" s="23"/>
      <c r="GG675" s="23"/>
      <c r="GH675" s="23"/>
      <c r="GI675" s="23"/>
      <c r="GJ675" s="23"/>
      <c r="GK675" s="23"/>
      <c r="GL675" s="23"/>
    </row>
    <row r="676" spans="1:194" ht="13">
      <c r="A676" s="23"/>
      <c r="B676" s="23"/>
      <c r="C676" s="23"/>
      <c r="D676" s="23"/>
      <c r="E676" s="23"/>
      <c r="F676" s="23"/>
      <c r="G676" s="23"/>
      <c r="H676" s="401"/>
      <c r="I676" s="401"/>
      <c r="J676" s="401"/>
      <c r="K676" s="401"/>
      <c r="L676" s="401"/>
      <c r="M676" s="438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  <c r="AL676" s="23"/>
      <c r="AM676" s="23"/>
      <c r="AN676" s="23"/>
      <c r="AO676" s="23"/>
      <c r="AP676" s="23"/>
      <c r="AQ676" s="23"/>
      <c r="AR676" s="23"/>
      <c r="AS676" s="23"/>
      <c r="AT676" s="23"/>
      <c r="AU676" s="23"/>
      <c r="AV676" s="23"/>
      <c r="AW676" s="23"/>
      <c r="AX676" s="23"/>
      <c r="AY676" s="23"/>
      <c r="AZ676" s="23"/>
      <c r="BA676" s="23"/>
      <c r="BB676" s="23"/>
      <c r="BC676" s="23"/>
      <c r="BD676" s="23"/>
      <c r="BE676" s="23"/>
      <c r="BF676" s="23"/>
      <c r="BG676" s="23"/>
      <c r="BH676" s="23"/>
      <c r="BI676" s="23"/>
      <c r="BJ676" s="23"/>
      <c r="BK676" s="23"/>
      <c r="BL676" s="23"/>
      <c r="BM676" s="23"/>
      <c r="BN676" s="23"/>
      <c r="BO676" s="23"/>
      <c r="BP676" s="23"/>
      <c r="BQ676" s="23"/>
      <c r="BR676" s="23"/>
      <c r="BS676" s="23"/>
      <c r="BT676" s="23"/>
      <c r="BU676" s="23"/>
      <c r="BV676" s="23"/>
      <c r="BW676" s="23"/>
      <c r="BX676" s="23"/>
      <c r="BY676" s="23"/>
      <c r="BZ676" s="23"/>
      <c r="CA676" s="23"/>
      <c r="CB676" s="23"/>
      <c r="CC676" s="23"/>
      <c r="CD676" s="23"/>
      <c r="CE676" s="23"/>
      <c r="CF676" s="23"/>
      <c r="CG676" s="23"/>
      <c r="CH676" s="23"/>
      <c r="CI676" s="23"/>
      <c r="CJ676" s="23"/>
      <c r="CK676" s="23"/>
      <c r="CL676" s="23"/>
      <c r="CM676" s="23"/>
      <c r="CN676" s="23"/>
      <c r="CO676" s="23"/>
      <c r="CP676" s="23"/>
      <c r="CQ676" s="23"/>
      <c r="CR676" s="23"/>
      <c r="CS676" s="23"/>
      <c r="CT676" s="23"/>
      <c r="CU676" s="23"/>
      <c r="CV676" s="23"/>
      <c r="CW676" s="23"/>
      <c r="CX676" s="23"/>
      <c r="CY676" s="23"/>
      <c r="CZ676" s="23"/>
      <c r="DA676" s="23"/>
      <c r="DB676" s="23"/>
      <c r="DC676" s="23"/>
      <c r="DD676" s="23"/>
      <c r="DE676" s="23"/>
      <c r="DF676" s="23"/>
      <c r="DG676" s="23"/>
      <c r="DH676" s="23"/>
      <c r="DI676" s="23"/>
      <c r="DJ676" s="23"/>
      <c r="DK676" s="23"/>
      <c r="DL676" s="23"/>
      <c r="DM676" s="23"/>
      <c r="DN676" s="23"/>
      <c r="DO676" s="23"/>
      <c r="DP676" s="23"/>
      <c r="DQ676" s="23"/>
      <c r="DR676" s="23"/>
      <c r="DS676" s="23"/>
      <c r="DT676" s="23"/>
      <c r="DU676" s="23"/>
      <c r="DV676" s="23"/>
      <c r="DW676" s="23"/>
      <c r="DX676" s="23"/>
      <c r="DY676" s="23"/>
      <c r="DZ676" s="23"/>
      <c r="EA676" s="23"/>
      <c r="EB676" s="23"/>
      <c r="EC676" s="23"/>
      <c r="ED676" s="23"/>
      <c r="EE676" s="23"/>
      <c r="EF676" s="23"/>
      <c r="EG676" s="23"/>
      <c r="EH676" s="23"/>
      <c r="EI676" s="23"/>
      <c r="EJ676" s="23"/>
      <c r="EK676" s="23"/>
      <c r="EL676" s="23"/>
      <c r="EM676" s="23"/>
      <c r="EN676" s="23"/>
      <c r="EO676" s="23"/>
      <c r="EP676" s="23"/>
      <c r="EQ676" s="23"/>
      <c r="ER676" s="23"/>
      <c r="ES676" s="23"/>
      <c r="ET676" s="23"/>
      <c r="EU676" s="23"/>
      <c r="EV676" s="23"/>
      <c r="EW676" s="23"/>
      <c r="EX676" s="23"/>
      <c r="EY676" s="23"/>
      <c r="EZ676" s="23"/>
      <c r="FA676" s="23"/>
      <c r="FB676" s="23"/>
      <c r="FC676" s="23"/>
      <c r="FD676" s="23"/>
      <c r="FE676" s="23"/>
      <c r="FF676" s="23"/>
      <c r="FG676" s="23"/>
      <c r="FH676" s="23"/>
      <c r="FI676" s="23"/>
      <c r="FJ676" s="23"/>
      <c r="FK676" s="23"/>
      <c r="FL676" s="23"/>
      <c r="FM676" s="23"/>
      <c r="FN676" s="23"/>
      <c r="FO676" s="23"/>
      <c r="FP676" s="23"/>
      <c r="FQ676" s="23"/>
      <c r="FR676" s="23"/>
      <c r="FS676" s="23"/>
      <c r="FT676" s="23"/>
      <c r="FU676" s="23"/>
      <c r="FV676" s="23"/>
      <c r="FW676" s="23"/>
      <c r="FX676" s="23"/>
      <c r="FY676" s="23"/>
      <c r="FZ676" s="23"/>
      <c r="GA676" s="23"/>
      <c r="GB676" s="23"/>
      <c r="GC676" s="23"/>
      <c r="GD676" s="23"/>
      <c r="GE676" s="23"/>
      <c r="GF676" s="23"/>
      <c r="GG676" s="23"/>
      <c r="GH676" s="23"/>
      <c r="GI676" s="23"/>
      <c r="GJ676" s="23"/>
      <c r="GK676" s="23"/>
      <c r="GL676" s="23"/>
    </row>
    <row r="677" spans="1:194" ht="13">
      <c r="A677" s="23"/>
      <c r="B677" s="23"/>
      <c r="C677" s="23"/>
      <c r="D677" s="23"/>
      <c r="E677" s="23"/>
      <c r="F677" s="23"/>
      <c r="G677" s="23"/>
      <c r="H677" s="401"/>
      <c r="I677" s="401"/>
      <c r="J677" s="401"/>
      <c r="K677" s="401"/>
      <c r="L677" s="401"/>
      <c r="M677" s="438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  <c r="AL677" s="23"/>
      <c r="AM677" s="23"/>
      <c r="AN677" s="23"/>
      <c r="AO677" s="23"/>
      <c r="AP677" s="23"/>
      <c r="AQ677" s="23"/>
      <c r="AR677" s="23"/>
      <c r="AS677" s="23"/>
      <c r="AT677" s="23"/>
      <c r="AU677" s="23"/>
      <c r="AV677" s="23"/>
      <c r="AW677" s="23"/>
      <c r="AX677" s="23"/>
      <c r="AY677" s="23"/>
      <c r="AZ677" s="23"/>
      <c r="BA677" s="23"/>
      <c r="BB677" s="23"/>
      <c r="BC677" s="23"/>
      <c r="BD677" s="23"/>
      <c r="BE677" s="23"/>
      <c r="BF677" s="23"/>
      <c r="BG677" s="23"/>
      <c r="BH677" s="23"/>
      <c r="BI677" s="23"/>
      <c r="BJ677" s="23"/>
      <c r="BK677" s="23"/>
      <c r="BL677" s="23"/>
      <c r="BM677" s="23"/>
      <c r="BN677" s="23"/>
      <c r="BO677" s="23"/>
      <c r="BP677" s="23"/>
      <c r="BQ677" s="23"/>
      <c r="BR677" s="23"/>
      <c r="BS677" s="23"/>
      <c r="BT677" s="23"/>
      <c r="BU677" s="23"/>
      <c r="BV677" s="23"/>
      <c r="BW677" s="23"/>
      <c r="BX677" s="23"/>
      <c r="BY677" s="23"/>
      <c r="BZ677" s="23"/>
      <c r="CA677" s="23"/>
      <c r="CB677" s="23"/>
      <c r="CC677" s="23"/>
      <c r="CD677" s="23"/>
      <c r="CE677" s="23"/>
      <c r="CF677" s="23"/>
      <c r="CG677" s="23"/>
      <c r="CH677" s="23"/>
      <c r="CI677" s="23"/>
      <c r="CJ677" s="23"/>
      <c r="CK677" s="23"/>
      <c r="CL677" s="23"/>
      <c r="CM677" s="23"/>
      <c r="CN677" s="23"/>
      <c r="CO677" s="23"/>
      <c r="CP677" s="23"/>
      <c r="CQ677" s="23"/>
      <c r="CR677" s="23"/>
      <c r="CS677" s="23"/>
      <c r="CT677" s="23"/>
      <c r="CU677" s="23"/>
      <c r="CV677" s="23"/>
      <c r="CW677" s="23"/>
      <c r="CX677" s="23"/>
      <c r="CY677" s="23"/>
      <c r="CZ677" s="23"/>
      <c r="DA677" s="23"/>
      <c r="DB677" s="23"/>
      <c r="DC677" s="23"/>
      <c r="DD677" s="23"/>
      <c r="DE677" s="23"/>
      <c r="DF677" s="23"/>
      <c r="DG677" s="23"/>
      <c r="DH677" s="23"/>
      <c r="DI677" s="23"/>
      <c r="DJ677" s="23"/>
      <c r="DK677" s="23"/>
      <c r="DL677" s="23"/>
      <c r="DM677" s="23"/>
      <c r="DN677" s="23"/>
      <c r="DO677" s="23"/>
      <c r="DP677" s="23"/>
      <c r="DQ677" s="23"/>
      <c r="DR677" s="23"/>
      <c r="DS677" s="23"/>
      <c r="DT677" s="23"/>
      <c r="DU677" s="23"/>
      <c r="DV677" s="23"/>
      <c r="DW677" s="23"/>
      <c r="DX677" s="23"/>
      <c r="DY677" s="23"/>
      <c r="DZ677" s="23"/>
      <c r="EA677" s="23"/>
      <c r="EB677" s="23"/>
      <c r="EC677" s="23"/>
      <c r="ED677" s="23"/>
      <c r="EE677" s="23"/>
      <c r="EF677" s="23"/>
      <c r="EG677" s="23"/>
      <c r="EH677" s="23"/>
      <c r="EI677" s="23"/>
      <c r="EJ677" s="23"/>
      <c r="EK677" s="23"/>
      <c r="EL677" s="23"/>
      <c r="EM677" s="23"/>
      <c r="EN677" s="23"/>
      <c r="EO677" s="23"/>
      <c r="EP677" s="23"/>
      <c r="EQ677" s="23"/>
      <c r="ER677" s="23"/>
      <c r="ES677" s="23"/>
      <c r="ET677" s="23"/>
      <c r="EU677" s="23"/>
      <c r="EV677" s="23"/>
      <c r="EW677" s="23"/>
      <c r="EX677" s="23"/>
      <c r="EY677" s="23"/>
      <c r="EZ677" s="23"/>
      <c r="FA677" s="23"/>
      <c r="FB677" s="23"/>
      <c r="FC677" s="23"/>
      <c r="FD677" s="23"/>
      <c r="FE677" s="23"/>
      <c r="FF677" s="23"/>
      <c r="FG677" s="23"/>
      <c r="FH677" s="23"/>
      <c r="FI677" s="23"/>
      <c r="FJ677" s="23"/>
      <c r="FK677" s="23"/>
      <c r="FL677" s="23"/>
      <c r="FM677" s="23"/>
      <c r="FN677" s="23"/>
      <c r="FO677" s="23"/>
      <c r="FP677" s="23"/>
      <c r="FQ677" s="23"/>
      <c r="FR677" s="23"/>
      <c r="FS677" s="23"/>
      <c r="FT677" s="23"/>
      <c r="FU677" s="23"/>
      <c r="FV677" s="23"/>
      <c r="FW677" s="23"/>
      <c r="FX677" s="23"/>
      <c r="FY677" s="23"/>
      <c r="FZ677" s="23"/>
      <c r="GA677" s="23"/>
      <c r="GB677" s="23"/>
      <c r="GC677" s="23"/>
      <c r="GD677" s="23"/>
      <c r="GE677" s="23"/>
      <c r="GF677" s="23"/>
      <c r="GG677" s="23"/>
      <c r="GH677" s="23"/>
      <c r="GI677" s="23"/>
      <c r="GJ677" s="23"/>
      <c r="GK677" s="23"/>
      <c r="GL677" s="23"/>
    </row>
    <row r="678" spans="1:194" ht="13">
      <c r="A678" s="23"/>
      <c r="B678" s="23"/>
      <c r="C678" s="23"/>
      <c r="D678" s="23"/>
      <c r="E678" s="23"/>
      <c r="F678" s="23"/>
      <c r="G678" s="23"/>
      <c r="H678" s="401"/>
      <c r="I678" s="401"/>
      <c r="J678" s="401"/>
      <c r="K678" s="401"/>
      <c r="L678" s="401"/>
      <c r="M678" s="438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  <c r="AL678" s="23"/>
      <c r="AM678" s="23"/>
      <c r="AN678" s="23"/>
      <c r="AO678" s="23"/>
      <c r="AP678" s="23"/>
      <c r="AQ678" s="23"/>
      <c r="AR678" s="23"/>
      <c r="AS678" s="23"/>
      <c r="AT678" s="23"/>
      <c r="AU678" s="23"/>
      <c r="AV678" s="23"/>
      <c r="AW678" s="23"/>
      <c r="AX678" s="23"/>
      <c r="AY678" s="23"/>
      <c r="AZ678" s="23"/>
      <c r="BA678" s="23"/>
      <c r="BB678" s="23"/>
      <c r="BC678" s="23"/>
      <c r="BD678" s="23"/>
      <c r="BE678" s="23"/>
      <c r="BF678" s="23"/>
      <c r="BG678" s="23"/>
      <c r="BH678" s="23"/>
      <c r="BI678" s="23"/>
      <c r="BJ678" s="23"/>
      <c r="BK678" s="23"/>
      <c r="BL678" s="23"/>
      <c r="BM678" s="23"/>
      <c r="BN678" s="23"/>
      <c r="BO678" s="23"/>
      <c r="BP678" s="23"/>
      <c r="BQ678" s="23"/>
      <c r="BR678" s="23"/>
      <c r="BS678" s="23"/>
      <c r="BT678" s="23"/>
      <c r="BU678" s="23"/>
      <c r="BV678" s="23"/>
      <c r="BW678" s="23"/>
      <c r="BX678" s="23"/>
      <c r="BY678" s="23"/>
      <c r="BZ678" s="23"/>
      <c r="CA678" s="23"/>
      <c r="CB678" s="23"/>
      <c r="CC678" s="23"/>
      <c r="CD678" s="23"/>
      <c r="CE678" s="23"/>
      <c r="CF678" s="23"/>
      <c r="CG678" s="23"/>
      <c r="CH678" s="23"/>
      <c r="CI678" s="23"/>
      <c r="CJ678" s="23"/>
      <c r="CK678" s="23"/>
      <c r="CL678" s="23"/>
      <c r="CM678" s="23"/>
      <c r="CN678" s="23"/>
      <c r="CO678" s="23"/>
      <c r="CP678" s="23"/>
      <c r="CQ678" s="23"/>
      <c r="CR678" s="23"/>
      <c r="CS678" s="23"/>
      <c r="CT678" s="23"/>
      <c r="CU678" s="23"/>
      <c r="CV678" s="23"/>
      <c r="CW678" s="23"/>
      <c r="CX678" s="23"/>
      <c r="CY678" s="23"/>
      <c r="CZ678" s="23"/>
      <c r="DA678" s="23"/>
      <c r="DB678" s="23"/>
      <c r="DC678" s="23"/>
      <c r="DD678" s="23"/>
      <c r="DE678" s="23"/>
      <c r="DF678" s="23"/>
      <c r="DG678" s="23"/>
      <c r="DH678" s="23"/>
      <c r="DI678" s="23"/>
      <c r="DJ678" s="23"/>
      <c r="DK678" s="23"/>
      <c r="DL678" s="23"/>
      <c r="DM678" s="23"/>
      <c r="DN678" s="23"/>
      <c r="DO678" s="23"/>
      <c r="DP678" s="23"/>
      <c r="DQ678" s="23"/>
      <c r="DR678" s="23"/>
      <c r="DS678" s="23"/>
      <c r="DT678" s="23"/>
      <c r="DU678" s="23"/>
      <c r="DV678" s="23"/>
      <c r="DW678" s="23"/>
      <c r="DX678" s="23"/>
      <c r="DY678" s="23"/>
      <c r="DZ678" s="23"/>
      <c r="EA678" s="23"/>
      <c r="EB678" s="23"/>
      <c r="EC678" s="23"/>
      <c r="ED678" s="23"/>
      <c r="EE678" s="23"/>
      <c r="EF678" s="23"/>
      <c r="EG678" s="23"/>
      <c r="EH678" s="23"/>
      <c r="EI678" s="23"/>
      <c r="EJ678" s="23"/>
      <c r="EK678" s="23"/>
      <c r="EL678" s="23"/>
      <c r="EM678" s="23"/>
      <c r="EN678" s="23"/>
      <c r="EO678" s="23"/>
      <c r="EP678" s="23"/>
      <c r="EQ678" s="23"/>
      <c r="ER678" s="23"/>
      <c r="ES678" s="23"/>
      <c r="ET678" s="23"/>
      <c r="EU678" s="23"/>
      <c r="EV678" s="23"/>
      <c r="EW678" s="23"/>
      <c r="EX678" s="23"/>
      <c r="EY678" s="23"/>
      <c r="EZ678" s="23"/>
      <c r="FA678" s="23"/>
      <c r="FB678" s="23"/>
      <c r="FC678" s="23"/>
      <c r="FD678" s="23"/>
      <c r="FE678" s="23"/>
      <c r="FF678" s="23"/>
      <c r="FG678" s="23"/>
      <c r="FH678" s="23"/>
      <c r="FI678" s="23"/>
      <c r="FJ678" s="23"/>
      <c r="FK678" s="23"/>
      <c r="FL678" s="23"/>
      <c r="FM678" s="23"/>
      <c r="FN678" s="23"/>
      <c r="FO678" s="23"/>
      <c r="FP678" s="23"/>
      <c r="FQ678" s="23"/>
      <c r="FR678" s="23"/>
      <c r="FS678" s="23"/>
      <c r="FT678" s="23"/>
      <c r="FU678" s="23"/>
      <c r="FV678" s="23"/>
      <c r="FW678" s="23"/>
      <c r="FX678" s="23"/>
      <c r="FY678" s="23"/>
      <c r="FZ678" s="23"/>
      <c r="GA678" s="23"/>
      <c r="GB678" s="23"/>
      <c r="GC678" s="23"/>
      <c r="GD678" s="23"/>
      <c r="GE678" s="23"/>
      <c r="GF678" s="23"/>
      <c r="GG678" s="23"/>
      <c r="GH678" s="23"/>
      <c r="GI678" s="23"/>
      <c r="GJ678" s="23"/>
      <c r="GK678" s="23"/>
      <c r="GL678" s="23"/>
    </row>
    <row r="679" spans="1:194" ht="13">
      <c r="A679" s="23"/>
      <c r="B679" s="23"/>
      <c r="C679" s="23"/>
      <c r="D679" s="23"/>
      <c r="E679" s="23"/>
      <c r="F679" s="23"/>
      <c r="G679" s="23"/>
      <c r="H679" s="401"/>
      <c r="I679" s="401"/>
      <c r="J679" s="401"/>
      <c r="K679" s="401"/>
      <c r="L679" s="401"/>
      <c r="M679" s="438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  <c r="AL679" s="23"/>
      <c r="AM679" s="23"/>
      <c r="AN679" s="23"/>
      <c r="AO679" s="23"/>
      <c r="AP679" s="23"/>
      <c r="AQ679" s="23"/>
      <c r="AR679" s="23"/>
      <c r="AS679" s="23"/>
      <c r="AT679" s="23"/>
      <c r="AU679" s="23"/>
      <c r="AV679" s="23"/>
      <c r="AW679" s="23"/>
      <c r="AX679" s="23"/>
      <c r="AY679" s="23"/>
      <c r="AZ679" s="23"/>
      <c r="BA679" s="23"/>
      <c r="BB679" s="23"/>
      <c r="BC679" s="23"/>
      <c r="BD679" s="23"/>
      <c r="BE679" s="23"/>
      <c r="BF679" s="23"/>
      <c r="BG679" s="23"/>
      <c r="BH679" s="23"/>
      <c r="BI679" s="23"/>
      <c r="BJ679" s="23"/>
      <c r="BK679" s="23"/>
      <c r="BL679" s="23"/>
      <c r="BM679" s="23"/>
      <c r="BN679" s="23"/>
      <c r="BO679" s="23"/>
      <c r="BP679" s="23"/>
      <c r="BQ679" s="23"/>
      <c r="BR679" s="23"/>
      <c r="BS679" s="23"/>
      <c r="BT679" s="23"/>
      <c r="BU679" s="23"/>
      <c r="BV679" s="23"/>
      <c r="BW679" s="23"/>
      <c r="BX679" s="23"/>
      <c r="BY679" s="23"/>
      <c r="BZ679" s="23"/>
      <c r="CA679" s="23"/>
      <c r="CB679" s="23"/>
      <c r="CC679" s="23"/>
      <c r="CD679" s="23"/>
      <c r="CE679" s="23"/>
      <c r="CF679" s="23"/>
      <c r="CG679" s="23"/>
      <c r="CH679" s="23"/>
      <c r="CI679" s="23"/>
      <c r="CJ679" s="23"/>
      <c r="CK679" s="23"/>
      <c r="CL679" s="23"/>
      <c r="CM679" s="23"/>
      <c r="CN679" s="23"/>
      <c r="CO679" s="23"/>
      <c r="CP679" s="23"/>
      <c r="CQ679" s="23"/>
      <c r="CR679" s="23"/>
      <c r="CS679" s="23"/>
      <c r="CT679" s="23"/>
      <c r="CU679" s="23"/>
      <c r="CV679" s="23"/>
      <c r="CW679" s="23"/>
      <c r="CX679" s="23"/>
      <c r="CY679" s="23"/>
      <c r="CZ679" s="23"/>
      <c r="DA679" s="23"/>
      <c r="DB679" s="23"/>
      <c r="DC679" s="23"/>
      <c r="DD679" s="23"/>
      <c r="DE679" s="23"/>
      <c r="DF679" s="23"/>
      <c r="DG679" s="23"/>
      <c r="DH679" s="23"/>
      <c r="DI679" s="23"/>
      <c r="DJ679" s="23"/>
      <c r="DK679" s="23"/>
      <c r="DL679" s="23"/>
      <c r="DM679" s="23"/>
      <c r="DN679" s="23"/>
      <c r="DO679" s="23"/>
      <c r="DP679" s="23"/>
      <c r="DQ679" s="23"/>
      <c r="DR679" s="23"/>
      <c r="DS679" s="23"/>
      <c r="DT679" s="23"/>
      <c r="DU679" s="23"/>
      <c r="DV679" s="23"/>
      <c r="DW679" s="23"/>
      <c r="DX679" s="23"/>
      <c r="DY679" s="23"/>
      <c r="DZ679" s="23"/>
      <c r="EA679" s="23"/>
      <c r="EB679" s="23"/>
      <c r="EC679" s="23"/>
      <c r="ED679" s="23"/>
      <c r="EE679" s="23"/>
      <c r="EF679" s="23"/>
      <c r="EG679" s="23"/>
      <c r="EH679" s="23"/>
      <c r="EI679" s="23"/>
      <c r="EJ679" s="23"/>
      <c r="EK679" s="23"/>
      <c r="EL679" s="23"/>
      <c r="EM679" s="23"/>
      <c r="EN679" s="23"/>
      <c r="EO679" s="23"/>
      <c r="EP679" s="23"/>
      <c r="EQ679" s="23"/>
      <c r="ER679" s="23"/>
      <c r="ES679" s="23"/>
      <c r="ET679" s="23"/>
      <c r="EU679" s="23"/>
      <c r="EV679" s="23"/>
      <c r="EW679" s="23"/>
      <c r="EX679" s="23"/>
      <c r="EY679" s="23"/>
      <c r="EZ679" s="23"/>
      <c r="FA679" s="23"/>
      <c r="FB679" s="23"/>
      <c r="FC679" s="23"/>
      <c r="FD679" s="23"/>
      <c r="FE679" s="23"/>
      <c r="FF679" s="23"/>
      <c r="FG679" s="23"/>
      <c r="FH679" s="23"/>
      <c r="FI679" s="23"/>
      <c r="FJ679" s="23"/>
      <c r="FK679" s="23"/>
      <c r="FL679" s="23"/>
      <c r="FM679" s="23"/>
      <c r="FN679" s="23"/>
      <c r="FO679" s="23"/>
      <c r="FP679" s="23"/>
      <c r="FQ679" s="23"/>
      <c r="FR679" s="23"/>
      <c r="FS679" s="23"/>
      <c r="FT679" s="23"/>
      <c r="FU679" s="23"/>
      <c r="FV679" s="23"/>
      <c r="FW679" s="23"/>
      <c r="FX679" s="23"/>
      <c r="FY679" s="23"/>
      <c r="FZ679" s="23"/>
      <c r="GA679" s="23"/>
      <c r="GB679" s="23"/>
      <c r="GC679" s="23"/>
      <c r="GD679" s="23"/>
      <c r="GE679" s="23"/>
      <c r="GF679" s="23"/>
      <c r="GG679" s="23"/>
      <c r="GH679" s="23"/>
      <c r="GI679" s="23"/>
      <c r="GJ679" s="23"/>
      <c r="GK679" s="23"/>
      <c r="GL679" s="23"/>
    </row>
    <row r="680" spans="1:194" ht="13">
      <c r="A680" s="23"/>
      <c r="B680" s="23"/>
      <c r="C680" s="23"/>
      <c r="D680" s="23"/>
      <c r="E680" s="23"/>
      <c r="F680" s="23"/>
      <c r="G680" s="23"/>
      <c r="H680" s="401"/>
      <c r="I680" s="401"/>
      <c r="J680" s="401"/>
      <c r="K680" s="401"/>
      <c r="L680" s="401"/>
      <c r="M680" s="438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  <c r="AL680" s="23"/>
      <c r="AM680" s="23"/>
      <c r="AN680" s="23"/>
      <c r="AO680" s="23"/>
      <c r="AP680" s="23"/>
      <c r="AQ680" s="23"/>
      <c r="AR680" s="23"/>
      <c r="AS680" s="23"/>
      <c r="AT680" s="23"/>
      <c r="AU680" s="23"/>
      <c r="AV680" s="23"/>
      <c r="AW680" s="23"/>
      <c r="AX680" s="23"/>
      <c r="AY680" s="23"/>
      <c r="AZ680" s="23"/>
      <c r="BA680" s="23"/>
      <c r="BB680" s="23"/>
      <c r="BC680" s="23"/>
      <c r="BD680" s="23"/>
      <c r="BE680" s="23"/>
      <c r="BF680" s="23"/>
      <c r="BG680" s="23"/>
      <c r="BH680" s="23"/>
      <c r="BI680" s="23"/>
      <c r="BJ680" s="23"/>
      <c r="BK680" s="23"/>
      <c r="BL680" s="23"/>
      <c r="BM680" s="23"/>
      <c r="BN680" s="23"/>
      <c r="BO680" s="23"/>
      <c r="BP680" s="23"/>
      <c r="BQ680" s="23"/>
      <c r="BR680" s="23"/>
      <c r="BS680" s="23"/>
      <c r="BT680" s="23"/>
      <c r="BU680" s="23"/>
      <c r="BV680" s="23"/>
      <c r="BW680" s="23"/>
      <c r="BX680" s="23"/>
      <c r="BY680" s="23"/>
      <c r="BZ680" s="23"/>
      <c r="CA680" s="23"/>
      <c r="CB680" s="23"/>
      <c r="CC680" s="23"/>
      <c r="CD680" s="23"/>
      <c r="CE680" s="23"/>
      <c r="CF680" s="23"/>
      <c r="CG680" s="23"/>
      <c r="CH680" s="23"/>
      <c r="CI680" s="23"/>
      <c r="CJ680" s="23"/>
      <c r="CK680" s="23"/>
      <c r="CL680" s="23"/>
      <c r="CM680" s="23"/>
      <c r="CN680" s="23"/>
      <c r="CO680" s="23"/>
      <c r="CP680" s="23"/>
      <c r="CQ680" s="23"/>
      <c r="CR680" s="23"/>
      <c r="CS680" s="23"/>
      <c r="CT680" s="23"/>
      <c r="CU680" s="23"/>
      <c r="CV680" s="23"/>
      <c r="CW680" s="23"/>
      <c r="CX680" s="23"/>
      <c r="CY680" s="23"/>
      <c r="CZ680" s="23"/>
      <c r="DA680" s="23"/>
      <c r="DB680" s="23"/>
      <c r="DC680" s="23"/>
      <c r="DD680" s="23"/>
      <c r="DE680" s="23"/>
      <c r="DF680" s="23"/>
      <c r="DG680" s="23"/>
      <c r="DH680" s="23"/>
      <c r="DI680" s="23"/>
      <c r="DJ680" s="23"/>
      <c r="DK680" s="23"/>
      <c r="DL680" s="23"/>
      <c r="DM680" s="23"/>
      <c r="DN680" s="23"/>
      <c r="DO680" s="23"/>
      <c r="DP680" s="23"/>
      <c r="DQ680" s="23"/>
      <c r="DR680" s="23"/>
      <c r="DS680" s="23"/>
      <c r="DT680" s="23"/>
      <c r="DU680" s="23"/>
      <c r="DV680" s="23"/>
      <c r="DW680" s="23"/>
      <c r="DX680" s="23"/>
      <c r="DY680" s="23"/>
      <c r="DZ680" s="23"/>
      <c r="EA680" s="23"/>
      <c r="EB680" s="23"/>
      <c r="EC680" s="23"/>
      <c r="ED680" s="23"/>
      <c r="EE680" s="23"/>
      <c r="EF680" s="23"/>
      <c r="EG680" s="23"/>
      <c r="EH680" s="23"/>
      <c r="EI680" s="23"/>
      <c r="EJ680" s="23"/>
      <c r="EK680" s="23"/>
      <c r="EL680" s="23"/>
      <c r="EM680" s="23"/>
      <c r="EN680" s="23"/>
      <c r="EO680" s="23"/>
      <c r="EP680" s="23"/>
      <c r="EQ680" s="23"/>
      <c r="ER680" s="23"/>
      <c r="ES680" s="23"/>
      <c r="ET680" s="23"/>
      <c r="EU680" s="23"/>
      <c r="EV680" s="23"/>
      <c r="EW680" s="23"/>
      <c r="EX680" s="23"/>
      <c r="EY680" s="23"/>
      <c r="EZ680" s="23"/>
      <c r="FA680" s="23"/>
      <c r="FB680" s="23"/>
      <c r="FC680" s="23"/>
      <c r="FD680" s="23"/>
      <c r="FE680" s="23"/>
      <c r="FF680" s="23"/>
      <c r="FG680" s="23"/>
      <c r="FH680" s="23"/>
      <c r="FI680" s="23"/>
      <c r="FJ680" s="23"/>
      <c r="FK680" s="23"/>
      <c r="FL680" s="23"/>
      <c r="FM680" s="23"/>
      <c r="FN680" s="23"/>
      <c r="FO680" s="23"/>
      <c r="FP680" s="23"/>
      <c r="FQ680" s="23"/>
      <c r="FR680" s="23"/>
      <c r="FS680" s="23"/>
      <c r="FT680" s="23"/>
      <c r="FU680" s="23"/>
      <c r="FV680" s="23"/>
      <c r="FW680" s="23"/>
      <c r="FX680" s="23"/>
      <c r="FY680" s="23"/>
      <c r="FZ680" s="23"/>
      <c r="GA680" s="23"/>
      <c r="GB680" s="23"/>
      <c r="GC680" s="23"/>
      <c r="GD680" s="23"/>
      <c r="GE680" s="23"/>
      <c r="GF680" s="23"/>
      <c r="GG680" s="23"/>
      <c r="GH680" s="23"/>
      <c r="GI680" s="23"/>
      <c r="GJ680" s="23"/>
      <c r="GK680" s="23"/>
      <c r="GL680" s="23"/>
    </row>
    <row r="681" spans="1:194" ht="13">
      <c r="A681" s="23"/>
      <c r="B681" s="23"/>
      <c r="C681" s="23"/>
      <c r="D681" s="23"/>
      <c r="E681" s="23"/>
      <c r="F681" s="23"/>
      <c r="G681" s="23"/>
      <c r="H681" s="401"/>
      <c r="I681" s="401"/>
      <c r="J681" s="401"/>
      <c r="K681" s="401"/>
      <c r="L681" s="401"/>
      <c r="M681" s="438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  <c r="AL681" s="23"/>
      <c r="AM681" s="23"/>
      <c r="AN681" s="23"/>
      <c r="AO681" s="23"/>
      <c r="AP681" s="23"/>
      <c r="AQ681" s="23"/>
      <c r="AR681" s="23"/>
      <c r="AS681" s="23"/>
      <c r="AT681" s="23"/>
      <c r="AU681" s="23"/>
      <c r="AV681" s="23"/>
      <c r="AW681" s="23"/>
      <c r="AX681" s="23"/>
      <c r="AY681" s="23"/>
      <c r="AZ681" s="23"/>
      <c r="BA681" s="23"/>
      <c r="BB681" s="23"/>
      <c r="BC681" s="23"/>
      <c r="BD681" s="23"/>
      <c r="BE681" s="23"/>
      <c r="BF681" s="23"/>
      <c r="BG681" s="23"/>
      <c r="BH681" s="23"/>
      <c r="BI681" s="23"/>
      <c r="BJ681" s="23"/>
      <c r="BK681" s="23"/>
      <c r="BL681" s="23"/>
      <c r="BM681" s="23"/>
      <c r="BN681" s="23"/>
      <c r="BO681" s="23"/>
      <c r="BP681" s="23"/>
      <c r="BQ681" s="23"/>
      <c r="BR681" s="23"/>
      <c r="BS681" s="23"/>
      <c r="BT681" s="23"/>
      <c r="BU681" s="23"/>
      <c r="BV681" s="23"/>
      <c r="BW681" s="23"/>
      <c r="BX681" s="23"/>
      <c r="BY681" s="23"/>
      <c r="BZ681" s="23"/>
      <c r="CA681" s="23"/>
      <c r="CB681" s="23"/>
      <c r="CC681" s="23"/>
      <c r="CD681" s="23"/>
      <c r="CE681" s="23"/>
      <c r="CF681" s="23"/>
      <c r="CG681" s="23"/>
      <c r="CH681" s="23"/>
      <c r="CI681" s="23"/>
      <c r="CJ681" s="23"/>
      <c r="CK681" s="23"/>
      <c r="CL681" s="23"/>
      <c r="CM681" s="23"/>
      <c r="CN681" s="23"/>
      <c r="CO681" s="23"/>
      <c r="CP681" s="23"/>
      <c r="CQ681" s="23"/>
      <c r="CR681" s="23"/>
      <c r="CS681" s="23"/>
      <c r="CT681" s="23"/>
      <c r="CU681" s="23"/>
      <c r="CV681" s="23"/>
      <c r="CW681" s="23"/>
      <c r="CX681" s="23"/>
      <c r="CY681" s="23"/>
      <c r="CZ681" s="23"/>
      <c r="DA681" s="23"/>
      <c r="DB681" s="23"/>
      <c r="DC681" s="23"/>
      <c r="DD681" s="23"/>
      <c r="DE681" s="23"/>
      <c r="DF681" s="23"/>
      <c r="DG681" s="23"/>
      <c r="DH681" s="23"/>
      <c r="DI681" s="23"/>
      <c r="DJ681" s="23"/>
      <c r="DK681" s="23"/>
      <c r="DL681" s="23"/>
      <c r="DM681" s="23"/>
      <c r="DN681" s="23"/>
      <c r="DO681" s="23"/>
      <c r="DP681" s="23"/>
      <c r="DQ681" s="23"/>
      <c r="DR681" s="23"/>
      <c r="DS681" s="23"/>
      <c r="DT681" s="23"/>
      <c r="DU681" s="23"/>
      <c r="DV681" s="23"/>
      <c r="DW681" s="23"/>
      <c r="DX681" s="23"/>
      <c r="DY681" s="23"/>
      <c r="DZ681" s="23"/>
      <c r="EA681" s="23"/>
      <c r="EB681" s="23"/>
      <c r="EC681" s="23"/>
      <c r="ED681" s="23"/>
      <c r="EE681" s="23"/>
      <c r="EF681" s="23"/>
      <c r="EG681" s="23"/>
      <c r="EH681" s="23"/>
      <c r="EI681" s="23"/>
      <c r="EJ681" s="23"/>
      <c r="EK681" s="23"/>
      <c r="EL681" s="23"/>
      <c r="EM681" s="23"/>
      <c r="EN681" s="23"/>
      <c r="EO681" s="23"/>
      <c r="EP681" s="23"/>
      <c r="EQ681" s="23"/>
      <c r="ER681" s="23"/>
      <c r="ES681" s="23"/>
      <c r="ET681" s="23"/>
      <c r="EU681" s="23"/>
      <c r="EV681" s="23"/>
      <c r="EW681" s="23"/>
      <c r="EX681" s="23"/>
      <c r="EY681" s="23"/>
      <c r="EZ681" s="23"/>
      <c r="FA681" s="23"/>
      <c r="FB681" s="23"/>
      <c r="FC681" s="23"/>
      <c r="FD681" s="23"/>
      <c r="FE681" s="23"/>
      <c r="FF681" s="23"/>
      <c r="FG681" s="23"/>
      <c r="FH681" s="23"/>
      <c r="FI681" s="23"/>
      <c r="FJ681" s="23"/>
      <c r="FK681" s="23"/>
      <c r="FL681" s="23"/>
      <c r="FM681" s="23"/>
      <c r="FN681" s="23"/>
      <c r="FO681" s="23"/>
      <c r="FP681" s="23"/>
      <c r="FQ681" s="23"/>
      <c r="FR681" s="23"/>
      <c r="FS681" s="23"/>
      <c r="FT681" s="23"/>
      <c r="FU681" s="23"/>
      <c r="FV681" s="23"/>
      <c r="FW681" s="23"/>
      <c r="FX681" s="23"/>
      <c r="FY681" s="23"/>
      <c r="FZ681" s="23"/>
      <c r="GA681" s="23"/>
      <c r="GB681" s="23"/>
      <c r="GC681" s="23"/>
      <c r="GD681" s="23"/>
      <c r="GE681" s="23"/>
      <c r="GF681" s="23"/>
      <c r="GG681" s="23"/>
      <c r="GH681" s="23"/>
      <c r="GI681" s="23"/>
      <c r="GJ681" s="23"/>
      <c r="GK681" s="23"/>
      <c r="GL681" s="23"/>
    </row>
    <row r="682" spans="1:194" ht="13">
      <c r="A682" s="23"/>
      <c r="B682" s="23"/>
      <c r="C682" s="23"/>
      <c r="D682" s="23"/>
      <c r="E682" s="23"/>
      <c r="F682" s="23"/>
      <c r="G682" s="23"/>
      <c r="H682" s="401"/>
      <c r="I682" s="401"/>
      <c r="J682" s="401"/>
      <c r="K682" s="401"/>
      <c r="L682" s="401"/>
      <c r="M682" s="438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  <c r="AL682" s="23"/>
      <c r="AM682" s="23"/>
      <c r="AN682" s="23"/>
      <c r="AO682" s="23"/>
      <c r="AP682" s="23"/>
      <c r="AQ682" s="23"/>
      <c r="AR682" s="23"/>
      <c r="AS682" s="23"/>
      <c r="AT682" s="23"/>
      <c r="AU682" s="23"/>
      <c r="AV682" s="23"/>
      <c r="AW682" s="23"/>
      <c r="AX682" s="23"/>
      <c r="AY682" s="23"/>
      <c r="AZ682" s="23"/>
      <c r="BA682" s="23"/>
      <c r="BB682" s="23"/>
      <c r="BC682" s="23"/>
      <c r="BD682" s="23"/>
      <c r="BE682" s="23"/>
      <c r="BF682" s="23"/>
      <c r="BG682" s="23"/>
      <c r="BH682" s="23"/>
      <c r="BI682" s="23"/>
      <c r="BJ682" s="23"/>
      <c r="BK682" s="23"/>
      <c r="BL682" s="23"/>
      <c r="BM682" s="23"/>
      <c r="BN682" s="23"/>
      <c r="BO682" s="23"/>
      <c r="BP682" s="23"/>
      <c r="BQ682" s="23"/>
      <c r="BR682" s="23"/>
      <c r="BS682" s="23"/>
      <c r="BT682" s="23"/>
      <c r="BU682" s="23"/>
      <c r="BV682" s="23"/>
      <c r="BW682" s="23"/>
      <c r="BX682" s="23"/>
      <c r="BY682" s="23"/>
      <c r="BZ682" s="23"/>
      <c r="CA682" s="23"/>
      <c r="CB682" s="23"/>
      <c r="CC682" s="23"/>
      <c r="CD682" s="23"/>
      <c r="CE682" s="23"/>
      <c r="CF682" s="23"/>
      <c r="CG682" s="23"/>
      <c r="CH682" s="23"/>
      <c r="CI682" s="23"/>
      <c r="CJ682" s="23"/>
      <c r="CK682" s="23"/>
      <c r="CL682" s="23"/>
      <c r="CM682" s="23"/>
      <c r="CN682" s="23"/>
      <c r="CO682" s="23"/>
      <c r="CP682" s="23"/>
      <c r="CQ682" s="23"/>
      <c r="CR682" s="23"/>
      <c r="CS682" s="23"/>
      <c r="CT682" s="23"/>
      <c r="CU682" s="23"/>
      <c r="CV682" s="23"/>
      <c r="CW682" s="23"/>
      <c r="CX682" s="23"/>
      <c r="CY682" s="23"/>
      <c r="CZ682" s="23"/>
      <c r="DA682" s="23"/>
      <c r="DB682" s="23"/>
      <c r="DC682" s="23"/>
      <c r="DD682" s="23"/>
      <c r="DE682" s="23"/>
      <c r="DF682" s="23"/>
      <c r="DG682" s="23"/>
      <c r="DH682" s="23"/>
      <c r="DI682" s="23"/>
      <c r="DJ682" s="23"/>
      <c r="DK682" s="23"/>
      <c r="DL682" s="23"/>
      <c r="DM682" s="23"/>
      <c r="DN682" s="23"/>
      <c r="DO682" s="23"/>
      <c r="DP682" s="23"/>
      <c r="DQ682" s="23"/>
      <c r="DR682" s="23"/>
      <c r="DS682" s="23"/>
      <c r="DT682" s="23"/>
      <c r="DU682" s="23"/>
      <c r="DV682" s="23"/>
      <c r="DW682" s="23"/>
      <c r="DX682" s="23"/>
      <c r="DY682" s="23"/>
      <c r="DZ682" s="23"/>
      <c r="EA682" s="23"/>
      <c r="EB682" s="23"/>
      <c r="EC682" s="23"/>
      <c r="ED682" s="23"/>
      <c r="EE682" s="23"/>
      <c r="EF682" s="23"/>
      <c r="EG682" s="23"/>
      <c r="EH682" s="23"/>
      <c r="EI682" s="23"/>
      <c r="EJ682" s="23"/>
      <c r="EK682" s="23"/>
      <c r="EL682" s="23"/>
      <c r="EM682" s="23"/>
      <c r="EN682" s="23"/>
      <c r="EO682" s="23"/>
      <c r="EP682" s="23"/>
      <c r="EQ682" s="23"/>
      <c r="ER682" s="23"/>
      <c r="ES682" s="23"/>
      <c r="ET682" s="23"/>
      <c r="EU682" s="23"/>
      <c r="EV682" s="23"/>
      <c r="EW682" s="23"/>
      <c r="EX682" s="23"/>
      <c r="EY682" s="23"/>
      <c r="EZ682" s="23"/>
      <c r="FA682" s="23"/>
      <c r="FB682" s="23"/>
      <c r="FC682" s="23"/>
      <c r="FD682" s="23"/>
      <c r="FE682" s="23"/>
      <c r="FF682" s="23"/>
      <c r="FG682" s="23"/>
      <c r="FH682" s="23"/>
      <c r="FI682" s="23"/>
      <c r="FJ682" s="23"/>
      <c r="FK682" s="23"/>
      <c r="FL682" s="23"/>
      <c r="FM682" s="23"/>
      <c r="FN682" s="23"/>
      <c r="FO682" s="23"/>
      <c r="FP682" s="23"/>
      <c r="FQ682" s="23"/>
      <c r="FR682" s="23"/>
      <c r="FS682" s="23"/>
      <c r="FT682" s="23"/>
      <c r="FU682" s="23"/>
      <c r="FV682" s="23"/>
      <c r="FW682" s="23"/>
      <c r="FX682" s="23"/>
      <c r="FY682" s="23"/>
      <c r="FZ682" s="23"/>
      <c r="GA682" s="23"/>
      <c r="GB682" s="23"/>
      <c r="GC682" s="23"/>
      <c r="GD682" s="23"/>
      <c r="GE682" s="23"/>
      <c r="GF682" s="23"/>
      <c r="GG682" s="23"/>
      <c r="GH682" s="23"/>
      <c r="GI682" s="23"/>
      <c r="GJ682" s="23"/>
      <c r="GK682" s="23"/>
      <c r="GL682" s="23"/>
    </row>
    <row r="683" spans="1:194" ht="13">
      <c r="A683" s="23"/>
      <c r="B683" s="23"/>
      <c r="C683" s="23"/>
      <c r="D683" s="23"/>
      <c r="E683" s="23"/>
      <c r="F683" s="23"/>
      <c r="G683" s="23"/>
      <c r="H683" s="401"/>
      <c r="I683" s="401"/>
      <c r="J683" s="401"/>
      <c r="K683" s="401"/>
      <c r="L683" s="401"/>
      <c r="M683" s="438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  <c r="AL683" s="23"/>
      <c r="AM683" s="23"/>
      <c r="AN683" s="23"/>
      <c r="AO683" s="23"/>
      <c r="AP683" s="23"/>
      <c r="AQ683" s="23"/>
      <c r="AR683" s="23"/>
      <c r="AS683" s="23"/>
      <c r="AT683" s="23"/>
      <c r="AU683" s="23"/>
      <c r="AV683" s="23"/>
      <c r="AW683" s="23"/>
      <c r="AX683" s="23"/>
      <c r="AY683" s="23"/>
      <c r="AZ683" s="23"/>
      <c r="BA683" s="23"/>
      <c r="BB683" s="23"/>
      <c r="BC683" s="23"/>
      <c r="BD683" s="23"/>
      <c r="BE683" s="23"/>
      <c r="BF683" s="23"/>
      <c r="BG683" s="23"/>
      <c r="BH683" s="23"/>
      <c r="BI683" s="23"/>
      <c r="BJ683" s="23"/>
      <c r="BK683" s="23"/>
      <c r="BL683" s="23"/>
      <c r="BM683" s="23"/>
      <c r="BN683" s="23"/>
      <c r="BO683" s="23"/>
      <c r="BP683" s="23"/>
      <c r="BQ683" s="23"/>
      <c r="BR683" s="23"/>
      <c r="BS683" s="23"/>
      <c r="BT683" s="23"/>
      <c r="BU683" s="23"/>
      <c r="BV683" s="23"/>
      <c r="BW683" s="23"/>
      <c r="BX683" s="23"/>
      <c r="BY683" s="23"/>
      <c r="BZ683" s="23"/>
      <c r="CA683" s="23"/>
      <c r="CB683" s="23"/>
      <c r="CC683" s="23"/>
      <c r="CD683" s="23"/>
      <c r="CE683" s="23"/>
      <c r="CF683" s="23"/>
      <c r="CG683" s="23"/>
      <c r="CH683" s="23"/>
      <c r="CI683" s="23"/>
      <c r="CJ683" s="23"/>
      <c r="CK683" s="23"/>
      <c r="CL683" s="23"/>
      <c r="CM683" s="23"/>
      <c r="CN683" s="23"/>
      <c r="CO683" s="23"/>
      <c r="CP683" s="23"/>
      <c r="CQ683" s="23"/>
      <c r="CR683" s="23"/>
      <c r="CS683" s="23"/>
      <c r="CT683" s="23"/>
      <c r="CU683" s="23"/>
      <c r="CV683" s="23"/>
      <c r="CW683" s="23"/>
      <c r="CX683" s="23"/>
      <c r="CY683" s="23"/>
      <c r="CZ683" s="23"/>
      <c r="DA683" s="23"/>
      <c r="DB683" s="23"/>
      <c r="DC683" s="23"/>
      <c r="DD683" s="23"/>
      <c r="DE683" s="23"/>
      <c r="DF683" s="23"/>
      <c r="DG683" s="23"/>
      <c r="DH683" s="23"/>
      <c r="DI683" s="23"/>
      <c r="DJ683" s="23"/>
      <c r="DK683" s="23"/>
      <c r="DL683" s="23"/>
      <c r="DM683" s="23"/>
      <c r="DN683" s="23"/>
      <c r="DO683" s="23"/>
      <c r="DP683" s="23"/>
      <c r="DQ683" s="23"/>
      <c r="DR683" s="23"/>
      <c r="DS683" s="23"/>
      <c r="DT683" s="23"/>
      <c r="DU683" s="23"/>
      <c r="DV683" s="23"/>
      <c r="DW683" s="23"/>
      <c r="DX683" s="23"/>
      <c r="DY683" s="23"/>
      <c r="DZ683" s="23"/>
      <c r="EA683" s="23"/>
      <c r="EB683" s="23"/>
      <c r="EC683" s="23"/>
      <c r="ED683" s="23"/>
      <c r="EE683" s="23"/>
      <c r="EF683" s="23"/>
      <c r="EG683" s="23"/>
      <c r="EH683" s="23"/>
      <c r="EI683" s="23"/>
      <c r="EJ683" s="23"/>
      <c r="EK683" s="23"/>
      <c r="EL683" s="23"/>
      <c r="EM683" s="23"/>
      <c r="EN683" s="23"/>
      <c r="EO683" s="23"/>
      <c r="EP683" s="23"/>
      <c r="EQ683" s="23"/>
      <c r="ER683" s="23"/>
      <c r="ES683" s="23"/>
      <c r="ET683" s="23"/>
      <c r="EU683" s="23"/>
      <c r="EV683" s="23"/>
      <c r="EW683" s="23"/>
      <c r="EX683" s="23"/>
      <c r="EY683" s="23"/>
      <c r="EZ683" s="23"/>
      <c r="FA683" s="23"/>
      <c r="FB683" s="23"/>
      <c r="FC683" s="23"/>
      <c r="FD683" s="23"/>
      <c r="FE683" s="23"/>
      <c r="FF683" s="23"/>
      <c r="FG683" s="23"/>
      <c r="FH683" s="23"/>
      <c r="FI683" s="23"/>
      <c r="FJ683" s="23"/>
      <c r="FK683" s="23"/>
      <c r="FL683" s="23"/>
      <c r="FM683" s="23"/>
      <c r="FN683" s="23"/>
      <c r="FO683" s="23"/>
      <c r="FP683" s="23"/>
      <c r="FQ683" s="23"/>
      <c r="FR683" s="23"/>
      <c r="FS683" s="23"/>
      <c r="FT683" s="23"/>
      <c r="FU683" s="23"/>
      <c r="FV683" s="23"/>
      <c r="FW683" s="23"/>
      <c r="FX683" s="23"/>
      <c r="FY683" s="23"/>
      <c r="FZ683" s="23"/>
      <c r="GA683" s="23"/>
      <c r="GB683" s="23"/>
      <c r="GC683" s="23"/>
      <c r="GD683" s="23"/>
      <c r="GE683" s="23"/>
      <c r="GF683" s="23"/>
      <c r="GG683" s="23"/>
      <c r="GH683" s="23"/>
      <c r="GI683" s="23"/>
      <c r="GJ683" s="23"/>
      <c r="GK683" s="23"/>
      <c r="GL683" s="23"/>
    </row>
    <row r="684" spans="1:194" ht="13">
      <c r="A684" s="23"/>
      <c r="B684" s="23"/>
      <c r="C684" s="23"/>
      <c r="D684" s="23"/>
      <c r="E684" s="23"/>
      <c r="F684" s="23"/>
      <c r="G684" s="23"/>
      <c r="H684" s="401"/>
      <c r="I684" s="401"/>
      <c r="J684" s="401"/>
      <c r="K684" s="401"/>
      <c r="L684" s="401"/>
      <c r="M684" s="438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  <c r="AL684" s="23"/>
      <c r="AM684" s="23"/>
      <c r="AN684" s="23"/>
      <c r="AO684" s="23"/>
      <c r="AP684" s="23"/>
      <c r="AQ684" s="23"/>
      <c r="AR684" s="23"/>
      <c r="AS684" s="23"/>
      <c r="AT684" s="23"/>
      <c r="AU684" s="23"/>
      <c r="AV684" s="23"/>
      <c r="AW684" s="23"/>
      <c r="AX684" s="23"/>
      <c r="AY684" s="23"/>
      <c r="AZ684" s="23"/>
      <c r="BA684" s="23"/>
      <c r="BB684" s="23"/>
      <c r="BC684" s="23"/>
      <c r="BD684" s="23"/>
      <c r="BE684" s="23"/>
      <c r="BF684" s="23"/>
      <c r="BG684" s="23"/>
      <c r="BH684" s="23"/>
      <c r="BI684" s="23"/>
      <c r="BJ684" s="23"/>
      <c r="BK684" s="23"/>
      <c r="BL684" s="23"/>
      <c r="BM684" s="23"/>
      <c r="BN684" s="23"/>
      <c r="BO684" s="23"/>
      <c r="BP684" s="23"/>
      <c r="BQ684" s="23"/>
      <c r="BR684" s="23"/>
      <c r="BS684" s="23"/>
      <c r="BT684" s="23"/>
      <c r="BU684" s="23"/>
      <c r="BV684" s="23"/>
      <c r="BW684" s="23"/>
      <c r="BX684" s="23"/>
      <c r="BY684" s="23"/>
      <c r="BZ684" s="23"/>
      <c r="CA684" s="23"/>
      <c r="CB684" s="23"/>
      <c r="CC684" s="23"/>
      <c r="CD684" s="23"/>
      <c r="CE684" s="23"/>
      <c r="CF684" s="23"/>
      <c r="CG684" s="23"/>
      <c r="CH684" s="23"/>
      <c r="CI684" s="23"/>
      <c r="CJ684" s="23"/>
      <c r="CK684" s="23"/>
      <c r="CL684" s="23"/>
      <c r="CM684" s="23"/>
      <c r="CN684" s="23"/>
      <c r="CO684" s="23"/>
      <c r="CP684" s="23"/>
      <c r="CQ684" s="23"/>
      <c r="CR684" s="23"/>
      <c r="CS684" s="23"/>
      <c r="CT684" s="23"/>
      <c r="CU684" s="23"/>
      <c r="CV684" s="23"/>
      <c r="CW684" s="23"/>
      <c r="CX684" s="23"/>
      <c r="CY684" s="23"/>
      <c r="CZ684" s="23"/>
      <c r="DA684" s="23"/>
      <c r="DB684" s="23"/>
      <c r="DC684" s="23"/>
      <c r="DD684" s="23"/>
      <c r="DE684" s="23"/>
      <c r="DF684" s="23"/>
      <c r="DG684" s="23"/>
      <c r="DH684" s="23"/>
      <c r="DI684" s="23"/>
      <c r="DJ684" s="23"/>
      <c r="DK684" s="23"/>
      <c r="DL684" s="23"/>
      <c r="DM684" s="23"/>
      <c r="DN684" s="23"/>
      <c r="DO684" s="23"/>
      <c r="DP684" s="23"/>
      <c r="DQ684" s="23"/>
      <c r="DR684" s="23"/>
      <c r="DS684" s="23"/>
      <c r="DT684" s="23"/>
      <c r="DU684" s="23"/>
      <c r="DV684" s="23"/>
      <c r="DW684" s="23"/>
      <c r="DX684" s="23"/>
      <c r="DY684" s="23"/>
      <c r="DZ684" s="23"/>
      <c r="EA684" s="23"/>
      <c r="EB684" s="23"/>
      <c r="EC684" s="23"/>
      <c r="ED684" s="23"/>
      <c r="EE684" s="23"/>
      <c r="EF684" s="23"/>
      <c r="EG684" s="23"/>
      <c r="EH684" s="23"/>
      <c r="EI684" s="23"/>
      <c r="EJ684" s="23"/>
      <c r="EK684" s="23"/>
      <c r="EL684" s="23"/>
      <c r="EM684" s="23"/>
      <c r="EN684" s="23"/>
      <c r="EO684" s="23"/>
      <c r="EP684" s="23"/>
      <c r="EQ684" s="23"/>
      <c r="ER684" s="23"/>
      <c r="ES684" s="23"/>
      <c r="ET684" s="23"/>
      <c r="EU684" s="23"/>
      <c r="EV684" s="23"/>
      <c r="EW684" s="23"/>
      <c r="EX684" s="23"/>
      <c r="EY684" s="23"/>
      <c r="EZ684" s="23"/>
      <c r="FA684" s="23"/>
      <c r="FB684" s="23"/>
      <c r="FC684" s="23"/>
      <c r="FD684" s="23"/>
      <c r="FE684" s="23"/>
      <c r="FF684" s="23"/>
      <c r="FG684" s="23"/>
      <c r="FH684" s="23"/>
      <c r="FI684" s="23"/>
      <c r="FJ684" s="23"/>
      <c r="FK684" s="23"/>
      <c r="FL684" s="23"/>
      <c r="FM684" s="23"/>
      <c r="FN684" s="23"/>
      <c r="FO684" s="23"/>
      <c r="FP684" s="23"/>
      <c r="FQ684" s="23"/>
      <c r="FR684" s="23"/>
      <c r="FS684" s="23"/>
      <c r="FT684" s="23"/>
      <c r="FU684" s="23"/>
      <c r="FV684" s="23"/>
      <c r="FW684" s="23"/>
      <c r="FX684" s="23"/>
      <c r="FY684" s="23"/>
      <c r="FZ684" s="23"/>
      <c r="GA684" s="23"/>
      <c r="GB684" s="23"/>
      <c r="GC684" s="23"/>
      <c r="GD684" s="23"/>
      <c r="GE684" s="23"/>
      <c r="GF684" s="23"/>
      <c r="GG684" s="23"/>
      <c r="GH684" s="23"/>
      <c r="GI684" s="23"/>
      <c r="GJ684" s="23"/>
      <c r="GK684" s="23"/>
      <c r="GL684" s="23"/>
    </row>
    <row r="685" spans="1:194" ht="13">
      <c r="A685" s="23"/>
      <c r="B685" s="23"/>
      <c r="C685" s="23"/>
      <c r="D685" s="23"/>
      <c r="E685" s="23"/>
      <c r="F685" s="23"/>
      <c r="G685" s="23"/>
      <c r="H685" s="401"/>
      <c r="I685" s="401"/>
      <c r="J685" s="401"/>
      <c r="K685" s="401"/>
      <c r="L685" s="401"/>
      <c r="M685" s="438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  <c r="AL685" s="23"/>
      <c r="AM685" s="23"/>
      <c r="AN685" s="23"/>
      <c r="AO685" s="23"/>
      <c r="AP685" s="23"/>
      <c r="AQ685" s="23"/>
      <c r="AR685" s="23"/>
      <c r="AS685" s="23"/>
      <c r="AT685" s="23"/>
      <c r="AU685" s="23"/>
      <c r="AV685" s="23"/>
      <c r="AW685" s="23"/>
      <c r="AX685" s="23"/>
      <c r="AY685" s="23"/>
      <c r="AZ685" s="23"/>
      <c r="BA685" s="23"/>
      <c r="BB685" s="23"/>
      <c r="BC685" s="23"/>
      <c r="BD685" s="23"/>
      <c r="BE685" s="23"/>
      <c r="BF685" s="23"/>
      <c r="BG685" s="23"/>
      <c r="BH685" s="23"/>
      <c r="BI685" s="23"/>
      <c r="BJ685" s="23"/>
      <c r="BK685" s="23"/>
      <c r="BL685" s="23"/>
      <c r="BM685" s="23"/>
      <c r="BN685" s="23"/>
      <c r="BO685" s="23"/>
      <c r="BP685" s="23"/>
      <c r="BQ685" s="23"/>
      <c r="BR685" s="23"/>
      <c r="BS685" s="23"/>
      <c r="BT685" s="23"/>
      <c r="BU685" s="23"/>
      <c r="BV685" s="23"/>
      <c r="BW685" s="23"/>
      <c r="BX685" s="23"/>
      <c r="BY685" s="23"/>
      <c r="BZ685" s="23"/>
      <c r="CA685" s="23"/>
      <c r="CB685" s="23"/>
      <c r="CC685" s="23"/>
      <c r="CD685" s="23"/>
      <c r="CE685" s="23"/>
      <c r="CF685" s="23"/>
      <c r="CG685" s="23"/>
      <c r="CH685" s="23"/>
      <c r="CI685" s="23"/>
      <c r="CJ685" s="23"/>
      <c r="CK685" s="23"/>
      <c r="CL685" s="23"/>
      <c r="CM685" s="23"/>
      <c r="CN685" s="23"/>
      <c r="CO685" s="23"/>
      <c r="CP685" s="23"/>
      <c r="CQ685" s="23"/>
      <c r="CR685" s="23"/>
      <c r="CS685" s="23"/>
      <c r="CT685" s="23"/>
      <c r="CU685" s="23"/>
      <c r="CV685" s="23"/>
      <c r="CW685" s="23"/>
      <c r="CX685" s="23"/>
      <c r="CY685" s="23"/>
      <c r="CZ685" s="23"/>
      <c r="DA685" s="23"/>
      <c r="DB685" s="23"/>
      <c r="DC685" s="23"/>
      <c r="DD685" s="23"/>
      <c r="DE685" s="23"/>
      <c r="DF685" s="23"/>
      <c r="DG685" s="23"/>
      <c r="DH685" s="23"/>
      <c r="DI685" s="23"/>
      <c r="DJ685" s="23"/>
      <c r="DK685" s="23"/>
      <c r="DL685" s="23"/>
      <c r="DM685" s="23"/>
      <c r="DN685" s="23"/>
      <c r="DO685" s="23"/>
      <c r="DP685" s="23"/>
      <c r="DQ685" s="23"/>
      <c r="DR685" s="23"/>
      <c r="DS685" s="23"/>
      <c r="DT685" s="23"/>
      <c r="DU685" s="23"/>
      <c r="DV685" s="23"/>
      <c r="DW685" s="23"/>
      <c r="DX685" s="23"/>
      <c r="DY685" s="23"/>
      <c r="DZ685" s="23"/>
      <c r="EA685" s="23"/>
      <c r="EB685" s="23"/>
      <c r="EC685" s="23"/>
      <c r="ED685" s="23"/>
      <c r="EE685" s="23"/>
      <c r="EF685" s="23"/>
      <c r="EG685" s="23"/>
      <c r="EH685" s="23"/>
      <c r="EI685" s="23"/>
      <c r="EJ685" s="23"/>
      <c r="EK685" s="23"/>
      <c r="EL685" s="23"/>
      <c r="EM685" s="23"/>
      <c r="EN685" s="23"/>
      <c r="EO685" s="23"/>
      <c r="EP685" s="23"/>
      <c r="EQ685" s="23"/>
      <c r="ER685" s="23"/>
      <c r="ES685" s="23"/>
      <c r="ET685" s="23"/>
      <c r="EU685" s="23"/>
      <c r="EV685" s="23"/>
      <c r="EW685" s="23"/>
      <c r="EX685" s="23"/>
      <c r="EY685" s="23"/>
      <c r="EZ685" s="23"/>
      <c r="FA685" s="23"/>
      <c r="FB685" s="23"/>
      <c r="FC685" s="23"/>
      <c r="FD685" s="23"/>
      <c r="FE685" s="23"/>
      <c r="FF685" s="23"/>
      <c r="FG685" s="23"/>
      <c r="FH685" s="23"/>
      <c r="FI685" s="23"/>
      <c r="FJ685" s="23"/>
      <c r="FK685" s="23"/>
      <c r="FL685" s="23"/>
      <c r="FM685" s="23"/>
      <c r="FN685" s="23"/>
      <c r="FO685" s="23"/>
      <c r="FP685" s="23"/>
      <c r="FQ685" s="23"/>
      <c r="FR685" s="23"/>
      <c r="FS685" s="23"/>
      <c r="FT685" s="23"/>
      <c r="FU685" s="23"/>
      <c r="FV685" s="23"/>
      <c r="FW685" s="23"/>
      <c r="FX685" s="23"/>
      <c r="FY685" s="23"/>
      <c r="FZ685" s="23"/>
      <c r="GA685" s="23"/>
      <c r="GB685" s="23"/>
      <c r="GC685" s="23"/>
      <c r="GD685" s="23"/>
      <c r="GE685" s="23"/>
      <c r="GF685" s="23"/>
      <c r="GG685" s="23"/>
      <c r="GH685" s="23"/>
      <c r="GI685" s="23"/>
      <c r="GJ685" s="23"/>
      <c r="GK685" s="23"/>
      <c r="GL685" s="23"/>
    </row>
    <row r="686" spans="1:194" ht="13">
      <c r="A686" s="23"/>
      <c r="B686" s="23"/>
      <c r="C686" s="23"/>
      <c r="D686" s="23"/>
      <c r="E686" s="23"/>
      <c r="F686" s="23"/>
      <c r="G686" s="23"/>
      <c r="H686" s="401"/>
      <c r="I686" s="401"/>
      <c r="J686" s="401"/>
      <c r="K686" s="401"/>
      <c r="L686" s="401"/>
      <c r="M686" s="438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  <c r="AL686" s="23"/>
      <c r="AM686" s="23"/>
      <c r="AN686" s="23"/>
      <c r="AO686" s="23"/>
      <c r="AP686" s="23"/>
      <c r="AQ686" s="23"/>
      <c r="AR686" s="23"/>
      <c r="AS686" s="23"/>
      <c r="AT686" s="23"/>
      <c r="AU686" s="23"/>
      <c r="AV686" s="23"/>
      <c r="AW686" s="23"/>
      <c r="AX686" s="23"/>
      <c r="AY686" s="23"/>
      <c r="AZ686" s="23"/>
      <c r="BA686" s="23"/>
      <c r="BB686" s="23"/>
      <c r="BC686" s="23"/>
      <c r="BD686" s="23"/>
      <c r="BE686" s="23"/>
      <c r="BF686" s="23"/>
      <c r="BG686" s="23"/>
      <c r="BH686" s="23"/>
      <c r="BI686" s="23"/>
      <c r="BJ686" s="23"/>
      <c r="BK686" s="23"/>
      <c r="BL686" s="23"/>
      <c r="BM686" s="23"/>
      <c r="BN686" s="23"/>
      <c r="BO686" s="23"/>
      <c r="BP686" s="23"/>
      <c r="BQ686" s="23"/>
      <c r="BR686" s="23"/>
      <c r="BS686" s="23"/>
      <c r="BT686" s="23"/>
      <c r="BU686" s="23"/>
      <c r="BV686" s="23"/>
      <c r="BW686" s="23"/>
      <c r="BX686" s="23"/>
      <c r="BY686" s="23"/>
      <c r="BZ686" s="23"/>
      <c r="CA686" s="23"/>
      <c r="CB686" s="23"/>
      <c r="CC686" s="23"/>
      <c r="CD686" s="23"/>
      <c r="CE686" s="23"/>
      <c r="CF686" s="23"/>
      <c r="CG686" s="23"/>
      <c r="CH686" s="23"/>
      <c r="CI686" s="23"/>
      <c r="CJ686" s="23"/>
      <c r="CK686" s="23"/>
      <c r="CL686" s="23"/>
      <c r="CM686" s="23"/>
      <c r="CN686" s="23"/>
      <c r="CO686" s="23"/>
      <c r="CP686" s="23"/>
      <c r="CQ686" s="23"/>
      <c r="CR686" s="23"/>
      <c r="CS686" s="23"/>
      <c r="CT686" s="23"/>
      <c r="CU686" s="23"/>
      <c r="CV686" s="23"/>
      <c r="CW686" s="23"/>
      <c r="CX686" s="23"/>
      <c r="CY686" s="23"/>
      <c r="CZ686" s="23"/>
      <c r="DA686" s="23"/>
      <c r="DB686" s="23"/>
      <c r="DC686" s="23"/>
      <c r="DD686" s="23"/>
      <c r="DE686" s="23"/>
      <c r="DF686" s="23"/>
      <c r="DG686" s="23"/>
      <c r="DH686" s="23"/>
      <c r="DI686" s="23"/>
      <c r="DJ686" s="23"/>
      <c r="DK686" s="23"/>
      <c r="DL686" s="23"/>
      <c r="DM686" s="23"/>
      <c r="DN686" s="23"/>
      <c r="DO686" s="23"/>
      <c r="DP686" s="23"/>
      <c r="DQ686" s="23"/>
      <c r="DR686" s="23"/>
      <c r="DS686" s="23"/>
      <c r="DT686" s="23"/>
      <c r="DU686" s="23"/>
      <c r="DV686" s="23"/>
      <c r="DW686" s="23"/>
      <c r="DX686" s="23"/>
      <c r="DY686" s="23"/>
      <c r="DZ686" s="23"/>
      <c r="EA686" s="23"/>
      <c r="EB686" s="23"/>
      <c r="EC686" s="23"/>
      <c r="ED686" s="23"/>
      <c r="EE686" s="23"/>
      <c r="EF686" s="23"/>
      <c r="EG686" s="23"/>
      <c r="EH686" s="23"/>
      <c r="EI686" s="23"/>
      <c r="EJ686" s="23"/>
      <c r="EK686" s="23"/>
      <c r="EL686" s="23"/>
      <c r="EM686" s="23"/>
      <c r="EN686" s="23"/>
      <c r="EO686" s="23"/>
      <c r="EP686" s="23"/>
      <c r="EQ686" s="23"/>
      <c r="ER686" s="23"/>
      <c r="ES686" s="23"/>
      <c r="ET686" s="23"/>
      <c r="EU686" s="23"/>
      <c r="EV686" s="23"/>
      <c r="EW686" s="23"/>
      <c r="EX686" s="23"/>
      <c r="EY686" s="23"/>
      <c r="EZ686" s="23"/>
      <c r="FA686" s="23"/>
      <c r="FB686" s="23"/>
      <c r="FC686" s="23"/>
      <c r="FD686" s="23"/>
      <c r="FE686" s="23"/>
      <c r="FF686" s="23"/>
      <c r="FG686" s="23"/>
      <c r="FH686" s="23"/>
      <c r="FI686" s="23"/>
      <c r="FJ686" s="23"/>
      <c r="FK686" s="23"/>
      <c r="FL686" s="23"/>
      <c r="FM686" s="23"/>
      <c r="FN686" s="23"/>
      <c r="FO686" s="23"/>
      <c r="FP686" s="23"/>
      <c r="FQ686" s="23"/>
      <c r="FR686" s="23"/>
      <c r="FS686" s="23"/>
      <c r="FT686" s="23"/>
      <c r="FU686" s="23"/>
      <c r="FV686" s="23"/>
      <c r="FW686" s="23"/>
      <c r="FX686" s="23"/>
      <c r="FY686" s="23"/>
      <c r="FZ686" s="23"/>
      <c r="GA686" s="23"/>
      <c r="GB686" s="23"/>
      <c r="GC686" s="23"/>
      <c r="GD686" s="23"/>
      <c r="GE686" s="23"/>
      <c r="GF686" s="23"/>
      <c r="GG686" s="23"/>
      <c r="GH686" s="23"/>
      <c r="GI686" s="23"/>
      <c r="GJ686" s="23"/>
      <c r="GK686" s="23"/>
      <c r="GL686" s="23"/>
    </row>
    <row r="687" spans="1:194" ht="13">
      <c r="A687" s="23"/>
      <c r="B687" s="23"/>
      <c r="C687" s="23"/>
      <c r="D687" s="23"/>
      <c r="E687" s="23"/>
      <c r="F687" s="23"/>
      <c r="G687" s="23"/>
      <c r="H687" s="401"/>
      <c r="I687" s="401"/>
      <c r="J687" s="401"/>
      <c r="K687" s="401"/>
      <c r="L687" s="401"/>
      <c r="M687" s="438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  <c r="AL687" s="23"/>
      <c r="AM687" s="23"/>
      <c r="AN687" s="23"/>
      <c r="AO687" s="23"/>
      <c r="AP687" s="23"/>
      <c r="AQ687" s="23"/>
      <c r="AR687" s="23"/>
      <c r="AS687" s="23"/>
      <c r="AT687" s="23"/>
      <c r="AU687" s="23"/>
      <c r="AV687" s="23"/>
      <c r="AW687" s="23"/>
      <c r="AX687" s="23"/>
      <c r="AY687" s="23"/>
      <c r="AZ687" s="23"/>
      <c r="BA687" s="23"/>
      <c r="BB687" s="23"/>
      <c r="BC687" s="23"/>
      <c r="BD687" s="23"/>
      <c r="BE687" s="23"/>
      <c r="BF687" s="23"/>
      <c r="BG687" s="23"/>
      <c r="BH687" s="23"/>
      <c r="BI687" s="23"/>
      <c r="BJ687" s="23"/>
      <c r="BK687" s="23"/>
      <c r="BL687" s="23"/>
      <c r="BM687" s="23"/>
      <c r="BN687" s="23"/>
      <c r="BO687" s="23"/>
      <c r="BP687" s="23"/>
      <c r="BQ687" s="23"/>
      <c r="BR687" s="23"/>
      <c r="BS687" s="23"/>
      <c r="BT687" s="23"/>
      <c r="BU687" s="23"/>
      <c r="BV687" s="23"/>
      <c r="BW687" s="23"/>
      <c r="BX687" s="23"/>
      <c r="BY687" s="23"/>
      <c r="BZ687" s="23"/>
      <c r="CA687" s="23"/>
      <c r="CB687" s="23"/>
      <c r="CC687" s="23"/>
      <c r="CD687" s="23"/>
      <c r="CE687" s="23"/>
      <c r="CF687" s="23"/>
      <c r="CG687" s="23"/>
      <c r="CH687" s="23"/>
      <c r="CI687" s="23"/>
      <c r="CJ687" s="23"/>
      <c r="CK687" s="23"/>
      <c r="CL687" s="23"/>
      <c r="CM687" s="23"/>
      <c r="CN687" s="23"/>
      <c r="CO687" s="23"/>
      <c r="CP687" s="23"/>
      <c r="CQ687" s="23"/>
      <c r="CR687" s="23"/>
      <c r="CS687" s="23"/>
      <c r="CT687" s="23"/>
      <c r="CU687" s="23"/>
      <c r="CV687" s="23"/>
      <c r="CW687" s="23"/>
      <c r="CX687" s="23"/>
      <c r="CY687" s="23"/>
      <c r="CZ687" s="23"/>
      <c r="DA687" s="23"/>
      <c r="DB687" s="23"/>
      <c r="DC687" s="23"/>
      <c r="DD687" s="23"/>
      <c r="DE687" s="23"/>
      <c r="DF687" s="23"/>
      <c r="DG687" s="23"/>
      <c r="DH687" s="23"/>
      <c r="DI687" s="23"/>
      <c r="DJ687" s="23"/>
      <c r="DK687" s="23"/>
      <c r="DL687" s="23"/>
      <c r="DM687" s="23"/>
      <c r="DN687" s="23"/>
      <c r="DO687" s="23"/>
      <c r="DP687" s="23"/>
      <c r="DQ687" s="23"/>
      <c r="DR687" s="23"/>
      <c r="DS687" s="23"/>
      <c r="DT687" s="23"/>
      <c r="DU687" s="23"/>
      <c r="DV687" s="23"/>
      <c r="DW687" s="23"/>
      <c r="DX687" s="23"/>
      <c r="DY687" s="23"/>
      <c r="DZ687" s="23"/>
      <c r="EA687" s="23"/>
      <c r="EB687" s="23"/>
      <c r="EC687" s="23"/>
      <c r="ED687" s="23"/>
      <c r="EE687" s="23"/>
      <c r="EF687" s="23"/>
      <c r="EG687" s="23"/>
      <c r="EH687" s="23"/>
      <c r="EI687" s="23"/>
      <c r="EJ687" s="23"/>
      <c r="EK687" s="23"/>
      <c r="EL687" s="23"/>
      <c r="EM687" s="23"/>
      <c r="EN687" s="23"/>
      <c r="EO687" s="23"/>
      <c r="EP687" s="23"/>
      <c r="EQ687" s="23"/>
      <c r="ER687" s="23"/>
      <c r="ES687" s="23"/>
      <c r="ET687" s="23"/>
      <c r="EU687" s="23"/>
      <c r="EV687" s="23"/>
      <c r="EW687" s="23"/>
      <c r="EX687" s="23"/>
      <c r="EY687" s="23"/>
      <c r="EZ687" s="23"/>
      <c r="FA687" s="23"/>
      <c r="FB687" s="23"/>
      <c r="FC687" s="23"/>
      <c r="FD687" s="23"/>
      <c r="FE687" s="23"/>
      <c r="FF687" s="23"/>
      <c r="FG687" s="23"/>
      <c r="FH687" s="23"/>
      <c r="FI687" s="23"/>
      <c r="FJ687" s="23"/>
      <c r="FK687" s="23"/>
      <c r="FL687" s="23"/>
      <c r="FM687" s="23"/>
      <c r="FN687" s="23"/>
      <c r="FO687" s="23"/>
      <c r="FP687" s="23"/>
      <c r="FQ687" s="23"/>
      <c r="FR687" s="23"/>
      <c r="FS687" s="23"/>
      <c r="FT687" s="23"/>
      <c r="FU687" s="23"/>
      <c r="FV687" s="23"/>
      <c r="FW687" s="23"/>
      <c r="FX687" s="23"/>
      <c r="FY687" s="23"/>
      <c r="FZ687" s="23"/>
      <c r="GA687" s="23"/>
      <c r="GB687" s="23"/>
      <c r="GC687" s="23"/>
      <c r="GD687" s="23"/>
      <c r="GE687" s="23"/>
      <c r="GF687" s="23"/>
      <c r="GG687" s="23"/>
      <c r="GH687" s="23"/>
      <c r="GI687" s="23"/>
      <c r="GJ687" s="23"/>
      <c r="GK687" s="23"/>
      <c r="GL687" s="23"/>
    </row>
    <row r="688" spans="1:194" ht="13">
      <c r="A688" s="23"/>
      <c r="B688" s="23"/>
      <c r="C688" s="23"/>
      <c r="D688" s="23"/>
      <c r="E688" s="23"/>
      <c r="F688" s="23"/>
      <c r="G688" s="23"/>
      <c r="H688" s="401"/>
      <c r="I688" s="401"/>
      <c r="J688" s="401"/>
      <c r="K688" s="401"/>
      <c r="L688" s="401"/>
      <c r="M688" s="438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  <c r="AL688" s="23"/>
      <c r="AM688" s="23"/>
      <c r="AN688" s="23"/>
      <c r="AO688" s="23"/>
      <c r="AP688" s="23"/>
      <c r="AQ688" s="23"/>
      <c r="AR688" s="23"/>
      <c r="AS688" s="23"/>
      <c r="AT688" s="23"/>
      <c r="AU688" s="23"/>
      <c r="AV688" s="23"/>
      <c r="AW688" s="23"/>
      <c r="AX688" s="23"/>
      <c r="AY688" s="23"/>
      <c r="AZ688" s="23"/>
      <c r="BA688" s="23"/>
      <c r="BB688" s="23"/>
      <c r="BC688" s="23"/>
      <c r="BD688" s="23"/>
      <c r="BE688" s="23"/>
      <c r="BF688" s="23"/>
      <c r="BG688" s="23"/>
      <c r="BH688" s="23"/>
      <c r="BI688" s="23"/>
      <c r="BJ688" s="23"/>
      <c r="BK688" s="23"/>
      <c r="BL688" s="23"/>
      <c r="BM688" s="23"/>
      <c r="BN688" s="23"/>
      <c r="BO688" s="23"/>
      <c r="BP688" s="23"/>
      <c r="BQ688" s="23"/>
      <c r="BR688" s="23"/>
      <c r="BS688" s="23"/>
      <c r="BT688" s="23"/>
      <c r="BU688" s="23"/>
      <c r="BV688" s="23"/>
      <c r="BW688" s="23"/>
      <c r="BX688" s="23"/>
      <c r="BY688" s="23"/>
      <c r="BZ688" s="23"/>
      <c r="CA688" s="23"/>
      <c r="CB688" s="23"/>
      <c r="CC688" s="23"/>
      <c r="CD688" s="23"/>
      <c r="CE688" s="23"/>
      <c r="CF688" s="23"/>
      <c r="CG688" s="23"/>
      <c r="CH688" s="23"/>
      <c r="CI688" s="23"/>
      <c r="CJ688" s="23"/>
      <c r="CK688" s="23"/>
      <c r="CL688" s="23"/>
      <c r="CM688" s="23"/>
      <c r="CN688" s="23"/>
      <c r="CO688" s="23"/>
      <c r="CP688" s="23"/>
      <c r="CQ688" s="23"/>
      <c r="CR688" s="23"/>
      <c r="CS688" s="23"/>
      <c r="CT688" s="23"/>
      <c r="CU688" s="23"/>
      <c r="CV688" s="23"/>
      <c r="CW688" s="23"/>
      <c r="CX688" s="23"/>
      <c r="CY688" s="23"/>
      <c r="CZ688" s="23"/>
      <c r="DA688" s="23"/>
      <c r="DB688" s="23"/>
      <c r="DC688" s="23"/>
      <c r="DD688" s="23"/>
      <c r="DE688" s="23"/>
      <c r="DF688" s="23"/>
      <c r="DG688" s="23"/>
      <c r="DH688" s="23"/>
      <c r="DI688" s="23"/>
      <c r="DJ688" s="23"/>
      <c r="DK688" s="23"/>
      <c r="DL688" s="23"/>
      <c r="DM688" s="23"/>
      <c r="DN688" s="23"/>
      <c r="DO688" s="23"/>
      <c r="DP688" s="23"/>
      <c r="DQ688" s="23"/>
      <c r="DR688" s="23"/>
      <c r="DS688" s="23"/>
      <c r="DT688" s="23"/>
      <c r="DU688" s="23"/>
      <c r="DV688" s="23"/>
      <c r="DW688" s="23"/>
      <c r="DX688" s="23"/>
      <c r="DY688" s="23"/>
      <c r="DZ688" s="23"/>
      <c r="EA688" s="23"/>
      <c r="EB688" s="23"/>
      <c r="EC688" s="23"/>
      <c r="ED688" s="23"/>
      <c r="EE688" s="23"/>
      <c r="EF688" s="23"/>
      <c r="EG688" s="23"/>
      <c r="EH688" s="23"/>
      <c r="EI688" s="23"/>
      <c r="EJ688" s="23"/>
      <c r="EK688" s="23"/>
      <c r="EL688" s="23"/>
      <c r="EM688" s="23"/>
      <c r="EN688" s="23"/>
      <c r="EO688" s="23"/>
      <c r="EP688" s="23"/>
      <c r="EQ688" s="23"/>
      <c r="ER688" s="23"/>
      <c r="ES688" s="23"/>
      <c r="ET688" s="23"/>
      <c r="EU688" s="23"/>
      <c r="EV688" s="23"/>
      <c r="EW688" s="23"/>
      <c r="EX688" s="23"/>
      <c r="EY688" s="23"/>
      <c r="EZ688" s="23"/>
      <c r="FA688" s="23"/>
      <c r="FB688" s="23"/>
      <c r="FC688" s="23"/>
      <c r="FD688" s="23"/>
      <c r="FE688" s="23"/>
      <c r="FF688" s="23"/>
      <c r="FG688" s="23"/>
      <c r="FH688" s="23"/>
      <c r="FI688" s="23"/>
      <c r="FJ688" s="23"/>
      <c r="FK688" s="23"/>
      <c r="FL688" s="23"/>
      <c r="FM688" s="23"/>
      <c r="FN688" s="23"/>
      <c r="FO688" s="23"/>
      <c r="FP688" s="23"/>
      <c r="FQ688" s="23"/>
      <c r="FR688" s="23"/>
      <c r="FS688" s="23"/>
      <c r="FT688" s="23"/>
      <c r="FU688" s="23"/>
      <c r="FV688" s="23"/>
      <c r="FW688" s="23"/>
      <c r="FX688" s="23"/>
      <c r="FY688" s="23"/>
      <c r="FZ688" s="23"/>
      <c r="GA688" s="23"/>
      <c r="GB688" s="23"/>
      <c r="GC688" s="23"/>
      <c r="GD688" s="23"/>
      <c r="GE688" s="23"/>
      <c r="GF688" s="23"/>
      <c r="GG688" s="23"/>
      <c r="GH688" s="23"/>
      <c r="GI688" s="23"/>
      <c r="GJ688" s="23"/>
      <c r="GK688" s="23"/>
      <c r="GL688" s="23"/>
    </row>
    <row r="689" spans="1:194" ht="13">
      <c r="A689" s="23"/>
      <c r="B689" s="23"/>
      <c r="C689" s="23"/>
      <c r="D689" s="23"/>
      <c r="E689" s="23"/>
      <c r="F689" s="23"/>
      <c r="G689" s="23"/>
      <c r="H689" s="401"/>
      <c r="I689" s="401"/>
      <c r="J689" s="401"/>
      <c r="K689" s="401"/>
      <c r="L689" s="401"/>
      <c r="M689" s="438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  <c r="AL689" s="23"/>
      <c r="AM689" s="23"/>
      <c r="AN689" s="23"/>
      <c r="AO689" s="23"/>
      <c r="AP689" s="23"/>
      <c r="AQ689" s="23"/>
      <c r="AR689" s="23"/>
      <c r="AS689" s="23"/>
      <c r="AT689" s="23"/>
      <c r="AU689" s="23"/>
      <c r="AV689" s="23"/>
      <c r="AW689" s="23"/>
      <c r="AX689" s="23"/>
      <c r="AY689" s="23"/>
      <c r="AZ689" s="23"/>
      <c r="BA689" s="23"/>
      <c r="BB689" s="23"/>
      <c r="BC689" s="23"/>
      <c r="BD689" s="23"/>
      <c r="BE689" s="23"/>
      <c r="BF689" s="23"/>
      <c r="BG689" s="23"/>
      <c r="BH689" s="23"/>
      <c r="BI689" s="23"/>
      <c r="BJ689" s="23"/>
      <c r="BK689" s="23"/>
      <c r="BL689" s="23"/>
      <c r="BM689" s="23"/>
      <c r="BN689" s="23"/>
      <c r="BO689" s="23"/>
      <c r="BP689" s="23"/>
      <c r="BQ689" s="23"/>
      <c r="BR689" s="23"/>
      <c r="BS689" s="23"/>
      <c r="BT689" s="23"/>
      <c r="BU689" s="23"/>
      <c r="BV689" s="23"/>
      <c r="BW689" s="23"/>
      <c r="BX689" s="23"/>
      <c r="BY689" s="23"/>
      <c r="BZ689" s="23"/>
      <c r="CA689" s="23"/>
      <c r="CB689" s="23"/>
      <c r="CC689" s="23"/>
      <c r="CD689" s="23"/>
      <c r="CE689" s="23"/>
      <c r="CF689" s="23"/>
      <c r="CG689" s="23"/>
      <c r="CH689" s="23"/>
      <c r="CI689" s="23"/>
      <c r="CJ689" s="23"/>
      <c r="CK689" s="23"/>
      <c r="CL689" s="23"/>
      <c r="CM689" s="23"/>
      <c r="CN689" s="23"/>
      <c r="CO689" s="23"/>
      <c r="CP689" s="23"/>
      <c r="CQ689" s="23"/>
      <c r="CR689" s="23"/>
      <c r="CS689" s="23"/>
      <c r="CT689" s="23"/>
      <c r="CU689" s="23"/>
      <c r="CV689" s="23"/>
      <c r="CW689" s="23"/>
      <c r="CX689" s="23"/>
      <c r="CY689" s="23"/>
      <c r="CZ689" s="23"/>
      <c r="DA689" s="23"/>
      <c r="DB689" s="23"/>
      <c r="DC689" s="23"/>
      <c r="DD689" s="23"/>
      <c r="DE689" s="23"/>
      <c r="DF689" s="23"/>
      <c r="DG689" s="23"/>
      <c r="DH689" s="23"/>
      <c r="DI689" s="23"/>
      <c r="DJ689" s="23"/>
      <c r="DK689" s="23"/>
      <c r="DL689" s="23"/>
      <c r="DM689" s="23"/>
      <c r="DN689" s="23"/>
      <c r="DO689" s="23"/>
      <c r="DP689" s="23"/>
      <c r="DQ689" s="23"/>
      <c r="DR689" s="23"/>
      <c r="DS689" s="23"/>
      <c r="DT689" s="23"/>
      <c r="DU689" s="23"/>
      <c r="DV689" s="23"/>
      <c r="DW689" s="23"/>
      <c r="DX689" s="23"/>
      <c r="DY689" s="23"/>
      <c r="DZ689" s="23"/>
      <c r="EA689" s="23"/>
      <c r="EB689" s="23"/>
      <c r="EC689" s="23"/>
      <c r="ED689" s="23"/>
      <c r="EE689" s="23"/>
      <c r="EF689" s="23"/>
      <c r="EG689" s="23"/>
      <c r="EH689" s="23"/>
      <c r="EI689" s="23"/>
      <c r="EJ689" s="23"/>
      <c r="EK689" s="23"/>
      <c r="EL689" s="23"/>
      <c r="EM689" s="23"/>
      <c r="EN689" s="23"/>
      <c r="EO689" s="23"/>
      <c r="EP689" s="23"/>
      <c r="EQ689" s="23"/>
      <c r="ER689" s="23"/>
      <c r="ES689" s="23"/>
      <c r="ET689" s="23"/>
      <c r="EU689" s="23"/>
      <c r="EV689" s="23"/>
      <c r="EW689" s="23"/>
      <c r="EX689" s="23"/>
      <c r="EY689" s="23"/>
      <c r="EZ689" s="23"/>
      <c r="FA689" s="23"/>
      <c r="FB689" s="23"/>
      <c r="FC689" s="23"/>
      <c r="FD689" s="23"/>
      <c r="FE689" s="23"/>
      <c r="FF689" s="23"/>
      <c r="FG689" s="23"/>
      <c r="FH689" s="23"/>
      <c r="FI689" s="23"/>
      <c r="FJ689" s="23"/>
      <c r="FK689" s="23"/>
      <c r="FL689" s="23"/>
      <c r="FM689" s="23"/>
      <c r="FN689" s="23"/>
      <c r="FO689" s="23"/>
      <c r="FP689" s="23"/>
      <c r="FQ689" s="23"/>
      <c r="FR689" s="23"/>
      <c r="FS689" s="23"/>
      <c r="FT689" s="23"/>
      <c r="FU689" s="23"/>
      <c r="FV689" s="23"/>
      <c r="FW689" s="23"/>
      <c r="FX689" s="23"/>
      <c r="FY689" s="23"/>
      <c r="FZ689" s="23"/>
      <c r="GA689" s="23"/>
      <c r="GB689" s="23"/>
      <c r="GC689" s="23"/>
      <c r="GD689" s="23"/>
      <c r="GE689" s="23"/>
      <c r="GF689" s="23"/>
      <c r="GG689" s="23"/>
      <c r="GH689" s="23"/>
      <c r="GI689" s="23"/>
      <c r="GJ689" s="23"/>
      <c r="GK689" s="23"/>
      <c r="GL689" s="23"/>
    </row>
    <row r="690" spans="1:194" ht="13">
      <c r="A690" s="23"/>
      <c r="B690" s="23"/>
      <c r="C690" s="23"/>
      <c r="D690" s="23"/>
      <c r="E690" s="23"/>
      <c r="F690" s="23"/>
      <c r="G690" s="23"/>
      <c r="H690" s="401"/>
      <c r="I690" s="401"/>
      <c r="J690" s="401"/>
      <c r="K690" s="401"/>
      <c r="L690" s="401"/>
      <c r="M690" s="438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  <c r="AL690" s="23"/>
      <c r="AM690" s="23"/>
      <c r="AN690" s="23"/>
      <c r="AO690" s="23"/>
      <c r="AP690" s="23"/>
      <c r="AQ690" s="23"/>
      <c r="AR690" s="23"/>
      <c r="AS690" s="23"/>
      <c r="AT690" s="23"/>
      <c r="AU690" s="23"/>
      <c r="AV690" s="23"/>
      <c r="AW690" s="23"/>
      <c r="AX690" s="23"/>
      <c r="AY690" s="23"/>
      <c r="AZ690" s="23"/>
      <c r="BA690" s="23"/>
      <c r="BB690" s="23"/>
      <c r="BC690" s="23"/>
      <c r="BD690" s="23"/>
      <c r="BE690" s="23"/>
      <c r="BF690" s="23"/>
      <c r="BG690" s="23"/>
      <c r="BH690" s="23"/>
      <c r="BI690" s="23"/>
      <c r="BJ690" s="23"/>
      <c r="BK690" s="23"/>
      <c r="BL690" s="23"/>
      <c r="BM690" s="23"/>
      <c r="BN690" s="23"/>
      <c r="BO690" s="23"/>
      <c r="BP690" s="23"/>
      <c r="BQ690" s="23"/>
      <c r="BR690" s="23"/>
      <c r="BS690" s="23"/>
      <c r="BT690" s="23"/>
      <c r="BU690" s="23"/>
      <c r="BV690" s="23"/>
      <c r="BW690" s="23"/>
      <c r="BX690" s="23"/>
      <c r="BY690" s="23"/>
      <c r="BZ690" s="23"/>
      <c r="CA690" s="23"/>
      <c r="CB690" s="23"/>
      <c r="CC690" s="23"/>
      <c r="CD690" s="23"/>
      <c r="CE690" s="23"/>
      <c r="CF690" s="23"/>
      <c r="CG690" s="23"/>
      <c r="CH690" s="23"/>
      <c r="CI690" s="23"/>
      <c r="CJ690" s="23"/>
      <c r="CK690" s="23"/>
      <c r="CL690" s="23"/>
      <c r="CM690" s="23"/>
      <c r="CN690" s="23"/>
      <c r="CO690" s="23"/>
      <c r="CP690" s="23"/>
      <c r="CQ690" s="23"/>
      <c r="CR690" s="23"/>
      <c r="CS690" s="23"/>
      <c r="CT690" s="23"/>
      <c r="CU690" s="23"/>
      <c r="CV690" s="23"/>
      <c r="CW690" s="23"/>
      <c r="CX690" s="23"/>
      <c r="CY690" s="23"/>
      <c r="CZ690" s="23"/>
      <c r="DA690" s="23"/>
      <c r="DB690" s="23"/>
      <c r="DC690" s="23"/>
      <c r="DD690" s="23"/>
      <c r="DE690" s="23"/>
      <c r="DF690" s="23"/>
      <c r="DG690" s="23"/>
      <c r="DH690" s="23"/>
      <c r="DI690" s="23"/>
      <c r="DJ690" s="23"/>
      <c r="DK690" s="23"/>
      <c r="DL690" s="23"/>
      <c r="DM690" s="23"/>
      <c r="DN690" s="23"/>
      <c r="DO690" s="23"/>
      <c r="DP690" s="23"/>
      <c r="DQ690" s="23"/>
      <c r="DR690" s="23"/>
      <c r="DS690" s="23"/>
      <c r="DT690" s="23"/>
      <c r="DU690" s="23"/>
      <c r="DV690" s="23"/>
      <c r="DW690" s="23"/>
      <c r="DX690" s="23"/>
      <c r="DY690" s="23"/>
      <c r="DZ690" s="23"/>
      <c r="EA690" s="23"/>
      <c r="EB690" s="23"/>
      <c r="EC690" s="23"/>
      <c r="ED690" s="23"/>
      <c r="EE690" s="23"/>
      <c r="EF690" s="23"/>
      <c r="EG690" s="23"/>
      <c r="EH690" s="23"/>
      <c r="EI690" s="23"/>
      <c r="EJ690" s="23"/>
      <c r="EK690" s="23"/>
      <c r="EL690" s="23"/>
      <c r="EM690" s="23"/>
      <c r="EN690" s="23"/>
      <c r="EO690" s="23"/>
      <c r="EP690" s="23"/>
      <c r="EQ690" s="23"/>
      <c r="ER690" s="23"/>
      <c r="ES690" s="23"/>
      <c r="ET690" s="23"/>
      <c r="EU690" s="23"/>
      <c r="EV690" s="23"/>
      <c r="EW690" s="23"/>
      <c r="EX690" s="23"/>
      <c r="EY690" s="23"/>
      <c r="EZ690" s="23"/>
      <c r="FA690" s="23"/>
      <c r="FB690" s="23"/>
      <c r="FC690" s="23"/>
      <c r="FD690" s="23"/>
      <c r="FE690" s="23"/>
      <c r="FF690" s="23"/>
      <c r="FG690" s="23"/>
      <c r="FH690" s="23"/>
      <c r="FI690" s="23"/>
      <c r="FJ690" s="23"/>
      <c r="FK690" s="23"/>
      <c r="FL690" s="23"/>
      <c r="FM690" s="23"/>
      <c r="FN690" s="23"/>
      <c r="FO690" s="23"/>
      <c r="FP690" s="23"/>
      <c r="FQ690" s="23"/>
      <c r="FR690" s="23"/>
      <c r="FS690" s="23"/>
      <c r="FT690" s="23"/>
      <c r="FU690" s="23"/>
      <c r="FV690" s="23"/>
      <c r="FW690" s="23"/>
      <c r="FX690" s="23"/>
      <c r="FY690" s="23"/>
      <c r="FZ690" s="23"/>
      <c r="GA690" s="23"/>
      <c r="GB690" s="23"/>
      <c r="GC690" s="23"/>
      <c r="GD690" s="23"/>
      <c r="GE690" s="23"/>
      <c r="GF690" s="23"/>
      <c r="GG690" s="23"/>
      <c r="GH690" s="23"/>
      <c r="GI690" s="23"/>
      <c r="GJ690" s="23"/>
      <c r="GK690" s="23"/>
      <c r="GL690" s="23"/>
    </row>
    <row r="691" spans="1:194" ht="13">
      <c r="A691" s="23"/>
      <c r="B691" s="23"/>
      <c r="C691" s="23"/>
      <c r="D691" s="23"/>
      <c r="E691" s="23"/>
      <c r="F691" s="23"/>
      <c r="G691" s="23"/>
      <c r="H691" s="401"/>
      <c r="I691" s="401"/>
      <c r="J691" s="401"/>
      <c r="K691" s="401"/>
      <c r="L691" s="401"/>
      <c r="M691" s="438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  <c r="AL691" s="23"/>
      <c r="AM691" s="23"/>
      <c r="AN691" s="23"/>
      <c r="AO691" s="23"/>
      <c r="AP691" s="23"/>
      <c r="AQ691" s="23"/>
      <c r="AR691" s="23"/>
      <c r="AS691" s="23"/>
      <c r="AT691" s="23"/>
      <c r="AU691" s="23"/>
      <c r="AV691" s="23"/>
      <c r="AW691" s="23"/>
      <c r="AX691" s="23"/>
      <c r="AY691" s="23"/>
      <c r="AZ691" s="23"/>
      <c r="BA691" s="23"/>
      <c r="BB691" s="23"/>
      <c r="BC691" s="23"/>
      <c r="BD691" s="23"/>
      <c r="BE691" s="23"/>
      <c r="BF691" s="23"/>
      <c r="BG691" s="23"/>
      <c r="BH691" s="23"/>
      <c r="BI691" s="23"/>
      <c r="BJ691" s="23"/>
      <c r="BK691" s="23"/>
      <c r="BL691" s="23"/>
      <c r="BM691" s="23"/>
      <c r="BN691" s="23"/>
      <c r="BO691" s="23"/>
      <c r="BP691" s="23"/>
      <c r="BQ691" s="23"/>
      <c r="BR691" s="23"/>
      <c r="BS691" s="23"/>
      <c r="BT691" s="23"/>
      <c r="BU691" s="23"/>
      <c r="BV691" s="23"/>
      <c r="BW691" s="23"/>
      <c r="BX691" s="23"/>
      <c r="BY691" s="23"/>
      <c r="BZ691" s="23"/>
      <c r="CA691" s="23"/>
      <c r="CB691" s="23"/>
      <c r="CC691" s="23"/>
      <c r="CD691" s="23"/>
      <c r="CE691" s="23"/>
      <c r="CF691" s="23"/>
      <c r="CG691" s="23"/>
      <c r="CH691" s="23"/>
      <c r="CI691" s="23"/>
      <c r="CJ691" s="23"/>
      <c r="CK691" s="23"/>
      <c r="CL691" s="23"/>
      <c r="CM691" s="23"/>
      <c r="CN691" s="23"/>
      <c r="CO691" s="23"/>
      <c r="CP691" s="23"/>
      <c r="CQ691" s="23"/>
      <c r="CR691" s="23"/>
      <c r="CS691" s="23"/>
      <c r="CT691" s="23"/>
      <c r="CU691" s="23"/>
      <c r="CV691" s="23"/>
      <c r="CW691" s="23"/>
      <c r="CX691" s="23"/>
      <c r="CY691" s="23"/>
      <c r="CZ691" s="23"/>
      <c r="DA691" s="23"/>
      <c r="DB691" s="23"/>
      <c r="DC691" s="23"/>
      <c r="DD691" s="23"/>
      <c r="DE691" s="23"/>
      <c r="DF691" s="23"/>
      <c r="DG691" s="23"/>
      <c r="DH691" s="23"/>
      <c r="DI691" s="23"/>
      <c r="DJ691" s="23"/>
      <c r="DK691" s="23"/>
      <c r="DL691" s="23"/>
      <c r="DM691" s="23"/>
      <c r="DN691" s="23"/>
      <c r="DO691" s="23"/>
      <c r="DP691" s="23"/>
      <c r="DQ691" s="23"/>
      <c r="DR691" s="23"/>
      <c r="DS691" s="23"/>
      <c r="DT691" s="23"/>
      <c r="DU691" s="23"/>
      <c r="DV691" s="23"/>
      <c r="DW691" s="23"/>
      <c r="DX691" s="23"/>
      <c r="DY691" s="23"/>
      <c r="DZ691" s="23"/>
      <c r="EA691" s="23"/>
      <c r="EB691" s="23"/>
      <c r="EC691" s="23"/>
      <c r="ED691" s="23"/>
      <c r="EE691" s="23"/>
      <c r="EF691" s="23"/>
      <c r="EG691" s="23"/>
      <c r="EH691" s="23"/>
      <c r="EI691" s="23"/>
      <c r="EJ691" s="23"/>
      <c r="EK691" s="23"/>
      <c r="EL691" s="23"/>
      <c r="EM691" s="23"/>
      <c r="EN691" s="23"/>
      <c r="EO691" s="23"/>
      <c r="EP691" s="23"/>
      <c r="EQ691" s="23"/>
      <c r="ER691" s="23"/>
      <c r="ES691" s="23"/>
      <c r="ET691" s="23"/>
      <c r="EU691" s="23"/>
      <c r="EV691" s="23"/>
      <c r="EW691" s="23"/>
      <c r="EX691" s="23"/>
      <c r="EY691" s="23"/>
      <c r="EZ691" s="23"/>
      <c r="FA691" s="23"/>
      <c r="FB691" s="23"/>
      <c r="FC691" s="23"/>
      <c r="FD691" s="23"/>
      <c r="FE691" s="23"/>
      <c r="FF691" s="23"/>
      <c r="FG691" s="23"/>
      <c r="FH691" s="23"/>
      <c r="FI691" s="23"/>
      <c r="FJ691" s="23"/>
      <c r="FK691" s="23"/>
      <c r="FL691" s="23"/>
      <c r="FM691" s="23"/>
      <c r="FN691" s="23"/>
      <c r="FO691" s="23"/>
      <c r="FP691" s="23"/>
      <c r="FQ691" s="23"/>
      <c r="FR691" s="23"/>
      <c r="FS691" s="23"/>
      <c r="FT691" s="23"/>
      <c r="FU691" s="23"/>
      <c r="FV691" s="23"/>
      <c r="FW691" s="23"/>
      <c r="FX691" s="23"/>
      <c r="FY691" s="23"/>
      <c r="FZ691" s="23"/>
      <c r="GA691" s="23"/>
      <c r="GB691" s="23"/>
      <c r="GC691" s="23"/>
      <c r="GD691" s="23"/>
      <c r="GE691" s="23"/>
      <c r="GF691" s="23"/>
      <c r="GG691" s="23"/>
      <c r="GH691" s="23"/>
      <c r="GI691" s="23"/>
      <c r="GJ691" s="23"/>
      <c r="GK691" s="23"/>
      <c r="GL691" s="23"/>
    </row>
    <row r="692" spans="1:194" ht="13">
      <c r="A692" s="23"/>
      <c r="B692" s="23"/>
      <c r="C692" s="23"/>
      <c r="D692" s="23"/>
      <c r="E692" s="23"/>
      <c r="F692" s="23"/>
      <c r="G692" s="23"/>
      <c r="H692" s="401"/>
      <c r="I692" s="401"/>
      <c r="J692" s="401"/>
      <c r="K692" s="401"/>
      <c r="L692" s="401"/>
      <c r="M692" s="438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  <c r="AL692" s="23"/>
      <c r="AM692" s="23"/>
      <c r="AN692" s="23"/>
      <c r="AO692" s="23"/>
      <c r="AP692" s="23"/>
      <c r="AQ692" s="23"/>
      <c r="AR692" s="23"/>
      <c r="AS692" s="23"/>
      <c r="AT692" s="23"/>
      <c r="AU692" s="23"/>
      <c r="AV692" s="23"/>
      <c r="AW692" s="23"/>
      <c r="AX692" s="23"/>
      <c r="AY692" s="23"/>
      <c r="AZ692" s="23"/>
      <c r="BA692" s="23"/>
      <c r="BB692" s="23"/>
      <c r="BC692" s="23"/>
      <c r="BD692" s="23"/>
      <c r="BE692" s="23"/>
      <c r="BF692" s="23"/>
      <c r="BG692" s="23"/>
      <c r="BH692" s="23"/>
      <c r="BI692" s="23"/>
      <c r="BJ692" s="23"/>
      <c r="BK692" s="23"/>
      <c r="BL692" s="23"/>
      <c r="BM692" s="23"/>
      <c r="BN692" s="23"/>
      <c r="BO692" s="23"/>
      <c r="BP692" s="23"/>
      <c r="BQ692" s="23"/>
      <c r="BR692" s="23"/>
      <c r="BS692" s="23"/>
      <c r="BT692" s="23"/>
      <c r="BU692" s="23"/>
      <c r="BV692" s="23"/>
      <c r="BW692" s="23"/>
      <c r="BX692" s="23"/>
      <c r="BY692" s="23"/>
      <c r="BZ692" s="23"/>
      <c r="CA692" s="23"/>
      <c r="CB692" s="23"/>
      <c r="CC692" s="23"/>
      <c r="CD692" s="23"/>
      <c r="CE692" s="23"/>
      <c r="CF692" s="23"/>
      <c r="CG692" s="23"/>
      <c r="CH692" s="23"/>
      <c r="CI692" s="23"/>
      <c r="CJ692" s="23"/>
      <c r="CK692" s="23"/>
      <c r="CL692" s="23"/>
      <c r="CM692" s="23"/>
      <c r="CN692" s="23"/>
      <c r="CO692" s="23"/>
      <c r="CP692" s="23"/>
      <c r="CQ692" s="23"/>
      <c r="CR692" s="23"/>
      <c r="CS692" s="23"/>
      <c r="CT692" s="23"/>
      <c r="CU692" s="23"/>
      <c r="CV692" s="23"/>
      <c r="CW692" s="23"/>
      <c r="CX692" s="23"/>
      <c r="CY692" s="23"/>
      <c r="CZ692" s="23"/>
      <c r="DA692" s="23"/>
      <c r="DB692" s="23"/>
      <c r="DC692" s="23"/>
      <c r="DD692" s="23"/>
      <c r="DE692" s="23"/>
      <c r="DF692" s="23"/>
      <c r="DG692" s="23"/>
      <c r="DH692" s="23"/>
      <c r="DI692" s="23"/>
      <c r="DJ692" s="23"/>
      <c r="DK692" s="23"/>
      <c r="DL692" s="23"/>
      <c r="DM692" s="23"/>
      <c r="DN692" s="23"/>
      <c r="DO692" s="23"/>
      <c r="DP692" s="23"/>
      <c r="DQ692" s="23"/>
      <c r="DR692" s="23"/>
      <c r="DS692" s="23"/>
      <c r="DT692" s="23"/>
      <c r="DU692" s="23"/>
      <c r="DV692" s="23"/>
      <c r="DW692" s="23"/>
      <c r="DX692" s="23"/>
      <c r="DY692" s="23"/>
      <c r="DZ692" s="23"/>
      <c r="EA692" s="23"/>
      <c r="EB692" s="23"/>
      <c r="EC692" s="23"/>
      <c r="ED692" s="23"/>
      <c r="EE692" s="23"/>
      <c r="EF692" s="23"/>
      <c r="EG692" s="23"/>
      <c r="EH692" s="23"/>
      <c r="EI692" s="23"/>
      <c r="EJ692" s="23"/>
      <c r="EK692" s="23"/>
      <c r="EL692" s="23"/>
      <c r="EM692" s="23"/>
      <c r="EN692" s="23"/>
      <c r="EO692" s="23"/>
      <c r="EP692" s="23"/>
      <c r="EQ692" s="23"/>
      <c r="ER692" s="23"/>
      <c r="ES692" s="23"/>
      <c r="ET692" s="23"/>
      <c r="EU692" s="23"/>
      <c r="EV692" s="23"/>
      <c r="EW692" s="23"/>
      <c r="EX692" s="23"/>
      <c r="EY692" s="23"/>
      <c r="EZ692" s="23"/>
      <c r="FA692" s="23"/>
      <c r="FB692" s="23"/>
      <c r="FC692" s="23"/>
      <c r="FD692" s="23"/>
      <c r="FE692" s="23"/>
      <c r="FF692" s="23"/>
      <c r="FG692" s="23"/>
      <c r="FH692" s="23"/>
      <c r="FI692" s="23"/>
      <c r="FJ692" s="23"/>
      <c r="FK692" s="23"/>
      <c r="FL692" s="23"/>
      <c r="FM692" s="23"/>
      <c r="FN692" s="23"/>
      <c r="FO692" s="23"/>
      <c r="FP692" s="23"/>
      <c r="FQ692" s="23"/>
      <c r="FR692" s="23"/>
      <c r="FS692" s="23"/>
      <c r="FT692" s="23"/>
      <c r="FU692" s="23"/>
      <c r="FV692" s="23"/>
      <c r="FW692" s="23"/>
      <c r="FX692" s="23"/>
      <c r="FY692" s="23"/>
      <c r="FZ692" s="23"/>
      <c r="GA692" s="23"/>
      <c r="GB692" s="23"/>
      <c r="GC692" s="23"/>
      <c r="GD692" s="23"/>
      <c r="GE692" s="23"/>
      <c r="GF692" s="23"/>
      <c r="GG692" s="23"/>
      <c r="GH692" s="23"/>
      <c r="GI692" s="23"/>
      <c r="GJ692" s="23"/>
      <c r="GK692" s="23"/>
      <c r="GL692" s="23"/>
    </row>
    <row r="693" spans="1:194" ht="13">
      <c r="A693" s="23"/>
      <c r="B693" s="23"/>
      <c r="C693" s="23"/>
      <c r="D693" s="23"/>
      <c r="E693" s="23"/>
      <c r="F693" s="23"/>
      <c r="G693" s="23"/>
      <c r="H693" s="401"/>
      <c r="I693" s="401"/>
      <c r="J693" s="401"/>
      <c r="K693" s="401"/>
      <c r="L693" s="401"/>
      <c r="M693" s="438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  <c r="AL693" s="23"/>
      <c r="AM693" s="23"/>
      <c r="AN693" s="23"/>
      <c r="AO693" s="23"/>
      <c r="AP693" s="23"/>
      <c r="AQ693" s="23"/>
      <c r="AR693" s="23"/>
      <c r="AS693" s="23"/>
      <c r="AT693" s="23"/>
      <c r="AU693" s="23"/>
      <c r="AV693" s="23"/>
      <c r="AW693" s="23"/>
      <c r="AX693" s="23"/>
      <c r="AY693" s="23"/>
      <c r="AZ693" s="23"/>
      <c r="BA693" s="23"/>
      <c r="BB693" s="23"/>
      <c r="BC693" s="23"/>
      <c r="BD693" s="23"/>
      <c r="BE693" s="23"/>
      <c r="BF693" s="23"/>
      <c r="BG693" s="23"/>
      <c r="BH693" s="23"/>
      <c r="BI693" s="23"/>
      <c r="BJ693" s="23"/>
      <c r="BK693" s="23"/>
      <c r="BL693" s="23"/>
      <c r="BM693" s="23"/>
      <c r="BN693" s="23"/>
      <c r="BO693" s="23"/>
      <c r="BP693" s="23"/>
      <c r="BQ693" s="23"/>
      <c r="BR693" s="23"/>
      <c r="BS693" s="23"/>
      <c r="BT693" s="23"/>
      <c r="BU693" s="23"/>
      <c r="BV693" s="23"/>
      <c r="BW693" s="23"/>
      <c r="BX693" s="23"/>
      <c r="BY693" s="23"/>
      <c r="BZ693" s="23"/>
      <c r="CA693" s="23"/>
      <c r="CB693" s="23"/>
      <c r="CC693" s="23"/>
      <c r="CD693" s="23"/>
      <c r="CE693" s="23"/>
      <c r="CF693" s="23"/>
      <c r="CG693" s="23"/>
      <c r="CH693" s="23"/>
      <c r="CI693" s="23"/>
      <c r="CJ693" s="23"/>
      <c r="CK693" s="23"/>
      <c r="CL693" s="23"/>
      <c r="CM693" s="23"/>
      <c r="CN693" s="23"/>
      <c r="CO693" s="23"/>
      <c r="CP693" s="23"/>
      <c r="CQ693" s="23"/>
      <c r="CR693" s="23"/>
      <c r="CS693" s="23"/>
      <c r="CT693" s="23"/>
      <c r="CU693" s="23"/>
      <c r="CV693" s="23"/>
      <c r="CW693" s="23"/>
      <c r="CX693" s="23"/>
      <c r="CY693" s="23"/>
      <c r="CZ693" s="23"/>
      <c r="DA693" s="23"/>
      <c r="DB693" s="23"/>
      <c r="DC693" s="23"/>
      <c r="DD693" s="23"/>
      <c r="DE693" s="23"/>
      <c r="DF693" s="23"/>
      <c r="DG693" s="23"/>
      <c r="DH693" s="23"/>
      <c r="DI693" s="23"/>
      <c r="DJ693" s="23"/>
      <c r="DK693" s="23"/>
      <c r="DL693" s="23"/>
      <c r="DM693" s="23"/>
      <c r="DN693" s="23"/>
      <c r="DO693" s="23"/>
      <c r="DP693" s="23"/>
      <c r="DQ693" s="23"/>
      <c r="DR693" s="23"/>
      <c r="DS693" s="23"/>
      <c r="DT693" s="23"/>
      <c r="DU693" s="23"/>
      <c r="DV693" s="23"/>
      <c r="DW693" s="23"/>
      <c r="DX693" s="23"/>
      <c r="DY693" s="23"/>
      <c r="DZ693" s="23"/>
      <c r="EA693" s="23"/>
      <c r="EB693" s="23"/>
      <c r="EC693" s="23"/>
      <c r="ED693" s="23"/>
      <c r="EE693" s="23"/>
      <c r="EF693" s="23"/>
      <c r="EG693" s="23"/>
      <c r="EH693" s="23"/>
      <c r="EI693" s="23"/>
      <c r="EJ693" s="23"/>
      <c r="EK693" s="23"/>
      <c r="EL693" s="23"/>
      <c r="EM693" s="23"/>
      <c r="EN693" s="23"/>
      <c r="EO693" s="23"/>
      <c r="EP693" s="23"/>
      <c r="EQ693" s="23"/>
      <c r="ER693" s="23"/>
      <c r="ES693" s="23"/>
      <c r="ET693" s="23"/>
      <c r="EU693" s="23"/>
      <c r="EV693" s="23"/>
      <c r="EW693" s="23"/>
      <c r="EX693" s="23"/>
      <c r="EY693" s="23"/>
      <c r="EZ693" s="23"/>
      <c r="FA693" s="23"/>
      <c r="FB693" s="23"/>
      <c r="FC693" s="23"/>
      <c r="FD693" s="23"/>
      <c r="FE693" s="23"/>
      <c r="FF693" s="23"/>
      <c r="FG693" s="23"/>
      <c r="FH693" s="23"/>
      <c r="FI693" s="23"/>
      <c r="FJ693" s="23"/>
      <c r="FK693" s="23"/>
      <c r="FL693" s="23"/>
      <c r="FM693" s="23"/>
      <c r="FN693" s="23"/>
      <c r="FO693" s="23"/>
      <c r="FP693" s="23"/>
      <c r="FQ693" s="23"/>
      <c r="FR693" s="23"/>
      <c r="FS693" s="23"/>
      <c r="FT693" s="23"/>
      <c r="FU693" s="23"/>
      <c r="FV693" s="23"/>
      <c r="FW693" s="23"/>
      <c r="FX693" s="23"/>
      <c r="FY693" s="23"/>
      <c r="FZ693" s="23"/>
      <c r="GA693" s="23"/>
      <c r="GB693" s="23"/>
      <c r="GC693" s="23"/>
      <c r="GD693" s="23"/>
      <c r="GE693" s="23"/>
      <c r="GF693" s="23"/>
      <c r="GG693" s="23"/>
      <c r="GH693" s="23"/>
      <c r="GI693" s="23"/>
      <c r="GJ693" s="23"/>
      <c r="GK693" s="23"/>
      <c r="GL693" s="23"/>
    </row>
    <row r="694" spans="1:194" ht="13">
      <c r="A694" s="23"/>
      <c r="B694" s="23"/>
      <c r="C694" s="23"/>
      <c r="D694" s="23"/>
      <c r="E694" s="23"/>
      <c r="F694" s="23"/>
      <c r="G694" s="23"/>
      <c r="H694" s="401"/>
      <c r="I694" s="401"/>
      <c r="J694" s="401"/>
      <c r="K694" s="401"/>
      <c r="L694" s="401"/>
      <c r="M694" s="438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  <c r="AL694" s="23"/>
      <c r="AM694" s="23"/>
      <c r="AN694" s="23"/>
      <c r="AO694" s="23"/>
      <c r="AP694" s="23"/>
      <c r="AQ694" s="23"/>
      <c r="AR694" s="23"/>
      <c r="AS694" s="23"/>
      <c r="AT694" s="23"/>
      <c r="AU694" s="23"/>
      <c r="AV694" s="23"/>
      <c r="AW694" s="23"/>
      <c r="AX694" s="23"/>
      <c r="AY694" s="23"/>
      <c r="AZ694" s="23"/>
      <c r="BA694" s="23"/>
      <c r="BB694" s="23"/>
      <c r="BC694" s="23"/>
      <c r="BD694" s="23"/>
      <c r="BE694" s="23"/>
      <c r="BF694" s="23"/>
      <c r="BG694" s="23"/>
      <c r="BH694" s="23"/>
      <c r="BI694" s="23"/>
      <c r="BJ694" s="23"/>
      <c r="BK694" s="23"/>
      <c r="BL694" s="23"/>
      <c r="BM694" s="23"/>
      <c r="BN694" s="23"/>
      <c r="BO694" s="23"/>
      <c r="BP694" s="23"/>
      <c r="BQ694" s="23"/>
      <c r="BR694" s="23"/>
      <c r="BS694" s="23"/>
      <c r="BT694" s="23"/>
      <c r="BU694" s="23"/>
      <c r="BV694" s="23"/>
      <c r="BW694" s="23"/>
      <c r="BX694" s="23"/>
      <c r="BY694" s="23"/>
      <c r="BZ694" s="23"/>
      <c r="CA694" s="23"/>
      <c r="CB694" s="23"/>
      <c r="CC694" s="23"/>
      <c r="CD694" s="23"/>
      <c r="CE694" s="23"/>
      <c r="CF694" s="23"/>
      <c r="CG694" s="23"/>
      <c r="CH694" s="23"/>
      <c r="CI694" s="23"/>
      <c r="CJ694" s="23"/>
      <c r="CK694" s="23"/>
      <c r="CL694" s="23"/>
      <c r="CM694" s="23"/>
      <c r="CN694" s="23"/>
      <c r="CO694" s="23"/>
      <c r="CP694" s="23"/>
      <c r="CQ694" s="23"/>
      <c r="CR694" s="23"/>
      <c r="CS694" s="23"/>
      <c r="CT694" s="23"/>
      <c r="CU694" s="23"/>
      <c r="CV694" s="23"/>
      <c r="CW694" s="23"/>
      <c r="CX694" s="23"/>
      <c r="CY694" s="23"/>
      <c r="CZ694" s="23"/>
      <c r="DA694" s="23"/>
      <c r="DB694" s="23"/>
      <c r="DC694" s="23"/>
      <c r="DD694" s="23"/>
      <c r="DE694" s="23"/>
      <c r="DF694" s="23"/>
      <c r="DG694" s="23"/>
      <c r="DH694" s="23"/>
      <c r="DI694" s="23"/>
      <c r="DJ694" s="23"/>
      <c r="DK694" s="23"/>
      <c r="DL694" s="23"/>
      <c r="DM694" s="23"/>
      <c r="DN694" s="23"/>
      <c r="DO694" s="23"/>
      <c r="DP694" s="23"/>
      <c r="DQ694" s="23"/>
      <c r="DR694" s="23"/>
      <c r="DS694" s="23"/>
      <c r="DT694" s="23"/>
      <c r="DU694" s="23"/>
      <c r="DV694" s="23"/>
      <c r="DW694" s="23"/>
      <c r="DX694" s="23"/>
      <c r="DY694" s="23"/>
      <c r="DZ694" s="23"/>
      <c r="EA694" s="23"/>
      <c r="EB694" s="23"/>
      <c r="EC694" s="23"/>
      <c r="ED694" s="23"/>
      <c r="EE694" s="23"/>
      <c r="EF694" s="23"/>
      <c r="EG694" s="23"/>
      <c r="EH694" s="23"/>
      <c r="EI694" s="23"/>
      <c r="EJ694" s="23"/>
      <c r="EK694" s="23"/>
      <c r="EL694" s="23"/>
      <c r="EM694" s="23"/>
      <c r="EN694" s="23"/>
      <c r="EO694" s="23"/>
      <c r="EP694" s="23"/>
      <c r="EQ694" s="23"/>
      <c r="ER694" s="23"/>
      <c r="ES694" s="23"/>
      <c r="ET694" s="23"/>
      <c r="EU694" s="23"/>
      <c r="EV694" s="23"/>
      <c r="EW694" s="23"/>
      <c r="EX694" s="23"/>
      <c r="EY694" s="23"/>
      <c r="EZ694" s="23"/>
      <c r="FA694" s="23"/>
      <c r="FB694" s="23"/>
      <c r="FC694" s="23"/>
      <c r="FD694" s="23"/>
      <c r="FE694" s="23"/>
      <c r="FF694" s="23"/>
      <c r="FG694" s="23"/>
      <c r="FH694" s="23"/>
      <c r="FI694" s="23"/>
      <c r="FJ694" s="23"/>
      <c r="FK694" s="23"/>
      <c r="FL694" s="23"/>
      <c r="FM694" s="23"/>
      <c r="FN694" s="23"/>
      <c r="FO694" s="23"/>
      <c r="FP694" s="23"/>
      <c r="FQ694" s="23"/>
      <c r="FR694" s="23"/>
      <c r="FS694" s="23"/>
      <c r="FT694" s="23"/>
      <c r="FU694" s="23"/>
      <c r="FV694" s="23"/>
      <c r="FW694" s="23"/>
      <c r="FX694" s="23"/>
      <c r="FY694" s="23"/>
      <c r="FZ694" s="23"/>
      <c r="GA694" s="23"/>
      <c r="GB694" s="23"/>
      <c r="GC694" s="23"/>
      <c r="GD694" s="23"/>
      <c r="GE694" s="23"/>
      <c r="GF694" s="23"/>
      <c r="GG694" s="23"/>
      <c r="GH694" s="23"/>
      <c r="GI694" s="23"/>
      <c r="GJ694" s="23"/>
      <c r="GK694" s="23"/>
      <c r="GL694" s="23"/>
    </row>
    <row r="695" spans="1:194" ht="13">
      <c r="A695" s="23"/>
      <c r="B695" s="23"/>
      <c r="C695" s="23"/>
      <c r="D695" s="23"/>
      <c r="E695" s="23"/>
      <c r="F695" s="23"/>
      <c r="G695" s="23"/>
      <c r="H695" s="401"/>
      <c r="I695" s="401"/>
      <c r="J695" s="401"/>
      <c r="K695" s="401"/>
      <c r="L695" s="401"/>
      <c r="M695" s="438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  <c r="AL695" s="23"/>
      <c r="AM695" s="23"/>
      <c r="AN695" s="23"/>
      <c r="AO695" s="23"/>
      <c r="AP695" s="23"/>
      <c r="AQ695" s="23"/>
      <c r="AR695" s="23"/>
      <c r="AS695" s="23"/>
      <c r="AT695" s="23"/>
      <c r="AU695" s="23"/>
      <c r="AV695" s="23"/>
      <c r="AW695" s="23"/>
      <c r="AX695" s="23"/>
      <c r="AY695" s="23"/>
      <c r="AZ695" s="23"/>
      <c r="BA695" s="23"/>
      <c r="BB695" s="23"/>
      <c r="BC695" s="23"/>
      <c r="BD695" s="23"/>
      <c r="BE695" s="23"/>
      <c r="BF695" s="23"/>
      <c r="BG695" s="23"/>
      <c r="BH695" s="23"/>
      <c r="BI695" s="23"/>
      <c r="BJ695" s="23"/>
      <c r="BK695" s="23"/>
      <c r="BL695" s="23"/>
      <c r="BM695" s="23"/>
      <c r="BN695" s="23"/>
      <c r="BO695" s="23"/>
      <c r="BP695" s="23"/>
      <c r="BQ695" s="23"/>
      <c r="BR695" s="23"/>
      <c r="BS695" s="23"/>
      <c r="BT695" s="23"/>
      <c r="BU695" s="23"/>
      <c r="BV695" s="23"/>
      <c r="BW695" s="23"/>
      <c r="BX695" s="23"/>
      <c r="BY695" s="23"/>
      <c r="BZ695" s="23"/>
      <c r="CA695" s="23"/>
      <c r="CB695" s="23"/>
      <c r="CC695" s="23"/>
      <c r="CD695" s="23"/>
      <c r="CE695" s="23"/>
      <c r="CF695" s="23"/>
      <c r="CG695" s="23"/>
      <c r="CH695" s="23"/>
      <c r="CI695" s="23"/>
      <c r="CJ695" s="23"/>
      <c r="CK695" s="23"/>
      <c r="CL695" s="23"/>
      <c r="CM695" s="23"/>
      <c r="CN695" s="23"/>
      <c r="CO695" s="23"/>
      <c r="CP695" s="23"/>
      <c r="CQ695" s="23"/>
      <c r="CR695" s="23"/>
      <c r="CS695" s="23"/>
      <c r="CT695" s="23"/>
      <c r="CU695" s="23"/>
      <c r="CV695" s="23"/>
      <c r="CW695" s="23"/>
      <c r="CX695" s="23"/>
      <c r="CY695" s="23"/>
      <c r="CZ695" s="23"/>
      <c r="DA695" s="23"/>
      <c r="DB695" s="23"/>
      <c r="DC695" s="23"/>
      <c r="DD695" s="23"/>
      <c r="DE695" s="23"/>
      <c r="DF695" s="23"/>
      <c r="DG695" s="23"/>
      <c r="DH695" s="23"/>
      <c r="DI695" s="23"/>
      <c r="DJ695" s="23"/>
      <c r="DK695" s="23"/>
      <c r="DL695" s="23"/>
      <c r="DM695" s="23"/>
      <c r="DN695" s="23"/>
      <c r="DO695" s="23"/>
      <c r="DP695" s="23"/>
      <c r="DQ695" s="23"/>
      <c r="DR695" s="23"/>
      <c r="DS695" s="23"/>
      <c r="DT695" s="23"/>
      <c r="DU695" s="23"/>
      <c r="DV695" s="23"/>
      <c r="DW695" s="23"/>
      <c r="DX695" s="23"/>
      <c r="DY695" s="23"/>
      <c r="DZ695" s="23"/>
      <c r="EA695" s="23"/>
      <c r="EB695" s="23"/>
      <c r="EC695" s="23"/>
      <c r="ED695" s="23"/>
      <c r="EE695" s="23"/>
      <c r="EF695" s="23"/>
      <c r="EG695" s="23"/>
      <c r="EH695" s="23"/>
      <c r="EI695" s="23"/>
      <c r="EJ695" s="23"/>
      <c r="EK695" s="23"/>
      <c r="EL695" s="23"/>
      <c r="EM695" s="23"/>
      <c r="EN695" s="23"/>
      <c r="EO695" s="23"/>
      <c r="EP695" s="23"/>
      <c r="EQ695" s="23"/>
      <c r="ER695" s="23"/>
      <c r="ES695" s="23"/>
      <c r="ET695" s="23"/>
      <c r="EU695" s="23"/>
      <c r="EV695" s="23"/>
      <c r="EW695" s="23"/>
      <c r="EX695" s="23"/>
      <c r="EY695" s="23"/>
      <c r="EZ695" s="23"/>
      <c r="FA695" s="23"/>
      <c r="FB695" s="23"/>
      <c r="FC695" s="23"/>
      <c r="FD695" s="23"/>
      <c r="FE695" s="23"/>
      <c r="FF695" s="23"/>
      <c r="FG695" s="23"/>
      <c r="FH695" s="23"/>
      <c r="FI695" s="23"/>
      <c r="FJ695" s="23"/>
      <c r="FK695" s="23"/>
      <c r="FL695" s="23"/>
      <c r="FM695" s="23"/>
      <c r="FN695" s="23"/>
      <c r="FO695" s="23"/>
      <c r="FP695" s="23"/>
      <c r="FQ695" s="23"/>
      <c r="FR695" s="23"/>
      <c r="FS695" s="23"/>
      <c r="FT695" s="23"/>
      <c r="FU695" s="23"/>
      <c r="FV695" s="23"/>
      <c r="FW695" s="23"/>
      <c r="FX695" s="23"/>
      <c r="FY695" s="23"/>
      <c r="FZ695" s="23"/>
      <c r="GA695" s="23"/>
      <c r="GB695" s="23"/>
      <c r="GC695" s="23"/>
      <c r="GD695" s="23"/>
      <c r="GE695" s="23"/>
      <c r="GF695" s="23"/>
      <c r="GG695" s="23"/>
      <c r="GH695" s="23"/>
      <c r="GI695" s="23"/>
      <c r="GJ695" s="23"/>
      <c r="GK695" s="23"/>
      <c r="GL695" s="23"/>
    </row>
    <row r="696" spans="1:194" ht="13">
      <c r="A696" s="23"/>
      <c r="B696" s="23"/>
      <c r="C696" s="23"/>
      <c r="D696" s="23"/>
      <c r="E696" s="23"/>
      <c r="F696" s="23"/>
      <c r="G696" s="23"/>
      <c r="H696" s="401"/>
      <c r="I696" s="401"/>
      <c r="J696" s="401"/>
      <c r="K696" s="401"/>
      <c r="L696" s="401"/>
      <c r="M696" s="438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  <c r="AL696" s="23"/>
      <c r="AM696" s="23"/>
      <c r="AN696" s="23"/>
      <c r="AO696" s="23"/>
      <c r="AP696" s="23"/>
      <c r="AQ696" s="23"/>
      <c r="AR696" s="23"/>
      <c r="AS696" s="23"/>
      <c r="AT696" s="23"/>
      <c r="AU696" s="23"/>
      <c r="AV696" s="23"/>
      <c r="AW696" s="23"/>
      <c r="AX696" s="23"/>
      <c r="AY696" s="23"/>
      <c r="AZ696" s="23"/>
      <c r="BA696" s="23"/>
      <c r="BB696" s="23"/>
      <c r="BC696" s="23"/>
      <c r="BD696" s="23"/>
      <c r="BE696" s="23"/>
      <c r="BF696" s="23"/>
      <c r="BG696" s="23"/>
      <c r="BH696" s="23"/>
      <c r="BI696" s="23"/>
      <c r="BJ696" s="23"/>
      <c r="BK696" s="23"/>
      <c r="BL696" s="23"/>
      <c r="BM696" s="23"/>
      <c r="BN696" s="23"/>
      <c r="BO696" s="23"/>
      <c r="BP696" s="23"/>
      <c r="BQ696" s="23"/>
      <c r="BR696" s="23"/>
      <c r="BS696" s="23"/>
      <c r="BT696" s="23"/>
      <c r="BU696" s="23"/>
      <c r="BV696" s="23"/>
      <c r="BW696" s="23"/>
      <c r="BX696" s="23"/>
      <c r="BY696" s="23"/>
      <c r="BZ696" s="23"/>
      <c r="CA696" s="23"/>
      <c r="CB696" s="23"/>
      <c r="CC696" s="23"/>
      <c r="CD696" s="23"/>
      <c r="CE696" s="23"/>
      <c r="CF696" s="23"/>
      <c r="CG696" s="23"/>
      <c r="CH696" s="23"/>
      <c r="CI696" s="23"/>
      <c r="CJ696" s="23"/>
      <c r="CK696" s="23"/>
      <c r="CL696" s="23"/>
      <c r="CM696" s="23"/>
      <c r="CN696" s="23"/>
      <c r="CO696" s="23"/>
      <c r="CP696" s="23"/>
      <c r="CQ696" s="23"/>
      <c r="CR696" s="23"/>
      <c r="CS696" s="23"/>
      <c r="CT696" s="23"/>
      <c r="CU696" s="23"/>
      <c r="CV696" s="23"/>
      <c r="CW696" s="23"/>
      <c r="CX696" s="23"/>
      <c r="CY696" s="23"/>
      <c r="CZ696" s="23"/>
      <c r="DA696" s="23"/>
      <c r="DB696" s="23"/>
      <c r="DC696" s="23"/>
      <c r="DD696" s="23"/>
      <c r="DE696" s="23"/>
      <c r="DF696" s="23"/>
      <c r="DG696" s="23"/>
      <c r="DH696" s="23"/>
      <c r="DI696" s="23"/>
      <c r="DJ696" s="23"/>
      <c r="DK696" s="23"/>
      <c r="DL696" s="23"/>
      <c r="DM696" s="23"/>
      <c r="DN696" s="23"/>
      <c r="DO696" s="23"/>
      <c r="DP696" s="23"/>
      <c r="DQ696" s="23"/>
      <c r="DR696" s="23"/>
      <c r="DS696" s="23"/>
      <c r="DT696" s="23"/>
      <c r="DU696" s="23"/>
      <c r="DV696" s="23"/>
      <c r="DW696" s="23"/>
      <c r="DX696" s="23"/>
      <c r="DY696" s="23"/>
      <c r="DZ696" s="23"/>
      <c r="EA696" s="23"/>
      <c r="EB696" s="23"/>
      <c r="EC696" s="23"/>
      <c r="ED696" s="23"/>
      <c r="EE696" s="23"/>
      <c r="EF696" s="23"/>
      <c r="EG696" s="23"/>
      <c r="EH696" s="23"/>
      <c r="EI696" s="23"/>
      <c r="EJ696" s="23"/>
      <c r="EK696" s="23"/>
      <c r="EL696" s="23"/>
      <c r="EM696" s="23"/>
      <c r="EN696" s="23"/>
      <c r="EO696" s="23"/>
      <c r="EP696" s="23"/>
      <c r="EQ696" s="23"/>
      <c r="ER696" s="23"/>
      <c r="ES696" s="23"/>
      <c r="ET696" s="23"/>
      <c r="EU696" s="23"/>
      <c r="EV696" s="23"/>
      <c r="EW696" s="23"/>
      <c r="EX696" s="23"/>
      <c r="EY696" s="23"/>
      <c r="EZ696" s="23"/>
      <c r="FA696" s="23"/>
      <c r="FB696" s="23"/>
      <c r="FC696" s="23"/>
      <c r="FD696" s="23"/>
      <c r="FE696" s="23"/>
      <c r="FF696" s="23"/>
      <c r="FG696" s="23"/>
      <c r="FH696" s="23"/>
      <c r="FI696" s="23"/>
      <c r="FJ696" s="23"/>
      <c r="FK696" s="23"/>
      <c r="FL696" s="23"/>
      <c r="FM696" s="23"/>
      <c r="FN696" s="23"/>
      <c r="FO696" s="23"/>
      <c r="FP696" s="23"/>
      <c r="FQ696" s="23"/>
      <c r="FR696" s="23"/>
      <c r="FS696" s="23"/>
      <c r="FT696" s="23"/>
      <c r="FU696" s="23"/>
      <c r="FV696" s="23"/>
      <c r="FW696" s="23"/>
      <c r="FX696" s="23"/>
      <c r="FY696" s="23"/>
      <c r="FZ696" s="23"/>
      <c r="GA696" s="23"/>
      <c r="GB696" s="23"/>
      <c r="GC696" s="23"/>
      <c r="GD696" s="23"/>
      <c r="GE696" s="23"/>
      <c r="GF696" s="23"/>
      <c r="GG696" s="23"/>
      <c r="GH696" s="23"/>
      <c r="GI696" s="23"/>
      <c r="GJ696" s="23"/>
      <c r="GK696" s="23"/>
      <c r="GL696" s="23"/>
    </row>
    <row r="697" spans="1:194" ht="13">
      <c r="A697" s="23"/>
      <c r="B697" s="23"/>
      <c r="C697" s="23"/>
      <c r="D697" s="23"/>
      <c r="E697" s="23"/>
      <c r="F697" s="23"/>
      <c r="G697" s="23"/>
      <c r="H697" s="401"/>
      <c r="I697" s="401"/>
      <c r="J697" s="401"/>
      <c r="K697" s="401"/>
      <c r="L697" s="401"/>
      <c r="M697" s="438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  <c r="AL697" s="23"/>
      <c r="AM697" s="23"/>
      <c r="AN697" s="23"/>
      <c r="AO697" s="23"/>
      <c r="AP697" s="23"/>
      <c r="AQ697" s="23"/>
      <c r="AR697" s="23"/>
      <c r="AS697" s="23"/>
      <c r="AT697" s="23"/>
      <c r="AU697" s="23"/>
      <c r="AV697" s="23"/>
      <c r="AW697" s="23"/>
      <c r="AX697" s="23"/>
      <c r="AY697" s="23"/>
      <c r="AZ697" s="23"/>
      <c r="BA697" s="23"/>
      <c r="BB697" s="23"/>
      <c r="BC697" s="23"/>
      <c r="BD697" s="23"/>
      <c r="BE697" s="23"/>
      <c r="BF697" s="23"/>
      <c r="BG697" s="23"/>
      <c r="BH697" s="23"/>
      <c r="BI697" s="23"/>
      <c r="BJ697" s="23"/>
      <c r="BK697" s="23"/>
      <c r="BL697" s="23"/>
      <c r="BM697" s="23"/>
      <c r="BN697" s="23"/>
      <c r="BO697" s="23"/>
      <c r="BP697" s="23"/>
      <c r="BQ697" s="23"/>
      <c r="BR697" s="23"/>
      <c r="BS697" s="23"/>
      <c r="BT697" s="23"/>
      <c r="BU697" s="23"/>
      <c r="BV697" s="23"/>
      <c r="BW697" s="23"/>
      <c r="BX697" s="23"/>
      <c r="BY697" s="23"/>
      <c r="BZ697" s="23"/>
      <c r="CA697" s="23"/>
      <c r="CB697" s="23"/>
      <c r="CC697" s="23"/>
      <c r="CD697" s="23"/>
      <c r="CE697" s="23"/>
      <c r="CF697" s="23"/>
      <c r="CG697" s="23"/>
      <c r="CH697" s="23"/>
      <c r="CI697" s="23"/>
      <c r="CJ697" s="23"/>
      <c r="CK697" s="23"/>
      <c r="CL697" s="23"/>
      <c r="CM697" s="23"/>
      <c r="CN697" s="23"/>
      <c r="CO697" s="23"/>
      <c r="CP697" s="23"/>
      <c r="CQ697" s="23"/>
      <c r="CR697" s="23"/>
      <c r="CS697" s="23"/>
      <c r="CT697" s="23"/>
      <c r="CU697" s="23"/>
      <c r="CV697" s="23"/>
      <c r="CW697" s="23"/>
      <c r="CX697" s="23"/>
      <c r="CY697" s="23"/>
      <c r="CZ697" s="23"/>
      <c r="DA697" s="23"/>
      <c r="DB697" s="23"/>
      <c r="DC697" s="23"/>
      <c r="DD697" s="23"/>
      <c r="DE697" s="23"/>
      <c r="DF697" s="23"/>
      <c r="DG697" s="23"/>
      <c r="DH697" s="23"/>
      <c r="DI697" s="23"/>
      <c r="DJ697" s="23"/>
      <c r="DK697" s="23"/>
      <c r="DL697" s="23"/>
      <c r="DM697" s="23"/>
      <c r="DN697" s="23"/>
      <c r="DO697" s="23"/>
      <c r="DP697" s="23"/>
      <c r="DQ697" s="23"/>
      <c r="DR697" s="23"/>
      <c r="DS697" s="23"/>
      <c r="DT697" s="23"/>
      <c r="DU697" s="23"/>
      <c r="DV697" s="23"/>
      <c r="DW697" s="23"/>
      <c r="DX697" s="23"/>
      <c r="DY697" s="23"/>
      <c r="DZ697" s="23"/>
      <c r="EA697" s="23"/>
      <c r="EB697" s="23"/>
      <c r="EC697" s="23"/>
      <c r="ED697" s="23"/>
      <c r="EE697" s="23"/>
      <c r="EF697" s="23"/>
      <c r="EG697" s="23"/>
      <c r="EH697" s="23"/>
      <c r="EI697" s="23"/>
      <c r="EJ697" s="23"/>
      <c r="EK697" s="23"/>
      <c r="EL697" s="23"/>
      <c r="EM697" s="23"/>
      <c r="EN697" s="23"/>
      <c r="EO697" s="23"/>
      <c r="EP697" s="23"/>
      <c r="EQ697" s="23"/>
      <c r="ER697" s="23"/>
      <c r="ES697" s="23"/>
      <c r="ET697" s="23"/>
      <c r="EU697" s="23"/>
      <c r="EV697" s="23"/>
      <c r="EW697" s="23"/>
      <c r="EX697" s="23"/>
      <c r="EY697" s="23"/>
      <c r="EZ697" s="23"/>
      <c r="FA697" s="23"/>
      <c r="FB697" s="23"/>
      <c r="FC697" s="23"/>
      <c r="FD697" s="23"/>
      <c r="FE697" s="23"/>
      <c r="FF697" s="23"/>
      <c r="FG697" s="23"/>
      <c r="FH697" s="23"/>
      <c r="FI697" s="23"/>
      <c r="FJ697" s="23"/>
      <c r="FK697" s="23"/>
      <c r="FL697" s="23"/>
      <c r="FM697" s="23"/>
      <c r="FN697" s="23"/>
      <c r="FO697" s="23"/>
      <c r="FP697" s="23"/>
      <c r="FQ697" s="23"/>
      <c r="FR697" s="23"/>
      <c r="FS697" s="23"/>
      <c r="FT697" s="23"/>
      <c r="FU697" s="23"/>
      <c r="FV697" s="23"/>
      <c r="FW697" s="23"/>
      <c r="FX697" s="23"/>
      <c r="FY697" s="23"/>
      <c r="FZ697" s="23"/>
      <c r="GA697" s="23"/>
      <c r="GB697" s="23"/>
      <c r="GC697" s="23"/>
      <c r="GD697" s="23"/>
      <c r="GE697" s="23"/>
      <c r="GF697" s="23"/>
      <c r="GG697" s="23"/>
      <c r="GH697" s="23"/>
      <c r="GI697" s="23"/>
      <c r="GJ697" s="23"/>
      <c r="GK697" s="23"/>
      <c r="GL697" s="23"/>
    </row>
    <row r="698" spans="1:194" ht="13">
      <c r="A698" s="23"/>
      <c r="B698" s="23"/>
      <c r="C698" s="23"/>
      <c r="D698" s="23"/>
      <c r="E698" s="23"/>
      <c r="F698" s="23"/>
      <c r="G698" s="23"/>
      <c r="H698" s="401"/>
      <c r="I698" s="401"/>
      <c r="J698" s="401"/>
      <c r="K698" s="401"/>
      <c r="L698" s="401"/>
      <c r="M698" s="438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  <c r="AL698" s="23"/>
      <c r="AM698" s="23"/>
      <c r="AN698" s="23"/>
      <c r="AO698" s="23"/>
      <c r="AP698" s="23"/>
      <c r="AQ698" s="23"/>
      <c r="AR698" s="23"/>
      <c r="AS698" s="23"/>
      <c r="AT698" s="23"/>
      <c r="AU698" s="23"/>
      <c r="AV698" s="23"/>
      <c r="AW698" s="23"/>
      <c r="AX698" s="23"/>
      <c r="AY698" s="23"/>
      <c r="AZ698" s="23"/>
      <c r="BA698" s="23"/>
      <c r="BB698" s="23"/>
      <c r="BC698" s="23"/>
      <c r="BD698" s="23"/>
      <c r="BE698" s="23"/>
      <c r="BF698" s="23"/>
      <c r="BG698" s="23"/>
      <c r="BH698" s="23"/>
      <c r="BI698" s="23"/>
      <c r="BJ698" s="23"/>
      <c r="BK698" s="23"/>
      <c r="BL698" s="23"/>
      <c r="BM698" s="23"/>
      <c r="BN698" s="23"/>
      <c r="BO698" s="23"/>
      <c r="BP698" s="23"/>
      <c r="BQ698" s="23"/>
      <c r="BR698" s="23"/>
      <c r="BS698" s="23"/>
      <c r="BT698" s="23"/>
      <c r="BU698" s="23"/>
      <c r="BV698" s="23"/>
      <c r="BW698" s="23"/>
      <c r="BX698" s="23"/>
      <c r="BY698" s="23"/>
      <c r="BZ698" s="23"/>
      <c r="CA698" s="23"/>
      <c r="CB698" s="23"/>
      <c r="CC698" s="23"/>
      <c r="CD698" s="23"/>
      <c r="CE698" s="23"/>
      <c r="CF698" s="23"/>
      <c r="CG698" s="23"/>
      <c r="CH698" s="23"/>
      <c r="CI698" s="23"/>
      <c r="CJ698" s="23"/>
      <c r="CK698" s="23"/>
      <c r="CL698" s="23"/>
      <c r="CM698" s="23"/>
      <c r="CN698" s="23"/>
      <c r="CO698" s="23"/>
      <c r="CP698" s="23"/>
      <c r="CQ698" s="23"/>
      <c r="CR698" s="23"/>
      <c r="CS698" s="23"/>
      <c r="CT698" s="23"/>
      <c r="CU698" s="23"/>
      <c r="CV698" s="23"/>
      <c r="CW698" s="23"/>
      <c r="CX698" s="23"/>
      <c r="CY698" s="23"/>
      <c r="CZ698" s="23"/>
      <c r="DA698" s="23"/>
      <c r="DB698" s="23"/>
      <c r="DC698" s="23"/>
      <c r="DD698" s="23"/>
      <c r="DE698" s="23"/>
      <c r="DF698" s="23"/>
      <c r="DG698" s="23"/>
      <c r="DH698" s="23"/>
      <c r="DI698" s="23"/>
      <c r="DJ698" s="23"/>
      <c r="DK698" s="23"/>
      <c r="DL698" s="23"/>
      <c r="DM698" s="23"/>
      <c r="DN698" s="23"/>
      <c r="DO698" s="23"/>
      <c r="DP698" s="23"/>
      <c r="DQ698" s="23"/>
      <c r="DR698" s="23"/>
      <c r="DS698" s="23"/>
      <c r="DT698" s="23"/>
      <c r="DU698" s="23"/>
      <c r="DV698" s="23"/>
      <c r="DW698" s="23"/>
      <c r="DX698" s="23"/>
      <c r="DY698" s="23"/>
      <c r="DZ698" s="23"/>
      <c r="EA698" s="23"/>
      <c r="EB698" s="23"/>
      <c r="EC698" s="23"/>
      <c r="ED698" s="23"/>
      <c r="EE698" s="23"/>
      <c r="EF698" s="23"/>
      <c r="EG698" s="23"/>
      <c r="EH698" s="23"/>
      <c r="EI698" s="23"/>
      <c r="EJ698" s="23"/>
      <c r="EK698" s="23"/>
      <c r="EL698" s="23"/>
      <c r="EM698" s="23"/>
      <c r="EN698" s="23"/>
      <c r="EO698" s="23"/>
      <c r="EP698" s="23"/>
      <c r="EQ698" s="23"/>
      <c r="ER698" s="23"/>
      <c r="ES698" s="23"/>
      <c r="ET698" s="23"/>
      <c r="EU698" s="23"/>
      <c r="EV698" s="23"/>
      <c r="EW698" s="23"/>
      <c r="EX698" s="23"/>
      <c r="EY698" s="23"/>
      <c r="EZ698" s="23"/>
      <c r="FA698" s="23"/>
      <c r="FB698" s="23"/>
      <c r="FC698" s="23"/>
      <c r="FD698" s="23"/>
      <c r="FE698" s="23"/>
      <c r="FF698" s="23"/>
      <c r="FG698" s="23"/>
      <c r="FH698" s="23"/>
      <c r="FI698" s="23"/>
      <c r="FJ698" s="23"/>
      <c r="FK698" s="23"/>
      <c r="FL698" s="23"/>
      <c r="FM698" s="23"/>
      <c r="FN698" s="23"/>
      <c r="FO698" s="23"/>
      <c r="FP698" s="23"/>
      <c r="FQ698" s="23"/>
      <c r="FR698" s="23"/>
      <c r="FS698" s="23"/>
      <c r="FT698" s="23"/>
      <c r="FU698" s="23"/>
      <c r="FV698" s="23"/>
      <c r="FW698" s="23"/>
      <c r="FX698" s="23"/>
      <c r="FY698" s="23"/>
      <c r="FZ698" s="23"/>
      <c r="GA698" s="23"/>
      <c r="GB698" s="23"/>
      <c r="GC698" s="23"/>
      <c r="GD698" s="23"/>
      <c r="GE698" s="23"/>
      <c r="GF698" s="23"/>
      <c r="GG698" s="23"/>
      <c r="GH698" s="23"/>
      <c r="GI698" s="23"/>
      <c r="GJ698" s="23"/>
      <c r="GK698" s="23"/>
      <c r="GL698" s="23"/>
    </row>
    <row r="699" spans="1:194" ht="13">
      <c r="A699" s="23"/>
      <c r="B699" s="23"/>
      <c r="C699" s="23"/>
      <c r="D699" s="23"/>
      <c r="E699" s="23"/>
      <c r="F699" s="23"/>
      <c r="G699" s="23"/>
      <c r="H699" s="401"/>
      <c r="I699" s="401"/>
      <c r="J699" s="401"/>
      <c r="K699" s="401"/>
      <c r="L699" s="401"/>
      <c r="M699" s="438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  <c r="AL699" s="23"/>
      <c r="AM699" s="23"/>
      <c r="AN699" s="23"/>
      <c r="AO699" s="23"/>
      <c r="AP699" s="23"/>
      <c r="AQ699" s="23"/>
      <c r="AR699" s="23"/>
      <c r="AS699" s="23"/>
      <c r="AT699" s="23"/>
      <c r="AU699" s="23"/>
      <c r="AV699" s="23"/>
      <c r="AW699" s="23"/>
      <c r="AX699" s="23"/>
      <c r="AY699" s="23"/>
      <c r="AZ699" s="23"/>
      <c r="BA699" s="23"/>
      <c r="BB699" s="23"/>
      <c r="BC699" s="23"/>
      <c r="BD699" s="23"/>
      <c r="BE699" s="23"/>
      <c r="BF699" s="23"/>
      <c r="BG699" s="23"/>
      <c r="BH699" s="23"/>
      <c r="BI699" s="23"/>
      <c r="BJ699" s="23"/>
      <c r="BK699" s="23"/>
      <c r="BL699" s="23"/>
      <c r="BM699" s="23"/>
      <c r="BN699" s="23"/>
      <c r="BO699" s="23"/>
      <c r="BP699" s="23"/>
      <c r="BQ699" s="23"/>
      <c r="BR699" s="23"/>
      <c r="BS699" s="23"/>
      <c r="BT699" s="23"/>
      <c r="BU699" s="23"/>
      <c r="BV699" s="23"/>
      <c r="BW699" s="23"/>
      <c r="BX699" s="23"/>
      <c r="BY699" s="23"/>
      <c r="BZ699" s="23"/>
      <c r="CA699" s="23"/>
      <c r="CB699" s="23"/>
      <c r="CC699" s="23"/>
      <c r="CD699" s="23"/>
      <c r="CE699" s="23"/>
      <c r="CF699" s="23"/>
      <c r="CG699" s="23"/>
      <c r="CH699" s="23"/>
      <c r="CI699" s="23"/>
      <c r="CJ699" s="23"/>
      <c r="CK699" s="23"/>
      <c r="CL699" s="23"/>
      <c r="CM699" s="23"/>
      <c r="CN699" s="23"/>
      <c r="CO699" s="23"/>
      <c r="CP699" s="23"/>
      <c r="CQ699" s="23"/>
      <c r="CR699" s="23"/>
      <c r="CS699" s="23"/>
      <c r="CT699" s="23"/>
      <c r="CU699" s="23"/>
      <c r="CV699" s="23"/>
      <c r="CW699" s="23"/>
      <c r="CX699" s="23"/>
      <c r="CY699" s="23"/>
      <c r="CZ699" s="23"/>
      <c r="DA699" s="23"/>
      <c r="DB699" s="23"/>
      <c r="DC699" s="23"/>
      <c r="DD699" s="23"/>
      <c r="DE699" s="23"/>
      <c r="DF699" s="23"/>
      <c r="DG699" s="23"/>
      <c r="DH699" s="23"/>
      <c r="DI699" s="23"/>
      <c r="DJ699" s="23"/>
      <c r="DK699" s="23"/>
      <c r="DL699" s="23"/>
      <c r="DM699" s="23"/>
      <c r="DN699" s="23"/>
      <c r="DO699" s="23"/>
      <c r="DP699" s="23"/>
      <c r="DQ699" s="23"/>
      <c r="DR699" s="23"/>
      <c r="DS699" s="23"/>
      <c r="DT699" s="23"/>
      <c r="DU699" s="23"/>
      <c r="DV699" s="23"/>
      <c r="DW699" s="23"/>
      <c r="DX699" s="23"/>
      <c r="DY699" s="23"/>
      <c r="DZ699" s="23"/>
      <c r="EA699" s="23"/>
      <c r="EB699" s="23"/>
      <c r="EC699" s="23"/>
      <c r="ED699" s="23"/>
      <c r="EE699" s="23"/>
      <c r="EF699" s="23"/>
      <c r="EG699" s="23"/>
      <c r="EH699" s="23"/>
      <c r="EI699" s="23"/>
      <c r="EJ699" s="23"/>
      <c r="EK699" s="23"/>
      <c r="EL699" s="23"/>
      <c r="EM699" s="23"/>
      <c r="EN699" s="23"/>
      <c r="EO699" s="23"/>
      <c r="EP699" s="23"/>
      <c r="EQ699" s="23"/>
      <c r="ER699" s="23"/>
      <c r="ES699" s="23"/>
      <c r="ET699" s="23"/>
      <c r="EU699" s="23"/>
      <c r="EV699" s="23"/>
      <c r="EW699" s="23"/>
      <c r="EX699" s="23"/>
      <c r="EY699" s="23"/>
      <c r="EZ699" s="23"/>
      <c r="FA699" s="23"/>
      <c r="FB699" s="23"/>
      <c r="FC699" s="23"/>
      <c r="FD699" s="23"/>
      <c r="FE699" s="23"/>
      <c r="FF699" s="23"/>
      <c r="FG699" s="23"/>
      <c r="FH699" s="23"/>
      <c r="FI699" s="23"/>
      <c r="FJ699" s="23"/>
      <c r="FK699" s="23"/>
      <c r="FL699" s="23"/>
      <c r="FM699" s="23"/>
      <c r="FN699" s="23"/>
      <c r="FO699" s="23"/>
      <c r="FP699" s="23"/>
      <c r="FQ699" s="23"/>
      <c r="FR699" s="23"/>
      <c r="FS699" s="23"/>
      <c r="FT699" s="23"/>
      <c r="FU699" s="23"/>
      <c r="FV699" s="23"/>
      <c r="FW699" s="23"/>
      <c r="FX699" s="23"/>
      <c r="FY699" s="23"/>
      <c r="FZ699" s="23"/>
      <c r="GA699" s="23"/>
      <c r="GB699" s="23"/>
      <c r="GC699" s="23"/>
      <c r="GD699" s="23"/>
      <c r="GE699" s="23"/>
      <c r="GF699" s="23"/>
      <c r="GG699" s="23"/>
      <c r="GH699" s="23"/>
      <c r="GI699" s="23"/>
      <c r="GJ699" s="23"/>
      <c r="GK699" s="23"/>
      <c r="GL699" s="23"/>
    </row>
    <row r="700" spans="1:194" ht="13">
      <c r="A700" s="23"/>
      <c r="B700" s="23"/>
      <c r="C700" s="23"/>
      <c r="D700" s="23"/>
      <c r="E700" s="23"/>
      <c r="F700" s="23"/>
      <c r="G700" s="23"/>
      <c r="H700" s="401"/>
      <c r="I700" s="401"/>
      <c r="J700" s="401"/>
      <c r="K700" s="401"/>
      <c r="L700" s="401"/>
      <c r="M700" s="438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  <c r="AL700" s="23"/>
      <c r="AM700" s="23"/>
      <c r="AN700" s="23"/>
      <c r="AO700" s="23"/>
      <c r="AP700" s="23"/>
      <c r="AQ700" s="23"/>
      <c r="AR700" s="23"/>
      <c r="AS700" s="23"/>
      <c r="AT700" s="23"/>
      <c r="AU700" s="23"/>
      <c r="AV700" s="23"/>
      <c r="AW700" s="23"/>
      <c r="AX700" s="23"/>
      <c r="AY700" s="23"/>
      <c r="AZ700" s="23"/>
      <c r="BA700" s="23"/>
      <c r="BB700" s="23"/>
      <c r="BC700" s="23"/>
      <c r="BD700" s="23"/>
      <c r="BE700" s="23"/>
      <c r="BF700" s="23"/>
      <c r="BG700" s="23"/>
      <c r="BH700" s="23"/>
      <c r="BI700" s="23"/>
      <c r="BJ700" s="23"/>
      <c r="BK700" s="23"/>
      <c r="BL700" s="23"/>
      <c r="BM700" s="23"/>
      <c r="BN700" s="23"/>
      <c r="BO700" s="23"/>
      <c r="BP700" s="23"/>
      <c r="BQ700" s="23"/>
      <c r="BR700" s="23"/>
      <c r="BS700" s="23"/>
      <c r="BT700" s="23"/>
      <c r="BU700" s="23"/>
      <c r="BV700" s="23"/>
      <c r="BW700" s="23"/>
      <c r="BX700" s="23"/>
      <c r="BY700" s="23"/>
      <c r="BZ700" s="23"/>
      <c r="CA700" s="23"/>
      <c r="CB700" s="23"/>
      <c r="CC700" s="23"/>
      <c r="CD700" s="23"/>
      <c r="CE700" s="23"/>
      <c r="CF700" s="23"/>
      <c r="CG700" s="23"/>
      <c r="CH700" s="23"/>
      <c r="CI700" s="23"/>
      <c r="CJ700" s="23"/>
      <c r="CK700" s="23"/>
      <c r="CL700" s="23"/>
      <c r="CM700" s="23"/>
      <c r="CN700" s="23"/>
      <c r="CO700" s="23"/>
      <c r="CP700" s="23"/>
      <c r="CQ700" s="23"/>
      <c r="CR700" s="23"/>
      <c r="CS700" s="23"/>
      <c r="CT700" s="23"/>
      <c r="CU700" s="23"/>
      <c r="CV700" s="23"/>
      <c r="CW700" s="23"/>
      <c r="CX700" s="23"/>
      <c r="CY700" s="23"/>
      <c r="CZ700" s="23"/>
      <c r="DA700" s="23"/>
      <c r="DB700" s="23"/>
      <c r="DC700" s="23"/>
      <c r="DD700" s="23"/>
      <c r="DE700" s="23"/>
      <c r="DF700" s="23"/>
      <c r="DG700" s="23"/>
      <c r="DH700" s="23"/>
      <c r="DI700" s="23"/>
      <c r="DJ700" s="23"/>
      <c r="DK700" s="23"/>
      <c r="DL700" s="23"/>
      <c r="DM700" s="23"/>
      <c r="DN700" s="23"/>
      <c r="DO700" s="23"/>
      <c r="DP700" s="23"/>
      <c r="DQ700" s="23"/>
      <c r="DR700" s="23"/>
      <c r="DS700" s="23"/>
      <c r="DT700" s="23"/>
      <c r="DU700" s="23"/>
      <c r="DV700" s="23"/>
      <c r="DW700" s="23"/>
      <c r="DX700" s="23"/>
      <c r="DY700" s="23"/>
      <c r="DZ700" s="23"/>
      <c r="EA700" s="23"/>
      <c r="EB700" s="23"/>
      <c r="EC700" s="23"/>
      <c r="ED700" s="23"/>
      <c r="EE700" s="23"/>
      <c r="EF700" s="23"/>
      <c r="EG700" s="23"/>
      <c r="EH700" s="23"/>
      <c r="EI700" s="23"/>
      <c r="EJ700" s="23"/>
      <c r="EK700" s="23"/>
      <c r="EL700" s="23"/>
      <c r="EM700" s="23"/>
      <c r="EN700" s="23"/>
      <c r="EO700" s="23"/>
      <c r="EP700" s="23"/>
      <c r="EQ700" s="23"/>
      <c r="ER700" s="23"/>
      <c r="ES700" s="23"/>
      <c r="ET700" s="23"/>
      <c r="EU700" s="23"/>
      <c r="EV700" s="23"/>
      <c r="EW700" s="23"/>
      <c r="EX700" s="23"/>
      <c r="EY700" s="23"/>
      <c r="EZ700" s="23"/>
      <c r="FA700" s="23"/>
      <c r="FB700" s="23"/>
      <c r="FC700" s="23"/>
      <c r="FD700" s="23"/>
      <c r="FE700" s="23"/>
      <c r="FF700" s="23"/>
      <c r="FG700" s="23"/>
      <c r="FH700" s="23"/>
      <c r="FI700" s="23"/>
      <c r="FJ700" s="23"/>
      <c r="FK700" s="23"/>
      <c r="FL700" s="23"/>
      <c r="FM700" s="23"/>
      <c r="FN700" s="23"/>
      <c r="FO700" s="23"/>
      <c r="FP700" s="23"/>
      <c r="FQ700" s="23"/>
      <c r="FR700" s="23"/>
      <c r="FS700" s="23"/>
      <c r="FT700" s="23"/>
      <c r="FU700" s="23"/>
      <c r="FV700" s="23"/>
      <c r="FW700" s="23"/>
      <c r="FX700" s="23"/>
      <c r="FY700" s="23"/>
      <c r="FZ700" s="23"/>
      <c r="GA700" s="23"/>
      <c r="GB700" s="23"/>
      <c r="GC700" s="23"/>
      <c r="GD700" s="23"/>
      <c r="GE700" s="23"/>
      <c r="GF700" s="23"/>
      <c r="GG700" s="23"/>
      <c r="GH700" s="23"/>
      <c r="GI700" s="23"/>
      <c r="GJ700" s="23"/>
      <c r="GK700" s="23"/>
      <c r="GL700" s="23"/>
    </row>
    <row r="701" spans="1:194" ht="13">
      <c r="A701" s="23"/>
      <c r="B701" s="23"/>
      <c r="C701" s="23"/>
      <c r="D701" s="23"/>
      <c r="E701" s="23"/>
      <c r="F701" s="23"/>
      <c r="G701" s="23"/>
      <c r="H701" s="401"/>
      <c r="I701" s="401"/>
      <c r="J701" s="401"/>
      <c r="K701" s="401"/>
      <c r="L701" s="401"/>
      <c r="M701" s="438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  <c r="AL701" s="23"/>
      <c r="AM701" s="23"/>
      <c r="AN701" s="23"/>
      <c r="AO701" s="23"/>
      <c r="AP701" s="23"/>
      <c r="AQ701" s="23"/>
      <c r="AR701" s="23"/>
      <c r="AS701" s="23"/>
      <c r="AT701" s="23"/>
      <c r="AU701" s="23"/>
      <c r="AV701" s="23"/>
      <c r="AW701" s="23"/>
      <c r="AX701" s="23"/>
      <c r="AY701" s="23"/>
      <c r="AZ701" s="23"/>
      <c r="BA701" s="23"/>
      <c r="BB701" s="23"/>
      <c r="BC701" s="23"/>
      <c r="BD701" s="23"/>
      <c r="BE701" s="23"/>
      <c r="BF701" s="23"/>
      <c r="BG701" s="23"/>
      <c r="BH701" s="23"/>
      <c r="BI701" s="23"/>
      <c r="BJ701" s="23"/>
      <c r="BK701" s="23"/>
      <c r="BL701" s="23"/>
      <c r="BM701" s="23"/>
      <c r="BN701" s="23"/>
      <c r="BO701" s="23"/>
      <c r="BP701" s="23"/>
      <c r="BQ701" s="23"/>
      <c r="BR701" s="23"/>
      <c r="BS701" s="23"/>
      <c r="BT701" s="23"/>
      <c r="BU701" s="23"/>
      <c r="BV701" s="23"/>
      <c r="BW701" s="23"/>
      <c r="BX701" s="23"/>
      <c r="BY701" s="23"/>
      <c r="BZ701" s="23"/>
      <c r="CA701" s="23"/>
      <c r="CB701" s="23"/>
      <c r="CC701" s="23"/>
      <c r="CD701" s="23"/>
      <c r="CE701" s="23"/>
      <c r="CF701" s="23"/>
      <c r="CG701" s="23"/>
      <c r="CH701" s="23"/>
      <c r="CI701" s="23"/>
      <c r="CJ701" s="23"/>
      <c r="CK701" s="23"/>
      <c r="CL701" s="23"/>
      <c r="CM701" s="23"/>
      <c r="CN701" s="23"/>
      <c r="CO701" s="23"/>
      <c r="CP701" s="23"/>
      <c r="CQ701" s="23"/>
      <c r="CR701" s="23"/>
      <c r="CS701" s="23"/>
      <c r="CT701" s="23"/>
      <c r="CU701" s="23"/>
      <c r="CV701" s="23"/>
      <c r="CW701" s="23"/>
      <c r="CX701" s="23"/>
      <c r="CY701" s="23"/>
      <c r="CZ701" s="23"/>
      <c r="DA701" s="23"/>
      <c r="DB701" s="23"/>
      <c r="DC701" s="23"/>
      <c r="DD701" s="23"/>
      <c r="DE701" s="23"/>
      <c r="DF701" s="23"/>
      <c r="DG701" s="23"/>
      <c r="DH701" s="23"/>
      <c r="DI701" s="23"/>
      <c r="DJ701" s="23"/>
      <c r="DK701" s="23"/>
      <c r="DL701" s="23"/>
      <c r="DM701" s="23"/>
      <c r="DN701" s="23"/>
      <c r="DO701" s="23"/>
      <c r="DP701" s="23"/>
      <c r="DQ701" s="23"/>
      <c r="DR701" s="23"/>
      <c r="DS701" s="23"/>
      <c r="DT701" s="23"/>
      <c r="DU701" s="23"/>
      <c r="DV701" s="23"/>
      <c r="DW701" s="23"/>
      <c r="DX701" s="23"/>
      <c r="DY701" s="23"/>
      <c r="DZ701" s="23"/>
      <c r="EA701" s="23"/>
      <c r="EB701" s="23"/>
      <c r="EC701" s="23"/>
      <c r="ED701" s="23"/>
      <c r="EE701" s="23"/>
      <c r="EF701" s="23"/>
      <c r="EG701" s="23"/>
      <c r="EH701" s="23"/>
      <c r="EI701" s="23"/>
      <c r="EJ701" s="23"/>
      <c r="EK701" s="23"/>
      <c r="EL701" s="23"/>
      <c r="EM701" s="23"/>
      <c r="EN701" s="23"/>
      <c r="EO701" s="23"/>
      <c r="EP701" s="23"/>
      <c r="EQ701" s="23"/>
      <c r="ER701" s="23"/>
      <c r="ES701" s="23"/>
      <c r="ET701" s="23"/>
      <c r="EU701" s="23"/>
      <c r="EV701" s="23"/>
      <c r="EW701" s="23"/>
      <c r="EX701" s="23"/>
      <c r="EY701" s="23"/>
      <c r="EZ701" s="23"/>
      <c r="FA701" s="23"/>
      <c r="FB701" s="23"/>
      <c r="FC701" s="23"/>
      <c r="FD701" s="23"/>
      <c r="FE701" s="23"/>
      <c r="FF701" s="23"/>
      <c r="FG701" s="23"/>
      <c r="FH701" s="23"/>
      <c r="FI701" s="23"/>
      <c r="FJ701" s="23"/>
      <c r="FK701" s="23"/>
      <c r="FL701" s="23"/>
      <c r="FM701" s="23"/>
      <c r="FN701" s="23"/>
      <c r="FO701" s="23"/>
      <c r="FP701" s="23"/>
      <c r="FQ701" s="23"/>
      <c r="FR701" s="23"/>
      <c r="FS701" s="23"/>
      <c r="FT701" s="23"/>
      <c r="FU701" s="23"/>
      <c r="FV701" s="23"/>
      <c r="FW701" s="23"/>
      <c r="FX701" s="23"/>
      <c r="FY701" s="23"/>
      <c r="FZ701" s="23"/>
      <c r="GA701" s="23"/>
      <c r="GB701" s="23"/>
      <c r="GC701" s="23"/>
      <c r="GD701" s="23"/>
      <c r="GE701" s="23"/>
      <c r="GF701" s="23"/>
      <c r="GG701" s="23"/>
      <c r="GH701" s="23"/>
      <c r="GI701" s="23"/>
      <c r="GJ701" s="23"/>
      <c r="GK701" s="23"/>
      <c r="GL701" s="23"/>
    </row>
    <row r="702" spans="1:194" ht="13">
      <c r="A702" s="23"/>
      <c r="B702" s="23"/>
      <c r="C702" s="23"/>
      <c r="D702" s="23"/>
      <c r="E702" s="23"/>
      <c r="F702" s="23"/>
      <c r="G702" s="23"/>
      <c r="H702" s="401"/>
      <c r="I702" s="401"/>
      <c r="J702" s="401"/>
      <c r="K702" s="401"/>
      <c r="L702" s="401"/>
      <c r="M702" s="438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  <c r="AL702" s="23"/>
      <c r="AM702" s="23"/>
      <c r="AN702" s="23"/>
      <c r="AO702" s="23"/>
      <c r="AP702" s="23"/>
      <c r="AQ702" s="23"/>
      <c r="AR702" s="23"/>
      <c r="AS702" s="23"/>
      <c r="AT702" s="23"/>
      <c r="AU702" s="23"/>
      <c r="AV702" s="23"/>
      <c r="AW702" s="23"/>
      <c r="AX702" s="23"/>
      <c r="AY702" s="23"/>
      <c r="AZ702" s="23"/>
      <c r="BA702" s="23"/>
      <c r="BB702" s="23"/>
      <c r="BC702" s="23"/>
      <c r="BD702" s="23"/>
      <c r="BE702" s="23"/>
      <c r="BF702" s="23"/>
      <c r="BG702" s="23"/>
      <c r="BH702" s="23"/>
      <c r="BI702" s="23"/>
      <c r="BJ702" s="23"/>
      <c r="BK702" s="23"/>
      <c r="BL702" s="23"/>
      <c r="BM702" s="23"/>
      <c r="BN702" s="23"/>
      <c r="BO702" s="23"/>
      <c r="BP702" s="23"/>
      <c r="BQ702" s="23"/>
      <c r="BR702" s="23"/>
      <c r="BS702" s="23"/>
      <c r="BT702" s="23"/>
      <c r="BU702" s="23"/>
      <c r="BV702" s="23"/>
      <c r="BW702" s="23"/>
      <c r="BX702" s="23"/>
      <c r="BY702" s="23"/>
      <c r="BZ702" s="23"/>
      <c r="CA702" s="23"/>
      <c r="CB702" s="23"/>
      <c r="CC702" s="23"/>
      <c r="CD702" s="23"/>
      <c r="CE702" s="23"/>
      <c r="CF702" s="23"/>
      <c r="CG702" s="23"/>
      <c r="CH702" s="23"/>
      <c r="CI702" s="23"/>
      <c r="CJ702" s="23"/>
      <c r="CK702" s="23"/>
      <c r="CL702" s="23"/>
      <c r="CM702" s="23"/>
      <c r="CN702" s="23"/>
      <c r="CO702" s="23"/>
      <c r="CP702" s="23"/>
      <c r="CQ702" s="23"/>
      <c r="CR702" s="23"/>
      <c r="CS702" s="23"/>
      <c r="CT702" s="23"/>
      <c r="CU702" s="23"/>
      <c r="CV702" s="23"/>
      <c r="CW702" s="23"/>
      <c r="CX702" s="23"/>
      <c r="CY702" s="23"/>
      <c r="CZ702" s="23"/>
      <c r="DA702" s="23"/>
      <c r="DB702" s="23"/>
      <c r="DC702" s="23"/>
      <c r="DD702" s="23"/>
      <c r="DE702" s="23"/>
      <c r="DF702" s="23"/>
      <c r="DG702" s="23"/>
      <c r="DH702" s="23"/>
      <c r="DI702" s="23"/>
      <c r="DJ702" s="23"/>
      <c r="DK702" s="23"/>
      <c r="DL702" s="23"/>
      <c r="DM702" s="23"/>
      <c r="DN702" s="23"/>
      <c r="DO702" s="23"/>
      <c r="DP702" s="23"/>
      <c r="DQ702" s="23"/>
      <c r="DR702" s="23"/>
      <c r="DS702" s="23"/>
      <c r="DT702" s="23"/>
      <c r="DU702" s="23"/>
      <c r="DV702" s="23"/>
      <c r="DW702" s="23"/>
      <c r="DX702" s="23"/>
      <c r="DY702" s="23"/>
      <c r="DZ702" s="23"/>
      <c r="EA702" s="23"/>
      <c r="EB702" s="23"/>
      <c r="EC702" s="23"/>
      <c r="ED702" s="23"/>
      <c r="EE702" s="23"/>
      <c r="EF702" s="23"/>
      <c r="EG702" s="23"/>
      <c r="EH702" s="23"/>
      <c r="EI702" s="23"/>
      <c r="EJ702" s="23"/>
      <c r="EK702" s="23"/>
      <c r="EL702" s="23"/>
      <c r="EM702" s="23"/>
      <c r="EN702" s="23"/>
      <c r="EO702" s="23"/>
      <c r="EP702" s="23"/>
      <c r="EQ702" s="23"/>
      <c r="ER702" s="23"/>
      <c r="ES702" s="23"/>
      <c r="ET702" s="23"/>
      <c r="EU702" s="23"/>
      <c r="EV702" s="23"/>
      <c r="EW702" s="23"/>
      <c r="EX702" s="23"/>
      <c r="EY702" s="23"/>
      <c r="EZ702" s="23"/>
      <c r="FA702" s="23"/>
      <c r="FB702" s="23"/>
      <c r="FC702" s="23"/>
      <c r="FD702" s="23"/>
      <c r="FE702" s="23"/>
      <c r="FF702" s="23"/>
      <c r="FG702" s="23"/>
      <c r="FH702" s="23"/>
      <c r="FI702" s="23"/>
      <c r="FJ702" s="23"/>
      <c r="FK702" s="23"/>
      <c r="FL702" s="23"/>
      <c r="FM702" s="23"/>
      <c r="FN702" s="23"/>
      <c r="FO702" s="23"/>
      <c r="FP702" s="23"/>
      <c r="FQ702" s="23"/>
      <c r="FR702" s="23"/>
      <c r="FS702" s="23"/>
      <c r="FT702" s="23"/>
      <c r="FU702" s="23"/>
      <c r="FV702" s="23"/>
      <c r="FW702" s="23"/>
      <c r="FX702" s="23"/>
      <c r="FY702" s="23"/>
      <c r="FZ702" s="23"/>
      <c r="GA702" s="23"/>
      <c r="GB702" s="23"/>
      <c r="GC702" s="23"/>
      <c r="GD702" s="23"/>
      <c r="GE702" s="23"/>
      <c r="GF702" s="23"/>
      <c r="GG702" s="23"/>
      <c r="GH702" s="23"/>
      <c r="GI702" s="23"/>
      <c r="GJ702" s="23"/>
      <c r="GK702" s="23"/>
      <c r="GL702" s="23"/>
    </row>
    <row r="703" spans="1:194" ht="13">
      <c r="A703" s="23"/>
      <c r="B703" s="23"/>
      <c r="C703" s="23"/>
      <c r="D703" s="23"/>
      <c r="E703" s="23"/>
      <c r="F703" s="23"/>
      <c r="G703" s="23"/>
      <c r="H703" s="401"/>
      <c r="I703" s="401"/>
      <c r="J703" s="401"/>
      <c r="K703" s="401"/>
      <c r="L703" s="401"/>
      <c r="M703" s="438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  <c r="AL703" s="23"/>
      <c r="AM703" s="23"/>
      <c r="AN703" s="23"/>
      <c r="AO703" s="23"/>
      <c r="AP703" s="23"/>
      <c r="AQ703" s="23"/>
      <c r="AR703" s="23"/>
      <c r="AS703" s="23"/>
      <c r="AT703" s="23"/>
      <c r="AU703" s="23"/>
      <c r="AV703" s="23"/>
      <c r="AW703" s="23"/>
      <c r="AX703" s="23"/>
      <c r="AY703" s="23"/>
      <c r="AZ703" s="23"/>
      <c r="BA703" s="23"/>
      <c r="BB703" s="23"/>
      <c r="BC703" s="23"/>
      <c r="BD703" s="23"/>
      <c r="BE703" s="23"/>
      <c r="BF703" s="23"/>
      <c r="BG703" s="23"/>
      <c r="BH703" s="23"/>
      <c r="BI703" s="23"/>
      <c r="BJ703" s="23"/>
      <c r="BK703" s="23"/>
      <c r="BL703" s="23"/>
      <c r="BM703" s="23"/>
      <c r="BN703" s="23"/>
      <c r="BO703" s="23"/>
      <c r="BP703" s="23"/>
      <c r="BQ703" s="23"/>
      <c r="BR703" s="23"/>
      <c r="BS703" s="23"/>
      <c r="BT703" s="23"/>
      <c r="BU703" s="23"/>
      <c r="BV703" s="23"/>
      <c r="BW703" s="23"/>
      <c r="BX703" s="23"/>
      <c r="BY703" s="23"/>
      <c r="BZ703" s="23"/>
      <c r="CA703" s="23"/>
      <c r="CB703" s="23"/>
      <c r="CC703" s="23"/>
      <c r="CD703" s="23"/>
      <c r="CE703" s="23"/>
      <c r="CF703" s="23"/>
      <c r="CG703" s="23"/>
      <c r="CH703" s="23"/>
      <c r="CI703" s="23"/>
      <c r="CJ703" s="23"/>
      <c r="CK703" s="23"/>
      <c r="CL703" s="23"/>
      <c r="CM703" s="23"/>
      <c r="CN703" s="23"/>
      <c r="CO703" s="23"/>
      <c r="CP703" s="23"/>
      <c r="CQ703" s="23"/>
      <c r="CR703" s="23"/>
      <c r="CS703" s="23"/>
      <c r="CT703" s="23"/>
      <c r="CU703" s="23"/>
      <c r="CV703" s="23"/>
      <c r="CW703" s="23"/>
      <c r="CX703" s="23"/>
      <c r="CY703" s="23"/>
      <c r="CZ703" s="23"/>
      <c r="DA703" s="23"/>
      <c r="DB703" s="23"/>
      <c r="DC703" s="23"/>
      <c r="DD703" s="23"/>
      <c r="DE703" s="23"/>
      <c r="DF703" s="23"/>
      <c r="DG703" s="23"/>
      <c r="DH703" s="23"/>
      <c r="DI703" s="23"/>
      <c r="DJ703" s="23"/>
      <c r="DK703" s="23"/>
      <c r="DL703" s="23"/>
      <c r="DM703" s="23"/>
      <c r="DN703" s="23"/>
      <c r="DO703" s="23"/>
      <c r="DP703" s="23"/>
      <c r="DQ703" s="23"/>
      <c r="DR703" s="23"/>
      <c r="DS703" s="23"/>
      <c r="DT703" s="23"/>
      <c r="DU703" s="23"/>
      <c r="DV703" s="23"/>
      <c r="DW703" s="23"/>
      <c r="DX703" s="23"/>
      <c r="DY703" s="23"/>
      <c r="DZ703" s="23"/>
      <c r="EA703" s="23"/>
      <c r="EB703" s="23"/>
      <c r="EC703" s="23"/>
      <c r="ED703" s="23"/>
      <c r="EE703" s="23"/>
      <c r="EF703" s="23"/>
      <c r="EG703" s="23"/>
      <c r="EH703" s="23"/>
      <c r="EI703" s="23"/>
      <c r="EJ703" s="23"/>
      <c r="EK703" s="23"/>
      <c r="EL703" s="23"/>
      <c r="EM703" s="23"/>
      <c r="EN703" s="23"/>
      <c r="EO703" s="23"/>
      <c r="EP703" s="23"/>
      <c r="EQ703" s="23"/>
      <c r="ER703" s="23"/>
      <c r="ES703" s="23"/>
      <c r="ET703" s="23"/>
      <c r="EU703" s="23"/>
      <c r="EV703" s="23"/>
      <c r="EW703" s="23"/>
      <c r="EX703" s="23"/>
      <c r="EY703" s="23"/>
      <c r="EZ703" s="23"/>
      <c r="FA703" s="23"/>
      <c r="FB703" s="23"/>
      <c r="FC703" s="23"/>
      <c r="FD703" s="23"/>
      <c r="FE703" s="23"/>
      <c r="FF703" s="23"/>
      <c r="FG703" s="23"/>
      <c r="FH703" s="23"/>
      <c r="FI703" s="23"/>
      <c r="FJ703" s="23"/>
      <c r="FK703" s="23"/>
      <c r="FL703" s="23"/>
      <c r="FM703" s="23"/>
      <c r="FN703" s="23"/>
      <c r="FO703" s="23"/>
      <c r="FP703" s="23"/>
      <c r="FQ703" s="23"/>
      <c r="FR703" s="23"/>
      <c r="FS703" s="23"/>
      <c r="FT703" s="23"/>
      <c r="FU703" s="23"/>
      <c r="FV703" s="23"/>
      <c r="FW703" s="23"/>
      <c r="FX703" s="23"/>
      <c r="FY703" s="23"/>
      <c r="FZ703" s="23"/>
      <c r="GA703" s="23"/>
      <c r="GB703" s="23"/>
      <c r="GC703" s="23"/>
      <c r="GD703" s="23"/>
      <c r="GE703" s="23"/>
      <c r="GF703" s="23"/>
      <c r="GG703" s="23"/>
      <c r="GH703" s="23"/>
      <c r="GI703" s="23"/>
      <c r="GJ703" s="23"/>
      <c r="GK703" s="23"/>
      <c r="GL703" s="23"/>
    </row>
    <row r="704" spans="1:194" ht="13">
      <c r="A704" s="23"/>
      <c r="B704" s="23"/>
      <c r="C704" s="23"/>
      <c r="D704" s="23"/>
      <c r="E704" s="23"/>
      <c r="F704" s="23"/>
      <c r="G704" s="23"/>
      <c r="H704" s="401"/>
      <c r="I704" s="401"/>
      <c r="J704" s="401"/>
      <c r="K704" s="401"/>
      <c r="L704" s="401"/>
      <c r="M704" s="438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  <c r="AL704" s="23"/>
      <c r="AM704" s="23"/>
      <c r="AN704" s="23"/>
      <c r="AO704" s="23"/>
      <c r="AP704" s="23"/>
      <c r="AQ704" s="23"/>
      <c r="AR704" s="23"/>
      <c r="AS704" s="23"/>
      <c r="AT704" s="23"/>
      <c r="AU704" s="23"/>
      <c r="AV704" s="23"/>
      <c r="AW704" s="23"/>
      <c r="AX704" s="23"/>
      <c r="AY704" s="23"/>
      <c r="AZ704" s="23"/>
      <c r="BA704" s="23"/>
      <c r="BB704" s="23"/>
      <c r="BC704" s="23"/>
      <c r="BD704" s="23"/>
      <c r="BE704" s="23"/>
      <c r="BF704" s="23"/>
      <c r="BG704" s="23"/>
      <c r="BH704" s="23"/>
      <c r="BI704" s="23"/>
      <c r="BJ704" s="23"/>
      <c r="BK704" s="23"/>
      <c r="BL704" s="23"/>
      <c r="BM704" s="23"/>
      <c r="BN704" s="23"/>
      <c r="BO704" s="23"/>
      <c r="BP704" s="23"/>
      <c r="BQ704" s="23"/>
      <c r="BR704" s="23"/>
      <c r="BS704" s="23"/>
      <c r="BT704" s="23"/>
      <c r="BU704" s="23"/>
      <c r="BV704" s="23"/>
      <c r="BW704" s="23"/>
      <c r="BX704" s="23"/>
      <c r="BY704" s="23"/>
      <c r="BZ704" s="23"/>
      <c r="CA704" s="23"/>
      <c r="CB704" s="23"/>
      <c r="CC704" s="23"/>
      <c r="CD704" s="23"/>
      <c r="CE704" s="23"/>
      <c r="CF704" s="23"/>
      <c r="CG704" s="23"/>
      <c r="CH704" s="23"/>
      <c r="CI704" s="23"/>
      <c r="CJ704" s="23"/>
      <c r="CK704" s="23"/>
      <c r="CL704" s="23"/>
      <c r="CM704" s="23"/>
      <c r="CN704" s="23"/>
      <c r="CO704" s="23"/>
      <c r="CP704" s="23"/>
      <c r="CQ704" s="23"/>
      <c r="CR704" s="23"/>
      <c r="CS704" s="23"/>
      <c r="CT704" s="23"/>
      <c r="CU704" s="23"/>
      <c r="CV704" s="23"/>
      <c r="CW704" s="23"/>
      <c r="CX704" s="23"/>
      <c r="CY704" s="23"/>
      <c r="CZ704" s="23"/>
      <c r="DA704" s="23"/>
      <c r="DB704" s="23"/>
      <c r="DC704" s="23"/>
      <c r="DD704" s="23"/>
      <c r="DE704" s="23"/>
      <c r="DF704" s="23"/>
      <c r="DG704" s="23"/>
      <c r="DH704" s="23"/>
      <c r="DI704" s="23"/>
      <c r="DJ704" s="23"/>
      <c r="DK704" s="23"/>
      <c r="DL704" s="23"/>
      <c r="DM704" s="23"/>
      <c r="DN704" s="23"/>
      <c r="DO704" s="23"/>
      <c r="DP704" s="23"/>
      <c r="DQ704" s="23"/>
      <c r="DR704" s="23"/>
      <c r="DS704" s="23"/>
      <c r="DT704" s="23"/>
      <c r="DU704" s="23"/>
      <c r="DV704" s="23"/>
      <c r="DW704" s="23"/>
      <c r="DX704" s="23"/>
      <c r="DY704" s="23"/>
      <c r="DZ704" s="23"/>
      <c r="EA704" s="23"/>
      <c r="EB704" s="23"/>
      <c r="EC704" s="23"/>
      <c r="ED704" s="23"/>
      <c r="EE704" s="23"/>
      <c r="EF704" s="23"/>
      <c r="EG704" s="23"/>
      <c r="EH704" s="23"/>
      <c r="EI704" s="23"/>
      <c r="EJ704" s="23"/>
      <c r="EK704" s="23"/>
      <c r="EL704" s="23"/>
      <c r="EM704" s="23"/>
      <c r="EN704" s="23"/>
      <c r="EO704" s="23"/>
      <c r="EP704" s="23"/>
      <c r="EQ704" s="23"/>
      <c r="ER704" s="23"/>
      <c r="ES704" s="23"/>
      <c r="ET704" s="23"/>
      <c r="EU704" s="23"/>
      <c r="EV704" s="23"/>
      <c r="EW704" s="23"/>
      <c r="EX704" s="23"/>
      <c r="EY704" s="23"/>
      <c r="EZ704" s="23"/>
      <c r="FA704" s="23"/>
      <c r="FB704" s="23"/>
      <c r="FC704" s="23"/>
      <c r="FD704" s="23"/>
      <c r="FE704" s="23"/>
      <c r="FF704" s="23"/>
      <c r="FG704" s="23"/>
      <c r="FH704" s="23"/>
      <c r="FI704" s="23"/>
      <c r="FJ704" s="23"/>
      <c r="FK704" s="23"/>
      <c r="FL704" s="23"/>
      <c r="FM704" s="23"/>
      <c r="FN704" s="23"/>
      <c r="FO704" s="23"/>
      <c r="FP704" s="23"/>
      <c r="FQ704" s="23"/>
      <c r="FR704" s="23"/>
      <c r="FS704" s="23"/>
      <c r="FT704" s="23"/>
      <c r="FU704" s="23"/>
      <c r="FV704" s="23"/>
      <c r="FW704" s="23"/>
      <c r="FX704" s="23"/>
      <c r="FY704" s="23"/>
      <c r="FZ704" s="23"/>
      <c r="GA704" s="23"/>
      <c r="GB704" s="23"/>
      <c r="GC704" s="23"/>
      <c r="GD704" s="23"/>
      <c r="GE704" s="23"/>
      <c r="GF704" s="23"/>
      <c r="GG704" s="23"/>
      <c r="GH704" s="23"/>
      <c r="GI704" s="23"/>
      <c r="GJ704" s="23"/>
      <c r="GK704" s="23"/>
      <c r="GL704" s="23"/>
    </row>
    <row r="705" spans="1:194" ht="13">
      <c r="A705" s="23"/>
      <c r="B705" s="23"/>
      <c r="C705" s="23"/>
      <c r="D705" s="23"/>
      <c r="E705" s="23"/>
      <c r="F705" s="23"/>
      <c r="G705" s="23"/>
      <c r="H705" s="401"/>
      <c r="I705" s="401"/>
      <c r="J705" s="401"/>
      <c r="K705" s="401"/>
      <c r="L705" s="401"/>
      <c r="M705" s="438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  <c r="AL705" s="23"/>
      <c r="AM705" s="23"/>
      <c r="AN705" s="23"/>
      <c r="AO705" s="23"/>
      <c r="AP705" s="23"/>
      <c r="AQ705" s="23"/>
      <c r="AR705" s="23"/>
      <c r="AS705" s="23"/>
      <c r="AT705" s="23"/>
      <c r="AU705" s="23"/>
      <c r="AV705" s="23"/>
      <c r="AW705" s="23"/>
      <c r="AX705" s="23"/>
      <c r="AY705" s="23"/>
      <c r="AZ705" s="23"/>
      <c r="BA705" s="23"/>
      <c r="BB705" s="23"/>
      <c r="BC705" s="23"/>
      <c r="BD705" s="23"/>
      <c r="BE705" s="23"/>
      <c r="BF705" s="23"/>
      <c r="BG705" s="23"/>
      <c r="BH705" s="23"/>
      <c r="BI705" s="23"/>
      <c r="BJ705" s="23"/>
      <c r="BK705" s="23"/>
      <c r="BL705" s="23"/>
      <c r="BM705" s="23"/>
      <c r="BN705" s="23"/>
      <c r="BO705" s="23"/>
      <c r="BP705" s="23"/>
      <c r="BQ705" s="23"/>
      <c r="BR705" s="23"/>
      <c r="BS705" s="23"/>
      <c r="BT705" s="23"/>
      <c r="BU705" s="23"/>
      <c r="BV705" s="23"/>
      <c r="BW705" s="23"/>
      <c r="BX705" s="23"/>
      <c r="BY705" s="23"/>
      <c r="BZ705" s="23"/>
      <c r="CA705" s="23"/>
      <c r="CB705" s="23"/>
      <c r="CC705" s="23"/>
      <c r="CD705" s="23"/>
      <c r="CE705" s="23"/>
      <c r="CF705" s="23"/>
      <c r="CG705" s="23"/>
      <c r="CH705" s="23"/>
      <c r="CI705" s="23"/>
      <c r="CJ705" s="23"/>
      <c r="CK705" s="23"/>
      <c r="CL705" s="23"/>
      <c r="CM705" s="23"/>
      <c r="CN705" s="23"/>
      <c r="CO705" s="23"/>
      <c r="CP705" s="23"/>
      <c r="CQ705" s="23"/>
      <c r="CR705" s="23"/>
      <c r="CS705" s="23"/>
      <c r="CT705" s="23"/>
      <c r="CU705" s="23"/>
      <c r="CV705" s="23"/>
      <c r="CW705" s="23"/>
      <c r="CX705" s="23"/>
      <c r="CY705" s="23"/>
      <c r="CZ705" s="23"/>
      <c r="DA705" s="23"/>
      <c r="DB705" s="23"/>
      <c r="DC705" s="23"/>
      <c r="DD705" s="23"/>
      <c r="DE705" s="23"/>
      <c r="DF705" s="23"/>
      <c r="DG705" s="23"/>
      <c r="DH705" s="23"/>
      <c r="DI705" s="23"/>
      <c r="DJ705" s="23"/>
      <c r="DK705" s="23"/>
      <c r="DL705" s="23"/>
      <c r="DM705" s="23"/>
      <c r="DN705" s="23"/>
      <c r="DO705" s="23"/>
      <c r="DP705" s="23"/>
      <c r="DQ705" s="23"/>
      <c r="DR705" s="23"/>
      <c r="DS705" s="23"/>
      <c r="DT705" s="23"/>
      <c r="DU705" s="23"/>
      <c r="DV705" s="23"/>
      <c r="DW705" s="23"/>
      <c r="DX705" s="23"/>
      <c r="DY705" s="23"/>
      <c r="DZ705" s="23"/>
      <c r="EA705" s="23"/>
      <c r="EB705" s="23"/>
      <c r="EC705" s="23"/>
      <c r="ED705" s="23"/>
      <c r="EE705" s="23"/>
      <c r="EF705" s="23"/>
      <c r="EG705" s="23"/>
      <c r="EH705" s="23"/>
      <c r="EI705" s="23"/>
      <c r="EJ705" s="23"/>
      <c r="EK705" s="23"/>
      <c r="EL705" s="23"/>
      <c r="EM705" s="23"/>
      <c r="EN705" s="23"/>
      <c r="EO705" s="23"/>
      <c r="EP705" s="23"/>
      <c r="EQ705" s="23"/>
      <c r="ER705" s="23"/>
      <c r="ES705" s="23"/>
      <c r="ET705" s="23"/>
      <c r="EU705" s="23"/>
      <c r="EV705" s="23"/>
      <c r="EW705" s="23"/>
      <c r="EX705" s="23"/>
      <c r="EY705" s="23"/>
      <c r="EZ705" s="23"/>
      <c r="FA705" s="23"/>
      <c r="FB705" s="23"/>
      <c r="FC705" s="23"/>
      <c r="FD705" s="23"/>
      <c r="FE705" s="23"/>
      <c r="FF705" s="23"/>
      <c r="FG705" s="23"/>
      <c r="FH705" s="23"/>
      <c r="FI705" s="23"/>
      <c r="FJ705" s="23"/>
      <c r="FK705" s="23"/>
      <c r="FL705" s="23"/>
      <c r="FM705" s="23"/>
      <c r="FN705" s="23"/>
      <c r="FO705" s="23"/>
      <c r="FP705" s="23"/>
      <c r="FQ705" s="23"/>
      <c r="FR705" s="23"/>
      <c r="FS705" s="23"/>
      <c r="FT705" s="23"/>
      <c r="FU705" s="23"/>
      <c r="FV705" s="23"/>
      <c r="FW705" s="23"/>
      <c r="FX705" s="23"/>
      <c r="FY705" s="23"/>
      <c r="FZ705" s="23"/>
      <c r="GA705" s="23"/>
      <c r="GB705" s="23"/>
      <c r="GC705" s="23"/>
      <c r="GD705" s="23"/>
      <c r="GE705" s="23"/>
      <c r="GF705" s="23"/>
      <c r="GG705" s="23"/>
      <c r="GH705" s="23"/>
      <c r="GI705" s="23"/>
      <c r="GJ705" s="23"/>
      <c r="GK705" s="23"/>
      <c r="GL705" s="23"/>
    </row>
    <row r="706" spans="1:194" ht="13">
      <c r="A706" s="23"/>
      <c r="B706" s="23"/>
      <c r="C706" s="23"/>
      <c r="D706" s="23"/>
      <c r="E706" s="23"/>
      <c r="F706" s="23"/>
      <c r="G706" s="23"/>
      <c r="H706" s="401"/>
      <c r="I706" s="401"/>
      <c r="J706" s="401"/>
      <c r="K706" s="401"/>
      <c r="L706" s="401"/>
      <c r="M706" s="438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  <c r="AL706" s="23"/>
      <c r="AM706" s="23"/>
      <c r="AN706" s="23"/>
      <c r="AO706" s="23"/>
      <c r="AP706" s="23"/>
      <c r="AQ706" s="23"/>
      <c r="AR706" s="23"/>
      <c r="AS706" s="23"/>
      <c r="AT706" s="23"/>
      <c r="AU706" s="23"/>
      <c r="AV706" s="23"/>
      <c r="AW706" s="23"/>
      <c r="AX706" s="23"/>
      <c r="AY706" s="23"/>
      <c r="AZ706" s="23"/>
      <c r="BA706" s="23"/>
      <c r="BB706" s="23"/>
      <c r="BC706" s="23"/>
      <c r="BD706" s="23"/>
      <c r="BE706" s="23"/>
      <c r="BF706" s="23"/>
      <c r="BG706" s="23"/>
      <c r="BH706" s="23"/>
      <c r="BI706" s="23"/>
      <c r="BJ706" s="23"/>
      <c r="BK706" s="23"/>
      <c r="BL706" s="23"/>
      <c r="BM706" s="23"/>
      <c r="BN706" s="23"/>
      <c r="BO706" s="23"/>
      <c r="BP706" s="23"/>
      <c r="BQ706" s="23"/>
      <c r="BR706" s="23"/>
      <c r="BS706" s="23"/>
      <c r="BT706" s="23"/>
      <c r="BU706" s="23"/>
      <c r="BV706" s="23"/>
      <c r="BW706" s="23"/>
      <c r="BX706" s="23"/>
      <c r="BY706" s="23"/>
      <c r="BZ706" s="23"/>
      <c r="CA706" s="23"/>
      <c r="CB706" s="23"/>
      <c r="CC706" s="23"/>
      <c r="CD706" s="23"/>
      <c r="CE706" s="23"/>
      <c r="CF706" s="23"/>
      <c r="CG706" s="23"/>
      <c r="CH706" s="23"/>
      <c r="CI706" s="23"/>
      <c r="CJ706" s="23"/>
      <c r="CK706" s="23"/>
      <c r="CL706" s="23"/>
      <c r="CM706" s="23"/>
      <c r="CN706" s="23"/>
      <c r="CO706" s="23"/>
      <c r="CP706" s="23"/>
      <c r="CQ706" s="23"/>
      <c r="CR706" s="23"/>
      <c r="CS706" s="23"/>
      <c r="CT706" s="23"/>
      <c r="CU706" s="23"/>
      <c r="CV706" s="23"/>
      <c r="CW706" s="23"/>
      <c r="CX706" s="23"/>
      <c r="CY706" s="23"/>
      <c r="CZ706" s="23"/>
      <c r="DA706" s="23"/>
      <c r="DB706" s="23"/>
      <c r="DC706" s="23"/>
      <c r="DD706" s="23"/>
      <c r="DE706" s="23"/>
      <c r="DF706" s="23"/>
      <c r="DG706" s="23"/>
      <c r="DH706" s="23"/>
      <c r="DI706" s="23"/>
      <c r="DJ706" s="23"/>
      <c r="DK706" s="23"/>
      <c r="DL706" s="23"/>
      <c r="DM706" s="23"/>
      <c r="DN706" s="23"/>
      <c r="DO706" s="23"/>
      <c r="DP706" s="23"/>
      <c r="DQ706" s="23"/>
      <c r="DR706" s="23"/>
      <c r="DS706" s="23"/>
      <c r="DT706" s="23"/>
      <c r="DU706" s="23"/>
      <c r="DV706" s="23"/>
      <c r="DW706" s="23"/>
      <c r="DX706" s="23"/>
      <c r="DY706" s="23"/>
      <c r="DZ706" s="23"/>
      <c r="EA706" s="23"/>
      <c r="EB706" s="23"/>
      <c r="EC706" s="23"/>
      <c r="ED706" s="23"/>
      <c r="EE706" s="23"/>
      <c r="EF706" s="23"/>
      <c r="EG706" s="23"/>
      <c r="EH706" s="23"/>
      <c r="EI706" s="23"/>
      <c r="EJ706" s="23"/>
      <c r="EK706" s="23"/>
      <c r="EL706" s="23"/>
      <c r="EM706" s="23"/>
      <c r="EN706" s="23"/>
      <c r="EO706" s="23"/>
      <c r="EP706" s="23"/>
      <c r="EQ706" s="23"/>
      <c r="ER706" s="23"/>
      <c r="ES706" s="23"/>
      <c r="ET706" s="23"/>
      <c r="EU706" s="23"/>
      <c r="EV706" s="23"/>
      <c r="EW706" s="23"/>
      <c r="EX706" s="23"/>
      <c r="EY706" s="23"/>
      <c r="EZ706" s="23"/>
      <c r="FA706" s="23"/>
      <c r="FB706" s="23"/>
      <c r="FC706" s="23"/>
      <c r="FD706" s="23"/>
      <c r="FE706" s="23"/>
      <c r="FF706" s="23"/>
      <c r="FG706" s="23"/>
      <c r="FH706" s="23"/>
      <c r="FI706" s="23"/>
      <c r="FJ706" s="23"/>
      <c r="FK706" s="23"/>
      <c r="FL706" s="23"/>
      <c r="FM706" s="23"/>
      <c r="FN706" s="23"/>
      <c r="FO706" s="23"/>
      <c r="FP706" s="23"/>
      <c r="FQ706" s="23"/>
      <c r="FR706" s="23"/>
      <c r="FS706" s="23"/>
      <c r="FT706" s="23"/>
      <c r="FU706" s="23"/>
      <c r="FV706" s="23"/>
      <c r="FW706" s="23"/>
      <c r="FX706" s="23"/>
      <c r="FY706" s="23"/>
      <c r="FZ706" s="23"/>
      <c r="GA706" s="23"/>
      <c r="GB706" s="23"/>
      <c r="GC706" s="23"/>
      <c r="GD706" s="23"/>
      <c r="GE706" s="23"/>
      <c r="GF706" s="23"/>
      <c r="GG706" s="23"/>
      <c r="GH706" s="23"/>
      <c r="GI706" s="23"/>
      <c r="GJ706" s="23"/>
      <c r="GK706" s="23"/>
      <c r="GL706" s="23"/>
    </row>
    <row r="707" spans="1:194" ht="13">
      <c r="A707" s="23"/>
      <c r="B707" s="23"/>
      <c r="C707" s="23"/>
      <c r="D707" s="23"/>
      <c r="E707" s="23"/>
      <c r="F707" s="23"/>
      <c r="G707" s="23"/>
      <c r="H707" s="401"/>
      <c r="I707" s="401"/>
      <c r="J707" s="401"/>
      <c r="K707" s="401"/>
      <c r="L707" s="401"/>
      <c r="M707" s="438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  <c r="AL707" s="23"/>
      <c r="AM707" s="23"/>
      <c r="AN707" s="23"/>
      <c r="AO707" s="23"/>
      <c r="AP707" s="23"/>
      <c r="AQ707" s="23"/>
      <c r="AR707" s="23"/>
      <c r="AS707" s="23"/>
      <c r="AT707" s="23"/>
      <c r="AU707" s="23"/>
      <c r="AV707" s="23"/>
      <c r="AW707" s="23"/>
      <c r="AX707" s="23"/>
      <c r="AY707" s="23"/>
      <c r="AZ707" s="23"/>
      <c r="BA707" s="23"/>
      <c r="BB707" s="23"/>
      <c r="BC707" s="23"/>
      <c r="BD707" s="23"/>
      <c r="BE707" s="23"/>
      <c r="BF707" s="23"/>
      <c r="BG707" s="23"/>
      <c r="BH707" s="23"/>
      <c r="BI707" s="23"/>
      <c r="BJ707" s="23"/>
      <c r="BK707" s="23"/>
      <c r="BL707" s="23"/>
      <c r="BM707" s="23"/>
      <c r="BN707" s="23"/>
      <c r="BO707" s="23"/>
      <c r="BP707" s="23"/>
      <c r="BQ707" s="23"/>
      <c r="BR707" s="23"/>
      <c r="BS707" s="23"/>
      <c r="BT707" s="23"/>
      <c r="BU707" s="23"/>
      <c r="BV707" s="23"/>
      <c r="BW707" s="23"/>
      <c r="BX707" s="23"/>
      <c r="BY707" s="23"/>
      <c r="BZ707" s="23"/>
      <c r="CA707" s="23"/>
      <c r="CB707" s="23"/>
      <c r="CC707" s="23"/>
      <c r="CD707" s="23"/>
      <c r="CE707" s="23"/>
      <c r="CF707" s="23"/>
      <c r="CG707" s="23"/>
      <c r="CH707" s="23"/>
      <c r="CI707" s="23"/>
      <c r="CJ707" s="23"/>
      <c r="CK707" s="23"/>
      <c r="CL707" s="23"/>
      <c r="CM707" s="23"/>
      <c r="CN707" s="23"/>
      <c r="CO707" s="23"/>
      <c r="CP707" s="23"/>
      <c r="CQ707" s="23"/>
      <c r="CR707" s="23"/>
      <c r="CS707" s="23"/>
      <c r="CT707" s="23"/>
      <c r="CU707" s="23"/>
      <c r="CV707" s="23"/>
      <c r="CW707" s="23"/>
      <c r="CX707" s="23"/>
      <c r="CY707" s="23"/>
      <c r="CZ707" s="23"/>
      <c r="DA707" s="23"/>
      <c r="DB707" s="23"/>
      <c r="DC707" s="23"/>
      <c r="DD707" s="23"/>
      <c r="DE707" s="23"/>
      <c r="DF707" s="23"/>
      <c r="DG707" s="23"/>
      <c r="DH707" s="23"/>
      <c r="DI707" s="23"/>
      <c r="DJ707" s="23"/>
      <c r="DK707" s="23"/>
      <c r="DL707" s="23"/>
      <c r="DM707" s="23"/>
      <c r="DN707" s="23"/>
      <c r="DO707" s="23"/>
      <c r="DP707" s="23"/>
      <c r="DQ707" s="23"/>
      <c r="DR707" s="23"/>
      <c r="DS707" s="23"/>
      <c r="DT707" s="23"/>
      <c r="DU707" s="23"/>
      <c r="DV707" s="23"/>
      <c r="DW707" s="23"/>
      <c r="DX707" s="23"/>
      <c r="DY707" s="23"/>
      <c r="DZ707" s="23"/>
      <c r="EA707" s="23"/>
      <c r="EB707" s="23"/>
      <c r="EC707" s="23"/>
      <c r="ED707" s="23"/>
      <c r="EE707" s="23"/>
      <c r="EF707" s="23"/>
      <c r="EG707" s="23"/>
      <c r="EH707" s="23"/>
      <c r="EI707" s="23"/>
      <c r="EJ707" s="23"/>
      <c r="EK707" s="23"/>
      <c r="EL707" s="23"/>
      <c r="EM707" s="23"/>
      <c r="EN707" s="23"/>
      <c r="EO707" s="23"/>
      <c r="EP707" s="23"/>
      <c r="EQ707" s="23"/>
      <c r="ER707" s="23"/>
      <c r="ES707" s="23"/>
      <c r="ET707" s="23"/>
      <c r="EU707" s="23"/>
      <c r="EV707" s="23"/>
      <c r="EW707" s="23"/>
      <c r="EX707" s="23"/>
      <c r="EY707" s="23"/>
      <c r="EZ707" s="23"/>
      <c r="FA707" s="23"/>
      <c r="FB707" s="23"/>
      <c r="FC707" s="23"/>
      <c r="FD707" s="23"/>
      <c r="FE707" s="23"/>
      <c r="FF707" s="23"/>
      <c r="FG707" s="23"/>
      <c r="FH707" s="23"/>
      <c r="FI707" s="23"/>
      <c r="FJ707" s="23"/>
      <c r="FK707" s="23"/>
      <c r="FL707" s="23"/>
      <c r="FM707" s="23"/>
      <c r="FN707" s="23"/>
      <c r="FO707" s="23"/>
      <c r="FP707" s="23"/>
      <c r="FQ707" s="23"/>
      <c r="FR707" s="23"/>
      <c r="FS707" s="23"/>
      <c r="FT707" s="23"/>
      <c r="FU707" s="23"/>
      <c r="FV707" s="23"/>
      <c r="FW707" s="23"/>
      <c r="FX707" s="23"/>
      <c r="FY707" s="23"/>
      <c r="FZ707" s="23"/>
      <c r="GA707" s="23"/>
      <c r="GB707" s="23"/>
      <c r="GC707" s="23"/>
      <c r="GD707" s="23"/>
      <c r="GE707" s="23"/>
      <c r="GF707" s="23"/>
      <c r="GG707" s="23"/>
      <c r="GH707" s="23"/>
      <c r="GI707" s="23"/>
      <c r="GJ707" s="23"/>
      <c r="GK707" s="23"/>
      <c r="GL707" s="23"/>
    </row>
    <row r="708" spans="1:194" ht="13">
      <c r="A708" s="23"/>
      <c r="B708" s="23"/>
      <c r="C708" s="23"/>
      <c r="D708" s="23"/>
      <c r="E708" s="23"/>
      <c r="F708" s="23"/>
      <c r="G708" s="23"/>
      <c r="H708" s="401"/>
      <c r="I708" s="401"/>
      <c r="J708" s="401"/>
      <c r="K708" s="401"/>
      <c r="L708" s="401"/>
      <c r="M708" s="438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  <c r="AL708" s="23"/>
      <c r="AM708" s="23"/>
      <c r="AN708" s="23"/>
      <c r="AO708" s="23"/>
      <c r="AP708" s="23"/>
      <c r="AQ708" s="23"/>
      <c r="AR708" s="23"/>
      <c r="AS708" s="23"/>
      <c r="AT708" s="23"/>
      <c r="AU708" s="23"/>
      <c r="AV708" s="23"/>
      <c r="AW708" s="23"/>
      <c r="AX708" s="23"/>
      <c r="AY708" s="23"/>
      <c r="AZ708" s="23"/>
      <c r="BA708" s="23"/>
      <c r="BB708" s="23"/>
      <c r="BC708" s="23"/>
      <c r="BD708" s="23"/>
      <c r="BE708" s="23"/>
      <c r="BF708" s="23"/>
      <c r="BG708" s="23"/>
      <c r="BH708" s="23"/>
      <c r="BI708" s="23"/>
      <c r="BJ708" s="23"/>
      <c r="BK708" s="23"/>
      <c r="BL708" s="23"/>
      <c r="BM708" s="23"/>
      <c r="BN708" s="23"/>
      <c r="BO708" s="23"/>
      <c r="BP708" s="23"/>
      <c r="BQ708" s="23"/>
      <c r="BR708" s="23"/>
      <c r="BS708" s="23"/>
      <c r="BT708" s="23"/>
      <c r="BU708" s="23"/>
      <c r="BV708" s="23"/>
      <c r="BW708" s="23"/>
      <c r="BX708" s="23"/>
      <c r="BY708" s="23"/>
      <c r="BZ708" s="23"/>
      <c r="CA708" s="23"/>
      <c r="CB708" s="23"/>
      <c r="CC708" s="23"/>
      <c r="CD708" s="23"/>
      <c r="CE708" s="23"/>
      <c r="CF708" s="23"/>
      <c r="CG708" s="23"/>
      <c r="CH708" s="23"/>
      <c r="CI708" s="23"/>
      <c r="CJ708" s="23"/>
      <c r="CK708" s="23"/>
      <c r="CL708" s="23"/>
      <c r="CM708" s="23"/>
      <c r="CN708" s="23"/>
      <c r="CO708" s="23"/>
      <c r="CP708" s="23"/>
      <c r="CQ708" s="23"/>
      <c r="CR708" s="23"/>
      <c r="CS708" s="23"/>
      <c r="CT708" s="23"/>
      <c r="CU708" s="23"/>
      <c r="CV708" s="23"/>
      <c r="CW708" s="23"/>
      <c r="CX708" s="23"/>
      <c r="CY708" s="23"/>
      <c r="CZ708" s="23"/>
      <c r="DA708" s="23"/>
      <c r="DB708" s="23"/>
      <c r="DC708" s="23"/>
      <c r="DD708" s="23"/>
      <c r="DE708" s="23"/>
      <c r="DF708" s="23"/>
      <c r="DG708" s="23"/>
      <c r="DH708" s="23"/>
      <c r="DI708" s="23"/>
      <c r="DJ708" s="23"/>
      <c r="DK708" s="23"/>
      <c r="DL708" s="23"/>
      <c r="DM708" s="23"/>
      <c r="DN708" s="23"/>
      <c r="DO708" s="23"/>
      <c r="DP708" s="23"/>
      <c r="DQ708" s="23"/>
      <c r="DR708" s="23"/>
      <c r="DS708" s="23"/>
      <c r="DT708" s="23"/>
      <c r="DU708" s="23"/>
      <c r="DV708" s="23"/>
      <c r="DW708" s="23"/>
      <c r="DX708" s="23"/>
      <c r="DY708" s="23"/>
      <c r="DZ708" s="23"/>
      <c r="EA708" s="23"/>
      <c r="EB708" s="23"/>
      <c r="EC708" s="23"/>
      <c r="ED708" s="23"/>
      <c r="EE708" s="23"/>
      <c r="EF708" s="23"/>
      <c r="EG708" s="23"/>
      <c r="EH708" s="23"/>
      <c r="EI708" s="23"/>
      <c r="EJ708" s="23"/>
      <c r="EK708" s="23"/>
      <c r="EL708" s="23"/>
      <c r="EM708" s="23"/>
      <c r="EN708" s="23"/>
      <c r="EO708" s="23"/>
      <c r="EP708" s="23"/>
      <c r="EQ708" s="23"/>
      <c r="ER708" s="23"/>
      <c r="ES708" s="23"/>
      <c r="ET708" s="23"/>
      <c r="EU708" s="23"/>
      <c r="EV708" s="23"/>
      <c r="EW708" s="23"/>
      <c r="EX708" s="23"/>
      <c r="EY708" s="23"/>
      <c r="EZ708" s="23"/>
      <c r="FA708" s="23"/>
      <c r="FB708" s="23"/>
      <c r="FC708" s="23"/>
      <c r="FD708" s="23"/>
      <c r="FE708" s="23"/>
      <c r="FF708" s="23"/>
      <c r="FG708" s="23"/>
      <c r="FH708" s="23"/>
      <c r="FI708" s="23"/>
      <c r="FJ708" s="23"/>
      <c r="FK708" s="23"/>
      <c r="FL708" s="23"/>
      <c r="FM708" s="23"/>
      <c r="FN708" s="23"/>
      <c r="FO708" s="23"/>
      <c r="FP708" s="23"/>
      <c r="FQ708" s="23"/>
      <c r="FR708" s="23"/>
      <c r="FS708" s="23"/>
      <c r="FT708" s="23"/>
      <c r="FU708" s="23"/>
      <c r="FV708" s="23"/>
      <c r="FW708" s="23"/>
      <c r="FX708" s="23"/>
      <c r="FY708" s="23"/>
      <c r="FZ708" s="23"/>
      <c r="GA708" s="23"/>
      <c r="GB708" s="23"/>
      <c r="GC708" s="23"/>
      <c r="GD708" s="23"/>
      <c r="GE708" s="23"/>
      <c r="GF708" s="23"/>
      <c r="GG708" s="23"/>
      <c r="GH708" s="23"/>
      <c r="GI708" s="23"/>
      <c r="GJ708" s="23"/>
      <c r="GK708" s="23"/>
      <c r="GL708" s="23"/>
    </row>
    <row r="709" spans="1:194" ht="13">
      <c r="A709" s="23"/>
      <c r="B709" s="23"/>
      <c r="C709" s="23"/>
      <c r="D709" s="23"/>
      <c r="E709" s="23"/>
      <c r="F709" s="23"/>
      <c r="G709" s="23"/>
      <c r="H709" s="401"/>
      <c r="I709" s="401"/>
      <c r="J709" s="401"/>
      <c r="K709" s="401"/>
      <c r="L709" s="401"/>
      <c r="M709" s="438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  <c r="AL709" s="23"/>
      <c r="AM709" s="23"/>
      <c r="AN709" s="23"/>
      <c r="AO709" s="23"/>
      <c r="AP709" s="23"/>
      <c r="AQ709" s="23"/>
      <c r="AR709" s="23"/>
      <c r="AS709" s="23"/>
      <c r="AT709" s="23"/>
      <c r="AU709" s="23"/>
      <c r="AV709" s="23"/>
      <c r="AW709" s="23"/>
      <c r="AX709" s="23"/>
      <c r="AY709" s="23"/>
      <c r="AZ709" s="23"/>
      <c r="BA709" s="23"/>
      <c r="BB709" s="23"/>
      <c r="BC709" s="23"/>
      <c r="BD709" s="23"/>
      <c r="BE709" s="23"/>
      <c r="BF709" s="23"/>
      <c r="BG709" s="23"/>
      <c r="BH709" s="23"/>
      <c r="BI709" s="23"/>
      <c r="BJ709" s="23"/>
      <c r="BK709" s="23"/>
      <c r="BL709" s="23"/>
      <c r="BM709" s="23"/>
      <c r="BN709" s="23"/>
      <c r="BO709" s="23"/>
      <c r="BP709" s="23"/>
      <c r="BQ709" s="23"/>
      <c r="BR709" s="23"/>
      <c r="BS709" s="23"/>
      <c r="BT709" s="23"/>
      <c r="BU709" s="23"/>
      <c r="BV709" s="23"/>
      <c r="BW709" s="23"/>
      <c r="BX709" s="23"/>
      <c r="BY709" s="23"/>
      <c r="BZ709" s="23"/>
      <c r="CA709" s="23"/>
      <c r="CB709" s="23"/>
      <c r="CC709" s="23"/>
      <c r="CD709" s="23"/>
      <c r="CE709" s="23"/>
      <c r="CF709" s="23"/>
      <c r="CG709" s="23"/>
      <c r="CH709" s="23"/>
      <c r="CI709" s="23"/>
      <c r="CJ709" s="23"/>
      <c r="CK709" s="23"/>
      <c r="CL709" s="23"/>
      <c r="CM709" s="23"/>
      <c r="CN709" s="23"/>
      <c r="CO709" s="23"/>
      <c r="CP709" s="23"/>
      <c r="CQ709" s="23"/>
      <c r="CR709" s="23"/>
      <c r="CS709" s="23"/>
      <c r="CT709" s="23"/>
      <c r="CU709" s="23"/>
      <c r="CV709" s="23"/>
      <c r="CW709" s="23"/>
      <c r="CX709" s="23"/>
      <c r="CY709" s="23"/>
      <c r="CZ709" s="23"/>
      <c r="DA709" s="23"/>
      <c r="DB709" s="23"/>
      <c r="DC709" s="23"/>
      <c r="DD709" s="23"/>
      <c r="DE709" s="23"/>
      <c r="DF709" s="23"/>
      <c r="DG709" s="23"/>
      <c r="DH709" s="23"/>
      <c r="DI709" s="23"/>
      <c r="DJ709" s="23"/>
      <c r="DK709" s="23"/>
      <c r="DL709" s="23"/>
      <c r="DM709" s="23"/>
      <c r="DN709" s="23"/>
      <c r="DO709" s="23"/>
      <c r="DP709" s="23"/>
      <c r="DQ709" s="23"/>
      <c r="DR709" s="23"/>
      <c r="DS709" s="23"/>
      <c r="DT709" s="23"/>
      <c r="DU709" s="23"/>
      <c r="DV709" s="23"/>
      <c r="DW709" s="23"/>
      <c r="DX709" s="23"/>
      <c r="DY709" s="23"/>
      <c r="DZ709" s="23"/>
      <c r="EA709" s="23"/>
      <c r="EB709" s="23"/>
      <c r="EC709" s="23"/>
      <c r="ED709" s="23"/>
      <c r="EE709" s="23"/>
      <c r="EF709" s="23"/>
      <c r="EG709" s="23"/>
      <c r="EH709" s="23"/>
      <c r="EI709" s="23"/>
      <c r="EJ709" s="23"/>
      <c r="EK709" s="23"/>
      <c r="EL709" s="23"/>
      <c r="EM709" s="23"/>
      <c r="EN709" s="23"/>
      <c r="EO709" s="23"/>
      <c r="EP709" s="23"/>
      <c r="EQ709" s="23"/>
      <c r="ER709" s="23"/>
      <c r="ES709" s="23"/>
      <c r="ET709" s="23"/>
      <c r="EU709" s="23"/>
      <c r="EV709" s="23"/>
      <c r="EW709" s="23"/>
      <c r="EX709" s="23"/>
      <c r="EY709" s="23"/>
      <c r="EZ709" s="23"/>
      <c r="FA709" s="23"/>
      <c r="FB709" s="23"/>
      <c r="FC709" s="23"/>
      <c r="FD709" s="23"/>
      <c r="FE709" s="23"/>
      <c r="FF709" s="23"/>
      <c r="FG709" s="23"/>
      <c r="FH709" s="23"/>
      <c r="FI709" s="23"/>
      <c r="FJ709" s="23"/>
      <c r="FK709" s="23"/>
      <c r="FL709" s="23"/>
      <c r="FM709" s="23"/>
      <c r="FN709" s="23"/>
      <c r="FO709" s="23"/>
      <c r="FP709" s="23"/>
      <c r="FQ709" s="23"/>
      <c r="FR709" s="23"/>
      <c r="FS709" s="23"/>
      <c r="FT709" s="23"/>
      <c r="FU709" s="23"/>
      <c r="FV709" s="23"/>
      <c r="FW709" s="23"/>
      <c r="FX709" s="23"/>
      <c r="FY709" s="23"/>
      <c r="FZ709" s="23"/>
      <c r="GA709" s="23"/>
      <c r="GB709" s="23"/>
      <c r="GC709" s="23"/>
      <c r="GD709" s="23"/>
      <c r="GE709" s="23"/>
      <c r="GF709" s="23"/>
      <c r="GG709" s="23"/>
      <c r="GH709" s="23"/>
      <c r="GI709" s="23"/>
      <c r="GJ709" s="23"/>
      <c r="GK709" s="23"/>
      <c r="GL709" s="23"/>
    </row>
    <row r="710" spans="1:194" ht="13">
      <c r="A710" s="23"/>
      <c r="B710" s="23"/>
      <c r="C710" s="23"/>
      <c r="D710" s="23"/>
      <c r="E710" s="23"/>
      <c r="F710" s="23"/>
      <c r="G710" s="23"/>
      <c r="H710" s="401"/>
      <c r="I710" s="401"/>
      <c r="J710" s="401"/>
      <c r="K710" s="401"/>
      <c r="L710" s="401"/>
      <c r="M710" s="438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  <c r="AL710" s="23"/>
      <c r="AM710" s="23"/>
      <c r="AN710" s="23"/>
      <c r="AO710" s="23"/>
      <c r="AP710" s="23"/>
      <c r="AQ710" s="23"/>
      <c r="AR710" s="23"/>
      <c r="AS710" s="23"/>
      <c r="AT710" s="23"/>
      <c r="AU710" s="23"/>
      <c r="AV710" s="23"/>
      <c r="AW710" s="23"/>
      <c r="AX710" s="23"/>
      <c r="AY710" s="23"/>
      <c r="AZ710" s="23"/>
      <c r="BA710" s="23"/>
      <c r="BB710" s="23"/>
      <c r="BC710" s="23"/>
      <c r="BD710" s="23"/>
      <c r="BE710" s="23"/>
      <c r="BF710" s="23"/>
      <c r="BG710" s="23"/>
      <c r="BH710" s="23"/>
      <c r="BI710" s="23"/>
      <c r="BJ710" s="23"/>
      <c r="BK710" s="23"/>
      <c r="BL710" s="23"/>
      <c r="BM710" s="23"/>
      <c r="BN710" s="23"/>
      <c r="BO710" s="23"/>
      <c r="BP710" s="23"/>
      <c r="BQ710" s="23"/>
      <c r="BR710" s="23"/>
      <c r="BS710" s="23"/>
      <c r="BT710" s="23"/>
      <c r="BU710" s="23"/>
      <c r="BV710" s="23"/>
      <c r="BW710" s="23"/>
      <c r="BX710" s="23"/>
      <c r="BY710" s="23"/>
      <c r="BZ710" s="23"/>
      <c r="CA710" s="23"/>
      <c r="CB710" s="23"/>
      <c r="CC710" s="23"/>
      <c r="CD710" s="23"/>
      <c r="CE710" s="23"/>
      <c r="CF710" s="23"/>
      <c r="CG710" s="23"/>
      <c r="CH710" s="23"/>
      <c r="CI710" s="23"/>
      <c r="CJ710" s="23"/>
      <c r="CK710" s="23"/>
      <c r="CL710" s="23"/>
      <c r="CM710" s="23"/>
      <c r="CN710" s="23"/>
      <c r="CO710" s="23"/>
      <c r="CP710" s="23"/>
      <c r="CQ710" s="23"/>
      <c r="CR710" s="23"/>
      <c r="CS710" s="23"/>
      <c r="CT710" s="23"/>
      <c r="CU710" s="23"/>
      <c r="CV710" s="23"/>
      <c r="CW710" s="23"/>
      <c r="CX710" s="23"/>
      <c r="CY710" s="23"/>
      <c r="CZ710" s="23"/>
      <c r="DA710" s="23"/>
      <c r="DB710" s="23"/>
      <c r="DC710" s="23"/>
      <c r="DD710" s="23"/>
      <c r="DE710" s="23"/>
      <c r="DF710" s="23"/>
      <c r="DG710" s="23"/>
      <c r="DH710" s="23"/>
      <c r="DI710" s="23"/>
      <c r="DJ710" s="23"/>
      <c r="DK710" s="23"/>
      <c r="DL710" s="23"/>
      <c r="DM710" s="23"/>
      <c r="DN710" s="23"/>
      <c r="DO710" s="23"/>
      <c r="DP710" s="23"/>
      <c r="DQ710" s="23"/>
      <c r="DR710" s="23"/>
      <c r="DS710" s="23"/>
      <c r="DT710" s="23"/>
      <c r="DU710" s="23"/>
      <c r="DV710" s="23"/>
      <c r="DW710" s="23"/>
      <c r="DX710" s="23"/>
      <c r="DY710" s="23"/>
      <c r="DZ710" s="23"/>
      <c r="EA710" s="23"/>
      <c r="EB710" s="23"/>
      <c r="EC710" s="23"/>
      <c r="ED710" s="23"/>
      <c r="EE710" s="23"/>
      <c r="EF710" s="23"/>
      <c r="EG710" s="23"/>
      <c r="EH710" s="23"/>
      <c r="EI710" s="23"/>
      <c r="EJ710" s="23"/>
      <c r="EK710" s="23"/>
      <c r="EL710" s="23"/>
      <c r="EM710" s="23"/>
      <c r="EN710" s="23"/>
      <c r="EO710" s="23"/>
      <c r="EP710" s="23"/>
      <c r="EQ710" s="23"/>
      <c r="ER710" s="23"/>
      <c r="ES710" s="23"/>
      <c r="ET710" s="23"/>
      <c r="EU710" s="23"/>
      <c r="EV710" s="23"/>
      <c r="EW710" s="23"/>
      <c r="EX710" s="23"/>
      <c r="EY710" s="23"/>
      <c r="EZ710" s="23"/>
      <c r="FA710" s="23"/>
      <c r="FB710" s="23"/>
      <c r="FC710" s="23"/>
      <c r="FD710" s="23"/>
      <c r="FE710" s="23"/>
      <c r="FF710" s="23"/>
      <c r="FG710" s="23"/>
      <c r="FH710" s="23"/>
      <c r="FI710" s="23"/>
      <c r="FJ710" s="23"/>
      <c r="FK710" s="23"/>
      <c r="FL710" s="23"/>
      <c r="FM710" s="23"/>
      <c r="FN710" s="23"/>
      <c r="FO710" s="23"/>
      <c r="FP710" s="23"/>
      <c r="FQ710" s="23"/>
      <c r="FR710" s="23"/>
      <c r="FS710" s="23"/>
      <c r="FT710" s="23"/>
      <c r="FU710" s="23"/>
      <c r="FV710" s="23"/>
      <c r="FW710" s="23"/>
      <c r="FX710" s="23"/>
      <c r="FY710" s="23"/>
      <c r="FZ710" s="23"/>
      <c r="GA710" s="23"/>
      <c r="GB710" s="23"/>
      <c r="GC710" s="23"/>
      <c r="GD710" s="23"/>
      <c r="GE710" s="23"/>
      <c r="GF710" s="23"/>
      <c r="GG710" s="23"/>
      <c r="GH710" s="23"/>
      <c r="GI710" s="23"/>
      <c r="GJ710" s="23"/>
      <c r="GK710" s="23"/>
      <c r="GL710" s="23"/>
    </row>
    <row r="711" spans="1:194" ht="13">
      <c r="A711" s="23"/>
      <c r="B711" s="23"/>
      <c r="C711" s="23"/>
      <c r="D711" s="23"/>
      <c r="E711" s="23"/>
      <c r="F711" s="23"/>
      <c r="G711" s="23"/>
      <c r="H711" s="401"/>
      <c r="I711" s="401"/>
      <c r="J711" s="401"/>
      <c r="K711" s="401"/>
      <c r="L711" s="401"/>
      <c r="M711" s="438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  <c r="AL711" s="23"/>
      <c r="AM711" s="23"/>
      <c r="AN711" s="23"/>
      <c r="AO711" s="23"/>
      <c r="AP711" s="23"/>
      <c r="AQ711" s="23"/>
      <c r="AR711" s="23"/>
      <c r="AS711" s="23"/>
      <c r="AT711" s="23"/>
      <c r="AU711" s="23"/>
      <c r="AV711" s="23"/>
      <c r="AW711" s="23"/>
      <c r="AX711" s="23"/>
      <c r="AY711" s="23"/>
      <c r="AZ711" s="23"/>
      <c r="BA711" s="23"/>
      <c r="BB711" s="23"/>
      <c r="BC711" s="23"/>
      <c r="BD711" s="23"/>
      <c r="BE711" s="23"/>
      <c r="BF711" s="23"/>
      <c r="BG711" s="23"/>
      <c r="BH711" s="23"/>
      <c r="BI711" s="23"/>
      <c r="BJ711" s="23"/>
      <c r="BK711" s="23"/>
      <c r="BL711" s="23"/>
      <c r="BM711" s="23"/>
      <c r="BN711" s="23"/>
      <c r="BO711" s="23"/>
      <c r="BP711" s="23"/>
      <c r="BQ711" s="23"/>
      <c r="BR711" s="23"/>
      <c r="BS711" s="23"/>
      <c r="BT711" s="23"/>
      <c r="BU711" s="23"/>
      <c r="BV711" s="23"/>
      <c r="BW711" s="23"/>
      <c r="BX711" s="23"/>
      <c r="BY711" s="23"/>
      <c r="BZ711" s="23"/>
      <c r="CA711" s="23"/>
      <c r="CB711" s="23"/>
      <c r="CC711" s="23"/>
      <c r="CD711" s="23"/>
      <c r="CE711" s="23"/>
      <c r="CF711" s="23"/>
      <c r="CG711" s="23"/>
      <c r="CH711" s="23"/>
      <c r="CI711" s="23"/>
      <c r="CJ711" s="23"/>
      <c r="CK711" s="23"/>
      <c r="CL711" s="23"/>
      <c r="CM711" s="23"/>
      <c r="CN711" s="23"/>
      <c r="CO711" s="23"/>
      <c r="CP711" s="23"/>
      <c r="CQ711" s="23"/>
      <c r="CR711" s="23"/>
      <c r="CS711" s="23"/>
      <c r="CT711" s="23"/>
      <c r="CU711" s="23"/>
      <c r="CV711" s="23"/>
      <c r="CW711" s="23"/>
      <c r="CX711" s="23"/>
      <c r="CY711" s="23"/>
      <c r="CZ711" s="23"/>
      <c r="DA711" s="23"/>
      <c r="DB711" s="23"/>
      <c r="DC711" s="23"/>
      <c r="DD711" s="23"/>
      <c r="DE711" s="23"/>
      <c r="DF711" s="23"/>
      <c r="DG711" s="23"/>
      <c r="DH711" s="23"/>
      <c r="DI711" s="23"/>
      <c r="DJ711" s="23"/>
      <c r="DK711" s="23"/>
      <c r="DL711" s="23"/>
      <c r="DM711" s="23"/>
      <c r="DN711" s="23"/>
      <c r="DO711" s="23"/>
      <c r="DP711" s="23"/>
      <c r="DQ711" s="23"/>
      <c r="DR711" s="23"/>
      <c r="DS711" s="23"/>
      <c r="DT711" s="23"/>
      <c r="DU711" s="23"/>
      <c r="DV711" s="23"/>
      <c r="DW711" s="23"/>
      <c r="DX711" s="23"/>
      <c r="DY711" s="23"/>
      <c r="DZ711" s="23"/>
      <c r="EA711" s="23"/>
      <c r="EB711" s="23"/>
      <c r="EC711" s="23"/>
      <c r="ED711" s="23"/>
      <c r="EE711" s="23"/>
      <c r="EF711" s="23"/>
      <c r="EG711" s="23"/>
      <c r="EH711" s="23"/>
      <c r="EI711" s="23"/>
      <c r="EJ711" s="23"/>
      <c r="EK711" s="23"/>
      <c r="EL711" s="23"/>
      <c r="EM711" s="23"/>
      <c r="EN711" s="23"/>
      <c r="EO711" s="23"/>
      <c r="EP711" s="23"/>
      <c r="EQ711" s="23"/>
      <c r="ER711" s="23"/>
      <c r="ES711" s="23"/>
      <c r="ET711" s="23"/>
      <c r="EU711" s="23"/>
      <c r="EV711" s="23"/>
      <c r="EW711" s="23"/>
      <c r="EX711" s="23"/>
      <c r="EY711" s="23"/>
      <c r="EZ711" s="23"/>
      <c r="FA711" s="23"/>
      <c r="FB711" s="23"/>
      <c r="FC711" s="23"/>
      <c r="FD711" s="23"/>
      <c r="FE711" s="23"/>
      <c r="FF711" s="23"/>
      <c r="FG711" s="23"/>
      <c r="FH711" s="23"/>
      <c r="FI711" s="23"/>
      <c r="FJ711" s="23"/>
      <c r="FK711" s="23"/>
      <c r="FL711" s="23"/>
      <c r="FM711" s="23"/>
      <c r="FN711" s="23"/>
      <c r="FO711" s="23"/>
      <c r="FP711" s="23"/>
      <c r="FQ711" s="23"/>
      <c r="FR711" s="23"/>
      <c r="FS711" s="23"/>
      <c r="FT711" s="23"/>
      <c r="FU711" s="23"/>
      <c r="FV711" s="23"/>
      <c r="FW711" s="23"/>
      <c r="FX711" s="23"/>
      <c r="FY711" s="23"/>
      <c r="FZ711" s="23"/>
      <c r="GA711" s="23"/>
      <c r="GB711" s="23"/>
      <c r="GC711" s="23"/>
      <c r="GD711" s="23"/>
      <c r="GE711" s="23"/>
      <c r="GF711" s="23"/>
      <c r="GG711" s="23"/>
      <c r="GH711" s="23"/>
      <c r="GI711" s="23"/>
      <c r="GJ711" s="23"/>
      <c r="GK711" s="23"/>
      <c r="GL711" s="23"/>
    </row>
    <row r="712" spans="1:194" ht="13">
      <c r="A712" s="23"/>
      <c r="B712" s="23"/>
      <c r="C712" s="23"/>
      <c r="D712" s="23"/>
      <c r="E712" s="23"/>
      <c r="F712" s="23"/>
      <c r="G712" s="23"/>
      <c r="H712" s="401"/>
      <c r="I712" s="401"/>
      <c r="J712" s="401"/>
      <c r="K712" s="401"/>
      <c r="L712" s="401"/>
      <c r="M712" s="438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  <c r="AL712" s="23"/>
      <c r="AM712" s="23"/>
      <c r="AN712" s="23"/>
      <c r="AO712" s="23"/>
      <c r="AP712" s="23"/>
      <c r="AQ712" s="23"/>
      <c r="AR712" s="23"/>
      <c r="AS712" s="23"/>
      <c r="AT712" s="23"/>
      <c r="AU712" s="23"/>
      <c r="AV712" s="23"/>
      <c r="AW712" s="23"/>
      <c r="AX712" s="23"/>
      <c r="AY712" s="23"/>
      <c r="AZ712" s="23"/>
      <c r="BA712" s="23"/>
      <c r="BB712" s="23"/>
      <c r="BC712" s="23"/>
      <c r="BD712" s="23"/>
      <c r="BE712" s="23"/>
      <c r="BF712" s="23"/>
      <c r="BG712" s="23"/>
      <c r="BH712" s="23"/>
      <c r="BI712" s="23"/>
      <c r="BJ712" s="23"/>
      <c r="BK712" s="23"/>
      <c r="BL712" s="23"/>
      <c r="BM712" s="23"/>
      <c r="BN712" s="23"/>
      <c r="BO712" s="23"/>
      <c r="BP712" s="23"/>
      <c r="BQ712" s="23"/>
      <c r="BR712" s="23"/>
      <c r="BS712" s="23"/>
      <c r="BT712" s="23"/>
      <c r="BU712" s="23"/>
      <c r="BV712" s="23"/>
      <c r="BW712" s="23"/>
      <c r="BX712" s="23"/>
      <c r="BY712" s="23"/>
      <c r="BZ712" s="23"/>
      <c r="CA712" s="23"/>
      <c r="CB712" s="23"/>
      <c r="CC712" s="23"/>
      <c r="CD712" s="23"/>
      <c r="CE712" s="23"/>
      <c r="CF712" s="23"/>
      <c r="CG712" s="23"/>
      <c r="CH712" s="23"/>
      <c r="CI712" s="23"/>
      <c r="CJ712" s="23"/>
      <c r="CK712" s="23"/>
      <c r="CL712" s="23"/>
      <c r="CM712" s="23"/>
      <c r="CN712" s="23"/>
      <c r="CO712" s="23"/>
      <c r="CP712" s="23"/>
      <c r="CQ712" s="23"/>
      <c r="CR712" s="23"/>
      <c r="CS712" s="23"/>
      <c r="CT712" s="23"/>
      <c r="CU712" s="23"/>
      <c r="CV712" s="23"/>
      <c r="CW712" s="23"/>
      <c r="CX712" s="23"/>
      <c r="CY712" s="23"/>
      <c r="CZ712" s="23"/>
      <c r="DA712" s="23"/>
      <c r="DB712" s="23"/>
      <c r="DC712" s="23"/>
      <c r="DD712" s="23"/>
      <c r="DE712" s="23"/>
      <c r="DF712" s="23"/>
      <c r="DG712" s="23"/>
      <c r="DH712" s="23"/>
      <c r="DI712" s="23"/>
      <c r="DJ712" s="23"/>
      <c r="DK712" s="23"/>
      <c r="DL712" s="23"/>
      <c r="DM712" s="23"/>
      <c r="DN712" s="23"/>
      <c r="DO712" s="23"/>
      <c r="DP712" s="23"/>
      <c r="DQ712" s="23"/>
      <c r="DR712" s="23"/>
      <c r="DS712" s="23"/>
      <c r="DT712" s="23"/>
      <c r="DU712" s="23"/>
      <c r="DV712" s="23"/>
      <c r="DW712" s="23"/>
      <c r="DX712" s="23"/>
      <c r="DY712" s="23"/>
      <c r="DZ712" s="23"/>
      <c r="EA712" s="23"/>
      <c r="EB712" s="23"/>
      <c r="EC712" s="23"/>
      <c r="ED712" s="23"/>
      <c r="EE712" s="23"/>
      <c r="EF712" s="23"/>
      <c r="EG712" s="23"/>
      <c r="EH712" s="23"/>
      <c r="EI712" s="23"/>
      <c r="EJ712" s="23"/>
      <c r="EK712" s="23"/>
      <c r="EL712" s="23"/>
      <c r="EM712" s="23"/>
      <c r="EN712" s="23"/>
      <c r="EO712" s="23"/>
      <c r="EP712" s="23"/>
      <c r="EQ712" s="23"/>
      <c r="ER712" s="23"/>
      <c r="ES712" s="23"/>
      <c r="ET712" s="23"/>
      <c r="EU712" s="23"/>
      <c r="EV712" s="23"/>
      <c r="EW712" s="23"/>
      <c r="EX712" s="23"/>
      <c r="EY712" s="23"/>
      <c r="EZ712" s="23"/>
      <c r="FA712" s="23"/>
      <c r="FB712" s="23"/>
      <c r="FC712" s="23"/>
      <c r="FD712" s="23"/>
      <c r="FE712" s="23"/>
      <c r="FF712" s="23"/>
      <c r="FG712" s="23"/>
      <c r="FH712" s="23"/>
      <c r="FI712" s="23"/>
      <c r="FJ712" s="23"/>
      <c r="FK712" s="23"/>
      <c r="FL712" s="23"/>
      <c r="FM712" s="23"/>
      <c r="FN712" s="23"/>
      <c r="FO712" s="23"/>
      <c r="FP712" s="23"/>
      <c r="FQ712" s="23"/>
      <c r="FR712" s="23"/>
      <c r="FS712" s="23"/>
      <c r="FT712" s="23"/>
      <c r="FU712" s="23"/>
      <c r="FV712" s="23"/>
      <c r="FW712" s="23"/>
      <c r="FX712" s="23"/>
      <c r="FY712" s="23"/>
      <c r="FZ712" s="23"/>
      <c r="GA712" s="23"/>
      <c r="GB712" s="23"/>
      <c r="GC712" s="23"/>
      <c r="GD712" s="23"/>
      <c r="GE712" s="23"/>
      <c r="GF712" s="23"/>
      <c r="GG712" s="23"/>
      <c r="GH712" s="23"/>
      <c r="GI712" s="23"/>
      <c r="GJ712" s="23"/>
      <c r="GK712" s="23"/>
      <c r="GL712" s="23"/>
    </row>
    <row r="713" spans="1:194" ht="13">
      <c r="A713" s="23"/>
      <c r="B713" s="23"/>
      <c r="C713" s="23"/>
      <c r="D713" s="23"/>
      <c r="E713" s="23"/>
      <c r="F713" s="23"/>
      <c r="G713" s="23"/>
      <c r="H713" s="401"/>
      <c r="I713" s="401"/>
      <c r="J713" s="401"/>
      <c r="K713" s="401"/>
      <c r="L713" s="401"/>
      <c r="M713" s="438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  <c r="AL713" s="23"/>
      <c r="AM713" s="23"/>
      <c r="AN713" s="23"/>
      <c r="AO713" s="23"/>
      <c r="AP713" s="23"/>
      <c r="AQ713" s="23"/>
      <c r="AR713" s="23"/>
      <c r="AS713" s="23"/>
      <c r="AT713" s="23"/>
      <c r="AU713" s="23"/>
      <c r="AV713" s="23"/>
      <c r="AW713" s="23"/>
      <c r="AX713" s="23"/>
      <c r="AY713" s="23"/>
      <c r="AZ713" s="23"/>
      <c r="BA713" s="23"/>
      <c r="BB713" s="23"/>
      <c r="BC713" s="23"/>
      <c r="BD713" s="23"/>
      <c r="BE713" s="23"/>
      <c r="BF713" s="23"/>
      <c r="BG713" s="23"/>
      <c r="BH713" s="23"/>
      <c r="BI713" s="23"/>
      <c r="BJ713" s="23"/>
      <c r="BK713" s="23"/>
      <c r="BL713" s="23"/>
      <c r="BM713" s="23"/>
      <c r="BN713" s="23"/>
      <c r="BO713" s="23"/>
      <c r="BP713" s="23"/>
      <c r="BQ713" s="23"/>
      <c r="BR713" s="23"/>
      <c r="BS713" s="23"/>
      <c r="BT713" s="23"/>
      <c r="BU713" s="23"/>
      <c r="BV713" s="23"/>
      <c r="BW713" s="23"/>
      <c r="BX713" s="23"/>
      <c r="BY713" s="23"/>
      <c r="BZ713" s="23"/>
      <c r="CA713" s="23"/>
      <c r="CB713" s="23"/>
      <c r="CC713" s="23"/>
      <c r="CD713" s="23"/>
      <c r="CE713" s="23"/>
      <c r="CF713" s="23"/>
      <c r="CG713" s="23"/>
      <c r="CH713" s="23"/>
      <c r="CI713" s="23"/>
      <c r="CJ713" s="23"/>
      <c r="CK713" s="23"/>
      <c r="CL713" s="23"/>
      <c r="CM713" s="23"/>
      <c r="CN713" s="23"/>
      <c r="CO713" s="23"/>
      <c r="CP713" s="23"/>
      <c r="CQ713" s="23"/>
      <c r="CR713" s="23"/>
      <c r="CS713" s="23"/>
      <c r="CT713" s="23"/>
      <c r="CU713" s="23"/>
      <c r="CV713" s="23"/>
      <c r="CW713" s="23"/>
      <c r="CX713" s="23"/>
      <c r="CY713" s="23"/>
      <c r="CZ713" s="23"/>
      <c r="DA713" s="23"/>
      <c r="DB713" s="23"/>
      <c r="DC713" s="23"/>
      <c r="DD713" s="23"/>
      <c r="DE713" s="23"/>
      <c r="DF713" s="23"/>
      <c r="DG713" s="23"/>
      <c r="DH713" s="23"/>
      <c r="DI713" s="23"/>
      <c r="DJ713" s="23"/>
      <c r="DK713" s="23"/>
      <c r="DL713" s="23"/>
      <c r="DM713" s="23"/>
      <c r="DN713" s="23"/>
      <c r="DO713" s="23"/>
      <c r="DP713" s="23"/>
      <c r="DQ713" s="23"/>
      <c r="DR713" s="23"/>
      <c r="DS713" s="23"/>
      <c r="DT713" s="23"/>
      <c r="DU713" s="23"/>
      <c r="DV713" s="23"/>
      <c r="DW713" s="23"/>
      <c r="DX713" s="23"/>
      <c r="DY713" s="23"/>
      <c r="DZ713" s="23"/>
      <c r="EA713" s="23"/>
      <c r="EB713" s="23"/>
      <c r="EC713" s="23"/>
      <c r="ED713" s="23"/>
      <c r="EE713" s="23"/>
      <c r="EF713" s="23"/>
      <c r="EG713" s="23"/>
      <c r="EH713" s="23"/>
      <c r="EI713" s="23"/>
      <c r="EJ713" s="23"/>
      <c r="EK713" s="23"/>
      <c r="EL713" s="23"/>
      <c r="EM713" s="23"/>
      <c r="EN713" s="23"/>
      <c r="EO713" s="23"/>
      <c r="EP713" s="23"/>
      <c r="EQ713" s="23"/>
      <c r="ER713" s="23"/>
      <c r="ES713" s="23"/>
      <c r="ET713" s="23"/>
      <c r="EU713" s="23"/>
      <c r="EV713" s="23"/>
      <c r="EW713" s="23"/>
      <c r="EX713" s="23"/>
      <c r="EY713" s="23"/>
      <c r="EZ713" s="23"/>
      <c r="FA713" s="23"/>
      <c r="FB713" s="23"/>
      <c r="FC713" s="23"/>
      <c r="FD713" s="23"/>
      <c r="FE713" s="23"/>
      <c r="FF713" s="23"/>
      <c r="FG713" s="23"/>
      <c r="FH713" s="23"/>
      <c r="FI713" s="23"/>
      <c r="FJ713" s="23"/>
      <c r="FK713" s="23"/>
      <c r="FL713" s="23"/>
      <c r="FM713" s="23"/>
      <c r="FN713" s="23"/>
      <c r="FO713" s="23"/>
      <c r="FP713" s="23"/>
      <c r="FQ713" s="23"/>
      <c r="FR713" s="23"/>
      <c r="FS713" s="23"/>
      <c r="FT713" s="23"/>
      <c r="FU713" s="23"/>
      <c r="FV713" s="23"/>
      <c r="FW713" s="23"/>
      <c r="FX713" s="23"/>
      <c r="FY713" s="23"/>
      <c r="FZ713" s="23"/>
      <c r="GA713" s="23"/>
      <c r="GB713" s="23"/>
      <c r="GC713" s="23"/>
      <c r="GD713" s="23"/>
      <c r="GE713" s="23"/>
      <c r="GF713" s="23"/>
      <c r="GG713" s="23"/>
      <c r="GH713" s="23"/>
      <c r="GI713" s="23"/>
      <c r="GJ713" s="23"/>
      <c r="GK713" s="23"/>
      <c r="GL713" s="23"/>
    </row>
    <row r="714" spans="1:194" ht="13">
      <c r="A714" s="23"/>
      <c r="B714" s="23"/>
      <c r="C714" s="23"/>
      <c r="D714" s="23"/>
      <c r="E714" s="23"/>
      <c r="F714" s="23"/>
      <c r="G714" s="23"/>
      <c r="H714" s="401"/>
      <c r="I714" s="401"/>
      <c r="J714" s="401"/>
      <c r="K714" s="401"/>
      <c r="L714" s="401"/>
      <c r="M714" s="438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  <c r="AL714" s="23"/>
      <c r="AM714" s="23"/>
      <c r="AN714" s="23"/>
      <c r="AO714" s="23"/>
      <c r="AP714" s="23"/>
      <c r="AQ714" s="23"/>
      <c r="AR714" s="23"/>
      <c r="AS714" s="23"/>
      <c r="AT714" s="23"/>
      <c r="AU714" s="23"/>
      <c r="AV714" s="23"/>
      <c r="AW714" s="23"/>
      <c r="AX714" s="23"/>
      <c r="AY714" s="23"/>
      <c r="AZ714" s="23"/>
      <c r="BA714" s="23"/>
      <c r="BB714" s="23"/>
      <c r="BC714" s="23"/>
      <c r="BD714" s="23"/>
      <c r="BE714" s="23"/>
      <c r="BF714" s="23"/>
      <c r="BG714" s="23"/>
      <c r="BH714" s="23"/>
      <c r="BI714" s="23"/>
      <c r="BJ714" s="23"/>
      <c r="BK714" s="23"/>
      <c r="BL714" s="23"/>
      <c r="BM714" s="23"/>
      <c r="BN714" s="23"/>
      <c r="BO714" s="23"/>
      <c r="BP714" s="23"/>
      <c r="BQ714" s="23"/>
      <c r="BR714" s="23"/>
      <c r="BS714" s="23"/>
      <c r="BT714" s="23"/>
      <c r="BU714" s="23"/>
      <c r="BV714" s="23"/>
      <c r="BW714" s="23"/>
      <c r="BX714" s="23"/>
      <c r="BY714" s="23"/>
      <c r="BZ714" s="23"/>
      <c r="CA714" s="23"/>
      <c r="CB714" s="23"/>
      <c r="CC714" s="23"/>
      <c r="CD714" s="23"/>
      <c r="CE714" s="23"/>
      <c r="CF714" s="23"/>
      <c r="CG714" s="23"/>
      <c r="CH714" s="23"/>
      <c r="CI714" s="23"/>
      <c r="CJ714" s="23"/>
      <c r="CK714" s="23"/>
      <c r="CL714" s="23"/>
      <c r="CM714" s="23"/>
      <c r="CN714" s="23"/>
      <c r="CO714" s="23"/>
      <c r="CP714" s="23"/>
      <c r="CQ714" s="23"/>
      <c r="CR714" s="23"/>
      <c r="CS714" s="23"/>
      <c r="CT714" s="23"/>
      <c r="CU714" s="23"/>
      <c r="CV714" s="23"/>
      <c r="CW714" s="23"/>
      <c r="CX714" s="23"/>
      <c r="CY714" s="23"/>
      <c r="CZ714" s="23"/>
      <c r="DA714" s="23"/>
      <c r="DB714" s="23"/>
      <c r="DC714" s="23"/>
      <c r="DD714" s="23"/>
      <c r="DE714" s="23"/>
      <c r="DF714" s="23"/>
      <c r="DG714" s="23"/>
      <c r="DH714" s="23"/>
      <c r="DI714" s="23"/>
      <c r="DJ714" s="23"/>
      <c r="DK714" s="23"/>
      <c r="DL714" s="23"/>
      <c r="DM714" s="23"/>
      <c r="DN714" s="23"/>
      <c r="DO714" s="23"/>
      <c r="DP714" s="23"/>
      <c r="DQ714" s="23"/>
      <c r="DR714" s="23"/>
      <c r="DS714" s="23"/>
      <c r="DT714" s="23"/>
      <c r="DU714" s="23"/>
      <c r="DV714" s="23"/>
      <c r="DW714" s="23"/>
      <c r="DX714" s="23"/>
      <c r="DY714" s="23"/>
      <c r="DZ714" s="23"/>
      <c r="EA714" s="23"/>
      <c r="EB714" s="23"/>
      <c r="EC714" s="23"/>
      <c r="ED714" s="23"/>
      <c r="EE714" s="23"/>
      <c r="EF714" s="23"/>
      <c r="EG714" s="23"/>
      <c r="EH714" s="23"/>
      <c r="EI714" s="23"/>
      <c r="EJ714" s="23"/>
      <c r="EK714" s="23"/>
      <c r="EL714" s="23"/>
      <c r="EM714" s="23"/>
      <c r="EN714" s="23"/>
      <c r="EO714" s="23"/>
      <c r="EP714" s="23"/>
      <c r="EQ714" s="23"/>
      <c r="ER714" s="23"/>
      <c r="ES714" s="23"/>
      <c r="ET714" s="23"/>
      <c r="EU714" s="23"/>
      <c r="EV714" s="23"/>
      <c r="EW714" s="23"/>
      <c r="EX714" s="23"/>
      <c r="EY714" s="23"/>
      <c r="EZ714" s="23"/>
      <c r="FA714" s="23"/>
      <c r="FB714" s="23"/>
      <c r="FC714" s="23"/>
      <c r="FD714" s="23"/>
      <c r="FE714" s="23"/>
      <c r="FF714" s="23"/>
      <c r="FG714" s="23"/>
      <c r="FH714" s="23"/>
      <c r="FI714" s="23"/>
      <c r="FJ714" s="23"/>
      <c r="FK714" s="23"/>
      <c r="FL714" s="23"/>
      <c r="FM714" s="23"/>
      <c r="FN714" s="23"/>
      <c r="FO714" s="23"/>
      <c r="FP714" s="23"/>
      <c r="FQ714" s="23"/>
      <c r="FR714" s="23"/>
      <c r="FS714" s="23"/>
      <c r="FT714" s="23"/>
      <c r="FU714" s="23"/>
      <c r="FV714" s="23"/>
      <c r="FW714" s="23"/>
      <c r="FX714" s="23"/>
      <c r="FY714" s="23"/>
      <c r="FZ714" s="23"/>
      <c r="GA714" s="23"/>
      <c r="GB714" s="23"/>
      <c r="GC714" s="23"/>
      <c r="GD714" s="23"/>
      <c r="GE714" s="23"/>
      <c r="GF714" s="23"/>
      <c r="GG714" s="23"/>
      <c r="GH714" s="23"/>
      <c r="GI714" s="23"/>
      <c r="GJ714" s="23"/>
      <c r="GK714" s="23"/>
      <c r="GL714" s="23"/>
    </row>
    <row r="715" spans="1:194" ht="13">
      <c r="A715" s="23"/>
      <c r="B715" s="23"/>
      <c r="C715" s="23"/>
      <c r="D715" s="23"/>
      <c r="E715" s="23"/>
      <c r="F715" s="23"/>
      <c r="G715" s="23"/>
      <c r="H715" s="401"/>
      <c r="I715" s="401"/>
      <c r="J715" s="401"/>
      <c r="K715" s="401"/>
      <c r="L715" s="401"/>
      <c r="M715" s="438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  <c r="AL715" s="23"/>
      <c r="AM715" s="23"/>
      <c r="AN715" s="23"/>
      <c r="AO715" s="23"/>
      <c r="AP715" s="23"/>
      <c r="AQ715" s="23"/>
      <c r="AR715" s="23"/>
      <c r="AS715" s="23"/>
      <c r="AT715" s="23"/>
      <c r="AU715" s="23"/>
      <c r="AV715" s="23"/>
      <c r="AW715" s="23"/>
      <c r="AX715" s="23"/>
      <c r="AY715" s="23"/>
      <c r="AZ715" s="23"/>
      <c r="BA715" s="23"/>
      <c r="BB715" s="23"/>
      <c r="BC715" s="23"/>
      <c r="BD715" s="23"/>
      <c r="BE715" s="23"/>
      <c r="BF715" s="23"/>
      <c r="BG715" s="23"/>
      <c r="BH715" s="23"/>
      <c r="BI715" s="23"/>
      <c r="BJ715" s="23"/>
      <c r="BK715" s="23"/>
      <c r="BL715" s="23"/>
      <c r="BM715" s="23"/>
      <c r="BN715" s="23"/>
      <c r="BO715" s="23"/>
      <c r="BP715" s="23"/>
      <c r="BQ715" s="23"/>
      <c r="BR715" s="23"/>
      <c r="BS715" s="23"/>
      <c r="BT715" s="23"/>
      <c r="BU715" s="23"/>
      <c r="BV715" s="23"/>
      <c r="BW715" s="23"/>
      <c r="BX715" s="23"/>
      <c r="BY715" s="23"/>
      <c r="BZ715" s="23"/>
      <c r="CA715" s="23"/>
      <c r="CB715" s="23"/>
      <c r="CC715" s="23"/>
      <c r="CD715" s="23"/>
      <c r="CE715" s="23"/>
      <c r="CF715" s="23"/>
      <c r="CG715" s="23"/>
      <c r="CH715" s="23"/>
      <c r="CI715" s="23"/>
      <c r="CJ715" s="23"/>
      <c r="CK715" s="23"/>
      <c r="CL715" s="23"/>
      <c r="CM715" s="23"/>
      <c r="CN715" s="23"/>
      <c r="CO715" s="23"/>
      <c r="CP715" s="23"/>
      <c r="CQ715" s="23"/>
      <c r="CR715" s="23"/>
      <c r="CS715" s="23"/>
      <c r="CT715" s="23"/>
      <c r="CU715" s="23"/>
      <c r="CV715" s="23"/>
      <c r="CW715" s="23"/>
      <c r="CX715" s="23"/>
      <c r="CY715" s="23"/>
      <c r="CZ715" s="23"/>
      <c r="DA715" s="23"/>
      <c r="DB715" s="23"/>
      <c r="DC715" s="23"/>
      <c r="DD715" s="23"/>
      <c r="DE715" s="23"/>
      <c r="DF715" s="23"/>
      <c r="DG715" s="23"/>
      <c r="DH715" s="23"/>
      <c r="DI715" s="23"/>
      <c r="DJ715" s="23"/>
      <c r="DK715" s="23"/>
      <c r="DL715" s="23"/>
      <c r="DM715" s="23"/>
      <c r="DN715" s="23"/>
      <c r="DO715" s="23"/>
      <c r="DP715" s="23"/>
      <c r="DQ715" s="23"/>
      <c r="DR715" s="23"/>
      <c r="DS715" s="23"/>
      <c r="DT715" s="23"/>
      <c r="DU715" s="23"/>
      <c r="DV715" s="23"/>
      <c r="DW715" s="23"/>
      <c r="DX715" s="23"/>
      <c r="DY715" s="23"/>
      <c r="DZ715" s="23"/>
      <c r="EA715" s="23"/>
      <c r="EB715" s="23"/>
      <c r="EC715" s="23"/>
      <c r="ED715" s="23"/>
      <c r="EE715" s="23"/>
      <c r="EF715" s="23"/>
      <c r="EG715" s="23"/>
      <c r="EH715" s="23"/>
      <c r="EI715" s="23"/>
      <c r="EJ715" s="23"/>
      <c r="EK715" s="23"/>
      <c r="EL715" s="23"/>
      <c r="EM715" s="23"/>
      <c r="EN715" s="23"/>
      <c r="EO715" s="23"/>
      <c r="EP715" s="23"/>
      <c r="EQ715" s="23"/>
      <c r="ER715" s="23"/>
      <c r="ES715" s="23"/>
      <c r="ET715" s="23"/>
      <c r="EU715" s="23"/>
      <c r="EV715" s="23"/>
      <c r="EW715" s="23"/>
      <c r="EX715" s="23"/>
      <c r="EY715" s="23"/>
      <c r="EZ715" s="23"/>
      <c r="FA715" s="23"/>
      <c r="FB715" s="23"/>
      <c r="FC715" s="23"/>
      <c r="FD715" s="23"/>
      <c r="FE715" s="23"/>
      <c r="FF715" s="23"/>
      <c r="FG715" s="23"/>
      <c r="FH715" s="23"/>
      <c r="FI715" s="23"/>
      <c r="FJ715" s="23"/>
      <c r="FK715" s="23"/>
      <c r="FL715" s="23"/>
      <c r="FM715" s="23"/>
      <c r="FN715" s="23"/>
      <c r="FO715" s="23"/>
      <c r="FP715" s="23"/>
      <c r="FQ715" s="23"/>
      <c r="FR715" s="23"/>
      <c r="FS715" s="23"/>
      <c r="FT715" s="23"/>
      <c r="FU715" s="23"/>
      <c r="FV715" s="23"/>
      <c r="FW715" s="23"/>
      <c r="FX715" s="23"/>
      <c r="FY715" s="23"/>
      <c r="FZ715" s="23"/>
      <c r="GA715" s="23"/>
      <c r="GB715" s="23"/>
      <c r="GC715" s="23"/>
      <c r="GD715" s="23"/>
      <c r="GE715" s="23"/>
      <c r="GF715" s="23"/>
      <c r="GG715" s="23"/>
      <c r="GH715" s="23"/>
      <c r="GI715" s="23"/>
      <c r="GJ715" s="23"/>
      <c r="GK715" s="23"/>
      <c r="GL715" s="23"/>
    </row>
    <row r="716" spans="1:194" ht="13">
      <c r="A716" s="23"/>
      <c r="B716" s="23"/>
      <c r="C716" s="23"/>
      <c r="D716" s="23"/>
      <c r="E716" s="23"/>
      <c r="F716" s="23"/>
      <c r="G716" s="23"/>
      <c r="H716" s="401"/>
      <c r="I716" s="401"/>
      <c r="J716" s="401"/>
      <c r="K716" s="401"/>
      <c r="L716" s="401"/>
      <c r="M716" s="438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  <c r="AL716" s="23"/>
      <c r="AM716" s="23"/>
      <c r="AN716" s="23"/>
      <c r="AO716" s="23"/>
      <c r="AP716" s="23"/>
      <c r="AQ716" s="23"/>
      <c r="AR716" s="23"/>
      <c r="AS716" s="23"/>
      <c r="AT716" s="23"/>
      <c r="AU716" s="23"/>
      <c r="AV716" s="23"/>
      <c r="AW716" s="23"/>
      <c r="AX716" s="23"/>
      <c r="AY716" s="23"/>
      <c r="AZ716" s="23"/>
      <c r="BA716" s="23"/>
      <c r="BB716" s="23"/>
      <c r="BC716" s="23"/>
      <c r="BD716" s="23"/>
      <c r="BE716" s="23"/>
      <c r="BF716" s="23"/>
      <c r="BG716" s="23"/>
      <c r="BH716" s="23"/>
      <c r="BI716" s="23"/>
      <c r="BJ716" s="23"/>
      <c r="BK716" s="23"/>
      <c r="BL716" s="23"/>
      <c r="BM716" s="23"/>
      <c r="BN716" s="23"/>
      <c r="BO716" s="23"/>
      <c r="BP716" s="23"/>
      <c r="BQ716" s="23"/>
      <c r="BR716" s="23"/>
      <c r="BS716" s="23"/>
      <c r="BT716" s="23"/>
      <c r="BU716" s="23"/>
      <c r="BV716" s="23"/>
      <c r="BW716" s="23"/>
      <c r="BX716" s="23"/>
      <c r="BY716" s="23"/>
      <c r="BZ716" s="23"/>
      <c r="CA716" s="23"/>
      <c r="CB716" s="23"/>
      <c r="CC716" s="23"/>
      <c r="CD716" s="23"/>
      <c r="CE716" s="23"/>
      <c r="CF716" s="23"/>
      <c r="CG716" s="23"/>
      <c r="CH716" s="23"/>
      <c r="CI716" s="23"/>
      <c r="CJ716" s="23"/>
      <c r="CK716" s="23"/>
      <c r="CL716" s="23"/>
      <c r="CM716" s="23"/>
      <c r="CN716" s="23"/>
      <c r="CO716" s="23"/>
      <c r="CP716" s="23"/>
      <c r="CQ716" s="23"/>
      <c r="CR716" s="23"/>
      <c r="CS716" s="23"/>
      <c r="CT716" s="23"/>
      <c r="CU716" s="23"/>
      <c r="CV716" s="23"/>
      <c r="CW716" s="23"/>
      <c r="CX716" s="23"/>
      <c r="CY716" s="23"/>
      <c r="CZ716" s="23"/>
      <c r="DA716" s="23"/>
      <c r="DB716" s="23"/>
      <c r="DC716" s="23"/>
      <c r="DD716" s="23"/>
      <c r="DE716" s="23"/>
      <c r="DF716" s="23"/>
      <c r="DG716" s="23"/>
      <c r="DH716" s="23"/>
      <c r="DI716" s="23"/>
      <c r="DJ716" s="23"/>
      <c r="DK716" s="23"/>
      <c r="DL716" s="23"/>
      <c r="DM716" s="23"/>
      <c r="DN716" s="23"/>
      <c r="DO716" s="23"/>
      <c r="DP716" s="23"/>
      <c r="DQ716" s="23"/>
      <c r="DR716" s="23"/>
      <c r="DS716" s="23"/>
      <c r="DT716" s="23"/>
      <c r="DU716" s="23"/>
      <c r="DV716" s="23"/>
      <c r="DW716" s="23"/>
      <c r="DX716" s="23"/>
      <c r="DY716" s="23"/>
      <c r="DZ716" s="23"/>
      <c r="EA716" s="23"/>
      <c r="EB716" s="23"/>
      <c r="EC716" s="23"/>
      <c r="ED716" s="23"/>
      <c r="EE716" s="23"/>
      <c r="EF716" s="23"/>
      <c r="EG716" s="23"/>
      <c r="EH716" s="23"/>
      <c r="EI716" s="23"/>
      <c r="EJ716" s="23"/>
      <c r="EK716" s="23"/>
      <c r="EL716" s="23"/>
      <c r="EM716" s="23"/>
      <c r="EN716" s="23"/>
      <c r="EO716" s="23"/>
      <c r="EP716" s="23"/>
      <c r="EQ716" s="23"/>
      <c r="ER716" s="23"/>
      <c r="ES716" s="23"/>
      <c r="ET716" s="23"/>
      <c r="EU716" s="23"/>
      <c r="EV716" s="23"/>
      <c r="EW716" s="23"/>
      <c r="EX716" s="23"/>
      <c r="EY716" s="23"/>
      <c r="EZ716" s="23"/>
      <c r="FA716" s="23"/>
      <c r="FB716" s="23"/>
      <c r="FC716" s="23"/>
      <c r="FD716" s="23"/>
      <c r="FE716" s="23"/>
      <c r="FF716" s="23"/>
      <c r="FG716" s="23"/>
      <c r="FH716" s="23"/>
      <c r="FI716" s="23"/>
      <c r="FJ716" s="23"/>
      <c r="FK716" s="23"/>
      <c r="FL716" s="23"/>
      <c r="FM716" s="23"/>
      <c r="FN716" s="23"/>
      <c r="FO716" s="23"/>
      <c r="FP716" s="23"/>
      <c r="FQ716" s="23"/>
      <c r="FR716" s="23"/>
      <c r="FS716" s="23"/>
      <c r="FT716" s="23"/>
      <c r="FU716" s="23"/>
      <c r="FV716" s="23"/>
      <c r="FW716" s="23"/>
      <c r="FX716" s="23"/>
      <c r="FY716" s="23"/>
      <c r="FZ716" s="23"/>
      <c r="GA716" s="23"/>
      <c r="GB716" s="23"/>
      <c r="GC716" s="23"/>
      <c r="GD716" s="23"/>
      <c r="GE716" s="23"/>
      <c r="GF716" s="23"/>
      <c r="GG716" s="23"/>
      <c r="GH716" s="23"/>
      <c r="GI716" s="23"/>
      <c r="GJ716" s="23"/>
      <c r="GK716" s="23"/>
      <c r="GL716" s="23"/>
    </row>
    <row r="717" spans="1:194" ht="13">
      <c r="A717" s="23"/>
      <c r="B717" s="23"/>
      <c r="C717" s="23"/>
      <c r="D717" s="23"/>
      <c r="E717" s="23"/>
      <c r="F717" s="23"/>
      <c r="G717" s="23"/>
      <c r="H717" s="401"/>
      <c r="I717" s="401"/>
      <c r="J717" s="401"/>
      <c r="K717" s="401"/>
      <c r="L717" s="401"/>
      <c r="M717" s="438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  <c r="AL717" s="23"/>
      <c r="AM717" s="23"/>
      <c r="AN717" s="23"/>
      <c r="AO717" s="23"/>
      <c r="AP717" s="23"/>
      <c r="AQ717" s="23"/>
      <c r="AR717" s="23"/>
      <c r="AS717" s="23"/>
      <c r="AT717" s="23"/>
      <c r="AU717" s="23"/>
      <c r="AV717" s="23"/>
      <c r="AW717" s="23"/>
      <c r="AX717" s="23"/>
      <c r="AY717" s="23"/>
      <c r="AZ717" s="23"/>
      <c r="BA717" s="23"/>
      <c r="BB717" s="23"/>
      <c r="BC717" s="23"/>
      <c r="BD717" s="23"/>
      <c r="BE717" s="23"/>
      <c r="BF717" s="23"/>
      <c r="BG717" s="23"/>
      <c r="BH717" s="23"/>
      <c r="BI717" s="23"/>
      <c r="BJ717" s="23"/>
      <c r="BK717" s="23"/>
      <c r="BL717" s="23"/>
      <c r="BM717" s="23"/>
      <c r="BN717" s="23"/>
      <c r="BO717" s="23"/>
      <c r="BP717" s="23"/>
      <c r="BQ717" s="23"/>
      <c r="BR717" s="23"/>
      <c r="BS717" s="23"/>
      <c r="BT717" s="23"/>
      <c r="BU717" s="23"/>
      <c r="BV717" s="23"/>
      <c r="BW717" s="23"/>
      <c r="BX717" s="23"/>
      <c r="BY717" s="23"/>
      <c r="BZ717" s="23"/>
      <c r="CA717" s="23"/>
      <c r="CB717" s="23"/>
      <c r="CC717" s="23"/>
      <c r="CD717" s="23"/>
      <c r="CE717" s="23"/>
      <c r="CF717" s="23"/>
      <c r="CG717" s="23"/>
      <c r="CH717" s="23"/>
      <c r="CI717" s="23"/>
      <c r="CJ717" s="23"/>
      <c r="CK717" s="23"/>
      <c r="CL717" s="23"/>
      <c r="CM717" s="23"/>
      <c r="CN717" s="23"/>
      <c r="CO717" s="23"/>
      <c r="CP717" s="23"/>
      <c r="CQ717" s="23"/>
      <c r="CR717" s="23"/>
      <c r="CS717" s="23"/>
      <c r="CT717" s="23"/>
      <c r="CU717" s="23"/>
      <c r="CV717" s="23"/>
      <c r="CW717" s="23"/>
      <c r="CX717" s="23"/>
      <c r="CY717" s="23"/>
      <c r="CZ717" s="23"/>
      <c r="DA717" s="23"/>
      <c r="DB717" s="23"/>
      <c r="DC717" s="23"/>
      <c r="DD717" s="23"/>
      <c r="DE717" s="23"/>
      <c r="DF717" s="23"/>
      <c r="DG717" s="23"/>
      <c r="DH717" s="23"/>
      <c r="DI717" s="23"/>
      <c r="DJ717" s="23"/>
      <c r="DK717" s="23"/>
      <c r="DL717" s="23"/>
      <c r="DM717" s="23"/>
      <c r="DN717" s="23"/>
      <c r="DO717" s="23"/>
      <c r="DP717" s="23"/>
      <c r="DQ717" s="23"/>
      <c r="DR717" s="23"/>
      <c r="DS717" s="23"/>
      <c r="DT717" s="23"/>
      <c r="DU717" s="23"/>
      <c r="DV717" s="23"/>
      <c r="DW717" s="23"/>
      <c r="DX717" s="23"/>
      <c r="DY717" s="23"/>
      <c r="DZ717" s="23"/>
      <c r="EA717" s="23"/>
      <c r="EB717" s="23"/>
      <c r="EC717" s="23"/>
      <c r="ED717" s="23"/>
      <c r="EE717" s="23"/>
      <c r="EF717" s="23"/>
      <c r="EG717" s="23"/>
      <c r="EH717" s="23"/>
      <c r="EI717" s="23"/>
      <c r="EJ717" s="23"/>
      <c r="EK717" s="23"/>
      <c r="EL717" s="23"/>
      <c r="EM717" s="23"/>
      <c r="EN717" s="23"/>
      <c r="EO717" s="23"/>
      <c r="EP717" s="23"/>
      <c r="EQ717" s="23"/>
      <c r="ER717" s="23"/>
      <c r="ES717" s="23"/>
      <c r="ET717" s="23"/>
      <c r="EU717" s="23"/>
      <c r="EV717" s="23"/>
      <c r="EW717" s="23"/>
      <c r="EX717" s="23"/>
      <c r="EY717" s="23"/>
      <c r="EZ717" s="23"/>
      <c r="FA717" s="23"/>
      <c r="FB717" s="23"/>
      <c r="FC717" s="23"/>
      <c r="FD717" s="23"/>
      <c r="FE717" s="23"/>
      <c r="FF717" s="23"/>
      <c r="FG717" s="23"/>
      <c r="FH717" s="23"/>
      <c r="FI717" s="23"/>
      <c r="FJ717" s="23"/>
      <c r="FK717" s="23"/>
      <c r="FL717" s="23"/>
      <c r="FM717" s="23"/>
      <c r="FN717" s="23"/>
      <c r="FO717" s="23"/>
      <c r="FP717" s="23"/>
      <c r="FQ717" s="23"/>
      <c r="FR717" s="23"/>
      <c r="FS717" s="23"/>
      <c r="FT717" s="23"/>
      <c r="FU717" s="23"/>
      <c r="FV717" s="23"/>
      <c r="FW717" s="23"/>
      <c r="FX717" s="23"/>
      <c r="FY717" s="23"/>
      <c r="FZ717" s="23"/>
      <c r="GA717" s="23"/>
      <c r="GB717" s="23"/>
      <c r="GC717" s="23"/>
      <c r="GD717" s="23"/>
      <c r="GE717" s="23"/>
      <c r="GF717" s="23"/>
      <c r="GG717" s="23"/>
      <c r="GH717" s="23"/>
      <c r="GI717" s="23"/>
      <c r="GJ717" s="23"/>
      <c r="GK717" s="23"/>
      <c r="GL717" s="23"/>
    </row>
    <row r="718" spans="1:194" ht="13">
      <c r="A718" s="23"/>
      <c r="B718" s="23"/>
      <c r="C718" s="23"/>
      <c r="D718" s="23"/>
      <c r="E718" s="23"/>
      <c r="F718" s="23"/>
      <c r="G718" s="23"/>
      <c r="H718" s="401"/>
      <c r="I718" s="401"/>
      <c r="J718" s="401"/>
      <c r="K718" s="401"/>
      <c r="L718" s="401"/>
      <c r="M718" s="438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  <c r="AL718" s="23"/>
      <c r="AM718" s="23"/>
      <c r="AN718" s="23"/>
      <c r="AO718" s="23"/>
      <c r="AP718" s="23"/>
      <c r="AQ718" s="23"/>
      <c r="AR718" s="23"/>
      <c r="AS718" s="23"/>
      <c r="AT718" s="23"/>
      <c r="AU718" s="23"/>
      <c r="AV718" s="23"/>
      <c r="AW718" s="23"/>
      <c r="AX718" s="23"/>
      <c r="AY718" s="23"/>
      <c r="AZ718" s="23"/>
      <c r="BA718" s="23"/>
      <c r="BB718" s="23"/>
      <c r="BC718" s="23"/>
      <c r="BD718" s="23"/>
      <c r="BE718" s="23"/>
      <c r="BF718" s="23"/>
      <c r="BG718" s="23"/>
      <c r="BH718" s="23"/>
      <c r="BI718" s="23"/>
      <c r="BJ718" s="23"/>
      <c r="BK718" s="23"/>
      <c r="BL718" s="23"/>
      <c r="BM718" s="23"/>
      <c r="BN718" s="23"/>
      <c r="BO718" s="23"/>
      <c r="BP718" s="23"/>
      <c r="BQ718" s="23"/>
      <c r="BR718" s="23"/>
      <c r="BS718" s="23"/>
      <c r="BT718" s="23"/>
      <c r="BU718" s="23"/>
      <c r="BV718" s="23"/>
      <c r="BW718" s="23"/>
      <c r="BX718" s="23"/>
      <c r="BY718" s="23"/>
      <c r="BZ718" s="23"/>
      <c r="CA718" s="23"/>
      <c r="CB718" s="23"/>
      <c r="CC718" s="23"/>
      <c r="CD718" s="23"/>
      <c r="CE718" s="23"/>
      <c r="CF718" s="23"/>
      <c r="CG718" s="23"/>
      <c r="CH718" s="23"/>
      <c r="CI718" s="23"/>
      <c r="CJ718" s="23"/>
      <c r="CK718" s="23"/>
      <c r="CL718" s="23"/>
      <c r="CM718" s="23"/>
      <c r="CN718" s="23"/>
      <c r="CO718" s="23"/>
      <c r="CP718" s="23"/>
      <c r="CQ718" s="23"/>
      <c r="CR718" s="23"/>
      <c r="CS718" s="23"/>
      <c r="CT718" s="23"/>
      <c r="CU718" s="23"/>
      <c r="CV718" s="23"/>
      <c r="CW718" s="23"/>
      <c r="CX718" s="23"/>
      <c r="CY718" s="23"/>
      <c r="CZ718" s="23"/>
      <c r="DA718" s="23"/>
      <c r="DB718" s="23"/>
      <c r="DC718" s="23"/>
      <c r="DD718" s="23"/>
      <c r="DE718" s="23"/>
      <c r="DF718" s="23"/>
      <c r="DG718" s="23"/>
      <c r="DH718" s="23"/>
      <c r="DI718" s="23"/>
      <c r="DJ718" s="23"/>
      <c r="DK718" s="23"/>
      <c r="DL718" s="23"/>
      <c r="DM718" s="23"/>
      <c r="DN718" s="23"/>
      <c r="DO718" s="23"/>
      <c r="DP718" s="23"/>
      <c r="DQ718" s="23"/>
      <c r="DR718" s="23"/>
      <c r="DS718" s="23"/>
      <c r="DT718" s="23"/>
      <c r="DU718" s="23"/>
      <c r="DV718" s="23"/>
      <c r="DW718" s="23"/>
      <c r="DX718" s="23"/>
      <c r="DY718" s="23"/>
      <c r="DZ718" s="23"/>
      <c r="EA718" s="23"/>
      <c r="EB718" s="23"/>
      <c r="EC718" s="23"/>
      <c r="ED718" s="23"/>
      <c r="EE718" s="23"/>
      <c r="EF718" s="23"/>
      <c r="EG718" s="23"/>
      <c r="EH718" s="23"/>
      <c r="EI718" s="23"/>
      <c r="EJ718" s="23"/>
      <c r="EK718" s="23"/>
      <c r="EL718" s="23"/>
      <c r="EM718" s="23"/>
      <c r="EN718" s="23"/>
      <c r="EO718" s="23"/>
      <c r="EP718" s="23"/>
      <c r="EQ718" s="23"/>
      <c r="ER718" s="23"/>
      <c r="ES718" s="23"/>
      <c r="ET718" s="23"/>
      <c r="EU718" s="23"/>
      <c r="EV718" s="23"/>
      <c r="EW718" s="23"/>
      <c r="EX718" s="23"/>
      <c r="EY718" s="23"/>
      <c r="EZ718" s="23"/>
      <c r="FA718" s="23"/>
      <c r="FB718" s="23"/>
      <c r="FC718" s="23"/>
      <c r="FD718" s="23"/>
      <c r="FE718" s="23"/>
      <c r="FF718" s="23"/>
      <c r="FG718" s="23"/>
      <c r="FH718" s="23"/>
      <c r="FI718" s="23"/>
      <c r="FJ718" s="23"/>
      <c r="FK718" s="23"/>
      <c r="FL718" s="23"/>
      <c r="FM718" s="23"/>
      <c r="FN718" s="23"/>
      <c r="FO718" s="23"/>
      <c r="FP718" s="23"/>
      <c r="FQ718" s="23"/>
      <c r="FR718" s="23"/>
      <c r="FS718" s="23"/>
      <c r="FT718" s="23"/>
      <c r="FU718" s="23"/>
      <c r="FV718" s="23"/>
      <c r="FW718" s="23"/>
      <c r="FX718" s="23"/>
      <c r="FY718" s="23"/>
      <c r="FZ718" s="23"/>
      <c r="GA718" s="23"/>
      <c r="GB718" s="23"/>
      <c r="GC718" s="23"/>
      <c r="GD718" s="23"/>
      <c r="GE718" s="23"/>
      <c r="GF718" s="23"/>
      <c r="GG718" s="23"/>
      <c r="GH718" s="23"/>
      <c r="GI718" s="23"/>
      <c r="GJ718" s="23"/>
      <c r="GK718" s="23"/>
      <c r="GL718" s="23"/>
    </row>
    <row r="719" spans="1:194" ht="13">
      <c r="A719" s="23"/>
      <c r="B719" s="23"/>
      <c r="C719" s="23"/>
      <c r="D719" s="23"/>
      <c r="E719" s="23"/>
      <c r="F719" s="23"/>
      <c r="G719" s="23"/>
      <c r="H719" s="401"/>
      <c r="I719" s="401"/>
      <c r="J719" s="401"/>
      <c r="K719" s="401"/>
      <c r="L719" s="401"/>
      <c r="M719" s="438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  <c r="AL719" s="23"/>
      <c r="AM719" s="23"/>
      <c r="AN719" s="23"/>
      <c r="AO719" s="23"/>
      <c r="AP719" s="23"/>
      <c r="AQ719" s="23"/>
      <c r="AR719" s="23"/>
      <c r="AS719" s="23"/>
      <c r="AT719" s="23"/>
      <c r="AU719" s="23"/>
      <c r="AV719" s="23"/>
      <c r="AW719" s="23"/>
      <c r="AX719" s="23"/>
      <c r="AY719" s="23"/>
      <c r="AZ719" s="23"/>
      <c r="BA719" s="23"/>
      <c r="BB719" s="23"/>
      <c r="BC719" s="23"/>
      <c r="BD719" s="23"/>
      <c r="BE719" s="23"/>
      <c r="BF719" s="23"/>
      <c r="BG719" s="23"/>
      <c r="BH719" s="23"/>
      <c r="BI719" s="23"/>
      <c r="BJ719" s="23"/>
      <c r="BK719" s="23"/>
      <c r="BL719" s="23"/>
      <c r="BM719" s="23"/>
      <c r="BN719" s="23"/>
      <c r="BO719" s="23"/>
      <c r="BP719" s="23"/>
      <c r="BQ719" s="23"/>
      <c r="BR719" s="23"/>
      <c r="BS719" s="23"/>
      <c r="BT719" s="23"/>
      <c r="BU719" s="23"/>
      <c r="BV719" s="23"/>
      <c r="BW719" s="23"/>
      <c r="BX719" s="23"/>
      <c r="BY719" s="23"/>
      <c r="BZ719" s="23"/>
      <c r="CA719" s="23"/>
      <c r="CB719" s="23"/>
      <c r="CC719" s="23"/>
      <c r="CD719" s="23"/>
      <c r="CE719" s="23"/>
      <c r="CF719" s="23"/>
      <c r="CG719" s="23"/>
      <c r="CH719" s="23"/>
      <c r="CI719" s="23"/>
      <c r="CJ719" s="23"/>
      <c r="CK719" s="23"/>
      <c r="CL719" s="23"/>
      <c r="CM719" s="23"/>
      <c r="CN719" s="23"/>
      <c r="CO719" s="23"/>
      <c r="CP719" s="23"/>
      <c r="CQ719" s="23"/>
      <c r="CR719" s="23"/>
      <c r="CS719" s="23"/>
      <c r="CT719" s="23"/>
      <c r="CU719" s="23"/>
      <c r="CV719" s="23"/>
      <c r="CW719" s="23"/>
      <c r="CX719" s="23"/>
      <c r="CY719" s="23"/>
      <c r="CZ719" s="23"/>
      <c r="DA719" s="23"/>
      <c r="DB719" s="23"/>
      <c r="DC719" s="23"/>
      <c r="DD719" s="23"/>
      <c r="DE719" s="23"/>
      <c r="DF719" s="23"/>
      <c r="DG719" s="23"/>
      <c r="DH719" s="23"/>
      <c r="DI719" s="23"/>
      <c r="DJ719" s="23"/>
      <c r="DK719" s="23"/>
      <c r="DL719" s="23"/>
      <c r="DM719" s="23"/>
      <c r="DN719" s="23"/>
      <c r="DO719" s="23"/>
      <c r="DP719" s="23"/>
      <c r="DQ719" s="23"/>
      <c r="DR719" s="23"/>
      <c r="DS719" s="23"/>
      <c r="DT719" s="23"/>
      <c r="DU719" s="23"/>
      <c r="DV719" s="23"/>
      <c r="DW719" s="23"/>
      <c r="DX719" s="23"/>
      <c r="DY719" s="23"/>
      <c r="DZ719" s="23"/>
      <c r="EA719" s="23"/>
      <c r="EB719" s="23"/>
      <c r="EC719" s="23"/>
      <c r="ED719" s="23"/>
      <c r="EE719" s="23"/>
      <c r="EF719" s="23"/>
      <c r="EG719" s="23"/>
      <c r="EH719" s="23"/>
      <c r="EI719" s="23"/>
      <c r="EJ719" s="23"/>
      <c r="EK719" s="23"/>
      <c r="EL719" s="23"/>
      <c r="EM719" s="23"/>
      <c r="EN719" s="23"/>
      <c r="EO719" s="23"/>
      <c r="EP719" s="23"/>
      <c r="EQ719" s="23"/>
      <c r="ER719" s="23"/>
      <c r="ES719" s="23"/>
      <c r="ET719" s="23"/>
      <c r="EU719" s="23"/>
      <c r="EV719" s="23"/>
      <c r="EW719" s="23"/>
      <c r="EX719" s="23"/>
      <c r="EY719" s="23"/>
      <c r="EZ719" s="23"/>
      <c r="FA719" s="23"/>
      <c r="FB719" s="23"/>
      <c r="FC719" s="23"/>
      <c r="FD719" s="23"/>
      <c r="FE719" s="23"/>
      <c r="FF719" s="23"/>
      <c r="FG719" s="23"/>
      <c r="FH719" s="23"/>
      <c r="FI719" s="23"/>
      <c r="FJ719" s="23"/>
      <c r="FK719" s="23"/>
      <c r="FL719" s="23"/>
      <c r="FM719" s="23"/>
      <c r="FN719" s="23"/>
      <c r="FO719" s="23"/>
      <c r="FP719" s="23"/>
      <c r="FQ719" s="23"/>
      <c r="FR719" s="23"/>
      <c r="FS719" s="23"/>
      <c r="FT719" s="23"/>
      <c r="FU719" s="23"/>
      <c r="FV719" s="23"/>
      <c r="FW719" s="23"/>
      <c r="FX719" s="23"/>
      <c r="FY719" s="23"/>
      <c r="FZ719" s="23"/>
      <c r="GA719" s="23"/>
      <c r="GB719" s="23"/>
      <c r="GC719" s="23"/>
      <c r="GD719" s="23"/>
      <c r="GE719" s="23"/>
      <c r="GF719" s="23"/>
      <c r="GG719" s="23"/>
      <c r="GH719" s="23"/>
      <c r="GI719" s="23"/>
      <c r="GJ719" s="23"/>
      <c r="GK719" s="23"/>
      <c r="GL719" s="23"/>
    </row>
    <row r="720" spans="1:194" ht="13">
      <c r="A720" s="23"/>
      <c r="B720" s="23"/>
      <c r="C720" s="23"/>
      <c r="D720" s="23"/>
      <c r="E720" s="23"/>
      <c r="F720" s="23"/>
      <c r="G720" s="23"/>
      <c r="H720" s="401"/>
      <c r="I720" s="401"/>
      <c r="J720" s="401"/>
      <c r="K720" s="401"/>
      <c r="L720" s="401"/>
      <c r="M720" s="438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  <c r="AL720" s="23"/>
      <c r="AM720" s="23"/>
      <c r="AN720" s="23"/>
      <c r="AO720" s="23"/>
      <c r="AP720" s="23"/>
      <c r="AQ720" s="23"/>
      <c r="AR720" s="23"/>
      <c r="AS720" s="23"/>
      <c r="AT720" s="23"/>
      <c r="AU720" s="23"/>
      <c r="AV720" s="23"/>
      <c r="AW720" s="23"/>
      <c r="AX720" s="23"/>
      <c r="AY720" s="23"/>
      <c r="AZ720" s="23"/>
      <c r="BA720" s="23"/>
      <c r="BB720" s="23"/>
      <c r="BC720" s="23"/>
      <c r="BD720" s="23"/>
      <c r="BE720" s="23"/>
      <c r="BF720" s="23"/>
      <c r="BG720" s="23"/>
      <c r="BH720" s="23"/>
      <c r="BI720" s="23"/>
      <c r="BJ720" s="23"/>
      <c r="BK720" s="23"/>
      <c r="BL720" s="23"/>
      <c r="BM720" s="23"/>
      <c r="BN720" s="23"/>
      <c r="BO720" s="23"/>
      <c r="BP720" s="23"/>
      <c r="BQ720" s="23"/>
      <c r="BR720" s="23"/>
      <c r="BS720" s="23"/>
      <c r="BT720" s="23"/>
      <c r="BU720" s="23"/>
      <c r="BV720" s="23"/>
      <c r="BW720" s="23"/>
      <c r="BX720" s="23"/>
      <c r="BY720" s="23"/>
      <c r="BZ720" s="23"/>
      <c r="CA720" s="23"/>
      <c r="CB720" s="23"/>
      <c r="CC720" s="23"/>
      <c r="CD720" s="23"/>
      <c r="CE720" s="23"/>
      <c r="CF720" s="23"/>
      <c r="CG720" s="23"/>
      <c r="CH720" s="23"/>
      <c r="CI720" s="23"/>
      <c r="CJ720" s="23"/>
      <c r="CK720" s="23"/>
      <c r="CL720" s="23"/>
      <c r="CM720" s="23"/>
      <c r="CN720" s="23"/>
      <c r="CO720" s="23"/>
      <c r="CP720" s="23"/>
      <c r="CQ720" s="23"/>
      <c r="CR720" s="23"/>
      <c r="CS720" s="23"/>
      <c r="CT720" s="23"/>
      <c r="CU720" s="23"/>
      <c r="CV720" s="23"/>
      <c r="CW720" s="23"/>
      <c r="CX720" s="23"/>
      <c r="CY720" s="23"/>
      <c r="CZ720" s="23"/>
      <c r="DA720" s="23"/>
      <c r="DB720" s="23"/>
      <c r="DC720" s="23"/>
      <c r="DD720" s="23"/>
      <c r="DE720" s="23"/>
      <c r="DF720" s="23"/>
      <c r="DG720" s="23"/>
      <c r="DH720" s="23"/>
      <c r="DI720" s="23"/>
      <c r="DJ720" s="23"/>
      <c r="DK720" s="23"/>
      <c r="DL720" s="23"/>
      <c r="DM720" s="23"/>
      <c r="DN720" s="23"/>
      <c r="DO720" s="23"/>
      <c r="DP720" s="23"/>
      <c r="DQ720" s="23"/>
      <c r="DR720" s="23"/>
      <c r="DS720" s="23"/>
      <c r="DT720" s="23"/>
      <c r="DU720" s="23"/>
      <c r="DV720" s="23"/>
      <c r="DW720" s="23"/>
      <c r="DX720" s="23"/>
      <c r="DY720" s="23"/>
      <c r="DZ720" s="23"/>
      <c r="EA720" s="23"/>
      <c r="EB720" s="23"/>
      <c r="EC720" s="23"/>
      <c r="ED720" s="23"/>
      <c r="EE720" s="23"/>
      <c r="EF720" s="23"/>
      <c r="EG720" s="23"/>
      <c r="EH720" s="23"/>
      <c r="EI720" s="23"/>
      <c r="EJ720" s="23"/>
      <c r="EK720" s="23"/>
      <c r="EL720" s="23"/>
      <c r="EM720" s="23"/>
      <c r="EN720" s="23"/>
      <c r="EO720" s="23"/>
      <c r="EP720" s="23"/>
      <c r="EQ720" s="23"/>
      <c r="ER720" s="23"/>
      <c r="ES720" s="23"/>
      <c r="ET720" s="23"/>
      <c r="EU720" s="23"/>
      <c r="EV720" s="23"/>
      <c r="EW720" s="23"/>
      <c r="EX720" s="23"/>
      <c r="EY720" s="23"/>
      <c r="EZ720" s="23"/>
      <c r="FA720" s="23"/>
      <c r="FB720" s="23"/>
      <c r="FC720" s="23"/>
      <c r="FD720" s="23"/>
      <c r="FE720" s="23"/>
      <c r="FF720" s="23"/>
      <c r="FG720" s="23"/>
      <c r="FH720" s="23"/>
      <c r="FI720" s="23"/>
      <c r="FJ720" s="23"/>
      <c r="FK720" s="23"/>
      <c r="FL720" s="23"/>
      <c r="FM720" s="23"/>
      <c r="FN720" s="23"/>
      <c r="FO720" s="23"/>
      <c r="FP720" s="23"/>
      <c r="FQ720" s="23"/>
      <c r="FR720" s="23"/>
      <c r="FS720" s="23"/>
      <c r="FT720" s="23"/>
      <c r="FU720" s="23"/>
      <c r="FV720" s="23"/>
      <c r="FW720" s="23"/>
      <c r="FX720" s="23"/>
      <c r="FY720" s="23"/>
      <c r="FZ720" s="23"/>
      <c r="GA720" s="23"/>
      <c r="GB720" s="23"/>
      <c r="GC720" s="23"/>
      <c r="GD720" s="23"/>
      <c r="GE720" s="23"/>
      <c r="GF720" s="23"/>
      <c r="GG720" s="23"/>
      <c r="GH720" s="23"/>
      <c r="GI720" s="23"/>
      <c r="GJ720" s="23"/>
      <c r="GK720" s="23"/>
      <c r="GL720" s="23"/>
    </row>
    <row r="721" spans="1:194" ht="13">
      <c r="A721" s="23"/>
      <c r="B721" s="23"/>
      <c r="C721" s="23"/>
      <c r="D721" s="23"/>
      <c r="E721" s="23"/>
      <c r="F721" s="23"/>
      <c r="G721" s="23"/>
      <c r="H721" s="401"/>
      <c r="I721" s="401"/>
      <c r="J721" s="401"/>
      <c r="K721" s="401"/>
      <c r="L721" s="401"/>
      <c r="M721" s="438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  <c r="AL721" s="23"/>
      <c r="AM721" s="23"/>
      <c r="AN721" s="23"/>
      <c r="AO721" s="23"/>
      <c r="AP721" s="23"/>
      <c r="AQ721" s="23"/>
      <c r="AR721" s="23"/>
      <c r="AS721" s="23"/>
      <c r="AT721" s="23"/>
      <c r="AU721" s="23"/>
      <c r="AV721" s="23"/>
      <c r="AW721" s="23"/>
      <c r="AX721" s="23"/>
      <c r="AY721" s="23"/>
      <c r="AZ721" s="23"/>
      <c r="BA721" s="23"/>
      <c r="BB721" s="23"/>
      <c r="BC721" s="23"/>
      <c r="BD721" s="23"/>
      <c r="BE721" s="23"/>
      <c r="BF721" s="23"/>
      <c r="BG721" s="23"/>
      <c r="BH721" s="23"/>
      <c r="BI721" s="23"/>
      <c r="BJ721" s="23"/>
      <c r="BK721" s="23"/>
      <c r="BL721" s="23"/>
      <c r="BM721" s="23"/>
      <c r="BN721" s="23"/>
      <c r="BO721" s="23"/>
      <c r="BP721" s="23"/>
      <c r="BQ721" s="23"/>
      <c r="BR721" s="23"/>
      <c r="BS721" s="23"/>
      <c r="BT721" s="23"/>
      <c r="BU721" s="23"/>
      <c r="BV721" s="23"/>
      <c r="BW721" s="23"/>
      <c r="BX721" s="23"/>
      <c r="BY721" s="23"/>
      <c r="BZ721" s="23"/>
      <c r="CA721" s="23"/>
      <c r="CB721" s="23"/>
      <c r="CC721" s="23"/>
      <c r="CD721" s="23"/>
      <c r="CE721" s="23"/>
      <c r="CF721" s="23"/>
      <c r="CG721" s="23"/>
      <c r="CH721" s="23"/>
      <c r="CI721" s="23"/>
      <c r="CJ721" s="23"/>
      <c r="CK721" s="23"/>
      <c r="CL721" s="23"/>
      <c r="CM721" s="23"/>
      <c r="CN721" s="23"/>
      <c r="CO721" s="23"/>
      <c r="CP721" s="23"/>
      <c r="CQ721" s="23"/>
      <c r="CR721" s="23"/>
      <c r="CS721" s="23"/>
      <c r="CT721" s="23"/>
      <c r="CU721" s="23"/>
      <c r="CV721" s="23"/>
      <c r="CW721" s="23"/>
      <c r="CX721" s="23"/>
      <c r="CY721" s="23"/>
      <c r="CZ721" s="23"/>
      <c r="DA721" s="23"/>
      <c r="DB721" s="23"/>
      <c r="DC721" s="23"/>
      <c r="DD721" s="23"/>
      <c r="DE721" s="23"/>
      <c r="DF721" s="23"/>
      <c r="DG721" s="23"/>
      <c r="DH721" s="23"/>
      <c r="DI721" s="23"/>
      <c r="DJ721" s="23"/>
      <c r="DK721" s="23"/>
      <c r="DL721" s="23"/>
      <c r="DM721" s="23"/>
      <c r="DN721" s="23"/>
      <c r="DO721" s="23"/>
      <c r="DP721" s="23"/>
      <c r="DQ721" s="23"/>
      <c r="DR721" s="23"/>
      <c r="DS721" s="23"/>
      <c r="DT721" s="23"/>
      <c r="DU721" s="23"/>
      <c r="DV721" s="23"/>
      <c r="DW721" s="23"/>
      <c r="DX721" s="23"/>
      <c r="DY721" s="23"/>
      <c r="DZ721" s="23"/>
      <c r="EA721" s="23"/>
      <c r="EB721" s="23"/>
      <c r="EC721" s="23"/>
      <c r="ED721" s="23"/>
      <c r="EE721" s="23"/>
      <c r="EF721" s="23"/>
      <c r="EG721" s="23"/>
      <c r="EH721" s="23"/>
      <c r="EI721" s="23"/>
      <c r="EJ721" s="23"/>
      <c r="EK721" s="23"/>
      <c r="EL721" s="23"/>
      <c r="EM721" s="23"/>
      <c r="EN721" s="23"/>
      <c r="EO721" s="23"/>
      <c r="EP721" s="23"/>
      <c r="EQ721" s="23"/>
      <c r="ER721" s="23"/>
      <c r="ES721" s="23"/>
      <c r="ET721" s="23"/>
      <c r="EU721" s="23"/>
      <c r="EV721" s="23"/>
      <c r="EW721" s="23"/>
      <c r="EX721" s="23"/>
      <c r="EY721" s="23"/>
      <c r="EZ721" s="23"/>
      <c r="FA721" s="23"/>
      <c r="FB721" s="23"/>
      <c r="FC721" s="23"/>
      <c r="FD721" s="23"/>
      <c r="FE721" s="23"/>
      <c r="FF721" s="23"/>
      <c r="FG721" s="23"/>
      <c r="FH721" s="23"/>
      <c r="FI721" s="23"/>
      <c r="FJ721" s="23"/>
      <c r="FK721" s="23"/>
      <c r="FL721" s="23"/>
      <c r="FM721" s="23"/>
      <c r="FN721" s="23"/>
      <c r="FO721" s="23"/>
      <c r="FP721" s="23"/>
      <c r="FQ721" s="23"/>
      <c r="FR721" s="23"/>
      <c r="FS721" s="23"/>
      <c r="FT721" s="23"/>
      <c r="FU721" s="23"/>
      <c r="FV721" s="23"/>
      <c r="FW721" s="23"/>
      <c r="FX721" s="23"/>
      <c r="FY721" s="23"/>
      <c r="FZ721" s="23"/>
      <c r="GA721" s="23"/>
      <c r="GB721" s="23"/>
      <c r="GC721" s="23"/>
      <c r="GD721" s="23"/>
      <c r="GE721" s="23"/>
      <c r="GF721" s="23"/>
      <c r="GG721" s="23"/>
      <c r="GH721" s="23"/>
      <c r="GI721" s="23"/>
      <c r="GJ721" s="23"/>
      <c r="GK721" s="23"/>
      <c r="GL721" s="23"/>
    </row>
    <row r="722" spans="1:194" ht="13">
      <c r="A722" s="23"/>
      <c r="B722" s="23"/>
      <c r="C722" s="23"/>
      <c r="D722" s="23"/>
      <c r="E722" s="23"/>
      <c r="F722" s="23"/>
      <c r="G722" s="23"/>
      <c r="H722" s="401"/>
      <c r="I722" s="401"/>
      <c r="J722" s="401"/>
      <c r="K722" s="401"/>
      <c r="L722" s="401"/>
      <c r="M722" s="438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  <c r="AL722" s="23"/>
      <c r="AM722" s="23"/>
      <c r="AN722" s="23"/>
      <c r="AO722" s="23"/>
      <c r="AP722" s="23"/>
      <c r="AQ722" s="23"/>
      <c r="AR722" s="23"/>
      <c r="AS722" s="23"/>
      <c r="AT722" s="23"/>
      <c r="AU722" s="23"/>
      <c r="AV722" s="23"/>
      <c r="AW722" s="23"/>
      <c r="AX722" s="23"/>
      <c r="AY722" s="23"/>
      <c r="AZ722" s="23"/>
      <c r="BA722" s="23"/>
      <c r="BB722" s="23"/>
      <c r="BC722" s="23"/>
      <c r="BD722" s="23"/>
      <c r="BE722" s="23"/>
      <c r="BF722" s="23"/>
      <c r="BG722" s="23"/>
      <c r="BH722" s="23"/>
      <c r="BI722" s="23"/>
      <c r="BJ722" s="23"/>
      <c r="BK722" s="23"/>
      <c r="BL722" s="23"/>
      <c r="BM722" s="23"/>
      <c r="BN722" s="23"/>
      <c r="BO722" s="23"/>
      <c r="BP722" s="23"/>
      <c r="BQ722" s="23"/>
      <c r="BR722" s="23"/>
      <c r="BS722" s="23"/>
      <c r="BT722" s="23"/>
      <c r="BU722" s="23"/>
      <c r="BV722" s="23"/>
      <c r="BW722" s="23"/>
      <c r="BX722" s="23"/>
      <c r="BY722" s="23"/>
      <c r="BZ722" s="23"/>
      <c r="CA722" s="23"/>
      <c r="CB722" s="23"/>
      <c r="CC722" s="23"/>
      <c r="CD722" s="23"/>
      <c r="CE722" s="23"/>
      <c r="CF722" s="23"/>
      <c r="CG722" s="23"/>
      <c r="CH722" s="23"/>
      <c r="CI722" s="23"/>
      <c r="CJ722" s="23"/>
      <c r="CK722" s="23"/>
      <c r="CL722" s="23"/>
      <c r="CM722" s="23"/>
      <c r="CN722" s="23"/>
      <c r="CO722" s="23"/>
      <c r="CP722" s="23"/>
      <c r="CQ722" s="23"/>
      <c r="CR722" s="23"/>
      <c r="CS722" s="23"/>
      <c r="CT722" s="23"/>
      <c r="CU722" s="23"/>
      <c r="CV722" s="23"/>
      <c r="CW722" s="23"/>
      <c r="CX722" s="23"/>
      <c r="CY722" s="23"/>
      <c r="CZ722" s="23"/>
      <c r="DA722" s="23"/>
      <c r="DB722" s="23"/>
      <c r="DC722" s="23"/>
      <c r="DD722" s="23"/>
      <c r="DE722" s="23"/>
      <c r="DF722" s="23"/>
      <c r="DG722" s="23"/>
      <c r="DH722" s="23"/>
      <c r="DI722" s="23"/>
      <c r="DJ722" s="23"/>
      <c r="DK722" s="23"/>
      <c r="DL722" s="23"/>
      <c r="DM722" s="23"/>
      <c r="DN722" s="23"/>
      <c r="DO722" s="23"/>
      <c r="DP722" s="23"/>
      <c r="DQ722" s="23"/>
      <c r="DR722" s="23"/>
      <c r="DS722" s="23"/>
      <c r="DT722" s="23"/>
      <c r="DU722" s="23"/>
      <c r="DV722" s="23"/>
      <c r="DW722" s="23"/>
      <c r="DX722" s="23"/>
      <c r="DY722" s="23"/>
      <c r="DZ722" s="23"/>
      <c r="EA722" s="23"/>
      <c r="EB722" s="23"/>
      <c r="EC722" s="23"/>
      <c r="ED722" s="23"/>
      <c r="EE722" s="23"/>
      <c r="EF722" s="23"/>
      <c r="EG722" s="23"/>
      <c r="EH722" s="23"/>
      <c r="EI722" s="23"/>
      <c r="EJ722" s="23"/>
      <c r="EK722" s="23"/>
      <c r="EL722" s="23"/>
      <c r="EM722" s="23"/>
      <c r="EN722" s="23"/>
      <c r="EO722" s="23"/>
      <c r="EP722" s="23"/>
      <c r="EQ722" s="23"/>
      <c r="ER722" s="23"/>
      <c r="ES722" s="23"/>
      <c r="ET722" s="23"/>
      <c r="EU722" s="23"/>
      <c r="EV722" s="23"/>
      <c r="EW722" s="23"/>
      <c r="EX722" s="23"/>
      <c r="EY722" s="23"/>
      <c r="EZ722" s="23"/>
      <c r="FA722" s="23"/>
      <c r="FB722" s="23"/>
      <c r="FC722" s="23"/>
      <c r="FD722" s="23"/>
      <c r="FE722" s="23"/>
      <c r="FF722" s="23"/>
      <c r="FG722" s="23"/>
      <c r="FH722" s="23"/>
      <c r="FI722" s="23"/>
      <c r="FJ722" s="23"/>
      <c r="FK722" s="23"/>
      <c r="FL722" s="23"/>
      <c r="FM722" s="23"/>
      <c r="FN722" s="23"/>
      <c r="FO722" s="23"/>
      <c r="FP722" s="23"/>
      <c r="FQ722" s="23"/>
      <c r="FR722" s="23"/>
      <c r="FS722" s="23"/>
      <c r="FT722" s="23"/>
      <c r="FU722" s="23"/>
      <c r="FV722" s="23"/>
      <c r="FW722" s="23"/>
      <c r="FX722" s="23"/>
      <c r="FY722" s="23"/>
      <c r="FZ722" s="23"/>
      <c r="GA722" s="23"/>
      <c r="GB722" s="23"/>
      <c r="GC722" s="23"/>
      <c r="GD722" s="23"/>
      <c r="GE722" s="23"/>
      <c r="GF722" s="23"/>
      <c r="GG722" s="23"/>
      <c r="GH722" s="23"/>
      <c r="GI722" s="23"/>
      <c r="GJ722" s="23"/>
      <c r="GK722" s="23"/>
      <c r="GL722" s="23"/>
    </row>
    <row r="723" spans="1:194" ht="13">
      <c r="A723" s="23"/>
      <c r="B723" s="23"/>
      <c r="C723" s="23"/>
      <c r="D723" s="23"/>
      <c r="E723" s="23"/>
      <c r="F723" s="23"/>
      <c r="G723" s="23"/>
      <c r="H723" s="401"/>
      <c r="I723" s="401"/>
      <c r="J723" s="401"/>
      <c r="K723" s="401"/>
      <c r="L723" s="401"/>
      <c r="M723" s="438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  <c r="AL723" s="23"/>
      <c r="AM723" s="23"/>
      <c r="AN723" s="23"/>
      <c r="AO723" s="23"/>
      <c r="AP723" s="23"/>
      <c r="AQ723" s="23"/>
      <c r="AR723" s="23"/>
      <c r="AS723" s="23"/>
      <c r="AT723" s="23"/>
      <c r="AU723" s="23"/>
      <c r="AV723" s="23"/>
      <c r="AW723" s="23"/>
      <c r="AX723" s="23"/>
      <c r="AY723" s="23"/>
      <c r="AZ723" s="23"/>
      <c r="BA723" s="23"/>
      <c r="BB723" s="23"/>
      <c r="BC723" s="23"/>
      <c r="BD723" s="23"/>
      <c r="BE723" s="23"/>
      <c r="BF723" s="23"/>
      <c r="BG723" s="23"/>
      <c r="BH723" s="23"/>
      <c r="BI723" s="23"/>
      <c r="BJ723" s="23"/>
      <c r="BK723" s="23"/>
      <c r="BL723" s="23"/>
      <c r="BM723" s="23"/>
      <c r="BN723" s="23"/>
      <c r="BO723" s="23"/>
      <c r="BP723" s="23"/>
      <c r="BQ723" s="23"/>
      <c r="BR723" s="23"/>
      <c r="BS723" s="23"/>
      <c r="BT723" s="23"/>
      <c r="BU723" s="23"/>
      <c r="BV723" s="23"/>
      <c r="BW723" s="23"/>
      <c r="BX723" s="23"/>
      <c r="BY723" s="23"/>
      <c r="BZ723" s="23"/>
      <c r="CA723" s="23"/>
      <c r="CB723" s="23"/>
      <c r="CC723" s="23"/>
      <c r="CD723" s="23"/>
      <c r="CE723" s="23"/>
      <c r="CF723" s="23"/>
      <c r="CG723" s="23"/>
      <c r="CH723" s="23"/>
      <c r="CI723" s="23"/>
      <c r="CJ723" s="23"/>
      <c r="CK723" s="23"/>
      <c r="CL723" s="23"/>
      <c r="CM723" s="23"/>
      <c r="CN723" s="23"/>
      <c r="CO723" s="23"/>
      <c r="CP723" s="23"/>
      <c r="CQ723" s="23"/>
      <c r="CR723" s="23"/>
      <c r="CS723" s="23"/>
      <c r="CT723" s="23"/>
      <c r="CU723" s="23"/>
      <c r="CV723" s="23"/>
      <c r="CW723" s="23"/>
      <c r="CX723" s="23"/>
      <c r="CY723" s="23"/>
      <c r="CZ723" s="23"/>
      <c r="DA723" s="23"/>
      <c r="DB723" s="23"/>
      <c r="DC723" s="23"/>
      <c r="DD723" s="23"/>
      <c r="DE723" s="23"/>
      <c r="DF723" s="23"/>
      <c r="DG723" s="23"/>
      <c r="DH723" s="23"/>
      <c r="DI723" s="23"/>
      <c r="DJ723" s="23"/>
      <c r="DK723" s="23"/>
      <c r="DL723" s="23"/>
      <c r="DM723" s="23"/>
      <c r="DN723" s="23"/>
      <c r="DO723" s="23"/>
      <c r="DP723" s="23"/>
      <c r="DQ723" s="23"/>
      <c r="DR723" s="23"/>
      <c r="DS723" s="23"/>
      <c r="DT723" s="23"/>
      <c r="DU723" s="23"/>
      <c r="DV723" s="23"/>
      <c r="DW723" s="23"/>
      <c r="DX723" s="23"/>
      <c r="DY723" s="23"/>
      <c r="DZ723" s="23"/>
      <c r="EA723" s="23"/>
      <c r="EB723" s="23"/>
      <c r="EC723" s="23"/>
      <c r="ED723" s="23"/>
      <c r="EE723" s="23"/>
      <c r="EF723" s="23"/>
      <c r="EG723" s="23"/>
      <c r="EH723" s="23"/>
      <c r="EI723" s="23"/>
      <c r="EJ723" s="23"/>
      <c r="EK723" s="23"/>
      <c r="EL723" s="23"/>
      <c r="EM723" s="23"/>
      <c r="EN723" s="23"/>
      <c r="EO723" s="23"/>
      <c r="EP723" s="23"/>
      <c r="EQ723" s="23"/>
      <c r="ER723" s="23"/>
      <c r="ES723" s="23"/>
      <c r="ET723" s="23"/>
      <c r="EU723" s="23"/>
      <c r="EV723" s="23"/>
      <c r="EW723" s="23"/>
      <c r="EX723" s="23"/>
      <c r="EY723" s="23"/>
      <c r="EZ723" s="23"/>
      <c r="FA723" s="23"/>
      <c r="FB723" s="23"/>
      <c r="FC723" s="23"/>
      <c r="FD723" s="23"/>
      <c r="FE723" s="23"/>
      <c r="FF723" s="23"/>
      <c r="FG723" s="23"/>
      <c r="FH723" s="23"/>
      <c r="FI723" s="23"/>
      <c r="FJ723" s="23"/>
      <c r="FK723" s="23"/>
      <c r="FL723" s="23"/>
      <c r="FM723" s="23"/>
      <c r="FN723" s="23"/>
      <c r="FO723" s="23"/>
      <c r="FP723" s="23"/>
      <c r="FQ723" s="23"/>
      <c r="FR723" s="23"/>
      <c r="FS723" s="23"/>
      <c r="FT723" s="23"/>
      <c r="FU723" s="23"/>
      <c r="FV723" s="23"/>
      <c r="FW723" s="23"/>
      <c r="FX723" s="23"/>
      <c r="FY723" s="23"/>
      <c r="FZ723" s="23"/>
      <c r="GA723" s="23"/>
      <c r="GB723" s="23"/>
      <c r="GC723" s="23"/>
      <c r="GD723" s="23"/>
      <c r="GE723" s="23"/>
      <c r="GF723" s="23"/>
      <c r="GG723" s="23"/>
      <c r="GH723" s="23"/>
      <c r="GI723" s="23"/>
      <c r="GJ723" s="23"/>
      <c r="GK723" s="23"/>
      <c r="GL723" s="23"/>
    </row>
    <row r="724" spans="1:194" ht="13">
      <c r="A724" s="23"/>
      <c r="B724" s="23"/>
      <c r="C724" s="23"/>
      <c r="D724" s="23"/>
      <c r="E724" s="23"/>
      <c r="F724" s="23"/>
      <c r="G724" s="23"/>
      <c r="H724" s="401"/>
      <c r="I724" s="401"/>
      <c r="J724" s="401"/>
      <c r="K724" s="401"/>
      <c r="L724" s="401"/>
      <c r="M724" s="438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  <c r="AL724" s="23"/>
      <c r="AM724" s="23"/>
      <c r="AN724" s="23"/>
      <c r="AO724" s="23"/>
      <c r="AP724" s="23"/>
      <c r="AQ724" s="23"/>
      <c r="AR724" s="23"/>
      <c r="AS724" s="23"/>
      <c r="AT724" s="23"/>
      <c r="AU724" s="23"/>
      <c r="AV724" s="23"/>
      <c r="AW724" s="23"/>
      <c r="AX724" s="23"/>
      <c r="AY724" s="23"/>
      <c r="AZ724" s="23"/>
      <c r="BA724" s="23"/>
      <c r="BB724" s="23"/>
      <c r="BC724" s="23"/>
      <c r="BD724" s="23"/>
      <c r="BE724" s="23"/>
      <c r="BF724" s="23"/>
      <c r="BG724" s="23"/>
      <c r="BH724" s="23"/>
      <c r="BI724" s="23"/>
      <c r="BJ724" s="23"/>
      <c r="BK724" s="23"/>
      <c r="BL724" s="23"/>
      <c r="BM724" s="23"/>
      <c r="BN724" s="23"/>
      <c r="BO724" s="23"/>
      <c r="BP724" s="23"/>
      <c r="BQ724" s="23"/>
      <c r="BR724" s="23"/>
      <c r="BS724" s="23"/>
      <c r="BT724" s="23"/>
      <c r="BU724" s="23"/>
      <c r="BV724" s="23"/>
      <c r="BW724" s="23"/>
      <c r="BX724" s="23"/>
      <c r="BY724" s="23"/>
      <c r="BZ724" s="23"/>
      <c r="CA724" s="23"/>
      <c r="CB724" s="23"/>
      <c r="CC724" s="23"/>
      <c r="CD724" s="23"/>
      <c r="CE724" s="23"/>
      <c r="CF724" s="23"/>
      <c r="CG724" s="23"/>
      <c r="CH724" s="23"/>
      <c r="CI724" s="23"/>
      <c r="CJ724" s="23"/>
      <c r="CK724" s="23"/>
      <c r="CL724" s="23"/>
      <c r="CM724" s="23"/>
      <c r="CN724" s="23"/>
      <c r="CO724" s="23"/>
      <c r="CP724" s="23"/>
      <c r="CQ724" s="23"/>
      <c r="CR724" s="23"/>
      <c r="CS724" s="23"/>
      <c r="CT724" s="23"/>
      <c r="CU724" s="23"/>
      <c r="CV724" s="23"/>
      <c r="CW724" s="23"/>
      <c r="CX724" s="23"/>
      <c r="CY724" s="23"/>
      <c r="CZ724" s="23"/>
      <c r="DA724" s="23"/>
      <c r="DB724" s="23"/>
      <c r="DC724" s="23"/>
      <c r="DD724" s="23"/>
      <c r="DE724" s="23"/>
      <c r="DF724" s="23"/>
      <c r="DG724" s="23"/>
      <c r="DH724" s="23"/>
      <c r="DI724" s="23"/>
      <c r="DJ724" s="23"/>
      <c r="DK724" s="23"/>
      <c r="DL724" s="23"/>
      <c r="DM724" s="23"/>
      <c r="DN724" s="23"/>
      <c r="DO724" s="23"/>
      <c r="DP724" s="23"/>
      <c r="DQ724" s="23"/>
      <c r="DR724" s="23"/>
      <c r="DS724" s="23"/>
      <c r="DT724" s="23"/>
      <c r="DU724" s="23"/>
      <c r="DV724" s="23"/>
      <c r="DW724" s="23"/>
      <c r="DX724" s="23"/>
      <c r="DY724" s="23"/>
      <c r="DZ724" s="23"/>
      <c r="EA724" s="23"/>
      <c r="EB724" s="23"/>
      <c r="EC724" s="23"/>
      <c r="ED724" s="23"/>
      <c r="EE724" s="23"/>
      <c r="EF724" s="23"/>
      <c r="EG724" s="23"/>
      <c r="EH724" s="23"/>
      <c r="EI724" s="23"/>
      <c r="EJ724" s="23"/>
      <c r="EK724" s="23"/>
      <c r="EL724" s="23"/>
      <c r="EM724" s="23"/>
      <c r="EN724" s="23"/>
      <c r="EO724" s="23"/>
      <c r="EP724" s="23"/>
      <c r="EQ724" s="23"/>
      <c r="ER724" s="23"/>
      <c r="ES724" s="23"/>
      <c r="ET724" s="23"/>
      <c r="EU724" s="23"/>
      <c r="EV724" s="23"/>
      <c r="EW724" s="23"/>
      <c r="EX724" s="23"/>
      <c r="EY724" s="23"/>
      <c r="EZ724" s="23"/>
      <c r="FA724" s="23"/>
      <c r="FB724" s="23"/>
      <c r="FC724" s="23"/>
      <c r="FD724" s="23"/>
      <c r="FE724" s="23"/>
      <c r="FF724" s="23"/>
      <c r="FG724" s="23"/>
      <c r="FH724" s="23"/>
      <c r="FI724" s="23"/>
      <c r="FJ724" s="23"/>
      <c r="FK724" s="23"/>
      <c r="FL724" s="23"/>
      <c r="FM724" s="23"/>
      <c r="FN724" s="23"/>
      <c r="FO724" s="23"/>
      <c r="FP724" s="23"/>
      <c r="FQ724" s="23"/>
      <c r="FR724" s="23"/>
      <c r="FS724" s="23"/>
      <c r="FT724" s="23"/>
      <c r="FU724" s="23"/>
      <c r="FV724" s="23"/>
      <c r="FW724" s="23"/>
      <c r="FX724" s="23"/>
      <c r="FY724" s="23"/>
      <c r="FZ724" s="23"/>
      <c r="GA724" s="23"/>
      <c r="GB724" s="23"/>
      <c r="GC724" s="23"/>
      <c r="GD724" s="23"/>
      <c r="GE724" s="23"/>
      <c r="GF724" s="23"/>
      <c r="GG724" s="23"/>
      <c r="GH724" s="23"/>
      <c r="GI724" s="23"/>
      <c r="GJ724" s="23"/>
      <c r="GK724" s="23"/>
      <c r="GL724" s="23"/>
    </row>
    <row r="725" spans="1:194" ht="13">
      <c r="A725" s="23"/>
      <c r="B725" s="23"/>
      <c r="C725" s="23"/>
      <c r="D725" s="23"/>
      <c r="E725" s="23"/>
      <c r="F725" s="23"/>
      <c r="G725" s="23"/>
      <c r="H725" s="401"/>
      <c r="I725" s="401"/>
      <c r="J725" s="401"/>
      <c r="K725" s="401"/>
      <c r="L725" s="401"/>
      <c r="M725" s="438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  <c r="AL725" s="23"/>
      <c r="AM725" s="23"/>
      <c r="AN725" s="23"/>
      <c r="AO725" s="23"/>
      <c r="AP725" s="23"/>
      <c r="AQ725" s="23"/>
      <c r="AR725" s="23"/>
      <c r="AS725" s="23"/>
      <c r="AT725" s="23"/>
      <c r="AU725" s="23"/>
      <c r="AV725" s="23"/>
      <c r="AW725" s="23"/>
      <c r="AX725" s="23"/>
      <c r="AY725" s="23"/>
      <c r="AZ725" s="23"/>
      <c r="BA725" s="23"/>
      <c r="BB725" s="23"/>
      <c r="BC725" s="23"/>
      <c r="BD725" s="23"/>
      <c r="BE725" s="23"/>
      <c r="BF725" s="23"/>
      <c r="BG725" s="23"/>
      <c r="BH725" s="23"/>
      <c r="BI725" s="23"/>
      <c r="BJ725" s="23"/>
      <c r="BK725" s="23"/>
      <c r="BL725" s="23"/>
      <c r="BM725" s="23"/>
      <c r="BN725" s="23"/>
      <c r="BO725" s="23"/>
      <c r="BP725" s="23"/>
      <c r="BQ725" s="23"/>
      <c r="BR725" s="23"/>
      <c r="BS725" s="23"/>
      <c r="BT725" s="23"/>
      <c r="BU725" s="23"/>
      <c r="BV725" s="23"/>
      <c r="BW725" s="23"/>
      <c r="BX725" s="23"/>
      <c r="BY725" s="23"/>
      <c r="BZ725" s="23"/>
      <c r="CA725" s="23"/>
      <c r="CB725" s="23"/>
      <c r="CC725" s="23"/>
      <c r="CD725" s="23"/>
      <c r="CE725" s="23"/>
      <c r="CF725" s="23"/>
      <c r="CG725" s="23"/>
      <c r="CH725" s="23"/>
      <c r="CI725" s="23"/>
      <c r="CJ725" s="23"/>
      <c r="CK725" s="23"/>
      <c r="CL725" s="23"/>
      <c r="CM725" s="23"/>
      <c r="CN725" s="23"/>
      <c r="CO725" s="23"/>
      <c r="CP725" s="23"/>
      <c r="CQ725" s="23"/>
      <c r="CR725" s="23"/>
      <c r="CS725" s="23"/>
      <c r="CT725" s="23"/>
      <c r="CU725" s="23"/>
      <c r="CV725" s="23"/>
      <c r="CW725" s="23"/>
      <c r="CX725" s="23"/>
      <c r="CY725" s="23"/>
      <c r="CZ725" s="23"/>
      <c r="DA725" s="23"/>
      <c r="DB725" s="23"/>
      <c r="DC725" s="23"/>
      <c r="DD725" s="23"/>
      <c r="DE725" s="23"/>
      <c r="DF725" s="23"/>
      <c r="DG725" s="23"/>
      <c r="DH725" s="23"/>
      <c r="DI725" s="23"/>
      <c r="DJ725" s="23"/>
      <c r="DK725" s="23"/>
      <c r="DL725" s="23"/>
      <c r="DM725" s="23"/>
      <c r="DN725" s="23"/>
      <c r="DO725" s="23"/>
      <c r="DP725" s="23"/>
      <c r="DQ725" s="23"/>
      <c r="DR725" s="23"/>
      <c r="DS725" s="23"/>
      <c r="DT725" s="23"/>
      <c r="DU725" s="23"/>
      <c r="DV725" s="23"/>
      <c r="DW725" s="23"/>
      <c r="DX725" s="23"/>
      <c r="DY725" s="23"/>
      <c r="DZ725" s="23"/>
      <c r="EA725" s="23"/>
      <c r="EB725" s="23"/>
      <c r="EC725" s="23"/>
      <c r="ED725" s="23"/>
      <c r="EE725" s="23"/>
      <c r="EF725" s="23"/>
      <c r="EG725" s="23"/>
      <c r="EH725" s="23"/>
      <c r="EI725" s="23"/>
      <c r="EJ725" s="23"/>
      <c r="EK725" s="23"/>
      <c r="EL725" s="23"/>
      <c r="EM725" s="23"/>
      <c r="EN725" s="23"/>
      <c r="EO725" s="23"/>
      <c r="EP725" s="23"/>
      <c r="EQ725" s="23"/>
      <c r="ER725" s="23"/>
      <c r="ES725" s="23"/>
      <c r="ET725" s="23"/>
      <c r="EU725" s="23"/>
      <c r="EV725" s="23"/>
      <c r="EW725" s="23"/>
      <c r="EX725" s="23"/>
      <c r="EY725" s="23"/>
      <c r="EZ725" s="23"/>
      <c r="FA725" s="23"/>
      <c r="FB725" s="23"/>
      <c r="FC725" s="23"/>
      <c r="FD725" s="23"/>
      <c r="FE725" s="23"/>
      <c r="FF725" s="23"/>
      <c r="FG725" s="23"/>
      <c r="FH725" s="23"/>
      <c r="FI725" s="23"/>
      <c r="FJ725" s="23"/>
      <c r="FK725" s="23"/>
      <c r="FL725" s="23"/>
      <c r="FM725" s="23"/>
      <c r="FN725" s="23"/>
      <c r="FO725" s="23"/>
      <c r="FP725" s="23"/>
      <c r="FQ725" s="23"/>
      <c r="FR725" s="23"/>
      <c r="FS725" s="23"/>
      <c r="FT725" s="23"/>
      <c r="FU725" s="23"/>
      <c r="FV725" s="23"/>
      <c r="FW725" s="23"/>
      <c r="FX725" s="23"/>
      <c r="FY725" s="23"/>
      <c r="FZ725" s="23"/>
      <c r="GA725" s="23"/>
      <c r="GB725" s="23"/>
      <c r="GC725" s="23"/>
      <c r="GD725" s="23"/>
      <c r="GE725" s="23"/>
      <c r="GF725" s="23"/>
      <c r="GG725" s="23"/>
      <c r="GH725" s="23"/>
      <c r="GI725" s="23"/>
      <c r="GJ725" s="23"/>
      <c r="GK725" s="23"/>
      <c r="GL725" s="23"/>
    </row>
    <row r="726" spans="1:194" ht="13">
      <c r="A726" s="23"/>
      <c r="B726" s="23"/>
      <c r="C726" s="23"/>
      <c r="D726" s="23"/>
      <c r="E726" s="23"/>
      <c r="F726" s="23"/>
      <c r="G726" s="23"/>
      <c r="H726" s="401"/>
      <c r="I726" s="401"/>
      <c r="J726" s="401"/>
      <c r="K726" s="401"/>
      <c r="L726" s="401"/>
      <c r="M726" s="438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  <c r="AL726" s="23"/>
      <c r="AM726" s="23"/>
      <c r="AN726" s="23"/>
      <c r="AO726" s="23"/>
      <c r="AP726" s="23"/>
      <c r="AQ726" s="23"/>
      <c r="AR726" s="23"/>
      <c r="AS726" s="23"/>
      <c r="AT726" s="23"/>
      <c r="AU726" s="23"/>
      <c r="AV726" s="23"/>
      <c r="AW726" s="23"/>
      <c r="AX726" s="23"/>
      <c r="AY726" s="23"/>
      <c r="AZ726" s="23"/>
      <c r="BA726" s="23"/>
      <c r="BB726" s="23"/>
      <c r="BC726" s="23"/>
      <c r="BD726" s="23"/>
      <c r="BE726" s="23"/>
      <c r="BF726" s="23"/>
      <c r="BG726" s="23"/>
      <c r="BH726" s="23"/>
      <c r="BI726" s="23"/>
      <c r="BJ726" s="23"/>
      <c r="BK726" s="23"/>
      <c r="BL726" s="23"/>
      <c r="BM726" s="23"/>
      <c r="BN726" s="23"/>
      <c r="BO726" s="23"/>
      <c r="BP726" s="23"/>
      <c r="BQ726" s="23"/>
      <c r="BR726" s="23"/>
      <c r="BS726" s="23"/>
      <c r="BT726" s="23"/>
      <c r="BU726" s="23"/>
      <c r="BV726" s="23"/>
      <c r="BW726" s="23"/>
      <c r="BX726" s="23"/>
      <c r="BY726" s="23"/>
      <c r="BZ726" s="23"/>
      <c r="CA726" s="23"/>
      <c r="CB726" s="23"/>
      <c r="CC726" s="23"/>
      <c r="CD726" s="23"/>
      <c r="CE726" s="23"/>
      <c r="CF726" s="23"/>
      <c r="CG726" s="23"/>
      <c r="CH726" s="23"/>
      <c r="CI726" s="23"/>
      <c r="CJ726" s="23"/>
      <c r="CK726" s="23"/>
      <c r="CL726" s="23"/>
      <c r="CM726" s="23"/>
      <c r="CN726" s="23"/>
      <c r="CO726" s="23"/>
      <c r="CP726" s="23"/>
      <c r="CQ726" s="23"/>
      <c r="CR726" s="23"/>
      <c r="CS726" s="23"/>
      <c r="CT726" s="23"/>
      <c r="CU726" s="23"/>
      <c r="CV726" s="23"/>
      <c r="CW726" s="23"/>
      <c r="CX726" s="23"/>
      <c r="CY726" s="23"/>
      <c r="CZ726" s="23"/>
      <c r="DA726" s="23"/>
      <c r="DB726" s="23"/>
      <c r="DC726" s="23"/>
      <c r="DD726" s="23"/>
      <c r="DE726" s="23"/>
      <c r="DF726" s="23"/>
      <c r="DG726" s="23"/>
      <c r="DH726" s="23"/>
      <c r="DI726" s="23"/>
      <c r="DJ726" s="23"/>
      <c r="DK726" s="23"/>
      <c r="DL726" s="23"/>
      <c r="DM726" s="23"/>
      <c r="DN726" s="23"/>
      <c r="DO726" s="23"/>
      <c r="DP726" s="23"/>
      <c r="DQ726" s="23"/>
      <c r="DR726" s="23"/>
      <c r="DS726" s="23"/>
      <c r="DT726" s="23"/>
      <c r="DU726" s="23"/>
      <c r="DV726" s="23"/>
      <c r="DW726" s="23"/>
      <c r="DX726" s="23"/>
      <c r="DY726" s="23"/>
      <c r="DZ726" s="23"/>
      <c r="EA726" s="23"/>
      <c r="EB726" s="23"/>
      <c r="EC726" s="23"/>
      <c r="ED726" s="23"/>
      <c r="EE726" s="23"/>
      <c r="EF726" s="23"/>
      <c r="EG726" s="23"/>
      <c r="EH726" s="23"/>
      <c r="EI726" s="23"/>
      <c r="EJ726" s="23"/>
      <c r="EK726" s="23"/>
      <c r="EL726" s="23"/>
      <c r="EM726" s="23"/>
      <c r="EN726" s="23"/>
      <c r="EO726" s="23"/>
      <c r="EP726" s="23"/>
      <c r="EQ726" s="23"/>
      <c r="ER726" s="23"/>
      <c r="ES726" s="23"/>
      <c r="ET726" s="23"/>
      <c r="EU726" s="23"/>
      <c r="EV726" s="23"/>
      <c r="EW726" s="23"/>
      <c r="EX726" s="23"/>
      <c r="EY726" s="23"/>
      <c r="EZ726" s="23"/>
      <c r="FA726" s="23"/>
      <c r="FB726" s="23"/>
      <c r="FC726" s="23"/>
      <c r="FD726" s="23"/>
      <c r="FE726" s="23"/>
      <c r="FF726" s="23"/>
      <c r="FG726" s="23"/>
      <c r="FH726" s="23"/>
      <c r="FI726" s="23"/>
      <c r="FJ726" s="23"/>
      <c r="FK726" s="23"/>
      <c r="FL726" s="23"/>
      <c r="FM726" s="23"/>
      <c r="FN726" s="23"/>
      <c r="FO726" s="23"/>
      <c r="FP726" s="23"/>
      <c r="FQ726" s="23"/>
      <c r="FR726" s="23"/>
      <c r="FS726" s="23"/>
      <c r="FT726" s="23"/>
      <c r="FU726" s="23"/>
      <c r="FV726" s="23"/>
      <c r="FW726" s="23"/>
      <c r="FX726" s="23"/>
      <c r="FY726" s="23"/>
      <c r="FZ726" s="23"/>
      <c r="GA726" s="23"/>
      <c r="GB726" s="23"/>
      <c r="GC726" s="23"/>
      <c r="GD726" s="23"/>
      <c r="GE726" s="23"/>
      <c r="GF726" s="23"/>
      <c r="GG726" s="23"/>
      <c r="GH726" s="23"/>
      <c r="GI726" s="23"/>
      <c r="GJ726" s="23"/>
      <c r="GK726" s="23"/>
      <c r="GL726" s="23"/>
    </row>
    <row r="727" spans="1:194" ht="13">
      <c r="A727" s="23"/>
      <c r="B727" s="23"/>
      <c r="C727" s="23"/>
      <c r="D727" s="23"/>
      <c r="E727" s="23"/>
      <c r="F727" s="23"/>
      <c r="G727" s="23"/>
      <c r="H727" s="401"/>
      <c r="I727" s="401"/>
      <c r="J727" s="401"/>
      <c r="K727" s="401"/>
      <c r="L727" s="401"/>
      <c r="M727" s="438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  <c r="AL727" s="23"/>
      <c r="AM727" s="23"/>
      <c r="AN727" s="23"/>
      <c r="AO727" s="23"/>
      <c r="AP727" s="23"/>
      <c r="AQ727" s="23"/>
      <c r="AR727" s="23"/>
      <c r="AS727" s="23"/>
      <c r="AT727" s="23"/>
      <c r="AU727" s="23"/>
      <c r="AV727" s="23"/>
      <c r="AW727" s="23"/>
      <c r="AX727" s="23"/>
      <c r="AY727" s="23"/>
      <c r="AZ727" s="23"/>
      <c r="BA727" s="23"/>
      <c r="BB727" s="23"/>
      <c r="BC727" s="23"/>
      <c r="BD727" s="23"/>
      <c r="BE727" s="23"/>
      <c r="BF727" s="23"/>
      <c r="BG727" s="23"/>
      <c r="BH727" s="23"/>
      <c r="BI727" s="23"/>
      <c r="BJ727" s="23"/>
      <c r="BK727" s="23"/>
      <c r="BL727" s="23"/>
      <c r="BM727" s="23"/>
      <c r="BN727" s="23"/>
      <c r="BO727" s="23"/>
      <c r="BP727" s="23"/>
      <c r="BQ727" s="23"/>
      <c r="BR727" s="23"/>
      <c r="BS727" s="23"/>
      <c r="BT727" s="23"/>
      <c r="BU727" s="23"/>
      <c r="BV727" s="23"/>
      <c r="BW727" s="23"/>
      <c r="BX727" s="23"/>
      <c r="BY727" s="23"/>
      <c r="BZ727" s="23"/>
      <c r="CA727" s="23"/>
      <c r="CB727" s="23"/>
      <c r="CC727" s="23"/>
      <c r="CD727" s="23"/>
      <c r="CE727" s="23"/>
      <c r="CF727" s="23"/>
      <c r="CG727" s="23"/>
      <c r="CH727" s="23"/>
      <c r="CI727" s="23"/>
      <c r="CJ727" s="23"/>
      <c r="CK727" s="23"/>
      <c r="CL727" s="23"/>
      <c r="CM727" s="23"/>
      <c r="CN727" s="23"/>
      <c r="CO727" s="23"/>
      <c r="CP727" s="23"/>
      <c r="CQ727" s="23"/>
      <c r="CR727" s="23"/>
      <c r="CS727" s="23"/>
      <c r="CT727" s="23"/>
      <c r="CU727" s="23"/>
      <c r="CV727" s="23"/>
      <c r="CW727" s="23"/>
      <c r="CX727" s="23"/>
      <c r="CY727" s="23"/>
      <c r="CZ727" s="23"/>
      <c r="DA727" s="23"/>
      <c r="DB727" s="23"/>
      <c r="DC727" s="23"/>
      <c r="DD727" s="23"/>
      <c r="DE727" s="23"/>
      <c r="DF727" s="23"/>
      <c r="DG727" s="23"/>
      <c r="DH727" s="23"/>
      <c r="DI727" s="23"/>
      <c r="DJ727" s="23"/>
      <c r="DK727" s="23"/>
      <c r="DL727" s="23"/>
      <c r="DM727" s="23"/>
      <c r="DN727" s="23"/>
      <c r="DO727" s="23"/>
      <c r="DP727" s="23"/>
      <c r="DQ727" s="23"/>
      <c r="DR727" s="23"/>
      <c r="DS727" s="23"/>
      <c r="DT727" s="23"/>
      <c r="DU727" s="23"/>
      <c r="DV727" s="23"/>
      <c r="DW727" s="23"/>
      <c r="DX727" s="23"/>
      <c r="DY727" s="23"/>
      <c r="DZ727" s="23"/>
      <c r="EA727" s="23"/>
      <c r="EB727" s="23"/>
      <c r="EC727" s="23"/>
      <c r="ED727" s="23"/>
      <c r="EE727" s="23"/>
      <c r="EF727" s="23"/>
      <c r="EG727" s="23"/>
      <c r="EH727" s="23"/>
      <c r="EI727" s="23"/>
      <c r="EJ727" s="23"/>
      <c r="EK727" s="23"/>
      <c r="EL727" s="23"/>
      <c r="EM727" s="23"/>
      <c r="EN727" s="23"/>
      <c r="EO727" s="23"/>
      <c r="EP727" s="23"/>
      <c r="EQ727" s="23"/>
      <c r="ER727" s="23"/>
      <c r="ES727" s="23"/>
      <c r="ET727" s="23"/>
      <c r="EU727" s="23"/>
      <c r="EV727" s="23"/>
      <c r="EW727" s="23"/>
      <c r="EX727" s="23"/>
      <c r="EY727" s="23"/>
      <c r="EZ727" s="23"/>
      <c r="FA727" s="23"/>
      <c r="FB727" s="23"/>
      <c r="FC727" s="23"/>
      <c r="FD727" s="23"/>
      <c r="FE727" s="23"/>
      <c r="FF727" s="23"/>
      <c r="FG727" s="23"/>
      <c r="FH727" s="23"/>
      <c r="FI727" s="23"/>
      <c r="FJ727" s="23"/>
      <c r="FK727" s="23"/>
      <c r="FL727" s="23"/>
      <c r="FM727" s="23"/>
      <c r="FN727" s="23"/>
      <c r="FO727" s="23"/>
      <c r="FP727" s="23"/>
      <c r="FQ727" s="23"/>
      <c r="FR727" s="23"/>
      <c r="FS727" s="23"/>
      <c r="FT727" s="23"/>
      <c r="FU727" s="23"/>
      <c r="FV727" s="23"/>
      <c r="FW727" s="23"/>
      <c r="FX727" s="23"/>
      <c r="FY727" s="23"/>
      <c r="FZ727" s="23"/>
      <c r="GA727" s="23"/>
      <c r="GB727" s="23"/>
      <c r="GC727" s="23"/>
      <c r="GD727" s="23"/>
      <c r="GE727" s="23"/>
      <c r="GF727" s="23"/>
      <c r="GG727" s="23"/>
      <c r="GH727" s="23"/>
      <c r="GI727" s="23"/>
      <c r="GJ727" s="23"/>
      <c r="GK727" s="23"/>
      <c r="GL727" s="23"/>
    </row>
    <row r="728" spans="1:194" ht="13">
      <c r="A728" s="23"/>
      <c r="B728" s="23"/>
      <c r="C728" s="23"/>
      <c r="D728" s="23"/>
      <c r="E728" s="23"/>
      <c r="F728" s="23"/>
      <c r="G728" s="23"/>
      <c r="H728" s="401"/>
      <c r="I728" s="401"/>
      <c r="J728" s="401"/>
      <c r="K728" s="401"/>
      <c r="L728" s="401"/>
      <c r="M728" s="438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  <c r="AL728" s="23"/>
      <c r="AM728" s="23"/>
      <c r="AN728" s="23"/>
      <c r="AO728" s="23"/>
      <c r="AP728" s="23"/>
      <c r="AQ728" s="23"/>
      <c r="AR728" s="23"/>
      <c r="AS728" s="23"/>
      <c r="AT728" s="23"/>
      <c r="AU728" s="23"/>
      <c r="AV728" s="23"/>
      <c r="AW728" s="23"/>
      <c r="AX728" s="23"/>
      <c r="AY728" s="23"/>
      <c r="AZ728" s="23"/>
      <c r="BA728" s="23"/>
      <c r="BB728" s="23"/>
      <c r="BC728" s="23"/>
      <c r="BD728" s="23"/>
      <c r="BE728" s="23"/>
      <c r="BF728" s="23"/>
      <c r="BG728" s="23"/>
      <c r="BH728" s="23"/>
      <c r="BI728" s="23"/>
      <c r="BJ728" s="23"/>
      <c r="BK728" s="23"/>
      <c r="BL728" s="23"/>
      <c r="BM728" s="23"/>
      <c r="BN728" s="23"/>
      <c r="BO728" s="23"/>
      <c r="BP728" s="23"/>
      <c r="BQ728" s="23"/>
      <c r="BR728" s="23"/>
      <c r="BS728" s="23"/>
      <c r="BT728" s="23"/>
      <c r="BU728" s="23"/>
      <c r="BV728" s="23"/>
      <c r="BW728" s="23"/>
      <c r="BX728" s="23"/>
      <c r="BY728" s="23"/>
      <c r="BZ728" s="23"/>
      <c r="CA728" s="23"/>
      <c r="CB728" s="23"/>
      <c r="CC728" s="23"/>
      <c r="CD728" s="23"/>
      <c r="CE728" s="23"/>
      <c r="CF728" s="23"/>
      <c r="CG728" s="23"/>
      <c r="CH728" s="23"/>
      <c r="CI728" s="23"/>
      <c r="CJ728" s="23"/>
      <c r="CK728" s="23"/>
      <c r="CL728" s="23"/>
      <c r="CM728" s="23"/>
      <c r="CN728" s="23"/>
      <c r="CO728" s="23"/>
      <c r="CP728" s="23"/>
      <c r="CQ728" s="23"/>
      <c r="CR728" s="23"/>
      <c r="CS728" s="23"/>
      <c r="CT728" s="23"/>
      <c r="CU728" s="23"/>
      <c r="CV728" s="23"/>
      <c r="CW728" s="23"/>
      <c r="CX728" s="23"/>
      <c r="CY728" s="23"/>
      <c r="CZ728" s="23"/>
      <c r="DA728" s="23"/>
      <c r="DB728" s="23"/>
      <c r="DC728" s="23"/>
      <c r="DD728" s="23"/>
      <c r="DE728" s="23"/>
      <c r="DF728" s="23"/>
      <c r="DG728" s="23"/>
      <c r="DH728" s="23"/>
      <c r="DI728" s="23"/>
      <c r="DJ728" s="23"/>
      <c r="DK728" s="23"/>
      <c r="DL728" s="23"/>
      <c r="DM728" s="23"/>
      <c r="DN728" s="23"/>
      <c r="DO728" s="23"/>
      <c r="DP728" s="23"/>
      <c r="DQ728" s="23"/>
      <c r="DR728" s="23"/>
      <c r="DS728" s="23"/>
      <c r="DT728" s="23"/>
      <c r="DU728" s="23"/>
      <c r="DV728" s="23"/>
      <c r="DW728" s="23"/>
      <c r="DX728" s="23"/>
      <c r="DY728" s="23"/>
      <c r="DZ728" s="23"/>
      <c r="EA728" s="23"/>
      <c r="EB728" s="23"/>
      <c r="EC728" s="23"/>
      <c r="ED728" s="23"/>
      <c r="EE728" s="23"/>
      <c r="EF728" s="23"/>
      <c r="EG728" s="23"/>
      <c r="EH728" s="23"/>
      <c r="EI728" s="23"/>
      <c r="EJ728" s="23"/>
      <c r="EK728" s="23"/>
      <c r="EL728" s="23"/>
      <c r="EM728" s="23"/>
      <c r="EN728" s="23"/>
      <c r="EO728" s="23"/>
      <c r="EP728" s="23"/>
      <c r="EQ728" s="23"/>
      <c r="ER728" s="23"/>
      <c r="ES728" s="23"/>
      <c r="ET728" s="23"/>
      <c r="EU728" s="23"/>
      <c r="EV728" s="23"/>
      <c r="EW728" s="23"/>
      <c r="EX728" s="23"/>
      <c r="EY728" s="23"/>
      <c r="EZ728" s="23"/>
      <c r="FA728" s="23"/>
      <c r="FB728" s="23"/>
      <c r="FC728" s="23"/>
      <c r="FD728" s="23"/>
      <c r="FE728" s="23"/>
      <c r="FF728" s="23"/>
      <c r="FG728" s="23"/>
      <c r="FH728" s="23"/>
      <c r="FI728" s="23"/>
      <c r="FJ728" s="23"/>
      <c r="FK728" s="23"/>
      <c r="FL728" s="23"/>
      <c r="FM728" s="23"/>
      <c r="FN728" s="23"/>
      <c r="FO728" s="23"/>
      <c r="FP728" s="23"/>
      <c r="FQ728" s="23"/>
      <c r="FR728" s="23"/>
      <c r="FS728" s="23"/>
      <c r="FT728" s="23"/>
      <c r="FU728" s="23"/>
      <c r="FV728" s="23"/>
      <c r="FW728" s="23"/>
      <c r="FX728" s="23"/>
      <c r="FY728" s="23"/>
      <c r="FZ728" s="23"/>
      <c r="GA728" s="23"/>
      <c r="GB728" s="23"/>
      <c r="GC728" s="23"/>
      <c r="GD728" s="23"/>
      <c r="GE728" s="23"/>
      <c r="GF728" s="23"/>
      <c r="GG728" s="23"/>
      <c r="GH728" s="23"/>
      <c r="GI728" s="23"/>
      <c r="GJ728" s="23"/>
      <c r="GK728" s="23"/>
      <c r="GL728" s="23"/>
    </row>
    <row r="729" spans="1:194" ht="13">
      <c r="A729" s="23"/>
      <c r="B729" s="23"/>
      <c r="C729" s="23"/>
      <c r="D729" s="23"/>
      <c r="E729" s="23"/>
      <c r="F729" s="23"/>
      <c r="G729" s="23"/>
      <c r="H729" s="401"/>
      <c r="I729" s="401"/>
      <c r="J729" s="401"/>
      <c r="K729" s="401"/>
      <c r="L729" s="401"/>
      <c r="M729" s="438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  <c r="AL729" s="23"/>
      <c r="AM729" s="23"/>
      <c r="AN729" s="23"/>
      <c r="AO729" s="23"/>
      <c r="AP729" s="23"/>
      <c r="AQ729" s="23"/>
      <c r="AR729" s="23"/>
      <c r="AS729" s="23"/>
      <c r="AT729" s="23"/>
      <c r="AU729" s="23"/>
      <c r="AV729" s="23"/>
      <c r="AW729" s="23"/>
      <c r="AX729" s="23"/>
      <c r="AY729" s="23"/>
      <c r="AZ729" s="23"/>
      <c r="BA729" s="23"/>
      <c r="BB729" s="23"/>
      <c r="BC729" s="23"/>
      <c r="BD729" s="23"/>
      <c r="BE729" s="23"/>
      <c r="BF729" s="23"/>
      <c r="BG729" s="23"/>
      <c r="BH729" s="23"/>
      <c r="BI729" s="23"/>
      <c r="BJ729" s="23"/>
      <c r="BK729" s="23"/>
      <c r="BL729" s="23"/>
      <c r="BM729" s="23"/>
      <c r="BN729" s="23"/>
      <c r="BO729" s="23"/>
      <c r="BP729" s="23"/>
      <c r="BQ729" s="23"/>
      <c r="BR729" s="23"/>
      <c r="BS729" s="23"/>
      <c r="BT729" s="23"/>
      <c r="BU729" s="23"/>
      <c r="BV729" s="23"/>
      <c r="BW729" s="23"/>
      <c r="BX729" s="23"/>
      <c r="BY729" s="23"/>
      <c r="BZ729" s="23"/>
      <c r="CA729" s="23"/>
      <c r="CB729" s="23"/>
      <c r="CC729" s="23"/>
      <c r="CD729" s="23"/>
      <c r="CE729" s="23"/>
      <c r="CF729" s="23"/>
      <c r="CG729" s="23"/>
      <c r="CH729" s="23"/>
      <c r="CI729" s="23"/>
      <c r="CJ729" s="23"/>
      <c r="CK729" s="23"/>
      <c r="CL729" s="23"/>
      <c r="CM729" s="23"/>
      <c r="CN729" s="23"/>
      <c r="CO729" s="23"/>
      <c r="CP729" s="23"/>
      <c r="CQ729" s="23"/>
      <c r="CR729" s="23"/>
      <c r="CS729" s="23"/>
      <c r="CT729" s="23"/>
      <c r="CU729" s="23"/>
      <c r="CV729" s="23"/>
      <c r="CW729" s="23"/>
      <c r="CX729" s="23"/>
      <c r="CY729" s="23"/>
      <c r="CZ729" s="23"/>
      <c r="DA729" s="23"/>
      <c r="DB729" s="23"/>
      <c r="DC729" s="23"/>
      <c r="DD729" s="23"/>
      <c r="DE729" s="23"/>
      <c r="DF729" s="23"/>
      <c r="DG729" s="23"/>
      <c r="DH729" s="23"/>
      <c r="DI729" s="23"/>
      <c r="DJ729" s="23"/>
      <c r="DK729" s="23"/>
      <c r="DL729" s="23"/>
      <c r="DM729" s="23"/>
      <c r="DN729" s="23"/>
      <c r="DO729" s="23"/>
      <c r="DP729" s="23"/>
      <c r="DQ729" s="23"/>
      <c r="DR729" s="23"/>
      <c r="DS729" s="23"/>
      <c r="DT729" s="23"/>
      <c r="DU729" s="23"/>
      <c r="DV729" s="23"/>
      <c r="DW729" s="23"/>
      <c r="DX729" s="23"/>
      <c r="DY729" s="23"/>
      <c r="DZ729" s="23"/>
      <c r="EA729" s="23"/>
      <c r="EB729" s="23"/>
      <c r="EC729" s="23"/>
      <c r="ED729" s="23"/>
      <c r="EE729" s="23"/>
      <c r="EF729" s="23"/>
      <c r="EG729" s="23"/>
      <c r="EH729" s="23"/>
      <c r="EI729" s="23"/>
      <c r="EJ729" s="23"/>
      <c r="EK729" s="23"/>
      <c r="EL729" s="23"/>
      <c r="EM729" s="23"/>
      <c r="EN729" s="23"/>
      <c r="EO729" s="23"/>
      <c r="EP729" s="23"/>
      <c r="EQ729" s="23"/>
      <c r="ER729" s="23"/>
      <c r="ES729" s="23"/>
      <c r="ET729" s="23"/>
      <c r="EU729" s="23"/>
      <c r="EV729" s="23"/>
      <c r="EW729" s="23"/>
      <c r="EX729" s="23"/>
      <c r="EY729" s="23"/>
      <c r="EZ729" s="23"/>
      <c r="FA729" s="23"/>
      <c r="FB729" s="23"/>
      <c r="FC729" s="23"/>
      <c r="FD729" s="23"/>
      <c r="FE729" s="23"/>
      <c r="FF729" s="23"/>
      <c r="FG729" s="23"/>
      <c r="FH729" s="23"/>
      <c r="FI729" s="23"/>
      <c r="FJ729" s="23"/>
      <c r="FK729" s="23"/>
      <c r="FL729" s="23"/>
      <c r="FM729" s="23"/>
      <c r="FN729" s="23"/>
      <c r="FO729" s="23"/>
      <c r="FP729" s="23"/>
      <c r="FQ729" s="23"/>
      <c r="FR729" s="23"/>
      <c r="FS729" s="23"/>
      <c r="FT729" s="23"/>
      <c r="FU729" s="23"/>
      <c r="FV729" s="23"/>
      <c r="FW729" s="23"/>
      <c r="FX729" s="23"/>
      <c r="FY729" s="23"/>
      <c r="FZ729" s="23"/>
      <c r="GA729" s="23"/>
      <c r="GB729" s="23"/>
      <c r="GC729" s="23"/>
      <c r="GD729" s="23"/>
      <c r="GE729" s="23"/>
      <c r="GF729" s="23"/>
      <c r="GG729" s="23"/>
      <c r="GH729" s="23"/>
      <c r="GI729" s="23"/>
      <c r="GJ729" s="23"/>
      <c r="GK729" s="23"/>
      <c r="GL729" s="23"/>
    </row>
    <row r="730" spans="1:194" ht="13">
      <c r="A730" s="23"/>
      <c r="B730" s="23"/>
      <c r="C730" s="23"/>
      <c r="D730" s="23"/>
      <c r="E730" s="23"/>
      <c r="F730" s="23"/>
      <c r="G730" s="23"/>
      <c r="H730" s="401"/>
      <c r="I730" s="401"/>
      <c r="J730" s="401"/>
      <c r="K730" s="401"/>
      <c r="L730" s="401"/>
      <c r="M730" s="438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  <c r="AL730" s="23"/>
      <c r="AM730" s="23"/>
      <c r="AN730" s="23"/>
      <c r="AO730" s="23"/>
      <c r="AP730" s="23"/>
      <c r="AQ730" s="23"/>
      <c r="AR730" s="23"/>
      <c r="AS730" s="23"/>
      <c r="AT730" s="23"/>
      <c r="AU730" s="23"/>
      <c r="AV730" s="23"/>
      <c r="AW730" s="23"/>
      <c r="AX730" s="23"/>
      <c r="AY730" s="23"/>
      <c r="AZ730" s="23"/>
      <c r="BA730" s="23"/>
      <c r="BB730" s="23"/>
      <c r="BC730" s="23"/>
      <c r="BD730" s="23"/>
      <c r="BE730" s="23"/>
      <c r="BF730" s="23"/>
      <c r="BG730" s="23"/>
      <c r="BH730" s="23"/>
      <c r="BI730" s="23"/>
      <c r="BJ730" s="23"/>
      <c r="BK730" s="23"/>
      <c r="BL730" s="23"/>
      <c r="BM730" s="23"/>
      <c r="BN730" s="23"/>
      <c r="BO730" s="23"/>
      <c r="BP730" s="23"/>
      <c r="BQ730" s="23"/>
      <c r="BR730" s="23"/>
      <c r="BS730" s="23"/>
      <c r="BT730" s="23"/>
      <c r="BU730" s="23"/>
      <c r="BV730" s="23"/>
      <c r="BW730" s="23"/>
      <c r="BX730" s="23"/>
      <c r="BY730" s="23"/>
      <c r="BZ730" s="23"/>
      <c r="CA730" s="23"/>
      <c r="CB730" s="23"/>
      <c r="CC730" s="23"/>
      <c r="CD730" s="23"/>
      <c r="CE730" s="23"/>
      <c r="CF730" s="23"/>
      <c r="CG730" s="23"/>
      <c r="CH730" s="23"/>
      <c r="CI730" s="23"/>
      <c r="CJ730" s="23"/>
      <c r="CK730" s="23"/>
      <c r="CL730" s="23"/>
      <c r="CM730" s="23"/>
      <c r="CN730" s="23"/>
      <c r="CO730" s="23"/>
      <c r="CP730" s="23"/>
      <c r="CQ730" s="23"/>
      <c r="CR730" s="23"/>
      <c r="CS730" s="23"/>
      <c r="CT730" s="23"/>
      <c r="CU730" s="23"/>
      <c r="CV730" s="23"/>
      <c r="CW730" s="23"/>
      <c r="CX730" s="23"/>
      <c r="CY730" s="23"/>
      <c r="CZ730" s="23"/>
      <c r="DA730" s="23"/>
      <c r="DB730" s="23"/>
      <c r="DC730" s="23"/>
      <c r="DD730" s="23"/>
      <c r="DE730" s="23"/>
      <c r="DF730" s="23"/>
      <c r="DG730" s="23"/>
      <c r="DH730" s="23"/>
      <c r="DI730" s="23"/>
      <c r="DJ730" s="23"/>
      <c r="DK730" s="23"/>
      <c r="DL730" s="23"/>
      <c r="DM730" s="23"/>
      <c r="DN730" s="23"/>
      <c r="DO730" s="23"/>
      <c r="DP730" s="23"/>
      <c r="DQ730" s="23"/>
      <c r="DR730" s="23"/>
      <c r="DS730" s="23"/>
      <c r="DT730" s="23"/>
      <c r="DU730" s="23"/>
      <c r="DV730" s="23"/>
      <c r="DW730" s="23"/>
      <c r="DX730" s="23"/>
      <c r="DY730" s="23"/>
      <c r="DZ730" s="23"/>
      <c r="EA730" s="23"/>
      <c r="EB730" s="23"/>
      <c r="EC730" s="23"/>
      <c r="ED730" s="23"/>
      <c r="EE730" s="23"/>
      <c r="EF730" s="23"/>
      <c r="EG730" s="23"/>
      <c r="EH730" s="23"/>
      <c r="EI730" s="23"/>
      <c r="EJ730" s="23"/>
      <c r="EK730" s="23"/>
      <c r="EL730" s="23"/>
      <c r="EM730" s="23"/>
      <c r="EN730" s="23"/>
      <c r="EO730" s="23"/>
      <c r="EP730" s="23"/>
      <c r="EQ730" s="23"/>
      <c r="ER730" s="23"/>
      <c r="ES730" s="23"/>
      <c r="ET730" s="23"/>
      <c r="EU730" s="23"/>
      <c r="EV730" s="23"/>
      <c r="EW730" s="23"/>
      <c r="EX730" s="23"/>
      <c r="EY730" s="23"/>
      <c r="EZ730" s="23"/>
      <c r="FA730" s="23"/>
      <c r="FB730" s="23"/>
      <c r="FC730" s="23"/>
      <c r="FD730" s="23"/>
      <c r="FE730" s="23"/>
      <c r="FF730" s="23"/>
      <c r="FG730" s="23"/>
      <c r="FH730" s="23"/>
      <c r="FI730" s="23"/>
      <c r="FJ730" s="23"/>
      <c r="FK730" s="23"/>
      <c r="FL730" s="23"/>
      <c r="FM730" s="23"/>
      <c r="FN730" s="23"/>
      <c r="FO730" s="23"/>
      <c r="FP730" s="23"/>
      <c r="FQ730" s="23"/>
      <c r="FR730" s="23"/>
      <c r="FS730" s="23"/>
      <c r="FT730" s="23"/>
      <c r="FU730" s="23"/>
      <c r="FV730" s="23"/>
      <c r="FW730" s="23"/>
      <c r="FX730" s="23"/>
      <c r="FY730" s="23"/>
      <c r="FZ730" s="23"/>
      <c r="GA730" s="23"/>
      <c r="GB730" s="23"/>
      <c r="GC730" s="23"/>
      <c r="GD730" s="23"/>
      <c r="GE730" s="23"/>
      <c r="GF730" s="23"/>
      <c r="GG730" s="23"/>
      <c r="GH730" s="23"/>
      <c r="GI730" s="23"/>
      <c r="GJ730" s="23"/>
      <c r="GK730" s="23"/>
      <c r="GL730" s="23"/>
    </row>
    <row r="731" spans="1:194" ht="13">
      <c r="A731" s="23"/>
      <c r="B731" s="23"/>
      <c r="C731" s="23"/>
      <c r="D731" s="23"/>
      <c r="E731" s="23"/>
      <c r="F731" s="23"/>
      <c r="G731" s="23"/>
      <c r="H731" s="401"/>
      <c r="I731" s="401"/>
      <c r="J731" s="401"/>
      <c r="K731" s="401"/>
      <c r="L731" s="401"/>
      <c r="M731" s="438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  <c r="AL731" s="23"/>
      <c r="AM731" s="23"/>
      <c r="AN731" s="23"/>
      <c r="AO731" s="23"/>
      <c r="AP731" s="23"/>
      <c r="AQ731" s="23"/>
      <c r="AR731" s="23"/>
      <c r="AS731" s="23"/>
      <c r="AT731" s="23"/>
      <c r="AU731" s="23"/>
      <c r="AV731" s="23"/>
      <c r="AW731" s="23"/>
      <c r="AX731" s="23"/>
      <c r="AY731" s="23"/>
      <c r="AZ731" s="23"/>
      <c r="BA731" s="23"/>
      <c r="BB731" s="23"/>
      <c r="BC731" s="23"/>
      <c r="BD731" s="23"/>
      <c r="BE731" s="23"/>
      <c r="BF731" s="23"/>
      <c r="BG731" s="23"/>
      <c r="BH731" s="23"/>
      <c r="BI731" s="23"/>
      <c r="BJ731" s="23"/>
      <c r="BK731" s="23"/>
      <c r="BL731" s="23"/>
      <c r="BM731" s="23"/>
      <c r="BN731" s="23"/>
      <c r="BO731" s="23"/>
      <c r="BP731" s="23"/>
      <c r="BQ731" s="23"/>
      <c r="BR731" s="23"/>
      <c r="BS731" s="23"/>
      <c r="BT731" s="23"/>
      <c r="BU731" s="23"/>
      <c r="BV731" s="23"/>
      <c r="BW731" s="23"/>
      <c r="BX731" s="23"/>
      <c r="BY731" s="23"/>
      <c r="BZ731" s="23"/>
      <c r="CA731" s="23"/>
      <c r="CB731" s="23"/>
      <c r="CC731" s="23"/>
      <c r="CD731" s="23"/>
      <c r="CE731" s="23"/>
      <c r="CF731" s="23"/>
      <c r="CG731" s="23"/>
      <c r="CH731" s="23"/>
      <c r="CI731" s="23"/>
      <c r="CJ731" s="23"/>
      <c r="CK731" s="23"/>
      <c r="CL731" s="23"/>
      <c r="CM731" s="23"/>
      <c r="CN731" s="23"/>
      <c r="CO731" s="23"/>
      <c r="CP731" s="23"/>
      <c r="CQ731" s="23"/>
      <c r="CR731" s="23"/>
      <c r="CS731" s="23"/>
      <c r="CT731" s="23"/>
      <c r="CU731" s="23"/>
      <c r="CV731" s="23"/>
      <c r="CW731" s="23"/>
      <c r="CX731" s="23"/>
      <c r="CY731" s="23"/>
      <c r="CZ731" s="23"/>
      <c r="DA731" s="23"/>
      <c r="DB731" s="23"/>
      <c r="DC731" s="23"/>
      <c r="DD731" s="23"/>
      <c r="DE731" s="23"/>
      <c r="DF731" s="23"/>
      <c r="DG731" s="23"/>
      <c r="DH731" s="23"/>
      <c r="DI731" s="23"/>
      <c r="DJ731" s="23"/>
      <c r="DK731" s="23"/>
      <c r="DL731" s="23"/>
      <c r="DM731" s="23"/>
      <c r="DN731" s="23"/>
      <c r="DO731" s="23"/>
      <c r="DP731" s="23"/>
      <c r="DQ731" s="23"/>
      <c r="DR731" s="23"/>
      <c r="DS731" s="23"/>
      <c r="DT731" s="23"/>
      <c r="DU731" s="23"/>
      <c r="DV731" s="23"/>
      <c r="DW731" s="23"/>
      <c r="DX731" s="23"/>
      <c r="DY731" s="23"/>
      <c r="DZ731" s="23"/>
      <c r="EA731" s="23"/>
      <c r="EB731" s="23"/>
      <c r="EC731" s="23"/>
      <c r="ED731" s="23"/>
      <c r="EE731" s="23"/>
      <c r="EF731" s="23"/>
      <c r="EG731" s="23"/>
      <c r="EH731" s="23"/>
      <c r="EI731" s="23"/>
      <c r="EJ731" s="23"/>
      <c r="EK731" s="23"/>
      <c r="EL731" s="23"/>
      <c r="EM731" s="23"/>
      <c r="EN731" s="23"/>
      <c r="EO731" s="23"/>
      <c r="EP731" s="23"/>
      <c r="EQ731" s="23"/>
      <c r="ER731" s="23"/>
      <c r="ES731" s="23"/>
      <c r="ET731" s="23"/>
      <c r="EU731" s="23"/>
      <c r="EV731" s="23"/>
      <c r="EW731" s="23"/>
      <c r="EX731" s="23"/>
      <c r="EY731" s="23"/>
      <c r="EZ731" s="23"/>
      <c r="FA731" s="23"/>
      <c r="FB731" s="23"/>
      <c r="FC731" s="23"/>
      <c r="FD731" s="23"/>
      <c r="FE731" s="23"/>
      <c r="FF731" s="23"/>
      <c r="FG731" s="23"/>
      <c r="FH731" s="23"/>
      <c r="FI731" s="23"/>
      <c r="FJ731" s="23"/>
      <c r="FK731" s="23"/>
      <c r="FL731" s="23"/>
      <c r="FM731" s="23"/>
      <c r="FN731" s="23"/>
      <c r="FO731" s="23"/>
      <c r="FP731" s="23"/>
      <c r="FQ731" s="23"/>
      <c r="FR731" s="23"/>
      <c r="FS731" s="23"/>
      <c r="FT731" s="23"/>
      <c r="FU731" s="23"/>
      <c r="FV731" s="23"/>
      <c r="FW731" s="23"/>
      <c r="FX731" s="23"/>
      <c r="FY731" s="23"/>
      <c r="FZ731" s="23"/>
      <c r="GA731" s="23"/>
      <c r="GB731" s="23"/>
      <c r="GC731" s="23"/>
      <c r="GD731" s="23"/>
      <c r="GE731" s="23"/>
      <c r="GF731" s="23"/>
      <c r="GG731" s="23"/>
      <c r="GH731" s="23"/>
      <c r="GI731" s="23"/>
      <c r="GJ731" s="23"/>
      <c r="GK731" s="23"/>
      <c r="GL731" s="23"/>
    </row>
    <row r="732" spans="1:194" ht="13">
      <c r="A732" s="23"/>
      <c r="B732" s="23"/>
      <c r="C732" s="23"/>
      <c r="D732" s="23"/>
      <c r="E732" s="23"/>
      <c r="F732" s="23"/>
      <c r="G732" s="23"/>
      <c r="H732" s="401"/>
      <c r="I732" s="401"/>
      <c r="J732" s="401"/>
      <c r="K732" s="401"/>
      <c r="L732" s="401"/>
      <c r="M732" s="438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  <c r="AL732" s="23"/>
      <c r="AM732" s="23"/>
      <c r="AN732" s="23"/>
      <c r="AO732" s="23"/>
      <c r="AP732" s="23"/>
      <c r="AQ732" s="23"/>
      <c r="AR732" s="23"/>
      <c r="AS732" s="23"/>
      <c r="AT732" s="23"/>
      <c r="AU732" s="23"/>
      <c r="AV732" s="23"/>
      <c r="AW732" s="23"/>
      <c r="AX732" s="23"/>
      <c r="AY732" s="23"/>
      <c r="AZ732" s="23"/>
      <c r="BA732" s="23"/>
      <c r="BB732" s="23"/>
      <c r="BC732" s="23"/>
      <c r="BD732" s="23"/>
      <c r="BE732" s="23"/>
      <c r="BF732" s="23"/>
      <c r="BG732" s="23"/>
      <c r="BH732" s="23"/>
      <c r="BI732" s="23"/>
      <c r="BJ732" s="23"/>
      <c r="BK732" s="23"/>
      <c r="BL732" s="23"/>
      <c r="BM732" s="23"/>
      <c r="BN732" s="23"/>
      <c r="BO732" s="23"/>
      <c r="BP732" s="23"/>
      <c r="BQ732" s="23"/>
      <c r="BR732" s="23"/>
      <c r="BS732" s="23"/>
      <c r="BT732" s="23"/>
      <c r="BU732" s="23"/>
      <c r="BV732" s="23"/>
      <c r="BW732" s="23"/>
      <c r="BX732" s="23"/>
      <c r="BY732" s="23"/>
      <c r="BZ732" s="23"/>
      <c r="CA732" s="23"/>
      <c r="CB732" s="23"/>
      <c r="CC732" s="23"/>
      <c r="CD732" s="23"/>
      <c r="CE732" s="23"/>
      <c r="CF732" s="23"/>
      <c r="CG732" s="23"/>
      <c r="CH732" s="23"/>
      <c r="CI732" s="23"/>
      <c r="CJ732" s="23"/>
      <c r="CK732" s="23"/>
      <c r="CL732" s="23"/>
      <c r="CM732" s="23"/>
      <c r="CN732" s="23"/>
      <c r="CO732" s="23"/>
      <c r="CP732" s="23"/>
      <c r="CQ732" s="23"/>
      <c r="CR732" s="23"/>
      <c r="CS732" s="23"/>
      <c r="CT732" s="23"/>
      <c r="CU732" s="23"/>
      <c r="CV732" s="23"/>
      <c r="CW732" s="23"/>
      <c r="CX732" s="23"/>
      <c r="CY732" s="23"/>
      <c r="CZ732" s="23"/>
      <c r="DA732" s="23"/>
      <c r="DB732" s="23"/>
      <c r="DC732" s="23"/>
      <c r="DD732" s="23"/>
      <c r="DE732" s="23"/>
      <c r="DF732" s="23"/>
      <c r="DG732" s="23"/>
      <c r="DH732" s="23"/>
      <c r="DI732" s="23"/>
      <c r="DJ732" s="23"/>
      <c r="DK732" s="23"/>
      <c r="DL732" s="23"/>
      <c r="DM732" s="23"/>
      <c r="DN732" s="23"/>
      <c r="DO732" s="23"/>
      <c r="DP732" s="23"/>
      <c r="DQ732" s="23"/>
      <c r="DR732" s="23"/>
      <c r="DS732" s="23"/>
      <c r="DT732" s="23"/>
      <c r="DU732" s="23"/>
      <c r="DV732" s="23"/>
      <c r="DW732" s="23"/>
      <c r="DX732" s="23"/>
      <c r="DY732" s="23"/>
      <c r="DZ732" s="23"/>
      <c r="EA732" s="23"/>
      <c r="EB732" s="23"/>
      <c r="EC732" s="23"/>
      <c r="ED732" s="23"/>
      <c r="EE732" s="23"/>
      <c r="EF732" s="23"/>
      <c r="EG732" s="23"/>
      <c r="EH732" s="23"/>
      <c r="EI732" s="23"/>
      <c r="EJ732" s="23"/>
      <c r="EK732" s="23"/>
      <c r="EL732" s="23"/>
      <c r="EM732" s="23"/>
      <c r="EN732" s="23"/>
      <c r="EO732" s="23"/>
      <c r="EP732" s="23"/>
      <c r="EQ732" s="23"/>
      <c r="ER732" s="23"/>
      <c r="ES732" s="23"/>
      <c r="ET732" s="23"/>
      <c r="EU732" s="23"/>
      <c r="EV732" s="23"/>
      <c r="EW732" s="23"/>
      <c r="EX732" s="23"/>
      <c r="EY732" s="23"/>
      <c r="EZ732" s="23"/>
      <c r="FA732" s="23"/>
      <c r="FB732" s="23"/>
      <c r="FC732" s="23"/>
      <c r="FD732" s="23"/>
      <c r="FE732" s="23"/>
      <c r="FF732" s="23"/>
      <c r="FG732" s="23"/>
      <c r="FH732" s="23"/>
      <c r="FI732" s="23"/>
      <c r="FJ732" s="23"/>
      <c r="FK732" s="23"/>
      <c r="FL732" s="23"/>
      <c r="FM732" s="23"/>
      <c r="FN732" s="23"/>
      <c r="FO732" s="23"/>
      <c r="FP732" s="23"/>
      <c r="FQ732" s="23"/>
      <c r="FR732" s="23"/>
      <c r="FS732" s="23"/>
      <c r="FT732" s="23"/>
      <c r="FU732" s="23"/>
      <c r="FV732" s="23"/>
      <c r="FW732" s="23"/>
      <c r="FX732" s="23"/>
      <c r="FY732" s="23"/>
      <c r="FZ732" s="23"/>
      <c r="GA732" s="23"/>
      <c r="GB732" s="23"/>
      <c r="GC732" s="23"/>
      <c r="GD732" s="23"/>
      <c r="GE732" s="23"/>
      <c r="GF732" s="23"/>
      <c r="GG732" s="23"/>
      <c r="GH732" s="23"/>
      <c r="GI732" s="23"/>
      <c r="GJ732" s="23"/>
      <c r="GK732" s="23"/>
      <c r="GL732" s="23"/>
    </row>
    <row r="733" spans="1:194" ht="13">
      <c r="A733" s="23"/>
      <c r="B733" s="23"/>
      <c r="C733" s="23"/>
      <c r="D733" s="23"/>
      <c r="E733" s="23"/>
      <c r="F733" s="23"/>
      <c r="G733" s="23"/>
      <c r="H733" s="401"/>
      <c r="I733" s="401"/>
      <c r="J733" s="401"/>
      <c r="K733" s="401"/>
      <c r="L733" s="401"/>
      <c r="M733" s="438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  <c r="AL733" s="23"/>
      <c r="AM733" s="23"/>
      <c r="AN733" s="23"/>
      <c r="AO733" s="23"/>
      <c r="AP733" s="23"/>
      <c r="AQ733" s="23"/>
      <c r="AR733" s="23"/>
      <c r="AS733" s="23"/>
      <c r="AT733" s="23"/>
      <c r="AU733" s="23"/>
      <c r="AV733" s="23"/>
      <c r="AW733" s="23"/>
      <c r="AX733" s="23"/>
      <c r="AY733" s="23"/>
      <c r="AZ733" s="23"/>
      <c r="BA733" s="23"/>
      <c r="BB733" s="23"/>
      <c r="BC733" s="23"/>
      <c r="BD733" s="23"/>
      <c r="BE733" s="23"/>
      <c r="BF733" s="23"/>
      <c r="BG733" s="23"/>
      <c r="BH733" s="23"/>
      <c r="BI733" s="23"/>
      <c r="BJ733" s="23"/>
      <c r="BK733" s="23"/>
      <c r="BL733" s="23"/>
      <c r="BM733" s="23"/>
      <c r="BN733" s="23"/>
      <c r="BO733" s="23"/>
      <c r="BP733" s="23"/>
      <c r="BQ733" s="23"/>
      <c r="BR733" s="23"/>
      <c r="BS733" s="23"/>
      <c r="BT733" s="23"/>
      <c r="BU733" s="23"/>
      <c r="BV733" s="23"/>
      <c r="BW733" s="23"/>
      <c r="BX733" s="23"/>
      <c r="BY733" s="23"/>
      <c r="BZ733" s="23"/>
      <c r="CA733" s="23"/>
      <c r="CB733" s="23"/>
      <c r="CC733" s="23"/>
      <c r="CD733" s="23"/>
      <c r="CE733" s="23"/>
      <c r="CF733" s="23"/>
      <c r="CG733" s="23"/>
      <c r="CH733" s="23"/>
      <c r="CI733" s="23"/>
      <c r="CJ733" s="23"/>
      <c r="CK733" s="23"/>
      <c r="CL733" s="23"/>
      <c r="CM733" s="23"/>
      <c r="CN733" s="23"/>
      <c r="CO733" s="23"/>
      <c r="CP733" s="23"/>
      <c r="CQ733" s="23"/>
      <c r="CR733" s="23"/>
      <c r="CS733" s="23"/>
      <c r="CT733" s="23"/>
      <c r="CU733" s="23"/>
      <c r="CV733" s="23"/>
      <c r="CW733" s="23"/>
      <c r="CX733" s="23"/>
      <c r="CY733" s="23"/>
      <c r="CZ733" s="23"/>
      <c r="DA733" s="23"/>
      <c r="DB733" s="23"/>
      <c r="DC733" s="23"/>
      <c r="DD733" s="23"/>
      <c r="DE733" s="23"/>
      <c r="DF733" s="23"/>
      <c r="DG733" s="23"/>
      <c r="DH733" s="23"/>
      <c r="DI733" s="23"/>
      <c r="DJ733" s="23"/>
      <c r="DK733" s="23"/>
      <c r="DL733" s="23"/>
      <c r="DM733" s="23"/>
      <c r="DN733" s="23"/>
      <c r="DO733" s="23"/>
      <c r="DP733" s="23"/>
      <c r="DQ733" s="23"/>
      <c r="DR733" s="23"/>
      <c r="DS733" s="23"/>
      <c r="DT733" s="23"/>
      <c r="DU733" s="23"/>
      <c r="DV733" s="23"/>
      <c r="DW733" s="23"/>
      <c r="DX733" s="23"/>
      <c r="DY733" s="23"/>
      <c r="DZ733" s="23"/>
      <c r="EA733" s="23"/>
      <c r="EB733" s="23"/>
      <c r="EC733" s="23"/>
      <c r="ED733" s="23"/>
      <c r="EE733" s="23"/>
      <c r="EF733" s="23"/>
      <c r="EG733" s="23"/>
      <c r="EH733" s="23"/>
      <c r="EI733" s="23"/>
      <c r="EJ733" s="23"/>
      <c r="EK733" s="23"/>
      <c r="EL733" s="23"/>
      <c r="EM733" s="23"/>
      <c r="EN733" s="23"/>
      <c r="EO733" s="23"/>
      <c r="EP733" s="23"/>
      <c r="EQ733" s="23"/>
      <c r="ER733" s="23"/>
      <c r="ES733" s="23"/>
      <c r="ET733" s="23"/>
      <c r="EU733" s="23"/>
      <c r="EV733" s="23"/>
      <c r="EW733" s="23"/>
      <c r="EX733" s="23"/>
      <c r="EY733" s="23"/>
      <c r="EZ733" s="23"/>
      <c r="FA733" s="23"/>
      <c r="FB733" s="23"/>
      <c r="FC733" s="23"/>
      <c r="FD733" s="23"/>
      <c r="FE733" s="23"/>
      <c r="FF733" s="23"/>
      <c r="FG733" s="23"/>
      <c r="FH733" s="23"/>
      <c r="FI733" s="23"/>
      <c r="FJ733" s="23"/>
      <c r="FK733" s="23"/>
      <c r="FL733" s="23"/>
      <c r="FM733" s="23"/>
      <c r="FN733" s="23"/>
      <c r="FO733" s="23"/>
      <c r="FP733" s="23"/>
      <c r="FQ733" s="23"/>
      <c r="FR733" s="23"/>
      <c r="FS733" s="23"/>
      <c r="FT733" s="23"/>
      <c r="FU733" s="23"/>
      <c r="FV733" s="23"/>
      <c r="FW733" s="23"/>
      <c r="FX733" s="23"/>
      <c r="FY733" s="23"/>
      <c r="FZ733" s="23"/>
      <c r="GA733" s="23"/>
      <c r="GB733" s="23"/>
      <c r="GC733" s="23"/>
      <c r="GD733" s="23"/>
      <c r="GE733" s="23"/>
      <c r="GF733" s="23"/>
      <c r="GG733" s="23"/>
      <c r="GH733" s="23"/>
      <c r="GI733" s="23"/>
      <c r="GJ733" s="23"/>
      <c r="GK733" s="23"/>
      <c r="GL733" s="23"/>
    </row>
    <row r="734" spans="1:194" ht="13">
      <c r="A734" s="23"/>
      <c r="B734" s="23"/>
      <c r="C734" s="23"/>
      <c r="D734" s="23"/>
      <c r="E734" s="23"/>
      <c r="F734" s="23"/>
      <c r="G734" s="23"/>
      <c r="H734" s="401"/>
      <c r="I734" s="401"/>
      <c r="J734" s="401"/>
      <c r="K734" s="401"/>
      <c r="L734" s="401"/>
      <c r="M734" s="438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  <c r="AL734" s="23"/>
      <c r="AM734" s="23"/>
      <c r="AN734" s="23"/>
      <c r="AO734" s="23"/>
      <c r="AP734" s="23"/>
      <c r="AQ734" s="23"/>
      <c r="AR734" s="23"/>
      <c r="AS734" s="23"/>
      <c r="AT734" s="23"/>
      <c r="AU734" s="23"/>
      <c r="AV734" s="23"/>
      <c r="AW734" s="23"/>
      <c r="AX734" s="23"/>
      <c r="AY734" s="23"/>
      <c r="AZ734" s="23"/>
      <c r="BA734" s="23"/>
      <c r="BB734" s="23"/>
      <c r="BC734" s="23"/>
      <c r="BD734" s="23"/>
      <c r="BE734" s="23"/>
      <c r="BF734" s="23"/>
      <c r="BG734" s="23"/>
      <c r="BH734" s="23"/>
      <c r="BI734" s="23"/>
      <c r="BJ734" s="23"/>
      <c r="BK734" s="23"/>
      <c r="BL734" s="23"/>
      <c r="BM734" s="23"/>
      <c r="BN734" s="23"/>
      <c r="BO734" s="23"/>
      <c r="BP734" s="23"/>
      <c r="BQ734" s="23"/>
      <c r="BR734" s="23"/>
      <c r="BS734" s="23"/>
      <c r="BT734" s="23"/>
      <c r="BU734" s="23"/>
      <c r="BV734" s="23"/>
      <c r="BW734" s="23"/>
      <c r="BX734" s="23"/>
      <c r="BY734" s="23"/>
      <c r="BZ734" s="23"/>
      <c r="CA734" s="23"/>
      <c r="CB734" s="23"/>
      <c r="CC734" s="23"/>
      <c r="CD734" s="23"/>
      <c r="CE734" s="23"/>
      <c r="CF734" s="23"/>
      <c r="CG734" s="23"/>
      <c r="CH734" s="23"/>
      <c r="CI734" s="23"/>
      <c r="CJ734" s="23"/>
      <c r="CK734" s="23"/>
      <c r="CL734" s="23"/>
      <c r="CM734" s="23"/>
      <c r="CN734" s="23"/>
      <c r="CO734" s="23"/>
      <c r="CP734" s="23"/>
      <c r="CQ734" s="23"/>
      <c r="CR734" s="23"/>
      <c r="CS734" s="23"/>
      <c r="CT734" s="23"/>
      <c r="CU734" s="23"/>
      <c r="CV734" s="23"/>
      <c r="CW734" s="23"/>
      <c r="CX734" s="23"/>
      <c r="CY734" s="23"/>
      <c r="CZ734" s="23"/>
      <c r="DA734" s="23"/>
      <c r="DB734" s="23"/>
      <c r="DC734" s="23"/>
      <c r="DD734" s="23"/>
      <c r="DE734" s="23"/>
      <c r="DF734" s="23"/>
      <c r="DG734" s="23"/>
      <c r="DH734" s="23"/>
      <c r="DI734" s="23"/>
      <c r="DJ734" s="23"/>
      <c r="DK734" s="23"/>
      <c r="DL734" s="23"/>
      <c r="DM734" s="23"/>
      <c r="DN734" s="23"/>
      <c r="DO734" s="23"/>
      <c r="DP734" s="23"/>
      <c r="DQ734" s="23"/>
      <c r="DR734" s="23"/>
      <c r="DS734" s="23"/>
      <c r="DT734" s="23"/>
      <c r="DU734" s="23"/>
      <c r="DV734" s="23"/>
      <c r="DW734" s="23"/>
      <c r="DX734" s="23"/>
      <c r="DY734" s="23"/>
      <c r="DZ734" s="23"/>
      <c r="EA734" s="23"/>
      <c r="EB734" s="23"/>
      <c r="EC734" s="23"/>
      <c r="ED734" s="23"/>
      <c r="EE734" s="23"/>
      <c r="EF734" s="23"/>
      <c r="EG734" s="23"/>
      <c r="EH734" s="23"/>
      <c r="EI734" s="23"/>
      <c r="EJ734" s="23"/>
      <c r="EK734" s="23"/>
      <c r="EL734" s="23"/>
      <c r="EM734" s="23"/>
      <c r="EN734" s="23"/>
      <c r="EO734" s="23"/>
      <c r="EP734" s="23"/>
      <c r="EQ734" s="23"/>
      <c r="ER734" s="23"/>
      <c r="ES734" s="23"/>
      <c r="ET734" s="23"/>
      <c r="EU734" s="23"/>
      <c r="EV734" s="23"/>
      <c r="EW734" s="23"/>
      <c r="EX734" s="23"/>
      <c r="EY734" s="23"/>
      <c r="EZ734" s="23"/>
      <c r="FA734" s="23"/>
      <c r="FB734" s="23"/>
      <c r="FC734" s="23"/>
      <c r="FD734" s="23"/>
      <c r="FE734" s="23"/>
      <c r="FF734" s="23"/>
      <c r="FG734" s="23"/>
      <c r="FH734" s="23"/>
      <c r="FI734" s="23"/>
      <c r="FJ734" s="23"/>
      <c r="FK734" s="23"/>
      <c r="FL734" s="23"/>
      <c r="FM734" s="23"/>
      <c r="FN734" s="23"/>
      <c r="FO734" s="23"/>
      <c r="FP734" s="23"/>
      <c r="FQ734" s="23"/>
      <c r="FR734" s="23"/>
      <c r="FS734" s="23"/>
      <c r="FT734" s="23"/>
      <c r="FU734" s="23"/>
      <c r="FV734" s="23"/>
      <c r="FW734" s="23"/>
      <c r="FX734" s="23"/>
      <c r="FY734" s="23"/>
      <c r="FZ734" s="23"/>
      <c r="GA734" s="23"/>
      <c r="GB734" s="23"/>
      <c r="GC734" s="23"/>
      <c r="GD734" s="23"/>
      <c r="GE734" s="23"/>
      <c r="GF734" s="23"/>
      <c r="GG734" s="23"/>
      <c r="GH734" s="23"/>
      <c r="GI734" s="23"/>
      <c r="GJ734" s="23"/>
      <c r="GK734" s="23"/>
      <c r="GL734" s="23"/>
    </row>
    <row r="735" spans="1:194" ht="13">
      <c r="A735" s="23"/>
      <c r="B735" s="23"/>
      <c r="C735" s="23"/>
      <c r="D735" s="23"/>
      <c r="E735" s="23"/>
      <c r="F735" s="23"/>
      <c r="G735" s="23"/>
      <c r="H735" s="401"/>
      <c r="I735" s="401"/>
      <c r="J735" s="401"/>
      <c r="K735" s="401"/>
      <c r="L735" s="401"/>
      <c r="M735" s="438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  <c r="AL735" s="23"/>
      <c r="AM735" s="23"/>
      <c r="AN735" s="23"/>
      <c r="AO735" s="23"/>
      <c r="AP735" s="23"/>
      <c r="AQ735" s="23"/>
      <c r="AR735" s="23"/>
      <c r="AS735" s="23"/>
      <c r="AT735" s="23"/>
      <c r="AU735" s="23"/>
      <c r="AV735" s="23"/>
      <c r="AW735" s="23"/>
      <c r="AX735" s="23"/>
      <c r="AY735" s="23"/>
      <c r="AZ735" s="23"/>
      <c r="BA735" s="23"/>
      <c r="BB735" s="23"/>
      <c r="BC735" s="23"/>
      <c r="BD735" s="23"/>
      <c r="BE735" s="23"/>
      <c r="BF735" s="23"/>
      <c r="BG735" s="23"/>
      <c r="BH735" s="23"/>
      <c r="BI735" s="23"/>
      <c r="BJ735" s="23"/>
      <c r="BK735" s="23"/>
      <c r="BL735" s="23"/>
      <c r="BM735" s="23"/>
      <c r="BN735" s="23"/>
      <c r="BO735" s="23"/>
      <c r="BP735" s="23"/>
      <c r="BQ735" s="23"/>
      <c r="BR735" s="23"/>
      <c r="BS735" s="23"/>
      <c r="BT735" s="23"/>
      <c r="BU735" s="23"/>
      <c r="BV735" s="23"/>
      <c r="BW735" s="23"/>
      <c r="BX735" s="23"/>
      <c r="BY735" s="23"/>
      <c r="BZ735" s="23"/>
      <c r="CA735" s="23"/>
      <c r="CB735" s="23"/>
      <c r="CC735" s="23"/>
      <c r="CD735" s="23"/>
      <c r="CE735" s="23"/>
      <c r="CF735" s="23"/>
      <c r="CG735" s="23"/>
      <c r="CH735" s="23"/>
      <c r="CI735" s="23"/>
      <c r="CJ735" s="23"/>
      <c r="CK735" s="23"/>
      <c r="CL735" s="23"/>
      <c r="CM735" s="23"/>
      <c r="CN735" s="23"/>
      <c r="CO735" s="23"/>
      <c r="CP735" s="23"/>
      <c r="CQ735" s="23"/>
      <c r="CR735" s="23"/>
      <c r="CS735" s="23"/>
      <c r="CT735" s="23"/>
      <c r="CU735" s="23"/>
      <c r="CV735" s="23"/>
      <c r="CW735" s="23"/>
      <c r="CX735" s="23"/>
      <c r="CY735" s="23"/>
      <c r="CZ735" s="23"/>
      <c r="DA735" s="23"/>
      <c r="DB735" s="23"/>
      <c r="DC735" s="23"/>
      <c r="DD735" s="23"/>
      <c r="DE735" s="23"/>
      <c r="DF735" s="23"/>
      <c r="DG735" s="23"/>
      <c r="DH735" s="23"/>
      <c r="DI735" s="23"/>
      <c r="DJ735" s="23"/>
      <c r="DK735" s="23"/>
      <c r="DL735" s="23"/>
      <c r="DM735" s="23"/>
      <c r="DN735" s="23"/>
      <c r="DO735" s="23"/>
      <c r="DP735" s="23"/>
      <c r="DQ735" s="23"/>
      <c r="DR735" s="23"/>
      <c r="DS735" s="23"/>
      <c r="DT735" s="23"/>
      <c r="DU735" s="23"/>
      <c r="DV735" s="23"/>
      <c r="DW735" s="23"/>
      <c r="DX735" s="23"/>
      <c r="DY735" s="23"/>
      <c r="DZ735" s="23"/>
      <c r="EA735" s="23"/>
      <c r="EB735" s="23"/>
      <c r="EC735" s="23"/>
      <c r="ED735" s="23"/>
      <c r="EE735" s="23"/>
      <c r="EF735" s="23"/>
      <c r="EG735" s="23"/>
      <c r="EH735" s="23"/>
      <c r="EI735" s="23"/>
      <c r="EJ735" s="23"/>
      <c r="EK735" s="23"/>
      <c r="EL735" s="23"/>
      <c r="EM735" s="23"/>
      <c r="EN735" s="23"/>
      <c r="EO735" s="23"/>
      <c r="EP735" s="23"/>
      <c r="EQ735" s="23"/>
      <c r="ER735" s="23"/>
      <c r="ES735" s="23"/>
      <c r="ET735" s="23"/>
      <c r="EU735" s="23"/>
      <c r="EV735" s="23"/>
      <c r="EW735" s="23"/>
      <c r="EX735" s="23"/>
      <c r="EY735" s="23"/>
      <c r="EZ735" s="23"/>
      <c r="FA735" s="23"/>
      <c r="FB735" s="23"/>
      <c r="FC735" s="23"/>
      <c r="FD735" s="23"/>
      <c r="FE735" s="23"/>
      <c r="FF735" s="23"/>
      <c r="FG735" s="23"/>
      <c r="FH735" s="23"/>
      <c r="FI735" s="23"/>
      <c r="FJ735" s="23"/>
      <c r="FK735" s="23"/>
      <c r="FL735" s="23"/>
      <c r="FM735" s="23"/>
      <c r="FN735" s="23"/>
      <c r="FO735" s="23"/>
      <c r="FP735" s="23"/>
      <c r="FQ735" s="23"/>
      <c r="FR735" s="23"/>
      <c r="FS735" s="23"/>
      <c r="FT735" s="23"/>
      <c r="FU735" s="23"/>
      <c r="FV735" s="23"/>
      <c r="FW735" s="23"/>
      <c r="FX735" s="23"/>
      <c r="FY735" s="23"/>
      <c r="FZ735" s="23"/>
      <c r="GA735" s="23"/>
      <c r="GB735" s="23"/>
      <c r="GC735" s="23"/>
      <c r="GD735" s="23"/>
      <c r="GE735" s="23"/>
      <c r="GF735" s="23"/>
      <c r="GG735" s="23"/>
      <c r="GH735" s="23"/>
      <c r="GI735" s="23"/>
      <c r="GJ735" s="23"/>
      <c r="GK735" s="23"/>
      <c r="GL735" s="23"/>
    </row>
    <row r="736" spans="1:194" ht="13">
      <c r="A736" s="23"/>
      <c r="B736" s="23"/>
      <c r="C736" s="23"/>
      <c r="D736" s="23"/>
      <c r="E736" s="23"/>
      <c r="F736" s="23"/>
      <c r="G736" s="23"/>
      <c r="H736" s="401"/>
      <c r="I736" s="401"/>
      <c r="J736" s="401"/>
      <c r="K736" s="401"/>
      <c r="L736" s="401"/>
      <c r="M736" s="438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  <c r="AL736" s="23"/>
      <c r="AM736" s="23"/>
      <c r="AN736" s="23"/>
      <c r="AO736" s="23"/>
      <c r="AP736" s="23"/>
      <c r="AQ736" s="23"/>
      <c r="AR736" s="23"/>
      <c r="AS736" s="23"/>
      <c r="AT736" s="23"/>
      <c r="AU736" s="23"/>
      <c r="AV736" s="23"/>
      <c r="AW736" s="23"/>
      <c r="AX736" s="23"/>
      <c r="AY736" s="23"/>
      <c r="AZ736" s="23"/>
      <c r="BA736" s="23"/>
      <c r="BB736" s="23"/>
      <c r="BC736" s="23"/>
      <c r="BD736" s="23"/>
      <c r="BE736" s="23"/>
      <c r="BF736" s="23"/>
      <c r="BG736" s="23"/>
      <c r="BH736" s="23"/>
      <c r="BI736" s="23"/>
      <c r="BJ736" s="23"/>
      <c r="BK736" s="23"/>
      <c r="BL736" s="23"/>
      <c r="BM736" s="23"/>
      <c r="BN736" s="23"/>
      <c r="BO736" s="23"/>
      <c r="BP736" s="23"/>
      <c r="BQ736" s="23"/>
      <c r="BR736" s="23"/>
      <c r="BS736" s="23"/>
      <c r="BT736" s="23"/>
      <c r="BU736" s="23"/>
      <c r="BV736" s="23"/>
      <c r="BW736" s="23"/>
      <c r="BX736" s="23"/>
      <c r="BY736" s="23"/>
      <c r="BZ736" s="23"/>
      <c r="CA736" s="23"/>
      <c r="CB736" s="23"/>
      <c r="CC736" s="23"/>
      <c r="CD736" s="23"/>
      <c r="CE736" s="23"/>
      <c r="CF736" s="23"/>
      <c r="CG736" s="23"/>
      <c r="CH736" s="23"/>
      <c r="CI736" s="23"/>
      <c r="CJ736" s="23"/>
      <c r="CK736" s="23"/>
      <c r="CL736" s="23"/>
      <c r="CM736" s="23"/>
      <c r="CN736" s="23"/>
      <c r="CO736" s="23"/>
      <c r="CP736" s="23"/>
      <c r="CQ736" s="23"/>
      <c r="CR736" s="23"/>
      <c r="CS736" s="23"/>
      <c r="CT736" s="23"/>
      <c r="CU736" s="23"/>
      <c r="CV736" s="23"/>
      <c r="CW736" s="23"/>
      <c r="CX736" s="23"/>
      <c r="CY736" s="23"/>
      <c r="CZ736" s="23"/>
      <c r="DA736" s="23"/>
      <c r="DB736" s="23"/>
      <c r="DC736" s="23"/>
      <c r="DD736" s="23"/>
      <c r="DE736" s="23"/>
      <c r="DF736" s="23"/>
      <c r="DG736" s="23"/>
      <c r="DH736" s="23"/>
      <c r="DI736" s="23"/>
      <c r="DJ736" s="23"/>
      <c r="DK736" s="23"/>
      <c r="DL736" s="23"/>
      <c r="DM736" s="23"/>
      <c r="DN736" s="23"/>
      <c r="DO736" s="23"/>
      <c r="DP736" s="23"/>
      <c r="DQ736" s="23"/>
      <c r="DR736" s="23"/>
      <c r="DS736" s="23"/>
      <c r="DT736" s="23"/>
      <c r="DU736" s="23"/>
      <c r="DV736" s="23"/>
      <c r="DW736" s="23"/>
      <c r="DX736" s="23"/>
      <c r="DY736" s="23"/>
      <c r="DZ736" s="23"/>
      <c r="EA736" s="23"/>
      <c r="EB736" s="23"/>
      <c r="EC736" s="23"/>
      <c r="ED736" s="23"/>
      <c r="EE736" s="23"/>
      <c r="EF736" s="23"/>
      <c r="EG736" s="23"/>
      <c r="EH736" s="23"/>
      <c r="EI736" s="23"/>
      <c r="EJ736" s="23"/>
      <c r="EK736" s="23"/>
      <c r="EL736" s="23"/>
      <c r="EM736" s="23"/>
      <c r="EN736" s="23"/>
      <c r="EO736" s="23"/>
      <c r="EP736" s="23"/>
      <c r="EQ736" s="23"/>
      <c r="ER736" s="23"/>
      <c r="ES736" s="23"/>
      <c r="ET736" s="23"/>
      <c r="EU736" s="23"/>
      <c r="EV736" s="23"/>
      <c r="EW736" s="23"/>
      <c r="EX736" s="23"/>
      <c r="EY736" s="23"/>
      <c r="EZ736" s="23"/>
      <c r="FA736" s="23"/>
      <c r="FB736" s="23"/>
      <c r="FC736" s="23"/>
      <c r="FD736" s="23"/>
      <c r="FE736" s="23"/>
      <c r="FF736" s="23"/>
      <c r="FG736" s="23"/>
      <c r="FH736" s="23"/>
      <c r="FI736" s="23"/>
      <c r="FJ736" s="23"/>
      <c r="FK736" s="23"/>
      <c r="FL736" s="23"/>
      <c r="FM736" s="23"/>
      <c r="FN736" s="23"/>
      <c r="FO736" s="23"/>
      <c r="FP736" s="23"/>
      <c r="FQ736" s="23"/>
      <c r="FR736" s="23"/>
      <c r="FS736" s="23"/>
      <c r="FT736" s="23"/>
      <c r="FU736" s="23"/>
      <c r="FV736" s="23"/>
      <c r="FW736" s="23"/>
      <c r="FX736" s="23"/>
      <c r="FY736" s="23"/>
      <c r="FZ736" s="23"/>
      <c r="GA736" s="23"/>
      <c r="GB736" s="23"/>
      <c r="GC736" s="23"/>
      <c r="GD736" s="23"/>
      <c r="GE736" s="23"/>
      <c r="GF736" s="23"/>
      <c r="GG736" s="23"/>
      <c r="GH736" s="23"/>
      <c r="GI736" s="23"/>
      <c r="GJ736" s="23"/>
      <c r="GK736" s="23"/>
      <c r="GL736" s="23"/>
    </row>
    <row r="737" spans="1:194" ht="13">
      <c r="A737" s="23"/>
      <c r="B737" s="23"/>
      <c r="C737" s="23"/>
      <c r="D737" s="23"/>
      <c r="E737" s="23"/>
      <c r="F737" s="23"/>
      <c r="G737" s="23"/>
      <c r="H737" s="401"/>
      <c r="I737" s="401"/>
      <c r="J737" s="401"/>
      <c r="K737" s="401"/>
      <c r="L737" s="401"/>
      <c r="M737" s="438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  <c r="AL737" s="23"/>
      <c r="AM737" s="23"/>
      <c r="AN737" s="23"/>
      <c r="AO737" s="23"/>
      <c r="AP737" s="23"/>
      <c r="AQ737" s="23"/>
      <c r="AR737" s="23"/>
      <c r="AS737" s="23"/>
      <c r="AT737" s="23"/>
      <c r="AU737" s="23"/>
      <c r="AV737" s="23"/>
      <c r="AW737" s="23"/>
      <c r="AX737" s="23"/>
      <c r="AY737" s="23"/>
      <c r="AZ737" s="23"/>
      <c r="BA737" s="23"/>
      <c r="BB737" s="23"/>
      <c r="BC737" s="23"/>
      <c r="BD737" s="23"/>
      <c r="BE737" s="23"/>
      <c r="BF737" s="23"/>
      <c r="BG737" s="23"/>
      <c r="BH737" s="23"/>
      <c r="BI737" s="23"/>
      <c r="BJ737" s="23"/>
      <c r="BK737" s="23"/>
      <c r="BL737" s="23"/>
      <c r="BM737" s="23"/>
      <c r="BN737" s="23"/>
      <c r="BO737" s="23"/>
      <c r="BP737" s="23"/>
      <c r="BQ737" s="23"/>
      <c r="BR737" s="23"/>
      <c r="BS737" s="23"/>
      <c r="BT737" s="23"/>
      <c r="BU737" s="23"/>
      <c r="BV737" s="23"/>
      <c r="BW737" s="23"/>
      <c r="BX737" s="23"/>
      <c r="BY737" s="23"/>
      <c r="BZ737" s="23"/>
      <c r="CA737" s="23"/>
      <c r="CB737" s="23"/>
      <c r="CC737" s="23"/>
      <c r="CD737" s="23"/>
      <c r="CE737" s="23"/>
      <c r="CF737" s="23"/>
      <c r="CG737" s="23"/>
      <c r="CH737" s="23"/>
      <c r="CI737" s="23"/>
      <c r="CJ737" s="23"/>
      <c r="CK737" s="23"/>
      <c r="CL737" s="23"/>
      <c r="CM737" s="23"/>
      <c r="CN737" s="23"/>
      <c r="CO737" s="23"/>
      <c r="CP737" s="23"/>
      <c r="CQ737" s="23"/>
      <c r="CR737" s="23"/>
      <c r="CS737" s="23"/>
      <c r="CT737" s="23"/>
      <c r="CU737" s="23"/>
      <c r="CV737" s="23"/>
      <c r="CW737" s="23"/>
      <c r="CX737" s="23"/>
      <c r="CY737" s="23"/>
      <c r="CZ737" s="23"/>
      <c r="DA737" s="23"/>
      <c r="DB737" s="23"/>
      <c r="DC737" s="23"/>
      <c r="DD737" s="23"/>
      <c r="DE737" s="23"/>
      <c r="DF737" s="23"/>
      <c r="DG737" s="23"/>
      <c r="DH737" s="23"/>
      <c r="DI737" s="23"/>
      <c r="DJ737" s="23"/>
      <c r="DK737" s="23"/>
      <c r="DL737" s="23"/>
      <c r="DM737" s="23"/>
      <c r="DN737" s="23"/>
      <c r="DO737" s="23"/>
      <c r="DP737" s="23"/>
      <c r="DQ737" s="23"/>
      <c r="DR737" s="23"/>
      <c r="DS737" s="23"/>
      <c r="DT737" s="23"/>
      <c r="DU737" s="23"/>
      <c r="DV737" s="23"/>
      <c r="DW737" s="23"/>
      <c r="DX737" s="23"/>
      <c r="DY737" s="23"/>
      <c r="DZ737" s="23"/>
      <c r="EA737" s="23"/>
      <c r="EB737" s="23"/>
      <c r="EC737" s="23"/>
      <c r="ED737" s="23"/>
      <c r="EE737" s="23"/>
      <c r="EF737" s="23"/>
      <c r="EG737" s="23"/>
      <c r="EH737" s="23"/>
      <c r="EI737" s="23"/>
      <c r="EJ737" s="23"/>
      <c r="EK737" s="23"/>
      <c r="EL737" s="23"/>
      <c r="EM737" s="23"/>
      <c r="EN737" s="23"/>
      <c r="EO737" s="23"/>
      <c r="EP737" s="23"/>
      <c r="EQ737" s="23"/>
      <c r="ER737" s="23"/>
      <c r="ES737" s="23"/>
      <c r="ET737" s="23"/>
      <c r="EU737" s="23"/>
      <c r="EV737" s="23"/>
      <c r="EW737" s="23"/>
      <c r="EX737" s="23"/>
      <c r="EY737" s="23"/>
      <c r="EZ737" s="23"/>
      <c r="FA737" s="23"/>
      <c r="FB737" s="23"/>
      <c r="FC737" s="23"/>
      <c r="FD737" s="23"/>
      <c r="FE737" s="23"/>
      <c r="FF737" s="23"/>
      <c r="FG737" s="23"/>
      <c r="FH737" s="23"/>
      <c r="FI737" s="23"/>
      <c r="FJ737" s="23"/>
      <c r="FK737" s="23"/>
      <c r="FL737" s="23"/>
      <c r="FM737" s="23"/>
      <c r="FN737" s="23"/>
      <c r="FO737" s="23"/>
      <c r="FP737" s="23"/>
      <c r="FQ737" s="23"/>
      <c r="FR737" s="23"/>
      <c r="FS737" s="23"/>
      <c r="FT737" s="23"/>
      <c r="FU737" s="23"/>
      <c r="FV737" s="23"/>
      <c r="FW737" s="23"/>
      <c r="FX737" s="23"/>
      <c r="FY737" s="23"/>
      <c r="FZ737" s="23"/>
      <c r="GA737" s="23"/>
      <c r="GB737" s="23"/>
      <c r="GC737" s="23"/>
      <c r="GD737" s="23"/>
      <c r="GE737" s="23"/>
      <c r="GF737" s="23"/>
      <c r="GG737" s="23"/>
      <c r="GH737" s="23"/>
      <c r="GI737" s="23"/>
      <c r="GJ737" s="23"/>
      <c r="GK737" s="23"/>
      <c r="GL737" s="23"/>
    </row>
    <row r="738" spans="1:194" ht="13">
      <c r="A738" s="23"/>
      <c r="B738" s="23"/>
      <c r="C738" s="23"/>
      <c r="D738" s="23"/>
      <c r="E738" s="23"/>
      <c r="F738" s="23"/>
      <c r="G738" s="23"/>
      <c r="H738" s="401"/>
      <c r="I738" s="401"/>
      <c r="J738" s="401"/>
      <c r="K738" s="401"/>
      <c r="L738" s="401"/>
      <c r="M738" s="438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  <c r="AL738" s="23"/>
      <c r="AM738" s="23"/>
      <c r="AN738" s="23"/>
      <c r="AO738" s="23"/>
      <c r="AP738" s="23"/>
      <c r="AQ738" s="23"/>
      <c r="AR738" s="23"/>
      <c r="AS738" s="23"/>
      <c r="AT738" s="23"/>
      <c r="AU738" s="23"/>
      <c r="AV738" s="23"/>
      <c r="AW738" s="23"/>
      <c r="AX738" s="23"/>
      <c r="AY738" s="23"/>
      <c r="AZ738" s="23"/>
      <c r="BA738" s="23"/>
      <c r="BB738" s="23"/>
      <c r="BC738" s="23"/>
      <c r="BD738" s="23"/>
      <c r="BE738" s="23"/>
      <c r="BF738" s="23"/>
      <c r="BG738" s="23"/>
      <c r="BH738" s="23"/>
      <c r="BI738" s="23"/>
      <c r="BJ738" s="23"/>
      <c r="BK738" s="23"/>
      <c r="BL738" s="23"/>
      <c r="BM738" s="23"/>
      <c r="BN738" s="23"/>
      <c r="BO738" s="23"/>
      <c r="BP738" s="23"/>
      <c r="BQ738" s="23"/>
      <c r="BR738" s="23"/>
      <c r="BS738" s="23"/>
      <c r="BT738" s="23"/>
      <c r="BU738" s="23"/>
      <c r="BV738" s="23"/>
      <c r="BW738" s="23"/>
      <c r="BX738" s="23"/>
      <c r="BY738" s="23"/>
      <c r="BZ738" s="23"/>
      <c r="CA738" s="23"/>
      <c r="CB738" s="23"/>
      <c r="CC738" s="23"/>
      <c r="CD738" s="23"/>
      <c r="CE738" s="23"/>
      <c r="CF738" s="23"/>
      <c r="CG738" s="23"/>
      <c r="CH738" s="23"/>
      <c r="CI738" s="23"/>
      <c r="CJ738" s="23"/>
      <c r="CK738" s="23"/>
      <c r="CL738" s="23"/>
      <c r="CM738" s="23"/>
      <c r="CN738" s="23"/>
      <c r="CO738" s="23"/>
      <c r="CP738" s="23"/>
      <c r="CQ738" s="23"/>
      <c r="CR738" s="23"/>
      <c r="CS738" s="23"/>
      <c r="CT738" s="23"/>
      <c r="CU738" s="23"/>
      <c r="CV738" s="23"/>
      <c r="CW738" s="23"/>
      <c r="CX738" s="23"/>
      <c r="CY738" s="23"/>
      <c r="CZ738" s="23"/>
      <c r="DA738" s="23"/>
      <c r="DB738" s="23"/>
      <c r="DC738" s="23"/>
      <c r="DD738" s="23"/>
      <c r="DE738" s="23"/>
      <c r="DF738" s="23"/>
      <c r="DG738" s="23"/>
      <c r="DH738" s="23"/>
      <c r="DI738" s="23"/>
      <c r="DJ738" s="23"/>
      <c r="DK738" s="23"/>
      <c r="DL738" s="23"/>
      <c r="DM738" s="23"/>
      <c r="DN738" s="23"/>
      <c r="DO738" s="23"/>
      <c r="DP738" s="23"/>
      <c r="DQ738" s="23"/>
      <c r="DR738" s="23"/>
      <c r="DS738" s="23"/>
      <c r="DT738" s="23"/>
      <c r="DU738" s="23"/>
      <c r="DV738" s="23"/>
      <c r="DW738" s="23"/>
      <c r="DX738" s="23"/>
      <c r="DY738" s="23"/>
      <c r="DZ738" s="23"/>
      <c r="EA738" s="23"/>
      <c r="EB738" s="23"/>
      <c r="EC738" s="23"/>
      <c r="ED738" s="23"/>
      <c r="EE738" s="23"/>
      <c r="EF738" s="23"/>
      <c r="EG738" s="23"/>
      <c r="EH738" s="23"/>
      <c r="EI738" s="23"/>
      <c r="EJ738" s="23"/>
      <c r="EK738" s="23"/>
      <c r="EL738" s="23"/>
      <c r="EM738" s="23"/>
      <c r="EN738" s="23"/>
      <c r="EO738" s="23"/>
      <c r="EP738" s="23"/>
      <c r="EQ738" s="23"/>
      <c r="ER738" s="23"/>
      <c r="ES738" s="23"/>
      <c r="ET738" s="23"/>
      <c r="EU738" s="23"/>
      <c r="EV738" s="23"/>
      <c r="EW738" s="23"/>
      <c r="EX738" s="23"/>
      <c r="EY738" s="23"/>
      <c r="EZ738" s="23"/>
      <c r="FA738" s="23"/>
      <c r="FB738" s="23"/>
      <c r="FC738" s="23"/>
      <c r="FD738" s="23"/>
      <c r="FE738" s="23"/>
      <c r="FF738" s="23"/>
      <c r="FG738" s="23"/>
      <c r="FH738" s="23"/>
      <c r="FI738" s="23"/>
      <c r="FJ738" s="23"/>
      <c r="FK738" s="23"/>
      <c r="FL738" s="23"/>
      <c r="FM738" s="23"/>
      <c r="FN738" s="23"/>
      <c r="FO738" s="23"/>
      <c r="FP738" s="23"/>
      <c r="FQ738" s="23"/>
      <c r="FR738" s="23"/>
      <c r="FS738" s="23"/>
      <c r="FT738" s="23"/>
      <c r="FU738" s="23"/>
      <c r="FV738" s="23"/>
      <c r="FW738" s="23"/>
      <c r="FX738" s="23"/>
      <c r="FY738" s="23"/>
      <c r="FZ738" s="23"/>
      <c r="GA738" s="23"/>
      <c r="GB738" s="23"/>
      <c r="GC738" s="23"/>
      <c r="GD738" s="23"/>
      <c r="GE738" s="23"/>
      <c r="GF738" s="23"/>
      <c r="GG738" s="23"/>
      <c r="GH738" s="23"/>
      <c r="GI738" s="23"/>
      <c r="GJ738" s="23"/>
      <c r="GK738" s="23"/>
      <c r="GL738" s="23"/>
    </row>
    <row r="739" spans="1:194" ht="13">
      <c r="A739" s="23"/>
      <c r="B739" s="23"/>
      <c r="C739" s="23"/>
      <c r="D739" s="23"/>
      <c r="E739" s="23"/>
      <c r="F739" s="23"/>
      <c r="G739" s="23"/>
      <c r="H739" s="401"/>
      <c r="I739" s="401"/>
      <c r="J739" s="401"/>
      <c r="K739" s="401"/>
      <c r="L739" s="401"/>
      <c r="M739" s="438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  <c r="AL739" s="23"/>
      <c r="AM739" s="23"/>
      <c r="AN739" s="23"/>
      <c r="AO739" s="23"/>
      <c r="AP739" s="23"/>
      <c r="AQ739" s="23"/>
      <c r="AR739" s="23"/>
      <c r="AS739" s="23"/>
      <c r="AT739" s="23"/>
      <c r="AU739" s="23"/>
      <c r="AV739" s="23"/>
      <c r="AW739" s="23"/>
      <c r="AX739" s="23"/>
      <c r="AY739" s="23"/>
      <c r="AZ739" s="23"/>
      <c r="BA739" s="23"/>
      <c r="BB739" s="23"/>
      <c r="BC739" s="23"/>
      <c r="BD739" s="23"/>
      <c r="BE739" s="23"/>
      <c r="BF739" s="23"/>
      <c r="BG739" s="23"/>
      <c r="BH739" s="23"/>
      <c r="BI739" s="23"/>
      <c r="BJ739" s="23"/>
      <c r="BK739" s="23"/>
      <c r="BL739" s="23"/>
      <c r="BM739" s="23"/>
      <c r="BN739" s="23"/>
      <c r="BO739" s="23"/>
      <c r="BP739" s="23"/>
      <c r="BQ739" s="23"/>
      <c r="BR739" s="23"/>
      <c r="BS739" s="23"/>
      <c r="BT739" s="23"/>
      <c r="BU739" s="23"/>
      <c r="BV739" s="23"/>
      <c r="BW739" s="23"/>
      <c r="BX739" s="23"/>
      <c r="BY739" s="23"/>
      <c r="BZ739" s="23"/>
      <c r="CA739" s="23"/>
      <c r="CB739" s="23"/>
      <c r="CC739" s="23"/>
      <c r="CD739" s="23"/>
      <c r="CE739" s="23"/>
      <c r="CF739" s="23"/>
      <c r="CG739" s="23"/>
      <c r="CH739" s="23"/>
      <c r="CI739" s="23"/>
      <c r="CJ739" s="23"/>
      <c r="CK739" s="23"/>
      <c r="CL739" s="23"/>
      <c r="CM739" s="23"/>
      <c r="CN739" s="23"/>
      <c r="CO739" s="23"/>
      <c r="CP739" s="23"/>
      <c r="CQ739" s="23"/>
      <c r="CR739" s="23"/>
      <c r="CS739" s="23"/>
      <c r="CT739" s="23"/>
      <c r="CU739" s="23"/>
      <c r="CV739" s="23"/>
      <c r="CW739" s="23"/>
      <c r="CX739" s="23"/>
      <c r="CY739" s="23"/>
      <c r="CZ739" s="23"/>
      <c r="DA739" s="23"/>
      <c r="DB739" s="23"/>
      <c r="DC739" s="23"/>
      <c r="DD739" s="23"/>
      <c r="DE739" s="23"/>
      <c r="DF739" s="23"/>
      <c r="DG739" s="23"/>
      <c r="DH739" s="23"/>
      <c r="DI739" s="23"/>
      <c r="DJ739" s="23"/>
      <c r="DK739" s="23"/>
      <c r="DL739" s="23"/>
      <c r="DM739" s="23"/>
      <c r="DN739" s="23"/>
      <c r="DO739" s="23"/>
      <c r="DP739" s="23"/>
      <c r="DQ739" s="23"/>
      <c r="DR739" s="23"/>
      <c r="DS739" s="23"/>
      <c r="DT739" s="23"/>
      <c r="DU739" s="23"/>
      <c r="DV739" s="23"/>
      <c r="DW739" s="23"/>
      <c r="DX739" s="23"/>
      <c r="DY739" s="23"/>
      <c r="DZ739" s="23"/>
      <c r="EA739" s="23"/>
      <c r="EB739" s="23"/>
      <c r="EC739" s="23"/>
      <c r="ED739" s="23"/>
      <c r="EE739" s="23"/>
      <c r="EF739" s="23"/>
      <c r="EG739" s="23"/>
      <c r="EH739" s="23"/>
      <c r="EI739" s="23"/>
      <c r="EJ739" s="23"/>
      <c r="EK739" s="23"/>
      <c r="EL739" s="23"/>
      <c r="EM739" s="23"/>
      <c r="EN739" s="23"/>
      <c r="EO739" s="23"/>
      <c r="EP739" s="23"/>
      <c r="EQ739" s="23"/>
      <c r="ER739" s="23"/>
      <c r="ES739" s="23"/>
      <c r="ET739" s="23"/>
      <c r="EU739" s="23"/>
      <c r="EV739" s="23"/>
      <c r="EW739" s="23"/>
      <c r="EX739" s="23"/>
      <c r="EY739" s="23"/>
      <c r="EZ739" s="23"/>
      <c r="FA739" s="23"/>
      <c r="FB739" s="23"/>
      <c r="FC739" s="23"/>
      <c r="FD739" s="23"/>
      <c r="FE739" s="23"/>
      <c r="FF739" s="23"/>
      <c r="FG739" s="23"/>
      <c r="FH739" s="23"/>
      <c r="FI739" s="23"/>
      <c r="FJ739" s="23"/>
      <c r="FK739" s="23"/>
      <c r="FL739" s="23"/>
      <c r="FM739" s="23"/>
      <c r="FN739" s="23"/>
      <c r="FO739" s="23"/>
      <c r="FP739" s="23"/>
      <c r="FQ739" s="23"/>
      <c r="FR739" s="23"/>
      <c r="FS739" s="23"/>
      <c r="FT739" s="23"/>
      <c r="FU739" s="23"/>
      <c r="FV739" s="23"/>
      <c r="FW739" s="23"/>
      <c r="FX739" s="23"/>
      <c r="FY739" s="23"/>
      <c r="FZ739" s="23"/>
      <c r="GA739" s="23"/>
      <c r="GB739" s="23"/>
      <c r="GC739" s="23"/>
      <c r="GD739" s="23"/>
      <c r="GE739" s="23"/>
      <c r="GF739" s="23"/>
      <c r="GG739" s="23"/>
      <c r="GH739" s="23"/>
      <c r="GI739" s="23"/>
      <c r="GJ739" s="23"/>
      <c r="GK739" s="23"/>
      <c r="GL739" s="23"/>
    </row>
    <row r="740" spans="1:194" ht="13">
      <c r="A740" s="23"/>
      <c r="B740" s="23"/>
      <c r="C740" s="23"/>
      <c r="D740" s="23"/>
      <c r="E740" s="23"/>
      <c r="F740" s="23"/>
      <c r="G740" s="23"/>
      <c r="H740" s="401"/>
      <c r="I740" s="401"/>
      <c r="J740" s="401"/>
      <c r="K740" s="401"/>
      <c r="L740" s="401"/>
      <c r="M740" s="438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  <c r="AL740" s="23"/>
      <c r="AM740" s="23"/>
      <c r="AN740" s="23"/>
      <c r="AO740" s="23"/>
      <c r="AP740" s="23"/>
      <c r="AQ740" s="23"/>
      <c r="AR740" s="23"/>
      <c r="AS740" s="23"/>
      <c r="AT740" s="23"/>
      <c r="AU740" s="23"/>
      <c r="AV740" s="23"/>
      <c r="AW740" s="23"/>
      <c r="AX740" s="23"/>
      <c r="AY740" s="23"/>
      <c r="AZ740" s="23"/>
      <c r="BA740" s="23"/>
      <c r="BB740" s="23"/>
      <c r="BC740" s="23"/>
      <c r="BD740" s="23"/>
      <c r="BE740" s="23"/>
      <c r="BF740" s="23"/>
      <c r="BG740" s="23"/>
      <c r="BH740" s="23"/>
      <c r="BI740" s="23"/>
      <c r="BJ740" s="23"/>
      <c r="BK740" s="23"/>
      <c r="BL740" s="23"/>
      <c r="BM740" s="23"/>
      <c r="BN740" s="23"/>
      <c r="BO740" s="23"/>
      <c r="BP740" s="23"/>
      <c r="BQ740" s="23"/>
      <c r="BR740" s="23"/>
      <c r="BS740" s="23"/>
      <c r="BT740" s="23"/>
      <c r="BU740" s="23"/>
      <c r="BV740" s="23"/>
      <c r="BW740" s="23"/>
      <c r="BX740" s="23"/>
      <c r="BY740" s="23"/>
      <c r="BZ740" s="23"/>
      <c r="CA740" s="23"/>
      <c r="CB740" s="23"/>
      <c r="CC740" s="23"/>
      <c r="CD740" s="23"/>
      <c r="CE740" s="23"/>
      <c r="CF740" s="23"/>
      <c r="CG740" s="23"/>
      <c r="CH740" s="23"/>
      <c r="CI740" s="23"/>
      <c r="CJ740" s="23"/>
      <c r="CK740" s="23"/>
      <c r="CL740" s="23"/>
      <c r="CM740" s="23"/>
      <c r="CN740" s="23"/>
      <c r="CO740" s="23"/>
      <c r="CP740" s="23"/>
      <c r="CQ740" s="23"/>
      <c r="CR740" s="23"/>
      <c r="CS740" s="23"/>
      <c r="CT740" s="23"/>
      <c r="CU740" s="23"/>
      <c r="CV740" s="23"/>
      <c r="CW740" s="23"/>
      <c r="CX740" s="23"/>
      <c r="CY740" s="23"/>
      <c r="CZ740" s="23"/>
      <c r="DA740" s="23"/>
      <c r="DB740" s="23"/>
      <c r="DC740" s="23"/>
      <c r="DD740" s="23"/>
      <c r="DE740" s="23"/>
      <c r="DF740" s="23"/>
      <c r="DG740" s="23"/>
      <c r="DH740" s="23"/>
      <c r="DI740" s="23"/>
      <c r="DJ740" s="23"/>
      <c r="DK740" s="23"/>
      <c r="DL740" s="23"/>
      <c r="DM740" s="23"/>
      <c r="DN740" s="23"/>
      <c r="DO740" s="23"/>
      <c r="DP740" s="23"/>
      <c r="DQ740" s="23"/>
      <c r="DR740" s="23"/>
      <c r="DS740" s="23"/>
      <c r="DT740" s="23"/>
      <c r="DU740" s="23"/>
      <c r="DV740" s="23"/>
      <c r="DW740" s="23"/>
      <c r="DX740" s="23"/>
      <c r="DY740" s="23"/>
      <c r="DZ740" s="23"/>
      <c r="EA740" s="23"/>
      <c r="EB740" s="23"/>
      <c r="EC740" s="23"/>
      <c r="ED740" s="23"/>
      <c r="EE740" s="23"/>
      <c r="EF740" s="23"/>
      <c r="EG740" s="23"/>
      <c r="EH740" s="23"/>
      <c r="EI740" s="23"/>
      <c r="EJ740" s="23"/>
      <c r="EK740" s="23"/>
      <c r="EL740" s="23"/>
      <c r="EM740" s="23"/>
      <c r="EN740" s="23"/>
      <c r="EO740" s="23"/>
      <c r="EP740" s="23"/>
      <c r="EQ740" s="23"/>
      <c r="ER740" s="23"/>
      <c r="ES740" s="23"/>
      <c r="ET740" s="23"/>
      <c r="EU740" s="23"/>
      <c r="EV740" s="23"/>
      <c r="EW740" s="23"/>
      <c r="EX740" s="23"/>
      <c r="EY740" s="23"/>
      <c r="EZ740" s="23"/>
      <c r="FA740" s="23"/>
      <c r="FB740" s="23"/>
      <c r="FC740" s="23"/>
      <c r="FD740" s="23"/>
      <c r="FE740" s="23"/>
      <c r="FF740" s="23"/>
      <c r="FG740" s="23"/>
      <c r="FH740" s="23"/>
      <c r="FI740" s="23"/>
      <c r="FJ740" s="23"/>
      <c r="FK740" s="23"/>
      <c r="FL740" s="23"/>
      <c r="FM740" s="23"/>
      <c r="FN740" s="23"/>
      <c r="FO740" s="23"/>
      <c r="FP740" s="23"/>
      <c r="FQ740" s="23"/>
      <c r="FR740" s="23"/>
      <c r="FS740" s="23"/>
      <c r="FT740" s="23"/>
      <c r="FU740" s="23"/>
      <c r="FV740" s="23"/>
      <c r="FW740" s="23"/>
      <c r="FX740" s="23"/>
      <c r="FY740" s="23"/>
      <c r="FZ740" s="23"/>
      <c r="GA740" s="23"/>
      <c r="GB740" s="23"/>
      <c r="GC740" s="23"/>
      <c r="GD740" s="23"/>
      <c r="GE740" s="23"/>
      <c r="GF740" s="23"/>
      <c r="GG740" s="23"/>
      <c r="GH740" s="23"/>
      <c r="GI740" s="23"/>
      <c r="GJ740" s="23"/>
      <c r="GK740" s="23"/>
      <c r="GL740" s="23"/>
    </row>
    <row r="741" spans="1:194" ht="13">
      <c r="A741" s="23"/>
      <c r="B741" s="23"/>
      <c r="C741" s="23"/>
      <c r="D741" s="23"/>
      <c r="E741" s="23"/>
      <c r="F741" s="23"/>
      <c r="G741" s="23"/>
      <c r="H741" s="401"/>
      <c r="I741" s="401"/>
      <c r="J741" s="401"/>
      <c r="K741" s="401"/>
      <c r="L741" s="401"/>
      <c r="M741" s="438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  <c r="AL741" s="23"/>
      <c r="AM741" s="23"/>
      <c r="AN741" s="23"/>
      <c r="AO741" s="23"/>
      <c r="AP741" s="23"/>
      <c r="AQ741" s="23"/>
      <c r="AR741" s="23"/>
      <c r="AS741" s="23"/>
      <c r="AT741" s="23"/>
      <c r="AU741" s="23"/>
      <c r="AV741" s="23"/>
      <c r="AW741" s="23"/>
      <c r="AX741" s="23"/>
      <c r="AY741" s="23"/>
      <c r="AZ741" s="23"/>
      <c r="BA741" s="23"/>
      <c r="BB741" s="23"/>
      <c r="BC741" s="23"/>
      <c r="BD741" s="23"/>
      <c r="BE741" s="23"/>
      <c r="BF741" s="23"/>
      <c r="BG741" s="23"/>
      <c r="BH741" s="23"/>
      <c r="BI741" s="23"/>
      <c r="BJ741" s="23"/>
      <c r="BK741" s="23"/>
      <c r="BL741" s="23"/>
      <c r="BM741" s="23"/>
      <c r="BN741" s="23"/>
      <c r="BO741" s="23"/>
      <c r="BP741" s="23"/>
      <c r="BQ741" s="23"/>
      <c r="BR741" s="23"/>
      <c r="BS741" s="23"/>
      <c r="BT741" s="23"/>
      <c r="BU741" s="23"/>
      <c r="BV741" s="23"/>
      <c r="BW741" s="23"/>
      <c r="BX741" s="23"/>
      <c r="BY741" s="23"/>
      <c r="BZ741" s="23"/>
      <c r="CA741" s="23"/>
      <c r="CB741" s="23"/>
      <c r="CC741" s="23"/>
      <c r="CD741" s="23"/>
      <c r="CE741" s="23"/>
      <c r="CF741" s="23"/>
      <c r="CG741" s="23"/>
      <c r="CH741" s="23"/>
      <c r="CI741" s="23"/>
      <c r="CJ741" s="23"/>
      <c r="CK741" s="23"/>
      <c r="CL741" s="23"/>
      <c r="CM741" s="23"/>
      <c r="CN741" s="23"/>
      <c r="CO741" s="23"/>
      <c r="CP741" s="23"/>
      <c r="CQ741" s="23"/>
      <c r="CR741" s="23"/>
      <c r="CS741" s="23"/>
      <c r="CT741" s="23"/>
      <c r="CU741" s="23"/>
      <c r="CV741" s="23"/>
      <c r="CW741" s="23"/>
      <c r="CX741" s="23"/>
      <c r="CY741" s="23"/>
      <c r="CZ741" s="23"/>
      <c r="DA741" s="23"/>
      <c r="DB741" s="23"/>
      <c r="DC741" s="23"/>
      <c r="DD741" s="23"/>
      <c r="DE741" s="23"/>
      <c r="DF741" s="23"/>
      <c r="DG741" s="23"/>
      <c r="DH741" s="23"/>
      <c r="DI741" s="23"/>
      <c r="DJ741" s="23"/>
      <c r="DK741" s="23"/>
      <c r="DL741" s="23"/>
      <c r="DM741" s="23"/>
      <c r="DN741" s="23"/>
      <c r="DO741" s="23"/>
      <c r="DP741" s="23"/>
      <c r="DQ741" s="23"/>
      <c r="DR741" s="23"/>
      <c r="DS741" s="23"/>
      <c r="DT741" s="23"/>
      <c r="DU741" s="23"/>
      <c r="DV741" s="23"/>
      <c r="DW741" s="23"/>
      <c r="DX741" s="23"/>
      <c r="DY741" s="23"/>
      <c r="DZ741" s="23"/>
      <c r="EA741" s="23"/>
      <c r="EB741" s="23"/>
      <c r="EC741" s="23"/>
      <c r="ED741" s="23"/>
      <c r="EE741" s="23"/>
      <c r="EF741" s="23"/>
      <c r="EG741" s="23"/>
      <c r="EH741" s="23"/>
      <c r="EI741" s="23"/>
      <c r="EJ741" s="23"/>
      <c r="EK741" s="23"/>
      <c r="EL741" s="23"/>
      <c r="EM741" s="23"/>
      <c r="EN741" s="23"/>
      <c r="EO741" s="23"/>
      <c r="EP741" s="23"/>
      <c r="EQ741" s="23"/>
      <c r="ER741" s="23"/>
      <c r="ES741" s="23"/>
      <c r="ET741" s="23"/>
      <c r="EU741" s="23"/>
      <c r="EV741" s="23"/>
      <c r="EW741" s="23"/>
      <c r="EX741" s="23"/>
      <c r="EY741" s="23"/>
      <c r="EZ741" s="23"/>
      <c r="FA741" s="23"/>
      <c r="FB741" s="23"/>
      <c r="FC741" s="23"/>
      <c r="FD741" s="23"/>
      <c r="FE741" s="23"/>
      <c r="FF741" s="23"/>
      <c r="FG741" s="23"/>
      <c r="FH741" s="23"/>
      <c r="FI741" s="23"/>
      <c r="FJ741" s="23"/>
      <c r="FK741" s="23"/>
      <c r="FL741" s="23"/>
      <c r="FM741" s="23"/>
      <c r="FN741" s="23"/>
      <c r="FO741" s="23"/>
      <c r="FP741" s="23"/>
      <c r="FQ741" s="23"/>
      <c r="FR741" s="23"/>
      <c r="FS741" s="23"/>
      <c r="FT741" s="23"/>
      <c r="FU741" s="23"/>
      <c r="FV741" s="23"/>
      <c r="FW741" s="23"/>
      <c r="FX741" s="23"/>
      <c r="FY741" s="23"/>
      <c r="FZ741" s="23"/>
      <c r="GA741" s="23"/>
      <c r="GB741" s="23"/>
      <c r="GC741" s="23"/>
      <c r="GD741" s="23"/>
      <c r="GE741" s="23"/>
      <c r="GF741" s="23"/>
      <c r="GG741" s="23"/>
      <c r="GH741" s="23"/>
      <c r="GI741" s="23"/>
      <c r="GJ741" s="23"/>
      <c r="GK741" s="23"/>
      <c r="GL741" s="23"/>
    </row>
    <row r="742" spans="1:194" ht="13">
      <c r="A742" s="23"/>
      <c r="B742" s="23"/>
      <c r="C742" s="23"/>
      <c r="D742" s="23"/>
      <c r="E742" s="23"/>
      <c r="F742" s="23"/>
      <c r="G742" s="23"/>
      <c r="H742" s="401"/>
      <c r="I742" s="401"/>
      <c r="J742" s="401"/>
      <c r="K742" s="401"/>
      <c r="L742" s="401"/>
      <c r="M742" s="438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  <c r="AL742" s="23"/>
      <c r="AM742" s="23"/>
      <c r="AN742" s="23"/>
      <c r="AO742" s="23"/>
      <c r="AP742" s="23"/>
      <c r="AQ742" s="23"/>
      <c r="AR742" s="23"/>
      <c r="AS742" s="23"/>
      <c r="AT742" s="23"/>
      <c r="AU742" s="23"/>
      <c r="AV742" s="23"/>
      <c r="AW742" s="23"/>
      <c r="AX742" s="23"/>
      <c r="AY742" s="23"/>
      <c r="AZ742" s="23"/>
      <c r="BA742" s="23"/>
      <c r="BB742" s="23"/>
      <c r="BC742" s="23"/>
      <c r="BD742" s="23"/>
      <c r="BE742" s="23"/>
      <c r="BF742" s="23"/>
      <c r="BG742" s="23"/>
      <c r="BH742" s="23"/>
      <c r="BI742" s="23"/>
      <c r="BJ742" s="23"/>
      <c r="BK742" s="23"/>
      <c r="BL742" s="23"/>
      <c r="BM742" s="23"/>
      <c r="BN742" s="23"/>
      <c r="BO742" s="23"/>
      <c r="BP742" s="23"/>
      <c r="BQ742" s="23"/>
      <c r="BR742" s="23"/>
      <c r="BS742" s="23"/>
      <c r="BT742" s="23"/>
      <c r="BU742" s="23"/>
      <c r="BV742" s="23"/>
      <c r="BW742" s="23"/>
      <c r="BX742" s="23"/>
      <c r="BY742" s="23"/>
      <c r="BZ742" s="23"/>
      <c r="CA742" s="23"/>
      <c r="CB742" s="23"/>
      <c r="CC742" s="23"/>
      <c r="CD742" s="23"/>
      <c r="CE742" s="23"/>
      <c r="CF742" s="23"/>
      <c r="CG742" s="23"/>
      <c r="CH742" s="23"/>
      <c r="CI742" s="23"/>
      <c r="CJ742" s="23"/>
      <c r="CK742" s="23"/>
      <c r="CL742" s="23"/>
      <c r="CM742" s="23"/>
      <c r="CN742" s="23"/>
      <c r="CO742" s="23"/>
      <c r="CP742" s="23"/>
      <c r="CQ742" s="23"/>
      <c r="CR742" s="23"/>
      <c r="CS742" s="23"/>
      <c r="CT742" s="23"/>
      <c r="CU742" s="23"/>
      <c r="CV742" s="23"/>
      <c r="CW742" s="23"/>
      <c r="CX742" s="23"/>
      <c r="CY742" s="23"/>
      <c r="CZ742" s="23"/>
      <c r="DA742" s="23"/>
      <c r="DB742" s="23"/>
      <c r="DC742" s="23"/>
      <c r="DD742" s="23"/>
      <c r="DE742" s="23"/>
      <c r="DF742" s="23"/>
      <c r="DG742" s="23"/>
      <c r="DH742" s="23"/>
      <c r="DI742" s="23"/>
      <c r="DJ742" s="23"/>
      <c r="DK742" s="23"/>
      <c r="DL742" s="23"/>
      <c r="DM742" s="23"/>
      <c r="DN742" s="23"/>
      <c r="DO742" s="23"/>
      <c r="DP742" s="23"/>
      <c r="DQ742" s="23"/>
      <c r="DR742" s="23"/>
      <c r="DS742" s="23"/>
      <c r="DT742" s="23"/>
      <c r="DU742" s="23"/>
      <c r="DV742" s="23"/>
      <c r="DW742" s="23"/>
      <c r="DX742" s="23"/>
      <c r="DY742" s="23"/>
      <c r="DZ742" s="23"/>
      <c r="EA742" s="23"/>
      <c r="EB742" s="23"/>
      <c r="EC742" s="23"/>
      <c r="ED742" s="23"/>
      <c r="EE742" s="23"/>
      <c r="EF742" s="23"/>
      <c r="EG742" s="23"/>
      <c r="EH742" s="23"/>
      <c r="EI742" s="23"/>
      <c r="EJ742" s="23"/>
      <c r="EK742" s="23"/>
      <c r="EL742" s="23"/>
      <c r="EM742" s="23"/>
      <c r="EN742" s="23"/>
      <c r="EO742" s="23"/>
      <c r="EP742" s="23"/>
      <c r="EQ742" s="23"/>
      <c r="ER742" s="23"/>
      <c r="ES742" s="23"/>
      <c r="ET742" s="23"/>
      <c r="EU742" s="23"/>
      <c r="EV742" s="23"/>
      <c r="EW742" s="23"/>
      <c r="EX742" s="23"/>
      <c r="EY742" s="23"/>
      <c r="EZ742" s="23"/>
      <c r="FA742" s="23"/>
      <c r="FB742" s="23"/>
      <c r="FC742" s="23"/>
      <c r="FD742" s="23"/>
      <c r="FE742" s="23"/>
      <c r="FF742" s="23"/>
      <c r="FG742" s="23"/>
      <c r="FH742" s="23"/>
      <c r="FI742" s="23"/>
      <c r="FJ742" s="23"/>
      <c r="FK742" s="23"/>
      <c r="FL742" s="23"/>
      <c r="FM742" s="23"/>
      <c r="FN742" s="23"/>
      <c r="FO742" s="23"/>
      <c r="FP742" s="23"/>
      <c r="FQ742" s="23"/>
      <c r="FR742" s="23"/>
      <c r="FS742" s="23"/>
      <c r="FT742" s="23"/>
      <c r="FU742" s="23"/>
      <c r="FV742" s="23"/>
      <c r="FW742" s="23"/>
      <c r="FX742" s="23"/>
      <c r="FY742" s="23"/>
      <c r="FZ742" s="23"/>
      <c r="GA742" s="23"/>
      <c r="GB742" s="23"/>
      <c r="GC742" s="23"/>
      <c r="GD742" s="23"/>
      <c r="GE742" s="23"/>
      <c r="GF742" s="23"/>
      <c r="GG742" s="23"/>
      <c r="GH742" s="23"/>
      <c r="GI742" s="23"/>
      <c r="GJ742" s="23"/>
      <c r="GK742" s="23"/>
      <c r="GL742" s="23"/>
    </row>
    <row r="743" spans="1:194" ht="13">
      <c r="A743" s="23"/>
      <c r="B743" s="23"/>
      <c r="C743" s="23"/>
      <c r="D743" s="23"/>
      <c r="E743" s="23"/>
      <c r="F743" s="23"/>
      <c r="G743" s="23"/>
      <c r="H743" s="401"/>
      <c r="I743" s="401"/>
      <c r="J743" s="401"/>
      <c r="K743" s="401"/>
      <c r="L743" s="401"/>
      <c r="M743" s="438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  <c r="AL743" s="23"/>
      <c r="AM743" s="23"/>
      <c r="AN743" s="23"/>
      <c r="AO743" s="23"/>
      <c r="AP743" s="23"/>
      <c r="AQ743" s="23"/>
      <c r="AR743" s="23"/>
      <c r="AS743" s="23"/>
      <c r="AT743" s="23"/>
      <c r="AU743" s="23"/>
      <c r="AV743" s="23"/>
      <c r="AW743" s="23"/>
      <c r="AX743" s="23"/>
      <c r="AY743" s="23"/>
      <c r="AZ743" s="23"/>
      <c r="BA743" s="23"/>
      <c r="BB743" s="23"/>
      <c r="BC743" s="23"/>
      <c r="BD743" s="23"/>
      <c r="BE743" s="23"/>
      <c r="BF743" s="23"/>
      <c r="BG743" s="23"/>
      <c r="BH743" s="23"/>
      <c r="BI743" s="23"/>
      <c r="BJ743" s="23"/>
      <c r="BK743" s="23"/>
      <c r="BL743" s="23"/>
      <c r="BM743" s="23"/>
      <c r="BN743" s="23"/>
      <c r="BO743" s="23"/>
      <c r="BP743" s="23"/>
      <c r="BQ743" s="23"/>
      <c r="BR743" s="23"/>
      <c r="BS743" s="23"/>
      <c r="BT743" s="23"/>
      <c r="BU743" s="23"/>
      <c r="BV743" s="23"/>
      <c r="BW743" s="23"/>
      <c r="BX743" s="23"/>
      <c r="BY743" s="23"/>
      <c r="BZ743" s="23"/>
      <c r="CA743" s="23"/>
      <c r="CB743" s="23"/>
      <c r="CC743" s="23"/>
      <c r="CD743" s="23"/>
      <c r="CE743" s="23"/>
      <c r="CF743" s="23"/>
      <c r="CG743" s="23"/>
      <c r="CH743" s="23"/>
      <c r="CI743" s="23"/>
      <c r="CJ743" s="23"/>
      <c r="CK743" s="23"/>
      <c r="CL743" s="23"/>
      <c r="CM743" s="23"/>
      <c r="CN743" s="23"/>
      <c r="CO743" s="23"/>
      <c r="CP743" s="23"/>
      <c r="CQ743" s="23"/>
      <c r="CR743" s="23"/>
      <c r="CS743" s="23"/>
      <c r="CT743" s="23"/>
      <c r="CU743" s="23"/>
      <c r="CV743" s="23"/>
      <c r="CW743" s="23"/>
      <c r="CX743" s="23"/>
      <c r="CY743" s="23"/>
      <c r="CZ743" s="23"/>
      <c r="DA743" s="23"/>
      <c r="DB743" s="23"/>
      <c r="DC743" s="23"/>
      <c r="DD743" s="23"/>
      <c r="DE743" s="23"/>
      <c r="DF743" s="23"/>
      <c r="DG743" s="23"/>
      <c r="DH743" s="23"/>
      <c r="DI743" s="23"/>
      <c r="DJ743" s="23"/>
      <c r="DK743" s="23"/>
      <c r="DL743" s="23"/>
      <c r="DM743" s="23"/>
      <c r="DN743" s="23"/>
      <c r="DO743" s="23"/>
      <c r="DP743" s="23"/>
      <c r="DQ743" s="23"/>
      <c r="DR743" s="23"/>
      <c r="DS743" s="23"/>
      <c r="DT743" s="23"/>
      <c r="DU743" s="23"/>
      <c r="DV743" s="23"/>
      <c r="DW743" s="23"/>
      <c r="DX743" s="23"/>
      <c r="DY743" s="23"/>
      <c r="DZ743" s="23"/>
      <c r="EA743" s="23"/>
      <c r="EB743" s="23"/>
      <c r="EC743" s="23"/>
      <c r="ED743" s="23"/>
      <c r="EE743" s="23"/>
      <c r="EF743" s="23"/>
      <c r="EG743" s="23"/>
      <c r="EH743" s="23"/>
      <c r="EI743" s="23"/>
      <c r="EJ743" s="23"/>
      <c r="EK743" s="23"/>
      <c r="EL743" s="23"/>
      <c r="EM743" s="23"/>
      <c r="EN743" s="23"/>
      <c r="EO743" s="23"/>
      <c r="EP743" s="23"/>
      <c r="EQ743" s="23"/>
      <c r="ER743" s="23"/>
      <c r="ES743" s="23"/>
      <c r="ET743" s="23"/>
      <c r="EU743" s="23"/>
      <c r="EV743" s="23"/>
      <c r="EW743" s="23"/>
      <c r="EX743" s="23"/>
      <c r="EY743" s="23"/>
      <c r="EZ743" s="23"/>
      <c r="FA743" s="23"/>
      <c r="FB743" s="23"/>
      <c r="FC743" s="23"/>
      <c r="FD743" s="23"/>
      <c r="FE743" s="23"/>
      <c r="FF743" s="23"/>
      <c r="FG743" s="23"/>
      <c r="FH743" s="23"/>
      <c r="FI743" s="23"/>
      <c r="FJ743" s="23"/>
      <c r="FK743" s="23"/>
      <c r="FL743" s="23"/>
      <c r="FM743" s="23"/>
      <c r="FN743" s="23"/>
      <c r="FO743" s="23"/>
      <c r="FP743" s="23"/>
      <c r="FQ743" s="23"/>
      <c r="FR743" s="23"/>
      <c r="FS743" s="23"/>
      <c r="FT743" s="23"/>
      <c r="FU743" s="23"/>
      <c r="FV743" s="23"/>
      <c r="FW743" s="23"/>
      <c r="FX743" s="23"/>
      <c r="FY743" s="23"/>
      <c r="FZ743" s="23"/>
      <c r="GA743" s="23"/>
      <c r="GB743" s="23"/>
      <c r="GC743" s="23"/>
      <c r="GD743" s="23"/>
      <c r="GE743" s="23"/>
      <c r="GF743" s="23"/>
      <c r="GG743" s="23"/>
      <c r="GH743" s="23"/>
      <c r="GI743" s="23"/>
      <c r="GJ743" s="23"/>
      <c r="GK743" s="23"/>
      <c r="GL743" s="23"/>
    </row>
    <row r="744" spans="1:194" ht="13">
      <c r="A744" s="23"/>
      <c r="B744" s="23"/>
      <c r="C744" s="23"/>
      <c r="D744" s="23"/>
      <c r="E744" s="23"/>
      <c r="F744" s="23"/>
      <c r="G744" s="23"/>
      <c r="H744" s="401"/>
      <c r="I744" s="401"/>
      <c r="J744" s="401"/>
      <c r="K744" s="401"/>
      <c r="L744" s="401"/>
      <c r="M744" s="438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  <c r="AL744" s="23"/>
      <c r="AM744" s="23"/>
      <c r="AN744" s="23"/>
      <c r="AO744" s="23"/>
      <c r="AP744" s="23"/>
      <c r="AQ744" s="23"/>
      <c r="AR744" s="23"/>
      <c r="AS744" s="23"/>
      <c r="AT744" s="23"/>
      <c r="AU744" s="23"/>
      <c r="AV744" s="23"/>
      <c r="AW744" s="23"/>
      <c r="AX744" s="23"/>
      <c r="AY744" s="23"/>
      <c r="AZ744" s="23"/>
      <c r="BA744" s="23"/>
      <c r="BB744" s="23"/>
      <c r="BC744" s="23"/>
      <c r="BD744" s="23"/>
      <c r="BE744" s="23"/>
      <c r="BF744" s="23"/>
      <c r="BG744" s="23"/>
      <c r="BH744" s="23"/>
      <c r="BI744" s="23"/>
      <c r="BJ744" s="23"/>
      <c r="BK744" s="23"/>
      <c r="BL744" s="23"/>
      <c r="BM744" s="23"/>
      <c r="BN744" s="23"/>
      <c r="BO744" s="23"/>
      <c r="BP744" s="23"/>
      <c r="BQ744" s="23"/>
      <c r="BR744" s="23"/>
      <c r="BS744" s="23"/>
      <c r="BT744" s="23"/>
      <c r="BU744" s="23"/>
      <c r="BV744" s="23"/>
      <c r="BW744" s="23"/>
      <c r="BX744" s="23"/>
      <c r="BY744" s="23"/>
      <c r="BZ744" s="23"/>
      <c r="CA744" s="23"/>
      <c r="CB744" s="23"/>
      <c r="CC744" s="23"/>
      <c r="CD744" s="23"/>
      <c r="CE744" s="23"/>
      <c r="CF744" s="23"/>
      <c r="CG744" s="23"/>
      <c r="CH744" s="23"/>
      <c r="CI744" s="23"/>
      <c r="CJ744" s="23"/>
      <c r="CK744" s="23"/>
      <c r="CL744" s="23"/>
      <c r="CM744" s="23"/>
      <c r="CN744" s="23"/>
      <c r="CO744" s="23"/>
      <c r="CP744" s="23"/>
      <c r="CQ744" s="23"/>
      <c r="CR744" s="23"/>
      <c r="CS744" s="23"/>
      <c r="CT744" s="23"/>
      <c r="CU744" s="23"/>
      <c r="CV744" s="23"/>
      <c r="CW744" s="23"/>
      <c r="CX744" s="23"/>
      <c r="CY744" s="23"/>
      <c r="CZ744" s="23"/>
      <c r="DA744" s="23"/>
      <c r="DB744" s="23"/>
      <c r="DC744" s="23"/>
      <c r="DD744" s="23"/>
      <c r="DE744" s="23"/>
      <c r="DF744" s="23"/>
      <c r="DG744" s="23"/>
      <c r="DH744" s="23"/>
      <c r="DI744" s="23"/>
      <c r="DJ744" s="23"/>
      <c r="DK744" s="23"/>
      <c r="DL744" s="23"/>
      <c r="DM744" s="23"/>
      <c r="DN744" s="23"/>
      <c r="DO744" s="23"/>
      <c r="DP744" s="23"/>
      <c r="DQ744" s="23"/>
      <c r="DR744" s="23"/>
      <c r="DS744" s="23"/>
      <c r="DT744" s="23"/>
      <c r="DU744" s="23"/>
      <c r="DV744" s="23"/>
      <c r="DW744" s="23"/>
      <c r="DX744" s="23"/>
      <c r="DY744" s="23"/>
      <c r="DZ744" s="23"/>
      <c r="EA744" s="23"/>
      <c r="EB744" s="23"/>
      <c r="EC744" s="23"/>
      <c r="ED744" s="23"/>
      <c r="EE744" s="23"/>
      <c r="EF744" s="23"/>
      <c r="EG744" s="23"/>
      <c r="EH744" s="23"/>
      <c r="EI744" s="23"/>
      <c r="EJ744" s="23"/>
      <c r="EK744" s="23"/>
      <c r="EL744" s="23"/>
      <c r="EM744" s="23"/>
      <c r="EN744" s="23"/>
      <c r="EO744" s="23"/>
      <c r="EP744" s="23"/>
      <c r="EQ744" s="23"/>
      <c r="ER744" s="23"/>
      <c r="ES744" s="23"/>
      <c r="ET744" s="23"/>
      <c r="EU744" s="23"/>
      <c r="EV744" s="23"/>
      <c r="EW744" s="23"/>
      <c r="EX744" s="23"/>
      <c r="EY744" s="23"/>
      <c r="EZ744" s="23"/>
      <c r="FA744" s="23"/>
      <c r="FB744" s="23"/>
      <c r="FC744" s="23"/>
      <c r="FD744" s="23"/>
      <c r="FE744" s="23"/>
      <c r="FF744" s="23"/>
      <c r="FG744" s="23"/>
      <c r="FH744" s="23"/>
      <c r="FI744" s="23"/>
      <c r="FJ744" s="23"/>
      <c r="FK744" s="23"/>
      <c r="FL744" s="23"/>
      <c r="FM744" s="23"/>
      <c r="FN744" s="23"/>
      <c r="FO744" s="23"/>
      <c r="FP744" s="23"/>
      <c r="FQ744" s="23"/>
      <c r="FR744" s="23"/>
      <c r="FS744" s="23"/>
      <c r="FT744" s="23"/>
      <c r="FU744" s="23"/>
      <c r="FV744" s="23"/>
      <c r="FW744" s="23"/>
      <c r="FX744" s="23"/>
      <c r="FY744" s="23"/>
      <c r="FZ744" s="23"/>
      <c r="GA744" s="23"/>
      <c r="GB744" s="23"/>
      <c r="GC744" s="23"/>
      <c r="GD744" s="23"/>
      <c r="GE744" s="23"/>
      <c r="GF744" s="23"/>
      <c r="GG744" s="23"/>
      <c r="GH744" s="23"/>
      <c r="GI744" s="23"/>
      <c r="GJ744" s="23"/>
      <c r="GK744" s="23"/>
      <c r="GL744" s="23"/>
    </row>
    <row r="745" spans="1:194" ht="13">
      <c r="A745" s="23"/>
      <c r="B745" s="23"/>
      <c r="C745" s="23"/>
      <c r="D745" s="23"/>
      <c r="E745" s="23"/>
      <c r="F745" s="23"/>
      <c r="G745" s="23"/>
      <c r="H745" s="401"/>
      <c r="I745" s="401"/>
      <c r="J745" s="401"/>
      <c r="K745" s="401"/>
      <c r="L745" s="401"/>
      <c r="M745" s="438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  <c r="AL745" s="23"/>
      <c r="AM745" s="23"/>
      <c r="AN745" s="23"/>
      <c r="AO745" s="23"/>
      <c r="AP745" s="23"/>
      <c r="AQ745" s="23"/>
      <c r="AR745" s="23"/>
      <c r="AS745" s="23"/>
      <c r="AT745" s="23"/>
      <c r="AU745" s="23"/>
      <c r="AV745" s="23"/>
      <c r="AW745" s="23"/>
      <c r="AX745" s="23"/>
      <c r="AY745" s="23"/>
      <c r="AZ745" s="23"/>
      <c r="BA745" s="23"/>
      <c r="BB745" s="23"/>
      <c r="BC745" s="23"/>
      <c r="BD745" s="23"/>
      <c r="BE745" s="23"/>
      <c r="BF745" s="23"/>
      <c r="BG745" s="23"/>
      <c r="BH745" s="23"/>
      <c r="BI745" s="23"/>
      <c r="BJ745" s="23"/>
      <c r="BK745" s="23"/>
      <c r="BL745" s="23"/>
      <c r="BM745" s="23"/>
      <c r="BN745" s="23"/>
      <c r="BO745" s="23"/>
      <c r="BP745" s="23"/>
      <c r="BQ745" s="23"/>
      <c r="BR745" s="23"/>
      <c r="BS745" s="23"/>
      <c r="BT745" s="23"/>
      <c r="BU745" s="23"/>
      <c r="BV745" s="23"/>
      <c r="BW745" s="23"/>
      <c r="BX745" s="23"/>
      <c r="BY745" s="23"/>
      <c r="BZ745" s="23"/>
      <c r="CA745" s="23"/>
      <c r="CB745" s="23"/>
      <c r="CC745" s="23"/>
      <c r="CD745" s="23"/>
      <c r="CE745" s="23"/>
      <c r="CF745" s="23"/>
      <c r="CG745" s="23"/>
      <c r="CH745" s="23"/>
      <c r="CI745" s="23"/>
      <c r="CJ745" s="23"/>
      <c r="CK745" s="23"/>
      <c r="CL745" s="23"/>
      <c r="CM745" s="23"/>
      <c r="CN745" s="23"/>
      <c r="CO745" s="23"/>
      <c r="CP745" s="23"/>
      <c r="CQ745" s="23"/>
      <c r="CR745" s="23"/>
      <c r="CS745" s="23"/>
      <c r="CT745" s="23"/>
      <c r="CU745" s="23"/>
      <c r="CV745" s="23"/>
      <c r="CW745" s="23"/>
      <c r="CX745" s="23"/>
      <c r="CY745" s="23"/>
      <c r="CZ745" s="23"/>
      <c r="DA745" s="23"/>
      <c r="DB745" s="23"/>
      <c r="DC745" s="23"/>
      <c r="DD745" s="23"/>
      <c r="DE745" s="23"/>
      <c r="DF745" s="23"/>
      <c r="DG745" s="23"/>
      <c r="DH745" s="23"/>
      <c r="DI745" s="23"/>
      <c r="DJ745" s="23"/>
      <c r="DK745" s="23"/>
      <c r="DL745" s="23"/>
      <c r="DM745" s="23"/>
      <c r="DN745" s="23"/>
      <c r="DO745" s="23"/>
      <c r="DP745" s="23"/>
      <c r="DQ745" s="23"/>
      <c r="DR745" s="23"/>
      <c r="DS745" s="23"/>
      <c r="DT745" s="23"/>
      <c r="DU745" s="23"/>
      <c r="DV745" s="23"/>
      <c r="DW745" s="23"/>
      <c r="DX745" s="23"/>
      <c r="DY745" s="23"/>
      <c r="DZ745" s="23"/>
      <c r="EA745" s="23"/>
      <c r="EB745" s="23"/>
      <c r="EC745" s="23"/>
      <c r="ED745" s="23"/>
      <c r="EE745" s="23"/>
      <c r="EF745" s="23"/>
      <c r="EG745" s="23"/>
      <c r="EH745" s="23"/>
      <c r="EI745" s="23"/>
      <c r="EJ745" s="23"/>
      <c r="EK745" s="23"/>
      <c r="EL745" s="23"/>
      <c r="EM745" s="23"/>
      <c r="EN745" s="23"/>
      <c r="EO745" s="23"/>
      <c r="EP745" s="23"/>
      <c r="EQ745" s="23"/>
      <c r="ER745" s="23"/>
      <c r="ES745" s="23"/>
      <c r="ET745" s="23"/>
      <c r="EU745" s="23"/>
      <c r="EV745" s="23"/>
      <c r="EW745" s="23"/>
      <c r="EX745" s="23"/>
      <c r="EY745" s="23"/>
      <c r="EZ745" s="23"/>
      <c r="FA745" s="23"/>
      <c r="FB745" s="23"/>
      <c r="FC745" s="23"/>
      <c r="FD745" s="23"/>
      <c r="FE745" s="23"/>
      <c r="FF745" s="23"/>
      <c r="FG745" s="23"/>
      <c r="FH745" s="23"/>
      <c r="FI745" s="23"/>
      <c r="FJ745" s="23"/>
      <c r="FK745" s="23"/>
      <c r="FL745" s="23"/>
      <c r="FM745" s="23"/>
      <c r="FN745" s="23"/>
      <c r="FO745" s="23"/>
      <c r="FP745" s="23"/>
      <c r="FQ745" s="23"/>
      <c r="FR745" s="23"/>
      <c r="FS745" s="23"/>
      <c r="FT745" s="23"/>
      <c r="FU745" s="23"/>
      <c r="FV745" s="23"/>
      <c r="FW745" s="23"/>
      <c r="FX745" s="23"/>
      <c r="FY745" s="23"/>
      <c r="FZ745" s="23"/>
      <c r="GA745" s="23"/>
      <c r="GB745" s="23"/>
      <c r="GC745" s="23"/>
      <c r="GD745" s="23"/>
      <c r="GE745" s="23"/>
      <c r="GF745" s="23"/>
      <c r="GG745" s="23"/>
      <c r="GH745" s="23"/>
      <c r="GI745" s="23"/>
      <c r="GJ745" s="23"/>
      <c r="GK745" s="23"/>
      <c r="GL745" s="23"/>
    </row>
    <row r="746" spans="1:194" ht="13">
      <c r="A746" s="23"/>
      <c r="B746" s="23"/>
      <c r="C746" s="23"/>
      <c r="D746" s="23"/>
      <c r="E746" s="23"/>
      <c r="F746" s="23"/>
      <c r="G746" s="23"/>
      <c r="H746" s="401"/>
      <c r="I746" s="401"/>
      <c r="J746" s="401"/>
      <c r="K746" s="401"/>
      <c r="L746" s="401"/>
      <c r="M746" s="438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  <c r="AL746" s="23"/>
      <c r="AM746" s="23"/>
      <c r="AN746" s="23"/>
      <c r="AO746" s="23"/>
      <c r="AP746" s="23"/>
      <c r="AQ746" s="23"/>
      <c r="AR746" s="23"/>
      <c r="AS746" s="23"/>
      <c r="AT746" s="23"/>
      <c r="AU746" s="23"/>
      <c r="AV746" s="23"/>
      <c r="AW746" s="23"/>
      <c r="AX746" s="23"/>
      <c r="AY746" s="23"/>
      <c r="AZ746" s="23"/>
      <c r="BA746" s="23"/>
      <c r="BB746" s="23"/>
      <c r="BC746" s="23"/>
      <c r="BD746" s="23"/>
      <c r="BE746" s="23"/>
      <c r="BF746" s="23"/>
      <c r="BG746" s="23"/>
      <c r="BH746" s="23"/>
      <c r="BI746" s="23"/>
      <c r="BJ746" s="23"/>
      <c r="BK746" s="23"/>
      <c r="BL746" s="23"/>
      <c r="BM746" s="23"/>
      <c r="BN746" s="23"/>
      <c r="BO746" s="23"/>
      <c r="BP746" s="23"/>
      <c r="BQ746" s="23"/>
      <c r="BR746" s="23"/>
      <c r="BS746" s="23"/>
      <c r="BT746" s="23"/>
      <c r="BU746" s="23"/>
      <c r="BV746" s="23"/>
      <c r="BW746" s="23"/>
      <c r="BX746" s="23"/>
      <c r="BY746" s="23"/>
      <c r="BZ746" s="23"/>
      <c r="CA746" s="23"/>
      <c r="CB746" s="23"/>
      <c r="CC746" s="23"/>
      <c r="CD746" s="23"/>
      <c r="CE746" s="23"/>
      <c r="CF746" s="23"/>
      <c r="CG746" s="23"/>
      <c r="CH746" s="23"/>
      <c r="CI746" s="23"/>
      <c r="CJ746" s="23"/>
      <c r="CK746" s="23"/>
      <c r="CL746" s="23"/>
      <c r="CM746" s="23"/>
      <c r="CN746" s="23"/>
      <c r="CO746" s="23"/>
      <c r="CP746" s="23"/>
      <c r="CQ746" s="23"/>
      <c r="CR746" s="23"/>
      <c r="CS746" s="23"/>
      <c r="CT746" s="23"/>
      <c r="CU746" s="23"/>
      <c r="CV746" s="23"/>
      <c r="CW746" s="23"/>
      <c r="CX746" s="23"/>
      <c r="CY746" s="23"/>
      <c r="CZ746" s="23"/>
      <c r="DA746" s="23"/>
      <c r="DB746" s="23"/>
      <c r="DC746" s="23"/>
      <c r="DD746" s="23"/>
      <c r="DE746" s="23"/>
      <c r="DF746" s="23"/>
      <c r="DG746" s="23"/>
      <c r="DH746" s="23"/>
      <c r="DI746" s="23"/>
      <c r="DJ746" s="23"/>
      <c r="DK746" s="23"/>
      <c r="DL746" s="23"/>
      <c r="DM746" s="23"/>
      <c r="DN746" s="23"/>
      <c r="DO746" s="23"/>
      <c r="DP746" s="23"/>
      <c r="DQ746" s="23"/>
      <c r="DR746" s="23"/>
      <c r="DS746" s="23"/>
      <c r="DT746" s="23"/>
      <c r="DU746" s="23"/>
      <c r="DV746" s="23"/>
      <c r="DW746" s="23"/>
      <c r="DX746" s="23"/>
      <c r="DY746" s="23"/>
      <c r="DZ746" s="23"/>
      <c r="EA746" s="23"/>
      <c r="EB746" s="23"/>
      <c r="EC746" s="23"/>
      <c r="ED746" s="23"/>
      <c r="EE746" s="23"/>
      <c r="EF746" s="23"/>
      <c r="EG746" s="23"/>
      <c r="EH746" s="23"/>
      <c r="EI746" s="23"/>
      <c r="EJ746" s="23"/>
      <c r="EK746" s="23"/>
      <c r="EL746" s="23"/>
      <c r="EM746" s="23"/>
      <c r="EN746" s="23"/>
      <c r="EO746" s="23"/>
      <c r="EP746" s="23"/>
      <c r="EQ746" s="23"/>
      <c r="ER746" s="23"/>
      <c r="ES746" s="23"/>
      <c r="ET746" s="23"/>
      <c r="EU746" s="23"/>
      <c r="EV746" s="23"/>
      <c r="EW746" s="23"/>
      <c r="EX746" s="23"/>
      <c r="EY746" s="23"/>
      <c r="EZ746" s="23"/>
      <c r="FA746" s="23"/>
      <c r="FB746" s="23"/>
      <c r="FC746" s="23"/>
      <c r="FD746" s="23"/>
      <c r="FE746" s="23"/>
      <c r="FF746" s="23"/>
      <c r="FG746" s="23"/>
      <c r="FH746" s="23"/>
      <c r="FI746" s="23"/>
      <c r="FJ746" s="23"/>
      <c r="FK746" s="23"/>
      <c r="FL746" s="23"/>
      <c r="FM746" s="23"/>
      <c r="FN746" s="23"/>
      <c r="FO746" s="23"/>
      <c r="FP746" s="23"/>
      <c r="FQ746" s="23"/>
      <c r="FR746" s="23"/>
      <c r="FS746" s="23"/>
      <c r="FT746" s="23"/>
      <c r="FU746" s="23"/>
      <c r="FV746" s="23"/>
      <c r="FW746" s="23"/>
      <c r="FX746" s="23"/>
      <c r="FY746" s="23"/>
      <c r="FZ746" s="23"/>
      <c r="GA746" s="23"/>
      <c r="GB746" s="23"/>
      <c r="GC746" s="23"/>
      <c r="GD746" s="23"/>
      <c r="GE746" s="23"/>
      <c r="GF746" s="23"/>
      <c r="GG746" s="23"/>
      <c r="GH746" s="23"/>
      <c r="GI746" s="23"/>
      <c r="GJ746" s="23"/>
      <c r="GK746" s="23"/>
      <c r="GL746" s="23"/>
    </row>
    <row r="747" spans="1:194" ht="13">
      <c r="A747" s="23"/>
      <c r="B747" s="23"/>
      <c r="C747" s="23"/>
      <c r="D747" s="23"/>
      <c r="E747" s="23"/>
      <c r="F747" s="23"/>
      <c r="G747" s="23"/>
      <c r="H747" s="401"/>
      <c r="I747" s="401"/>
      <c r="J747" s="401"/>
      <c r="K747" s="401"/>
      <c r="L747" s="401"/>
      <c r="M747" s="438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  <c r="AL747" s="23"/>
      <c r="AM747" s="23"/>
      <c r="AN747" s="23"/>
      <c r="AO747" s="23"/>
      <c r="AP747" s="23"/>
      <c r="AQ747" s="23"/>
      <c r="AR747" s="23"/>
      <c r="AS747" s="23"/>
      <c r="AT747" s="23"/>
      <c r="AU747" s="23"/>
      <c r="AV747" s="23"/>
      <c r="AW747" s="23"/>
      <c r="AX747" s="23"/>
      <c r="AY747" s="23"/>
      <c r="AZ747" s="23"/>
      <c r="BA747" s="23"/>
      <c r="BB747" s="23"/>
      <c r="BC747" s="23"/>
      <c r="BD747" s="23"/>
      <c r="BE747" s="23"/>
      <c r="BF747" s="23"/>
      <c r="BG747" s="23"/>
      <c r="BH747" s="23"/>
      <c r="BI747" s="23"/>
      <c r="BJ747" s="23"/>
      <c r="BK747" s="23"/>
      <c r="BL747" s="23"/>
      <c r="BM747" s="23"/>
      <c r="BN747" s="23"/>
      <c r="BO747" s="23"/>
      <c r="BP747" s="23"/>
      <c r="BQ747" s="23"/>
      <c r="BR747" s="23"/>
      <c r="BS747" s="23"/>
      <c r="BT747" s="23"/>
      <c r="BU747" s="23"/>
      <c r="BV747" s="23"/>
      <c r="BW747" s="23"/>
      <c r="BX747" s="23"/>
      <c r="BY747" s="23"/>
      <c r="BZ747" s="23"/>
      <c r="CA747" s="23"/>
      <c r="CB747" s="23"/>
      <c r="CC747" s="23"/>
      <c r="CD747" s="23"/>
      <c r="CE747" s="23"/>
      <c r="CF747" s="23"/>
      <c r="CG747" s="23"/>
      <c r="CH747" s="23"/>
      <c r="CI747" s="23"/>
      <c r="CJ747" s="23"/>
      <c r="CK747" s="23"/>
      <c r="CL747" s="23"/>
      <c r="CM747" s="23"/>
      <c r="CN747" s="23"/>
      <c r="CO747" s="23"/>
      <c r="CP747" s="23"/>
      <c r="CQ747" s="23"/>
      <c r="CR747" s="23"/>
      <c r="CS747" s="23"/>
      <c r="CT747" s="23"/>
      <c r="CU747" s="23"/>
      <c r="CV747" s="23"/>
      <c r="CW747" s="23"/>
      <c r="CX747" s="23"/>
      <c r="CY747" s="23"/>
      <c r="CZ747" s="23"/>
      <c r="DA747" s="23"/>
      <c r="DB747" s="23"/>
      <c r="DC747" s="23"/>
      <c r="DD747" s="23"/>
      <c r="DE747" s="23"/>
      <c r="DF747" s="23"/>
      <c r="DG747" s="23"/>
      <c r="DH747" s="23"/>
      <c r="DI747" s="23"/>
      <c r="DJ747" s="23"/>
      <c r="DK747" s="23"/>
      <c r="DL747" s="23"/>
      <c r="DM747" s="23"/>
      <c r="DN747" s="23"/>
      <c r="DO747" s="23"/>
      <c r="DP747" s="23"/>
      <c r="DQ747" s="23"/>
      <c r="DR747" s="23"/>
      <c r="DS747" s="23"/>
      <c r="DT747" s="23"/>
      <c r="DU747" s="23"/>
      <c r="DV747" s="23"/>
      <c r="DW747" s="23"/>
      <c r="DX747" s="23"/>
      <c r="DY747" s="23"/>
      <c r="DZ747" s="23"/>
      <c r="EA747" s="23"/>
      <c r="EB747" s="23"/>
      <c r="EC747" s="23"/>
      <c r="ED747" s="23"/>
      <c r="EE747" s="23"/>
      <c r="EF747" s="23"/>
      <c r="EG747" s="23"/>
      <c r="EH747" s="23"/>
      <c r="EI747" s="23"/>
      <c r="EJ747" s="23"/>
      <c r="EK747" s="23"/>
      <c r="EL747" s="23"/>
      <c r="EM747" s="23"/>
      <c r="EN747" s="23"/>
      <c r="EO747" s="23"/>
      <c r="EP747" s="23"/>
      <c r="EQ747" s="23"/>
      <c r="ER747" s="23"/>
      <c r="ES747" s="23"/>
      <c r="ET747" s="23"/>
      <c r="EU747" s="23"/>
      <c r="EV747" s="23"/>
      <c r="EW747" s="23"/>
      <c r="EX747" s="23"/>
      <c r="EY747" s="23"/>
      <c r="EZ747" s="23"/>
      <c r="FA747" s="23"/>
      <c r="FB747" s="23"/>
      <c r="FC747" s="23"/>
      <c r="FD747" s="23"/>
      <c r="FE747" s="23"/>
      <c r="FF747" s="23"/>
      <c r="FG747" s="23"/>
      <c r="FH747" s="23"/>
      <c r="FI747" s="23"/>
      <c r="FJ747" s="23"/>
      <c r="FK747" s="23"/>
      <c r="FL747" s="23"/>
      <c r="FM747" s="23"/>
      <c r="FN747" s="23"/>
      <c r="FO747" s="23"/>
      <c r="FP747" s="23"/>
      <c r="FQ747" s="23"/>
      <c r="FR747" s="23"/>
      <c r="FS747" s="23"/>
      <c r="FT747" s="23"/>
      <c r="FU747" s="23"/>
      <c r="FV747" s="23"/>
      <c r="FW747" s="23"/>
      <c r="FX747" s="23"/>
      <c r="FY747" s="23"/>
      <c r="FZ747" s="23"/>
      <c r="GA747" s="23"/>
      <c r="GB747" s="23"/>
      <c r="GC747" s="23"/>
      <c r="GD747" s="23"/>
      <c r="GE747" s="23"/>
      <c r="GF747" s="23"/>
      <c r="GG747" s="23"/>
      <c r="GH747" s="23"/>
      <c r="GI747" s="23"/>
      <c r="GJ747" s="23"/>
      <c r="GK747" s="23"/>
      <c r="GL747" s="23"/>
    </row>
    <row r="748" spans="1:194" ht="13">
      <c r="A748" s="23"/>
      <c r="B748" s="23"/>
      <c r="C748" s="23"/>
      <c r="D748" s="23"/>
      <c r="E748" s="23"/>
      <c r="F748" s="23"/>
      <c r="G748" s="23"/>
      <c r="H748" s="401"/>
      <c r="I748" s="401"/>
      <c r="J748" s="401"/>
      <c r="K748" s="401"/>
      <c r="L748" s="401"/>
      <c r="M748" s="438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  <c r="AL748" s="23"/>
      <c r="AM748" s="23"/>
      <c r="AN748" s="23"/>
      <c r="AO748" s="23"/>
      <c r="AP748" s="23"/>
      <c r="AQ748" s="23"/>
      <c r="AR748" s="23"/>
      <c r="AS748" s="23"/>
      <c r="AT748" s="23"/>
      <c r="AU748" s="23"/>
      <c r="AV748" s="23"/>
      <c r="AW748" s="23"/>
      <c r="AX748" s="23"/>
      <c r="AY748" s="23"/>
      <c r="AZ748" s="23"/>
      <c r="BA748" s="23"/>
      <c r="BB748" s="23"/>
      <c r="BC748" s="23"/>
      <c r="BD748" s="23"/>
      <c r="BE748" s="23"/>
      <c r="BF748" s="23"/>
      <c r="BG748" s="23"/>
      <c r="BH748" s="23"/>
      <c r="BI748" s="23"/>
      <c r="BJ748" s="23"/>
      <c r="BK748" s="23"/>
      <c r="BL748" s="23"/>
      <c r="BM748" s="23"/>
      <c r="BN748" s="23"/>
      <c r="BO748" s="23"/>
      <c r="BP748" s="23"/>
      <c r="BQ748" s="23"/>
      <c r="BR748" s="23"/>
      <c r="BS748" s="23"/>
      <c r="BT748" s="23"/>
      <c r="BU748" s="23"/>
      <c r="BV748" s="23"/>
      <c r="BW748" s="23"/>
      <c r="BX748" s="23"/>
      <c r="BY748" s="23"/>
      <c r="BZ748" s="23"/>
      <c r="CA748" s="23"/>
      <c r="CB748" s="23"/>
      <c r="CC748" s="23"/>
      <c r="CD748" s="23"/>
      <c r="CE748" s="23"/>
      <c r="CF748" s="23"/>
      <c r="CG748" s="23"/>
      <c r="CH748" s="23"/>
      <c r="CI748" s="23"/>
      <c r="CJ748" s="23"/>
      <c r="CK748" s="23"/>
      <c r="CL748" s="23"/>
      <c r="CM748" s="23"/>
      <c r="CN748" s="23"/>
      <c r="CO748" s="23"/>
      <c r="CP748" s="23"/>
      <c r="CQ748" s="23"/>
      <c r="CR748" s="23"/>
      <c r="CS748" s="23"/>
      <c r="CT748" s="23"/>
      <c r="CU748" s="23"/>
      <c r="CV748" s="23"/>
      <c r="CW748" s="23"/>
      <c r="CX748" s="23"/>
      <c r="CY748" s="23"/>
      <c r="CZ748" s="23"/>
      <c r="DA748" s="23"/>
      <c r="DB748" s="23"/>
      <c r="DC748" s="23"/>
      <c r="DD748" s="23"/>
      <c r="DE748" s="23"/>
      <c r="DF748" s="23"/>
      <c r="DG748" s="23"/>
      <c r="DH748" s="23"/>
      <c r="DI748" s="23"/>
      <c r="DJ748" s="23"/>
      <c r="DK748" s="23"/>
      <c r="DL748" s="23"/>
      <c r="DM748" s="23"/>
      <c r="DN748" s="23"/>
      <c r="DO748" s="23"/>
      <c r="DP748" s="23"/>
      <c r="DQ748" s="23"/>
      <c r="DR748" s="23"/>
      <c r="DS748" s="23"/>
      <c r="DT748" s="23"/>
      <c r="DU748" s="23"/>
      <c r="DV748" s="23"/>
      <c r="DW748" s="23"/>
      <c r="DX748" s="23"/>
      <c r="DY748" s="23"/>
      <c r="DZ748" s="23"/>
      <c r="EA748" s="23"/>
      <c r="EB748" s="23"/>
      <c r="EC748" s="23"/>
      <c r="ED748" s="23"/>
      <c r="EE748" s="23"/>
      <c r="EF748" s="23"/>
      <c r="EG748" s="23"/>
      <c r="EH748" s="23"/>
      <c r="EI748" s="23"/>
      <c r="EJ748" s="23"/>
      <c r="EK748" s="23"/>
      <c r="EL748" s="23"/>
      <c r="EM748" s="23"/>
      <c r="EN748" s="23"/>
      <c r="EO748" s="23"/>
      <c r="EP748" s="23"/>
      <c r="EQ748" s="23"/>
      <c r="ER748" s="23"/>
      <c r="ES748" s="23"/>
      <c r="ET748" s="23"/>
      <c r="EU748" s="23"/>
      <c r="EV748" s="23"/>
      <c r="EW748" s="23"/>
      <c r="EX748" s="23"/>
      <c r="EY748" s="23"/>
      <c r="EZ748" s="23"/>
      <c r="FA748" s="23"/>
      <c r="FB748" s="23"/>
      <c r="FC748" s="23"/>
      <c r="FD748" s="23"/>
      <c r="FE748" s="23"/>
      <c r="FF748" s="23"/>
      <c r="FG748" s="23"/>
      <c r="FH748" s="23"/>
      <c r="FI748" s="23"/>
      <c r="FJ748" s="23"/>
      <c r="FK748" s="23"/>
      <c r="FL748" s="23"/>
      <c r="FM748" s="23"/>
      <c r="FN748" s="23"/>
      <c r="FO748" s="23"/>
      <c r="FP748" s="23"/>
      <c r="FQ748" s="23"/>
      <c r="FR748" s="23"/>
      <c r="FS748" s="23"/>
      <c r="FT748" s="23"/>
      <c r="FU748" s="23"/>
      <c r="FV748" s="23"/>
      <c r="FW748" s="23"/>
      <c r="FX748" s="23"/>
      <c r="FY748" s="23"/>
      <c r="FZ748" s="23"/>
      <c r="GA748" s="23"/>
      <c r="GB748" s="23"/>
      <c r="GC748" s="23"/>
      <c r="GD748" s="23"/>
      <c r="GE748" s="23"/>
      <c r="GF748" s="23"/>
      <c r="GG748" s="23"/>
      <c r="GH748" s="23"/>
      <c r="GI748" s="23"/>
      <c r="GJ748" s="23"/>
      <c r="GK748" s="23"/>
      <c r="GL748" s="23"/>
    </row>
    <row r="749" spans="1:194" ht="13">
      <c r="A749" s="23"/>
      <c r="B749" s="23"/>
      <c r="C749" s="23"/>
      <c r="D749" s="23"/>
      <c r="E749" s="23"/>
      <c r="F749" s="23"/>
      <c r="G749" s="23"/>
      <c r="H749" s="401"/>
      <c r="I749" s="401"/>
      <c r="J749" s="401"/>
      <c r="K749" s="401"/>
      <c r="L749" s="401"/>
      <c r="M749" s="438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  <c r="AL749" s="23"/>
      <c r="AM749" s="23"/>
      <c r="AN749" s="23"/>
      <c r="AO749" s="23"/>
      <c r="AP749" s="23"/>
      <c r="AQ749" s="23"/>
      <c r="AR749" s="23"/>
      <c r="AS749" s="23"/>
      <c r="AT749" s="23"/>
      <c r="AU749" s="23"/>
      <c r="AV749" s="23"/>
      <c r="AW749" s="23"/>
      <c r="AX749" s="23"/>
      <c r="AY749" s="23"/>
      <c r="AZ749" s="23"/>
      <c r="BA749" s="23"/>
      <c r="BB749" s="23"/>
      <c r="BC749" s="23"/>
      <c r="BD749" s="23"/>
      <c r="BE749" s="23"/>
      <c r="BF749" s="23"/>
      <c r="BG749" s="23"/>
      <c r="BH749" s="23"/>
      <c r="BI749" s="23"/>
      <c r="BJ749" s="23"/>
      <c r="BK749" s="23"/>
      <c r="BL749" s="23"/>
      <c r="BM749" s="23"/>
      <c r="BN749" s="23"/>
      <c r="BO749" s="23"/>
      <c r="BP749" s="23"/>
      <c r="BQ749" s="23"/>
      <c r="BR749" s="23"/>
      <c r="BS749" s="23"/>
      <c r="BT749" s="23"/>
      <c r="BU749" s="23"/>
      <c r="BV749" s="23"/>
      <c r="BW749" s="23"/>
      <c r="BX749" s="23"/>
      <c r="BY749" s="23"/>
      <c r="BZ749" s="23"/>
      <c r="CA749" s="23"/>
      <c r="CB749" s="23"/>
      <c r="CC749" s="23"/>
      <c r="CD749" s="23"/>
      <c r="CE749" s="23"/>
      <c r="CF749" s="23"/>
      <c r="CG749" s="23"/>
      <c r="CH749" s="23"/>
      <c r="CI749" s="23"/>
      <c r="CJ749" s="23"/>
      <c r="CK749" s="23"/>
      <c r="CL749" s="23"/>
      <c r="CM749" s="23"/>
      <c r="CN749" s="23"/>
      <c r="CO749" s="23"/>
      <c r="CP749" s="23"/>
      <c r="CQ749" s="23"/>
      <c r="CR749" s="23"/>
      <c r="CS749" s="23"/>
      <c r="CT749" s="23"/>
      <c r="CU749" s="23"/>
      <c r="CV749" s="23"/>
      <c r="CW749" s="23"/>
      <c r="CX749" s="23"/>
      <c r="CY749" s="23"/>
      <c r="CZ749" s="23"/>
      <c r="DA749" s="23"/>
      <c r="DB749" s="23"/>
      <c r="DC749" s="23"/>
      <c r="DD749" s="23"/>
      <c r="DE749" s="23"/>
      <c r="DF749" s="23"/>
      <c r="DG749" s="23"/>
      <c r="DH749" s="23"/>
      <c r="DI749" s="23"/>
      <c r="DJ749" s="23"/>
      <c r="DK749" s="23"/>
      <c r="DL749" s="23"/>
      <c r="DM749" s="23"/>
      <c r="DN749" s="23"/>
      <c r="DO749" s="23"/>
      <c r="DP749" s="23"/>
      <c r="DQ749" s="23"/>
      <c r="DR749" s="23"/>
      <c r="DS749" s="23"/>
      <c r="DT749" s="23"/>
      <c r="DU749" s="23"/>
      <c r="DV749" s="23"/>
      <c r="DW749" s="23"/>
      <c r="DX749" s="23"/>
      <c r="DY749" s="23"/>
      <c r="DZ749" s="23"/>
      <c r="EA749" s="23"/>
      <c r="EB749" s="23"/>
      <c r="EC749" s="23"/>
      <c r="ED749" s="23"/>
      <c r="EE749" s="23"/>
      <c r="EF749" s="23"/>
      <c r="EG749" s="23"/>
      <c r="EH749" s="23"/>
      <c r="EI749" s="23"/>
      <c r="EJ749" s="23"/>
      <c r="EK749" s="23"/>
      <c r="EL749" s="23"/>
      <c r="EM749" s="23"/>
      <c r="EN749" s="23"/>
      <c r="EO749" s="23"/>
      <c r="EP749" s="23"/>
      <c r="EQ749" s="23"/>
      <c r="ER749" s="23"/>
      <c r="ES749" s="23"/>
      <c r="ET749" s="23"/>
      <c r="EU749" s="23"/>
      <c r="EV749" s="23"/>
      <c r="EW749" s="23"/>
      <c r="EX749" s="23"/>
      <c r="EY749" s="23"/>
      <c r="EZ749" s="23"/>
      <c r="FA749" s="23"/>
      <c r="FB749" s="23"/>
      <c r="FC749" s="23"/>
      <c r="FD749" s="23"/>
      <c r="FE749" s="23"/>
      <c r="FF749" s="23"/>
      <c r="FG749" s="23"/>
      <c r="FH749" s="23"/>
      <c r="FI749" s="23"/>
      <c r="FJ749" s="23"/>
      <c r="FK749" s="23"/>
      <c r="FL749" s="23"/>
      <c r="FM749" s="23"/>
      <c r="FN749" s="23"/>
      <c r="FO749" s="23"/>
      <c r="FP749" s="23"/>
      <c r="FQ749" s="23"/>
      <c r="FR749" s="23"/>
      <c r="FS749" s="23"/>
      <c r="FT749" s="23"/>
      <c r="FU749" s="23"/>
      <c r="FV749" s="23"/>
      <c r="FW749" s="23"/>
      <c r="FX749" s="23"/>
      <c r="FY749" s="23"/>
      <c r="FZ749" s="23"/>
      <c r="GA749" s="23"/>
      <c r="GB749" s="23"/>
      <c r="GC749" s="23"/>
      <c r="GD749" s="23"/>
      <c r="GE749" s="23"/>
      <c r="GF749" s="23"/>
      <c r="GG749" s="23"/>
      <c r="GH749" s="23"/>
      <c r="GI749" s="23"/>
      <c r="GJ749" s="23"/>
      <c r="GK749" s="23"/>
      <c r="GL749" s="23"/>
    </row>
    <row r="750" spans="1:194" ht="13">
      <c r="A750" s="23"/>
      <c r="B750" s="23"/>
      <c r="C750" s="23"/>
      <c r="D750" s="23"/>
      <c r="E750" s="23"/>
      <c r="F750" s="23"/>
      <c r="G750" s="23"/>
      <c r="H750" s="401"/>
      <c r="I750" s="401"/>
      <c r="J750" s="401"/>
      <c r="K750" s="401"/>
      <c r="L750" s="401"/>
      <c r="M750" s="438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  <c r="AL750" s="23"/>
      <c r="AM750" s="23"/>
      <c r="AN750" s="23"/>
      <c r="AO750" s="23"/>
      <c r="AP750" s="23"/>
      <c r="AQ750" s="23"/>
      <c r="AR750" s="23"/>
      <c r="AS750" s="23"/>
      <c r="AT750" s="23"/>
      <c r="AU750" s="23"/>
      <c r="AV750" s="23"/>
      <c r="AW750" s="23"/>
      <c r="AX750" s="23"/>
      <c r="AY750" s="23"/>
      <c r="AZ750" s="23"/>
      <c r="BA750" s="23"/>
      <c r="BB750" s="23"/>
      <c r="BC750" s="23"/>
      <c r="BD750" s="23"/>
      <c r="BE750" s="23"/>
      <c r="BF750" s="23"/>
      <c r="BG750" s="23"/>
      <c r="BH750" s="23"/>
      <c r="BI750" s="23"/>
      <c r="BJ750" s="23"/>
      <c r="BK750" s="23"/>
      <c r="BL750" s="23"/>
      <c r="BM750" s="23"/>
      <c r="BN750" s="23"/>
      <c r="BO750" s="23"/>
      <c r="BP750" s="23"/>
      <c r="BQ750" s="23"/>
      <c r="BR750" s="23"/>
      <c r="BS750" s="23"/>
      <c r="BT750" s="23"/>
      <c r="BU750" s="23"/>
      <c r="BV750" s="23"/>
      <c r="BW750" s="23"/>
      <c r="BX750" s="23"/>
      <c r="BY750" s="23"/>
      <c r="BZ750" s="23"/>
      <c r="CA750" s="23"/>
      <c r="CB750" s="23"/>
      <c r="CC750" s="23"/>
      <c r="CD750" s="23"/>
      <c r="CE750" s="23"/>
      <c r="CF750" s="23"/>
      <c r="CG750" s="23"/>
      <c r="CH750" s="23"/>
      <c r="CI750" s="23"/>
      <c r="CJ750" s="23"/>
      <c r="CK750" s="23"/>
      <c r="CL750" s="23"/>
      <c r="CM750" s="23"/>
      <c r="CN750" s="23"/>
      <c r="CO750" s="23"/>
      <c r="CP750" s="23"/>
      <c r="CQ750" s="23"/>
      <c r="CR750" s="23"/>
      <c r="CS750" s="23"/>
      <c r="CT750" s="23"/>
      <c r="CU750" s="23"/>
      <c r="CV750" s="23"/>
      <c r="CW750" s="23"/>
      <c r="CX750" s="23"/>
      <c r="CY750" s="23"/>
      <c r="CZ750" s="23"/>
      <c r="DA750" s="23"/>
      <c r="DB750" s="23"/>
      <c r="DC750" s="23"/>
      <c r="DD750" s="23"/>
      <c r="DE750" s="23"/>
      <c r="DF750" s="23"/>
      <c r="DG750" s="23"/>
      <c r="DH750" s="23"/>
      <c r="DI750" s="23"/>
      <c r="DJ750" s="23"/>
      <c r="DK750" s="23"/>
      <c r="DL750" s="23"/>
      <c r="DM750" s="23"/>
      <c r="DN750" s="23"/>
      <c r="DO750" s="23"/>
      <c r="DP750" s="23"/>
      <c r="DQ750" s="23"/>
      <c r="DR750" s="23"/>
      <c r="DS750" s="23"/>
      <c r="DT750" s="23"/>
      <c r="DU750" s="23"/>
      <c r="DV750" s="23"/>
      <c r="DW750" s="23"/>
      <c r="DX750" s="23"/>
      <c r="DY750" s="23"/>
      <c r="DZ750" s="23"/>
      <c r="EA750" s="23"/>
      <c r="EB750" s="23"/>
      <c r="EC750" s="23"/>
      <c r="ED750" s="23"/>
      <c r="EE750" s="23"/>
      <c r="EF750" s="23"/>
      <c r="EG750" s="23"/>
      <c r="EH750" s="23"/>
      <c r="EI750" s="23"/>
      <c r="EJ750" s="23"/>
      <c r="EK750" s="23"/>
      <c r="EL750" s="23"/>
      <c r="EM750" s="23"/>
      <c r="EN750" s="23"/>
      <c r="EO750" s="23"/>
      <c r="EP750" s="23"/>
      <c r="EQ750" s="23"/>
      <c r="ER750" s="23"/>
      <c r="ES750" s="23"/>
      <c r="ET750" s="23"/>
      <c r="EU750" s="23"/>
      <c r="EV750" s="23"/>
      <c r="EW750" s="23"/>
      <c r="EX750" s="23"/>
      <c r="EY750" s="23"/>
      <c r="EZ750" s="23"/>
      <c r="FA750" s="23"/>
      <c r="FB750" s="23"/>
      <c r="FC750" s="23"/>
      <c r="FD750" s="23"/>
      <c r="FE750" s="23"/>
      <c r="FF750" s="23"/>
      <c r="FG750" s="23"/>
      <c r="FH750" s="23"/>
      <c r="FI750" s="23"/>
      <c r="FJ750" s="23"/>
      <c r="FK750" s="23"/>
      <c r="FL750" s="23"/>
      <c r="FM750" s="23"/>
      <c r="FN750" s="23"/>
      <c r="FO750" s="23"/>
      <c r="FP750" s="23"/>
      <c r="FQ750" s="23"/>
      <c r="FR750" s="23"/>
      <c r="FS750" s="23"/>
      <c r="FT750" s="23"/>
      <c r="FU750" s="23"/>
      <c r="FV750" s="23"/>
      <c r="FW750" s="23"/>
      <c r="FX750" s="23"/>
      <c r="FY750" s="23"/>
      <c r="FZ750" s="23"/>
      <c r="GA750" s="23"/>
      <c r="GB750" s="23"/>
      <c r="GC750" s="23"/>
      <c r="GD750" s="23"/>
      <c r="GE750" s="23"/>
      <c r="GF750" s="23"/>
      <c r="GG750" s="23"/>
      <c r="GH750" s="23"/>
      <c r="GI750" s="23"/>
      <c r="GJ750" s="23"/>
      <c r="GK750" s="23"/>
      <c r="GL750" s="23"/>
    </row>
    <row r="751" spans="1:194" ht="13">
      <c r="A751" s="23"/>
      <c r="B751" s="23"/>
      <c r="C751" s="23"/>
      <c r="D751" s="23"/>
      <c r="E751" s="23"/>
      <c r="F751" s="23"/>
      <c r="G751" s="23"/>
      <c r="H751" s="401"/>
      <c r="I751" s="401"/>
      <c r="J751" s="401"/>
      <c r="K751" s="401"/>
      <c r="L751" s="401"/>
      <c r="M751" s="438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  <c r="AL751" s="23"/>
      <c r="AM751" s="23"/>
      <c r="AN751" s="23"/>
      <c r="AO751" s="23"/>
      <c r="AP751" s="23"/>
      <c r="AQ751" s="23"/>
      <c r="AR751" s="23"/>
      <c r="AS751" s="23"/>
      <c r="AT751" s="23"/>
      <c r="AU751" s="23"/>
      <c r="AV751" s="23"/>
      <c r="AW751" s="23"/>
      <c r="AX751" s="23"/>
      <c r="AY751" s="23"/>
      <c r="AZ751" s="23"/>
      <c r="BA751" s="23"/>
      <c r="BB751" s="23"/>
      <c r="BC751" s="23"/>
      <c r="BD751" s="23"/>
      <c r="BE751" s="23"/>
      <c r="BF751" s="23"/>
      <c r="BG751" s="23"/>
      <c r="BH751" s="23"/>
      <c r="BI751" s="23"/>
      <c r="BJ751" s="23"/>
      <c r="BK751" s="23"/>
      <c r="BL751" s="23"/>
      <c r="BM751" s="23"/>
      <c r="BN751" s="23"/>
      <c r="BO751" s="23"/>
      <c r="BP751" s="23"/>
      <c r="BQ751" s="23"/>
      <c r="BR751" s="23"/>
      <c r="BS751" s="23"/>
      <c r="BT751" s="23"/>
      <c r="BU751" s="23"/>
      <c r="BV751" s="23"/>
      <c r="BW751" s="23"/>
      <c r="BX751" s="23"/>
      <c r="BY751" s="23"/>
      <c r="BZ751" s="23"/>
      <c r="CA751" s="23"/>
      <c r="CB751" s="23"/>
      <c r="CC751" s="23"/>
      <c r="CD751" s="23"/>
      <c r="CE751" s="23"/>
      <c r="CF751" s="23"/>
      <c r="CG751" s="23"/>
      <c r="CH751" s="23"/>
      <c r="CI751" s="23"/>
      <c r="CJ751" s="23"/>
      <c r="CK751" s="23"/>
      <c r="CL751" s="23"/>
      <c r="CM751" s="23"/>
      <c r="CN751" s="23"/>
      <c r="CO751" s="23"/>
      <c r="CP751" s="23"/>
      <c r="CQ751" s="23"/>
      <c r="CR751" s="23"/>
      <c r="CS751" s="23"/>
      <c r="CT751" s="23"/>
      <c r="CU751" s="23"/>
      <c r="CV751" s="23"/>
      <c r="CW751" s="23"/>
      <c r="CX751" s="23"/>
      <c r="CY751" s="23"/>
      <c r="CZ751" s="23"/>
      <c r="DA751" s="23"/>
      <c r="DB751" s="23"/>
      <c r="DC751" s="23"/>
      <c r="DD751" s="23"/>
      <c r="DE751" s="23"/>
      <c r="DF751" s="23"/>
      <c r="DG751" s="23"/>
      <c r="DH751" s="23"/>
      <c r="DI751" s="23"/>
      <c r="DJ751" s="23"/>
      <c r="DK751" s="23"/>
      <c r="DL751" s="23"/>
      <c r="DM751" s="23"/>
      <c r="DN751" s="23"/>
      <c r="DO751" s="23"/>
      <c r="DP751" s="23"/>
      <c r="DQ751" s="23"/>
      <c r="DR751" s="23"/>
      <c r="DS751" s="23"/>
      <c r="DT751" s="23"/>
      <c r="DU751" s="23"/>
      <c r="DV751" s="23"/>
      <c r="DW751" s="23"/>
      <c r="DX751" s="23"/>
      <c r="DY751" s="23"/>
      <c r="DZ751" s="23"/>
      <c r="EA751" s="23"/>
      <c r="EB751" s="23"/>
      <c r="EC751" s="23"/>
      <c r="ED751" s="23"/>
      <c r="EE751" s="23"/>
      <c r="EF751" s="23"/>
      <c r="EG751" s="23"/>
      <c r="EH751" s="23"/>
      <c r="EI751" s="23"/>
      <c r="EJ751" s="23"/>
      <c r="EK751" s="23"/>
      <c r="EL751" s="23"/>
      <c r="EM751" s="23"/>
      <c r="EN751" s="23"/>
      <c r="EO751" s="23"/>
      <c r="EP751" s="23"/>
      <c r="EQ751" s="23"/>
      <c r="ER751" s="23"/>
      <c r="ES751" s="23"/>
      <c r="ET751" s="23"/>
      <c r="EU751" s="23"/>
      <c r="EV751" s="23"/>
      <c r="EW751" s="23"/>
      <c r="EX751" s="23"/>
      <c r="EY751" s="23"/>
      <c r="EZ751" s="23"/>
      <c r="FA751" s="23"/>
      <c r="FB751" s="23"/>
      <c r="FC751" s="23"/>
      <c r="FD751" s="23"/>
      <c r="FE751" s="23"/>
      <c r="FF751" s="23"/>
      <c r="FG751" s="23"/>
      <c r="FH751" s="23"/>
      <c r="FI751" s="23"/>
      <c r="FJ751" s="23"/>
      <c r="FK751" s="23"/>
      <c r="FL751" s="23"/>
      <c r="FM751" s="23"/>
      <c r="FN751" s="23"/>
      <c r="FO751" s="23"/>
      <c r="FP751" s="23"/>
      <c r="FQ751" s="23"/>
      <c r="FR751" s="23"/>
      <c r="FS751" s="23"/>
      <c r="FT751" s="23"/>
      <c r="FU751" s="23"/>
      <c r="FV751" s="23"/>
      <c r="FW751" s="23"/>
      <c r="FX751" s="23"/>
      <c r="FY751" s="23"/>
      <c r="FZ751" s="23"/>
      <c r="GA751" s="23"/>
      <c r="GB751" s="23"/>
      <c r="GC751" s="23"/>
      <c r="GD751" s="23"/>
      <c r="GE751" s="23"/>
      <c r="GF751" s="23"/>
      <c r="GG751" s="23"/>
      <c r="GH751" s="23"/>
      <c r="GI751" s="23"/>
      <c r="GJ751" s="23"/>
      <c r="GK751" s="23"/>
      <c r="GL751" s="23"/>
    </row>
    <row r="752" spans="1:194" ht="13">
      <c r="A752" s="23"/>
      <c r="B752" s="23"/>
      <c r="C752" s="23"/>
      <c r="D752" s="23"/>
      <c r="E752" s="23"/>
      <c r="F752" s="23"/>
      <c r="G752" s="23"/>
      <c r="H752" s="401"/>
      <c r="I752" s="401"/>
      <c r="J752" s="401"/>
      <c r="K752" s="401"/>
      <c r="L752" s="401"/>
      <c r="M752" s="438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  <c r="AL752" s="23"/>
      <c r="AM752" s="23"/>
      <c r="AN752" s="23"/>
      <c r="AO752" s="23"/>
      <c r="AP752" s="23"/>
      <c r="AQ752" s="23"/>
      <c r="AR752" s="23"/>
      <c r="AS752" s="23"/>
      <c r="AT752" s="23"/>
      <c r="AU752" s="23"/>
      <c r="AV752" s="23"/>
      <c r="AW752" s="23"/>
      <c r="AX752" s="23"/>
      <c r="AY752" s="23"/>
      <c r="AZ752" s="23"/>
      <c r="BA752" s="23"/>
      <c r="BB752" s="23"/>
      <c r="BC752" s="23"/>
      <c r="BD752" s="23"/>
      <c r="BE752" s="23"/>
      <c r="BF752" s="23"/>
      <c r="BG752" s="23"/>
      <c r="BH752" s="23"/>
      <c r="BI752" s="23"/>
      <c r="BJ752" s="23"/>
      <c r="BK752" s="23"/>
      <c r="BL752" s="23"/>
      <c r="BM752" s="23"/>
      <c r="BN752" s="23"/>
      <c r="BO752" s="23"/>
      <c r="BP752" s="23"/>
      <c r="BQ752" s="23"/>
      <c r="BR752" s="23"/>
      <c r="BS752" s="23"/>
      <c r="BT752" s="23"/>
      <c r="BU752" s="23"/>
      <c r="BV752" s="23"/>
      <c r="BW752" s="23"/>
      <c r="BX752" s="23"/>
      <c r="BY752" s="23"/>
      <c r="BZ752" s="23"/>
      <c r="CA752" s="23"/>
      <c r="CB752" s="23"/>
      <c r="CC752" s="23"/>
      <c r="CD752" s="23"/>
      <c r="CE752" s="23"/>
      <c r="CF752" s="23"/>
      <c r="CG752" s="23"/>
      <c r="CH752" s="23"/>
      <c r="CI752" s="23"/>
      <c r="CJ752" s="23"/>
      <c r="CK752" s="23"/>
      <c r="CL752" s="23"/>
      <c r="CM752" s="23"/>
      <c r="CN752" s="23"/>
      <c r="CO752" s="23"/>
      <c r="CP752" s="23"/>
      <c r="CQ752" s="23"/>
      <c r="CR752" s="23"/>
      <c r="CS752" s="23"/>
      <c r="CT752" s="23"/>
      <c r="CU752" s="23"/>
      <c r="CV752" s="23"/>
      <c r="CW752" s="23"/>
      <c r="CX752" s="23"/>
      <c r="CY752" s="23"/>
      <c r="CZ752" s="23"/>
      <c r="DA752" s="23"/>
      <c r="DB752" s="23"/>
      <c r="DC752" s="23"/>
      <c r="DD752" s="23"/>
      <c r="DE752" s="23"/>
      <c r="DF752" s="23"/>
      <c r="DG752" s="23"/>
      <c r="DH752" s="23"/>
      <c r="DI752" s="23"/>
      <c r="DJ752" s="23"/>
      <c r="DK752" s="23"/>
      <c r="DL752" s="23"/>
      <c r="DM752" s="23"/>
      <c r="DN752" s="23"/>
      <c r="DO752" s="23"/>
      <c r="DP752" s="23"/>
      <c r="DQ752" s="23"/>
      <c r="DR752" s="23"/>
      <c r="DS752" s="23"/>
      <c r="DT752" s="23"/>
      <c r="DU752" s="23"/>
      <c r="DV752" s="23"/>
      <c r="DW752" s="23"/>
      <c r="DX752" s="23"/>
      <c r="DY752" s="23"/>
      <c r="DZ752" s="23"/>
      <c r="EA752" s="23"/>
      <c r="EB752" s="23"/>
      <c r="EC752" s="23"/>
      <c r="ED752" s="23"/>
      <c r="EE752" s="23"/>
      <c r="EF752" s="23"/>
      <c r="EG752" s="23"/>
      <c r="EH752" s="23"/>
      <c r="EI752" s="23"/>
      <c r="EJ752" s="23"/>
      <c r="EK752" s="23"/>
      <c r="EL752" s="23"/>
      <c r="EM752" s="23"/>
      <c r="EN752" s="23"/>
      <c r="EO752" s="23"/>
      <c r="EP752" s="23"/>
      <c r="EQ752" s="23"/>
      <c r="ER752" s="23"/>
      <c r="ES752" s="23"/>
      <c r="ET752" s="23"/>
      <c r="EU752" s="23"/>
      <c r="EV752" s="23"/>
      <c r="EW752" s="23"/>
      <c r="EX752" s="23"/>
      <c r="EY752" s="23"/>
      <c r="EZ752" s="23"/>
      <c r="FA752" s="23"/>
      <c r="FB752" s="23"/>
      <c r="FC752" s="23"/>
      <c r="FD752" s="23"/>
      <c r="FE752" s="23"/>
      <c r="FF752" s="23"/>
      <c r="FG752" s="23"/>
      <c r="FH752" s="23"/>
      <c r="FI752" s="23"/>
      <c r="FJ752" s="23"/>
      <c r="FK752" s="23"/>
      <c r="FL752" s="23"/>
      <c r="FM752" s="23"/>
      <c r="FN752" s="23"/>
      <c r="FO752" s="23"/>
      <c r="FP752" s="23"/>
      <c r="FQ752" s="23"/>
      <c r="FR752" s="23"/>
      <c r="FS752" s="23"/>
      <c r="FT752" s="23"/>
      <c r="FU752" s="23"/>
      <c r="FV752" s="23"/>
      <c r="FW752" s="23"/>
      <c r="FX752" s="23"/>
      <c r="FY752" s="23"/>
      <c r="FZ752" s="23"/>
      <c r="GA752" s="23"/>
      <c r="GB752" s="23"/>
      <c r="GC752" s="23"/>
      <c r="GD752" s="23"/>
      <c r="GE752" s="23"/>
      <c r="GF752" s="23"/>
      <c r="GG752" s="23"/>
      <c r="GH752" s="23"/>
      <c r="GI752" s="23"/>
      <c r="GJ752" s="23"/>
      <c r="GK752" s="23"/>
      <c r="GL752" s="23"/>
    </row>
    <row r="753" spans="1:194" ht="13">
      <c r="A753" s="23"/>
      <c r="B753" s="23"/>
      <c r="C753" s="23"/>
      <c r="D753" s="23"/>
      <c r="E753" s="23"/>
      <c r="F753" s="23"/>
      <c r="G753" s="23"/>
      <c r="H753" s="401"/>
      <c r="I753" s="401"/>
      <c r="J753" s="401"/>
      <c r="K753" s="401"/>
      <c r="L753" s="401"/>
      <c r="M753" s="438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  <c r="AL753" s="23"/>
      <c r="AM753" s="23"/>
      <c r="AN753" s="23"/>
      <c r="AO753" s="23"/>
      <c r="AP753" s="23"/>
      <c r="AQ753" s="23"/>
      <c r="AR753" s="23"/>
      <c r="AS753" s="23"/>
      <c r="AT753" s="23"/>
      <c r="AU753" s="23"/>
      <c r="AV753" s="23"/>
      <c r="AW753" s="23"/>
      <c r="AX753" s="23"/>
      <c r="AY753" s="23"/>
      <c r="AZ753" s="23"/>
      <c r="BA753" s="23"/>
      <c r="BB753" s="23"/>
      <c r="BC753" s="23"/>
      <c r="BD753" s="23"/>
      <c r="BE753" s="23"/>
      <c r="BF753" s="23"/>
      <c r="BG753" s="23"/>
      <c r="BH753" s="23"/>
      <c r="BI753" s="23"/>
      <c r="BJ753" s="23"/>
      <c r="BK753" s="23"/>
      <c r="BL753" s="23"/>
      <c r="BM753" s="23"/>
      <c r="BN753" s="23"/>
      <c r="BO753" s="23"/>
      <c r="BP753" s="23"/>
      <c r="BQ753" s="23"/>
      <c r="BR753" s="23"/>
      <c r="BS753" s="23"/>
      <c r="BT753" s="23"/>
      <c r="BU753" s="23"/>
      <c r="BV753" s="23"/>
      <c r="BW753" s="23"/>
      <c r="BX753" s="23"/>
      <c r="BY753" s="23"/>
      <c r="BZ753" s="23"/>
      <c r="CA753" s="23"/>
      <c r="CB753" s="23"/>
      <c r="CC753" s="23"/>
      <c r="CD753" s="23"/>
      <c r="CE753" s="23"/>
      <c r="CF753" s="23"/>
      <c r="CG753" s="23"/>
      <c r="CH753" s="23"/>
      <c r="CI753" s="23"/>
      <c r="CJ753" s="23"/>
      <c r="CK753" s="23"/>
      <c r="CL753" s="23"/>
      <c r="CM753" s="23"/>
      <c r="CN753" s="23"/>
      <c r="CO753" s="23"/>
      <c r="CP753" s="23"/>
      <c r="CQ753" s="23"/>
      <c r="CR753" s="23"/>
      <c r="CS753" s="23"/>
      <c r="CT753" s="23"/>
      <c r="CU753" s="23"/>
      <c r="CV753" s="23"/>
      <c r="CW753" s="23"/>
      <c r="CX753" s="23"/>
      <c r="CY753" s="23"/>
      <c r="CZ753" s="23"/>
      <c r="DA753" s="23"/>
      <c r="DB753" s="23"/>
      <c r="DC753" s="23"/>
      <c r="DD753" s="23"/>
      <c r="DE753" s="23"/>
      <c r="DF753" s="23"/>
      <c r="DG753" s="23"/>
      <c r="DH753" s="23"/>
      <c r="DI753" s="23"/>
      <c r="DJ753" s="23"/>
      <c r="DK753" s="23"/>
      <c r="DL753" s="23"/>
      <c r="DM753" s="23"/>
      <c r="DN753" s="23"/>
      <c r="DO753" s="23"/>
      <c r="DP753" s="23"/>
      <c r="DQ753" s="23"/>
      <c r="DR753" s="23"/>
      <c r="DS753" s="23"/>
      <c r="DT753" s="23"/>
      <c r="DU753" s="23"/>
      <c r="DV753" s="23"/>
      <c r="DW753" s="23"/>
      <c r="DX753" s="23"/>
      <c r="DY753" s="23"/>
      <c r="DZ753" s="23"/>
      <c r="EA753" s="23"/>
      <c r="EB753" s="23"/>
      <c r="EC753" s="23"/>
      <c r="ED753" s="23"/>
      <c r="EE753" s="23"/>
      <c r="EF753" s="23"/>
      <c r="EG753" s="23"/>
      <c r="EH753" s="23"/>
      <c r="EI753" s="23"/>
      <c r="EJ753" s="23"/>
      <c r="EK753" s="23"/>
      <c r="EL753" s="23"/>
      <c r="EM753" s="23"/>
      <c r="EN753" s="23"/>
      <c r="EO753" s="23"/>
      <c r="EP753" s="23"/>
      <c r="EQ753" s="23"/>
      <c r="ER753" s="23"/>
      <c r="ES753" s="23"/>
      <c r="ET753" s="23"/>
      <c r="EU753" s="23"/>
      <c r="EV753" s="23"/>
      <c r="EW753" s="23"/>
      <c r="EX753" s="23"/>
      <c r="EY753" s="23"/>
      <c r="EZ753" s="23"/>
      <c r="FA753" s="23"/>
      <c r="FB753" s="23"/>
      <c r="FC753" s="23"/>
      <c r="FD753" s="23"/>
      <c r="FE753" s="23"/>
      <c r="FF753" s="23"/>
      <c r="FG753" s="23"/>
      <c r="FH753" s="23"/>
      <c r="FI753" s="23"/>
      <c r="FJ753" s="23"/>
      <c r="FK753" s="23"/>
      <c r="FL753" s="23"/>
      <c r="FM753" s="23"/>
      <c r="FN753" s="23"/>
      <c r="FO753" s="23"/>
      <c r="FP753" s="23"/>
      <c r="FQ753" s="23"/>
      <c r="FR753" s="23"/>
      <c r="FS753" s="23"/>
      <c r="FT753" s="23"/>
      <c r="FU753" s="23"/>
      <c r="FV753" s="23"/>
      <c r="FW753" s="23"/>
      <c r="FX753" s="23"/>
      <c r="FY753" s="23"/>
      <c r="FZ753" s="23"/>
      <c r="GA753" s="23"/>
      <c r="GB753" s="23"/>
      <c r="GC753" s="23"/>
      <c r="GD753" s="23"/>
      <c r="GE753" s="23"/>
      <c r="GF753" s="23"/>
      <c r="GG753" s="23"/>
      <c r="GH753" s="23"/>
      <c r="GI753" s="23"/>
      <c r="GJ753" s="23"/>
      <c r="GK753" s="23"/>
      <c r="GL753" s="23"/>
    </row>
    <row r="754" spans="1:194" ht="13">
      <c r="A754" s="23"/>
      <c r="B754" s="23"/>
      <c r="C754" s="23"/>
      <c r="D754" s="23"/>
      <c r="E754" s="23"/>
      <c r="F754" s="23"/>
      <c r="G754" s="23"/>
      <c r="H754" s="401"/>
      <c r="I754" s="401"/>
      <c r="J754" s="401"/>
      <c r="K754" s="401"/>
      <c r="L754" s="401"/>
      <c r="M754" s="438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  <c r="AL754" s="23"/>
      <c r="AM754" s="23"/>
      <c r="AN754" s="23"/>
      <c r="AO754" s="23"/>
      <c r="AP754" s="23"/>
      <c r="AQ754" s="23"/>
      <c r="AR754" s="23"/>
      <c r="AS754" s="23"/>
      <c r="AT754" s="23"/>
      <c r="AU754" s="23"/>
      <c r="AV754" s="23"/>
      <c r="AW754" s="23"/>
      <c r="AX754" s="23"/>
      <c r="AY754" s="23"/>
      <c r="AZ754" s="23"/>
      <c r="BA754" s="23"/>
      <c r="BB754" s="23"/>
      <c r="BC754" s="23"/>
      <c r="BD754" s="23"/>
      <c r="BE754" s="23"/>
      <c r="BF754" s="23"/>
      <c r="BG754" s="23"/>
      <c r="BH754" s="23"/>
      <c r="BI754" s="23"/>
      <c r="BJ754" s="23"/>
      <c r="BK754" s="23"/>
      <c r="BL754" s="23"/>
      <c r="BM754" s="23"/>
      <c r="BN754" s="23"/>
      <c r="BO754" s="23"/>
      <c r="BP754" s="23"/>
      <c r="BQ754" s="23"/>
      <c r="BR754" s="23"/>
      <c r="BS754" s="23"/>
      <c r="BT754" s="23"/>
      <c r="BU754" s="23"/>
      <c r="BV754" s="23"/>
      <c r="BW754" s="23"/>
      <c r="BX754" s="23"/>
      <c r="BY754" s="23"/>
      <c r="BZ754" s="23"/>
      <c r="CA754" s="23"/>
      <c r="CB754" s="23"/>
      <c r="CC754" s="23"/>
      <c r="CD754" s="23"/>
      <c r="CE754" s="23"/>
      <c r="CF754" s="23"/>
      <c r="CG754" s="23"/>
      <c r="CH754" s="23"/>
      <c r="CI754" s="23"/>
      <c r="CJ754" s="23"/>
      <c r="CK754" s="23"/>
      <c r="CL754" s="23"/>
      <c r="CM754" s="23"/>
      <c r="CN754" s="23"/>
      <c r="CO754" s="23"/>
      <c r="CP754" s="23"/>
      <c r="CQ754" s="23"/>
      <c r="CR754" s="23"/>
      <c r="CS754" s="23"/>
      <c r="CT754" s="23"/>
      <c r="CU754" s="23"/>
      <c r="CV754" s="23"/>
      <c r="CW754" s="23"/>
      <c r="CX754" s="23"/>
      <c r="CY754" s="23"/>
      <c r="CZ754" s="23"/>
      <c r="DA754" s="23"/>
      <c r="DB754" s="23"/>
      <c r="DC754" s="23"/>
      <c r="DD754" s="23"/>
      <c r="DE754" s="23"/>
      <c r="DF754" s="23"/>
      <c r="DG754" s="23"/>
      <c r="DH754" s="23"/>
      <c r="DI754" s="23"/>
      <c r="DJ754" s="23"/>
      <c r="DK754" s="23"/>
      <c r="DL754" s="23"/>
      <c r="DM754" s="23"/>
      <c r="DN754" s="23"/>
      <c r="DO754" s="23"/>
      <c r="DP754" s="23"/>
      <c r="DQ754" s="23"/>
      <c r="DR754" s="23"/>
      <c r="DS754" s="23"/>
      <c r="DT754" s="23"/>
      <c r="DU754" s="23"/>
      <c r="DV754" s="23"/>
      <c r="DW754" s="23"/>
      <c r="DX754" s="23"/>
      <c r="DY754" s="23"/>
      <c r="DZ754" s="23"/>
      <c r="EA754" s="23"/>
      <c r="EB754" s="23"/>
      <c r="EC754" s="23"/>
      <c r="ED754" s="23"/>
      <c r="EE754" s="23"/>
      <c r="EF754" s="23"/>
      <c r="EG754" s="23"/>
      <c r="EH754" s="23"/>
      <c r="EI754" s="23"/>
      <c r="EJ754" s="23"/>
      <c r="EK754" s="23"/>
      <c r="EL754" s="23"/>
      <c r="EM754" s="23"/>
      <c r="EN754" s="23"/>
      <c r="EO754" s="23"/>
      <c r="EP754" s="23"/>
      <c r="EQ754" s="23"/>
      <c r="ER754" s="23"/>
      <c r="ES754" s="23"/>
      <c r="ET754" s="23"/>
      <c r="EU754" s="23"/>
      <c r="EV754" s="23"/>
      <c r="EW754" s="23"/>
      <c r="EX754" s="23"/>
      <c r="EY754" s="23"/>
      <c r="EZ754" s="23"/>
      <c r="FA754" s="23"/>
      <c r="FB754" s="23"/>
      <c r="FC754" s="23"/>
      <c r="FD754" s="23"/>
      <c r="FE754" s="23"/>
      <c r="FF754" s="23"/>
      <c r="FG754" s="23"/>
      <c r="FH754" s="23"/>
      <c r="FI754" s="23"/>
      <c r="FJ754" s="23"/>
      <c r="FK754" s="23"/>
      <c r="FL754" s="23"/>
      <c r="FM754" s="23"/>
      <c r="FN754" s="23"/>
      <c r="FO754" s="23"/>
      <c r="FP754" s="23"/>
      <c r="FQ754" s="23"/>
      <c r="FR754" s="23"/>
      <c r="FS754" s="23"/>
      <c r="FT754" s="23"/>
      <c r="FU754" s="23"/>
      <c r="FV754" s="23"/>
      <c r="FW754" s="23"/>
      <c r="FX754" s="23"/>
      <c r="FY754" s="23"/>
      <c r="FZ754" s="23"/>
      <c r="GA754" s="23"/>
      <c r="GB754" s="23"/>
      <c r="GC754" s="23"/>
      <c r="GD754" s="23"/>
      <c r="GE754" s="23"/>
      <c r="GF754" s="23"/>
      <c r="GG754" s="23"/>
      <c r="GH754" s="23"/>
      <c r="GI754" s="23"/>
      <c r="GJ754" s="23"/>
      <c r="GK754" s="23"/>
      <c r="GL754" s="23"/>
    </row>
    <row r="755" spans="1:194" ht="13">
      <c r="A755" s="23"/>
      <c r="B755" s="23"/>
      <c r="C755" s="23"/>
      <c r="D755" s="23"/>
      <c r="E755" s="23"/>
      <c r="F755" s="23"/>
      <c r="G755" s="23"/>
      <c r="H755" s="401"/>
      <c r="I755" s="401"/>
      <c r="J755" s="401"/>
      <c r="K755" s="401"/>
      <c r="L755" s="401"/>
      <c r="M755" s="438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  <c r="AL755" s="23"/>
      <c r="AM755" s="23"/>
      <c r="AN755" s="23"/>
      <c r="AO755" s="23"/>
      <c r="AP755" s="23"/>
      <c r="AQ755" s="23"/>
      <c r="AR755" s="23"/>
      <c r="AS755" s="23"/>
      <c r="AT755" s="23"/>
      <c r="AU755" s="23"/>
      <c r="AV755" s="23"/>
      <c r="AW755" s="23"/>
      <c r="AX755" s="23"/>
      <c r="AY755" s="23"/>
      <c r="AZ755" s="23"/>
      <c r="BA755" s="23"/>
      <c r="BB755" s="23"/>
      <c r="BC755" s="23"/>
      <c r="BD755" s="23"/>
      <c r="BE755" s="23"/>
      <c r="BF755" s="23"/>
      <c r="BG755" s="23"/>
      <c r="BH755" s="23"/>
      <c r="BI755" s="23"/>
      <c r="BJ755" s="23"/>
      <c r="BK755" s="23"/>
      <c r="BL755" s="23"/>
      <c r="BM755" s="23"/>
      <c r="BN755" s="23"/>
      <c r="BO755" s="23"/>
      <c r="BP755" s="23"/>
      <c r="BQ755" s="23"/>
      <c r="BR755" s="23"/>
      <c r="BS755" s="23"/>
      <c r="BT755" s="23"/>
      <c r="BU755" s="23"/>
      <c r="BV755" s="23"/>
      <c r="BW755" s="23"/>
      <c r="BX755" s="23"/>
      <c r="BY755" s="23"/>
      <c r="BZ755" s="23"/>
      <c r="CA755" s="23"/>
      <c r="CB755" s="23"/>
      <c r="CC755" s="23"/>
      <c r="CD755" s="23"/>
      <c r="CE755" s="23"/>
      <c r="CF755" s="23"/>
      <c r="CG755" s="23"/>
      <c r="CH755" s="23"/>
      <c r="CI755" s="23"/>
      <c r="CJ755" s="23"/>
      <c r="CK755" s="23"/>
      <c r="CL755" s="23"/>
      <c r="CM755" s="23"/>
      <c r="CN755" s="23"/>
      <c r="CO755" s="23"/>
      <c r="CP755" s="23"/>
      <c r="CQ755" s="23"/>
      <c r="CR755" s="23"/>
      <c r="CS755" s="23"/>
      <c r="CT755" s="23"/>
      <c r="CU755" s="23"/>
      <c r="CV755" s="23"/>
      <c r="CW755" s="23"/>
      <c r="CX755" s="23"/>
      <c r="CY755" s="23"/>
      <c r="CZ755" s="23"/>
      <c r="DA755" s="23"/>
      <c r="DB755" s="23"/>
      <c r="DC755" s="23"/>
      <c r="DD755" s="23"/>
      <c r="DE755" s="23"/>
      <c r="DF755" s="23"/>
      <c r="DG755" s="23"/>
      <c r="DH755" s="23"/>
      <c r="DI755" s="23"/>
      <c r="DJ755" s="23"/>
      <c r="DK755" s="23"/>
      <c r="DL755" s="23"/>
      <c r="DM755" s="23"/>
      <c r="DN755" s="23"/>
      <c r="DO755" s="23"/>
      <c r="DP755" s="23"/>
      <c r="DQ755" s="23"/>
      <c r="DR755" s="23"/>
      <c r="DS755" s="23"/>
      <c r="DT755" s="23"/>
      <c r="DU755" s="23"/>
      <c r="DV755" s="23"/>
      <c r="DW755" s="23"/>
      <c r="DX755" s="23"/>
      <c r="DY755" s="23"/>
      <c r="DZ755" s="23"/>
      <c r="EA755" s="23"/>
      <c r="EB755" s="23"/>
      <c r="EC755" s="23"/>
      <c r="ED755" s="23"/>
      <c r="EE755" s="23"/>
      <c r="EF755" s="23"/>
      <c r="EG755" s="23"/>
      <c r="EH755" s="23"/>
      <c r="EI755" s="23"/>
      <c r="EJ755" s="23"/>
      <c r="EK755" s="23"/>
      <c r="EL755" s="23"/>
      <c r="EM755" s="23"/>
      <c r="EN755" s="23"/>
      <c r="EO755" s="23"/>
      <c r="EP755" s="23"/>
      <c r="EQ755" s="23"/>
      <c r="ER755" s="23"/>
      <c r="ES755" s="23"/>
      <c r="ET755" s="23"/>
      <c r="EU755" s="23"/>
      <c r="EV755" s="23"/>
      <c r="EW755" s="23"/>
      <c r="EX755" s="23"/>
      <c r="EY755" s="23"/>
      <c r="EZ755" s="23"/>
      <c r="FA755" s="23"/>
      <c r="FB755" s="23"/>
      <c r="FC755" s="23"/>
      <c r="FD755" s="23"/>
      <c r="FE755" s="23"/>
      <c r="FF755" s="23"/>
      <c r="FG755" s="23"/>
      <c r="FH755" s="23"/>
      <c r="FI755" s="23"/>
      <c r="FJ755" s="23"/>
      <c r="FK755" s="23"/>
      <c r="FL755" s="23"/>
      <c r="FM755" s="23"/>
      <c r="FN755" s="23"/>
      <c r="FO755" s="23"/>
      <c r="FP755" s="23"/>
      <c r="FQ755" s="23"/>
      <c r="FR755" s="23"/>
      <c r="FS755" s="23"/>
      <c r="FT755" s="23"/>
      <c r="FU755" s="23"/>
      <c r="FV755" s="23"/>
      <c r="FW755" s="23"/>
      <c r="FX755" s="23"/>
      <c r="FY755" s="23"/>
      <c r="FZ755" s="23"/>
      <c r="GA755" s="23"/>
      <c r="GB755" s="23"/>
      <c r="GC755" s="23"/>
      <c r="GD755" s="23"/>
      <c r="GE755" s="23"/>
      <c r="GF755" s="23"/>
      <c r="GG755" s="23"/>
      <c r="GH755" s="23"/>
      <c r="GI755" s="23"/>
      <c r="GJ755" s="23"/>
      <c r="GK755" s="23"/>
      <c r="GL755" s="23"/>
    </row>
    <row r="756" spans="1:194" ht="13">
      <c r="A756" s="23"/>
      <c r="B756" s="23"/>
      <c r="C756" s="23"/>
      <c r="D756" s="23"/>
      <c r="E756" s="23"/>
      <c r="F756" s="23"/>
      <c r="G756" s="23"/>
      <c r="H756" s="401"/>
      <c r="I756" s="401"/>
      <c r="J756" s="401"/>
      <c r="K756" s="401"/>
      <c r="L756" s="401"/>
      <c r="M756" s="438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  <c r="AL756" s="23"/>
      <c r="AM756" s="23"/>
      <c r="AN756" s="23"/>
      <c r="AO756" s="23"/>
      <c r="AP756" s="23"/>
      <c r="AQ756" s="23"/>
      <c r="AR756" s="23"/>
      <c r="AS756" s="23"/>
      <c r="AT756" s="23"/>
      <c r="AU756" s="23"/>
      <c r="AV756" s="23"/>
      <c r="AW756" s="23"/>
      <c r="AX756" s="23"/>
      <c r="AY756" s="23"/>
      <c r="AZ756" s="23"/>
      <c r="BA756" s="23"/>
      <c r="BB756" s="23"/>
      <c r="BC756" s="23"/>
      <c r="BD756" s="23"/>
      <c r="BE756" s="23"/>
      <c r="BF756" s="23"/>
      <c r="BG756" s="23"/>
      <c r="BH756" s="23"/>
      <c r="BI756" s="23"/>
      <c r="BJ756" s="23"/>
      <c r="BK756" s="23"/>
      <c r="BL756" s="23"/>
      <c r="BM756" s="23"/>
      <c r="BN756" s="23"/>
      <c r="BO756" s="23"/>
      <c r="BP756" s="23"/>
      <c r="BQ756" s="23"/>
      <c r="BR756" s="23"/>
      <c r="BS756" s="23"/>
      <c r="BT756" s="23"/>
      <c r="BU756" s="23"/>
      <c r="BV756" s="23"/>
      <c r="BW756" s="23"/>
      <c r="BX756" s="23"/>
      <c r="BY756" s="23"/>
      <c r="BZ756" s="23"/>
      <c r="CA756" s="23"/>
      <c r="CB756" s="23"/>
      <c r="CC756" s="23"/>
      <c r="CD756" s="23"/>
      <c r="CE756" s="23"/>
      <c r="CF756" s="23"/>
      <c r="CG756" s="23"/>
      <c r="CH756" s="23"/>
      <c r="CI756" s="23"/>
      <c r="CJ756" s="23"/>
      <c r="CK756" s="23"/>
      <c r="CL756" s="23"/>
      <c r="CM756" s="23"/>
      <c r="CN756" s="23"/>
      <c r="CO756" s="23"/>
      <c r="CP756" s="23"/>
      <c r="CQ756" s="23"/>
      <c r="CR756" s="23"/>
      <c r="CS756" s="23"/>
      <c r="CT756" s="23"/>
      <c r="CU756" s="23"/>
      <c r="CV756" s="23"/>
      <c r="CW756" s="23"/>
      <c r="CX756" s="23"/>
      <c r="CY756" s="23"/>
      <c r="CZ756" s="23"/>
      <c r="DA756" s="23"/>
      <c r="DB756" s="23"/>
      <c r="DC756" s="23"/>
      <c r="DD756" s="23"/>
      <c r="DE756" s="23"/>
      <c r="DF756" s="23"/>
      <c r="DG756" s="23"/>
      <c r="DH756" s="23"/>
      <c r="DI756" s="23"/>
      <c r="DJ756" s="23"/>
      <c r="DK756" s="23"/>
      <c r="DL756" s="23"/>
      <c r="DM756" s="23"/>
      <c r="DN756" s="23"/>
      <c r="DO756" s="23"/>
      <c r="DP756" s="23"/>
      <c r="DQ756" s="23"/>
      <c r="DR756" s="23"/>
      <c r="DS756" s="23"/>
      <c r="DT756" s="23"/>
      <c r="DU756" s="23"/>
      <c r="DV756" s="23"/>
      <c r="DW756" s="23"/>
      <c r="DX756" s="23"/>
      <c r="DY756" s="23"/>
      <c r="DZ756" s="23"/>
      <c r="EA756" s="23"/>
      <c r="EB756" s="23"/>
      <c r="EC756" s="23"/>
      <c r="ED756" s="23"/>
      <c r="EE756" s="23"/>
      <c r="EF756" s="23"/>
      <c r="EG756" s="23"/>
      <c r="EH756" s="23"/>
      <c r="EI756" s="23"/>
      <c r="EJ756" s="23"/>
      <c r="EK756" s="23"/>
      <c r="EL756" s="23"/>
      <c r="EM756" s="23"/>
      <c r="EN756" s="23"/>
      <c r="EO756" s="23"/>
      <c r="EP756" s="23"/>
      <c r="EQ756" s="23"/>
      <c r="ER756" s="23"/>
      <c r="ES756" s="23"/>
      <c r="ET756" s="23"/>
      <c r="EU756" s="23"/>
      <c r="EV756" s="23"/>
      <c r="EW756" s="23"/>
      <c r="EX756" s="23"/>
      <c r="EY756" s="23"/>
      <c r="EZ756" s="23"/>
      <c r="FA756" s="23"/>
      <c r="FB756" s="23"/>
      <c r="FC756" s="23"/>
      <c r="FD756" s="23"/>
      <c r="FE756" s="23"/>
      <c r="FF756" s="23"/>
      <c r="FG756" s="23"/>
      <c r="FH756" s="23"/>
      <c r="FI756" s="23"/>
      <c r="FJ756" s="23"/>
      <c r="FK756" s="23"/>
      <c r="FL756" s="23"/>
      <c r="FM756" s="23"/>
      <c r="FN756" s="23"/>
      <c r="FO756" s="23"/>
      <c r="FP756" s="23"/>
      <c r="FQ756" s="23"/>
      <c r="FR756" s="23"/>
      <c r="FS756" s="23"/>
      <c r="FT756" s="23"/>
      <c r="FU756" s="23"/>
      <c r="FV756" s="23"/>
      <c r="FW756" s="23"/>
      <c r="FX756" s="23"/>
      <c r="FY756" s="23"/>
      <c r="FZ756" s="23"/>
      <c r="GA756" s="23"/>
      <c r="GB756" s="23"/>
      <c r="GC756" s="23"/>
      <c r="GD756" s="23"/>
      <c r="GE756" s="23"/>
      <c r="GF756" s="23"/>
      <c r="GG756" s="23"/>
      <c r="GH756" s="23"/>
      <c r="GI756" s="23"/>
      <c r="GJ756" s="23"/>
      <c r="GK756" s="23"/>
      <c r="GL756" s="23"/>
    </row>
    <row r="757" spans="1:194" ht="13">
      <c r="A757" s="23"/>
      <c r="B757" s="23"/>
      <c r="C757" s="23"/>
      <c r="D757" s="23"/>
      <c r="E757" s="23"/>
      <c r="F757" s="23"/>
      <c r="G757" s="23"/>
      <c r="H757" s="401"/>
      <c r="I757" s="401"/>
      <c r="J757" s="401"/>
      <c r="K757" s="401"/>
      <c r="L757" s="401"/>
      <c r="M757" s="438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  <c r="AL757" s="23"/>
      <c r="AM757" s="23"/>
      <c r="AN757" s="23"/>
      <c r="AO757" s="23"/>
      <c r="AP757" s="23"/>
      <c r="AQ757" s="23"/>
      <c r="AR757" s="23"/>
      <c r="AS757" s="23"/>
      <c r="AT757" s="23"/>
      <c r="AU757" s="23"/>
      <c r="AV757" s="23"/>
      <c r="AW757" s="23"/>
      <c r="AX757" s="23"/>
      <c r="AY757" s="23"/>
      <c r="AZ757" s="23"/>
      <c r="BA757" s="23"/>
      <c r="BB757" s="23"/>
      <c r="BC757" s="23"/>
      <c r="BD757" s="23"/>
      <c r="BE757" s="23"/>
      <c r="BF757" s="23"/>
      <c r="BG757" s="23"/>
      <c r="BH757" s="23"/>
      <c r="BI757" s="23"/>
      <c r="BJ757" s="23"/>
      <c r="BK757" s="23"/>
      <c r="BL757" s="23"/>
      <c r="BM757" s="23"/>
      <c r="BN757" s="23"/>
      <c r="BO757" s="23"/>
      <c r="BP757" s="23"/>
      <c r="BQ757" s="23"/>
      <c r="BR757" s="23"/>
      <c r="BS757" s="23"/>
      <c r="BT757" s="23"/>
      <c r="BU757" s="23"/>
      <c r="BV757" s="23"/>
      <c r="BW757" s="23"/>
      <c r="BX757" s="23"/>
      <c r="BY757" s="23"/>
      <c r="BZ757" s="23"/>
      <c r="CA757" s="23"/>
      <c r="CB757" s="23"/>
      <c r="CC757" s="23"/>
      <c r="CD757" s="23"/>
      <c r="CE757" s="23"/>
      <c r="CF757" s="23"/>
      <c r="CG757" s="23"/>
      <c r="CH757" s="23"/>
      <c r="CI757" s="23"/>
      <c r="CJ757" s="23"/>
      <c r="CK757" s="23"/>
      <c r="CL757" s="23"/>
      <c r="CM757" s="23"/>
      <c r="CN757" s="23"/>
      <c r="CO757" s="23"/>
      <c r="CP757" s="23"/>
      <c r="CQ757" s="23"/>
      <c r="CR757" s="23"/>
      <c r="CS757" s="23"/>
      <c r="CT757" s="23"/>
      <c r="CU757" s="23"/>
      <c r="CV757" s="23"/>
      <c r="CW757" s="23"/>
      <c r="CX757" s="23"/>
      <c r="CY757" s="23"/>
      <c r="CZ757" s="23"/>
      <c r="DA757" s="23"/>
      <c r="DB757" s="23"/>
      <c r="DC757" s="23"/>
      <c r="DD757" s="23"/>
      <c r="DE757" s="23"/>
      <c r="DF757" s="23"/>
      <c r="DG757" s="23"/>
      <c r="DH757" s="23"/>
      <c r="DI757" s="23"/>
      <c r="DJ757" s="23"/>
      <c r="DK757" s="23"/>
      <c r="DL757" s="23"/>
      <c r="DM757" s="23"/>
      <c r="DN757" s="23"/>
      <c r="DO757" s="23"/>
      <c r="DP757" s="23"/>
      <c r="DQ757" s="23"/>
      <c r="DR757" s="23"/>
      <c r="DS757" s="23"/>
      <c r="DT757" s="23"/>
      <c r="DU757" s="23"/>
      <c r="DV757" s="23"/>
      <c r="DW757" s="23"/>
      <c r="DX757" s="23"/>
      <c r="DY757" s="23"/>
      <c r="DZ757" s="23"/>
      <c r="EA757" s="23"/>
      <c r="EB757" s="23"/>
      <c r="EC757" s="23"/>
      <c r="ED757" s="23"/>
      <c r="EE757" s="23"/>
      <c r="EF757" s="23"/>
      <c r="EG757" s="23"/>
      <c r="EH757" s="23"/>
      <c r="EI757" s="23"/>
      <c r="EJ757" s="23"/>
      <c r="EK757" s="23"/>
      <c r="EL757" s="23"/>
      <c r="EM757" s="23"/>
      <c r="EN757" s="23"/>
      <c r="EO757" s="23"/>
      <c r="EP757" s="23"/>
      <c r="EQ757" s="23"/>
      <c r="ER757" s="23"/>
      <c r="ES757" s="23"/>
      <c r="ET757" s="23"/>
      <c r="EU757" s="23"/>
      <c r="EV757" s="23"/>
      <c r="EW757" s="23"/>
      <c r="EX757" s="23"/>
      <c r="EY757" s="23"/>
      <c r="EZ757" s="23"/>
      <c r="FA757" s="23"/>
      <c r="FB757" s="23"/>
      <c r="FC757" s="23"/>
      <c r="FD757" s="23"/>
      <c r="FE757" s="23"/>
      <c r="FF757" s="23"/>
      <c r="FG757" s="23"/>
      <c r="FH757" s="23"/>
      <c r="FI757" s="23"/>
      <c r="FJ757" s="23"/>
      <c r="FK757" s="23"/>
      <c r="FL757" s="23"/>
      <c r="FM757" s="23"/>
      <c r="FN757" s="23"/>
      <c r="FO757" s="23"/>
      <c r="FP757" s="23"/>
      <c r="FQ757" s="23"/>
      <c r="FR757" s="23"/>
      <c r="FS757" s="23"/>
      <c r="FT757" s="23"/>
      <c r="FU757" s="23"/>
      <c r="FV757" s="23"/>
      <c r="FW757" s="23"/>
      <c r="FX757" s="23"/>
      <c r="FY757" s="23"/>
      <c r="FZ757" s="23"/>
      <c r="GA757" s="23"/>
      <c r="GB757" s="23"/>
      <c r="GC757" s="23"/>
      <c r="GD757" s="23"/>
      <c r="GE757" s="23"/>
      <c r="GF757" s="23"/>
      <c r="GG757" s="23"/>
      <c r="GH757" s="23"/>
      <c r="GI757" s="23"/>
      <c r="GJ757" s="23"/>
      <c r="GK757" s="23"/>
      <c r="GL757" s="23"/>
    </row>
    <row r="758" spans="1:194" ht="13">
      <c r="A758" s="23"/>
      <c r="B758" s="23"/>
      <c r="C758" s="23"/>
      <c r="D758" s="23"/>
      <c r="E758" s="23"/>
      <c r="F758" s="23"/>
      <c r="G758" s="23"/>
      <c r="H758" s="401"/>
      <c r="I758" s="401"/>
      <c r="J758" s="401"/>
      <c r="K758" s="401"/>
      <c r="L758" s="401"/>
      <c r="M758" s="438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  <c r="AL758" s="23"/>
      <c r="AM758" s="23"/>
      <c r="AN758" s="23"/>
      <c r="AO758" s="23"/>
      <c r="AP758" s="23"/>
      <c r="AQ758" s="23"/>
      <c r="AR758" s="23"/>
      <c r="AS758" s="23"/>
      <c r="AT758" s="23"/>
      <c r="AU758" s="23"/>
      <c r="AV758" s="23"/>
      <c r="AW758" s="23"/>
      <c r="AX758" s="23"/>
      <c r="AY758" s="23"/>
      <c r="AZ758" s="23"/>
      <c r="BA758" s="23"/>
      <c r="BB758" s="23"/>
      <c r="BC758" s="23"/>
      <c r="BD758" s="23"/>
      <c r="BE758" s="23"/>
      <c r="BF758" s="23"/>
      <c r="BG758" s="23"/>
      <c r="BH758" s="23"/>
      <c r="BI758" s="23"/>
      <c r="BJ758" s="23"/>
      <c r="BK758" s="23"/>
      <c r="BL758" s="23"/>
      <c r="BM758" s="23"/>
      <c r="BN758" s="23"/>
      <c r="BO758" s="23"/>
      <c r="BP758" s="23"/>
      <c r="BQ758" s="23"/>
      <c r="BR758" s="23"/>
      <c r="BS758" s="23"/>
      <c r="BT758" s="23"/>
      <c r="BU758" s="23"/>
      <c r="BV758" s="23"/>
      <c r="BW758" s="23"/>
      <c r="BX758" s="23"/>
      <c r="BY758" s="23"/>
      <c r="BZ758" s="23"/>
      <c r="CA758" s="23"/>
      <c r="CB758" s="23"/>
      <c r="CC758" s="23"/>
      <c r="CD758" s="23"/>
      <c r="CE758" s="23"/>
      <c r="CF758" s="23"/>
      <c r="CG758" s="23"/>
      <c r="CH758" s="23"/>
      <c r="CI758" s="23"/>
      <c r="CJ758" s="23"/>
      <c r="CK758" s="23"/>
      <c r="CL758" s="23"/>
      <c r="CM758" s="23"/>
      <c r="CN758" s="23"/>
      <c r="CO758" s="23"/>
      <c r="CP758" s="23"/>
      <c r="CQ758" s="23"/>
      <c r="CR758" s="23"/>
      <c r="CS758" s="23"/>
      <c r="CT758" s="23"/>
      <c r="CU758" s="23"/>
      <c r="CV758" s="23"/>
      <c r="CW758" s="23"/>
      <c r="CX758" s="23"/>
      <c r="CY758" s="23"/>
      <c r="CZ758" s="23"/>
      <c r="DA758" s="23"/>
      <c r="DB758" s="23"/>
      <c r="DC758" s="23"/>
      <c r="DD758" s="23"/>
      <c r="DE758" s="23"/>
      <c r="DF758" s="23"/>
      <c r="DG758" s="23"/>
      <c r="DH758" s="23"/>
      <c r="DI758" s="23"/>
      <c r="DJ758" s="23"/>
      <c r="DK758" s="23"/>
      <c r="DL758" s="23"/>
      <c r="DM758" s="23"/>
      <c r="DN758" s="23"/>
      <c r="DO758" s="23"/>
      <c r="DP758" s="23"/>
      <c r="DQ758" s="23"/>
      <c r="DR758" s="23"/>
      <c r="DS758" s="23"/>
      <c r="DT758" s="23"/>
      <c r="DU758" s="23"/>
      <c r="DV758" s="23"/>
      <c r="DW758" s="23"/>
      <c r="DX758" s="23"/>
      <c r="DY758" s="23"/>
      <c r="DZ758" s="23"/>
      <c r="EA758" s="23"/>
      <c r="EB758" s="23"/>
      <c r="EC758" s="23"/>
      <c r="ED758" s="23"/>
      <c r="EE758" s="23"/>
      <c r="EF758" s="23"/>
      <c r="EG758" s="23"/>
      <c r="EH758" s="23"/>
      <c r="EI758" s="23"/>
      <c r="EJ758" s="23"/>
      <c r="EK758" s="23"/>
      <c r="EL758" s="23"/>
      <c r="EM758" s="23"/>
      <c r="EN758" s="23"/>
      <c r="EO758" s="23"/>
      <c r="EP758" s="23"/>
      <c r="EQ758" s="23"/>
      <c r="ER758" s="23"/>
      <c r="ES758" s="23"/>
      <c r="ET758" s="23"/>
      <c r="EU758" s="23"/>
      <c r="EV758" s="23"/>
      <c r="EW758" s="23"/>
      <c r="EX758" s="23"/>
      <c r="EY758" s="23"/>
      <c r="EZ758" s="23"/>
      <c r="FA758" s="23"/>
      <c r="FB758" s="23"/>
      <c r="FC758" s="23"/>
      <c r="FD758" s="23"/>
      <c r="FE758" s="23"/>
      <c r="FF758" s="23"/>
      <c r="FG758" s="23"/>
      <c r="FH758" s="23"/>
      <c r="FI758" s="23"/>
      <c r="FJ758" s="23"/>
      <c r="FK758" s="23"/>
      <c r="FL758" s="23"/>
      <c r="FM758" s="23"/>
      <c r="FN758" s="23"/>
      <c r="FO758" s="23"/>
      <c r="FP758" s="23"/>
      <c r="FQ758" s="23"/>
      <c r="FR758" s="23"/>
      <c r="FS758" s="23"/>
      <c r="FT758" s="23"/>
      <c r="FU758" s="23"/>
      <c r="FV758" s="23"/>
      <c r="FW758" s="23"/>
      <c r="FX758" s="23"/>
      <c r="FY758" s="23"/>
      <c r="FZ758" s="23"/>
      <c r="GA758" s="23"/>
      <c r="GB758" s="23"/>
      <c r="GC758" s="23"/>
      <c r="GD758" s="23"/>
      <c r="GE758" s="23"/>
      <c r="GF758" s="23"/>
      <c r="GG758" s="23"/>
      <c r="GH758" s="23"/>
      <c r="GI758" s="23"/>
      <c r="GJ758" s="23"/>
      <c r="GK758" s="23"/>
      <c r="GL758" s="23"/>
    </row>
    <row r="759" spans="1:194" ht="13">
      <c r="A759" s="23"/>
      <c r="B759" s="23"/>
      <c r="C759" s="23"/>
      <c r="D759" s="23"/>
      <c r="E759" s="23"/>
      <c r="F759" s="23"/>
      <c r="G759" s="23"/>
      <c r="H759" s="401"/>
      <c r="I759" s="401"/>
      <c r="J759" s="401"/>
      <c r="K759" s="401"/>
      <c r="L759" s="401"/>
      <c r="M759" s="438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  <c r="AL759" s="23"/>
      <c r="AM759" s="23"/>
      <c r="AN759" s="23"/>
      <c r="AO759" s="23"/>
      <c r="AP759" s="23"/>
      <c r="AQ759" s="23"/>
      <c r="AR759" s="23"/>
      <c r="AS759" s="23"/>
      <c r="AT759" s="23"/>
      <c r="AU759" s="23"/>
      <c r="AV759" s="23"/>
      <c r="AW759" s="23"/>
      <c r="AX759" s="23"/>
      <c r="AY759" s="23"/>
      <c r="AZ759" s="23"/>
      <c r="BA759" s="23"/>
      <c r="BB759" s="23"/>
      <c r="BC759" s="23"/>
      <c r="BD759" s="23"/>
      <c r="BE759" s="23"/>
      <c r="BF759" s="23"/>
      <c r="BG759" s="23"/>
      <c r="BH759" s="23"/>
      <c r="BI759" s="23"/>
      <c r="BJ759" s="23"/>
      <c r="BK759" s="23"/>
      <c r="BL759" s="23"/>
      <c r="BM759" s="23"/>
      <c r="BN759" s="23"/>
      <c r="BO759" s="23"/>
      <c r="BP759" s="23"/>
      <c r="BQ759" s="23"/>
      <c r="BR759" s="23"/>
      <c r="BS759" s="23"/>
      <c r="BT759" s="23"/>
      <c r="BU759" s="23"/>
      <c r="BV759" s="23"/>
      <c r="BW759" s="23"/>
      <c r="BX759" s="23"/>
      <c r="BY759" s="23"/>
      <c r="BZ759" s="23"/>
      <c r="CA759" s="23"/>
      <c r="CB759" s="23"/>
      <c r="CC759" s="23"/>
      <c r="CD759" s="23"/>
      <c r="CE759" s="23"/>
      <c r="CF759" s="23"/>
      <c r="CG759" s="23"/>
      <c r="CH759" s="23"/>
      <c r="CI759" s="23"/>
      <c r="CJ759" s="23"/>
      <c r="CK759" s="23"/>
      <c r="CL759" s="23"/>
      <c r="CM759" s="23"/>
      <c r="CN759" s="23"/>
      <c r="CO759" s="23"/>
      <c r="CP759" s="23"/>
      <c r="CQ759" s="23"/>
      <c r="CR759" s="23"/>
      <c r="CS759" s="23"/>
      <c r="CT759" s="23"/>
      <c r="CU759" s="23"/>
      <c r="CV759" s="23"/>
      <c r="CW759" s="23"/>
      <c r="CX759" s="23"/>
      <c r="CY759" s="23"/>
      <c r="CZ759" s="23"/>
      <c r="DA759" s="23"/>
      <c r="DB759" s="23"/>
      <c r="DC759" s="23"/>
      <c r="DD759" s="23"/>
      <c r="DE759" s="23"/>
      <c r="DF759" s="23"/>
      <c r="DG759" s="23"/>
      <c r="DH759" s="23"/>
      <c r="DI759" s="23"/>
      <c r="DJ759" s="23"/>
      <c r="DK759" s="23"/>
      <c r="DL759" s="23"/>
      <c r="DM759" s="23"/>
      <c r="DN759" s="23"/>
      <c r="DO759" s="23"/>
      <c r="DP759" s="23"/>
      <c r="DQ759" s="23"/>
      <c r="DR759" s="23"/>
      <c r="DS759" s="23"/>
      <c r="DT759" s="23"/>
      <c r="DU759" s="23"/>
      <c r="DV759" s="23"/>
      <c r="DW759" s="23"/>
      <c r="DX759" s="23"/>
      <c r="DY759" s="23"/>
      <c r="DZ759" s="23"/>
      <c r="EA759" s="23"/>
      <c r="EB759" s="23"/>
      <c r="EC759" s="23"/>
      <c r="ED759" s="23"/>
      <c r="EE759" s="23"/>
      <c r="EF759" s="23"/>
      <c r="EG759" s="23"/>
      <c r="EH759" s="23"/>
      <c r="EI759" s="23"/>
      <c r="EJ759" s="23"/>
      <c r="EK759" s="23"/>
      <c r="EL759" s="23"/>
      <c r="EM759" s="23"/>
      <c r="EN759" s="23"/>
      <c r="EO759" s="23"/>
      <c r="EP759" s="23"/>
      <c r="EQ759" s="23"/>
      <c r="ER759" s="23"/>
      <c r="ES759" s="23"/>
      <c r="ET759" s="23"/>
      <c r="EU759" s="23"/>
      <c r="EV759" s="23"/>
      <c r="EW759" s="23"/>
      <c r="EX759" s="23"/>
      <c r="EY759" s="23"/>
      <c r="EZ759" s="23"/>
      <c r="FA759" s="23"/>
      <c r="FB759" s="23"/>
      <c r="FC759" s="23"/>
      <c r="FD759" s="23"/>
      <c r="FE759" s="23"/>
      <c r="FF759" s="23"/>
      <c r="FG759" s="23"/>
      <c r="FH759" s="23"/>
      <c r="FI759" s="23"/>
      <c r="FJ759" s="23"/>
      <c r="FK759" s="23"/>
      <c r="FL759" s="23"/>
      <c r="FM759" s="23"/>
      <c r="FN759" s="23"/>
      <c r="FO759" s="23"/>
      <c r="FP759" s="23"/>
      <c r="FQ759" s="23"/>
      <c r="FR759" s="23"/>
      <c r="FS759" s="23"/>
      <c r="FT759" s="23"/>
      <c r="FU759" s="23"/>
      <c r="FV759" s="23"/>
      <c r="FW759" s="23"/>
      <c r="FX759" s="23"/>
      <c r="FY759" s="23"/>
      <c r="FZ759" s="23"/>
      <c r="GA759" s="23"/>
      <c r="GB759" s="23"/>
      <c r="GC759" s="23"/>
      <c r="GD759" s="23"/>
      <c r="GE759" s="23"/>
      <c r="GF759" s="23"/>
      <c r="GG759" s="23"/>
      <c r="GH759" s="23"/>
      <c r="GI759" s="23"/>
      <c r="GJ759" s="23"/>
      <c r="GK759" s="23"/>
      <c r="GL759" s="23"/>
    </row>
    <row r="760" spans="1:194" ht="13">
      <c r="A760" s="23"/>
      <c r="B760" s="23"/>
      <c r="C760" s="23"/>
      <c r="D760" s="23"/>
      <c r="E760" s="23"/>
      <c r="F760" s="23"/>
      <c r="G760" s="23"/>
      <c r="H760" s="401"/>
      <c r="I760" s="401"/>
      <c r="J760" s="401"/>
      <c r="K760" s="401"/>
      <c r="L760" s="401"/>
      <c r="M760" s="438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  <c r="AL760" s="23"/>
      <c r="AM760" s="23"/>
      <c r="AN760" s="23"/>
      <c r="AO760" s="23"/>
      <c r="AP760" s="23"/>
      <c r="AQ760" s="23"/>
      <c r="AR760" s="23"/>
      <c r="AS760" s="23"/>
      <c r="AT760" s="23"/>
      <c r="AU760" s="23"/>
      <c r="AV760" s="23"/>
      <c r="AW760" s="23"/>
      <c r="AX760" s="23"/>
      <c r="AY760" s="23"/>
      <c r="AZ760" s="23"/>
      <c r="BA760" s="23"/>
      <c r="BB760" s="23"/>
      <c r="BC760" s="23"/>
      <c r="BD760" s="23"/>
      <c r="BE760" s="23"/>
      <c r="BF760" s="23"/>
      <c r="BG760" s="23"/>
      <c r="BH760" s="23"/>
      <c r="BI760" s="23"/>
      <c r="BJ760" s="23"/>
      <c r="BK760" s="23"/>
      <c r="BL760" s="23"/>
      <c r="BM760" s="23"/>
      <c r="BN760" s="23"/>
      <c r="BO760" s="23"/>
      <c r="BP760" s="23"/>
      <c r="BQ760" s="23"/>
      <c r="BR760" s="23"/>
      <c r="BS760" s="23"/>
      <c r="BT760" s="23"/>
      <c r="BU760" s="23"/>
      <c r="BV760" s="23"/>
      <c r="BW760" s="23"/>
      <c r="BX760" s="23"/>
      <c r="BY760" s="23"/>
      <c r="BZ760" s="23"/>
      <c r="CA760" s="23"/>
      <c r="CB760" s="23"/>
      <c r="CC760" s="23"/>
      <c r="CD760" s="23"/>
      <c r="CE760" s="23"/>
      <c r="CF760" s="23"/>
      <c r="CG760" s="23"/>
      <c r="CH760" s="23"/>
      <c r="CI760" s="23"/>
      <c r="CJ760" s="23"/>
      <c r="CK760" s="23"/>
      <c r="CL760" s="23"/>
      <c r="CM760" s="23"/>
      <c r="CN760" s="23"/>
      <c r="CO760" s="23"/>
      <c r="CP760" s="23"/>
      <c r="CQ760" s="23"/>
      <c r="CR760" s="23"/>
      <c r="CS760" s="23"/>
      <c r="CT760" s="23"/>
      <c r="CU760" s="23"/>
      <c r="CV760" s="23"/>
      <c r="CW760" s="23"/>
      <c r="CX760" s="23"/>
      <c r="CY760" s="23"/>
      <c r="CZ760" s="23"/>
      <c r="DA760" s="23"/>
      <c r="DB760" s="23"/>
      <c r="DC760" s="23"/>
      <c r="DD760" s="23"/>
      <c r="DE760" s="23"/>
      <c r="DF760" s="23"/>
      <c r="DG760" s="23"/>
      <c r="DH760" s="23"/>
      <c r="DI760" s="23"/>
      <c r="DJ760" s="23"/>
      <c r="DK760" s="23"/>
      <c r="DL760" s="23"/>
      <c r="DM760" s="23"/>
      <c r="DN760" s="23"/>
      <c r="DO760" s="23"/>
      <c r="DP760" s="23"/>
      <c r="DQ760" s="23"/>
      <c r="DR760" s="23"/>
      <c r="DS760" s="23"/>
      <c r="DT760" s="23"/>
      <c r="DU760" s="23"/>
      <c r="DV760" s="23"/>
      <c r="DW760" s="23"/>
      <c r="DX760" s="23"/>
      <c r="DY760" s="23"/>
      <c r="DZ760" s="23"/>
      <c r="EA760" s="23"/>
      <c r="EB760" s="23"/>
      <c r="EC760" s="23"/>
      <c r="ED760" s="23"/>
      <c r="EE760" s="23"/>
      <c r="EF760" s="23"/>
      <c r="EG760" s="23"/>
      <c r="EH760" s="23"/>
      <c r="EI760" s="23"/>
      <c r="EJ760" s="23"/>
      <c r="EK760" s="23"/>
      <c r="EL760" s="23"/>
      <c r="EM760" s="23"/>
      <c r="EN760" s="23"/>
      <c r="EO760" s="23"/>
      <c r="EP760" s="23"/>
      <c r="EQ760" s="23"/>
      <c r="ER760" s="23"/>
      <c r="ES760" s="23"/>
      <c r="ET760" s="23"/>
      <c r="EU760" s="23"/>
      <c r="EV760" s="23"/>
      <c r="EW760" s="23"/>
      <c r="EX760" s="23"/>
      <c r="EY760" s="23"/>
      <c r="EZ760" s="23"/>
      <c r="FA760" s="23"/>
      <c r="FB760" s="23"/>
      <c r="FC760" s="23"/>
      <c r="FD760" s="23"/>
      <c r="FE760" s="23"/>
      <c r="FF760" s="23"/>
      <c r="FG760" s="23"/>
      <c r="FH760" s="23"/>
      <c r="FI760" s="23"/>
      <c r="FJ760" s="23"/>
      <c r="FK760" s="23"/>
      <c r="FL760" s="23"/>
      <c r="FM760" s="23"/>
      <c r="FN760" s="23"/>
      <c r="FO760" s="23"/>
      <c r="FP760" s="23"/>
      <c r="FQ760" s="23"/>
      <c r="FR760" s="23"/>
      <c r="FS760" s="23"/>
      <c r="FT760" s="23"/>
      <c r="FU760" s="23"/>
      <c r="FV760" s="23"/>
      <c r="FW760" s="23"/>
      <c r="FX760" s="23"/>
      <c r="FY760" s="23"/>
      <c r="FZ760" s="23"/>
      <c r="GA760" s="23"/>
      <c r="GB760" s="23"/>
      <c r="GC760" s="23"/>
      <c r="GD760" s="23"/>
      <c r="GE760" s="23"/>
      <c r="GF760" s="23"/>
      <c r="GG760" s="23"/>
      <c r="GH760" s="23"/>
      <c r="GI760" s="23"/>
      <c r="GJ760" s="23"/>
      <c r="GK760" s="23"/>
      <c r="GL760" s="23"/>
    </row>
    <row r="761" spans="1:194" ht="13">
      <c r="A761" s="23"/>
      <c r="B761" s="23"/>
      <c r="C761" s="23"/>
      <c r="D761" s="23"/>
      <c r="E761" s="23"/>
      <c r="F761" s="23"/>
      <c r="G761" s="23"/>
      <c r="H761" s="401"/>
      <c r="I761" s="401"/>
      <c r="J761" s="401"/>
      <c r="K761" s="401"/>
      <c r="L761" s="401"/>
      <c r="M761" s="438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  <c r="AL761" s="23"/>
      <c r="AM761" s="23"/>
      <c r="AN761" s="23"/>
      <c r="AO761" s="23"/>
      <c r="AP761" s="23"/>
      <c r="AQ761" s="23"/>
      <c r="AR761" s="23"/>
      <c r="AS761" s="23"/>
      <c r="AT761" s="23"/>
      <c r="AU761" s="23"/>
      <c r="AV761" s="23"/>
      <c r="AW761" s="23"/>
      <c r="AX761" s="23"/>
      <c r="AY761" s="23"/>
      <c r="AZ761" s="23"/>
      <c r="BA761" s="23"/>
      <c r="BB761" s="23"/>
      <c r="BC761" s="23"/>
      <c r="BD761" s="23"/>
      <c r="BE761" s="23"/>
      <c r="BF761" s="23"/>
      <c r="BG761" s="23"/>
      <c r="BH761" s="23"/>
      <c r="BI761" s="23"/>
      <c r="BJ761" s="23"/>
      <c r="BK761" s="23"/>
      <c r="BL761" s="23"/>
      <c r="BM761" s="23"/>
      <c r="BN761" s="23"/>
      <c r="BO761" s="23"/>
      <c r="BP761" s="23"/>
      <c r="BQ761" s="23"/>
      <c r="BR761" s="23"/>
      <c r="BS761" s="23"/>
      <c r="BT761" s="23"/>
      <c r="BU761" s="23"/>
      <c r="BV761" s="23"/>
      <c r="BW761" s="23"/>
      <c r="BX761" s="23"/>
      <c r="BY761" s="23"/>
      <c r="BZ761" s="23"/>
      <c r="CA761" s="23"/>
      <c r="CB761" s="23"/>
      <c r="CC761" s="23"/>
      <c r="CD761" s="23"/>
      <c r="CE761" s="23"/>
      <c r="CF761" s="23"/>
      <c r="CG761" s="23"/>
      <c r="CH761" s="23"/>
      <c r="CI761" s="23"/>
      <c r="CJ761" s="23"/>
      <c r="CK761" s="23"/>
      <c r="CL761" s="23"/>
      <c r="CM761" s="23"/>
      <c r="CN761" s="23"/>
      <c r="CO761" s="23"/>
      <c r="CP761" s="23"/>
      <c r="CQ761" s="23"/>
      <c r="CR761" s="23"/>
      <c r="CS761" s="23"/>
      <c r="CT761" s="23"/>
      <c r="CU761" s="23"/>
      <c r="CV761" s="23"/>
      <c r="CW761" s="23"/>
      <c r="CX761" s="23"/>
      <c r="CY761" s="23"/>
      <c r="CZ761" s="23"/>
      <c r="DA761" s="23"/>
      <c r="DB761" s="23"/>
      <c r="DC761" s="23"/>
      <c r="DD761" s="23"/>
      <c r="DE761" s="23"/>
      <c r="DF761" s="23"/>
      <c r="DG761" s="23"/>
      <c r="DH761" s="23"/>
      <c r="DI761" s="23"/>
      <c r="DJ761" s="23"/>
      <c r="DK761" s="23"/>
      <c r="DL761" s="23"/>
      <c r="DM761" s="23"/>
      <c r="DN761" s="23"/>
      <c r="DO761" s="23"/>
      <c r="DP761" s="23"/>
      <c r="DQ761" s="23"/>
      <c r="DR761" s="23"/>
      <c r="DS761" s="23"/>
      <c r="DT761" s="23"/>
      <c r="DU761" s="23"/>
      <c r="DV761" s="23"/>
      <c r="DW761" s="23"/>
      <c r="DX761" s="23"/>
      <c r="DY761" s="23"/>
      <c r="DZ761" s="23"/>
      <c r="EA761" s="23"/>
      <c r="EB761" s="23"/>
      <c r="EC761" s="23"/>
      <c r="ED761" s="23"/>
      <c r="EE761" s="23"/>
      <c r="EF761" s="23"/>
      <c r="EG761" s="23"/>
      <c r="EH761" s="23"/>
      <c r="EI761" s="23"/>
      <c r="EJ761" s="23"/>
      <c r="EK761" s="23"/>
      <c r="EL761" s="23"/>
      <c r="EM761" s="23"/>
      <c r="EN761" s="23"/>
      <c r="EO761" s="23"/>
      <c r="EP761" s="23"/>
      <c r="EQ761" s="23"/>
      <c r="ER761" s="23"/>
      <c r="ES761" s="23"/>
      <c r="ET761" s="23"/>
      <c r="EU761" s="23"/>
      <c r="EV761" s="23"/>
      <c r="EW761" s="23"/>
      <c r="EX761" s="23"/>
      <c r="EY761" s="23"/>
      <c r="EZ761" s="23"/>
      <c r="FA761" s="23"/>
      <c r="FB761" s="23"/>
      <c r="FC761" s="23"/>
      <c r="FD761" s="23"/>
      <c r="FE761" s="23"/>
      <c r="FF761" s="23"/>
      <c r="FG761" s="23"/>
      <c r="FH761" s="23"/>
      <c r="FI761" s="23"/>
      <c r="FJ761" s="23"/>
      <c r="FK761" s="23"/>
      <c r="FL761" s="23"/>
      <c r="FM761" s="23"/>
      <c r="FN761" s="23"/>
      <c r="FO761" s="23"/>
      <c r="FP761" s="23"/>
      <c r="FQ761" s="23"/>
      <c r="FR761" s="23"/>
      <c r="FS761" s="23"/>
      <c r="FT761" s="23"/>
      <c r="FU761" s="23"/>
      <c r="FV761" s="23"/>
      <c r="FW761" s="23"/>
      <c r="FX761" s="23"/>
      <c r="FY761" s="23"/>
      <c r="FZ761" s="23"/>
      <c r="GA761" s="23"/>
      <c r="GB761" s="23"/>
      <c r="GC761" s="23"/>
      <c r="GD761" s="23"/>
      <c r="GE761" s="23"/>
      <c r="GF761" s="23"/>
      <c r="GG761" s="23"/>
      <c r="GH761" s="23"/>
      <c r="GI761" s="23"/>
      <c r="GJ761" s="23"/>
      <c r="GK761" s="23"/>
      <c r="GL761" s="23"/>
    </row>
    <row r="762" spans="1:194" ht="13">
      <c r="A762" s="23"/>
      <c r="B762" s="23"/>
      <c r="C762" s="23"/>
      <c r="D762" s="23"/>
      <c r="E762" s="23"/>
      <c r="F762" s="23"/>
      <c r="G762" s="23"/>
      <c r="H762" s="401"/>
      <c r="I762" s="401"/>
      <c r="J762" s="401"/>
      <c r="K762" s="401"/>
      <c r="L762" s="401"/>
      <c r="M762" s="438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  <c r="AL762" s="23"/>
      <c r="AM762" s="23"/>
      <c r="AN762" s="23"/>
      <c r="AO762" s="23"/>
      <c r="AP762" s="23"/>
      <c r="AQ762" s="23"/>
      <c r="AR762" s="23"/>
      <c r="AS762" s="23"/>
      <c r="AT762" s="23"/>
      <c r="AU762" s="23"/>
      <c r="AV762" s="23"/>
      <c r="AW762" s="23"/>
      <c r="AX762" s="23"/>
      <c r="AY762" s="23"/>
      <c r="AZ762" s="23"/>
      <c r="BA762" s="23"/>
      <c r="BB762" s="23"/>
      <c r="BC762" s="23"/>
      <c r="BD762" s="23"/>
      <c r="BE762" s="23"/>
      <c r="BF762" s="23"/>
      <c r="BG762" s="23"/>
      <c r="BH762" s="23"/>
      <c r="BI762" s="23"/>
      <c r="BJ762" s="23"/>
      <c r="BK762" s="23"/>
      <c r="BL762" s="23"/>
      <c r="BM762" s="23"/>
      <c r="BN762" s="23"/>
      <c r="BO762" s="23"/>
      <c r="BP762" s="23"/>
      <c r="BQ762" s="23"/>
      <c r="BR762" s="23"/>
      <c r="BS762" s="23"/>
      <c r="BT762" s="23"/>
      <c r="BU762" s="23"/>
      <c r="BV762" s="23"/>
      <c r="BW762" s="23"/>
      <c r="BX762" s="23"/>
      <c r="BY762" s="23"/>
      <c r="BZ762" s="23"/>
      <c r="CA762" s="23"/>
      <c r="CB762" s="23"/>
      <c r="CC762" s="23"/>
      <c r="CD762" s="23"/>
      <c r="CE762" s="23"/>
      <c r="CF762" s="23"/>
      <c r="CG762" s="23"/>
      <c r="CH762" s="23"/>
      <c r="CI762" s="23"/>
      <c r="CJ762" s="23"/>
      <c r="CK762" s="23"/>
      <c r="CL762" s="23"/>
      <c r="CM762" s="23"/>
      <c r="CN762" s="23"/>
      <c r="CO762" s="23"/>
      <c r="CP762" s="23"/>
      <c r="CQ762" s="23"/>
      <c r="CR762" s="23"/>
      <c r="CS762" s="23"/>
      <c r="CT762" s="23"/>
      <c r="CU762" s="23"/>
      <c r="CV762" s="23"/>
      <c r="CW762" s="23"/>
      <c r="CX762" s="23"/>
      <c r="CY762" s="23"/>
      <c r="CZ762" s="23"/>
      <c r="DA762" s="23"/>
      <c r="DB762" s="23"/>
      <c r="DC762" s="23"/>
      <c r="DD762" s="23"/>
      <c r="DE762" s="23"/>
      <c r="DF762" s="23"/>
      <c r="DG762" s="23"/>
      <c r="DH762" s="23"/>
      <c r="DI762" s="23"/>
      <c r="DJ762" s="23"/>
      <c r="DK762" s="23"/>
      <c r="DL762" s="23"/>
      <c r="DM762" s="23"/>
      <c r="DN762" s="23"/>
      <c r="DO762" s="23"/>
      <c r="DP762" s="23"/>
      <c r="DQ762" s="23"/>
      <c r="DR762" s="23"/>
      <c r="DS762" s="23"/>
      <c r="DT762" s="23"/>
      <c r="DU762" s="23"/>
      <c r="DV762" s="23"/>
      <c r="DW762" s="23"/>
      <c r="DX762" s="23"/>
      <c r="DY762" s="23"/>
      <c r="DZ762" s="23"/>
      <c r="EA762" s="23"/>
      <c r="EB762" s="23"/>
      <c r="EC762" s="23"/>
      <c r="ED762" s="23"/>
      <c r="EE762" s="23"/>
      <c r="EF762" s="23"/>
      <c r="EG762" s="23"/>
      <c r="EH762" s="23"/>
      <c r="EI762" s="23"/>
      <c r="EJ762" s="23"/>
      <c r="EK762" s="23"/>
      <c r="EL762" s="23"/>
      <c r="EM762" s="23"/>
      <c r="EN762" s="23"/>
      <c r="EO762" s="23"/>
      <c r="EP762" s="23"/>
      <c r="EQ762" s="23"/>
      <c r="ER762" s="23"/>
      <c r="ES762" s="23"/>
      <c r="ET762" s="23"/>
      <c r="EU762" s="23"/>
      <c r="EV762" s="23"/>
      <c r="EW762" s="23"/>
      <c r="EX762" s="23"/>
      <c r="EY762" s="23"/>
      <c r="EZ762" s="23"/>
      <c r="FA762" s="23"/>
      <c r="FB762" s="23"/>
      <c r="FC762" s="23"/>
      <c r="FD762" s="23"/>
      <c r="FE762" s="23"/>
      <c r="FF762" s="23"/>
      <c r="FG762" s="23"/>
      <c r="FH762" s="23"/>
      <c r="FI762" s="23"/>
      <c r="FJ762" s="23"/>
      <c r="FK762" s="23"/>
      <c r="FL762" s="23"/>
      <c r="FM762" s="23"/>
      <c r="FN762" s="23"/>
      <c r="FO762" s="23"/>
      <c r="FP762" s="23"/>
      <c r="FQ762" s="23"/>
      <c r="FR762" s="23"/>
      <c r="FS762" s="23"/>
      <c r="FT762" s="23"/>
      <c r="FU762" s="23"/>
      <c r="FV762" s="23"/>
      <c r="FW762" s="23"/>
      <c r="FX762" s="23"/>
      <c r="FY762" s="23"/>
      <c r="FZ762" s="23"/>
      <c r="GA762" s="23"/>
      <c r="GB762" s="23"/>
      <c r="GC762" s="23"/>
      <c r="GD762" s="23"/>
      <c r="GE762" s="23"/>
      <c r="GF762" s="23"/>
      <c r="GG762" s="23"/>
      <c r="GH762" s="23"/>
      <c r="GI762" s="23"/>
      <c r="GJ762" s="23"/>
      <c r="GK762" s="23"/>
      <c r="GL762" s="23"/>
    </row>
    <row r="763" spans="1:194" ht="13">
      <c r="A763" s="23"/>
      <c r="B763" s="23"/>
      <c r="C763" s="23"/>
      <c r="D763" s="23"/>
      <c r="E763" s="23"/>
      <c r="F763" s="23"/>
      <c r="G763" s="23"/>
      <c r="H763" s="401"/>
      <c r="I763" s="401"/>
      <c r="J763" s="401"/>
      <c r="K763" s="401"/>
      <c r="L763" s="401"/>
      <c r="M763" s="438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  <c r="AL763" s="23"/>
      <c r="AM763" s="23"/>
      <c r="AN763" s="23"/>
      <c r="AO763" s="23"/>
      <c r="AP763" s="23"/>
      <c r="AQ763" s="23"/>
      <c r="AR763" s="23"/>
      <c r="AS763" s="23"/>
      <c r="AT763" s="23"/>
      <c r="AU763" s="23"/>
      <c r="AV763" s="23"/>
      <c r="AW763" s="23"/>
      <c r="AX763" s="23"/>
      <c r="AY763" s="23"/>
      <c r="AZ763" s="23"/>
      <c r="BA763" s="23"/>
      <c r="BB763" s="23"/>
      <c r="BC763" s="23"/>
      <c r="BD763" s="23"/>
      <c r="BE763" s="23"/>
      <c r="BF763" s="23"/>
      <c r="BG763" s="23"/>
      <c r="BH763" s="23"/>
      <c r="BI763" s="23"/>
      <c r="BJ763" s="23"/>
      <c r="BK763" s="23"/>
      <c r="BL763" s="23"/>
      <c r="BM763" s="23"/>
      <c r="BN763" s="23"/>
      <c r="BO763" s="23"/>
      <c r="BP763" s="23"/>
      <c r="BQ763" s="23"/>
      <c r="BR763" s="23"/>
      <c r="BS763" s="23"/>
      <c r="BT763" s="23"/>
      <c r="BU763" s="23"/>
      <c r="BV763" s="23"/>
      <c r="BW763" s="23"/>
      <c r="BX763" s="23"/>
      <c r="BY763" s="23"/>
      <c r="BZ763" s="23"/>
      <c r="CA763" s="23"/>
      <c r="CB763" s="23"/>
      <c r="CC763" s="23"/>
      <c r="CD763" s="23"/>
      <c r="CE763" s="23"/>
      <c r="CF763" s="23"/>
      <c r="CG763" s="23"/>
      <c r="CH763" s="23"/>
      <c r="CI763" s="23"/>
      <c r="CJ763" s="23"/>
      <c r="CK763" s="23"/>
      <c r="CL763" s="23"/>
      <c r="CM763" s="23"/>
      <c r="CN763" s="23"/>
      <c r="CO763" s="23"/>
      <c r="CP763" s="23"/>
      <c r="CQ763" s="23"/>
      <c r="CR763" s="23"/>
      <c r="CS763" s="23"/>
      <c r="CT763" s="23"/>
      <c r="CU763" s="23"/>
      <c r="CV763" s="23"/>
      <c r="CW763" s="23"/>
      <c r="CX763" s="23"/>
      <c r="CY763" s="23"/>
      <c r="CZ763" s="23"/>
      <c r="DA763" s="23"/>
      <c r="DB763" s="23"/>
      <c r="DC763" s="23"/>
      <c r="DD763" s="23"/>
      <c r="DE763" s="23"/>
      <c r="DF763" s="23"/>
      <c r="DG763" s="23"/>
      <c r="DH763" s="23"/>
      <c r="DI763" s="23"/>
      <c r="DJ763" s="23"/>
      <c r="DK763" s="23"/>
      <c r="DL763" s="23"/>
      <c r="DM763" s="23"/>
      <c r="DN763" s="23"/>
      <c r="DO763" s="23"/>
      <c r="DP763" s="23"/>
      <c r="DQ763" s="23"/>
      <c r="DR763" s="23"/>
      <c r="DS763" s="23"/>
      <c r="DT763" s="23"/>
      <c r="DU763" s="23"/>
      <c r="DV763" s="23"/>
      <c r="DW763" s="23"/>
      <c r="DX763" s="23"/>
      <c r="DY763" s="23"/>
      <c r="DZ763" s="23"/>
      <c r="EA763" s="23"/>
      <c r="EB763" s="23"/>
      <c r="EC763" s="23"/>
      <c r="ED763" s="23"/>
      <c r="EE763" s="23"/>
      <c r="EF763" s="23"/>
      <c r="EG763" s="23"/>
      <c r="EH763" s="23"/>
      <c r="EI763" s="23"/>
      <c r="EJ763" s="23"/>
      <c r="EK763" s="23"/>
      <c r="EL763" s="23"/>
      <c r="EM763" s="23"/>
      <c r="EN763" s="23"/>
      <c r="EO763" s="23"/>
      <c r="EP763" s="23"/>
      <c r="EQ763" s="23"/>
      <c r="ER763" s="23"/>
      <c r="ES763" s="23"/>
      <c r="ET763" s="23"/>
      <c r="EU763" s="23"/>
      <c r="EV763" s="23"/>
      <c r="EW763" s="23"/>
      <c r="EX763" s="23"/>
      <c r="EY763" s="23"/>
      <c r="EZ763" s="23"/>
      <c r="FA763" s="23"/>
      <c r="FB763" s="23"/>
      <c r="FC763" s="23"/>
      <c r="FD763" s="23"/>
      <c r="FE763" s="23"/>
      <c r="FF763" s="23"/>
      <c r="FG763" s="23"/>
      <c r="FH763" s="23"/>
      <c r="FI763" s="23"/>
      <c r="FJ763" s="23"/>
      <c r="FK763" s="23"/>
      <c r="FL763" s="23"/>
      <c r="FM763" s="23"/>
      <c r="FN763" s="23"/>
      <c r="FO763" s="23"/>
      <c r="FP763" s="23"/>
      <c r="FQ763" s="23"/>
      <c r="FR763" s="23"/>
      <c r="FS763" s="23"/>
      <c r="FT763" s="23"/>
      <c r="FU763" s="23"/>
      <c r="FV763" s="23"/>
      <c r="FW763" s="23"/>
      <c r="FX763" s="23"/>
      <c r="FY763" s="23"/>
      <c r="FZ763" s="23"/>
      <c r="GA763" s="23"/>
      <c r="GB763" s="23"/>
      <c r="GC763" s="23"/>
      <c r="GD763" s="23"/>
      <c r="GE763" s="23"/>
      <c r="GF763" s="23"/>
      <c r="GG763" s="23"/>
      <c r="GH763" s="23"/>
      <c r="GI763" s="23"/>
      <c r="GJ763" s="23"/>
      <c r="GK763" s="23"/>
      <c r="GL763" s="23"/>
    </row>
    <row r="764" spans="1:194" ht="13">
      <c r="A764" s="23"/>
      <c r="B764" s="23"/>
      <c r="C764" s="23"/>
      <c r="D764" s="23"/>
      <c r="E764" s="23"/>
      <c r="F764" s="23"/>
      <c r="G764" s="23"/>
      <c r="H764" s="401"/>
      <c r="I764" s="401"/>
      <c r="J764" s="401"/>
      <c r="K764" s="401"/>
      <c r="L764" s="401"/>
      <c r="M764" s="438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  <c r="AL764" s="23"/>
      <c r="AM764" s="23"/>
      <c r="AN764" s="23"/>
      <c r="AO764" s="23"/>
      <c r="AP764" s="23"/>
      <c r="AQ764" s="23"/>
      <c r="AR764" s="23"/>
      <c r="AS764" s="23"/>
      <c r="AT764" s="23"/>
      <c r="AU764" s="23"/>
      <c r="AV764" s="23"/>
      <c r="AW764" s="23"/>
      <c r="AX764" s="23"/>
      <c r="AY764" s="23"/>
      <c r="AZ764" s="23"/>
      <c r="BA764" s="23"/>
      <c r="BB764" s="23"/>
      <c r="BC764" s="23"/>
      <c r="BD764" s="23"/>
      <c r="BE764" s="23"/>
      <c r="BF764" s="23"/>
      <c r="BG764" s="23"/>
      <c r="BH764" s="23"/>
      <c r="BI764" s="23"/>
      <c r="BJ764" s="23"/>
      <c r="BK764" s="23"/>
      <c r="BL764" s="23"/>
      <c r="BM764" s="23"/>
      <c r="BN764" s="23"/>
      <c r="BO764" s="23"/>
      <c r="BP764" s="23"/>
      <c r="BQ764" s="23"/>
      <c r="BR764" s="23"/>
      <c r="BS764" s="23"/>
      <c r="BT764" s="23"/>
      <c r="BU764" s="23"/>
      <c r="BV764" s="23"/>
      <c r="BW764" s="23"/>
      <c r="BX764" s="23"/>
      <c r="BY764" s="23"/>
      <c r="BZ764" s="23"/>
      <c r="CA764" s="23"/>
      <c r="CB764" s="23"/>
      <c r="CC764" s="23"/>
      <c r="CD764" s="23"/>
      <c r="CE764" s="23"/>
      <c r="CF764" s="23"/>
      <c r="CG764" s="23"/>
      <c r="CH764" s="23"/>
      <c r="CI764" s="23"/>
      <c r="CJ764" s="23"/>
      <c r="CK764" s="23"/>
      <c r="CL764" s="23"/>
      <c r="CM764" s="23"/>
      <c r="CN764" s="23"/>
      <c r="CO764" s="23"/>
      <c r="CP764" s="23"/>
      <c r="CQ764" s="23"/>
      <c r="CR764" s="23"/>
      <c r="CS764" s="23"/>
      <c r="CT764" s="23"/>
      <c r="CU764" s="23"/>
      <c r="CV764" s="23"/>
      <c r="CW764" s="23"/>
      <c r="CX764" s="23"/>
      <c r="CY764" s="23"/>
      <c r="CZ764" s="23"/>
      <c r="DA764" s="23"/>
      <c r="DB764" s="23"/>
      <c r="DC764" s="23"/>
      <c r="DD764" s="23"/>
      <c r="DE764" s="23"/>
      <c r="DF764" s="23"/>
      <c r="DG764" s="23"/>
      <c r="DH764" s="23"/>
      <c r="DI764" s="23"/>
      <c r="DJ764" s="23"/>
      <c r="DK764" s="23"/>
      <c r="DL764" s="23"/>
      <c r="DM764" s="23"/>
      <c r="DN764" s="23"/>
      <c r="DO764" s="23"/>
      <c r="DP764" s="23"/>
      <c r="DQ764" s="23"/>
      <c r="DR764" s="23"/>
      <c r="DS764" s="23"/>
      <c r="DT764" s="23"/>
      <c r="DU764" s="23"/>
      <c r="DV764" s="23"/>
      <c r="DW764" s="23"/>
      <c r="DX764" s="23"/>
      <c r="DY764" s="23"/>
      <c r="DZ764" s="23"/>
      <c r="EA764" s="23"/>
      <c r="EB764" s="23"/>
      <c r="EC764" s="23"/>
      <c r="ED764" s="23"/>
      <c r="EE764" s="23"/>
      <c r="EF764" s="23"/>
      <c r="EG764" s="23"/>
      <c r="EH764" s="23"/>
      <c r="EI764" s="23"/>
      <c r="EJ764" s="23"/>
      <c r="EK764" s="23"/>
      <c r="EL764" s="23"/>
      <c r="EM764" s="23"/>
      <c r="EN764" s="23"/>
      <c r="EO764" s="23"/>
      <c r="EP764" s="23"/>
      <c r="EQ764" s="23"/>
      <c r="ER764" s="23"/>
      <c r="ES764" s="23"/>
      <c r="ET764" s="23"/>
      <c r="EU764" s="23"/>
      <c r="EV764" s="23"/>
      <c r="EW764" s="23"/>
      <c r="EX764" s="23"/>
      <c r="EY764" s="23"/>
      <c r="EZ764" s="23"/>
      <c r="FA764" s="23"/>
      <c r="FB764" s="23"/>
      <c r="FC764" s="23"/>
      <c r="FD764" s="23"/>
      <c r="FE764" s="23"/>
      <c r="FF764" s="23"/>
      <c r="FG764" s="23"/>
      <c r="FH764" s="23"/>
      <c r="FI764" s="23"/>
      <c r="FJ764" s="23"/>
      <c r="FK764" s="23"/>
      <c r="FL764" s="23"/>
      <c r="FM764" s="23"/>
      <c r="FN764" s="23"/>
      <c r="FO764" s="23"/>
      <c r="FP764" s="23"/>
      <c r="FQ764" s="23"/>
      <c r="FR764" s="23"/>
      <c r="FS764" s="23"/>
      <c r="FT764" s="23"/>
      <c r="FU764" s="23"/>
      <c r="FV764" s="23"/>
      <c r="FW764" s="23"/>
      <c r="FX764" s="23"/>
      <c r="FY764" s="23"/>
      <c r="FZ764" s="23"/>
      <c r="GA764" s="23"/>
      <c r="GB764" s="23"/>
      <c r="GC764" s="23"/>
      <c r="GD764" s="23"/>
      <c r="GE764" s="23"/>
      <c r="GF764" s="23"/>
      <c r="GG764" s="23"/>
      <c r="GH764" s="23"/>
      <c r="GI764" s="23"/>
      <c r="GJ764" s="23"/>
      <c r="GK764" s="23"/>
      <c r="GL764" s="23"/>
    </row>
    <row r="765" spans="1:194" ht="13">
      <c r="A765" s="23"/>
      <c r="B765" s="23"/>
      <c r="C765" s="23"/>
      <c r="D765" s="23"/>
      <c r="E765" s="23"/>
      <c r="F765" s="23"/>
      <c r="G765" s="23"/>
      <c r="H765" s="401"/>
      <c r="I765" s="401"/>
      <c r="J765" s="401"/>
      <c r="K765" s="401"/>
      <c r="L765" s="401"/>
      <c r="M765" s="438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  <c r="AL765" s="23"/>
      <c r="AM765" s="23"/>
      <c r="AN765" s="23"/>
      <c r="AO765" s="23"/>
      <c r="AP765" s="23"/>
      <c r="AQ765" s="23"/>
      <c r="AR765" s="23"/>
      <c r="AS765" s="23"/>
      <c r="AT765" s="23"/>
      <c r="AU765" s="23"/>
      <c r="AV765" s="23"/>
      <c r="AW765" s="23"/>
      <c r="AX765" s="23"/>
      <c r="AY765" s="23"/>
      <c r="AZ765" s="23"/>
      <c r="BA765" s="23"/>
      <c r="BB765" s="23"/>
      <c r="BC765" s="23"/>
      <c r="BD765" s="23"/>
      <c r="BE765" s="23"/>
      <c r="BF765" s="23"/>
      <c r="BG765" s="23"/>
      <c r="BH765" s="23"/>
      <c r="BI765" s="23"/>
      <c r="BJ765" s="23"/>
      <c r="BK765" s="23"/>
      <c r="BL765" s="23"/>
      <c r="BM765" s="23"/>
      <c r="BN765" s="23"/>
      <c r="BO765" s="23"/>
      <c r="BP765" s="23"/>
      <c r="BQ765" s="23"/>
      <c r="BR765" s="23"/>
      <c r="BS765" s="23"/>
      <c r="BT765" s="23"/>
      <c r="BU765" s="23"/>
      <c r="BV765" s="23"/>
      <c r="BW765" s="23"/>
      <c r="BX765" s="23"/>
      <c r="BY765" s="23"/>
      <c r="BZ765" s="23"/>
      <c r="CA765" s="23"/>
      <c r="CB765" s="23"/>
      <c r="CC765" s="23"/>
      <c r="CD765" s="23"/>
      <c r="CE765" s="23"/>
      <c r="CF765" s="23"/>
      <c r="CG765" s="23"/>
      <c r="CH765" s="23"/>
      <c r="CI765" s="23"/>
      <c r="CJ765" s="23"/>
      <c r="CK765" s="23"/>
      <c r="CL765" s="23"/>
      <c r="CM765" s="23"/>
      <c r="CN765" s="23"/>
      <c r="CO765" s="23"/>
      <c r="CP765" s="23"/>
      <c r="CQ765" s="23"/>
      <c r="CR765" s="23"/>
      <c r="CS765" s="23"/>
      <c r="CT765" s="23"/>
      <c r="CU765" s="23"/>
      <c r="CV765" s="23"/>
      <c r="CW765" s="23"/>
      <c r="CX765" s="23"/>
      <c r="CY765" s="23"/>
      <c r="CZ765" s="23"/>
      <c r="DA765" s="23"/>
      <c r="DB765" s="23"/>
      <c r="DC765" s="23"/>
      <c r="DD765" s="23"/>
      <c r="DE765" s="23"/>
      <c r="DF765" s="23"/>
      <c r="DG765" s="23"/>
      <c r="DH765" s="23"/>
      <c r="DI765" s="23"/>
      <c r="DJ765" s="23"/>
      <c r="DK765" s="23"/>
      <c r="DL765" s="23"/>
      <c r="DM765" s="23"/>
      <c r="DN765" s="23"/>
      <c r="DO765" s="23"/>
      <c r="DP765" s="23"/>
      <c r="DQ765" s="23"/>
      <c r="DR765" s="23"/>
      <c r="DS765" s="23"/>
      <c r="DT765" s="23"/>
      <c r="DU765" s="23"/>
      <c r="DV765" s="23"/>
      <c r="DW765" s="23"/>
      <c r="DX765" s="23"/>
      <c r="DY765" s="23"/>
      <c r="DZ765" s="23"/>
      <c r="EA765" s="23"/>
      <c r="EB765" s="23"/>
      <c r="EC765" s="23"/>
      <c r="ED765" s="23"/>
      <c r="EE765" s="23"/>
      <c r="EF765" s="23"/>
      <c r="EG765" s="23"/>
      <c r="EH765" s="23"/>
      <c r="EI765" s="23"/>
      <c r="EJ765" s="23"/>
      <c r="EK765" s="23"/>
      <c r="EL765" s="23"/>
      <c r="EM765" s="23"/>
      <c r="EN765" s="23"/>
      <c r="EO765" s="23"/>
      <c r="EP765" s="23"/>
      <c r="EQ765" s="23"/>
      <c r="ER765" s="23"/>
      <c r="ES765" s="23"/>
      <c r="ET765" s="23"/>
      <c r="EU765" s="23"/>
      <c r="EV765" s="23"/>
      <c r="EW765" s="23"/>
      <c r="EX765" s="23"/>
      <c r="EY765" s="23"/>
      <c r="EZ765" s="23"/>
      <c r="FA765" s="23"/>
      <c r="FB765" s="23"/>
      <c r="FC765" s="23"/>
      <c r="FD765" s="23"/>
      <c r="FE765" s="23"/>
      <c r="FF765" s="23"/>
      <c r="FG765" s="23"/>
      <c r="FH765" s="23"/>
      <c r="FI765" s="23"/>
      <c r="FJ765" s="23"/>
      <c r="FK765" s="23"/>
      <c r="FL765" s="23"/>
      <c r="FM765" s="23"/>
      <c r="FN765" s="23"/>
      <c r="FO765" s="23"/>
      <c r="FP765" s="23"/>
      <c r="FQ765" s="23"/>
      <c r="FR765" s="23"/>
      <c r="FS765" s="23"/>
      <c r="FT765" s="23"/>
      <c r="FU765" s="23"/>
      <c r="FV765" s="23"/>
      <c r="FW765" s="23"/>
      <c r="FX765" s="23"/>
      <c r="FY765" s="23"/>
      <c r="FZ765" s="23"/>
      <c r="GA765" s="23"/>
      <c r="GB765" s="23"/>
      <c r="GC765" s="23"/>
      <c r="GD765" s="23"/>
      <c r="GE765" s="23"/>
      <c r="GF765" s="23"/>
      <c r="GG765" s="23"/>
      <c r="GH765" s="23"/>
      <c r="GI765" s="23"/>
      <c r="GJ765" s="23"/>
      <c r="GK765" s="23"/>
      <c r="GL765" s="23"/>
    </row>
    <row r="766" spans="1:194" ht="13">
      <c r="A766" s="23"/>
      <c r="B766" s="23"/>
      <c r="C766" s="23"/>
      <c r="D766" s="23"/>
      <c r="E766" s="23"/>
      <c r="F766" s="23"/>
      <c r="G766" s="23"/>
      <c r="H766" s="401"/>
      <c r="I766" s="401"/>
      <c r="J766" s="401"/>
      <c r="K766" s="401"/>
      <c r="L766" s="401"/>
      <c r="M766" s="438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  <c r="AL766" s="23"/>
      <c r="AM766" s="23"/>
      <c r="AN766" s="23"/>
      <c r="AO766" s="23"/>
      <c r="AP766" s="23"/>
      <c r="AQ766" s="23"/>
      <c r="AR766" s="23"/>
      <c r="AS766" s="23"/>
      <c r="AT766" s="23"/>
      <c r="AU766" s="23"/>
      <c r="AV766" s="23"/>
      <c r="AW766" s="23"/>
      <c r="AX766" s="23"/>
      <c r="AY766" s="23"/>
      <c r="AZ766" s="23"/>
      <c r="BA766" s="23"/>
      <c r="BB766" s="23"/>
      <c r="BC766" s="23"/>
      <c r="BD766" s="23"/>
      <c r="BE766" s="23"/>
      <c r="BF766" s="23"/>
      <c r="BG766" s="23"/>
      <c r="BH766" s="23"/>
      <c r="BI766" s="23"/>
      <c r="BJ766" s="23"/>
      <c r="BK766" s="23"/>
      <c r="BL766" s="23"/>
      <c r="BM766" s="23"/>
      <c r="BN766" s="23"/>
      <c r="BO766" s="23"/>
      <c r="BP766" s="23"/>
      <c r="BQ766" s="23"/>
      <c r="BR766" s="23"/>
      <c r="BS766" s="23"/>
      <c r="BT766" s="23"/>
      <c r="BU766" s="23"/>
      <c r="BV766" s="23"/>
      <c r="BW766" s="23"/>
      <c r="BX766" s="23"/>
      <c r="BY766" s="23"/>
      <c r="BZ766" s="23"/>
      <c r="CA766" s="23"/>
      <c r="CB766" s="23"/>
      <c r="CC766" s="23"/>
      <c r="CD766" s="23"/>
      <c r="CE766" s="23"/>
      <c r="CF766" s="23"/>
      <c r="CG766" s="23"/>
      <c r="CH766" s="23"/>
      <c r="CI766" s="23"/>
      <c r="CJ766" s="23"/>
      <c r="CK766" s="23"/>
      <c r="CL766" s="23"/>
      <c r="CM766" s="23"/>
      <c r="CN766" s="23"/>
      <c r="CO766" s="23"/>
      <c r="CP766" s="23"/>
      <c r="CQ766" s="23"/>
      <c r="CR766" s="23"/>
      <c r="CS766" s="23"/>
      <c r="CT766" s="23"/>
      <c r="CU766" s="23"/>
      <c r="CV766" s="23"/>
      <c r="CW766" s="23"/>
      <c r="CX766" s="23"/>
      <c r="CY766" s="23"/>
      <c r="CZ766" s="23"/>
      <c r="DA766" s="23"/>
      <c r="DB766" s="23"/>
      <c r="DC766" s="23"/>
      <c r="DD766" s="23"/>
      <c r="DE766" s="23"/>
      <c r="DF766" s="23"/>
      <c r="DG766" s="23"/>
      <c r="DH766" s="23"/>
      <c r="DI766" s="23"/>
      <c r="DJ766" s="23"/>
      <c r="DK766" s="23"/>
      <c r="DL766" s="23"/>
      <c r="DM766" s="23"/>
      <c r="DN766" s="23"/>
      <c r="DO766" s="23"/>
      <c r="DP766" s="23"/>
      <c r="DQ766" s="23"/>
      <c r="DR766" s="23"/>
      <c r="DS766" s="23"/>
      <c r="DT766" s="23"/>
      <c r="DU766" s="23"/>
      <c r="DV766" s="23"/>
      <c r="DW766" s="23"/>
      <c r="DX766" s="23"/>
      <c r="DY766" s="23"/>
      <c r="DZ766" s="23"/>
      <c r="EA766" s="23"/>
      <c r="EB766" s="23"/>
      <c r="EC766" s="23"/>
      <c r="ED766" s="23"/>
      <c r="EE766" s="23"/>
      <c r="EF766" s="23"/>
      <c r="EG766" s="23"/>
      <c r="EH766" s="23"/>
      <c r="EI766" s="23"/>
      <c r="EJ766" s="23"/>
      <c r="EK766" s="23"/>
      <c r="EL766" s="23"/>
      <c r="EM766" s="23"/>
      <c r="EN766" s="23"/>
      <c r="EO766" s="23"/>
      <c r="EP766" s="23"/>
      <c r="EQ766" s="23"/>
      <c r="ER766" s="23"/>
      <c r="ES766" s="23"/>
      <c r="ET766" s="23"/>
      <c r="EU766" s="23"/>
      <c r="EV766" s="23"/>
      <c r="EW766" s="23"/>
      <c r="EX766" s="23"/>
      <c r="EY766" s="23"/>
      <c r="EZ766" s="23"/>
      <c r="FA766" s="23"/>
      <c r="FB766" s="23"/>
      <c r="FC766" s="23"/>
      <c r="FD766" s="23"/>
      <c r="FE766" s="23"/>
      <c r="FF766" s="23"/>
      <c r="FG766" s="23"/>
      <c r="FH766" s="23"/>
      <c r="FI766" s="23"/>
      <c r="FJ766" s="23"/>
      <c r="FK766" s="23"/>
      <c r="FL766" s="23"/>
      <c r="FM766" s="23"/>
      <c r="FN766" s="23"/>
      <c r="FO766" s="23"/>
      <c r="FP766" s="23"/>
      <c r="FQ766" s="23"/>
      <c r="FR766" s="23"/>
      <c r="FS766" s="23"/>
      <c r="FT766" s="23"/>
      <c r="FU766" s="23"/>
      <c r="FV766" s="23"/>
      <c r="FW766" s="23"/>
      <c r="FX766" s="23"/>
      <c r="FY766" s="23"/>
      <c r="FZ766" s="23"/>
      <c r="GA766" s="23"/>
      <c r="GB766" s="23"/>
      <c r="GC766" s="23"/>
      <c r="GD766" s="23"/>
      <c r="GE766" s="23"/>
      <c r="GF766" s="23"/>
      <c r="GG766" s="23"/>
      <c r="GH766" s="23"/>
      <c r="GI766" s="23"/>
      <c r="GJ766" s="23"/>
      <c r="GK766" s="23"/>
      <c r="GL766" s="23"/>
    </row>
    <row r="767" spans="1:194" ht="13">
      <c r="A767" s="23"/>
      <c r="B767" s="23"/>
      <c r="C767" s="23"/>
      <c r="D767" s="23"/>
      <c r="E767" s="23"/>
      <c r="F767" s="23"/>
      <c r="G767" s="23"/>
      <c r="H767" s="401"/>
      <c r="I767" s="401"/>
      <c r="J767" s="401"/>
      <c r="K767" s="401"/>
      <c r="L767" s="401"/>
      <c r="M767" s="438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  <c r="AL767" s="23"/>
      <c r="AM767" s="23"/>
      <c r="AN767" s="23"/>
      <c r="AO767" s="23"/>
      <c r="AP767" s="23"/>
      <c r="AQ767" s="23"/>
      <c r="AR767" s="23"/>
      <c r="AS767" s="23"/>
      <c r="AT767" s="23"/>
      <c r="AU767" s="23"/>
      <c r="AV767" s="23"/>
      <c r="AW767" s="23"/>
      <c r="AX767" s="23"/>
      <c r="AY767" s="23"/>
      <c r="AZ767" s="23"/>
      <c r="BA767" s="23"/>
      <c r="BB767" s="23"/>
      <c r="BC767" s="23"/>
      <c r="BD767" s="23"/>
      <c r="BE767" s="23"/>
      <c r="BF767" s="23"/>
      <c r="BG767" s="23"/>
      <c r="BH767" s="23"/>
      <c r="BI767" s="23"/>
      <c r="BJ767" s="23"/>
      <c r="BK767" s="23"/>
      <c r="BL767" s="23"/>
      <c r="BM767" s="23"/>
      <c r="BN767" s="23"/>
      <c r="BO767" s="23"/>
      <c r="BP767" s="23"/>
      <c r="BQ767" s="23"/>
      <c r="BR767" s="23"/>
      <c r="BS767" s="23"/>
      <c r="BT767" s="23"/>
      <c r="BU767" s="23"/>
      <c r="BV767" s="23"/>
      <c r="BW767" s="23"/>
      <c r="BX767" s="23"/>
      <c r="BY767" s="23"/>
      <c r="BZ767" s="23"/>
      <c r="CA767" s="23"/>
      <c r="CB767" s="23"/>
      <c r="CC767" s="23"/>
      <c r="CD767" s="23"/>
      <c r="CE767" s="23"/>
      <c r="CF767" s="23"/>
      <c r="CG767" s="23"/>
      <c r="CH767" s="23"/>
      <c r="CI767" s="23"/>
      <c r="CJ767" s="23"/>
      <c r="CK767" s="23"/>
      <c r="CL767" s="23"/>
      <c r="CM767" s="23"/>
      <c r="CN767" s="23"/>
      <c r="CO767" s="23"/>
      <c r="CP767" s="23"/>
      <c r="CQ767" s="23"/>
      <c r="CR767" s="23"/>
      <c r="CS767" s="23"/>
      <c r="CT767" s="23"/>
      <c r="CU767" s="23"/>
      <c r="CV767" s="23"/>
      <c r="CW767" s="23"/>
      <c r="CX767" s="23"/>
      <c r="CY767" s="23"/>
      <c r="CZ767" s="23"/>
      <c r="DA767" s="23"/>
      <c r="DB767" s="23"/>
      <c r="DC767" s="23"/>
      <c r="DD767" s="23"/>
      <c r="DE767" s="23"/>
      <c r="DF767" s="23"/>
      <c r="DG767" s="23"/>
      <c r="DH767" s="23"/>
      <c r="DI767" s="23"/>
      <c r="DJ767" s="23"/>
      <c r="DK767" s="23"/>
      <c r="DL767" s="23"/>
      <c r="DM767" s="23"/>
      <c r="DN767" s="23"/>
      <c r="DO767" s="23"/>
      <c r="DP767" s="23"/>
      <c r="DQ767" s="23"/>
      <c r="DR767" s="23"/>
      <c r="DS767" s="23"/>
      <c r="DT767" s="23"/>
      <c r="DU767" s="23"/>
      <c r="DV767" s="23"/>
      <c r="DW767" s="23"/>
      <c r="DX767" s="23"/>
      <c r="DY767" s="23"/>
      <c r="DZ767" s="23"/>
      <c r="EA767" s="23"/>
      <c r="EB767" s="23"/>
      <c r="EC767" s="23"/>
      <c r="ED767" s="23"/>
      <c r="EE767" s="23"/>
      <c r="EF767" s="23"/>
      <c r="EG767" s="23"/>
      <c r="EH767" s="23"/>
      <c r="EI767" s="23"/>
      <c r="EJ767" s="23"/>
      <c r="EK767" s="23"/>
      <c r="EL767" s="23"/>
      <c r="EM767" s="23"/>
      <c r="EN767" s="23"/>
      <c r="EO767" s="23"/>
      <c r="EP767" s="23"/>
      <c r="EQ767" s="23"/>
      <c r="ER767" s="23"/>
      <c r="ES767" s="23"/>
      <c r="ET767" s="23"/>
      <c r="EU767" s="23"/>
      <c r="EV767" s="23"/>
      <c r="EW767" s="23"/>
      <c r="EX767" s="23"/>
      <c r="EY767" s="23"/>
      <c r="EZ767" s="23"/>
      <c r="FA767" s="23"/>
      <c r="FB767" s="23"/>
      <c r="FC767" s="23"/>
      <c r="FD767" s="23"/>
      <c r="FE767" s="23"/>
      <c r="FF767" s="23"/>
      <c r="FG767" s="23"/>
      <c r="FH767" s="23"/>
      <c r="FI767" s="23"/>
      <c r="FJ767" s="23"/>
      <c r="FK767" s="23"/>
      <c r="FL767" s="23"/>
      <c r="FM767" s="23"/>
      <c r="FN767" s="23"/>
      <c r="FO767" s="23"/>
      <c r="FP767" s="23"/>
      <c r="FQ767" s="23"/>
      <c r="FR767" s="23"/>
      <c r="FS767" s="23"/>
      <c r="FT767" s="23"/>
      <c r="FU767" s="23"/>
      <c r="FV767" s="23"/>
      <c r="FW767" s="23"/>
      <c r="FX767" s="23"/>
      <c r="FY767" s="23"/>
      <c r="FZ767" s="23"/>
      <c r="GA767" s="23"/>
      <c r="GB767" s="23"/>
      <c r="GC767" s="23"/>
      <c r="GD767" s="23"/>
      <c r="GE767" s="23"/>
      <c r="GF767" s="23"/>
      <c r="GG767" s="23"/>
      <c r="GH767" s="23"/>
      <c r="GI767" s="23"/>
      <c r="GJ767" s="23"/>
      <c r="GK767" s="23"/>
      <c r="GL767" s="23"/>
    </row>
    <row r="768" spans="1:194" ht="13">
      <c r="A768" s="23"/>
      <c r="B768" s="23"/>
      <c r="C768" s="23"/>
      <c r="D768" s="23"/>
      <c r="E768" s="23"/>
      <c r="F768" s="23"/>
      <c r="G768" s="23"/>
      <c r="H768" s="401"/>
      <c r="I768" s="401"/>
      <c r="J768" s="401"/>
      <c r="K768" s="401"/>
      <c r="L768" s="401"/>
      <c r="M768" s="438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  <c r="AL768" s="23"/>
      <c r="AM768" s="23"/>
      <c r="AN768" s="23"/>
      <c r="AO768" s="23"/>
      <c r="AP768" s="23"/>
      <c r="AQ768" s="23"/>
      <c r="AR768" s="23"/>
      <c r="AS768" s="23"/>
      <c r="AT768" s="23"/>
      <c r="AU768" s="23"/>
      <c r="AV768" s="23"/>
      <c r="AW768" s="23"/>
      <c r="AX768" s="23"/>
      <c r="AY768" s="23"/>
      <c r="AZ768" s="23"/>
      <c r="BA768" s="23"/>
      <c r="BB768" s="23"/>
      <c r="BC768" s="23"/>
      <c r="BD768" s="23"/>
      <c r="BE768" s="23"/>
      <c r="BF768" s="23"/>
      <c r="BG768" s="23"/>
      <c r="BH768" s="23"/>
      <c r="BI768" s="23"/>
      <c r="BJ768" s="23"/>
      <c r="BK768" s="23"/>
      <c r="BL768" s="23"/>
      <c r="BM768" s="23"/>
      <c r="BN768" s="23"/>
      <c r="BO768" s="23"/>
      <c r="BP768" s="23"/>
      <c r="BQ768" s="23"/>
      <c r="BR768" s="23"/>
      <c r="BS768" s="23"/>
      <c r="BT768" s="23"/>
      <c r="BU768" s="23"/>
      <c r="BV768" s="23"/>
      <c r="BW768" s="23"/>
      <c r="BX768" s="23"/>
      <c r="BY768" s="23"/>
      <c r="BZ768" s="23"/>
      <c r="CA768" s="23"/>
      <c r="CB768" s="23"/>
      <c r="CC768" s="23"/>
      <c r="CD768" s="23"/>
      <c r="CE768" s="23"/>
      <c r="CF768" s="23"/>
      <c r="CG768" s="23"/>
      <c r="CH768" s="23"/>
      <c r="CI768" s="23"/>
      <c r="CJ768" s="23"/>
      <c r="CK768" s="23"/>
      <c r="CL768" s="23"/>
      <c r="CM768" s="23"/>
      <c r="CN768" s="23"/>
      <c r="CO768" s="23"/>
      <c r="CP768" s="23"/>
      <c r="CQ768" s="23"/>
      <c r="CR768" s="23"/>
      <c r="CS768" s="23"/>
      <c r="CT768" s="23"/>
      <c r="CU768" s="23"/>
      <c r="CV768" s="23"/>
      <c r="CW768" s="23"/>
      <c r="CX768" s="23"/>
      <c r="CY768" s="23"/>
      <c r="CZ768" s="23"/>
      <c r="DA768" s="23"/>
      <c r="DB768" s="23"/>
      <c r="DC768" s="23"/>
      <c r="DD768" s="23"/>
      <c r="DE768" s="23"/>
      <c r="DF768" s="23"/>
      <c r="DG768" s="23"/>
      <c r="DH768" s="23"/>
      <c r="DI768" s="23"/>
      <c r="DJ768" s="23"/>
      <c r="DK768" s="23"/>
      <c r="DL768" s="23"/>
      <c r="DM768" s="23"/>
      <c r="DN768" s="23"/>
      <c r="DO768" s="23"/>
      <c r="DP768" s="23"/>
      <c r="DQ768" s="23"/>
      <c r="DR768" s="23"/>
      <c r="DS768" s="23"/>
      <c r="DT768" s="23"/>
      <c r="DU768" s="23"/>
      <c r="DV768" s="23"/>
      <c r="DW768" s="23"/>
      <c r="DX768" s="23"/>
      <c r="DY768" s="23"/>
      <c r="DZ768" s="23"/>
      <c r="EA768" s="23"/>
      <c r="EB768" s="23"/>
      <c r="EC768" s="23"/>
      <c r="ED768" s="23"/>
      <c r="EE768" s="23"/>
      <c r="EF768" s="23"/>
      <c r="EG768" s="23"/>
      <c r="EH768" s="23"/>
      <c r="EI768" s="23"/>
      <c r="EJ768" s="23"/>
      <c r="EK768" s="23"/>
      <c r="EL768" s="23"/>
      <c r="EM768" s="23"/>
      <c r="EN768" s="23"/>
      <c r="EO768" s="23"/>
      <c r="EP768" s="23"/>
      <c r="EQ768" s="23"/>
      <c r="ER768" s="23"/>
      <c r="ES768" s="23"/>
      <c r="ET768" s="23"/>
      <c r="EU768" s="23"/>
      <c r="EV768" s="23"/>
      <c r="EW768" s="23"/>
      <c r="EX768" s="23"/>
      <c r="EY768" s="23"/>
      <c r="EZ768" s="23"/>
      <c r="FA768" s="23"/>
      <c r="FB768" s="23"/>
      <c r="FC768" s="23"/>
      <c r="FD768" s="23"/>
      <c r="FE768" s="23"/>
      <c r="FF768" s="23"/>
      <c r="FG768" s="23"/>
      <c r="FH768" s="23"/>
      <c r="FI768" s="23"/>
      <c r="FJ768" s="23"/>
      <c r="FK768" s="23"/>
      <c r="FL768" s="23"/>
      <c r="FM768" s="23"/>
      <c r="FN768" s="23"/>
      <c r="FO768" s="23"/>
      <c r="FP768" s="23"/>
      <c r="FQ768" s="23"/>
      <c r="FR768" s="23"/>
      <c r="FS768" s="23"/>
      <c r="FT768" s="23"/>
      <c r="FU768" s="23"/>
      <c r="FV768" s="23"/>
      <c r="FW768" s="23"/>
      <c r="FX768" s="23"/>
      <c r="FY768" s="23"/>
      <c r="FZ768" s="23"/>
      <c r="GA768" s="23"/>
      <c r="GB768" s="23"/>
      <c r="GC768" s="23"/>
      <c r="GD768" s="23"/>
      <c r="GE768" s="23"/>
      <c r="GF768" s="23"/>
      <c r="GG768" s="23"/>
      <c r="GH768" s="23"/>
      <c r="GI768" s="23"/>
      <c r="GJ768" s="23"/>
      <c r="GK768" s="23"/>
      <c r="GL768" s="23"/>
    </row>
    <row r="769" spans="1:194" ht="13">
      <c r="A769" s="23"/>
      <c r="B769" s="23"/>
      <c r="C769" s="23"/>
      <c r="D769" s="23"/>
      <c r="E769" s="23"/>
      <c r="F769" s="23"/>
      <c r="G769" s="23"/>
      <c r="H769" s="401"/>
      <c r="I769" s="401"/>
      <c r="J769" s="401"/>
      <c r="K769" s="401"/>
      <c r="L769" s="401"/>
      <c r="M769" s="438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  <c r="AL769" s="23"/>
      <c r="AM769" s="23"/>
      <c r="AN769" s="23"/>
      <c r="AO769" s="23"/>
      <c r="AP769" s="23"/>
      <c r="AQ769" s="23"/>
      <c r="AR769" s="23"/>
      <c r="AS769" s="23"/>
      <c r="AT769" s="23"/>
      <c r="AU769" s="23"/>
      <c r="AV769" s="23"/>
      <c r="AW769" s="23"/>
      <c r="AX769" s="23"/>
      <c r="AY769" s="23"/>
      <c r="AZ769" s="23"/>
      <c r="BA769" s="23"/>
      <c r="BB769" s="23"/>
      <c r="BC769" s="23"/>
      <c r="BD769" s="23"/>
      <c r="BE769" s="23"/>
      <c r="BF769" s="23"/>
      <c r="BG769" s="23"/>
      <c r="BH769" s="23"/>
      <c r="BI769" s="23"/>
      <c r="BJ769" s="23"/>
      <c r="BK769" s="23"/>
      <c r="BL769" s="23"/>
      <c r="BM769" s="23"/>
      <c r="BN769" s="23"/>
      <c r="BO769" s="23"/>
      <c r="BP769" s="23"/>
      <c r="BQ769" s="23"/>
      <c r="BR769" s="23"/>
      <c r="BS769" s="23"/>
      <c r="BT769" s="23"/>
      <c r="BU769" s="23"/>
      <c r="BV769" s="23"/>
      <c r="BW769" s="23"/>
      <c r="BX769" s="23"/>
      <c r="BY769" s="23"/>
      <c r="BZ769" s="23"/>
      <c r="CA769" s="23"/>
      <c r="CB769" s="23"/>
      <c r="CC769" s="23"/>
      <c r="CD769" s="23"/>
      <c r="CE769" s="23"/>
      <c r="CF769" s="23"/>
      <c r="CG769" s="23"/>
      <c r="CH769" s="23"/>
      <c r="CI769" s="23"/>
      <c r="CJ769" s="23"/>
      <c r="CK769" s="23"/>
      <c r="CL769" s="23"/>
      <c r="CM769" s="23"/>
      <c r="CN769" s="23"/>
      <c r="CO769" s="23"/>
      <c r="CP769" s="23"/>
      <c r="CQ769" s="23"/>
      <c r="CR769" s="23"/>
      <c r="CS769" s="23"/>
      <c r="CT769" s="23"/>
      <c r="CU769" s="23"/>
      <c r="CV769" s="23"/>
      <c r="CW769" s="23"/>
      <c r="CX769" s="23"/>
      <c r="CY769" s="23"/>
      <c r="CZ769" s="23"/>
      <c r="DA769" s="23"/>
      <c r="DB769" s="23"/>
      <c r="DC769" s="23"/>
      <c r="DD769" s="23"/>
      <c r="DE769" s="23"/>
      <c r="DF769" s="23"/>
      <c r="DG769" s="23"/>
      <c r="DH769" s="23"/>
      <c r="DI769" s="23"/>
      <c r="DJ769" s="23"/>
      <c r="DK769" s="23"/>
      <c r="DL769" s="23"/>
      <c r="DM769" s="23"/>
      <c r="DN769" s="23"/>
      <c r="DO769" s="23"/>
      <c r="DP769" s="23"/>
      <c r="DQ769" s="23"/>
      <c r="DR769" s="23"/>
      <c r="DS769" s="23"/>
      <c r="DT769" s="23"/>
      <c r="DU769" s="23"/>
      <c r="DV769" s="23"/>
      <c r="DW769" s="23"/>
      <c r="DX769" s="23"/>
      <c r="DY769" s="23"/>
      <c r="DZ769" s="23"/>
      <c r="EA769" s="23"/>
      <c r="EB769" s="23"/>
      <c r="EC769" s="23"/>
      <c r="ED769" s="23"/>
      <c r="EE769" s="23"/>
      <c r="EF769" s="23"/>
      <c r="EG769" s="23"/>
      <c r="EH769" s="23"/>
      <c r="EI769" s="23"/>
      <c r="EJ769" s="23"/>
      <c r="EK769" s="23"/>
      <c r="EL769" s="23"/>
      <c r="EM769" s="23"/>
      <c r="EN769" s="23"/>
      <c r="EO769" s="23"/>
      <c r="EP769" s="23"/>
      <c r="EQ769" s="23"/>
      <c r="ER769" s="23"/>
      <c r="ES769" s="23"/>
      <c r="ET769" s="23"/>
      <c r="EU769" s="23"/>
      <c r="EV769" s="23"/>
      <c r="EW769" s="23"/>
      <c r="EX769" s="23"/>
      <c r="EY769" s="23"/>
      <c r="EZ769" s="23"/>
      <c r="FA769" s="23"/>
      <c r="FB769" s="23"/>
      <c r="FC769" s="23"/>
      <c r="FD769" s="23"/>
      <c r="FE769" s="23"/>
      <c r="FF769" s="23"/>
      <c r="FG769" s="23"/>
      <c r="FH769" s="23"/>
      <c r="FI769" s="23"/>
      <c r="FJ769" s="23"/>
      <c r="FK769" s="23"/>
      <c r="FL769" s="23"/>
      <c r="FM769" s="23"/>
      <c r="FN769" s="23"/>
      <c r="FO769" s="23"/>
      <c r="FP769" s="23"/>
      <c r="FQ769" s="23"/>
      <c r="FR769" s="23"/>
      <c r="FS769" s="23"/>
      <c r="FT769" s="23"/>
      <c r="FU769" s="23"/>
      <c r="FV769" s="23"/>
      <c r="FW769" s="23"/>
      <c r="FX769" s="23"/>
      <c r="FY769" s="23"/>
      <c r="FZ769" s="23"/>
      <c r="GA769" s="23"/>
      <c r="GB769" s="23"/>
      <c r="GC769" s="23"/>
      <c r="GD769" s="23"/>
      <c r="GE769" s="23"/>
      <c r="GF769" s="23"/>
      <c r="GG769" s="23"/>
      <c r="GH769" s="23"/>
      <c r="GI769" s="23"/>
      <c r="GJ769" s="23"/>
      <c r="GK769" s="23"/>
      <c r="GL769" s="23"/>
    </row>
    <row r="770" spans="1:194" ht="13">
      <c r="A770" s="23"/>
      <c r="B770" s="23"/>
      <c r="C770" s="23"/>
      <c r="D770" s="23"/>
      <c r="E770" s="23"/>
      <c r="F770" s="23"/>
      <c r="G770" s="23"/>
      <c r="H770" s="401"/>
      <c r="I770" s="401"/>
      <c r="J770" s="401"/>
      <c r="K770" s="401"/>
      <c r="L770" s="401"/>
      <c r="M770" s="438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  <c r="AL770" s="23"/>
      <c r="AM770" s="23"/>
      <c r="AN770" s="23"/>
      <c r="AO770" s="23"/>
      <c r="AP770" s="23"/>
      <c r="AQ770" s="23"/>
      <c r="AR770" s="23"/>
      <c r="AS770" s="23"/>
      <c r="AT770" s="23"/>
      <c r="AU770" s="23"/>
      <c r="AV770" s="23"/>
      <c r="AW770" s="23"/>
      <c r="AX770" s="23"/>
      <c r="AY770" s="23"/>
      <c r="AZ770" s="23"/>
      <c r="BA770" s="23"/>
      <c r="BB770" s="23"/>
      <c r="BC770" s="23"/>
      <c r="BD770" s="23"/>
      <c r="BE770" s="23"/>
      <c r="BF770" s="23"/>
      <c r="BG770" s="23"/>
      <c r="BH770" s="23"/>
      <c r="BI770" s="23"/>
      <c r="BJ770" s="23"/>
      <c r="BK770" s="23"/>
      <c r="BL770" s="23"/>
      <c r="BM770" s="23"/>
      <c r="BN770" s="23"/>
      <c r="BO770" s="23"/>
      <c r="BP770" s="23"/>
      <c r="BQ770" s="23"/>
      <c r="BR770" s="23"/>
      <c r="BS770" s="23"/>
      <c r="BT770" s="23"/>
      <c r="BU770" s="23"/>
      <c r="BV770" s="23"/>
      <c r="BW770" s="23"/>
      <c r="BX770" s="23"/>
      <c r="BY770" s="23"/>
      <c r="BZ770" s="23"/>
      <c r="CA770" s="23"/>
      <c r="CB770" s="23"/>
      <c r="CC770" s="23"/>
      <c r="CD770" s="23"/>
      <c r="CE770" s="23"/>
      <c r="CF770" s="23"/>
      <c r="CG770" s="23"/>
      <c r="CH770" s="23"/>
      <c r="CI770" s="23"/>
      <c r="CJ770" s="23"/>
      <c r="CK770" s="23"/>
      <c r="CL770" s="23"/>
      <c r="CM770" s="23"/>
      <c r="CN770" s="23"/>
      <c r="CO770" s="23"/>
      <c r="CP770" s="23"/>
      <c r="CQ770" s="23"/>
      <c r="CR770" s="23"/>
      <c r="CS770" s="23"/>
      <c r="CT770" s="23"/>
      <c r="CU770" s="23"/>
      <c r="CV770" s="23"/>
      <c r="CW770" s="23"/>
      <c r="CX770" s="23"/>
      <c r="CY770" s="23"/>
      <c r="CZ770" s="23"/>
      <c r="DA770" s="23"/>
      <c r="DB770" s="23"/>
      <c r="DC770" s="23"/>
      <c r="DD770" s="23"/>
      <c r="DE770" s="23"/>
      <c r="DF770" s="23"/>
      <c r="DG770" s="23"/>
      <c r="DH770" s="23"/>
      <c r="DI770" s="23"/>
      <c r="DJ770" s="23"/>
      <c r="DK770" s="23"/>
      <c r="DL770" s="23"/>
      <c r="DM770" s="23"/>
      <c r="DN770" s="23"/>
      <c r="DO770" s="23"/>
      <c r="DP770" s="23"/>
      <c r="DQ770" s="23"/>
      <c r="DR770" s="23"/>
      <c r="DS770" s="23"/>
      <c r="DT770" s="23"/>
      <c r="DU770" s="23"/>
      <c r="DV770" s="23"/>
      <c r="DW770" s="23"/>
      <c r="DX770" s="23"/>
      <c r="DY770" s="23"/>
      <c r="DZ770" s="23"/>
      <c r="EA770" s="23"/>
      <c r="EB770" s="23"/>
      <c r="EC770" s="23"/>
      <c r="ED770" s="23"/>
      <c r="EE770" s="23"/>
      <c r="EF770" s="23"/>
      <c r="EG770" s="23"/>
      <c r="EH770" s="23"/>
      <c r="EI770" s="23"/>
      <c r="EJ770" s="23"/>
      <c r="EK770" s="23"/>
      <c r="EL770" s="23"/>
      <c r="EM770" s="23"/>
      <c r="EN770" s="23"/>
      <c r="EO770" s="23"/>
      <c r="EP770" s="23"/>
      <c r="EQ770" s="23"/>
      <c r="ER770" s="23"/>
      <c r="ES770" s="23"/>
      <c r="ET770" s="23"/>
      <c r="EU770" s="23"/>
      <c r="EV770" s="23"/>
      <c r="EW770" s="23"/>
      <c r="EX770" s="23"/>
      <c r="EY770" s="23"/>
      <c r="EZ770" s="23"/>
      <c r="FA770" s="23"/>
      <c r="FB770" s="23"/>
      <c r="FC770" s="23"/>
      <c r="FD770" s="23"/>
      <c r="FE770" s="23"/>
      <c r="FF770" s="23"/>
      <c r="FG770" s="23"/>
      <c r="FH770" s="23"/>
      <c r="FI770" s="23"/>
      <c r="FJ770" s="23"/>
      <c r="FK770" s="23"/>
      <c r="FL770" s="23"/>
      <c r="FM770" s="23"/>
      <c r="FN770" s="23"/>
      <c r="FO770" s="23"/>
      <c r="FP770" s="23"/>
      <c r="FQ770" s="23"/>
      <c r="FR770" s="23"/>
      <c r="FS770" s="23"/>
      <c r="FT770" s="23"/>
      <c r="FU770" s="23"/>
      <c r="FV770" s="23"/>
      <c r="FW770" s="23"/>
      <c r="FX770" s="23"/>
      <c r="FY770" s="23"/>
      <c r="FZ770" s="23"/>
      <c r="GA770" s="23"/>
      <c r="GB770" s="23"/>
      <c r="GC770" s="23"/>
      <c r="GD770" s="23"/>
      <c r="GE770" s="23"/>
      <c r="GF770" s="23"/>
      <c r="GG770" s="23"/>
      <c r="GH770" s="23"/>
      <c r="GI770" s="23"/>
      <c r="GJ770" s="23"/>
      <c r="GK770" s="23"/>
      <c r="GL770" s="23"/>
    </row>
    <row r="771" spans="1:194" ht="13">
      <c r="A771" s="23"/>
      <c r="B771" s="23"/>
      <c r="C771" s="23"/>
      <c r="D771" s="23"/>
      <c r="E771" s="23"/>
      <c r="F771" s="23"/>
      <c r="G771" s="23"/>
      <c r="H771" s="401"/>
      <c r="I771" s="401"/>
      <c r="J771" s="401"/>
      <c r="K771" s="401"/>
      <c r="L771" s="401"/>
      <c r="M771" s="438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  <c r="AL771" s="23"/>
      <c r="AM771" s="23"/>
      <c r="AN771" s="23"/>
      <c r="AO771" s="23"/>
      <c r="AP771" s="23"/>
      <c r="AQ771" s="23"/>
      <c r="AR771" s="23"/>
      <c r="AS771" s="23"/>
      <c r="AT771" s="23"/>
      <c r="AU771" s="23"/>
      <c r="AV771" s="23"/>
      <c r="AW771" s="23"/>
      <c r="AX771" s="23"/>
      <c r="AY771" s="23"/>
      <c r="AZ771" s="23"/>
      <c r="BA771" s="23"/>
      <c r="BB771" s="23"/>
      <c r="BC771" s="23"/>
      <c r="BD771" s="23"/>
      <c r="BE771" s="23"/>
      <c r="BF771" s="23"/>
      <c r="BG771" s="23"/>
      <c r="BH771" s="23"/>
      <c r="BI771" s="23"/>
      <c r="BJ771" s="23"/>
      <c r="BK771" s="23"/>
      <c r="BL771" s="23"/>
      <c r="BM771" s="23"/>
      <c r="BN771" s="23"/>
      <c r="BO771" s="23"/>
      <c r="BP771" s="23"/>
      <c r="BQ771" s="23"/>
      <c r="BR771" s="23"/>
      <c r="BS771" s="23"/>
      <c r="BT771" s="23"/>
      <c r="BU771" s="23"/>
      <c r="BV771" s="23"/>
      <c r="BW771" s="23"/>
      <c r="BX771" s="23"/>
      <c r="BY771" s="23"/>
      <c r="BZ771" s="23"/>
      <c r="CA771" s="23"/>
      <c r="CB771" s="23"/>
      <c r="CC771" s="23"/>
      <c r="CD771" s="23"/>
      <c r="CE771" s="23"/>
      <c r="CF771" s="23"/>
      <c r="CG771" s="23"/>
      <c r="CH771" s="23"/>
      <c r="CI771" s="23"/>
      <c r="CJ771" s="23"/>
      <c r="CK771" s="23"/>
      <c r="CL771" s="23"/>
      <c r="CM771" s="23"/>
      <c r="CN771" s="23"/>
      <c r="CO771" s="23"/>
      <c r="CP771" s="23"/>
      <c r="CQ771" s="23"/>
      <c r="CR771" s="23"/>
      <c r="CS771" s="23"/>
      <c r="CT771" s="23"/>
      <c r="CU771" s="23"/>
      <c r="CV771" s="23"/>
      <c r="CW771" s="23"/>
      <c r="CX771" s="23"/>
      <c r="CY771" s="23"/>
      <c r="CZ771" s="23"/>
      <c r="DA771" s="23"/>
      <c r="DB771" s="23"/>
      <c r="DC771" s="23"/>
      <c r="DD771" s="23"/>
      <c r="DE771" s="23"/>
      <c r="DF771" s="23"/>
      <c r="DG771" s="23"/>
      <c r="DH771" s="23"/>
      <c r="DI771" s="23"/>
      <c r="DJ771" s="23"/>
      <c r="DK771" s="23"/>
      <c r="DL771" s="23"/>
      <c r="DM771" s="23"/>
      <c r="DN771" s="23"/>
      <c r="DO771" s="23"/>
      <c r="DP771" s="23"/>
      <c r="DQ771" s="23"/>
      <c r="DR771" s="23"/>
      <c r="DS771" s="23"/>
      <c r="DT771" s="23"/>
      <c r="DU771" s="23"/>
      <c r="DV771" s="23"/>
      <c r="DW771" s="23"/>
      <c r="DX771" s="23"/>
      <c r="DY771" s="23"/>
      <c r="DZ771" s="23"/>
      <c r="EA771" s="23"/>
      <c r="EB771" s="23"/>
      <c r="EC771" s="23"/>
      <c r="ED771" s="23"/>
      <c r="EE771" s="23"/>
      <c r="EF771" s="23"/>
      <c r="EG771" s="23"/>
      <c r="EH771" s="23"/>
      <c r="EI771" s="23"/>
      <c r="EJ771" s="23"/>
      <c r="EK771" s="23"/>
      <c r="EL771" s="23"/>
      <c r="EM771" s="23"/>
      <c r="EN771" s="23"/>
      <c r="EO771" s="23"/>
      <c r="EP771" s="23"/>
      <c r="EQ771" s="23"/>
      <c r="ER771" s="23"/>
      <c r="ES771" s="23"/>
      <c r="ET771" s="23"/>
      <c r="EU771" s="23"/>
      <c r="EV771" s="23"/>
      <c r="EW771" s="23"/>
      <c r="EX771" s="23"/>
      <c r="EY771" s="23"/>
      <c r="EZ771" s="23"/>
      <c r="FA771" s="23"/>
      <c r="FB771" s="23"/>
      <c r="FC771" s="23"/>
      <c r="FD771" s="23"/>
      <c r="FE771" s="23"/>
      <c r="FF771" s="23"/>
      <c r="FG771" s="23"/>
      <c r="FH771" s="23"/>
      <c r="FI771" s="23"/>
      <c r="FJ771" s="23"/>
      <c r="FK771" s="23"/>
      <c r="FL771" s="23"/>
      <c r="FM771" s="23"/>
      <c r="FN771" s="23"/>
      <c r="FO771" s="23"/>
      <c r="FP771" s="23"/>
      <c r="FQ771" s="23"/>
      <c r="FR771" s="23"/>
      <c r="FS771" s="23"/>
      <c r="FT771" s="23"/>
      <c r="FU771" s="23"/>
      <c r="FV771" s="23"/>
      <c r="FW771" s="23"/>
      <c r="FX771" s="23"/>
      <c r="FY771" s="23"/>
      <c r="FZ771" s="23"/>
      <c r="GA771" s="23"/>
      <c r="GB771" s="23"/>
      <c r="GC771" s="23"/>
      <c r="GD771" s="23"/>
      <c r="GE771" s="23"/>
      <c r="GF771" s="23"/>
      <c r="GG771" s="23"/>
      <c r="GH771" s="23"/>
      <c r="GI771" s="23"/>
      <c r="GJ771" s="23"/>
      <c r="GK771" s="23"/>
      <c r="GL771" s="23"/>
    </row>
    <row r="772" spans="1:194" ht="13">
      <c r="A772" s="23"/>
      <c r="B772" s="23"/>
      <c r="C772" s="23"/>
      <c r="D772" s="23"/>
      <c r="E772" s="23"/>
      <c r="F772" s="23"/>
      <c r="G772" s="23"/>
      <c r="H772" s="401"/>
      <c r="I772" s="401"/>
      <c r="J772" s="401"/>
      <c r="K772" s="401"/>
      <c r="L772" s="401"/>
      <c r="M772" s="438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  <c r="AL772" s="23"/>
      <c r="AM772" s="23"/>
      <c r="AN772" s="23"/>
      <c r="AO772" s="23"/>
      <c r="AP772" s="23"/>
      <c r="AQ772" s="23"/>
      <c r="AR772" s="23"/>
      <c r="AS772" s="23"/>
      <c r="AT772" s="23"/>
      <c r="AU772" s="23"/>
      <c r="AV772" s="23"/>
      <c r="AW772" s="23"/>
      <c r="AX772" s="23"/>
      <c r="AY772" s="23"/>
      <c r="AZ772" s="23"/>
      <c r="BA772" s="23"/>
      <c r="BB772" s="23"/>
      <c r="BC772" s="23"/>
      <c r="BD772" s="23"/>
      <c r="BE772" s="23"/>
      <c r="BF772" s="23"/>
      <c r="BG772" s="23"/>
      <c r="BH772" s="23"/>
      <c r="BI772" s="23"/>
      <c r="BJ772" s="23"/>
      <c r="BK772" s="23"/>
      <c r="BL772" s="23"/>
      <c r="BM772" s="23"/>
      <c r="BN772" s="23"/>
      <c r="BO772" s="23"/>
      <c r="BP772" s="23"/>
      <c r="BQ772" s="23"/>
      <c r="BR772" s="23"/>
      <c r="BS772" s="23"/>
      <c r="BT772" s="23"/>
      <c r="BU772" s="23"/>
      <c r="BV772" s="23"/>
      <c r="BW772" s="23"/>
      <c r="BX772" s="23"/>
      <c r="BY772" s="23"/>
      <c r="BZ772" s="23"/>
      <c r="CA772" s="23"/>
      <c r="CB772" s="23"/>
      <c r="CC772" s="23"/>
      <c r="CD772" s="23"/>
      <c r="CE772" s="23"/>
      <c r="CF772" s="23"/>
      <c r="CG772" s="23"/>
      <c r="CH772" s="23"/>
      <c r="CI772" s="23"/>
      <c r="CJ772" s="23"/>
      <c r="CK772" s="23"/>
      <c r="CL772" s="23"/>
      <c r="CM772" s="23"/>
      <c r="CN772" s="23"/>
      <c r="CO772" s="23"/>
      <c r="CP772" s="23"/>
      <c r="CQ772" s="23"/>
      <c r="CR772" s="23"/>
      <c r="CS772" s="23"/>
      <c r="CT772" s="23"/>
      <c r="CU772" s="23"/>
      <c r="CV772" s="23"/>
      <c r="CW772" s="23"/>
      <c r="CX772" s="23"/>
      <c r="CY772" s="23"/>
      <c r="CZ772" s="23"/>
      <c r="DA772" s="23"/>
      <c r="DB772" s="23"/>
      <c r="DC772" s="23"/>
      <c r="DD772" s="23"/>
      <c r="DE772" s="23"/>
      <c r="DF772" s="23"/>
      <c r="DG772" s="23"/>
      <c r="DH772" s="23"/>
      <c r="DI772" s="23"/>
      <c r="DJ772" s="23"/>
      <c r="DK772" s="23"/>
      <c r="DL772" s="23"/>
      <c r="DM772" s="23"/>
      <c r="DN772" s="23"/>
      <c r="DO772" s="23"/>
      <c r="DP772" s="23"/>
      <c r="DQ772" s="23"/>
      <c r="DR772" s="23"/>
      <c r="DS772" s="23"/>
      <c r="DT772" s="23"/>
      <c r="DU772" s="23"/>
      <c r="DV772" s="23"/>
      <c r="DW772" s="23"/>
      <c r="DX772" s="23"/>
      <c r="DY772" s="23"/>
      <c r="DZ772" s="23"/>
      <c r="EA772" s="23"/>
      <c r="EB772" s="23"/>
      <c r="EC772" s="23"/>
      <c r="ED772" s="23"/>
      <c r="EE772" s="23"/>
      <c r="EF772" s="23"/>
      <c r="EG772" s="23"/>
      <c r="EH772" s="23"/>
      <c r="EI772" s="23"/>
      <c r="EJ772" s="23"/>
      <c r="EK772" s="23"/>
      <c r="EL772" s="23"/>
      <c r="EM772" s="23"/>
      <c r="EN772" s="23"/>
      <c r="EO772" s="23"/>
      <c r="EP772" s="23"/>
      <c r="EQ772" s="23"/>
      <c r="ER772" s="23"/>
      <c r="ES772" s="23"/>
      <c r="ET772" s="23"/>
      <c r="EU772" s="23"/>
      <c r="EV772" s="23"/>
      <c r="EW772" s="23"/>
      <c r="EX772" s="23"/>
      <c r="EY772" s="23"/>
      <c r="EZ772" s="23"/>
      <c r="FA772" s="23"/>
      <c r="FB772" s="23"/>
      <c r="FC772" s="23"/>
      <c r="FD772" s="23"/>
      <c r="FE772" s="23"/>
      <c r="FF772" s="23"/>
      <c r="FG772" s="23"/>
      <c r="FH772" s="23"/>
      <c r="FI772" s="23"/>
      <c r="FJ772" s="23"/>
      <c r="FK772" s="23"/>
      <c r="FL772" s="23"/>
      <c r="FM772" s="23"/>
      <c r="FN772" s="23"/>
      <c r="FO772" s="23"/>
      <c r="FP772" s="23"/>
      <c r="FQ772" s="23"/>
      <c r="FR772" s="23"/>
      <c r="FS772" s="23"/>
      <c r="FT772" s="23"/>
      <c r="FU772" s="23"/>
      <c r="FV772" s="23"/>
      <c r="FW772" s="23"/>
      <c r="FX772" s="23"/>
      <c r="FY772" s="23"/>
      <c r="FZ772" s="23"/>
      <c r="GA772" s="23"/>
      <c r="GB772" s="23"/>
      <c r="GC772" s="23"/>
      <c r="GD772" s="23"/>
      <c r="GE772" s="23"/>
      <c r="GF772" s="23"/>
      <c r="GG772" s="23"/>
      <c r="GH772" s="23"/>
      <c r="GI772" s="23"/>
      <c r="GJ772" s="23"/>
      <c r="GK772" s="23"/>
      <c r="GL772" s="23"/>
    </row>
    <row r="773" spans="1:194" ht="13">
      <c r="A773" s="23"/>
      <c r="B773" s="23"/>
      <c r="C773" s="23"/>
      <c r="D773" s="23"/>
      <c r="E773" s="23"/>
      <c r="F773" s="23"/>
      <c r="G773" s="23"/>
      <c r="H773" s="401"/>
      <c r="I773" s="401"/>
      <c r="J773" s="401"/>
      <c r="K773" s="401"/>
      <c r="L773" s="401"/>
      <c r="M773" s="438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  <c r="AL773" s="23"/>
      <c r="AM773" s="23"/>
      <c r="AN773" s="23"/>
      <c r="AO773" s="23"/>
      <c r="AP773" s="23"/>
      <c r="AQ773" s="23"/>
      <c r="AR773" s="23"/>
      <c r="AS773" s="23"/>
      <c r="AT773" s="23"/>
      <c r="AU773" s="23"/>
      <c r="AV773" s="23"/>
      <c r="AW773" s="23"/>
      <c r="AX773" s="23"/>
      <c r="AY773" s="23"/>
      <c r="AZ773" s="23"/>
      <c r="BA773" s="23"/>
      <c r="BB773" s="23"/>
      <c r="BC773" s="23"/>
      <c r="BD773" s="23"/>
      <c r="BE773" s="23"/>
      <c r="BF773" s="23"/>
      <c r="BG773" s="23"/>
      <c r="BH773" s="23"/>
      <c r="BI773" s="23"/>
      <c r="BJ773" s="23"/>
      <c r="BK773" s="23"/>
      <c r="BL773" s="23"/>
      <c r="BM773" s="23"/>
      <c r="BN773" s="23"/>
      <c r="BO773" s="23"/>
      <c r="BP773" s="23"/>
      <c r="BQ773" s="23"/>
      <c r="BR773" s="23"/>
      <c r="BS773" s="23"/>
      <c r="BT773" s="23"/>
      <c r="BU773" s="23"/>
      <c r="BV773" s="23"/>
      <c r="BW773" s="23"/>
      <c r="BX773" s="23"/>
      <c r="BY773" s="23"/>
      <c r="BZ773" s="23"/>
      <c r="CA773" s="23"/>
      <c r="CB773" s="23"/>
      <c r="CC773" s="23"/>
      <c r="CD773" s="23"/>
      <c r="CE773" s="23"/>
      <c r="CF773" s="23"/>
      <c r="CG773" s="23"/>
      <c r="CH773" s="23"/>
      <c r="CI773" s="23"/>
      <c r="CJ773" s="23"/>
      <c r="CK773" s="23"/>
      <c r="CL773" s="23"/>
      <c r="CM773" s="23"/>
      <c r="CN773" s="23"/>
      <c r="CO773" s="23"/>
      <c r="CP773" s="23"/>
      <c r="CQ773" s="23"/>
      <c r="CR773" s="23"/>
      <c r="CS773" s="23"/>
      <c r="CT773" s="23"/>
      <c r="CU773" s="23"/>
      <c r="CV773" s="23"/>
      <c r="CW773" s="23"/>
      <c r="CX773" s="23"/>
      <c r="CY773" s="23"/>
      <c r="CZ773" s="23"/>
      <c r="DA773" s="23"/>
      <c r="DB773" s="23"/>
      <c r="DC773" s="23"/>
      <c r="DD773" s="23"/>
      <c r="DE773" s="23"/>
      <c r="DF773" s="23"/>
      <c r="DG773" s="23"/>
      <c r="DH773" s="23"/>
      <c r="DI773" s="23"/>
      <c r="DJ773" s="23"/>
      <c r="DK773" s="23"/>
      <c r="DL773" s="23"/>
      <c r="DM773" s="23"/>
      <c r="DN773" s="23"/>
      <c r="DO773" s="23"/>
      <c r="DP773" s="23"/>
      <c r="DQ773" s="23"/>
      <c r="DR773" s="23"/>
      <c r="DS773" s="23"/>
      <c r="DT773" s="23"/>
      <c r="DU773" s="23"/>
      <c r="DV773" s="23"/>
      <c r="DW773" s="23"/>
      <c r="DX773" s="23"/>
      <c r="DY773" s="23"/>
      <c r="DZ773" s="23"/>
      <c r="EA773" s="23"/>
      <c r="EB773" s="23"/>
      <c r="EC773" s="23"/>
      <c r="ED773" s="23"/>
      <c r="EE773" s="23"/>
      <c r="EF773" s="23"/>
      <c r="EG773" s="23"/>
      <c r="EH773" s="23"/>
      <c r="EI773" s="23"/>
      <c r="EJ773" s="23"/>
      <c r="EK773" s="23"/>
      <c r="EL773" s="23"/>
      <c r="EM773" s="23"/>
      <c r="EN773" s="23"/>
      <c r="EO773" s="23"/>
      <c r="EP773" s="23"/>
      <c r="EQ773" s="23"/>
      <c r="ER773" s="23"/>
      <c r="ES773" s="23"/>
      <c r="ET773" s="23"/>
      <c r="EU773" s="23"/>
      <c r="EV773" s="23"/>
      <c r="EW773" s="23"/>
      <c r="EX773" s="23"/>
      <c r="EY773" s="23"/>
      <c r="EZ773" s="23"/>
      <c r="FA773" s="23"/>
      <c r="FB773" s="23"/>
      <c r="FC773" s="23"/>
      <c r="FD773" s="23"/>
      <c r="FE773" s="23"/>
      <c r="FF773" s="23"/>
      <c r="FG773" s="23"/>
      <c r="FH773" s="23"/>
      <c r="FI773" s="23"/>
      <c r="FJ773" s="23"/>
      <c r="FK773" s="23"/>
      <c r="FL773" s="23"/>
      <c r="FM773" s="23"/>
      <c r="FN773" s="23"/>
      <c r="FO773" s="23"/>
      <c r="FP773" s="23"/>
      <c r="FQ773" s="23"/>
      <c r="FR773" s="23"/>
      <c r="FS773" s="23"/>
      <c r="FT773" s="23"/>
      <c r="FU773" s="23"/>
      <c r="FV773" s="23"/>
      <c r="FW773" s="23"/>
      <c r="FX773" s="23"/>
      <c r="FY773" s="23"/>
      <c r="FZ773" s="23"/>
      <c r="GA773" s="23"/>
      <c r="GB773" s="23"/>
      <c r="GC773" s="23"/>
      <c r="GD773" s="23"/>
      <c r="GE773" s="23"/>
      <c r="GF773" s="23"/>
      <c r="GG773" s="23"/>
      <c r="GH773" s="23"/>
      <c r="GI773" s="23"/>
      <c r="GJ773" s="23"/>
      <c r="GK773" s="23"/>
      <c r="GL773" s="23"/>
    </row>
    <row r="774" spans="1:194" ht="13">
      <c r="A774" s="23"/>
      <c r="B774" s="23"/>
      <c r="C774" s="23"/>
      <c r="D774" s="23"/>
      <c r="E774" s="23"/>
      <c r="F774" s="23"/>
      <c r="G774" s="23"/>
      <c r="H774" s="401"/>
      <c r="I774" s="401"/>
      <c r="J774" s="401"/>
      <c r="K774" s="401"/>
      <c r="L774" s="401"/>
      <c r="M774" s="438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  <c r="AL774" s="23"/>
      <c r="AM774" s="23"/>
      <c r="AN774" s="23"/>
      <c r="AO774" s="23"/>
      <c r="AP774" s="23"/>
      <c r="AQ774" s="23"/>
      <c r="AR774" s="23"/>
      <c r="AS774" s="23"/>
      <c r="AT774" s="23"/>
      <c r="AU774" s="23"/>
      <c r="AV774" s="23"/>
      <c r="AW774" s="23"/>
      <c r="AX774" s="23"/>
      <c r="AY774" s="23"/>
      <c r="AZ774" s="23"/>
      <c r="BA774" s="23"/>
      <c r="BB774" s="23"/>
      <c r="BC774" s="23"/>
      <c r="BD774" s="23"/>
      <c r="BE774" s="23"/>
      <c r="BF774" s="23"/>
      <c r="BG774" s="23"/>
      <c r="BH774" s="23"/>
      <c r="BI774" s="23"/>
      <c r="BJ774" s="23"/>
      <c r="BK774" s="23"/>
      <c r="BL774" s="23"/>
      <c r="BM774" s="23"/>
      <c r="BN774" s="23"/>
      <c r="BO774" s="23"/>
      <c r="BP774" s="23"/>
      <c r="BQ774" s="23"/>
      <c r="BR774" s="23"/>
      <c r="BS774" s="23"/>
      <c r="BT774" s="23"/>
      <c r="BU774" s="23"/>
      <c r="BV774" s="23"/>
      <c r="BW774" s="23"/>
      <c r="BX774" s="23"/>
      <c r="BY774" s="23"/>
      <c r="BZ774" s="23"/>
      <c r="CA774" s="23"/>
      <c r="CB774" s="23"/>
      <c r="CC774" s="23"/>
      <c r="CD774" s="23"/>
      <c r="CE774" s="23"/>
      <c r="CF774" s="23"/>
      <c r="CG774" s="23"/>
      <c r="CH774" s="23"/>
      <c r="CI774" s="23"/>
      <c r="CJ774" s="23"/>
      <c r="CK774" s="23"/>
      <c r="CL774" s="23"/>
      <c r="CM774" s="23"/>
      <c r="CN774" s="23"/>
      <c r="CO774" s="23"/>
      <c r="CP774" s="23"/>
      <c r="CQ774" s="23"/>
      <c r="CR774" s="23"/>
      <c r="CS774" s="23"/>
      <c r="CT774" s="23"/>
      <c r="CU774" s="23"/>
      <c r="CV774" s="23"/>
      <c r="CW774" s="23"/>
      <c r="CX774" s="23"/>
      <c r="CY774" s="23"/>
      <c r="CZ774" s="23"/>
      <c r="DA774" s="23"/>
      <c r="DB774" s="23"/>
      <c r="DC774" s="23"/>
      <c r="DD774" s="23"/>
      <c r="DE774" s="23"/>
      <c r="DF774" s="23"/>
      <c r="DG774" s="23"/>
      <c r="DH774" s="23"/>
      <c r="DI774" s="23"/>
      <c r="DJ774" s="23"/>
      <c r="DK774" s="23"/>
      <c r="DL774" s="23"/>
      <c r="DM774" s="23"/>
      <c r="DN774" s="23"/>
      <c r="DO774" s="23"/>
      <c r="DP774" s="23"/>
      <c r="DQ774" s="23"/>
      <c r="DR774" s="23"/>
      <c r="DS774" s="23"/>
      <c r="DT774" s="23"/>
      <c r="DU774" s="23"/>
      <c r="DV774" s="23"/>
      <c r="DW774" s="23"/>
      <c r="DX774" s="23"/>
      <c r="DY774" s="23"/>
      <c r="DZ774" s="23"/>
      <c r="EA774" s="23"/>
      <c r="EB774" s="23"/>
      <c r="EC774" s="23"/>
      <c r="ED774" s="23"/>
      <c r="EE774" s="23"/>
      <c r="EF774" s="23"/>
      <c r="EG774" s="23"/>
      <c r="EH774" s="23"/>
      <c r="EI774" s="23"/>
      <c r="EJ774" s="23"/>
      <c r="EK774" s="23"/>
      <c r="EL774" s="23"/>
      <c r="EM774" s="23"/>
      <c r="EN774" s="23"/>
      <c r="EO774" s="23"/>
      <c r="EP774" s="23"/>
      <c r="EQ774" s="23"/>
      <c r="ER774" s="23"/>
      <c r="ES774" s="23"/>
      <c r="ET774" s="23"/>
      <c r="EU774" s="23"/>
      <c r="EV774" s="23"/>
      <c r="EW774" s="23"/>
      <c r="EX774" s="23"/>
      <c r="EY774" s="23"/>
      <c r="EZ774" s="23"/>
      <c r="FA774" s="23"/>
      <c r="FB774" s="23"/>
      <c r="FC774" s="23"/>
      <c r="FD774" s="23"/>
      <c r="FE774" s="23"/>
      <c r="FF774" s="23"/>
      <c r="FG774" s="23"/>
      <c r="FH774" s="23"/>
      <c r="FI774" s="23"/>
      <c r="FJ774" s="23"/>
      <c r="FK774" s="23"/>
      <c r="FL774" s="23"/>
      <c r="FM774" s="23"/>
      <c r="FN774" s="23"/>
      <c r="FO774" s="23"/>
      <c r="FP774" s="23"/>
      <c r="FQ774" s="23"/>
      <c r="FR774" s="23"/>
      <c r="FS774" s="23"/>
      <c r="FT774" s="23"/>
      <c r="FU774" s="23"/>
      <c r="FV774" s="23"/>
      <c r="FW774" s="23"/>
      <c r="FX774" s="23"/>
      <c r="FY774" s="23"/>
      <c r="FZ774" s="23"/>
      <c r="GA774" s="23"/>
      <c r="GB774" s="23"/>
      <c r="GC774" s="23"/>
      <c r="GD774" s="23"/>
      <c r="GE774" s="23"/>
      <c r="GF774" s="23"/>
      <c r="GG774" s="23"/>
      <c r="GH774" s="23"/>
      <c r="GI774" s="23"/>
      <c r="GJ774" s="23"/>
      <c r="GK774" s="23"/>
      <c r="GL774" s="23"/>
    </row>
    <row r="775" spans="1:194" ht="13">
      <c r="A775" s="23"/>
      <c r="B775" s="23"/>
      <c r="C775" s="23"/>
      <c r="D775" s="23"/>
      <c r="E775" s="23"/>
      <c r="F775" s="23"/>
      <c r="G775" s="23"/>
      <c r="H775" s="401"/>
      <c r="I775" s="401"/>
      <c r="J775" s="401"/>
      <c r="K775" s="401"/>
      <c r="L775" s="401"/>
      <c r="M775" s="438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  <c r="AL775" s="23"/>
      <c r="AM775" s="23"/>
      <c r="AN775" s="23"/>
      <c r="AO775" s="23"/>
      <c r="AP775" s="23"/>
      <c r="AQ775" s="23"/>
      <c r="AR775" s="23"/>
      <c r="AS775" s="23"/>
      <c r="AT775" s="23"/>
      <c r="AU775" s="23"/>
      <c r="AV775" s="23"/>
      <c r="AW775" s="23"/>
      <c r="AX775" s="23"/>
      <c r="AY775" s="23"/>
      <c r="AZ775" s="23"/>
      <c r="BA775" s="23"/>
      <c r="BB775" s="23"/>
      <c r="BC775" s="23"/>
      <c r="BD775" s="23"/>
      <c r="BE775" s="23"/>
      <c r="BF775" s="23"/>
      <c r="BG775" s="23"/>
      <c r="BH775" s="23"/>
      <c r="BI775" s="23"/>
      <c r="BJ775" s="23"/>
      <c r="BK775" s="23"/>
      <c r="BL775" s="23"/>
      <c r="BM775" s="23"/>
      <c r="BN775" s="23"/>
      <c r="BO775" s="23"/>
      <c r="BP775" s="23"/>
      <c r="BQ775" s="23"/>
      <c r="BR775" s="23"/>
      <c r="BS775" s="23"/>
      <c r="BT775" s="23"/>
      <c r="BU775" s="23"/>
      <c r="BV775" s="23"/>
      <c r="BW775" s="23"/>
      <c r="BX775" s="23"/>
      <c r="BY775" s="23"/>
      <c r="BZ775" s="23"/>
      <c r="CA775" s="23"/>
      <c r="CB775" s="23"/>
      <c r="CC775" s="23"/>
      <c r="CD775" s="23"/>
      <c r="CE775" s="23"/>
      <c r="CF775" s="23"/>
      <c r="CG775" s="23"/>
      <c r="CH775" s="23"/>
      <c r="CI775" s="23"/>
      <c r="CJ775" s="23"/>
      <c r="CK775" s="23"/>
      <c r="CL775" s="23"/>
      <c r="CM775" s="23"/>
      <c r="CN775" s="23"/>
      <c r="CO775" s="23"/>
      <c r="CP775" s="23"/>
      <c r="CQ775" s="23"/>
      <c r="CR775" s="23"/>
      <c r="CS775" s="23"/>
      <c r="CT775" s="23"/>
      <c r="CU775" s="23"/>
      <c r="CV775" s="23"/>
      <c r="CW775" s="23"/>
      <c r="CX775" s="23"/>
      <c r="CY775" s="23"/>
      <c r="CZ775" s="23"/>
      <c r="DA775" s="23"/>
      <c r="DB775" s="23"/>
      <c r="DC775" s="23"/>
      <c r="DD775" s="23"/>
      <c r="DE775" s="23"/>
      <c r="DF775" s="23"/>
      <c r="DG775" s="23"/>
      <c r="DH775" s="23"/>
      <c r="DI775" s="23"/>
      <c r="DJ775" s="23"/>
      <c r="DK775" s="23"/>
      <c r="DL775" s="23"/>
      <c r="DM775" s="23"/>
      <c r="DN775" s="23"/>
      <c r="DO775" s="23"/>
      <c r="DP775" s="23"/>
      <c r="DQ775" s="23"/>
      <c r="DR775" s="23"/>
      <c r="DS775" s="23"/>
      <c r="DT775" s="23"/>
      <c r="DU775" s="23"/>
      <c r="DV775" s="23"/>
      <c r="DW775" s="23"/>
      <c r="DX775" s="23"/>
      <c r="DY775" s="23"/>
      <c r="DZ775" s="23"/>
      <c r="EA775" s="23"/>
      <c r="EB775" s="23"/>
      <c r="EC775" s="23"/>
      <c r="ED775" s="23"/>
      <c r="EE775" s="23"/>
      <c r="EF775" s="23"/>
      <c r="EG775" s="23"/>
      <c r="EH775" s="23"/>
      <c r="EI775" s="23"/>
      <c r="EJ775" s="23"/>
      <c r="EK775" s="23"/>
      <c r="EL775" s="23"/>
      <c r="EM775" s="23"/>
      <c r="EN775" s="23"/>
      <c r="EO775" s="23"/>
      <c r="EP775" s="23"/>
      <c r="EQ775" s="23"/>
      <c r="ER775" s="23"/>
      <c r="ES775" s="23"/>
      <c r="ET775" s="23"/>
      <c r="EU775" s="23"/>
      <c r="EV775" s="23"/>
      <c r="EW775" s="23"/>
      <c r="EX775" s="23"/>
      <c r="EY775" s="23"/>
      <c r="EZ775" s="23"/>
      <c r="FA775" s="23"/>
      <c r="FB775" s="23"/>
      <c r="FC775" s="23"/>
      <c r="FD775" s="23"/>
      <c r="FE775" s="23"/>
      <c r="FF775" s="23"/>
      <c r="FG775" s="23"/>
      <c r="FH775" s="23"/>
      <c r="FI775" s="23"/>
      <c r="FJ775" s="23"/>
      <c r="FK775" s="23"/>
      <c r="FL775" s="23"/>
      <c r="FM775" s="23"/>
      <c r="FN775" s="23"/>
      <c r="FO775" s="23"/>
      <c r="FP775" s="23"/>
      <c r="FQ775" s="23"/>
      <c r="FR775" s="23"/>
      <c r="FS775" s="23"/>
      <c r="FT775" s="23"/>
      <c r="FU775" s="23"/>
      <c r="FV775" s="23"/>
      <c r="FW775" s="23"/>
      <c r="FX775" s="23"/>
      <c r="FY775" s="23"/>
      <c r="FZ775" s="23"/>
      <c r="GA775" s="23"/>
      <c r="GB775" s="23"/>
      <c r="GC775" s="23"/>
      <c r="GD775" s="23"/>
      <c r="GE775" s="23"/>
      <c r="GF775" s="23"/>
      <c r="GG775" s="23"/>
      <c r="GH775" s="23"/>
      <c r="GI775" s="23"/>
      <c r="GJ775" s="23"/>
      <c r="GK775" s="23"/>
      <c r="GL775" s="23"/>
    </row>
    <row r="776" spans="1:194" ht="13">
      <c r="A776" s="23"/>
      <c r="B776" s="23"/>
      <c r="C776" s="23"/>
      <c r="D776" s="23"/>
      <c r="E776" s="23"/>
      <c r="F776" s="23"/>
      <c r="G776" s="23"/>
      <c r="H776" s="401"/>
      <c r="I776" s="401"/>
      <c r="J776" s="401"/>
      <c r="K776" s="401"/>
      <c r="L776" s="401"/>
      <c r="M776" s="438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  <c r="AL776" s="23"/>
      <c r="AM776" s="23"/>
      <c r="AN776" s="23"/>
      <c r="AO776" s="23"/>
      <c r="AP776" s="23"/>
      <c r="AQ776" s="23"/>
      <c r="AR776" s="23"/>
      <c r="AS776" s="23"/>
      <c r="AT776" s="23"/>
      <c r="AU776" s="23"/>
      <c r="AV776" s="23"/>
      <c r="AW776" s="23"/>
      <c r="AX776" s="23"/>
      <c r="AY776" s="23"/>
      <c r="AZ776" s="23"/>
      <c r="BA776" s="23"/>
      <c r="BB776" s="23"/>
      <c r="BC776" s="23"/>
      <c r="BD776" s="23"/>
      <c r="BE776" s="23"/>
      <c r="BF776" s="23"/>
      <c r="BG776" s="23"/>
      <c r="BH776" s="23"/>
      <c r="BI776" s="23"/>
      <c r="BJ776" s="23"/>
      <c r="BK776" s="23"/>
      <c r="BL776" s="23"/>
      <c r="BM776" s="23"/>
      <c r="BN776" s="23"/>
      <c r="BO776" s="23"/>
      <c r="BP776" s="23"/>
      <c r="BQ776" s="23"/>
      <c r="BR776" s="23"/>
      <c r="BS776" s="23"/>
      <c r="BT776" s="23"/>
      <c r="BU776" s="23"/>
      <c r="BV776" s="23"/>
      <c r="BW776" s="23"/>
      <c r="BX776" s="23"/>
      <c r="BY776" s="23"/>
      <c r="BZ776" s="23"/>
      <c r="CA776" s="23"/>
      <c r="CB776" s="23"/>
      <c r="CC776" s="23"/>
      <c r="CD776" s="23"/>
      <c r="CE776" s="23"/>
      <c r="CF776" s="23"/>
      <c r="CG776" s="23"/>
      <c r="CH776" s="23"/>
      <c r="CI776" s="23"/>
      <c r="CJ776" s="23"/>
      <c r="CK776" s="23"/>
      <c r="CL776" s="23"/>
      <c r="CM776" s="23"/>
      <c r="CN776" s="23"/>
      <c r="CO776" s="23"/>
      <c r="CP776" s="23"/>
      <c r="CQ776" s="23"/>
      <c r="CR776" s="23"/>
      <c r="CS776" s="23"/>
      <c r="CT776" s="23"/>
      <c r="CU776" s="23"/>
      <c r="CV776" s="23"/>
      <c r="CW776" s="23"/>
      <c r="CX776" s="23"/>
      <c r="CY776" s="23"/>
      <c r="CZ776" s="23"/>
      <c r="DA776" s="23"/>
      <c r="DB776" s="23"/>
      <c r="DC776" s="23"/>
      <c r="DD776" s="23"/>
      <c r="DE776" s="23"/>
      <c r="DF776" s="23"/>
      <c r="DG776" s="23"/>
      <c r="DH776" s="23"/>
      <c r="DI776" s="23"/>
      <c r="DJ776" s="23"/>
      <c r="DK776" s="23"/>
      <c r="DL776" s="23"/>
      <c r="DM776" s="23"/>
      <c r="DN776" s="23"/>
      <c r="DO776" s="23"/>
      <c r="DP776" s="23"/>
      <c r="DQ776" s="23"/>
      <c r="DR776" s="23"/>
      <c r="DS776" s="23"/>
      <c r="DT776" s="23"/>
      <c r="DU776" s="23"/>
      <c r="DV776" s="23"/>
      <c r="DW776" s="23"/>
      <c r="DX776" s="23"/>
      <c r="DY776" s="23"/>
      <c r="DZ776" s="23"/>
      <c r="EA776" s="23"/>
      <c r="EB776" s="23"/>
      <c r="EC776" s="23"/>
      <c r="ED776" s="23"/>
      <c r="EE776" s="23"/>
      <c r="EF776" s="23"/>
      <c r="EG776" s="23"/>
      <c r="EH776" s="23"/>
      <c r="EI776" s="23"/>
      <c r="EJ776" s="23"/>
      <c r="EK776" s="23"/>
      <c r="EL776" s="23"/>
      <c r="EM776" s="23"/>
      <c r="EN776" s="23"/>
      <c r="EO776" s="23"/>
      <c r="EP776" s="23"/>
      <c r="EQ776" s="23"/>
      <c r="ER776" s="23"/>
      <c r="ES776" s="23"/>
      <c r="ET776" s="23"/>
      <c r="EU776" s="23"/>
      <c r="EV776" s="23"/>
      <c r="EW776" s="23"/>
      <c r="EX776" s="23"/>
      <c r="EY776" s="23"/>
      <c r="EZ776" s="23"/>
      <c r="FA776" s="23"/>
      <c r="FB776" s="23"/>
      <c r="FC776" s="23"/>
      <c r="FD776" s="23"/>
      <c r="FE776" s="23"/>
      <c r="FF776" s="23"/>
      <c r="FG776" s="23"/>
      <c r="FH776" s="23"/>
      <c r="FI776" s="23"/>
      <c r="FJ776" s="23"/>
      <c r="FK776" s="23"/>
      <c r="FL776" s="23"/>
      <c r="FM776" s="23"/>
      <c r="FN776" s="23"/>
      <c r="FO776" s="23"/>
      <c r="FP776" s="23"/>
      <c r="FQ776" s="23"/>
      <c r="FR776" s="23"/>
      <c r="FS776" s="23"/>
      <c r="FT776" s="23"/>
      <c r="FU776" s="23"/>
      <c r="FV776" s="23"/>
      <c r="FW776" s="23"/>
      <c r="FX776" s="23"/>
      <c r="FY776" s="23"/>
      <c r="FZ776" s="23"/>
      <c r="GA776" s="23"/>
      <c r="GB776" s="23"/>
      <c r="GC776" s="23"/>
      <c r="GD776" s="23"/>
      <c r="GE776" s="23"/>
      <c r="GF776" s="23"/>
      <c r="GG776" s="23"/>
      <c r="GH776" s="23"/>
      <c r="GI776" s="23"/>
      <c r="GJ776" s="23"/>
      <c r="GK776" s="23"/>
      <c r="GL776" s="23"/>
    </row>
    <row r="777" spans="1:194" ht="13">
      <c r="A777" s="23"/>
      <c r="B777" s="23"/>
      <c r="C777" s="23"/>
      <c r="D777" s="23"/>
      <c r="E777" s="23"/>
      <c r="F777" s="23"/>
      <c r="G777" s="23"/>
      <c r="H777" s="401"/>
      <c r="I777" s="401"/>
      <c r="J777" s="401"/>
      <c r="K777" s="401"/>
      <c r="L777" s="401"/>
      <c r="M777" s="438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  <c r="AL777" s="23"/>
      <c r="AM777" s="23"/>
      <c r="AN777" s="23"/>
      <c r="AO777" s="23"/>
      <c r="AP777" s="23"/>
      <c r="AQ777" s="23"/>
      <c r="AR777" s="23"/>
      <c r="AS777" s="23"/>
      <c r="AT777" s="23"/>
      <c r="AU777" s="23"/>
      <c r="AV777" s="23"/>
      <c r="AW777" s="23"/>
      <c r="AX777" s="23"/>
      <c r="AY777" s="23"/>
      <c r="AZ777" s="23"/>
      <c r="BA777" s="23"/>
      <c r="BB777" s="23"/>
      <c r="BC777" s="23"/>
      <c r="BD777" s="23"/>
      <c r="BE777" s="23"/>
      <c r="BF777" s="23"/>
      <c r="BG777" s="23"/>
      <c r="BH777" s="23"/>
      <c r="BI777" s="23"/>
      <c r="BJ777" s="23"/>
      <c r="BK777" s="23"/>
      <c r="BL777" s="23"/>
      <c r="BM777" s="23"/>
      <c r="BN777" s="23"/>
      <c r="BO777" s="23"/>
      <c r="BP777" s="23"/>
      <c r="BQ777" s="23"/>
      <c r="BR777" s="23"/>
      <c r="BS777" s="23"/>
      <c r="BT777" s="23"/>
      <c r="BU777" s="23"/>
      <c r="BV777" s="23"/>
      <c r="BW777" s="23"/>
      <c r="BX777" s="23"/>
      <c r="BY777" s="23"/>
      <c r="BZ777" s="23"/>
      <c r="CA777" s="23"/>
      <c r="CB777" s="23"/>
      <c r="CC777" s="23"/>
      <c r="CD777" s="23"/>
      <c r="CE777" s="23"/>
      <c r="CF777" s="23"/>
      <c r="CG777" s="23"/>
      <c r="CH777" s="23"/>
      <c r="CI777" s="23"/>
      <c r="CJ777" s="23"/>
      <c r="CK777" s="23"/>
      <c r="CL777" s="23"/>
      <c r="CM777" s="23"/>
      <c r="CN777" s="23"/>
      <c r="CO777" s="23"/>
      <c r="CP777" s="23"/>
      <c r="CQ777" s="23"/>
      <c r="CR777" s="23"/>
      <c r="CS777" s="23"/>
      <c r="CT777" s="23"/>
      <c r="CU777" s="23"/>
      <c r="CV777" s="23"/>
      <c r="CW777" s="23"/>
      <c r="CX777" s="23"/>
      <c r="CY777" s="23"/>
      <c r="CZ777" s="23"/>
      <c r="DA777" s="23"/>
      <c r="DB777" s="23"/>
      <c r="DC777" s="23"/>
      <c r="DD777" s="23"/>
      <c r="DE777" s="23"/>
      <c r="DF777" s="23"/>
      <c r="DG777" s="23"/>
      <c r="DH777" s="23"/>
      <c r="DI777" s="23"/>
      <c r="DJ777" s="23"/>
      <c r="DK777" s="23"/>
      <c r="DL777" s="23"/>
      <c r="DM777" s="23"/>
      <c r="DN777" s="23"/>
      <c r="DO777" s="23"/>
      <c r="DP777" s="23"/>
      <c r="DQ777" s="23"/>
      <c r="DR777" s="23"/>
      <c r="DS777" s="23"/>
      <c r="DT777" s="23"/>
      <c r="DU777" s="23"/>
      <c r="DV777" s="23"/>
      <c r="DW777" s="23"/>
      <c r="DX777" s="23"/>
      <c r="DY777" s="23"/>
      <c r="DZ777" s="23"/>
      <c r="EA777" s="23"/>
      <c r="EB777" s="23"/>
      <c r="EC777" s="23"/>
      <c r="ED777" s="23"/>
      <c r="EE777" s="23"/>
      <c r="EF777" s="23"/>
      <c r="EG777" s="23"/>
      <c r="EH777" s="23"/>
      <c r="EI777" s="23"/>
      <c r="EJ777" s="23"/>
      <c r="EK777" s="23"/>
      <c r="EL777" s="23"/>
      <c r="EM777" s="23"/>
      <c r="EN777" s="23"/>
      <c r="EO777" s="23"/>
      <c r="EP777" s="23"/>
      <c r="EQ777" s="23"/>
      <c r="ER777" s="23"/>
      <c r="ES777" s="23"/>
      <c r="ET777" s="23"/>
      <c r="EU777" s="23"/>
      <c r="EV777" s="23"/>
      <c r="EW777" s="23"/>
      <c r="EX777" s="23"/>
      <c r="EY777" s="23"/>
      <c r="EZ777" s="23"/>
      <c r="FA777" s="23"/>
      <c r="FB777" s="23"/>
      <c r="FC777" s="23"/>
      <c r="FD777" s="23"/>
      <c r="FE777" s="23"/>
      <c r="FF777" s="23"/>
      <c r="FG777" s="23"/>
      <c r="FH777" s="23"/>
      <c r="FI777" s="23"/>
      <c r="FJ777" s="23"/>
      <c r="FK777" s="23"/>
      <c r="FL777" s="23"/>
      <c r="FM777" s="23"/>
      <c r="FN777" s="23"/>
      <c r="FO777" s="23"/>
      <c r="FP777" s="23"/>
      <c r="FQ777" s="23"/>
      <c r="FR777" s="23"/>
      <c r="FS777" s="23"/>
      <c r="FT777" s="23"/>
      <c r="FU777" s="23"/>
      <c r="FV777" s="23"/>
      <c r="FW777" s="23"/>
      <c r="FX777" s="23"/>
      <c r="FY777" s="23"/>
      <c r="FZ777" s="23"/>
      <c r="GA777" s="23"/>
      <c r="GB777" s="23"/>
      <c r="GC777" s="23"/>
      <c r="GD777" s="23"/>
      <c r="GE777" s="23"/>
      <c r="GF777" s="23"/>
      <c r="GG777" s="23"/>
      <c r="GH777" s="23"/>
      <c r="GI777" s="23"/>
      <c r="GJ777" s="23"/>
      <c r="GK777" s="23"/>
      <c r="GL777" s="23"/>
    </row>
    <row r="778" spans="1:194" ht="13">
      <c r="A778" s="23"/>
      <c r="B778" s="23"/>
      <c r="C778" s="23"/>
      <c r="D778" s="23"/>
      <c r="E778" s="23"/>
      <c r="F778" s="23"/>
      <c r="G778" s="23"/>
      <c r="H778" s="401"/>
      <c r="I778" s="401"/>
      <c r="J778" s="401"/>
      <c r="K778" s="401"/>
      <c r="L778" s="401"/>
      <c r="M778" s="438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  <c r="AL778" s="23"/>
      <c r="AM778" s="23"/>
      <c r="AN778" s="23"/>
      <c r="AO778" s="23"/>
      <c r="AP778" s="23"/>
      <c r="AQ778" s="23"/>
      <c r="AR778" s="23"/>
      <c r="AS778" s="23"/>
      <c r="AT778" s="23"/>
      <c r="AU778" s="23"/>
      <c r="AV778" s="23"/>
      <c r="AW778" s="23"/>
      <c r="AX778" s="23"/>
      <c r="AY778" s="23"/>
      <c r="AZ778" s="23"/>
      <c r="BA778" s="23"/>
      <c r="BB778" s="23"/>
      <c r="BC778" s="23"/>
      <c r="BD778" s="23"/>
      <c r="BE778" s="23"/>
      <c r="BF778" s="23"/>
      <c r="BG778" s="23"/>
      <c r="BH778" s="23"/>
      <c r="BI778" s="23"/>
      <c r="BJ778" s="23"/>
      <c r="BK778" s="23"/>
      <c r="BL778" s="23"/>
      <c r="BM778" s="23"/>
      <c r="BN778" s="23"/>
      <c r="BO778" s="23"/>
      <c r="BP778" s="23"/>
      <c r="BQ778" s="23"/>
      <c r="BR778" s="23"/>
      <c r="BS778" s="23"/>
      <c r="BT778" s="23"/>
      <c r="BU778" s="23"/>
      <c r="BV778" s="23"/>
      <c r="BW778" s="23"/>
      <c r="BX778" s="23"/>
      <c r="BY778" s="23"/>
      <c r="BZ778" s="23"/>
      <c r="CA778" s="23"/>
      <c r="CB778" s="23"/>
      <c r="CC778" s="23"/>
      <c r="CD778" s="23"/>
      <c r="CE778" s="23"/>
      <c r="CF778" s="23"/>
      <c r="CG778" s="23"/>
      <c r="CH778" s="23"/>
      <c r="CI778" s="23"/>
      <c r="CJ778" s="23"/>
      <c r="CK778" s="23"/>
      <c r="CL778" s="23"/>
      <c r="CM778" s="23"/>
      <c r="CN778" s="23"/>
      <c r="CO778" s="23"/>
      <c r="CP778" s="23"/>
      <c r="CQ778" s="23"/>
      <c r="CR778" s="23"/>
      <c r="CS778" s="23"/>
      <c r="CT778" s="23"/>
      <c r="CU778" s="23"/>
      <c r="CV778" s="23"/>
      <c r="CW778" s="23"/>
      <c r="CX778" s="23"/>
      <c r="CY778" s="23"/>
      <c r="CZ778" s="23"/>
      <c r="DA778" s="23"/>
      <c r="DB778" s="23"/>
      <c r="DC778" s="23"/>
      <c r="DD778" s="23"/>
      <c r="DE778" s="23"/>
      <c r="DF778" s="23"/>
      <c r="DG778" s="23"/>
      <c r="DH778" s="23"/>
      <c r="DI778" s="23"/>
      <c r="DJ778" s="23"/>
      <c r="DK778" s="23"/>
      <c r="DL778" s="23"/>
      <c r="DM778" s="23"/>
      <c r="DN778" s="23"/>
      <c r="DO778" s="23"/>
      <c r="DP778" s="23"/>
      <c r="DQ778" s="23"/>
      <c r="DR778" s="23"/>
      <c r="DS778" s="23"/>
      <c r="DT778" s="23"/>
      <c r="DU778" s="23"/>
      <c r="DV778" s="23"/>
      <c r="DW778" s="23"/>
      <c r="DX778" s="23"/>
      <c r="DY778" s="23"/>
      <c r="DZ778" s="23"/>
      <c r="EA778" s="23"/>
      <c r="EB778" s="23"/>
      <c r="EC778" s="23"/>
      <c r="ED778" s="23"/>
      <c r="EE778" s="23"/>
      <c r="EF778" s="23"/>
      <c r="EG778" s="23"/>
      <c r="EH778" s="23"/>
      <c r="EI778" s="23"/>
      <c r="EJ778" s="23"/>
      <c r="EK778" s="23"/>
      <c r="EL778" s="23"/>
      <c r="EM778" s="23"/>
      <c r="EN778" s="23"/>
      <c r="EO778" s="23"/>
      <c r="EP778" s="23"/>
      <c r="EQ778" s="23"/>
      <c r="ER778" s="23"/>
      <c r="ES778" s="23"/>
      <c r="ET778" s="23"/>
      <c r="EU778" s="23"/>
      <c r="EV778" s="23"/>
      <c r="EW778" s="23"/>
      <c r="EX778" s="23"/>
      <c r="EY778" s="23"/>
      <c r="EZ778" s="23"/>
      <c r="FA778" s="23"/>
      <c r="FB778" s="23"/>
      <c r="FC778" s="23"/>
      <c r="FD778" s="23"/>
      <c r="FE778" s="23"/>
      <c r="FF778" s="23"/>
      <c r="FG778" s="23"/>
      <c r="FH778" s="23"/>
      <c r="FI778" s="23"/>
      <c r="FJ778" s="23"/>
      <c r="FK778" s="23"/>
      <c r="FL778" s="23"/>
      <c r="FM778" s="23"/>
      <c r="FN778" s="23"/>
      <c r="FO778" s="23"/>
      <c r="FP778" s="23"/>
      <c r="FQ778" s="23"/>
      <c r="FR778" s="23"/>
      <c r="FS778" s="23"/>
      <c r="FT778" s="23"/>
      <c r="FU778" s="23"/>
      <c r="FV778" s="23"/>
      <c r="FW778" s="23"/>
      <c r="FX778" s="23"/>
      <c r="FY778" s="23"/>
      <c r="FZ778" s="23"/>
      <c r="GA778" s="23"/>
      <c r="GB778" s="23"/>
      <c r="GC778" s="23"/>
      <c r="GD778" s="23"/>
      <c r="GE778" s="23"/>
      <c r="GF778" s="23"/>
      <c r="GG778" s="23"/>
      <c r="GH778" s="23"/>
      <c r="GI778" s="23"/>
      <c r="GJ778" s="23"/>
      <c r="GK778" s="23"/>
      <c r="GL778" s="23"/>
    </row>
    <row r="779" spans="1:194" ht="13">
      <c r="A779" s="23"/>
      <c r="B779" s="23"/>
      <c r="C779" s="23"/>
      <c r="D779" s="23"/>
      <c r="E779" s="23"/>
      <c r="F779" s="23"/>
      <c r="G779" s="23"/>
      <c r="H779" s="401"/>
      <c r="I779" s="401"/>
      <c r="J779" s="401"/>
      <c r="K779" s="401"/>
      <c r="L779" s="401"/>
      <c r="M779" s="438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  <c r="AL779" s="23"/>
      <c r="AM779" s="23"/>
      <c r="AN779" s="23"/>
      <c r="AO779" s="23"/>
      <c r="AP779" s="23"/>
      <c r="AQ779" s="23"/>
      <c r="AR779" s="23"/>
      <c r="AS779" s="23"/>
      <c r="AT779" s="23"/>
      <c r="AU779" s="23"/>
      <c r="AV779" s="23"/>
      <c r="AW779" s="23"/>
      <c r="AX779" s="23"/>
      <c r="AY779" s="23"/>
      <c r="AZ779" s="23"/>
      <c r="BA779" s="23"/>
      <c r="BB779" s="23"/>
      <c r="BC779" s="23"/>
      <c r="BD779" s="23"/>
      <c r="BE779" s="23"/>
      <c r="BF779" s="23"/>
      <c r="BG779" s="23"/>
      <c r="BH779" s="23"/>
      <c r="BI779" s="23"/>
      <c r="BJ779" s="23"/>
      <c r="BK779" s="23"/>
      <c r="BL779" s="23"/>
      <c r="BM779" s="23"/>
      <c r="BN779" s="23"/>
      <c r="BO779" s="23"/>
      <c r="BP779" s="23"/>
      <c r="BQ779" s="23"/>
      <c r="BR779" s="23"/>
      <c r="BS779" s="23"/>
      <c r="BT779" s="23"/>
      <c r="BU779" s="23"/>
      <c r="BV779" s="23"/>
      <c r="BW779" s="23"/>
      <c r="BX779" s="23"/>
      <c r="BY779" s="23"/>
      <c r="BZ779" s="23"/>
      <c r="CA779" s="23"/>
      <c r="CB779" s="23"/>
      <c r="CC779" s="23"/>
      <c r="CD779" s="23"/>
      <c r="CE779" s="23"/>
      <c r="CF779" s="23"/>
      <c r="CG779" s="23"/>
      <c r="CH779" s="23"/>
      <c r="CI779" s="23"/>
      <c r="CJ779" s="23"/>
      <c r="CK779" s="23"/>
      <c r="CL779" s="23"/>
      <c r="CM779" s="23"/>
      <c r="CN779" s="23"/>
      <c r="CO779" s="23"/>
      <c r="CP779" s="23"/>
      <c r="CQ779" s="23"/>
      <c r="CR779" s="23"/>
      <c r="CS779" s="23"/>
      <c r="CT779" s="23"/>
      <c r="CU779" s="23"/>
      <c r="CV779" s="23"/>
      <c r="CW779" s="23"/>
      <c r="CX779" s="23"/>
      <c r="CY779" s="23"/>
      <c r="CZ779" s="23"/>
      <c r="DA779" s="23"/>
      <c r="DB779" s="23"/>
      <c r="DC779" s="23"/>
      <c r="DD779" s="23"/>
      <c r="DE779" s="23"/>
      <c r="DF779" s="23"/>
      <c r="DG779" s="23"/>
      <c r="DH779" s="23"/>
      <c r="DI779" s="23"/>
      <c r="DJ779" s="23"/>
      <c r="DK779" s="23"/>
      <c r="DL779" s="23"/>
      <c r="DM779" s="23"/>
      <c r="DN779" s="23"/>
      <c r="DO779" s="23"/>
      <c r="DP779" s="23"/>
      <c r="DQ779" s="23"/>
      <c r="DR779" s="23"/>
      <c r="DS779" s="23"/>
      <c r="DT779" s="23"/>
      <c r="DU779" s="23"/>
      <c r="DV779" s="23"/>
      <c r="DW779" s="23"/>
      <c r="DX779" s="23"/>
      <c r="DY779" s="23"/>
      <c r="DZ779" s="23"/>
      <c r="EA779" s="23"/>
      <c r="EB779" s="23"/>
      <c r="EC779" s="23"/>
      <c r="ED779" s="23"/>
      <c r="EE779" s="23"/>
      <c r="EF779" s="23"/>
      <c r="EG779" s="23"/>
      <c r="EH779" s="23"/>
      <c r="EI779" s="23"/>
      <c r="EJ779" s="23"/>
      <c r="EK779" s="23"/>
      <c r="EL779" s="23"/>
      <c r="EM779" s="23"/>
      <c r="EN779" s="23"/>
      <c r="EO779" s="23"/>
      <c r="EP779" s="23"/>
      <c r="EQ779" s="23"/>
      <c r="ER779" s="23"/>
      <c r="ES779" s="23"/>
      <c r="ET779" s="23"/>
      <c r="EU779" s="23"/>
      <c r="EV779" s="23"/>
      <c r="EW779" s="23"/>
      <c r="EX779" s="23"/>
      <c r="EY779" s="23"/>
      <c r="EZ779" s="23"/>
      <c r="FA779" s="23"/>
      <c r="FB779" s="23"/>
      <c r="FC779" s="23"/>
      <c r="FD779" s="23"/>
      <c r="FE779" s="23"/>
      <c r="FF779" s="23"/>
      <c r="FG779" s="23"/>
      <c r="FH779" s="23"/>
      <c r="FI779" s="23"/>
      <c r="FJ779" s="23"/>
      <c r="FK779" s="23"/>
      <c r="FL779" s="23"/>
      <c r="FM779" s="23"/>
      <c r="FN779" s="23"/>
      <c r="FO779" s="23"/>
      <c r="FP779" s="23"/>
      <c r="FQ779" s="23"/>
      <c r="FR779" s="23"/>
      <c r="FS779" s="23"/>
      <c r="FT779" s="23"/>
      <c r="FU779" s="23"/>
      <c r="FV779" s="23"/>
      <c r="FW779" s="23"/>
      <c r="FX779" s="23"/>
      <c r="FY779" s="23"/>
      <c r="FZ779" s="23"/>
      <c r="GA779" s="23"/>
      <c r="GB779" s="23"/>
      <c r="GC779" s="23"/>
      <c r="GD779" s="23"/>
      <c r="GE779" s="23"/>
      <c r="GF779" s="23"/>
      <c r="GG779" s="23"/>
      <c r="GH779" s="23"/>
      <c r="GI779" s="23"/>
      <c r="GJ779" s="23"/>
      <c r="GK779" s="23"/>
      <c r="GL779" s="23"/>
    </row>
    <row r="780" spans="1:194" ht="13">
      <c r="A780" s="23"/>
      <c r="B780" s="23"/>
      <c r="C780" s="23"/>
      <c r="D780" s="23"/>
      <c r="E780" s="23"/>
      <c r="F780" s="23"/>
      <c r="G780" s="23"/>
      <c r="H780" s="401"/>
      <c r="I780" s="401"/>
      <c r="J780" s="401"/>
      <c r="K780" s="401"/>
      <c r="L780" s="401"/>
      <c r="M780" s="438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  <c r="AL780" s="23"/>
      <c r="AM780" s="23"/>
      <c r="AN780" s="23"/>
      <c r="AO780" s="23"/>
      <c r="AP780" s="23"/>
      <c r="AQ780" s="23"/>
      <c r="AR780" s="23"/>
      <c r="AS780" s="23"/>
      <c r="AT780" s="23"/>
      <c r="AU780" s="23"/>
      <c r="AV780" s="23"/>
      <c r="AW780" s="23"/>
      <c r="AX780" s="23"/>
      <c r="AY780" s="23"/>
      <c r="AZ780" s="23"/>
      <c r="BA780" s="23"/>
      <c r="BB780" s="23"/>
      <c r="BC780" s="23"/>
      <c r="BD780" s="23"/>
      <c r="BE780" s="23"/>
      <c r="BF780" s="23"/>
      <c r="BG780" s="23"/>
      <c r="BH780" s="23"/>
      <c r="BI780" s="23"/>
      <c r="BJ780" s="23"/>
      <c r="BK780" s="23"/>
      <c r="BL780" s="23"/>
      <c r="BM780" s="23"/>
      <c r="BN780" s="23"/>
      <c r="BO780" s="23"/>
      <c r="BP780" s="23"/>
      <c r="BQ780" s="23"/>
      <c r="BR780" s="23"/>
      <c r="BS780" s="23"/>
      <c r="BT780" s="23"/>
      <c r="BU780" s="23"/>
      <c r="BV780" s="23"/>
      <c r="BW780" s="23"/>
      <c r="BX780" s="23"/>
      <c r="BY780" s="23"/>
      <c r="BZ780" s="23"/>
      <c r="CA780" s="23"/>
      <c r="CB780" s="23"/>
      <c r="CC780" s="23"/>
      <c r="CD780" s="23"/>
      <c r="CE780" s="23"/>
      <c r="CF780" s="23"/>
      <c r="CG780" s="23"/>
      <c r="CH780" s="23"/>
      <c r="CI780" s="23"/>
      <c r="CJ780" s="23"/>
      <c r="CK780" s="23"/>
      <c r="CL780" s="23"/>
      <c r="CM780" s="23"/>
      <c r="CN780" s="23"/>
      <c r="CO780" s="23"/>
      <c r="CP780" s="23"/>
      <c r="CQ780" s="23"/>
      <c r="CR780" s="23"/>
      <c r="CS780" s="23"/>
      <c r="CT780" s="23"/>
      <c r="CU780" s="23"/>
      <c r="CV780" s="23"/>
      <c r="CW780" s="23"/>
      <c r="CX780" s="23"/>
      <c r="CY780" s="23"/>
      <c r="CZ780" s="23"/>
      <c r="DA780" s="23"/>
      <c r="DB780" s="23"/>
      <c r="DC780" s="23"/>
      <c r="DD780" s="23"/>
      <c r="DE780" s="23"/>
      <c r="DF780" s="23"/>
      <c r="DG780" s="23"/>
      <c r="DH780" s="23"/>
      <c r="DI780" s="23"/>
      <c r="DJ780" s="23"/>
      <c r="DK780" s="23"/>
      <c r="DL780" s="23"/>
      <c r="DM780" s="23"/>
      <c r="DN780" s="23"/>
      <c r="DO780" s="23"/>
      <c r="DP780" s="23"/>
      <c r="DQ780" s="23"/>
      <c r="DR780" s="23"/>
      <c r="DS780" s="23"/>
      <c r="DT780" s="23"/>
      <c r="DU780" s="23"/>
      <c r="DV780" s="23"/>
      <c r="DW780" s="23"/>
      <c r="DX780" s="23"/>
      <c r="DY780" s="23"/>
      <c r="DZ780" s="23"/>
      <c r="EA780" s="23"/>
      <c r="EB780" s="23"/>
      <c r="EC780" s="23"/>
      <c r="ED780" s="23"/>
      <c r="EE780" s="23"/>
      <c r="EF780" s="23"/>
      <c r="EG780" s="23"/>
      <c r="EH780" s="23"/>
      <c r="EI780" s="23"/>
      <c r="EJ780" s="23"/>
      <c r="EK780" s="23"/>
      <c r="EL780" s="23"/>
      <c r="EM780" s="23"/>
      <c r="EN780" s="23"/>
      <c r="EO780" s="23"/>
      <c r="EP780" s="23"/>
      <c r="EQ780" s="23"/>
      <c r="ER780" s="23"/>
      <c r="ES780" s="23"/>
      <c r="ET780" s="23"/>
      <c r="EU780" s="23"/>
      <c r="EV780" s="23"/>
      <c r="EW780" s="23"/>
      <c r="EX780" s="23"/>
      <c r="EY780" s="23"/>
      <c r="EZ780" s="23"/>
      <c r="FA780" s="23"/>
      <c r="FB780" s="23"/>
      <c r="FC780" s="23"/>
      <c r="FD780" s="23"/>
      <c r="FE780" s="23"/>
      <c r="FF780" s="23"/>
      <c r="FG780" s="23"/>
      <c r="FH780" s="23"/>
      <c r="FI780" s="23"/>
      <c r="FJ780" s="23"/>
      <c r="FK780" s="23"/>
      <c r="FL780" s="23"/>
      <c r="FM780" s="23"/>
      <c r="FN780" s="23"/>
      <c r="FO780" s="23"/>
      <c r="FP780" s="23"/>
      <c r="FQ780" s="23"/>
      <c r="FR780" s="23"/>
      <c r="FS780" s="23"/>
      <c r="FT780" s="23"/>
      <c r="FU780" s="23"/>
      <c r="FV780" s="23"/>
      <c r="FW780" s="23"/>
      <c r="FX780" s="23"/>
      <c r="FY780" s="23"/>
      <c r="FZ780" s="23"/>
      <c r="GA780" s="23"/>
      <c r="GB780" s="23"/>
      <c r="GC780" s="23"/>
      <c r="GD780" s="23"/>
      <c r="GE780" s="23"/>
      <c r="GF780" s="23"/>
      <c r="GG780" s="23"/>
      <c r="GH780" s="23"/>
      <c r="GI780" s="23"/>
      <c r="GJ780" s="23"/>
      <c r="GK780" s="23"/>
      <c r="GL780" s="23"/>
    </row>
    <row r="781" spans="1:194" ht="13">
      <c r="A781" s="23"/>
      <c r="B781" s="23"/>
      <c r="C781" s="23"/>
      <c r="D781" s="23"/>
      <c r="E781" s="23"/>
      <c r="F781" s="23"/>
      <c r="G781" s="23"/>
      <c r="H781" s="401"/>
      <c r="I781" s="401"/>
      <c r="J781" s="401"/>
      <c r="K781" s="401"/>
      <c r="L781" s="401"/>
      <c r="M781" s="438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  <c r="AL781" s="23"/>
      <c r="AM781" s="23"/>
      <c r="AN781" s="23"/>
      <c r="AO781" s="23"/>
      <c r="AP781" s="23"/>
      <c r="AQ781" s="23"/>
      <c r="AR781" s="23"/>
      <c r="AS781" s="23"/>
      <c r="AT781" s="23"/>
      <c r="AU781" s="23"/>
      <c r="AV781" s="23"/>
      <c r="AW781" s="23"/>
      <c r="AX781" s="23"/>
      <c r="AY781" s="23"/>
      <c r="AZ781" s="23"/>
      <c r="BA781" s="23"/>
      <c r="BB781" s="23"/>
      <c r="BC781" s="23"/>
      <c r="BD781" s="23"/>
      <c r="BE781" s="23"/>
      <c r="BF781" s="23"/>
      <c r="BG781" s="23"/>
      <c r="BH781" s="23"/>
      <c r="BI781" s="23"/>
      <c r="BJ781" s="23"/>
      <c r="BK781" s="23"/>
      <c r="BL781" s="23"/>
      <c r="BM781" s="23"/>
      <c r="BN781" s="23"/>
      <c r="BO781" s="23"/>
      <c r="BP781" s="23"/>
      <c r="BQ781" s="23"/>
      <c r="BR781" s="23"/>
      <c r="BS781" s="23"/>
      <c r="BT781" s="23"/>
      <c r="BU781" s="23"/>
      <c r="BV781" s="23"/>
      <c r="BW781" s="23"/>
      <c r="BX781" s="23"/>
      <c r="BY781" s="23"/>
      <c r="BZ781" s="23"/>
      <c r="CA781" s="23"/>
      <c r="CB781" s="23"/>
      <c r="CC781" s="23"/>
      <c r="CD781" s="23"/>
      <c r="CE781" s="23"/>
      <c r="CF781" s="23"/>
      <c r="CG781" s="23"/>
      <c r="CH781" s="23"/>
      <c r="CI781" s="23"/>
      <c r="CJ781" s="23"/>
      <c r="CK781" s="23"/>
      <c r="CL781" s="23"/>
      <c r="CM781" s="23"/>
      <c r="CN781" s="23"/>
      <c r="CO781" s="23"/>
      <c r="CP781" s="23"/>
      <c r="CQ781" s="23"/>
      <c r="CR781" s="23"/>
      <c r="CS781" s="23"/>
      <c r="CT781" s="23"/>
      <c r="CU781" s="23"/>
      <c r="CV781" s="23"/>
      <c r="CW781" s="23"/>
      <c r="CX781" s="23"/>
      <c r="CY781" s="23"/>
      <c r="CZ781" s="23"/>
      <c r="DA781" s="23"/>
      <c r="DB781" s="23"/>
      <c r="DC781" s="23"/>
      <c r="DD781" s="23"/>
      <c r="DE781" s="23"/>
      <c r="DF781" s="23"/>
      <c r="DG781" s="23"/>
      <c r="DH781" s="23"/>
      <c r="DI781" s="23"/>
      <c r="DJ781" s="23"/>
      <c r="DK781" s="23"/>
      <c r="DL781" s="23"/>
      <c r="DM781" s="23"/>
      <c r="DN781" s="23"/>
      <c r="DO781" s="23"/>
      <c r="DP781" s="23"/>
      <c r="DQ781" s="23"/>
      <c r="DR781" s="23"/>
      <c r="DS781" s="23"/>
      <c r="DT781" s="23"/>
      <c r="DU781" s="23"/>
      <c r="DV781" s="23"/>
      <c r="DW781" s="23"/>
      <c r="DX781" s="23"/>
      <c r="DY781" s="23"/>
      <c r="DZ781" s="23"/>
      <c r="EA781" s="23"/>
      <c r="EB781" s="23"/>
      <c r="EC781" s="23"/>
      <c r="ED781" s="23"/>
      <c r="EE781" s="23"/>
      <c r="EF781" s="23"/>
      <c r="EG781" s="23"/>
      <c r="EH781" s="23"/>
      <c r="EI781" s="23"/>
      <c r="EJ781" s="23"/>
      <c r="EK781" s="23"/>
      <c r="EL781" s="23"/>
      <c r="EM781" s="23"/>
      <c r="EN781" s="23"/>
      <c r="EO781" s="23"/>
      <c r="EP781" s="23"/>
      <c r="EQ781" s="23"/>
      <c r="ER781" s="23"/>
      <c r="ES781" s="23"/>
      <c r="ET781" s="23"/>
      <c r="EU781" s="23"/>
      <c r="EV781" s="23"/>
      <c r="EW781" s="23"/>
      <c r="EX781" s="23"/>
      <c r="EY781" s="23"/>
      <c r="EZ781" s="23"/>
      <c r="FA781" s="23"/>
      <c r="FB781" s="23"/>
      <c r="FC781" s="23"/>
      <c r="FD781" s="23"/>
      <c r="FE781" s="23"/>
      <c r="FF781" s="23"/>
      <c r="FG781" s="23"/>
      <c r="FH781" s="23"/>
      <c r="FI781" s="23"/>
      <c r="FJ781" s="23"/>
      <c r="FK781" s="23"/>
      <c r="FL781" s="23"/>
      <c r="FM781" s="23"/>
      <c r="FN781" s="23"/>
      <c r="FO781" s="23"/>
      <c r="FP781" s="23"/>
      <c r="FQ781" s="23"/>
      <c r="FR781" s="23"/>
      <c r="FS781" s="23"/>
      <c r="FT781" s="23"/>
      <c r="FU781" s="23"/>
      <c r="FV781" s="23"/>
      <c r="FW781" s="23"/>
      <c r="FX781" s="23"/>
      <c r="FY781" s="23"/>
      <c r="FZ781" s="23"/>
      <c r="GA781" s="23"/>
      <c r="GB781" s="23"/>
      <c r="GC781" s="23"/>
      <c r="GD781" s="23"/>
      <c r="GE781" s="23"/>
      <c r="GF781" s="23"/>
      <c r="GG781" s="23"/>
      <c r="GH781" s="23"/>
      <c r="GI781" s="23"/>
      <c r="GJ781" s="23"/>
      <c r="GK781" s="23"/>
      <c r="GL781" s="23"/>
    </row>
    <row r="782" spans="1:194" ht="13">
      <c r="A782" s="23"/>
      <c r="B782" s="23"/>
      <c r="C782" s="23"/>
      <c r="D782" s="23"/>
      <c r="E782" s="23"/>
      <c r="F782" s="23"/>
      <c r="G782" s="23"/>
      <c r="H782" s="401"/>
      <c r="I782" s="401"/>
      <c r="J782" s="401"/>
      <c r="K782" s="401"/>
      <c r="L782" s="401"/>
      <c r="M782" s="438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  <c r="AL782" s="23"/>
      <c r="AM782" s="23"/>
      <c r="AN782" s="23"/>
      <c r="AO782" s="23"/>
      <c r="AP782" s="23"/>
      <c r="AQ782" s="23"/>
      <c r="AR782" s="23"/>
      <c r="AS782" s="23"/>
      <c r="AT782" s="23"/>
      <c r="AU782" s="23"/>
      <c r="AV782" s="23"/>
      <c r="AW782" s="23"/>
      <c r="AX782" s="23"/>
      <c r="AY782" s="23"/>
      <c r="AZ782" s="23"/>
      <c r="BA782" s="23"/>
      <c r="BB782" s="23"/>
      <c r="BC782" s="23"/>
      <c r="BD782" s="23"/>
      <c r="BE782" s="23"/>
      <c r="BF782" s="23"/>
      <c r="BG782" s="23"/>
      <c r="BH782" s="23"/>
      <c r="BI782" s="23"/>
      <c r="BJ782" s="23"/>
      <c r="BK782" s="23"/>
      <c r="BL782" s="23"/>
      <c r="BM782" s="23"/>
      <c r="BN782" s="23"/>
      <c r="BO782" s="23"/>
      <c r="BP782" s="23"/>
      <c r="BQ782" s="23"/>
      <c r="BR782" s="23"/>
      <c r="BS782" s="23"/>
      <c r="BT782" s="23"/>
      <c r="BU782" s="23"/>
      <c r="BV782" s="23"/>
      <c r="BW782" s="23"/>
      <c r="BX782" s="23"/>
      <c r="BY782" s="23"/>
      <c r="BZ782" s="23"/>
      <c r="CA782" s="23"/>
      <c r="CB782" s="23"/>
      <c r="CC782" s="23"/>
      <c r="CD782" s="23"/>
      <c r="CE782" s="23"/>
      <c r="CF782" s="23"/>
      <c r="CG782" s="23"/>
      <c r="CH782" s="23"/>
      <c r="CI782" s="23"/>
      <c r="CJ782" s="23"/>
      <c r="CK782" s="23"/>
      <c r="CL782" s="23"/>
      <c r="CM782" s="23"/>
      <c r="CN782" s="23"/>
      <c r="CO782" s="23"/>
      <c r="CP782" s="23"/>
      <c r="CQ782" s="23"/>
      <c r="CR782" s="23"/>
      <c r="CS782" s="23"/>
      <c r="CT782" s="23"/>
      <c r="CU782" s="23"/>
      <c r="CV782" s="23"/>
      <c r="CW782" s="23"/>
      <c r="CX782" s="23"/>
      <c r="CY782" s="23"/>
      <c r="CZ782" s="23"/>
      <c r="DA782" s="23"/>
      <c r="DB782" s="23"/>
      <c r="DC782" s="23"/>
      <c r="DD782" s="23"/>
      <c r="DE782" s="23"/>
      <c r="DF782" s="23"/>
      <c r="DG782" s="23"/>
      <c r="DH782" s="23"/>
      <c r="DI782" s="23"/>
      <c r="DJ782" s="23"/>
      <c r="DK782" s="23"/>
      <c r="DL782" s="23"/>
      <c r="DM782" s="23"/>
      <c r="DN782" s="23"/>
      <c r="DO782" s="23"/>
      <c r="DP782" s="23"/>
      <c r="DQ782" s="23"/>
      <c r="DR782" s="23"/>
      <c r="DS782" s="23"/>
      <c r="DT782" s="23"/>
      <c r="DU782" s="23"/>
      <c r="DV782" s="23"/>
      <c r="DW782" s="23"/>
      <c r="DX782" s="23"/>
      <c r="DY782" s="23"/>
      <c r="DZ782" s="23"/>
      <c r="EA782" s="23"/>
      <c r="EB782" s="23"/>
      <c r="EC782" s="23"/>
      <c r="ED782" s="23"/>
      <c r="EE782" s="23"/>
      <c r="EF782" s="23"/>
      <c r="EG782" s="23"/>
      <c r="EH782" s="23"/>
      <c r="EI782" s="23"/>
      <c r="EJ782" s="23"/>
      <c r="EK782" s="23"/>
      <c r="EL782" s="23"/>
      <c r="EM782" s="23"/>
      <c r="EN782" s="23"/>
      <c r="EO782" s="23"/>
      <c r="EP782" s="23"/>
      <c r="EQ782" s="23"/>
      <c r="ER782" s="23"/>
      <c r="ES782" s="23"/>
      <c r="ET782" s="23"/>
      <c r="EU782" s="23"/>
      <c r="EV782" s="23"/>
      <c r="EW782" s="23"/>
      <c r="EX782" s="23"/>
      <c r="EY782" s="23"/>
      <c r="EZ782" s="23"/>
      <c r="FA782" s="23"/>
      <c r="FB782" s="23"/>
      <c r="FC782" s="23"/>
      <c r="FD782" s="23"/>
      <c r="FE782" s="23"/>
      <c r="FF782" s="23"/>
      <c r="FG782" s="23"/>
      <c r="FH782" s="23"/>
      <c r="FI782" s="23"/>
      <c r="FJ782" s="23"/>
      <c r="FK782" s="23"/>
      <c r="FL782" s="23"/>
      <c r="FM782" s="23"/>
      <c r="FN782" s="23"/>
      <c r="FO782" s="23"/>
      <c r="FP782" s="23"/>
      <c r="FQ782" s="23"/>
      <c r="FR782" s="23"/>
      <c r="FS782" s="23"/>
      <c r="FT782" s="23"/>
      <c r="FU782" s="23"/>
      <c r="FV782" s="23"/>
      <c r="FW782" s="23"/>
      <c r="FX782" s="23"/>
      <c r="FY782" s="23"/>
      <c r="FZ782" s="23"/>
      <c r="GA782" s="23"/>
      <c r="GB782" s="23"/>
      <c r="GC782" s="23"/>
      <c r="GD782" s="23"/>
      <c r="GE782" s="23"/>
      <c r="GF782" s="23"/>
      <c r="GG782" s="23"/>
      <c r="GH782" s="23"/>
      <c r="GI782" s="23"/>
      <c r="GJ782" s="23"/>
      <c r="GK782" s="23"/>
      <c r="GL782" s="23"/>
    </row>
    <row r="783" spans="1:194" ht="13">
      <c r="A783" s="23"/>
      <c r="B783" s="23"/>
      <c r="C783" s="23"/>
      <c r="D783" s="23"/>
      <c r="E783" s="23"/>
      <c r="F783" s="23"/>
      <c r="G783" s="23"/>
      <c r="H783" s="401"/>
      <c r="I783" s="401"/>
      <c r="J783" s="401"/>
      <c r="K783" s="401"/>
      <c r="L783" s="401"/>
      <c r="M783" s="438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  <c r="AL783" s="23"/>
      <c r="AM783" s="23"/>
      <c r="AN783" s="23"/>
      <c r="AO783" s="23"/>
      <c r="AP783" s="23"/>
      <c r="AQ783" s="23"/>
      <c r="AR783" s="23"/>
      <c r="AS783" s="23"/>
      <c r="AT783" s="23"/>
      <c r="AU783" s="23"/>
      <c r="AV783" s="23"/>
      <c r="AW783" s="23"/>
      <c r="AX783" s="23"/>
      <c r="AY783" s="23"/>
      <c r="AZ783" s="23"/>
      <c r="BA783" s="23"/>
      <c r="BB783" s="23"/>
      <c r="BC783" s="23"/>
      <c r="BD783" s="23"/>
      <c r="BE783" s="23"/>
      <c r="BF783" s="23"/>
      <c r="BG783" s="23"/>
      <c r="BH783" s="23"/>
      <c r="BI783" s="23"/>
      <c r="BJ783" s="23"/>
      <c r="BK783" s="23"/>
      <c r="BL783" s="23"/>
      <c r="BM783" s="23"/>
      <c r="BN783" s="23"/>
      <c r="BO783" s="23"/>
      <c r="BP783" s="23"/>
      <c r="BQ783" s="23"/>
      <c r="BR783" s="23"/>
      <c r="BS783" s="23"/>
      <c r="BT783" s="23"/>
      <c r="BU783" s="23"/>
      <c r="BV783" s="23"/>
      <c r="BW783" s="23"/>
      <c r="BX783" s="23"/>
      <c r="BY783" s="23"/>
      <c r="BZ783" s="23"/>
      <c r="CA783" s="23"/>
      <c r="CB783" s="23"/>
      <c r="CC783" s="23"/>
      <c r="CD783" s="23"/>
      <c r="CE783" s="23"/>
      <c r="CF783" s="23"/>
      <c r="CG783" s="23"/>
      <c r="CH783" s="23"/>
      <c r="CI783" s="23"/>
      <c r="CJ783" s="23"/>
      <c r="CK783" s="23"/>
      <c r="CL783" s="23"/>
      <c r="CM783" s="23"/>
      <c r="CN783" s="23"/>
      <c r="CO783" s="23"/>
      <c r="CP783" s="23"/>
      <c r="CQ783" s="23"/>
      <c r="CR783" s="23"/>
      <c r="CS783" s="23"/>
      <c r="CT783" s="23"/>
      <c r="CU783" s="23"/>
      <c r="CV783" s="23"/>
      <c r="CW783" s="23"/>
      <c r="CX783" s="23"/>
      <c r="CY783" s="23"/>
      <c r="CZ783" s="23"/>
      <c r="DA783" s="23"/>
      <c r="DB783" s="23"/>
      <c r="DC783" s="23"/>
      <c r="DD783" s="23"/>
      <c r="DE783" s="23"/>
      <c r="DF783" s="23"/>
      <c r="DG783" s="23"/>
      <c r="DH783" s="23"/>
      <c r="DI783" s="23"/>
      <c r="DJ783" s="23"/>
      <c r="DK783" s="23"/>
      <c r="DL783" s="23"/>
      <c r="DM783" s="23"/>
      <c r="DN783" s="23"/>
      <c r="DO783" s="23"/>
      <c r="DP783" s="23"/>
      <c r="DQ783" s="23"/>
      <c r="DR783" s="23"/>
      <c r="DS783" s="23"/>
      <c r="DT783" s="23"/>
      <c r="DU783" s="23"/>
      <c r="DV783" s="23"/>
      <c r="DW783" s="23"/>
      <c r="DX783" s="23"/>
      <c r="DY783" s="23"/>
      <c r="DZ783" s="23"/>
      <c r="EA783" s="23"/>
      <c r="EB783" s="23"/>
      <c r="EC783" s="23"/>
      <c r="ED783" s="23"/>
      <c r="EE783" s="23"/>
      <c r="EF783" s="23"/>
      <c r="EG783" s="23"/>
      <c r="EH783" s="23"/>
      <c r="EI783" s="23"/>
      <c r="EJ783" s="23"/>
      <c r="EK783" s="23"/>
      <c r="EL783" s="23"/>
      <c r="EM783" s="23"/>
      <c r="EN783" s="23"/>
      <c r="EO783" s="23"/>
      <c r="EP783" s="23"/>
      <c r="EQ783" s="23"/>
      <c r="ER783" s="23"/>
      <c r="ES783" s="23"/>
      <c r="ET783" s="23"/>
      <c r="EU783" s="23"/>
      <c r="EV783" s="23"/>
      <c r="EW783" s="23"/>
      <c r="EX783" s="23"/>
      <c r="EY783" s="23"/>
      <c r="EZ783" s="23"/>
      <c r="FA783" s="23"/>
      <c r="FB783" s="23"/>
      <c r="FC783" s="23"/>
      <c r="FD783" s="23"/>
      <c r="FE783" s="23"/>
      <c r="FF783" s="23"/>
      <c r="FG783" s="23"/>
      <c r="FH783" s="23"/>
      <c r="FI783" s="23"/>
      <c r="FJ783" s="23"/>
      <c r="FK783" s="23"/>
      <c r="FL783" s="23"/>
      <c r="FM783" s="23"/>
      <c r="FN783" s="23"/>
      <c r="FO783" s="23"/>
      <c r="FP783" s="23"/>
      <c r="FQ783" s="23"/>
      <c r="FR783" s="23"/>
      <c r="FS783" s="23"/>
      <c r="FT783" s="23"/>
      <c r="FU783" s="23"/>
      <c r="FV783" s="23"/>
      <c r="FW783" s="23"/>
      <c r="FX783" s="23"/>
      <c r="FY783" s="23"/>
      <c r="FZ783" s="23"/>
      <c r="GA783" s="23"/>
      <c r="GB783" s="23"/>
      <c r="GC783" s="23"/>
      <c r="GD783" s="23"/>
      <c r="GE783" s="23"/>
      <c r="GF783" s="23"/>
      <c r="GG783" s="23"/>
      <c r="GH783" s="23"/>
      <c r="GI783" s="23"/>
      <c r="GJ783" s="23"/>
      <c r="GK783" s="23"/>
      <c r="GL783" s="23"/>
    </row>
    <row r="784" spans="1:194" ht="13">
      <c r="A784" s="23"/>
      <c r="B784" s="23"/>
      <c r="C784" s="23"/>
      <c r="D784" s="23"/>
      <c r="E784" s="23"/>
      <c r="F784" s="23"/>
      <c r="G784" s="23"/>
      <c r="H784" s="401"/>
      <c r="I784" s="401"/>
      <c r="J784" s="401"/>
      <c r="K784" s="401"/>
      <c r="L784" s="401"/>
      <c r="M784" s="438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  <c r="AL784" s="23"/>
      <c r="AM784" s="23"/>
      <c r="AN784" s="23"/>
      <c r="AO784" s="23"/>
      <c r="AP784" s="23"/>
      <c r="AQ784" s="23"/>
      <c r="AR784" s="23"/>
      <c r="AS784" s="23"/>
      <c r="AT784" s="23"/>
      <c r="AU784" s="23"/>
      <c r="AV784" s="23"/>
      <c r="AW784" s="23"/>
      <c r="AX784" s="23"/>
      <c r="AY784" s="23"/>
      <c r="AZ784" s="23"/>
      <c r="BA784" s="23"/>
      <c r="BB784" s="23"/>
      <c r="BC784" s="23"/>
      <c r="BD784" s="23"/>
      <c r="BE784" s="23"/>
      <c r="BF784" s="23"/>
      <c r="BG784" s="23"/>
      <c r="BH784" s="23"/>
      <c r="BI784" s="23"/>
      <c r="BJ784" s="23"/>
      <c r="BK784" s="23"/>
      <c r="BL784" s="23"/>
      <c r="BM784" s="23"/>
      <c r="BN784" s="23"/>
      <c r="BO784" s="23"/>
      <c r="BP784" s="23"/>
      <c r="BQ784" s="23"/>
      <c r="BR784" s="23"/>
      <c r="BS784" s="23"/>
      <c r="BT784" s="23"/>
      <c r="BU784" s="23"/>
      <c r="BV784" s="23"/>
      <c r="BW784" s="23"/>
      <c r="BX784" s="23"/>
      <c r="BY784" s="23"/>
      <c r="BZ784" s="23"/>
      <c r="CA784" s="23"/>
      <c r="CB784" s="23"/>
      <c r="CC784" s="23"/>
      <c r="CD784" s="23"/>
      <c r="CE784" s="23"/>
      <c r="CF784" s="23"/>
      <c r="CG784" s="23"/>
      <c r="CH784" s="23"/>
      <c r="CI784" s="23"/>
      <c r="CJ784" s="23"/>
      <c r="CK784" s="23"/>
      <c r="CL784" s="23"/>
      <c r="CM784" s="23"/>
      <c r="CN784" s="23"/>
      <c r="CO784" s="23"/>
      <c r="CP784" s="23"/>
      <c r="CQ784" s="23"/>
      <c r="CR784" s="23"/>
      <c r="CS784" s="23"/>
      <c r="CT784" s="23"/>
      <c r="CU784" s="23"/>
      <c r="CV784" s="23"/>
      <c r="CW784" s="23"/>
      <c r="CX784" s="23"/>
      <c r="CY784" s="23"/>
      <c r="CZ784" s="23"/>
      <c r="DA784" s="23"/>
      <c r="DB784" s="23"/>
      <c r="DC784" s="23"/>
      <c r="DD784" s="23"/>
      <c r="DE784" s="23"/>
      <c r="DF784" s="23"/>
      <c r="DG784" s="23"/>
      <c r="DH784" s="23"/>
      <c r="DI784" s="23"/>
      <c r="DJ784" s="23"/>
      <c r="DK784" s="23"/>
      <c r="DL784" s="23"/>
      <c r="DM784" s="23"/>
      <c r="DN784" s="23"/>
      <c r="DO784" s="23"/>
      <c r="DP784" s="23"/>
      <c r="DQ784" s="23"/>
      <c r="DR784" s="23"/>
      <c r="DS784" s="23"/>
      <c r="DT784" s="23"/>
      <c r="DU784" s="23"/>
      <c r="DV784" s="23"/>
      <c r="DW784" s="23"/>
      <c r="DX784" s="23"/>
      <c r="DY784" s="23"/>
      <c r="DZ784" s="23"/>
      <c r="EA784" s="23"/>
      <c r="EB784" s="23"/>
      <c r="EC784" s="23"/>
      <c r="ED784" s="23"/>
      <c r="EE784" s="23"/>
      <c r="EF784" s="23"/>
      <c r="EG784" s="23"/>
      <c r="EH784" s="23"/>
      <c r="EI784" s="23"/>
      <c r="EJ784" s="23"/>
      <c r="EK784" s="23"/>
      <c r="EL784" s="23"/>
      <c r="EM784" s="23"/>
      <c r="EN784" s="23"/>
      <c r="EO784" s="23"/>
      <c r="EP784" s="23"/>
      <c r="EQ784" s="23"/>
      <c r="ER784" s="23"/>
      <c r="ES784" s="23"/>
      <c r="ET784" s="23"/>
      <c r="EU784" s="23"/>
      <c r="EV784" s="23"/>
      <c r="EW784" s="23"/>
      <c r="EX784" s="23"/>
      <c r="EY784" s="23"/>
      <c r="EZ784" s="23"/>
      <c r="FA784" s="23"/>
      <c r="FB784" s="23"/>
      <c r="FC784" s="23"/>
      <c r="FD784" s="23"/>
      <c r="FE784" s="23"/>
      <c r="FF784" s="23"/>
      <c r="FG784" s="23"/>
      <c r="FH784" s="23"/>
      <c r="FI784" s="23"/>
      <c r="FJ784" s="23"/>
      <c r="FK784" s="23"/>
      <c r="FL784" s="23"/>
      <c r="FM784" s="23"/>
      <c r="FN784" s="23"/>
      <c r="FO784" s="23"/>
      <c r="FP784" s="23"/>
      <c r="FQ784" s="23"/>
      <c r="FR784" s="23"/>
      <c r="FS784" s="23"/>
      <c r="FT784" s="23"/>
      <c r="FU784" s="23"/>
      <c r="FV784" s="23"/>
      <c r="FW784" s="23"/>
      <c r="FX784" s="23"/>
      <c r="FY784" s="23"/>
      <c r="FZ784" s="23"/>
      <c r="GA784" s="23"/>
      <c r="GB784" s="23"/>
      <c r="GC784" s="23"/>
      <c r="GD784" s="23"/>
      <c r="GE784" s="23"/>
      <c r="GF784" s="23"/>
      <c r="GG784" s="23"/>
      <c r="GH784" s="23"/>
      <c r="GI784" s="23"/>
      <c r="GJ784" s="23"/>
      <c r="GK784" s="23"/>
      <c r="GL784" s="23"/>
    </row>
    <row r="785" spans="1:194" ht="13">
      <c r="A785" s="23"/>
      <c r="B785" s="23"/>
      <c r="C785" s="23"/>
      <c r="D785" s="23"/>
      <c r="E785" s="23"/>
      <c r="F785" s="23"/>
      <c r="G785" s="23"/>
      <c r="H785" s="401"/>
      <c r="I785" s="401"/>
      <c r="J785" s="401"/>
      <c r="K785" s="401"/>
      <c r="L785" s="401"/>
      <c r="M785" s="438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  <c r="AL785" s="23"/>
      <c r="AM785" s="23"/>
      <c r="AN785" s="23"/>
      <c r="AO785" s="23"/>
      <c r="AP785" s="23"/>
      <c r="AQ785" s="23"/>
      <c r="AR785" s="23"/>
      <c r="AS785" s="23"/>
      <c r="AT785" s="23"/>
      <c r="AU785" s="23"/>
      <c r="AV785" s="23"/>
      <c r="AW785" s="23"/>
      <c r="AX785" s="23"/>
      <c r="AY785" s="23"/>
      <c r="AZ785" s="23"/>
      <c r="BA785" s="23"/>
      <c r="BB785" s="23"/>
      <c r="BC785" s="23"/>
      <c r="BD785" s="23"/>
      <c r="BE785" s="23"/>
      <c r="BF785" s="23"/>
      <c r="BG785" s="23"/>
      <c r="BH785" s="23"/>
      <c r="BI785" s="23"/>
      <c r="BJ785" s="23"/>
      <c r="BK785" s="23"/>
      <c r="BL785" s="23"/>
      <c r="BM785" s="23"/>
      <c r="BN785" s="23"/>
      <c r="BO785" s="23"/>
      <c r="BP785" s="23"/>
      <c r="BQ785" s="23"/>
      <c r="BR785" s="23"/>
      <c r="BS785" s="23"/>
      <c r="BT785" s="23"/>
      <c r="BU785" s="23"/>
      <c r="BV785" s="23"/>
      <c r="BW785" s="23"/>
      <c r="BX785" s="23"/>
      <c r="BY785" s="23"/>
      <c r="BZ785" s="23"/>
      <c r="CA785" s="23"/>
      <c r="CB785" s="23"/>
      <c r="CC785" s="23"/>
      <c r="CD785" s="23"/>
      <c r="CE785" s="23"/>
      <c r="CF785" s="23"/>
      <c r="CG785" s="23"/>
      <c r="CH785" s="23"/>
      <c r="CI785" s="23"/>
      <c r="CJ785" s="23"/>
      <c r="CK785" s="23"/>
      <c r="CL785" s="23"/>
      <c r="CM785" s="23"/>
      <c r="CN785" s="23"/>
      <c r="CO785" s="23"/>
      <c r="CP785" s="23"/>
      <c r="CQ785" s="23"/>
      <c r="CR785" s="23"/>
      <c r="CS785" s="23"/>
      <c r="CT785" s="23"/>
      <c r="CU785" s="23"/>
      <c r="CV785" s="23"/>
      <c r="CW785" s="23"/>
      <c r="CX785" s="23"/>
      <c r="CY785" s="23"/>
      <c r="CZ785" s="23"/>
      <c r="DA785" s="23"/>
      <c r="DB785" s="23"/>
      <c r="DC785" s="23"/>
      <c r="DD785" s="23"/>
      <c r="DE785" s="23"/>
      <c r="DF785" s="23"/>
      <c r="DG785" s="23"/>
      <c r="DH785" s="23"/>
      <c r="DI785" s="23"/>
      <c r="DJ785" s="23"/>
      <c r="DK785" s="23"/>
      <c r="DL785" s="23"/>
      <c r="DM785" s="23"/>
      <c r="DN785" s="23"/>
      <c r="DO785" s="23"/>
      <c r="DP785" s="23"/>
      <c r="DQ785" s="23"/>
      <c r="DR785" s="23"/>
      <c r="DS785" s="23"/>
      <c r="DT785" s="23"/>
      <c r="DU785" s="23"/>
      <c r="DV785" s="23"/>
      <c r="DW785" s="23"/>
      <c r="DX785" s="23"/>
      <c r="DY785" s="23"/>
      <c r="DZ785" s="23"/>
      <c r="EA785" s="23"/>
      <c r="EB785" s="23"/>
      <c r="EC785" s="23"/>
      <c r="ED785" s="23"/>
      <c r="EE785" s="23"/>
      <c r="EF785" s="23"/>
      <c r="EG785" s="23"/>
      <c r="EH785" s="23"/>
      <c r="EI785" s="23"/>
      <c r="EJ785" s="23"/>
      <c r="EK785" s="23"/>
      <c r="EL785" s="23"/>
      <c r="EM785" s="23"/>
      <c r="EN785" s="23"/>
      <c r="EO785" s="23"/>
      <c r="EP785" s="23"/>
      <c r="EQ785" s="23"/>
      <c r="ER785" s="23"/>
      <c r="ES785" s="23"/>
      <c r="ET785" s="23"/>
      <c r="EU785" s="23"/>
      <c r="EV785" s="23"/>
      <c r="EW785" s="23"/>
      <c r="EX785" s="23"/>
      <c r="EY785" s="23"/>
      <c r="EZ785" s="23"/>
      <c r="FA785" s="23"/>
      <c r="FB785" s="23"/>
      <c r="FC785" s="23"/>
      <c r="FD785" s="23"/>
      <c r="FE785" s="23"/>
      <c r="FF785" s="23"/>
      <c r="FG785" s="23"/>
      <c r="FH785" s="23"/>
      <c r="FI785" s="23"/>
      <c r="FJ785" s="23"/>
      <c r="FK785" s="23"/>
      <c r="FL785" s="23"/>
      <c r="FM785" s="23"/>
      <c r="FN785" s="23"/>
      <c r="FO785" s="23"/>
      <c r="FP785" s="23"/>
      <c r="FQ785" s="23"/>
      <c r="FR785" s="23"/>
      <c r="FS785" s="23"/>
      <c r="FT785" s="23"/>
      <c r="FU785" s="23"/>
      <c r="FV785" s="23"/>
      <c r="FW785" s="23"/>
      <c r="FX785" s="23"/>
      <c r="FY785" s="23"/>
      <c r="FZ785" s="23"/>
      <c r="GA785" s="23"/>
      <c r="GB785" s="23"/>
      <c r="GC785" s="23"/>
      <c r="GD785" s="23"/>
      <c r="GE785" s="23"/>
      <c r="GF785" s="23"/>
      <c r="GG785" s="23"/>
      <c r="GH785" s="23"/>
      <c r="GI785" s="23"/>
      <c r="GJ785" s="23"/>
      <c r="GK785" s="23"/>
      <c r="GL785" s="23"/>
    </row>
    <row r="786" spans="1:194" ht="13">
      <c r="A786" s="23"/>
      <c r="B786" s="23"/>
      <c r="C786" s="23"/>
      <c r="D786" s="23"/>
      <c r="E786" s="23"/>
      <c r="F786" s="23"/>
      <c r="G786" s="23"/>
      <c r="H786" s="401"/>
      <c r="I786" s="401"/>
      <c r="J786" s="401"/>
      <c r="K786" s="401"/>
      <c r="L786" s="401"/>
      <c r="M786" s="438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  <c r="AL786" s="23"/>
      <c r="AM786" s="23"/>
      <c r="AN786" s="23"/>
      <c r="AO786" s="23"/>
      <c r="AP786" s="23"/>
      <c r="AQ786" s="23"/>
      <c r="AR786" s="23"/>
      <c r="AS786" s="23"/>
      <c r="AT786" s="23"/>
      <c r="AU786" s="23"/>
      <c r="AV786" s="23"/>
      <c r="AW786" s="23"/>
      <c r="AX786" s="23"/>
      <c r="AY786" s="23"/>
      <c r="AZ786" s="23"/>
      <c r="BA786" s="23"/>
      <c r="BB786" s="23"/>
      <c r="BC786" s="23"/>
      <c r="BD786" s="23"/>
      <c r="BE786" s="23"/>
      <c r="BF786" s="23"/>
      <c r="BG786" s="23"/>
      <c r="BH786" s="23"/>
      <c r="BI786" s="23"/>
      <c r="BJ786" s="23"/>
      <c r="BK786" s="23"/>
      <c r="BL786" s="23"/>
      <c r="BM786" s="23"/>
      <c r="BN786" s="23"/>
      <c r="BO786" s="23"/>
      <c r="BP786" s="23"/>
      <c r="BQ786" s="23"/>
      <c r="BR786" s="23"/>
      <c r="BS786" s="23"/>
      <c r="BT786" s="23"/>
      <c r="BU786" s="23"/>
      <c r="BV786" s="23"/>
      <c r="BW786" s="23"/>
      <c r="BX786" s="23"/>
      <c r="BY786" s="23"/>
      <c r="BZ786" s="23"/>
      <c r="CA786" s="23"/>
      <c r="CB786" s="23"/>
      <c r="CC786" s="23"/>
      <c r="CD786" s="23"/>
      <c r="CE786" s="23"/>
      <c r="CF786" s="23"/>
      <c r="CG786" s="23"/>
      <c r="CH786" s="23"/>
      <c r="CI786" s="23"/>
      <c r="CJ786" s="23"/>
      <c r="CK786" s="23"/>
      <c r="CL786" s="23"/>
      <c r="CM786" s="23"/>
      <c r="CN786" s="23"/>
      <c r="CO786" s="23"/>
      <c r="CP786" s="23"/>
      <c r="CQ786" s="23"/>
      <c r="CR786" s="23"/>
      <c r="CS786" s="23"/>
      <c r="CT786" s="23"/>
      <c r="CU786" s="23"/>
      <c r="CV786" s="23"/>
      <c r="CW786" s="23"/>
      <c r="CX786" s="23"/>
      <c r="CY786" s="23"/>
      <c r="CZ786" s="23"/>
      <c r="DA786" s="23"/>
      <c r="DB786" s="23"/>
      <c r="DC786" s="23"/>
      <c r="DD786" s="23"/>
      <c r="DE786" s="23"/>
      <c r="DF786" s="23"/>
      <c r="DG786" s="23"/>
      <c r="DH786" s="23"/>
      <c r="DI786" s="23"/>
      <c r="DJ786" s="23"/>
      <c r="DK786" s="23"/>
      <c r="DL786" s="23"/>
      <c r="DM786" s="23"/>
      <c r="DN786" s="23"/>
      <c r="DO786" s="23"/>
      <c r="DP786" s="23"/>
      <c r="DQ786" s="23"/>
      <c r="DR786" s="23"/>
      <c r="DS786" s="23"/>
      <c r="DT786" s="23"/>
      <c r="DU786" s="23"/>
      <c r="DV786" s="23"/>
      <c r="DW786" s="23"/>
      <c r="DX786" s="23"/>
      <c r="DY786" s="23"/>
      <c r="DZ786" s="23"/>
      <c r="EA786" s="23"/>
      <c r="EB786" s="23"/>
      <c r="EC786" s="23"/>
      <c r="ED786" s="23"/>
      <c r="EE786" s="23"/>
      <c r="EF786" s="23"/>
      <c r="EG786" s="23"/>
      <c r="EH786" s="23"/>
      <c r="EI786" s="23"/>
      <c r="EJ786" s="23"/>
      <c r="EK786" s="23"/>
      <c r="EL786" s="23"/>
      <c r="EM786" s="23"/>
      <c r="EN786" s="23"/>
      <c r="EO786" s="23"/>
      <c r="EP786" s="23"/>
      <c r="EQ786" s="23"/>
      <c r="ER786" s="23"/>
      <c r="ES786" s="23"/>
      <c r="ET786" s="23"/>
      <c r="EU786" s="23"/>
      <c r="EV786" s="23"/>
      <c r="EW786" s="23"/>
      <c r="EX786" s="23"/>
      <c r="EY786" s="23"/>
      <c r="EZ786" s="23"/>
      <c r="FA786" s="23"/>
      <c r="FB786" s="23"/>
      <c r="FC786" s="23"/>
      <c r="FD786" s="23"/>
      <c r="FE786" s="23"/>
      <c r="FF786" s="23"/>
      <c r="FG786" s="23"/>
      <c r="FH786" s="23"/>
      <c r="FI786" s="23"/>
      <c r="FJ786" s="23"/>
      <c r="FK786" s="23"/>
      <c r="FL786" s="23"/>
      <c r="FM786" s="23"/>
      <c r="FN786" s="23"/>
      <c r="FO786" s="23"/>
      <c r="FP786" s="23"/>
      <c r="FQ786" s="23"/>
      <c r="FR786" s="23"/>
      <c r="FS786" s="23"/>
      <c r="FT786" s="23"/>
      <c r="FU786" s="23"/>
      <c r="FV786" s="23"/>
      <c r="FW786" s="23"/>
      <c r="FX786" s="23"/>
      <c r="FY786" s="23"/>
      <c r="FZ786" s="23"/>
      <c r="GA786" s="23"/>
      <c r="GB786" s="23"/>
      <c r="GC786" s="23"/>
      <c r="GD786" s="23"/>
      <c r="GE786" s="23"/>
      <c r="GF786" s="23"/>
      <c r="GG786" s="23"/>
      <c r="GH786" s="23"/>
      <c r="GI786" s="23"/>
      <c r="GJ786" s="23"/>
      <c r="GK786" s="23"/>
      <c r="GL786" s="23"/>
    </row>
    <row r="787" spans="1:194" ht="13">
      <c r="A787" s="23"/>
      <c r="B787" s="23"/>
      <c r="C787" s="23"/>
      <c r="D787" s="23"/>
      <c r="E787" s="23"/>
      <c r="F787" s="23"/>
      <c r="G787" s="23"/>
      <c r="H787" s="401"/>
      <c r="I787" s="401"/>
      <c r="J787" s="401"/>
      <c r="K787" s="401"/>
      <c r="L787" s="401"/>
      <c r="M787" s="438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  <c r="AL787" s="23"/>
      <c r="AM787" s="23"/>
      <c r="AN787" s="23"/>
      <c r="AO787" s="23"/>
      <c r="AP787" s="23"/>
      <c r="AQ787" s="23"/>
      <c r="AR787" s="23"/>
      <c r="AS787" s="23"/>
      <c r="AT787" s="23"/>
      <c r="AU787" s="23"/>
      <c r="AV787" s="23"/>
      <c r="AW787" s="23"/>
      <c r="AX787" s="23"/>
      <c r="AY787" s="23"/>
      <c r="AZ787" s="23"/>
      <c r="BA787" s="23"/>
      <c r="BB787" s="23"/>
      <c r="BC787" s="23"/>
      <c r="BD787" s="23"/>
      <c r="BE787" s="23"/>
      <c r="BF787" s="23"/>
      <c r="BG787" s="23"/>
      <c r="BH787" s="23"/>
      <c r="BI787" s="23"/>
      <c r="BJ787" s="23"/>
      <c r="BK787" s="23"/>
      <c r="BL787" s="23"/>
      <c r="BM787" s="23"/>
      <c r="BN787" s="23"/>
      <c r="BO787" s="23"/>
      <c r="BP787" s="23"/>
      <c r="BQ787" s="23"/>
      <c r="BR787" s="23"/>
      <c r="BS787" s="23"/>
      <c r="BT787" s="23"/>
      <c r="BU787" s="23"/>
      <c r="BV787" s="23"/>
      <c r="BW787" s="23"/>
      <c r="BX787" s="23"/>
      <c r="BY787" s="23"/>
      <c r="BZ787" s="23"/>
      <c r="CA787" s="23"/>
      <c r="CB787" s="23"/>
      <c r="CC787" s="23"/>
      <c r="CD787" s="23"/>
      <c r="CE787" s="23"/>
      <c r="CF787" s="23"/>
      <c r="CG787" s="23"/>
      <c r="CH787" s="23"/>
      <c r="CI787" s="23"/>
      <c r="CJ787" s="23"/>
      <c r="CK787" s="23"/>
      <c r="CL787" s="23"/>
      <c r="CM787" s="23"/>
      <c r="CN787" s="23"/>
      <c r="CO787" s="23"/>
      <c r="CP787" s="23"/>
      <c r="CQ787" s="23"/>
      <c r="CR787" s="23"/>
      <c r="CS787" s="23"/>
      <c r="CT787" s="23"/>
      <c r="CU787" s="23"/>
      <c r="CV787" s="23"/>
      <c r="CW787" s="23"/>
      <c r="CX787" s="23"/>
      <c r="CY787" s="23"/>
      <c r="CZ787" s="23"/>
      <c r="DA787" s="23"/>
      <c r="DB787" s="23"/>
      <c r="DC787" s="23"/>
      <c r="DD787" s="23"/>
      <c r="DE787" s="23"/>
      <c r="DF787" s="23"/>
      <c r="DG787" s="23"/>
      <c r="DH787" s="23"/>
      <c r="DI787" s="23"/>
      <c r="DJ787" s="23"/>
      <c r="DK787" s="23"/>
      <c r="DL787" s="23"/>
      <c r="DM787" s="23"/>
      <c r="DN787" s="23"/>
      <c r="DO787" s="23"/>
      <c r="DP787" s="23"/>
      <c r="DQ787" s="23"/>
      <c r="DR787" s="23"/>
      <c r="DS787" s="23"/>
      <c r="DT787" s="23"/>
      <c r="DU787" s="23"/>
      <c r="DV787" s="23"/>
      <c r="DW787" s="23"/>
      <c r="DX787" s="23"/>
      <c r="DY787" s="23"/>
      <c r="DZ787" s="23"/>
      <c r="EA787" s="23"/>
      <c r="EB787" s="23"/>
      <c r="EC787" s="23"/>
      <c r="ED787" s="23"/>
      <c r="EE787" s="23"/>
      <c r="EF787" s="23"/>
      <c r="EG787" s="23"/>
      <c r="EH787" s="23"/>
      <c r="EI787" s="23"/>
      <c r="EJ787" s="23"/>
      <c r="EK787" s="23"/>
      <c r="EL787" s="23"/>
      <c r="EM787" s="23"/>
      <c r="EN787" s="23"/>
      <c r="EO787" s="23"/>
      <c r="EP787" s="23"/>
      <c r="EQ787" s="23"/>
      <c r="ER787" s="23"/>
      <c r="ES787" s="23"/>
      <c r="ET787" s="23"/>
      <c r="EU787" s="23"/>
      <c r="EV787" s="23"/>
      <c r="EW787" s="23"/>
      <c r="EX787" s="23"/>
      <c r="EY787" s="23"/>
      <c r="EZ787" s="23"/>
      <c r="FA787" s="23"/>
      <c r="FB787" s="23"/>
      <c r="FC787" s="23"/>
      <c r="FD787" s="23"/>
      <c r="FE787" s="23"/>
      <c r="FF787" s="23"/>
      <c r="FG787" s="23"/>
      <c r="FH787" s="23"/>
      <c r="FI787" s="23"/>
      <c r="FJ787" s="23"/>
      <c r="FK787" s="23"/>
      <c r="FL787" s="23"/>
      <c r="FM787" s="23"/>
      <c r="FN787" s="23"/>
      <c r="FO787" s="23"/>
      <c r="FP787" s="23"/>
      <c r="FQ787" s="23"/>
      <c r="FR787" s="23"/>
      <c r="FS787" s="23"/>
      <c r="FT787" s="23"/>
      <c r="FU787" s="23"/>
      <c r="FV787" s="23"/>
      <c r="FW787" s="23"/>
      <c r="FX787" s="23"/>
      <c r="FY787" s="23"/>
      <c r="FZ787" s="23"/>
      <c r="GA787" s="23"/>
      <c r="GB787" s="23"/>
      <c r="GC787" s="23"/>
      <c r="GD787" s="23"/>
      <c r="GE787" s="23"/>
      <c r="GF787" s="23"/>
      <c r="GG787" s="23"/>
      <c r="GH787" s="23"/>
      <c r="GI787" s="23"/>
      <c r="GJ787" s="23"/>
      <c r="GK787" s="23"/>
      <c r="GL787" s="23"/>
    </row>
    <row r="788" spans="1:194" ht="13">
      <c r="A788" s="23"/>
      <c r="B788" s="23"/>
      <c r="C788" s="23"/>
      <c r="D788" s="23"/>
      <c r="E788" s="23"/>
      <c r="F788" s="23"/>
      <c r="G788" s="23"/>
      <c r="H788" s="401"/>
      <c r="I788" s="401"/>
      <c r="J788" s="401"/>
      <c r="K788" s="401"/>
      <c r="L788" s="401"/>
      <c r="M788" s="438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  <c r="AL788" s="23"/>
      <c r="AM788" s="23"/>
      <c r="AN788" s="23"/>
      <c r="AO788" s="23"/>
      <c r="AP788" s="23"/>
      <c r="AQ788" s="23"/>
      <c r="AR788" s="23"/>
      <c r="AS788" s="23"/>
      <c r="AT788" s="23"/>
      <c r="AU788" s="23"/>
      <c r="AV788" s="23"/>
      <c r="AW788" s="23"/>
      <c r="AX788" s="23"/>
      <c r="AY788" s="23"/>
      <c r="AZ788" s="23"/>
      <c r="BA788" s="23"/>
      <c r="BB788" s="23"/>
      <c r="BC788" s="23"/>
      <c r="BD788" s="23"/>
      <c r="BE788" s="23"/>
      <c r="BF788" s="23"/>
      <c r="BG788" s="23"/>
      <c r="BH788" s="23"/>
      <c r="BI788" s="23"/>
      <c r="BJ788" s="23"/>
      <c r="BK788" s="23"/>
      <c r="BL788" s="23"/>
      <c r="BM788" s="23"/>
      <c r="BN788" s="23"/>
      <c r="BO788" s="23"/>
      <c r="BP788" s="23"/>
      <c r="BQ788" s="23"/>
      <c r="BR788" s="23"/>
      <c r="BS788" s="23"/>
      <c r="BT788" s="23"/>
      <c r="BU788" s="23"/>
      <c r="BV788" s="23"/>
      <c r="BW788" s="23"/>
      <c r="BX788" s="23"/>
      <c r="BY788" s="23"/>
      <c r="BZ788" s="23"/>
      <c r="CA788" s="23"/>
      <c r="CB788" s="23"/>
      <c r="CC788" s="23"/>
      <c r="CD788" s="23"/>
      <c r="CE788" s="23"/>
      <c r="CF788" s="23"/>
      <c r="CG788" s="23"/>
      <c r="CH788" s="23"/>
      <c r="CI788" s="23"/>
      <c r="CJ788" s="23"/>
      <c r="CK788" s="23"/>
      <c r="CL788" s="23"/>
      <c r="CM788" s="23"/>
      <c r="CN788" s="23"/>
      <c r="CO788" s="23"/>
      <c r="CP788" s="23"/>
      <c r="CQ788" s="23"/>
      <c r="CR788" s="23"/>
      <c r="CS788" s="23"/>
      <c r="CT788" s="23"/>
      <c r="CU788" s="23"/>
      <c r="CV788" s="23"/>
      <c r="CW788" s="23"/>
      <c r="CX788" s="23"/>
      <c r="CY788" s="23"/>
      <c r="CZ788" s="23"/>
      <c r="DA788" s="23"/>
      <c r="DB788" s="23"/>
      <c r="DC788" s="23"/>
      <c r="DD788" s="23"/>
      <c r="DE788" s="23"/>
      <c r="DF788" s="23"/>
      <c r="DG788" s="23"/>
      <c r="DH788" s="23"/>
      <c r="DI788" s="23"/>
      <c r="DJ788" s="23"/>
      <c r="DK788" s="23"/>
      <c r="DL788" s="23"/>
      <c r="DM788" s="23"/>
      <c r="DN788" s="23"/>
      <c r="DO788" s="23"/>
      <c r="DP788" s="23"/>
      <c r="DQ788" s="23"/>
      <c r="DR788" s="23"/>
      <c r="DS788" s="23"/>
      <c r="DT788" s="23"/>
      <c r="DU788" s="23"/>
      <c r="DV788" s="23"/>
      <c r="DW788" s="23"/>
      <c r="DX788" s="23"/>
      <c r="DY788" s="23"/>
      <c r="DZ788" s="23"/>
      <c r="EA788" s="23"/>
      <c r="EB788" s="23"/>
      <c r="EC788" s="23"/>
      <c r="ED788" s="23"/>
      <c r="EE788" s="23"/>
      <c r="EF788" s="23"/>
      <c r="EG788" s="23"/>
      <c r="EH788" s="23"/>
      <c r="EI788" s="23"/>
      <c r="EJ788" s="23"/>
      <c r="EK788" s="23"/>
      <c r="EL788" s="23"/>
      <c r="EM788" s="23"/>
      <c r="EN788" s="23"/>
      <c r="EO788" s="23"/>
      <c r="EP788" s="23"/>
      <c r="EQ788" s="23"/>
      <c r="ER788" s="23"/>
      <c r="ES788" s="23"/>
      <c r="ET788" s="23"/>
      <c r="EU788" s="23"/>
      <c r="EV788" s="23"/>
      <c r="EW788" s="23"/>
      <c r="EX788" s="23"/>
      <c r="EY788" s="23"/>
      <c r="EZ788" s="23"/>
      <c r="FA788" s="23"/>
      <c r="FB788" s="23"/>
      <c r="FC788" s="23"/>
      <c r="FD788" s="23"/>
      <c r="FE788" s="23"/>
      <c r="FF788" s="23"/>
      <c r="FG788" s="23"/>
      <c r="FH788" s="23"/>
      <c r="FI788" s="23"/>
      <c r="FJ788" s="23"/>
      <c r="FK788" s="23"/>
      <c r="FL788" s="23"/>
      <c r="FM788" s="23"/>
      <c r="FN788" s="23"/>
      <c r="FO788" s="23"/>
      <c r="FP788" s="23"/>
      <c r="FQ788" s="23"/>
      <c r="FR788" s="23"/>
      <c r="FS788" s="23"/>
      <c r="FT788" s="23"/>
      <c r="FU788" s="23"/>
      <c r="FV788" s="23"/>
      <c r="FW788" s="23"/>
      <c r="FX788" s="23"/>
      <c r="FY788" s="23"/>
      <c r="FZ788" s="23"/>
      <c r="GA788" s="23"/>
      <c r="GB788" s="23"/>
      <c r="GC788" s="23"/>
      <c r="GD788" s="23"/>
      <c r="GE788" s="23"/>
      <c r="GF788" s="23"/>
      <c r="GG788" s="23"/>
      <c r="GH788" s="23"/>
      <c r="GI788" s="23"/>
      <c r="GJ788" s="23"/>
      <c r="GK788" s="23"/>
      <c r="GL788" s="23"/>
    </row>
    <row r="789" spans="1:194" ht="13">
      <c r="A789" s="23"/>
      <c r="B789" s="23"/>
      <c r="C789" s="23"/>
      <c r="D789" s="23"/>
      <c r="E789" s="23"/>
      <c r="F789" s="23"/>
      <c r="G789" s="23"/>
      <c r="H789" s="401"/>
      <c r="I789" s="401"/>
      <c r="J789" s="401"/>
      <c r="K789" s="401"/>
      <c r="L789" s="401"/>
      <c r="M789" s="438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  <c r="AL789" s="23"/>
      <c r="AM789" s="23"/>
      <c r="AN789" s="23"/>
      <c r="AO789" s="23"/>
      <c r="AP789" s="23"/>
      <c r="AQ789" s="23"/>
      <c r="AR789" s="23"/>
      <c r="AS789" s="23"/>
      <c r="AT789" s="23"/>
      <c r="AU789" s="23"/>
      <c r="AV789" s="23"/>
      <c r="AW789" s="23"/>
      <c r="AX789" s="23"/>
      <c r="AY789" s="23"/>
      <c r="AZ789" s="23"/>
      <c r="BA789" s="23"/>
      <c r="BB789" s="23"/>
      <c r="BC789" s="23"/>
      <c r="BD789" s="23"/>
      <c r="BE789" s="23"/>
      <c r="BF789" s="23"/>
      <c r="BG789" s="23"/>
      <c r="BH789" s="23"/>
      <c r="BI789" s="23"/>
      <c r="BJ789" s="23"/>
      <c r="BK789" s="23"/>
      <c r="BL789" s="23"/>
      <c r="BM789" s="23"/>
      <c r="BN789" s="23"/>
      <c r="BO789" s="23"/>
      <c r="BP789" s="23"/>
      <c r="BQ789" s="23"/>
      <c r="BR789" s="23"/>
      <c r="BS789" s="23"/>
      <c r="BT789" s="23"/>
      <c r="BU789" s="23"/>
      <c r="BV789" s="23"/>
      <c r="BW789" s="23"/>
      <c r="BX789" s="23"/>
      <c r="BY789" s="23"/>
      <c r="BZ789" s="23"/>
      <c r="CA789" s="23"/>
      <c r="CB789" s="23"/>
      <c r="CC789" s="23"/>
      <c r="CD789" s="23"/>
      <c r="CE789" s="23"/>
      <c r="CF789" s="23"/>
      <c r="CG789" s="23"/>
      <c r="CH789" s="23"/>
      <c r="CI789" s="23"/>
      <c r="CJ789" s="23"/>
      <c r="CK789" s="23"/>
      <c r="CL789" s="23"/>
      <c r="CM789" s="23"/>
      <c r="CN789" s="23"/>
      <c r="CO789" s="23"/>
      <c r="CP789" s="23"/>
      <c r="CQ789" s="23"/>
      <c r="CR789" s="23"/>
      <c r="CS789" s="23"/>
      <c r="CT789" s="23"/>
      <c r="CU789" s="23"/>
      <c r="CV789" s="23"/>
      <c r="CW789" s="23"/>
      <c r="CX789" s="23"/>
      <c r="CY789" s="23"/>
      <c r="CZ789" s="23"/>
      <c r="DA789" s="23"/>
      <c r="DB789" s="23"/>
      <c r="DC789" s="23"/>
      <c r="DD789" s="23"/>
      <c r="DE789" s="23"/>
      <c r="DF789" s="23"/>
      <c r="DG789" s="23"/>
      <c r="DH789" s="23"/>
      <c r="DI789" s="23"/>
      <c r="DJ789" s="23"/>
      <c r="DK789" s="23"/>
      <c r="DL789" s="23"/>
      <c r="DM789" s="23"/>
      <c r="DN789" s="23"/>
      <c r="DO789" s="23"/>
      <c r="DP789" s="23"/>
      <c r="DQ789" s="23"/>
      <c r="DR789" s="23"/>
      <c r="DS789" s="23"/>
      <c r="DT789" s="23"/>
      <c r="DU789" s="23"/>
      <c r="DV789" s="23"/>
      <c r="DW789" s="23"/>
      <c r="DX789" s="23"/>
      <c r="DY789" s="23"/>
      <c r="DZ789" s="23"/>
      <c r="EA789" s="23"/>
      <c r="EB789" s="23"/>
      <c r="EC789" s="23"/>
      <c r="ED789" s="23"/>
      <c r="EE789" s="23"/>
      <c r="EF789" s="23"/>
      <c r="EG789" s="23"/>
      <c r="EH789" s="23"/>
      <c r="EI789" s="23"/>
      <c r="EJ789" s="23"/>
      <c r="EK789" s="23"/>
      <c r="EL789" s="23"/>
      <c r="EM789" s="23"/>
      <c r="EN789" s="23"/>
      <c r="EO789" s="23"/>
      <c r="EP789" s="23"/>
      <c r="EQ789" s="23"/>
      <c r="ER789" s="23"/>
      <c r="ES789" s="23"/>
      <c r="ET789" s="23"/>
      <c r="EU789" s="23"/>
      <c r="EV789" s="23"/>
      <c r="EW789" s="23"/>
      <c r="EX789" s="23"/>
      <c r="EY789" s="23"/>
      <c r="EZ789" s="23"/>
      <c r="FA789" s="23"/>
      <c r="FB789" s="23"/>
      <c r="FC789" s="23"/>
      <c r="FD789" s="23"/>
      <c r="FE789" s="23"/>
      <c r="FF789" s="23"/>
      <c r="FG789" s="23"/>
      <c r="FH789" s="23"/>
      <c r="FI789" s="23"/>
      <c r="FJ789" s="23"/>
      <c r="FK789" s="23"/>
      <c r="FL789" s="23"/>
      <c r="FM789" s="23"/>
      <c r="FN789" s="23"/>
      <c r="FO789" s="23"/>
      <c r="FP789" s="23"/>
      <c r="FQ789" s="23"/>
      <c r="FR789" s="23"/>
      <c r="FS789" s="23"/>
      <c r="FT789" s="23"/>
      <c r="FU789" s="23"/>
      <c r="FV789" s="23"/>
      <c r="FW789" s="23"/>
      <c r="FX789" s="23"/>
      <c r="FY789" s="23"/>
      <c r="FZ789" s="23"/>
      <c r="GA789" s="23"/>
      <c r="GB789" s="23"/>
      <c r="GC789" s="23"/>
      <c r="GD789" s="23"/>
      <c r="GE789" s="23"/>
      <c r="GF789" s="23"/>
      <c r="GG789" s="23"/>
      <c r="GH789" s="23"/>
      <c r="GI789" s="23"/>
      <c r="GJ789" s="23"/>
      <c r="GK789" s="23"/>
      <c r="GL789" s="23"/>
    </row>
    <row r="790" spans="1:194" ht="13">
      <c r="A790" s="23"/>
      <c r="B790" s="23"/>
      <c r="C790" s="23"/>
      <c r="D790" s="23"/>
      <c r="E790" s="23"/>
      <c r="F790" s="23"/>
      <c r="G790" s="23"/>
      <c r="H790" s="401"/>
      <c r="I790" s="401"/>
      <c r="J790" s="401"/>
      <c r="K790" s="401"/>
      <c r="L790" s="401"/>
      <c r="M790" s="438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  <c r="AL790" s="23"/>
      <c r="AM790" s="23"/>
      <c r="AN790" s="23"/>
      <c r="AO790" s="23"/>
      <c r="AP790" s="23"/>
      <c r="AQ790" s="23"/>
      <c r="AR790" s="23"/>
      <c r="AS790" s="23"/>
      <c r="AT790" s="23"/>
      <c r="AU790" s="23"/>
      <c r="AV790" s="23"/>
      <c r="AW790" s="23"/>
      <c r="AX790" s="23"/>
      <c r="AY790" s="23"/>
      <c r="AZ790" s="23"/>
      <c r="BA790" s="23"/>
      <c r="BB790" s="23"/>
      <c r="BC790" s="23"/>
      <c r="BD790" s="23"/>
      <c r="BE790" s="23"/>
      <c r="BF790" s="23"/>
      <c r="BG790" s="23"/>
      <c r="BH790" s="23"/>
      <c r="BI790" s="23"/>
      <c r="BJ790" s="23"/>
      <c r="BK790" s="23"/>
      <c r="BL790" s="23"/>
      <c r="BM790" s="23"/>
      <c r="BN790" s="23"/>
      <c r="BO790" s="23"/>
      <c r="BP790" s="23"/>
      <c r="BQ790" s="23"/>
      <c r="BR790" s="23"/>
      <c r="BS790" s="23"/>
      <c r="BT790" s="23"/>
      <c r="BU790" s="23"/>
      <c r="BV790" s="23"/>
      <c r="BW790" s="23"/>
      <c r="BX790" s="23"/>
      <c r="BY790" s="23"/>
      <c r="BZ790" s="23"/>
      <c r="CA790" s="23"/>
      <c r="CB790" s="23"/>
      <c r="CC790" s="23"/>
      <c r="CD790" s="23"/>
      <c r="CE790" s="23"/>
      <c r="CF790" s="23"/>
      <c r="CG790" s="23"/>
      <c r="CH790" s="23"/>
      <c r="CI790" s="23"/>
      <c r="CJ790" s="23"/>
      <c r="CK790" s="23"/>
      <c r="CL790" s="23"/>
      <c r="CM790" s="23"/>
      <c r="CN790" s="23"/>
      <c r="CO790" s="23"/>
      <c r="CP790" s="23"/>
      <c r="CQ790" s="23"/>
      <c r="CR790" s="23"/>
      <c r="CS790" s="23"/>
      <c r="CT790" s="23"/>
      <c r="CU790" s="23"/>
      <c r="CV790" s="23"/>
      <c r="CW790" s="23"/>
      <c r="CX790" s="23"/>
      <c r="CY790" s="23"/>
      <c r="CZ790" s="23"/>
      <c r="DA790" s="23"/>
      <c r="DB790" s="23"/>
      <c r="DC790" s="23"/>
      <c r="DD790" s="23"/>
      <c r="DE790" s="23"/>
      <c r="DF790" s="23"/>
      <c r="DG790" s="23"/>
      <c r="DH790" s="23"/>
      <c r="DI790" s="23"/>
      <c r="DJ790" s="23"/>
      <c r="DK790" s="23"/>
      <c r="DL790" s="23"/>
      <c r="DM790" s="23"/>
      <c r="DN790" s="23"/>
      <c r="DO790" s="23"/>
      <c r="DP790" s="23"/>
      <c r="DQ790" s="23"/>
      <c r="DR790" s="23"/>
      <c r="DS790" s="23"/>
      <c r="DT790" s="23"/>
      <c r="DU790" s="23"/>
      <c r="DV790" s="23"/>
      <c r="DW790" s="23"/>
      <c r="DX790" s="23"/>
      <c r="DY790" s="23"/>
      <c r="DZ790" s="23"/>
      <c r="EA790" s="23"/>
      <c r="EB790" s="23"/>
      <c r="EC790" s="23"/>
      <c r="ED790" s="23"/>
      <c r="EE790" s="23"/>
      <c r="EF790" s="23"/>
      <c r="EG790" s="23"/>
      <c r="EH790" s="23"/>
      <c r="EI790" s="23"/>
      <c r="EJ790" s="23"/>
      <c r="EK790" s="23"/>
      <c r="EL790" s="23"/>
      <c r="EM790" s="23"/>
      <c r="EN790" s="23"/>
      <c r="EO790" s="23"/>
      <c r="EP790" s="23"/>
      <c r="EQ790" s="23"/>
      <c r="ER790" s="23"/>
      <c r="ES790" s="23"/>
      <c r="ET790" s="23"/>
      <c r="EU790" s="23"/>
      <c r="EV790" s="23"/>
      <c r="EW790" s="23"/>
      <c r="EX790" s="23"/>
      <c r="EY790" s="23"/>
      <c r="EZ790" s="23"/>
      <c r="FA790" s="23"/>
      <c r="FB790" s="23"/>
      <c r="FC790" s="23"/>
      <c r="FD790" s="23"/>
      <c r="FE790" s="23"/>
      <c r="FF790" s="23"/>
      <c r="FG790" s="23"/>
      <c r="FH790" s="23"/>
      <c r="FI790" s="23"/>
      <c r="FJ790" s="23"/>
      <c r="FK790" s="23"/>
      <c r="FL790" s="23"/>
      <c r="FM790" s="23"/>
      <c r="FN790" s="23"/>
      <c r="FO790" s="23"/>
      <c r="FP790" s="23"/>
      <c r="FQ790" s="23"/>
      <c r="FR790" s="23"/>
      <c r="FS790" s="23"/>
      <c r="FT790" s="23"/>
      <c r="FU790" s="23"/>
      <c r="FV790" s="23"/>
      <c r="FW790" s="23"/>
      <c r="FX790" s="23"/>
      <c r="FY790" s="23"/>
      <c r="FZ790" s="23"/>
      <c r="GA790" s="23"/>
      <c r="GB790" s="23"/>
      <c r="GC790" s="23"/>
      <c r="GD790" s="23"/>
      <c r="GE790" s="23"/>
      <c r="GF790" s="23"/>
      <c r="GG790" s="23"/>
      <c r="GH790" s="23"/>
      <c r="GI790" s="23"/>
      <c r="GJ790" s="23"/>
      <c r="GK790" s="23"/>
      <c r="GL790" s="23"/>
    </row>
    <row r="791" spans="1:194" ht="13">
      <c r="A791" s="23"/>
      <c r="B791" s="23"/>
      <c r="C791" s="23"/>
      <c r="D791" s="23"/>
      <c r="E791" s="23"/>
      <c r="F791" s="23"/>
      <c r="G791" s="23"/>
      <c r="H791" s="401"/>
      <c r="I791" s="401"/>
      <c r="J791" s="401"/>
      <c r="K791" s="401"/>
      <c r="L791" s="401"/>
      <c r="M791" s="438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  <c r="AL791" s="23"/>
      <c r="AM791" s="23"/>
      <c r="AN791" s="23"/>
      <c r="AO791" s="23"/>
      <c r="AP791" s="23"/>
      <c r="AQ791" s="23"/>
      <c r="AR791" s="23"/>
      <c r="AS791" s="23"/>
      <c r="AT791" s="23"/>
      <c r="AU791" s="23"/>
      <c r="AV791" s="23"/>
      <c r="AW791" s="23"/>
      <c r="AX791" s="23"/>
      <c r="AY791" s="23"/>
      <c r="AZ791" s="23"/>
      <c r="BA791" s="23"/>
      <c r="BB791" s="23"/>
      <c r="BC791" s="23"/>
      <c r="BD791" s="23"/>
      <c r="BE791" s="23"/>
      <c r="BF791" s="23"/>
      <c r="BG791" s="23"/>
      <c r="BH791" s="23"/>
      <c r="BI791" s="23"/>
      <c r="BJ791" s="23"/>
      <c r="BK791" s="23"/>
      <c r="BL791" s="23"/>
      <c r="BM791" s="23"/>
      <c r="BN791" s="23"/>
      <c r="BO791" s="23"/>
      <c r="BP791" s="23"/>
      <c r="BQ791" s="23"/>
      <c r="BR791" s="23"/>
      <c r="BS791" s="23"/>
      <c r="BT791" s="23"/>
      <c r="BU791" s="23"/>
      <c r="BV791" s="23"/>
      <c r="BW791" s="23"/>
      <c r="BX791" s="23"/>
      <c r="BY791" s="23"/>
      <c r="BZ791" s="23"/>
      <c r="CA791" s="23"/>
      <c r="CB791" s="23"/>
      <c r="CC791" s="23"/>
      <c r="CD791" s="23"/>
      <c r="CE791" s="23"/>
      <c r="CF791" s="23"/>
      <c r="CG791" s="23"/>
      <c r="CH791" s="23"/>
      <c r="CI791" s="23"/>
      <c r="CJ791" s="23"/>
      <c r="CK791" s="23"/>
      <c r="CL791" s="23"/>
      <c r="CM791" s="23"/>
      <c r="CN791" s="23"/>
      <c r="CO791" s="23"/>
      <c r="CP791" s="23"/>
      <c r="CQ791" s="23"/>
      <c r="CR791" s="23"/>
      <c r="CS791" s="23"/>
      <c r="CT791" s="23"/>
      <c r="CU791" s="23"/>
      <c r="CV791" s="23"/>
      <c r="CW791" s="23"/>
      <c r="CX791" s="23"/>
      <c r="CY791" s="23"/>
      <c r="CZ791" s="23"/>
      <c r="DA791" s="23"/>
      <c r="DB791" s="23"/>
      <c r="DC791" s="23"/>
      <c r="DD791" s="23"/>
      <c r="DE791" s="23"/>
      <c r="DF791" s="23"/>
      <c r="DG791" s="23"/>
      <c r="DH791" s="23"/>
      <c r="DI791" s="23"/>
      <c r="DJ791" s="23"/>
      <c r="DK791" s="23"/>
      <c r="DL791" s="23"/>
      <c r="DM791" s="23"/>
      <c r="DN791" s="23"/>
      <c r="DO791" s="23"/>
      <c r="DP791" s="23"/>
      <c r="DQ791" s="23"/>
      <c r="DR791" s="23"/>
      <c r="DS791" s="23"/>
      <c r="DT791" s="23"/>
      <c r="DU791" s="23"/>
      <c r="DV791" s="23"/>
      <c r="DW791" s="23"/>
      <c r="DX791" s="23"/>
      <c r="DY791" s="23"/>
      <c r="DZ791" s="23"/>
      <c r="EA791" s="23"/>
      <c r="EB791" s="23"/>
      <c r="EC791" s="23"/>
      <c r="ED791" s="23"/>
      <c r="EE791" s="23"/>
      <c r="EF791" s="23"/>
      <c r="EG791" s="23"/>
      <c r="EH791" s="23"/>
      <c r="EI791" s="23"/>
      <c r="EJ791" s="23"/>
      <c r="EK791" s="23"/>
      <c r="EL791" s="23"/>
      <c r="EM791" s="23"/>
      <c r="EN791" s="23"/>
      <c r="EO791" s="23"/>
      <c r="EP791" s="23"/>
      <c r="EQ791" s="23"/>
      <c r="ER791" s="23"/>
      <c r="ES791" s="23"/>
      <c r="ET791" s="23"/>
      <c r="EU791" s="23"/>
      <c r="EV791" s="23"/>
      <c r="EW791" s="23"/>
      <c r="EX791" s="23"/>
      <c r="EY791" s="23"/>
      <c r="EZ791" s="23"/>
      <c r="FA791" s="23"/>
      <c r="FB791" s="23"/>
      <c r="FC791" s="23"/>
      <c r="FD791" s="23"/>
      <c r="FE791" s="23"/>
      <c r="FF791" s="23"/>
      <c r="FG791" s="23"/>
      <c r="FH791" s="23"/>
      <c r="FI791" s="23"/>
      <c r="FJ791" s="23"/>
      <c r="FK791" s="23"/>
      <c r="FL791" s="23"/>
      <c r="FM791" s="23"/>
      <c r="FN791" s="23"/>
      <c r="FO791" s="23"/>
      <c r="FP791" s="23"/>
      <c r="FQ791" s="23"/>
      <c r="FR791" s="23"/>
      <c r="FS791" s="23"/>
      <c r="FT791" s="23"/>
      <c r="FU791" s="23"/>
      <c r="FV791" s="23"/>
      <c r="FW791" s="23"/>
      <c r="FX791" s="23"/>
      <c r="FY791" s="23"/>
      <c r="FZ791" s="23"/>
      <c r="GA791" s="23"/>
      <c r="GB791" s="23"/>
      <c r="GC791" s="23"/>
      <c r="GD791" s="23"/>
      <c r="GE791" s="23"/>
      <c r="GF791" s="23"/>
      <c r="GG791" s="23"/>
      <c r="GH791" s="23"/>
      <c r="GI791" s="23"/>
      <c r="GJ791" s="23"/>
      <c r="GK791" s="23"/>
      <c r="GL791" s="23"/>
    </row>
    <row r="792" spans="1:194" ht="13">
      <c r="A792" s="23"/>
      <c r="B792" s="23"/>
      <c r="C792" s="23"/>
      <c r="D792" s="23"/>
      <c r="E792" s="23"/>
      <c r="F792" s="23"/>
      <c r="G792" s="23"/>
      <c r="H792" s="401"/>
      <c r="I792" s="401"/>
      <c r="J792" s="401"/>
      <c r="K792" s="401"/>
      <c r="L792" s="401"/>
      <c r="M792" s="438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  <c r="AL792" s="23"/>
      <c r="AM792" s="23"/>
      <c r="AN792" s="23"/>
      <c r="AO792" s="23"/>
      <c r="AP792" s="23"/>
      <c r="AQ792" s="23"/>
      <c r="AR792" s="23"/>
      <c r="AS792" s="23"/>
      <c r="AT792" s="23"/>
      <c r="AU792" s="23"/>
      <c r="AV792" s="23"/>
      <c r="AW792" s="23"/>
      <c r="AX792" s="23"/>
      <c r="AY792" s="23"/>
      <c r="AZ792" s="23"/>
      <c r="BA792" s="23"/>
      <c r="BB792" s="23"/>
      <c r="BC792" s="23"/>
      <c r="BD792" s="23"/>
      <c r="BE792" s="23"/>
      <c r="BF792" s="23"/>
      <c r="BG792" s="23"/>
      <c r="BH792" s="23"/>
      <c r="BI792" s="23"/>
      <c r="BJ792" s="23"/>
      <c r="BK792" s="23"/>
      <c r="BL792" s="23"/>
      <c r="BM792" s="23"/>
      <c r="BN792" s="23"/>
      <c r="BO792" s="23"/>
      <c r="BP792" s="23"/>
      <c r="BQ792" s="23"/>
      <c r="BR792" s="23"/>
      <c r="BS792" s="23"/>
      <c r="BT792" s="23"/>
      <c r="BU792" s="23"/>
      <c r="BV792" s="23"/>
      <c r="BW792" s="23"/>
      <c r="BX792" s="23"/>
      <c r="BY792" s="23"/>
      <c r="BZ792" s="23"/>
      <c r="CA792" s="23"/>
      <c r="CB792" s="23"/>
      <c r="CC792" s="23"/>
      <c r="CD792" s="23"/>
      <c r="CE792" s="23"/>
      <c r="CF792" s="23"/>
      <c r="CG792" s="23"/>
      <c r="CH792" s="23"/>
      <c r="CI792" s="23"/>
      <c r="CJ792" s="23"/>
      <c r="CK792" s="23"/>
      <c r="CL792" s="23"/>
      <c r="CM792" s="23"/>
      <c r="CN792" s="23"/>
      <c r="CO792" s="23"/>
      <c r="CP792" s="23"/>
      <c r="CQ792" s="23"/>
      <c r="CR792" s="23"/>
      <c r="CS792" s="23"/>
      <c r="CT792" s="23"/>
      <c r="CU792" s="23"/>
      <c r="CV792" s="23"/>
      <c r="CW792" s="23"/>
      <c r="CX792" s="23"/>
      <c r="CY792" s="23"/>
      <c r="CZ792" s="23"/>
      <c r="DA792" s="23"/>
      <c r="DB792" s="23"/>
      <c r="DC792" s="23"/>
      <c r="DD792" s="23"/>
      <c r="DE792" s="23"/>
      <c r="DF792" s="23"/>
      <c r="DG792" s="23"/>
      <c r="DH792" s="23"/>
      <c r="DI792" s="23"/>
      <c r="DJ792" s="23"/>
      <c r="DK792" s="23"/>
      <c r="DL792" s="23"/>
      <c r="DM792" s="23"/>
      <c r="DN792" s="23"/>
      <c r="DO792" s="23"/>
      <c r="DP792" s="23"/>
      <c r="DQ792" s="23"/>
      <c r="DR792" s="23"/>
      <c r="DS792" s="23"/>
      <c r="DT792" s="23"/>
      <c r="DU792" s="23"/>
      <c r="DV792" s="23"/>
      <c r="DW792" s="23"/>
      <c r="DX792" s="23"/>
      <c r="DY792" s="23"/>
      <c r="DZ792" s="23"/>
      <c r="EA792" s="23"/>
      <c r="EB792" s="23"/>
      <c r="EC792" s="23"/>
      <c r="ED792" s="23"/>
      <c r="EE792" s="23"/>
      <c r="EF792" s="23"/>
      <c r="EG792" s="23"/>
      <c r="EH792" s="23"/>
      <c r="EI792" s="23"/>
      <c r="EJ792" s="23"/>
      <c r="EK792" s="23"/>
      <c r="EL792" s="23"/>
      <c r="EM792" s="23"/>
      <c r="EN792" s="23"/>
      <c r="EO792" s="23"/>
      <c r="EP792" s="23"/>
      <c r="EQ792" s="23"/>
      <c r="ER792" s="23"/>
      <c r="ES792" s="23"/>
      <c r="ET792" s="23"/>
      <c r="EU792" s="23"/>
      <c r="EV792" s="23"/>
      <c r="EW792" s="23"/>
      <c r="EX792" s="23"/>
      <c r="EY792" s="23"/>
      <c r="EZ792" s="23"/>
      <c r="FA792" s="23"/>
      <c r="FB792" s="23"/>
      <c r="FC792" s="23"/>
      <c r="FD792" s="23"/>
      <c r="FE792" s="23"/>
      <c r="FF792" s="23"/>
      <c r="FG792" s="23"/>
      <c r="FH792" s="23"/>
      <c r="FI792" s="23"/>
      <c r="FJ792" s="23"/>
      <c r="FK792" s="23"/>
      <c r="FL792" s="23"/>
      <c r="FM792" s="23"/>
      <c r="FN792" s="23"/>
      <c r="FO792" s="23"/>
      <c r="FP792" s="23"/>
      <c r="FQ792" s="23"/>
      <c r="FR792" s="23"/>
      <c r="FS792" s="23"/>
      <c r="FT792" s="23"/>
      <c r="FU792" s="23"/>
      <c r="FV792" s="23"/>
      <c r="FW792" s="23"/>
      <c r="FX792" s="23"/>
      <c r="FY792" s="23"/>
      <c r="FZ792" s="23"/>
      <c r="GA792" s="23"/>
      <c r="GB792" s="23"/>
      <c r="GC792" s="23"/>
      <c r="GD792" s="23"/>
      <c r="GE792" s="23"/>
      <c r="GF792" s="23"/>
      <c r="GG792" s="23"/>
      <c r="GH792" s="23"/>
      <c r="GI792" s="23"/>
      <c r="GJ792" s="23"/>
      <c r="GK792" s="23"/>
      <c r="GL792" s="23"/>
    </row>
    <row r="793" spans="1:194" ht="13">
      <c r="A793" s="23"/>
      <c r="B793" s="23"/>
      <c r="C793" s="23"/>
      <c r="D793" s="23"/>
      <c r="E793" s="23"/>
      <c r="F793" s="23"/>
      <c r="G793" s="23"/>
      <c r="H793" s="401"/>
      <c r="I793" s="401"/>
      <c r="J793" s="401"/>
      <c r="K793" s="401"/>
      <c r="L793" s="401"/>
      <c r="M793" s="438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  <c r="AL793" s="23"/>
      <c r="AM793" s="23"/>
      <c r="AN793" s="23"/>
      <c r="AO793" s="23"/>
      <c r="AP793" s="23"/>
      <c r="AQ793" s="23"/>
      <c r="AR793" s="23"/>
      <c r="AS793" s="23"/>
      <c r="AT793" s="23"/>
      <c r="AU793" s="23"/>
      <c r="AV793" s="23"/>
      <c r="AW793" s="23"/>
      <c r="AX793" s="23"/>
      <c r="AY793" s="23"/>
      <c r="AZ793" s="23"/>
      <c r="BA793" s="23"/>
      <c r="BB793" s="23"/>
      <c r="BC793" s="23"/>
      <c r="BD793" s="23"/>
      <c r="BE793" s="23"/>
      <c r="BF793" s="23"/>
      <c r="BG793" s="23"/>
      <c r="BH793" s="23"/>
      <c r="BI793" s="23"/>
      <c r="BJ793" s="23"/>
      <c r="BK793" s="23"/>
      <c r="BL793" s="23"/>
      <c r="BM793" s="23"/>
      <c r="BN793" s="23"/>
      <c r="BO793" s="23"/>
      <c r="BP793" s="23"/>
      <c r="BQ793" s="23"/>
      <c r="BR793" s="23"/>
      <c r="BS793" s="23"/>
      <c r="BT793" s="23"/>
      <c r="BU793" s="23"/>
      <c r="BV793" s="23"/>
      <c r="BW793" s="23"/>
      <c r="BX793" s="23"/>
      <c r="BY793" s="23"/>
      <c r="BZ793" s="23"/>
      <c r="CA793" s="23"/>
      <c r="CB793" s="23"/>
      <c r="CC793" s="23"/>
      <c r="CD793" s="23"/>
      <c r="CE793" s="23"/>
      <c r="CF793" s="23"/>
      <c r="CG793" s="23"/>
      <c r="CH793" s="23"/>
      <c r="CI793" s="23"/>
      <c r="CJ793" s="23"/>
      <c r="CK793" s="23"/>
      <c r="CL793" s="23"/>
      <c r="CM793" s="23"/>
      <c r="CN793" s="23"/>
      <c r="CO793" s="23"/>
      <c r="CP793" s="23"/>
      <c r="CQ793" s="23"/>
      <c r="CR793" s="23"/>
      <c r="CS793" s="23"/>
      <c r="CT793" s="23"/>
      <c r="CU793" s="23"/>
      <c r="CV793" s="23"/>
      <c r="CW793" s="23"/>
      <c r="CX793" s="23"/>
      <c r="CY793" s="23"/>
      <c r="CZ793" s="23"/>
      <c r="DA793" s="23"/>
      <c r="DB793" s="23"/>
      <c r="DC793" s="23"/>
      <c r="DD793" s="23"/>
      <c r="DE793" s="23"/>
      <c r="DF793" s="23"/>
      <c r="DG793" s="23"/>
      <c r="DH793" s="23"/>
      <c r="DI793" s="23"/>
      <c r="DJ793" s="23"/>
      <c r="DK793" s="23"/>
      <c r="DL793" s="23"/>
      <c r="DM793" s="23"/>
      <c r="DN793" s="23"/>
      <c r="DO793" s="23"/>
      <c r="DP793" s="23"/>
      <c r="DQ793" s="23"/>
      <c r="DR793" s="23"/>
      <c r="DS793" s="23"/>
      <c r="DT793" s="23"/>
      <c r="DU793" s="23"/>
      <c r="DV793" s="23"/>
      <c r="DW793" s="23"/>
      <c r="DX793" s="23"/>
      <c r="DY793" s="23"/>
      <c r="DZ793" s="23"/>
      <c r="EA793" s="23"/>
      <c r="EB793" s="23"/>
      <c r="EC793" s="23"/>
      <c r="ED793" s="23"/>
      <c r="EE793" s="23"/>
      <c r="EF793" s="23"/>
      <c r="EG793" s="23"/>
      <c r="EH793" s="23"/>
      <c r="EI793" s="23"/>
      <c r="EJ793" s="23"/>
      <c r="EK793" s="23"/>
      <c r="EL793" s="23"/>
      <c r="EM793" s="23"/>
      <c r="EN793" s="23"/>
      <c r="EO793" s="23"/>
      <c r="EP793" s="23"/>
      <c r="EQ793" s="23"/>
      <c r="ER793" s="23"/>
      <c r="ES793" s="23"/>
      <c r="ET793" s="23"/>
      <c r="EU793" s="23"/>
      <c r="EV793" s="23"/>
      <c r="EW793" s="23"/>
      <c r="EX793" s="23"/>
      <c r="EY793" s="23"/>
      <c r="EZ793" s="23"/>
      <c r="FA793" s="23"/>
      <c r="FB793" s="23"/>
      <c r="FC793" s="23"/>
      <c r="FD793" s="23"/>
      <c r="FE793" s="23"/>
      <c r="FF793" s="23"/>
      <c r="FG793" s="23"/>
      <c r="FH793" s="23"/>
      <c r="FI793" s="23"/>
      <c r="FJ793" s="23"/>
      <c r="FK793" s="23"/>
      <c r="FL793" s="23"/>
      <c r="FM793" s="23"/>
      <c r="FN793" s="23"/>
      <c r="FO793" s="23"/>
      <c r="FP793" s="23"/>
      <c r="FQ793" s="23"/>
      <c r="FR793" s="23"/>
      <c r="FS793" s="23"/>
      <c r="FT793" s="23"/>
      <c r="FU793" s="23"/>
      <c r="FV793" s="23"/>
      <c r="FW793" s="23"/>
      <c r="FX793" s="23"/>
      <c r="FY793" s="23"/>
      <c r="FZ793" s="23"/>
      <c r="GA793" s="23"/>
      <c r="GB793" s="23"/>
      <c r="GC793" s="23"/>
      <c r="GD793" s="23"/>
      <c r="GE793" s="23"/>
      <c r="GF793" s="23"/>
      <c r="GG793" s="23"/>
      <c r="GH793" s="23"/>
      <c r="GI793" s="23"/>
      <c r="GJ793" s="23"/>
      <c r="GK793" s="23"/>
      <c r="GL793" s="23"/>
    </row>
    <row r="794" spans="1:194" ht="13">
      <c r="A794" s="23"/>
      <c r="B794" s="23"/>
      <c r="C794" s="23"/>
      <c r="D794" s="23"/>
      <c r="E794" s="23"/>
      <c r="F794" s="23"/>
      <c r="G794" s="23"/>
      <c r="H794" s="401"/>
      <c r="I794" s="401"/>
      <c r="J794" s="401"/>
      <c r="K794" s="401"/>
      <c r="L794" s="401"/>
      <c r="M794" s="438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  <c r="AL794" s="23"/>
      <c r="AM794" s="23"/>
      <c r="AN794" s="23"/>
      <c r="AO794" s="23"/>
      <c r="AP794" s="23"/>
      <c r="AQ794" s="23"/>
      <c r="AR794" s="23"/>
      <c r="AS794" s="23"/>
      <c r="AT794" s="23"/>
      <c r="AU794" s="23"/>
      <c r="AV794" s="23"/>
      <c r="AW794" s="23"/>
      <c r="AX794" s="23"/>
      <c r="AY794" s="23"/>
      <c r="AZ794" s="23"/>
      <c r="BA794" s="23"/>
      <c r="BB794" s="23"/>
      <c r="BC794" s="23"/>
      <c r="BD794" s="23"/>
      <c r="BE794" s="23"/>
      <c r="BF794" s="23"/>
      <c r="BG794" s="23"/>
      <c r="BH794" s="23"/>
      <c r="BI794" s="23"/>
      <c r="BJ794" s="23"/>
      <c r="BK794" s="23"/>
      <c r="BL794" s="23"/>
      <c r="BM794" s="23"/>
      <c r="BN794" s="23"/>
      <c r="BO794" s="23"/>
      <c r="BP794" s="23"/>
      <c r="BQ794" s="23"/>
      <c r="BR794" s="23"/>
      <c r="BS794" s="23"/>
      <c r="BT794" s="23"/>
      <c r="BU794" s="23"/>
      <c r="BV794" s="23"/>
      <c r="BW794" s="23"/>
      <c r="BX794" s="23"/>
      <c r="BY794" s="23"/>
      <c r="BZ794" s="23"/>
      <c r="CA794" s="23"/>
      <c r="CB794" s="23"/>
      <c r="CC794" s="23"/>
      <c r="CD794" s="23"/>
      <c r="CE794" s="23"/>
      <c r="CF794" s="23"/>
      <c r="CG794" s="23"/>
      <c r="CH794" s="23"/>
      <c r="CI794" s="23"/>
      <c r="CJ794" s="23"/>
      <c r="CK794" s="23"/>
      <c r="CL794" s="23"/>
      <c r="CM794" s="23"/>
      <c r="CN794" s="23"/>
      <c r="CO794" s="23"/>
      <c r="CP794" s="23"/>
      <c r="CQ794" s="23"/>
      <c r="CR794" s="23"/>
      <c r="CS794" s="23"/>
      <c r="CT794" s="23"/>
      <c r="CU794" s="23"/>
      <c r="CV794" s="23"/>
      <c r="CW794" s="23"/>
      <c r="CX794" s="23"/>
      <c r="CY794" s="23"/>
      <c r="CZ794" s="23"/>
      <c r="DA794" s="23"/>
      <c r="DB794" s="23"/>
      <c r="DC794" s="23"/>
      <c r="DD794" s="23"/>
      <c r="DE794" s="23"/>
      <c r="DF794" s="23"/>
      <c r="DG794" s="23"/>
      <c r="DH794" s="23"/>
      <c r="DI794" s="23"/>
      <c r="DJ794" s="23"/>
      <c r="DK794" s="23"/>
      <c r="DL794" s="23"/>
      <c r="DM794" s="23"/>
      <c r="DN794" s="23"/>
      <c r="DO794" s="23"/>
      <c r="DP794" s="23"/>
      <c r="DQ794" s="23"/>
      <c r="DR794" s="23"/>
      <c r="DS794" s="23"/>
      <c r="DT794" s="23"/>
      <c r="DU794" s="23"/>
      <c r="DV794" s="23"/>
      <c r="DW794" s="23"/>
      <c r="DX794" s="23"/>
      <c r="DY794" s="23"/>
      <c r="DZ794" s="23"/>
      <c r="EA794" s="23"/>
      <c r="EB794" s="23"/>
      <c r="EC794" s="23"/>
      <c r="ED794" s="23"/>
      <c r="EE794" s="23"/>
      <c r="EF794" s="23"/>
      <c r="EG794" s="23"/>
      <c r="EH794" s="23"/>
      <c r="EI794" s="23"/>
      <c r="EJ794" s="23"/>
      <c r="EK794" s="23"/>
      <c r="EL794" s="23"/>
      <c r="EM794" s="23"/>
      <c r="EN794" s="23"/>
      <c r="EO794" s="23"/>
      <c r="EP794" s="23"/>
      <c r="EQ794" s="23"/>
      <c r="ER794" s="23"/>
      <c r="ES794" s="23"/>
      <c r="ET794" s="23"/>
      <c r="EU794" s="23"/>
      <c r="EV794" s="23"/>
      <c r="EW794" s="23"/>
      <c r="EX794" s="23"/>
      <c r="EY794" s="23"/>
      <c r="EZ794" s="23"/>
      <c r="FA794" s="23"/>
      <c r="FB794" s="23"/>
      <c r="FC794" s="23"/>
      <c r="FD794" s="23"/>
      <c r="FE794" s="23"/>
      <c r="FF794" s="23"/>
      <c r="FG794" s="23"/>
      <c r="FH794" s="23"/>
      <c r="FI794" s="23"/>
      <c r="FJ794" s="23"/>
      <c r="FK794" s="23"/>
      <c r="FL794" s="23"/>
      <c r="FM794" s="23"/>
      <c r="FN794" s="23"/>
      <c r="FO794" s="23"/>
      <c r="FP794" s="23"/>
      <c r="FQ794" s="23"/>
      <c r="FR794" s="23"/>
      <c r="FS794" s="23"/>
      <c r="FT794" s="23"/>
      <c r="FU794" s="23"/>
      <c r="FV794" s="23"/>
      <c r="FW794" s="23"/>
      <c r="FX794" s="23"/>
      <c r="FY794" s="23"/>
      <c r="FZ794" s="23"/>
      <c r="GA794" s="23"/>
      <c r="GB794" s="23"/>
      <c r="GC794" s="23"/>
      <c r="GD794" s="23"/>
      <c r="GE794" s="23"/>
      <c r="GF794" s="23"/>
      <c r="GG794" s="23"/>
      <c r="GH794" s="23"/>
      <c r="GI794" s="23"/>
      <c r="GJ794" s="23"/>
      <c r="GK794" s="23"/>
      <c r="GL794" s="23"/>
    </row>
    <row r="795" spans="1:194" ht="13">
      <c r="A795" s="23"/>
      <c r="B795" s="23"/>
      <c r="C795" s="23"/>
      <c r="D795" s="23"/>
      <c r="E795" s="23"/>
      <c r="F795" s="23"/>
      <c r="G795" s="23"/>
      <c r="H795" s="401"/>
      <c r="I795" s="401"/>
      <c r="J795" s="401"/>
      <c r="K795" s="401"/>
      <c r="L795" s="401"/>
      <c r="M795" s="438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  <c r="AL795" s="23"/>
      <c r="AM795" s="23"/>
      <c r="AN795" s="23"/>
      <c r="AO795" s="23"/>
      <c r="AP795" s="23"/>
      <c r="AQ795" s="23"/>
      <c r="AR795" s="23"/>
      <c r="AS795" s="23"/>
      <c r="AT795" s="23"/>
      <c r="AU795" s="23"/>
      <c r="AV795" s="23"/>
      <c r="AW795" s="23"/>
      <c r="AX795" s="23"/>
      <c r="AY795" s="23"/>
      <c r="AZ795" s="23"/>
      <c r="BA795" s="23"/>
      <c r="BB795" s="23"/>
      <c r="BC795" s="23"/>
      <c r="BD795" s="23"/>
      <c r="BE795" s="23"/>
      <c r="BF795" s="23"/>
      <c r="BG795" s="23"/>
      <c r="BH795" s="23"/>
      <c r="BI795" s="23"/>
      <c r="BJ795" s="23"/>
      <c r="BK795" s="23"/>
      <c r="BL795" s="23"/>
      <c r="BM795" s="23"/>
      <c r="BN795" s="23"/>
      <c r="BO795" s="23"/>
      <c r="BP795" s="23"/>
      <c r="BQ795" s="23"/>
      <c r="BR795" s="23"/>
      <c r="BS795" s="23"/>
      <c r="BT795" s="23"/>
      <c r="BU795" s="23"/>
      <c r="BV795" s="23"/>
      <c r="BW795" s="23"/>
      <c r="BX795" s="23"/>
      <c r="BY795" s="23"/>
      <c r="BZ795" s="23"/>
      <c r="CA795" s="23"/>
      <c r="CB795" s="23"/>
      <c r="CC795" s="23"/>
      <c r="CD795" s="23"/>
      <c r="CE795" s="23"/>
      <c r="CF795" s="23"/>
      <c r="CG795" s="23"/>
      <c r="CH795" s="23"/>
      <c r="CI795" s="23"/>
      <c r="CJ795" s="23"/>
      <c r="CK795" s="23"/>
      <c r="CL795" s="23"/>
      <c r="CM795" s="23"/>
      <c r="CN795" s="23"/>
      <c r="CO795" s="23"/>
      <c r="CP795" s="23"/>
      <c r="CQ795" s="23"/>
      <c r="CR795" s="23"/>
      <c r="CS795" s="23"/>
      <c r="CT795" s="23"/>
      <c r="CU795" s="23"/>
      <c r="CV795" s="23"/>
      <c r="CW795" s="23"/>
      <c r="CX795" s="23"/>
      <c r="CY795" s="23"/>
      <c r="CZ795" s="23"/>
      <c r="DA795" s="23"/>
      <c r="DB795" s="23"/>
      <c r="DC795" s="23"/>
      <c r="DD795" s="23"/>
      <c r="DE795" s="23"/>
      <c r="DF795" s="23"/>
      <c r="DG795" s="23"/>
      <c r="DH795" s="23"/>
      <c r="DI795" s="23"/>
      <c r="DJ795" s="23"/>
      <c r="DK795" s="23"/>
      <c r="DL795" s="23"/>
      <c r="DM795" s="23"/>
      <c r="DN795" s="23"/>
      <c r="DO795" s="23"/>
      <c r="DP795" s="23"/>
      <c r="DQ795" s="23"/>
      <c r="DR795" s="23"/>
      <c r="DS795" s="23"/>
      <c r="DT795" s="23"/>
      <c r="DU795" s="23"/>
      <c r="DV795" s="23"/>
      <c r="DW795" s="23"/>
      <c r="DX795" s="23"/>
      <c r="DY795" s="23"/>
      <c r="DZ795" s="23"/>
      <c r="EA795" s="23"/>
      <c r="EB795" s="23"/>
      <c r="EC795" s="23"/>
      <c r="ED795" s="23"/>
      <c r="EE795" s="23"/>
      <c r="EF795" s="23"/>
      <c r="EG795" s="23"/>
      <c r="EH795" s="23"/>
      <c r="EI795" s="23"/>
      <c r="EJ795" s="23"/>
      <c r="EK795" s="23"/>
      <c r="EL795" s="23"/>
      <c r="EM795" s="23"/>
      <c r="EN795" s="23"/>
      <c r="EO795" s="23"/>
      <c r="EP795" s="23"/>
      <c r="EQ795" s="23"/>
      <c r="ER795" s="23"/>
      <c r="ES795" s="23"/>
      <c r="ET795" s="23"/>
      <c r="EU795" s="23"/>
      <c r="EV795" s="23"/>
      <c r="EW795" s="23"/>
      <c r="EX795" s="23"/>
      <c r="EY795" s="23"/>
      <c r="EZ795" s="23"/>
      <c r="FA795" s="23"/>
      <c r="FB795" s="23"/>
      <c r="FC795" s="23"/>
      <c r="FD795" s="23"/>
      <c r="FE795" s="23"/>
      <c r="FF795" s="23"/>
      <c r="FG795" s="23"/>
      <c r="FH795" s="23"/>
      <c r="FI795" s="23"/>
      <c r="FJ795" s="23"/>
      <c r="FK795" s="23"/>
      <c r="FL795" s="23"/>
      <c r="FM795" s="23"/>
      <c r="FN795" s="23"/>
      <c r="FO795" s="23"/>
      <c r="FP795" s="23"/>
      <c r="FQ795" s="23"/>
      <c r="FR795" s="23"/>
      <c r="FS795" s="23"/>
      <c r="FT795" s="23"/>
      <c r="FU795" s="23"/>
      <c r="FV795" s="23"/>
      <c r="FW795" s="23"/>
      <c r="FX795" s="23"/>
      <c r="FY795" s="23"/>
      <c r="FZ795" s="23"/>
      <c r="GA795" s="23"/>
      <c r="GB795" s="23"/>
      <c r="GC795" s="23"/>
      <c r="GD795" s="23"/>
      <c r="GE795" s="23"/>
      <c r="GF795" s="23"/>
      <c r="GG795" s="23"/>
      <c r="GH795" s="23"/>
      <c r="GI795" s="23"/>
      <c r="GJ795" s="23"/>
      <c r="GK795" s="23"/>
      <c r="GL795" s="23"/>
    </row>
    <row r="796" spans="1:194" ht="13">
      <c r="A796" s="23"/>
      <c r="B796" s="23"/>
      <c r="C796" s="23"/>
      <c r="D796" s="23"/>
      <c r="E796" s="23"/>
      <c r="F796" s="23"/>
      <c r="G796" s="23"/>
      <c r="H796" s="401"/>
      <c r="I796" s="401"/>
      <c r="J796" s="401"/>
      <c r="K796" s="401"/>
      <c r="L796" s="401"/>
      <c r="M796" s="438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  <c r="AL796" s="23"/>
      <c r="AM796" s="23"/>
      <c r="AN796" s="23"/>
      <c r="AO796" s="23"/>
      <c r="AP796" s="23"/>
      <c r="AQ796" s="23"/>
      <c r="AR796" s="23"/>
      <c r="AS796" s="23"/>
      <c r="AT796" s="23"/>
      <c r="AU796" s="23"/>
      <c r="AV796" s="23"/>
      <c r="AW796" s="23"/>
      <c r="AX796" s="23"/>
      <c r="AY796" s="23"/>
      <c r="AZ796" s="23"/>
      <c r="BA796" s="23"/>
      <c r="BB796" s="23"/>
      <c r="BC796" s="23"/>
      <c r="BD796" s="23"/>
      <c r="BE796" s="23"/>
      <c r="BF796" s="23"/>
      <c r="BG796" s="23"/>
      <c r="BH796" s="23"/>
      <c r="BI796" s="23"/>
      <c r="BJ796" s="23"/>
      <c r="BK796" s="23"/>
      <c r="BL796" s="23"/>
      <c r="BM796" s="23"/>
      <c r="BN796" s="23"/>
      <c r="BO796" s="23"/>
      <c r="BP796" s="23"/>
      <c r="BQ796" s="23"/>
      <c r="BR796" s="23"/>
      <c r="BS796" s="23"/>
      <c r="BT796" s="23"/>
      <c r="BU796" s="23"/>
      <c r="BV796" s="23"/>
      <c r="BW796" s="23"/>
      <c r="BX796" s="23"/>
      <c r="BY796" s="23"/>
      <c r="BZ796" s="23"/>
      <c r="CA796" s="23"/>
      <c r="CB796" s="23"/>
      <c r="CC796" s="23"/>
      <c r="CD796" s="23"/>
      <c r="CE796" s="23"/>
      <c r="CF796" s="23"/>
      <c r="CG796" s="23"/>
      <c r="CH796" s="23"/>
      <c r="CI796" s="23"/>
      <c r="CJ796" s="23"/>
      <c r="CK796" s="23"/>
      <c r="CL796" s="23"/>
      <c r="CM796" s="23"/>
      <c r="CN796" s="23"/>
      <c r="CO796" s="23"/>
      <c r="CP796" s="23"/>
      <c r="CQ796" s="23"/>
      <c r="CR796" s="23"/>
      <c r="CS796" s="23"/>
      <c r="CT796" s="23"/>
      <c r="CU796" s="23"/>
      <c r="CV796" s="23"/>
      <c r="CW796" s="23"/>
      <c r="CX796" s="23"/>
      <c r="CY796" s="23"/>
      <c r="CZ796" s="23"/>
      <c r="DA796" s="23"/>
      <c r="DB796" s="23"/>
      <c r="DC796" s="23"/>
      <c r="DD796" s="23"/>
      <c r="DE796" s="23"/>
      <c r="DF796" s="23"/>
      <c r="DG796" s="23"/>
      <c r="DH796" s="23"/>
      <c r="DI796" s="23"/>
      <c r="DJ796" s="23"/>
      <c r="DK796" s="23"/>
      <c r="DL796" s="23"/>
      <c r="DM796" s="23"/>
      <c r="DN796" s="23"/>
      <c r="DO796" s="23"/>
      <c r="DP796" s="23"/>
      <c r="DQ796" s="23"/>
      <c r="DR796" s="23"/>
      <c r="DS796" s="23"/>
      <c r="DT796" s="23"/>
      <c r="DU796" s="23"/>
      <c r="DV796" s="23"/>
      <c r="DW796" s="23"/>
      <c r="DX796" s="23"/>
      <c r="DY796" s="23"/>
      <c r="DZ796" s="23"/>
      <c r="EA796" s="23"/>
      <c r="EB796" s="23"/>
      <c r="EC796" s="23"/>
      <c r="ED796" s="23"/>
      <c r="EE796" s="23"/>
      <c r="EF796" s="23"/>
      <c r="EG796" s="23"/>
      <c r="EH796" s="23"/>
      <c r="EI796" s="23"/>
      <c r="EJ796" s="23"/>
      <c r="EK796" s="23"/>
      <c r="EL796" s="23"/>
      <c r="EM796" s="23"/>
      <c r="EN796" s="23"/>
      <c r="EO796" s="23"/>
      <c r="EP796" s="23"/>
      <c r="EQ796" s="23"/>
      <c r="ER796" s="23"/>
      <c r="ES796" s="23"/>
      <c r="ET796" s="23"/>
      <c r="EU796" s="23"/>
      <c r="EV796" s="23"/>
      <c r="EW796" s="23"/>
      <c r="EX796" s="23"/>
      <c r="EY796" s="23"/>
      <c r="EZ796" s="23"/>
      <c r="FA796" s="23"/>
      <c r="FB796" s="23"/>
      <c r="FC796" s="23"/>
      <c r="FD796" s="23"/>
      <c r="FE796" s="23"/>
      <c r="FF796" s="23"/>
      <c r="FG796" s="23"/>
      <c r="FH796" s="23"/>
      <c r="FI796" s="23"/>
      <c r="FJ796" s="23"/>
      <c r="FK796" s="23"/>
      <c r="FL796" s="23"/>
      <c r="FM796" s="23"/>
      <c r="FN796" s="23"/>
      <c r="FO796" s="23"/>
      <c r="FP796" s="23"/>
      <c r="FQ796" s="23"/>
      <c r="FR796" s="23"/>
      <c r="FS796" s="23"/>
      <c r="FT796" s="23"/>
      <c r="FU796" s="23"/>
      <c r="FV796" s="23"/>
      <c r="FW796" s="23"/>
      <c r="FX796" s="23"/>
      <c r="FY796" s="23"/>
      <c r="FZ796" s="23"/>
      <c r="GA796" s="23"/>
      <c r="GB796" s="23"/>
      <c r="GC796" s="23"/>
      <c r="GD796" s="23"/>
      <c r="GE796" s="23"/>
      <c r="GF796" s="23"/>
      <c r="GG796" s="23"/>
      <c r="GH796" s="23"/>
      <c r="GI796" s="23"/>
      <c r="GJ796" s="23"/>
      <c r="GK796" s="23"/>
      <c r="GL796" s="23"/>
    </row>
    <row r="797" spans="1:194" ht="13">
      <c r="A797" s="23"/>
      <c r="B797" s="23"/>
      <c r="C797" s="23"/>
      <c r="D797" s="23"/>
      <c r="E797" s="23"/>
      <c r="F797" s="23"/>
      <c r="G797" s="23"/>
      <c r="H797" s="401"/>
      <c r="I797" s="401"/>
      <c r="J797" s="401"/>
      <c r="K797" s="401"/>
      <c r="L797" s="401"/>
      <c r="M797" s="438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  <c r="AL797" s="23"/>
      <c r="AM797" s="23"/>
      <c r="AN797" s="23"/>
      <c r="AO797" s="23"/>
      <c r="AP797" s="23"/>
      <c r="AQ797" s="23"/>
      <c r="AR797" s="23"/>
      <c r="AS797" s="23"/>
      <c r="AT797" s="23"/>
      <c r="AU797" s="23"/>
      <c r="AV797" s="23"/>
      <c r="AW797" s="23"/>
      <c r="AX797" s="23"/>
      <c r="AY797" s="23"/>
      <c r="AZ797" s="23"/>
      <c r="BA797" s="23"/>
      <c r="BB797" s="23"/>
      <c r="BC797" s="23"/>
      <c r="BD797" s="23"/>
      <c r="BE797" s="23"/>
      <c r="BF797" s="23"/>
      <c r="BG797" s="23"/>
      <c r="BH797" s="23"/>
      <c r="BI797" s="23"/>
      <c r="BJ797" s="23"/>
      <c r="BK797" s="23"/>
      <c r="BL797" s="23"/>
      <c r="BM797" s="23"/>
      <c r="BN797" s="23"/>
      <c r="BO797" s="23"/>
      <c r="BP797" s="23"/>
      <c r="BQ797" s="23"/>
      <c r="BR797" s="23"/>
      <c r="BS797" s="23"/>
      <c r="BT797" s="23"/>
      <c r="BU797" s="23"/>
      <c r="BV797" s="23"/>
      <c r="BW797" s="23"/>
      <c r="BX797" s="23"/>
      <c r="BY797" s="23"/>
      <c r="BZ797" s="23"/>
      <c r="CA797" s="23"/>
      <c r="CB797" s="23"/>
      <c r="CC797" s="23"/>
      <c r="CD797" s="23"/>
      <c r="CE797" s="23"/>
      <c r="CF797" s="23"/>
      <c r="CG797" s="23"/>
      <c r="CH797" s="23"/>
      <c r="CI797" s="23"/>
      <c r="CJ797" s="23"/>
      <c r="CK797" s="23"/>
      <c r="CL797" s="23"/>
      <c r="CM797" s="23"/>
      <c r="CN797" s="23"/>
      <c r="CO797" s="23"/>
      <c r="CP797" s="23"/>
      <c r="CQ797" s="23"/>
      <c r="CR797" s="23"/>
      <c r="CS797" s="23"/>
      <c r="CT797" s="23"/>
      <c r="CU797" s="23"/>
      <c r="CV797" s="23"/>
      <c r="CW797" s="23"/>
      <c r="CX797" s="23"/>
      <c r="CY797" s="23"/>
      <c r="CZ797" s="23"/>
      <c r="DA797" s="23"/>
      <c r="DB797" s="23"/>
      <c r="DC797" s="23"/>
      <c r="DD797" s="23"/>
      <c r="DE797" s="23"/>
      <c r="DF797" s="23"/>
      <c r="DG797" s="23"/>
      <c r="DH797" s="23"/>
      <c r="DI797" s="23"/>
      <c r="DJ797" s="23"/>
      <c r="DK797" s="23"/>
      <c r="DL797" s="23"/>
      <c r="DM797" s="23"/>
      <c r="DN797" s="23"/>
      <c r="DO797" s="23"/>
      <c r="DP797" s="23"/>
      <c r="DQ797" s="23"/>
      <c r="DR797" s="23"/>
      <c r="DS797" s="23"/>
      <c r="DT797" s="23"/>
      <c r="DU797" s="23"/>
      <c r="DV797" s="23"/>
      <c r="DW797" s="23"/>
      <c r="DX797" s="23"/>
      <c r="DY797" s="23"/>
      <c r="DZ797" s="23"/>
      <c r="EA797" s="23"/>
      <c r="EB797" s="23"/>
      <c r="EC797" s="23"/>
      <c r="ED797" s="23"/>
      <c r="EE797" s="23"/>
      <c r="EF797" s="23"/>
      <c r="EG797" s="23"/>
      <c r="EH797" s="23"/>
      <c r="EI797" s="23"/>
      <c r="EJ797" s="23"/>
      <c r="EK797" s="23"/>
      <c r="EL797" s="23"/>
      <c r="EM797" s="23"/>
      <c r="EN797" s="23"/>
      <c r="EO797" s="23"/>
      <c r="EP797" s="23"/>
      <c r="EQ797" s="23"/>
      <c r="ER797" s="23"/>
      <c r="ES797" s="23"/>
      <c r="ET797" s="23"/>
      <c r="EU797" s="23"/>
      <c r="EV797" s="23"/>
      <c r="EW797" s="23"/>
      <c r="EX797" s="23"/>
      <c r="EY797" s="23"/>
      <c r="EZ797" s="23"/>
      <c r="FA797" s="23"/>
      <c r="FB797" s="23"/>
      <c r="FC797" s="23"/>
      <c r="FD797" s="23"/>
      <c r="FE797" s="23"/>
      <c r="FF797" s="23"/>
      <c r="FG797" s="23"/>
      <c r="FH797" s="23"/>
      <c r="FI797" s="23"/>
      <c r="FJ797" s="23"/>
      <c r="FK797" s="23"/>
      <c r="FL797" s="23"/>
      <c r="FM797" s="23"/>
      <c r="FN797" s="23"/>
      <c r="FO797" s="23"/>
      <c r="FP797" s="23"/>
      <c r="FQ797" s="23"/>
      <c r="FR797" s="23"/>
      <c r="FS797" s="23"/>
      <c r="FT797" s="23"/>
      <c r="FU797" s="23"/>
      <c r="FV797" s="23"/>
      <c r="FW797" s="23"/>
      <c r="FX797" s="23"/>
      <c r="FY797" s="23"/>
      <c r="FZ797" s="23"/>
      <c r="GA797" s="23"/>
      <c r="GB797" s="23"/>
      <c r="GC797" s="23"/>
      <c r="GD797" s="23"/>
      <c r="GE797" s="23"/>
      <c r="GF797" s="23"/>
      <c r="GG797" s="23"/>
      <c r="GH797" s="23"/>
      <c r="GI797" s="23"/>
      <c r="GJ797" s="23"/>
      <c r="GK797" s="23"/>
      <c r="GL797" s="23"/>
    </row>
    <row r="798" spans="1:194" ht="13">
      <c r="A798" s="23"/>
      <c r="B798" s="23"/>
      <c r="C798" s="23"/>
      <c r="D798" s="23"/>
      <c r="E798" s="23"/>
      <c r="F798" s="23"/>
      <c r="G798" s="23"/>
      <c r="H798" s="401"/>
      <c r="I798" s="401"/>
      <c r="J798" s="401"/>
      <c r="K798" s="401"/>
      <c r="L798" s="401"/>
      <c r="M798" s="438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  <c r="AL798" s="23"/>
      <c r="AM798" s="23"/>
      <c r="AN798" s="23"/>
      <c r="AO798" s="23"/>
      <c r="AP798" s="23"/>
      <c r="AQ798" s="23"/>
      <c r="AR798" s="23"/>
      <c r="AS798" s="23"/>
      <c r="AT798" s="23"/>
      <c r="AU798" s="23"/>
      <c r="AV798" s="23"/>
      <c r="AW798" s="23"/>
      <c r="AX798" s="23"/>
      <c r="AY798" s="23"/>
      <c r="AZ798" s="23"/>
      <c r="BA798" s="23"/>
      <c r="BB798" s="23"/>
      <c r="BC798" s="23"/>
      <c r="BD798" s="23"/>
      <c r="BE798" s="23"/>
      <c r="BF798" s="23"/>
      <c r="BG798" s="23"/>
      <c r="BH798" s="23"/>
      <c r="BI798" s="23"/>
      <c r="BJ798" s="23"/>
      <c r="BK798" s="23"/>
      <c r="BL798" s="23"/>
      <c r="BM798" s="23"/>
      <c r="BN798" s="23"/>
      <c r="BO798" s="23"/>
      <c r="BP798" s="23"/>
      <c r="BQ798" s="23"/>
      <c r="BR798" s="23"/>
      <c r="BS798" s="23"/>
      <c r="BT798" s="23"/>
      <c r="BU798" s="23"/>
      <c r="BV798" s="23"/>
      <c r="BW798" s="23"/>
      <c r="BX798" s="23"/>
      <c r="BY798" s="23"/>
      <c r="BZ798" s="23"/>
      <c r="CA798" s="23"/>
      <c r="CB798" s="23"/>
      <c r="CC798" s="23"/>
      <c r="CD798" s="23"/>
      <c r="CE798" s="23"/>
      <c r="CF798" s="23"/>
      <c r="CG798" s="23"/>
      <c r="CH798" s="23"/>
      <c r="CI798" s="23"/>
      <c r="CJ798" s="23"/>
      <c r="CK798" s="23"/>
      <c r="CL798" s="23"/>
      <c r="CM798" s="23"/>
      <c r="CN798" s="23"/>
      <c r="CO798" s="23"/>
      <c r="CP798" s="23"/>
      <c r="CQ798" s="23"/>
      <c r="CR798" s="23"/>
      <c r="CS798" s="23"/>
      <c r="CT798" s="23"/>
      <c r="CU798" s="23"/>
      <c r="CV798" s="23"/>
      <c r="CW798" s="23"/>
      <c r="CX798" s="23"/>
      <c r="CY798" s="23"/>
      <c r="CZ798" s="23"/>
      <c r="DA798" s="23"/>
      <c r="DB798" s="23"/>
      <c r="DC798" s="23"/>
      <c r="DD798" s="23"/>
      <c r="DE798" s="23"/>
      <c r="DF798" s="23"/>
      <c r="DG798" s="23"/>
      <c r="DH798" s="23"/>
      <c r="DI798" s="23"/>
      <c r="DJ798" s="23"/>
      <c r="DK798" s="23"/>
      <c r="DL798" s="23"/>
      <c r="DM798" s="23"/>
      <c r="DN798" s="23"/>
      <c r="DO798" s="23"/>
      <c r="DP798" s="23"/>
      <c r="DQ798" s="23"/>
      <c r="DR798" s="23"/>
      <c r="DS798" s="23"/>
      <c r="DT798" s="23"/>
      <c r="DU798" s="23"/>
      <c r="DV798" s="23"/>
      <c r="DW798" s="23"/>
      <c r="DX798" s="23"/>
      <c r="DY798" s="23"/>
      <c r="DZ798" s="23"/>
      <c r="EA798" s="23"/>
      <c r="EB798" s="23"/>
      <c r="EC798" s="23"/>
      <c r="ED798" s="23"/>
      <c r="EE798" s="23"/>
      <c r="EF798" s="23"/>
      <c r="EG798" s="23"/>
      <c r="EH798" s="23"/>
      <c r="EI798" s="23"/>
      <c r="EJ798" s="23"/>
      <c r="EK798" s="23"/>
      <c r="EL798" s="23"/>
      <c r="EM798" s="23"/>
      <c r="EN798" s="23"/>
      <c r="EO798" s="23"/>
      <c r="EP798" s="23"/>
      <c r="EQ798" s="23"/>
      <c r="ER798" s="23"/>
      <c r="ES798" s="23"/>
      <c r="ET798" s="23"/>
      <c r="EU798" s="23"/>
      <c r="EV798" s="23"/>
      <c r="EW798" s="23"/>
      <c r="EX798" s="23"/>
      <c r="EY798" s="23"/>
      <c r="EZ798" s="23"/>
      <c r="FA798" s="23"/>
      <c r="FB798" s="23"/>
      <c r="FC798" s="23"/>
      <c r="FD798" s="23"/>
      <c r="FE798" s="23"/>
      <c r="FF798" s="23"/>
      <c r="FG798" s="23"/>
      <c r="FH798" s="23"/>
      <c r="FI798" s="23"/>
      <c r="FJ798" s="23"/>
      <c r="FK798" s="23"/>
      <c r="FL798" s="23"/>
      <c r="FM798" s="23"/>
      <c r="FN798" s="23"/>
      <c r="FO798" s="23"/>
      <c r="FP798" s="23"/>
      <c r="FQ798" s="23"/>
      <c r="FR798" s="23"/>
      <c r="FS798" s="23"/>
      <c r="FT798" s="23"/>
      <c r="FU798" s="23"/>
      <c r="FV798" s="23"/>
      <c r="FW798" s="23"/>
      <c r="FX798" s="23"/>
      <c r="FY798" s="23"/>
      <c r="FZ798" s="23"/>
      <c r="GA798" s="23"/>
      <c r="GB798" s="23"/>
      <c r="GC798" s="23"/>
      <c r="GD798" s="23"/>
      <c r="GE798" s="23"/>
      <c r="GF798" s="23"/>
      <c r="GG798" s="23"/>
      <c r="GH798" s="23"/>
      <c r="GI798" s="23"/>
      <c r="GJ798" s="23"/>
      <c r="GK798" s="23"/>
      <c r="GL798" s="23"/>
    </row>
    <row r="799" spans="1:194" ht="13">
      <c r="A799" s="23"/>
      <c r="B799" s="23"/>
      <c r="C799" s="23"/>
      <c r="D799" s="23"/>
      <c r="E799" s="23"/>
      <c r="F799" s="23"/>
      <c r="G799" s="23"/>
      <c r="H799" s="401"/>
      <c r="I799" s="401"/>
      <c r="J799" s="401"/>
      <c r="K799" s="401"/>
      <c r="L799" s="401"/>
      <c r="M799" s="438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  <c r="AL799" s="23"/>
      <c r="AM799" s="23"/>
      <c r="AN799" s="23"/>
      <c r="AO799" s="23"/>
      <c r="AP799" s="23"/>
      <c r="AQ799" s="23"/>
      <c r="AR799" s="23"/>
      <c r="AS799" s="23"/>
      <c r="AT799" s="23"/>
      <c r="AU799" s="23"/>
      <c r="AV799" s="23"/>
      <c r="AW799" s="23"/>
      <c r="AX799" s="23"/>
      <c r="AY799" s="23"/>
      <c r="AZ799" s="23"/>
      <c r="BA799" s="23"/>
      <c r="BB799" s="23"/>
      <c r="BC799" s="23"/>
      <c r="BD799" s="23"/>
      <c r="BE799" s="23"/>
      <c r="BF799" s="23"/>
      <c r="BG799" s="23"/>
      <c r="BH799" s="23"/>
      <c r="BI799" s="23"/>
      <c r="BJ799" s="23"/>
      <c r="BK799" s="23"/>
      <c r="BL799" s="23"/>
      <c r="BM799" s="23"/>
      <c r="BN799" s="23"/>
      <c r="BO799" s="23"/>
      <c r="BP799" s="23"/>
      <c r="BQ799" s="23"/>
      <c r="BR799" s="23"/>
      <c r="BS799" s="23"/>
      <c r="BT799" s="23"/>
      <c r="BU799" s="23"/>
      <c r="BV799" s="23"/>
      <c r="BW799" s="23"/>
      <c r="BX799" s="23"/>
      <c r="BY799" s="23"/>
      <c r="BZ799" s="23"/>
      <c r="CA799" s="23"/>
      <c r="CB799" s="23"/>
      <c r="CC799" s="23"/>
      <c r="CD799" s="23"/>
      <c r="CE799" s="23"/>
      <c r="CF799" s="23"/>
      <c r="CG799" s="23"/>
      <c r="CH799" s="23"/>
      <c r="CI799" s="23"/>
      <c r="CJ799" s="23"/>
      <c r="CK799" s="23"/>
      <c r="CL799" s="23"/>
      <c r="CM799" s="23"/>
      <c r="CN799" s="23"/>
      <c r="CO799" s="23"/>
      <c r="CP799" s="23"/>
      <c r="CQ799" s="23"/>
      <c r="CR799" s="23"/>
      <c r="CS799" s="23"/>
      <c r="CT799" s="23"/>
      <c r="CU799" s="23"/>
      <c r="CV799" s="23"/>
      <c r="CW799" s="23"/>
      <c r="CX799" s="23"/>
      <c r="CY799" s="23"/>
      <c r="CZ799" s="23"/>
      <c r="DA799" s="23"/>
      <c r="DB799" s="23"/>
      <c r="DC799" s="23"/>
      <c r="DD799" s="23"/>
      <c r="DE799" s="23"/>
      <c r="DF799" s="23"/>
      <c r="DG799" s="23"/>
      <c r="DH799" s="23"/>
      <c r="DI799" s="23"/>
      <c r="DJ799" s="23"/>
      <c r="DK799" s="23"/>
      <c r="DL799" s="23"/>
      <c r="DM799" s="23"/>
      <c r="DN799" s="23"/>
      <c r="DO799" s="23"/>
      <c r="DP799" s="23"/>
      <c r="DQ799" s="23"/>
      <c r="DR799" s="23"/>
      <c r="DS799" s="23"/>
      <c r="DT799" s="23"/>
      <c r="DU799" s="23"/>
      <c r="DV799" s="23"/>
      <c r="DW799" s="23"/>
      <c r="DX799" s="23"/>
      <c r="DY799" s="23"/>
      <c r="DZ799" s="23"/>
      <c r="EA799" s="23"/>
      <c r="EB799" s="23"/>
      <c r="EC799" s="23"/>
      <c r="ED799" s="23"/>
      <c r="EE799" s="23"/>
      <c r="EF799" s="23"/>
      <c r="EG799" s="23"/>
      <c r="EH799" s="23"/>
      <c r="EI799" s="23"/>
      <c r="EJ799" s="23"/>
      <c r="EK799" s="23"/>
      <c r="EL799" s="23"/>
      <c r="EM799" s="23"/>
      <c r="EN799" s="23"/>
      <c r="EO799" s="23"/>
      <c r="EP799" s="23"/>
      <c r="EQ799" s="23"/>
      <c r="ER799" s="23"/>
      <c r="ES799" s="23"/>
      <c r="ET799" s="23"/>
      <c r="EU799" s="23"/>
      <c r="EV799" s="23"/>
      <c r="EW799" s="23"/>
      <c r="EX799" s="23"/>
      <c r="EY799" s="23"/>
      <c r="EZ799" s="23"/>
      <c r="FA799" s="23"/>
      <c r="FB799" s="23"/>
      <c r="FC799" s="23"/>
      <c r="FD799" s="23"/>
      <c r="FE799" s="23"/>
      <c r="FF799" s="23"/>
      <c r="FG799" s="23"/>
      <c r="FH799" s="23"/>
      <c r="FI799" s="23"/>
      <c r="FJ799" s="23"/>
      <c r="FK799" s="23"/>
      <c r="FL799" s="23"/>
      <c r="FM799" s="23"/>
      <c r="FN799" s="23"/>
      <c r="FO799" s="23"/>
      <c r="FP799" s="23"/>
      <c r="FQ799" s="23"/>
      <c r="FR799" s="23"/>
      <c r="FS799" s="23"/>
      <c r="FT799" s="23"/>
      <c r="FU799" s="23"/>
      <c r="FV799" s="23"/>
      <c r="FW799" s="23"/>
      <c r="FX799" s="23"/>
      <c r="FY799" s="23"/>
      <c r="FZ799" s="23"/>
      <c r="GA799" s="23"/>
      <c r="GB799" s="23"/>
      <c r="GC799" s="23"/>
      <c r="GD799" s="23"/>
      <c r="GE799" s="23"/>
      <c r="GF799" s="23"/>
      <c r="GG799" s="23"/>
      <c r="GH799" s="23"/>
      <c r="GI799" s="23"/>
      <c r="GJ799" s="23"/>
      <c r="GK799" s="23"/>
      <c r="GL799" s="23"/>
    </row>
    <row r="800" spans="1:194" ht="13">
      <c r="A800" s="23"/>
      <c r="B800" s="23"/>
      <c r="C800" s="23"/>
      <c r="D800" s="23"/>
      <c r="E800" s="23"/>
      <c r="F800" s="23"/>
      <c r="G800" s="23"/>
      <c r="H800" s="401"/>
      <c r="I800" s="401"/>
      <c r="J800" s="401"/>
      <c r="K800" s="401"/>
      <c r="L800" s="401"/>
      <c r="M800" s="438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  <c r="AL800" s="23"/>
      <c r="AM800" s="23"/>
      <c r="AN800" s="23"/>
      <c r="AO800" s="23"/>
      <c r="AP800" s="23"/>
      <c r="AQ800" s="23"/>
      <c r="AR800" s="23"/>
      <c r="AS800" s="23"/>
      <c r="AT800" s="23"/>
      <c r="AU800" s="23"/>
      <c r="AV800" s="23"/>
      <c r="AW800" s="23"/>
      <c r="AX800" s="23"/>
      <c r="AY800" s="23"/>
      <c r="AZ800" s="23"/>
      <c r="BA800" s="23"/>
      <c r="BB800" s="23"/>
      <c r="BC800" s="23"/>
      <c r="BD800" s="23"/>
      <c r="BE800" s="23"/>
      <c r="BF800" s="23"/>
      <c r="BG800" s="23"/>
      <c r="BH800" s="23"/>
      <c r="BI800" s="23"/>
      <c r="BJ800" s="23"/>
      <c r="BK800" s="23"/>
      <c r="BL800" s="23"/>
      <c r="BM800" s="23"/>
      <c r="BN800" s="23"/>
      <c r="BO800" s="23"/>
      <c r="BP800" s="23"/>
      <c r="BQ800" s="23"/>
      <c r="BR800" s="23"/>
      <c r="BS800" s="23"/>
      <c r="BT800" s="23"/>
      <c r="BU800" s="23"/>
      <c r="BV800" s="23"/>
      <c r="BW800" s="23"/>
      <c r="BX800" s="23"/>
      <c r="BY800" s="23"/>
      <c r="BZ800" s="23"/>
      <c r="CA800" s="23"/>
      <c r="CB800" s="23"/>
      <c r="CC800" s="23"/>
      <c r="CD800" s="23"/>
      <c r="CE800" s="23"/>
      <c r="CF800" s="23"/>
      <c r="CG800" s="23"/>
      <c r="CH800" s="23"/>
      <c r="CI800" s="23"/>
      <c r="CJ800" s="23"/>
      <c r="CK800" s="23"/>
      <c r="CL800" s="23"/>
      <c r="CM800" s="23"/>
      <c r="CN800" s="23"/>
      <c r="CO800" s="23"/>
      <c r="CP800" s="23"/>
      <c r="CQ800" s="23"/>
      <c r="CR800" s="23"/>
      <c r="CS800" s="23"/>
      <c r="CT800" s="23"/>
      <c r="CU800" s="23"/>
      <c r="CV800" s="23"/>
      <c r="CW800" s="23"/>
      <c r="CX800" s="23"/>
      <c r="CY800" s="23"/>
      <c r="CZ800" s="23"/>
      <c r="DA800" s="23"/>
      <c r="DB800" s="23"/>
      <c r="DC800" s="23"/>
      <c r="DD800" s="23"/>
      <c r="DE800" s="23"/>
      <c r="DF800" s="23"/>
      <c r="DG800" s="23"/>
      <c r="DH800" s="23"/>
      <c r="DI800" s="23"/>
      <c r="DJ800" s="23"/>
      <c r="DK800" s="23"/>
      <c r="DL800" s="23"/>
      <c r="DM800" s="23"/>
      <c r="DN800" s="23"/>
      <c r="DO800" s="23"/>
      <c r="DP800" s="23"/>
      <c r="DQ800" s="23"/>
      <c r="DR800" s="23"/>
      <c r="DS800" s="23"/>
      <c r="DT800" s="23"/>
      <c r="DU800" s="23"/>
      <c r="DV800" s="23"/>
      <c r="DW800" s="23"/>
      <c r="DX800" s="23"/>
      <c r="DY800" s="23"/>
      <c r="DZ800" s="23"/>
      <c r="EA800" s="23"/>
      <c r="EB800" s="23"/>
      <c r="EC800" s="23"/>
      <c r="ED800" s="23"/>
      <c r="EE800" s="23"/>
      <c r="EF800" s="23"/>
      <c r="EG800" s="23"/>
      <c r="EH800" s="23"/>
      <c r="EI800" s="23"/>
      <c r="EJ800" s="23"/>
      <c r="EK800" s="23"/>
      <c r="EL800" s="23"/>
      <c r="EM800" s="23"/>
      <c r="EN800" s="23"/>
      <c r="EO800" s="23"/>
      <c r="EP800" s="23"/>
      <c r="EQ800" s="23"/>
      <c r="ER800" s="23"/>
      <c r="ES800" s="23"/>
      <c r="ET800" s="23"/>
      <c r="EU800" s="23"/>
      <c r="EV800" s="23"/>
      <c r="EW800" s="23"/>
      <c r="EX800" s="23"/>
      <c r="EY800" s="23"/>
      <c r="EZ800" s="23"/>
      <c r="FA800" s="23"/>
      <c r="FB800" s="23"/>
      <c r="FC800" s="23"/>
      <c r="FD800" s="23"/>
      <c r="FE800" s="23"/>
      <c r="FF800" s="23"/>
      <c r="FG800" s="23"/>
      <c r="FH800" s="23"/>
      <c r="FI800" s="23"/>
      <c r="FJ800" s="23"/>
      <c r="FK800" s="23"/>
      <c r="FL800" s="23"/>
      <c r="FM800" s="23"/>
      <c r="FN800" s="23"/>
      <c r="FO800" s="23"/>
      <c r="FP800" s="23"/>
      <c r="FQ800" s="23"/>
      <c r="FR800" s="23"/>
      <c r="FS800" s="23"/>
      <c r="FT800" s="23"/>
      <c r="FU800" s="23"/>
      <c r="FV800" s="23"/>
      <c r="FW800" s="23"/>
      <c r="FX800" s="23"/>
      <c r="FY800" s="23"/>
      <c r="FZ800" s="23"/>
      <c r="GA800" s="23"/>
      <c r="GB800" s="23"/>
      <c r="GC800" s="23"/>
      <c r="GD800" s="23"/>
      <c r="GE800" s="23"/>
      <c r="GF800" s="23"/>
      <c r="GG800" s="23"/>
      <c r="GH800" s="23"/>
      <c r="GI800" s="23"/>
      <c r="GJ800" s="23"/>
      <c r="GK800" s="23"/>
      <c r="GL800" s="23"/>
    </row>
    <row r="801" spans="1:194" ht="13">
      <c r="A801" s="23"/>
      <c r="B801" s="23"/>
      <c r="C801" s="23"/>
      <c r="D801" s="23"/>
      <c r="E801" s="23"/>
      <c r="F801" s="23"/>
      <c r="G801" s="23"/>
      <c r="H801" s="401"/>
      <c r="I801" s="401"/>
      <c r="J801" s="401"/>
      <c r="K801" s="401"/>
      <c r="L801" s="401"/>
      <c r="M801" s="438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  <c r="AL801" s="23"/>
      <c r="AM801" s="23"/>
      <c r="AN801" s="23"/>
      <c r="AO801" s="23"/>
      <c r="AP801" s="23"/>
      <c r="AQ801" s="23"/>
      <c r="AR801" s="23"/>
      <c r="AS801" s="23"/>
      <c r="AT801" s="23"/>
      <c r="AU801" s="23"/>
      <c r="AV801" s="23"/>
      <c r="AW801" s="23"/>
      <c r="AX801" s="23"/>
      <c r="AY801" s="23"/>
      <c r="AZ801" s="23"/>
      <c r="BA801" s="23"/>
      <c r="BB801" s="23"/>
      <c r="BC801" s="23"/>
      <c r="BD801" s="23"/>
      <c r="BE801" s="23"/>
      <c r="BF801" s="23"/>
      <c r="BG801" s="23"/>
      <c r="BH801" s="23"/>
      <c r="BI801" s="23"/>
      <c r="BJ801" s="23"/>
      <c r="BK801" s="23"/>
      <c r="BL801" s="23"/>
      <c r="BM801" s="23"/>
      <c r="BN801" s="23"/>
      <c r="BO801" s="23"/>
      <c r="BP801" s="23"/>
      <c r="BQ801" s="23"/>
      <c r="BR801" s="23"/>
      <c r="BS801" s="23"/>
      <c r="BT801" s="23"/>
      <c r="BU801" s="23"/>
      <c r="BV801" s="23"/>
      <c r="BW801" s="23"/>
      <c r="BX801" s="23"/>
      <c r="BY801" s="23"/>
      <c r="BZ801" s="23"/>
      <c r="CA801" s="23"/>
      <c r="CB801" s="23"/>
      <c r="CC801" s="23"/>
      <c r="CD801" s="23"/>
      <c r="CE801" s="23"/>
      <c r="CF801" s="23"/>
      <c r="CG801" s="23"/>
      <c r="CH801" s="23"/>
      <c r="CI801" s="23"/>
      <c r="CJ801" s="23"/>
      <c r="CK801" s="23"/>
      <c r="CL801" s="23"/>
      <c r="CM801" s="23"/>
      <c r="CN801" s="23"/>
      <c r="CO801" s="23"/>
      <c r="CP801" s="23"/>
      <c r="CQ801" s="23"/>
      <c r="CR801" s="23"/>
      <c r="CS801" s="23"/>
      <c r="CT801" s="23"/>
      <c r="CU801" s="23"/>
      <c r="CV801" s="23"/>
      <c r="CW801" s="23"/>
      <c r="CX801" s="23"/>
      <c r="CY801" s="23"/>
      <c r="CZ801" s="23"/>
      <c r="DA801" s="23"/>
      <c r="DB801" s="23"/>
      <c r="DC801" s="23"/>
      <c r="DD801" s="23"/>
      <c r="DE801" s="23"/>
      <c r="DF801" s="23"/>
      <c r="DG801" s="23"/>
      <c r="DH801" s="23"/>
      <c r="DI801" s="23"/>
      <c r="DJ801" s="23"/>
      <c r="DK801" s="23"/>
      <c r="DL801" s="23"/>
      <c r="DM801" s="23"/>
      <c r="DN801" s="23"/>
      <c r="DO801" s="23"/>
      <c r="DP801" s="23"/>
      <c r="DQ801" s="23"/>
      <c r="DR801" s="23"/>
      <c r="DS801" s="23"/>
      <c r="DT801" s="23"/>
      <c r="DU801" s="23"/>
      <c r="DV801" s="23"/>
      <c r="DW801" s="23"/>
      <c r="DX801" s="23"/>
      <c r="DY801" s="23"/>
      <c r="DZ801" s="23"/>
      <c r="EA801" s="23"/>
      <c r="EB801" s="23"/>
      <c r="EC801" s="23"/>
      <c r="ED801" s="23"/>
      <c r="EE801" s="23"/>
      <c r="EF801" s="23"/>
      <c r="EG801" s="23"/>
      <c r="EH801" s="23"/>
      <c r="EI801" s="23"/>
      <c r="EJ801" s="23"/>
      <c r="EK801" s="23"/>
      <c r="EL801" s="23"/>
      <c r="EM801" s="23"/>
      <c r="EN801" s="23"/>
      <c r="EO801" s="23"/>
      <c r="EP801" s="23"/>
      <c r="EQ801" s="23"/>
      <c r="ER801" s="23"/>
      <c r="ES801" s="23"/>
      <c r="ET801" s="23"/>
      <c r="EU801" s="23"/>
      <c r="EV801" s="23"/>
      <c r="EW801" s="23"/>
      <c r="EX801" s="23"/>
      <c r="EY801" s="23"/>
      <c r="EZ801" s="23"/>
      <c r="FA801" s="23"/>
      <c r="FB801" s="23"/>
      <c r="FC801" s="23"/>
      <c r="FD801" s="23"/>
      <c r="FE801" s="23"/>
      <c r="FF801" s="23"/>
      <c r="FG801" s="23"/>
      <c r="FH801" s="23"/>
      <c r="FI801" s="23"/>
      <c r="FJ801" s="23"/>
      <c r="FK801" s="23"/>
      <c r="FL801" s="23"/>
      <c r="FM801" s="23"/>
      <c r="FN801" s="23"/>
      <c r="FO801" s="23"/>
      <c r="FP801" s="23"/>
      <c r="FQ801" s="23"/>
      <c r="FR801" s="23"/>
      <c r="FS801" s="23"/>
      <c r="FT801" s="23"/>
      <c r="FU801" s="23"/>
      <c r="FV801" s="23"/>
      <c r="FW801" s="23"/>
      <c r="FX801" s="23"/>
      <c r="FY801" s="23"/>
      <c r="FZ801" s="23"/>
      <c r="GA801" s="23"/>
      <c r="GB801" s="23"/>
      <c r="GC801" s="23"/>
      <c r="GD801" s="23"/>
      <c r="GE801" s="23"/>
      <c r="GF801" s="23"/>
      <c r="GG801" s="23"/>
      <c r="GH801" s="23"/>
      <c r="GI801" s="23"/>
      <c r="GJ801" s="23"/>
      <c r="GK801" s="23"/>
      <c r="GL801" s="23"/>
    </row>
    <row r="802" spans="1:194" ht="13">
      <c r="A802" s="23"/>
      <c r="B802" s="23"/>
      <c r="C802" s="23"/>
      <c r="D802" s="23"/>
      <c r="E802" s="23"/>
      <c r="F802" s="23"/>
      <c r="G802" s="23"/>
      <c r="H802" s="401"/>
      <c r="I802" s="401"/>
      <c r="J802" s="401"/>
      <c r="K802" s="401"/>
      <c r="L802" s="401"/>
      <c r="M802" s="438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  <c r="AL802" s="23"/>
      <c r="AM802" s="23"/>
      <c r="AN802" s="23"/>
      <c r="AO802" s="23"/>
      <c r="AP802" s="23"/>
      <c r="AQ802" s="23"/>
      <c r="AR802" s="23"/>
      <c r="AS802" s="23"/>
      <c r="AT802" s="23"/>
      <c r="AU802" s="23"/>
      <c r="AV802" s="23"/>
      <c r="AW802" s="23"/>
      <c r="AX802" s="23"/>
      <c r="AY802" s="23"/>
      <c r="AZ802" s="23"/>
      <c r="BA802" s="23"/>
      <c r="BB802" s="23"/>
      <c r="BC802" s="23"/>
      <c r="BD802" s="23"/>
      <c r="BE802" s="23"/>
      <c r="BF802" s="23"/>
      <c r="BG802" s="23"/>
      <c r="BH802" s="23"/>
      <c r="BI802" s="23"/>
      <c r="BJ802" s="23"/>
      <c r="BK802" s="23"/>
      <c r="BL802" s="23"/>
      <c r="BM802" s="23"/>
      <c r="BN802" s="23"/>
      <c r="BO802" s="23"/>
      <c r="BP802" s="23"/>
      <c r="BQ802" s="23"/>
      <c r="BR802" s="23"/>
      <c r="BS802" s="23"/>
      <c r="BT802" s="23"/>
      <c r="BU802" s="23"/>
      <c r="BV802" s="23"/>
      <c r="BW802" s="23"/>
      <c r="BX802" s="23"/>
      <c r="BY802" s="23"/>
      <c r="BZ802" s="23"/>
      <c r="CA802" s="23"/>
      <c r="CB802" s="23"/>
      <c r="CC802" s="23"/>
      <c r="CD802" s="23"/>
      <c r="CE802" s="23"/>
      <c r="CF802" s="23"/>
      <c r="CG802" s="23"/>
      <c r="CH802" s="23"/>
      <c r="CI802" s="23"/>
      <c r="CJ802" s="23"/>
      <c r="CK802" s="23"/>
      <c r="CL802" s="23"/>
      <c r="CM802" s="23"/>
      <c r="CN802" s="23"/>
      <c r="CO802" s="23"/>
      <c r="CP802" s="23"/>
      <c r="CQ802" s="23"/>
      <c r="CR802" s="23"/>
      <c r="CS802" s="23"/>
      <c r="CT802" s="23"/>
      <c r="CU802" s="23"/>
      <c r="CV802" s="23"/>
      <c r="CW802" s="23"/>
      <c r="CX802" s="23"/>
      <c r="CY802" s="23"/>
      <c r="CZ802" s="23"/>
      <c r="DA802" s="23"/>
      <c r="DB802" s="23"/>
      <c r="DC802" s="23"/>
      <c r="DD802" s="23"/>
      <c r="DE802" s="23"/>
      <c r="DF802" s="23"/>
      <c r="DG802" s="23"/>
      <c r="DH802" s="23"/>
      <c r="DI802" s="23"/>
      <c r="DJ802" s="23"/>
      <c r="DK802" s="23"/>
      <c r="DL802" s="23"/>
      <c r="DM802" s="23"/>
      <c r="DN802" s="23"/>
      <c r="DO802" s="23"/>
      <c r="DP802" s="23"/>
      <c r="DQ802" s="23"/>
      <c r="DR802" s="23"/>
      <c r="DS802" s="23"/>
      <c r="DT802" s="23"/>
      <c r="DU802" s="23"/>
      <c r="DV802" s="23"/>
      <c r="DW802" s="23"/>
      <c r="DX802" s="23"/>
      <c r="DY802" s="23"/>
      <c r="DZ802" s="23"/>
      <c r="EA802" s="23"/>
      <c r="EB802" s="23"/>
      <c r="EC802" s="23"/>
      <c r="ED802" s="23"/>
      <c r="EE802" s="23"/>
      <c r="EF802" s="23"/>
      <c r="EG802" s="23"/>
      <c r="EH802" s="23"/>
      <c r="EI802" s="23"/>
      <c r="EJ802" s="23"/>
      <c r="EK802" s="23"/>
      <c r="EL802" s="23"/>
      <c r="EM802" s="23"/>
      <c r="EN802" s="23"/>
      <c r="EO802" s="23"/>
      <c r="EP802" s="23"/>
      <c r="EQ802" s="23"/>
      <c r="ER802" s="23"/>
      <c r="ES802" s="23"/>
      <c r="ET802" s="23"/>
      <c r="EU802" s="23"/>
      <c r="EV802" s="23"/>
      <c r="EW802" s="23"/>
      <c r="EX802" s="23"/>
      <c r="EY802" s="23"/>
      <c r="EZ802" s="23"/>
      <c r="FA802" s="23"/>
      <c r="FB802" s="23"/>
      <c r="FC802" s="23"/>
      <c r="FD802" s="23"/>
      <c r="FE802" s="23"/>
      <c r="FF802" s="23"/>
      <c r="FG802" s="23"/>
      <c r="FH802" s="23"/>
      <c r="FI802" s="23"/>
      <c r="FJ802" s="23"/>
      <c r="FK802" s="23"/>
      <c r="FL802" s="23"/>
      <c r="FM802" s="23"/>
      <c r="FN802" s="23"/>
      <c r="FO802" s="23"/>
      <c r="FP802" s="23"/>
      <c r="FQ802" s="23"/>
      <c r="FR802" s="23"/>
      <c r="FS802" s="23"/>
      <c r="FT802" s="23"/>
      <c r="FU802" s="23"/>
      <c r="FV802" s="23"/>
      <c r="FW802" s="23"/>
      <c r="FX802" s="23"/>
      <c r="FY802" s="23"/>
      <c r="FZ802" s="23"/>
      <c r="GA802" s="23"/>
      <c r="GB802" s="23"/>
      <c r="GC802" s="23"/>
      <c r="GD802" s="23"/>
      <c r="GE802" s="23"/>
      <c r="GF802" s="23"/>
      <c r="GG802" s="23"/>
      <c r="GH802" s="23"/>
      <c r="GI802" s="23"/>
      <c r="GJ802" s="23"/>
      <c r="GK802" s="23"/>
      <c r="GL802" s="23"/>
    </row>
    <row r="803" spans="1:194" ht="13">
      <c r="A803" s="23"/>
      <c r="B803" s="23"/>
      <c r="C803" s="23"/>
      <c r="D803" s="23"/>
      <c r="E803" s="23"/>
      <c r="F803" s="23"/>
      <c r="G803" s="23"/>
      <c r="H803" s="401"/>
      <c r="I803" s="401"/>
      <c r="J803" s="401"/>
      <c r="K803" s="401"/>
      <c r="L803" s="401"/>
      <c r="M803" s="438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  <c r="AL803" s="23"/>
      <c r="AM803" s="23"/>
      <c r="AN803" s="23"/>
      <c r="AO803" s="23"/>
      <c r="AP803" s="23"/>
      <c r="AQ803" s="23"/>
      <c r="AR803" s="23"/>
      <c r="AS803" s="23"/>
      <c r="AT803" s="23"/>
      <c r="AU803" s="23"/>
      <c r="AV803" s="23"/>
      <c r="AW803" s="23"/>
      <c r="AX803" s="23"/>
      <c r="AY803" s="23"/>
      <c r="AZ803" s="23"/>
      <c r="BA803" s="23"/>
      <c r="BB803" s="23"/>
      <c r="BC803" s="23"/>
      <c r="BD803" s="23"/>
      <c r="BE803" s="23"/>
      <c r="BF803" s="23"/>
      <c r="BG803" s="23"/>
      <c r="BH803" s="23"/>
      <c r="BI803" s="23"/>
      <c r="BJ803" s="23"/>
      <c r="BK803" s="23"/>
      <c r="BL803" s="23"/>
      <c r="BM803" s="23"/>
      <c r="BN803" s="23"/>
      <c r="BO803" s="23"/>
      <c r="BP803" s="23"/>
      <c r="BQ803" s="23"/>
      <c r="BR803" s="23"/>
      <c r="BS803" s="23"/>
      <c r="BT803" s="23"/>
      <c r="BU803" s="23"/>
      <c r="BV803" s="23"/>
      <c r="BW803" s="23"/>
      <c r="BX803" s="23"/>
      <c r="BY803" s="23"/>
      <c r="BZ803" s="23"/>
      <c r="CA803" s="23"/>
      <c r="CB803" s="23"/>
      <c r="CC803" s="23"/>
      <c r="CD803" s="23"/>
      <c r="CE803" s="23"/>
      <c r="CF803" s="23"/>
      <c r="CG803" s="23"/>
      <c r="CH803" s="23"/>
      <c r="CI803" s="23"/>
      <c r="CJ803" s="23"/>
      <c r="CK803" s="23"/>
      <c r="CL803" s="23"/>
      <c r="CM803" s="23"/>
      <c r="CN803" s="23"/>
      <c r="CO803" s="23"/>
      <c r="CP803" s="23"/>
      <c r="CQ803" s="23"/>
      <c r="CR803" s="23"/>
      <c r="CS803" s="23"/>
      <c r="CT803" s="23"/>
      <c r="CU803" s="23"/>
      <c r="CV803" s="23"/>
      <c r="CW803" s="23"/>
      <c r="CX803" s="23"/>
      <c r="CY803" s="23"/>
      <c r="CZ803" s="23"/>
      <c r="DA803" s="23"/>
      <c r="DB803" s="23"/>
      <c r="DC803" s="23"/>
      <c r="DD803" s="23"/>
      <c r="DE803" s="23"/>
      <c r="DF803" s="23"/>
      <c r="DG803" s="23"/>
      <c r="DH803" s="23"/>
      <c r="DI803" s="23"/>
      <c r="DJ803" s="23"/>
      <c r="DK803" s="23"/>
      <c r="DL803" s="23"/>
      <c r="DM803" s="23"/>
      <c r="DN803" s="23"/>
      <c r="DO803" s="23"/>
      <c r="DP803" s="23"/>
      <c r="DQ803" s="23"/>
      <c r="DR803" s="23"/>
      <c r="DS803" s="23"/>
      <c r="DT803" s="23"/>
      <c r="DU803" s="23"/>
      <c r="DV803" s="23"/>
      <c r="DW803" s="23"/>
      <c r="DX803" s="23"/>
      <c r="DY803" s="23"/>
      <c r="DZ803" s="23"/>
      <c r="EA803" s="23"/>
      <c r="EB803" s="23"/>
      <c r="EC803" s="23"/>
      <c r="ED803" s="23"/>
      <c r="EE803" s="23"/>
      <c r="EF803" s="23"/>
      <c r="EG803" s="23"/>
      <c r="EH803" s="23"/>
      <c r="EI803" s="23"/>
      <c r="EJ803" s="23"/>
      <c r="EK803" s="23"/>
      <c r="EL803" s="23"/>
      <c r="EM803" s="23"/>
      <c r="EN803" s="23"/>
      <c r="EO803" s="23"/>
      <c r="EP803" s="23"/>
      <c r="EQ803" s="23"/>
      <c r="ER803" s="23"/>
      <c r="ES803" s="23"/>
      <c r="ET803" s="23"/>
      <c r="EU803" s="23"/>
      <c r="EV803" s="23"/>
      <c r="EW803" s="23"/>
      <c r="EX803" s="23"/>
      <c r="EY803" s="23"/>
      <c r="EZ803" s="23"/>
      <c r="FA803" s="23"/>
      <c r="FB803" s="23"/>
      <c r="FC803" s="23"/>
      <c r="FD803" s="23"/>
      <c r="FE803" s="23"/>
      <c r="FF803" s="23"/>
      <c r="FG803" s="23"/>
      <c r="FH803" s="23"/>
      <c r="FI803" s="23"/>
      <c r="FJ803" s="23"/>
      <c r="FK803" s="23"/>
      <c r="FL803" s="23"/>
      <c r="FM803" s="23"/>
      <c r="FN803" s="23"/>
      <c r="FO803" s="23"/>
      <c r="FP803" s="23"/>
      <c r="FQ803" s="23"/>
      <c r="FR803" s="23"/>
      <c r="FS803" s="23"/>
      <c r="FT803" s="23"/>
      <c r="FU803" s="23"/>
      <c r="FV803" s="23"/>
      <c r="FW803" s="23"/>
      <c r="FX803" s="23"/>
      <c r="FY803" s="23"/>
      <c r="FZ803" s="23"/>
      <c r="GA803" s="23"/>
      <c r="GB803" s="23"/>
      <c r="GC803" s="23"/>
      <c r="GD803" s="23"/>
      <c r="GE803" s="23"/>
      <c r="GF803" s="23"/>
      <c r="GG803" s="23"/>
      <c r="GH803" s="23"/>
      <c r="GI803" s="23"/>
      <c r="GJ803" s="23"/>
      <c r="GK803" s="23"/>
      <c r="GL803" s="23"/>
    </row>
    <row r="804" spans="1:194" ht="13">
      <c r="A804" s="23"/>
      <c r="B804" s="23"/>
      <c r="C804" s="23"/>
      <c r="D804" s="23"/>
      <c r="E804" s="23"/>
      <c r="F804" s="23"/>
      <c r="G804" s="23"/>
      <c r="H804" s="401"/>
      <c r="I804" s="401"/>
      <c r="J804" s="401"/>
      <c r="K804" s="401"/>
      <c r="L804" s="401"/>
      <c r="M804" s="438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  <c r="AL804" s="23"/>
      <c r="AM804" s="23"/>
      <c r="AN804" s="23"/>
      <c r="AO804" s="23"/>
      <c r="AP804" s="23"/>
      <c r="AQ804" s="23"/>
      <c r="AR804" s="23"/>
      <c r="AS804" s="23"/>
      <c r="AT804" s="23"/>
      <c r="AU804" s="23"/>
      <c r="AV804" s="23"/>
      <c r="AW804" s="23"/>
      <c r="AX804" s="23"/>
      <c r="AY804" s="23"/>
      <c r="AZ804" s="23"/>
      <c r="BA804" s="23"/>
      <c r="BB804" s="23"/>
      <c r="BC804" s="23"/>
      <c r="BD804" s="23"/>
      <c r="BE804" s="23"/>
      <c r="BF804" s="23"/>
      <c r="BG804" s="23"/>
      <c r="BH804" s="23"/>
      <c r="BI804" s="23"/>
      <c r="BJ804" s="23"/>
      <c r="BK804" s="23"/>
      <c r="BL804" s="23"/>
      <c r="BM804" s="23"/>
      <c r="BN804" s="23"/>
      <c r="BO804" s="23"/>
      <c r="BP804" s="23"/>
      <c r="BQ804" s="23"/>
      <c r="BR804" s="23"/>
      <c r="BS804" s="23"/>
      <c r="BT804" s="23"/>
      <c r="BU804" s="23"/>
      <c r="BV804" s="23"/>
      <c r="BW804" s="23"/>
      <c r="BX804" s="23"/>
      <c r="BY804" s="23"/>
      <c r="BZ804" s="23"/>
      <c r="CA804" s="23"/>
      <c r="CB804" s="23"/>
      <c r="CC804" s="23"/>
      <c r="CD804" s="23"/>
      <c r="CE804" s="23"/>
      <c r="CF804" s="23"/>
      <c r="CG804" s="23"/>
      <c r="CH804" s="23"/>
      <c r="CI804" s="23"/>
      <c r="CJ804" s="23"/>
      <c r="CK804" s="23"/>
      <c r="CL804" s="23"/>
      <c r="CM804" s="23"/>
      <c r="CN804" s="23"/>
      <c r="CO804" s="23"/>
      <c r="CP804" s="23"/>
      <c r="CQ804" s="23"/>
      <c r="CR804" s="23"/>
      <c r="CS804" s="23"/>
      <c r="CT804" s="23"/>
      <c r="CU804" s="23"/>
      <c r="CV804" s="23"/>
      <c r="CW804" s="23"/>
      <c r="CX804" s="23"/>
      <c r="CY804" s="23"/>
      <c r="CZ804" s="23"/>
      <c r="DA804" s="23"/>
      <c r="DB804" s="23"/>
      <c r="DC804" s="23"/>
      <c r="DD804" s="23"/>
      <c r="DE804" s="23"/>
      <c r="DF804" s="23"/>
      <c r="DG804" s="23"/>
      <c r="DH804" s="23"/>
      <c r="DI804" s="23"/>
      <c r="DJ804" s="23"/>
      <c r="DK804" s="23"/>
      <c r="DL804" s="23"/>
      <c r="DM804" s="23"/>
      <c r="DN804" s="23"/>
      <c r="DO804" s="23"/>
      <c r="DP804" s="23"/>
      <c r="DQ804" s="23"/>
      <c r="DR804" s="23"/>
      <c r="DS804" s="23"/>
      <c r="DT804" s="23"/>
      <c r="DU804" s="23"/>
      <c r="DV804" s="23"/>
      <c r="DW804" s="23"/>
      <c r="DX804" s="23"/>
      <c r="DY804" s="23"/>
      <c r="DZ804" s="23"/>
      <c r="EA804" s="23"/>
      <c r="EB804" s="23"/>
      <c r="EC804" s="23"/>
      <c r="ED804" s="23"/>
      <c r="EE804" s="23"/>
      <c r="EF804" s="23"/>
      <c r="EG804" s="23"/>
      <c r="EH804" s="23"/>
      <c r="EI804" s="23"/>
      <c r="EJ804" s="23"/>
      <c r="EK804" s="23"/>
      <c r="EL804" s="23"/>
      <c r="EM804" s="23"/>
      <c r="EN804" s="23"/>
      <c r="EO804" s="23"/>
      <c r="EP804" s="23"/>
      <c r="EQ804" s="23"/>
      <c r="ER804" s="23"/>
      <c r="ES804" s="23"/>
      <c r="ET804" s="23"/>
      <c r="EU804" s="23"/>
      <c r="EV804" s="23"/>
      <c r="EW804" s="23"/>
      <c r="EX804" s="23"/>
      <c r="EY804" s="23"/>
      <c r="EZ804" s="23"/>
      <c r="FA804" s="23"/>
      <c r="FB804" s="23"/>
      <c r="FC804" s="23"/>
      <c r="FD804" s="23"/>
      <c r="FE804" s="23"/>
      <c r="FF804" s="23"/>
      <c r="FG804" s="23"/>
      <c r="FH804" s="23"/>
      <c r="FI804" s="23"/>
      <c r="FJ804" s="23"/>
      <c r="FK804" s="23"/>
      <c r="FL804" s="23"/>
      <c r="FM804" s="23"/>
      <c r="FN804" s="23"/>
      <c r="FO804" s="23"/>
      <c r="FP804" s="23"/>
      <c r="FQ804" s="23"/>
      <c r="FR804" s="23"/>
      <c r="FS804" s="23"/>
      <c r="FT804" s="23"/>
      <c r="FU804" s="23"/>
      <c r="FV804" s="23"/>
      <c r="FW804" s="23"/>
      <c r="FX804" s="23"/>
      <c r="FY804" s="23"/>
      <c r="FZ804" s="23"/>
      <c r="GA804" s="23"/>
      <c r="GB804" s="23"/>
      <c r="GC804" s="23"/>
      <c r="GD804" s="23"/>
      <c r="GE804" s="23"/>
      <c r="GF804" s="23"/>
      <c r="GG804" s="23"/>
      <c r="GH804" s="23"/>
      <c r="GI804" s="23"/>
      <c r="GJ804" s="23"/>
      <c r="GK804" s="23"/>
      <c r="GL804" s="23"/>
    </row>
    <row r="805" spans="1:194" ht="13">
      <c r="A805" s="23"/>
      <c r="B805" s="23"/>
      <c r="C805" s="23"/>
      <c r="D805" s="23"/>
      <c r="E805" s="23"/>
      <c r="F805" s="23"/>
      <c r="G805" s="23"/>
      <c r="H805" s="401"/>
      <c r="I805" s="401"/>
      <c r="J805" s="401"/>
      <c r="K805" s="401"/>
      <c r="L805" s="401"/>
      <c r="M805" s="438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  <c r="AL805" s="23"/>
      <c r="AM805" s="23"/>
      <c r="AN805" s="23"/>
      <c r="AO805" s="23"/>
      <c r="AP805" s="23"/>
      <c r="AQ805" s="23"/>
      <c r="AR805" s="23"/>
      <c r="AS805" s="23"/>
      <c r="AT805" s="23"/>
      <c r="AU805" s="23"/>
      <c r="AV805" s="23"/>
      <c r="AW805" s="23"/>
      <c r="AX805" s="23"/>
      <c r="AY805" s="23"/>
      <c r="AZ805" s="23"/>
      <c r="BA805" s="23"/>
      <c r="BB805" s="23"/>
      <c r="BC805" s="23"/>
      <c r="BD805" s="23"/>
      <c r="BE805" s="23"/>
      <c r="BF805" s="23"/>
      <c r="BG805" s="23"/>
      <c r="BH805" s="23"/>
      <c r="BI805" s="23"/>
      <c r="BJ805" s="23"/>
      <c r="BK805" s="23"/>
      <c r="BL805" s="23"/>
      <c r="BM805" s="23"/>
      <c r="BN805" s="23"/>
      <c r="BO805" s="23"/>
      <c r="BP805" s="23"/>
      <c r="BQ805" s="23"/>
      <c r="BR805" s="23"/>
      <c r="BS805" s="23"/>
      <c r="BT805" s="23"/>
      <c r="BU805" s="23"/>
      <c r="BV805" s="23"/>
      <c r="BW805" s="23"/>
      <c r="BX805" s="23"/>
      <c r="BY805" s="23"/>
      <c r="BZ805" s="23"/>
      <c r="CA805" s="23"/>
      <c r="CB805" s="23"/>
      <c r="CC805" s="23"/>
      <c r="CD805" s="23"/>
      <c r="CE805" s="23"/>
      <c r="CF805" s="23"/>
      <c r="CG805" s="23"/>
      <c r="CH805" s="23"/>
      <c r="CI805" s="23"/>
      <c r="CJ805" s="23"/>
      <c r="CK805" s="23"/>
      <c r="CL805" s="23"/>
      <c r="CM805" s="23"/>
      <c r="CN805" s="23"/>
      <c r="CO805" s="23"/>
      <c r="CP805" s="23"/>
      <c r="CQ805" s="23"/>
      <c r="CR805" s="23"/>
      <c r="CS805" s="23"/>
      <c r="CT805" s="23"/>
      <c r="CU805" s="23"/>
      <c r="CV805" s="23"/>
      <c r="CW805" s="23"/>
      <c r="CX805" s="23"/>
      <c r="CY805" s="23"/>
      <c r="CZ805" s="23"/>
      <c r="DA805" s="23"/>
      <c r="DB805" s="23"/>
      <c r="DC805" s="23"/>
      <c r="DD805" s="23"/>
      <c r="DE805" s="23"/>
      <c r="DF805" s="23"/>
      <c r="DG805" s="23"/>
      <c r="DH805" s="23"/>
      <c r="DI805" s="23"/>
      <c r="DJ805" s="23"/>
      <c r="DK805" s="23"/>
      <c r="DL805" s="23"/>
      <c r="DM805" s="23"/>
      <c r="DN805" s="23"/>
      <c r="DO805" s="23"/>
      <c r="DP805" s="23"/>
      <c r="DQ805" s="23"/>
      <c r="DR805" s="23"/>
      <c r="DS805" s="23"/>
      <c r="DT805" s="23"/>
      <c r="DU805" s="23"/>
      <c r="DV805" s="23"/>
      <c r="DW805" s="23"/>
      <c r="DX805" s="23"/>
      <c r="DY805" s="23"/>
      <c r="DZ805" s="23"/>
      <c r="EA805" s="23"/>
      <c r="EB805" s="23"/>
      <c r="EC805" s="23"/>
      <c r="ED805" s="23"/>
      <c r="EE805" s="23"/>
      <c r="EF805" s="23"/>
      <c r="EG805" s="23"/>
      <c r="EH805" s="23"/>
      <c r="EI805" s="23"/>
      <c r="EJ805" s="23"/>
      <c r="EK805" s="23"/>
      <c r="EL805" s="23"/>
      <c r="EM805" s="23"/>
      <c r="EN805" s="23"/>
      <c r="EO805" s="23"/>
      <c r="EP805" s="23"/>
      <c r="EQ805" s="23"/>
      <c r="ER805" s="23"/>
      <c r="ES805" s="23"/>
      <c r="ET805" s="23"/>
      <c r="EU805" s="23"/>
      <c r="EV805" s="23"/>
      <c r="EW805" s="23"/>
      <c r="EX805" s="23"/>
      <c r="EY805" s="23"/>
      <c r="EZ805" s="23"/>
      <c r="FA805" s="23"/>
      <c r="FB805" s="23"/>
      <c r="FC805" s="23"/>
      <c r="FD805" s="23"/>
      <c r="FE805" s="23"/>
      <c r="FF805" s="23"/>
      <c r="FG805" s="23"/>
      <c r="FH805" s="23"/>
      <c r="FI805" s="23"/>
      <c r="FJ805" s="23"/>
      <c r="FK805" s="23"/>
      <c r="FL805" s="23"/>
      <c r="FM805" s="23"/>
      <c r="FN805" s="23"/>
      <c r="FO805" s="23"/>
      <c r="FP805" s="23"/>
      <c r="FQ805" s="23"/>
      <c r="FR805" s="23"/>
      <c r="FS805" s="23"/>
      <c r="FT805" s="23"/>
      <c r="FU805" s="23"/>
      <c r="FV805" s="23"/>
      <c r="FW805" s="23"/>
      <c r="FX805" s="23"/>
      <c r="FY805" s="23"/>
      <c r="FZ805" s="23"/>
      <c r="GA805" s="23"/>
      <c r="GB805" s="23"/>
      <c r="GC805" s="23"/>
      <c r="GD805" s="23"/>
      <c r="GE805" s="23"/>
      <c r="GF805" s="23"/>
      <c r="GG805" s="23"/>
      <c r="GH805" s="23"/>
      <c r="GI805" s="23"/>
      <c r="GJ805" s="23"/>
      <c r="GK805" s="23"/>
      <c r="GL805" s="23"/>
    </row>
    <row r="806" spans="1:194" ht="13">
      <c r="A806" s="23"/>
      <c r="B806" s="23"/>
      <c r="C806" s="23"/>
      <c r="D806" s="23"/>
      <c r="E806" s="23"/>
      <c r="F806" s="23"/>
      <c r="G806" s="23"/>
      <c r="H806" s="401"/>
      <c r="I806" s="401"/>
      <c r="J806" s="401"/>
      <c r="K806" s="401"/>
      <c r="L806" s="401"/>
      <c r="M806" s="438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  <c r="AL806" s="23"/>
      <c r="AM806" s="23"/>
      <c r="AN806" s="23"/>
      <c r="AO806" s="23"/>
      <c r="AP806" s="23"/>
      <c r="AQ806" s="23"/>
      <c r="AR806" s="23"/>
      <c r="AS806" s="23"/>
      <c r="AT806" s="23"/>
      <c r="AU806" s="23"/>
      <c r="AV806" s="23"/>
      <c r="AW806" s="23"/>
      <c r="AX806" s="23"/>
      <c r="AY806" s="23"/>
      <c r="AZ806" s="23"/>
      <c r="BA806" s="23"/>
      <c r="BB806" s="23"/>
      <c r="BC806" s="23"/>
      <c r="BD806" s="23"/>
      <c r="BE806" s="23"/>
      <c r="BF806" s="23"/>
      <c r="BG806" s="23"/>
      <c r="BH806" s="23"/>
      <c r="BI806" s="23"/>
      <c r="BJ806" s="23"/>
      <c r="BK806" s="23"/>
      <c r="BL806" s="23"/>
      <c r="BM806" s="23"/>
      <c r="BN806" s="23"/>
      <c r="BO806" s="23"/>
      <c r="BP806" s="23"/>
      <c r="BQ806" s="23"/>
      <c r="BR806" s="23"/>
      <c r="BS806" s="23"/>
      <c r="BT806" s="23"/>
      <c r="BU806" s="23"/>
      <c r="BV806" s="23"/>
      <c r="BW806" s="23"/>
      <c r="BX806" s="23"/>
      <c r="BY806" s="23"/>
      <c r="BZ806" s="23"/>
      <c r="CA806" s="23"/>
      <c r="CB806" s="23"/>
      <c r="CC806" s="23"/>
      <c r="CD806" s="23"/>
      <c r="CE806" s="23"/>
      <c r="CF806" s="23"/>
      <c r="CG806" s="23"/>
      <c r="CH806" s="23"/>
      <c r="CI806" s="23"/>
      <c r="CJ806" s="23"/>
      <c r="CK806" s="23"/>
      <c r="CL806" s="23"/>
      <c r="CM806" s="23"/>
      <c r="CN806" s="23"/>
      <c r="CO806" s="23"/>
      <c r="CP806" s="23"/>
      <c r="CQ806" s="23"/>
      <c r="CR806" s="23"/>
      <c r="CS806" s="23"/>
      <c r="CT806" s="23"/>
      <c r="CU806" s="23"/>
      <c r="CV806" s="23"/>
      <c r="CW806" s="23"/>
      <c r="CX806" s="23"/>
      <c r="CY806" s="23"/>
      <c r="CZ806" s="23"/>
      <c r="DA806" s="23"/>
      <c r="DB806" s="23"/>
      <c r="DC806" s="23"/>
      <c r="DD806" s="23"/>
      <c r="DE806" s="23"/>
      <c r="DF806" s="23"/>
      <c r="DG806" s="23"/>
      <c r="DH806" s="23"/>
      <c r="DI806" s="23"/>
      <c r="DJ806" s="23"/>
      <c r="DK806" s="23"/>
      <c r="DL806" s="23"/>
      <c r="DM806" s="23"/>
      <c r="DN806" s="23"/>
      <c r="DO806" s="23"/>
      <c r="DP806" s="23"/>
      <c r="DQ806" s="23"/>
      <c r="DR806" s="23"/>
      <c r="DS806" s="23"/>
      <c r="DT806" s="23"/>
      <c r="DU806" s="23"/>
      <c r="DV806" s="23"/>
      <c r="DW806" s="23"/>
      <c r="DX806" s="23"/>
      <c r="DY806" s="23"/>
      <c r="DZ806" s="23"/>
      <c r="EA806" s="23"/>
      <c r="EB806" s="23"/>
      <c r="EC806" s="23"/>
      <c r="ED806" s="23"/>
      <c r="EE806" s="23"/>
      <c r="EF806" s="23"/>
      <c r="EG806" s="23"/>
      <c r="EH806" s="23"/>
      <c r="EI806" s="23"/>
      <c r="EJ806" s="23"/>
      <c r="EK806" s="23"/>
      <c r="EL806" s="23"/>
      <c r="EM806" s="23"/>
      <c r="EN806" s="23"/>
      <c r="EO806" s="23"/>
      <c r="EP806" s="23"/>
      <c r="EQ806" s="23"/>
      <c r="ER806" s="23"/>
      <c r="ES806" s="23"/>
      <c r="ET806" s="23"/>
      <c r="EU806" s="23"/>
      <c r="EV806" s="23"/>
      <c r="EW806" s="23"/>
      <c r="EX806" s="23"/>
      <c r="EY806" s="23"/>
      <c r="EZ806" s="23"/>
      <c r="FA806" s="23"/>
      <c r="FB806" s="23"/>
      <c r="FC806" s="23"/>
      <c r="FD806" s="23"/>
      <c r="FE806" s="23"/>
      <c r="FF806" s="23"/>
      <c r="FG806" s="23"/>
      <c r="FH806" s="23"/>
      <c r="FI806" s="23"/>
      <c r="FJ806" s="23"/>
      <c r="FK806" s="23"/>
      <c r="FL806" s="23"/>
      <c r="FM806" s="23"/>
      <c r="FN806" s="23"/>
      <c r="FO806" s="23"/>
      <c r="FP806" s="23"/>
      <c r="FQ806" s="23"/>
      <c r="FR806" s="23"/>
      <c r="FS806" s="23"/>
      <c r="FT806" s="23"/>
      <c r="FU806" s="23"/>
      <c r="FV806" s="23"/>
      <c r="FW806" s="23"/>
      <c r="FX806" s="23"/>
      <c r="FY806" s="23"/>
      <c r="FZ806" s="23"/>
      <c r="GA806" s="23"/>
      <c r="GB806" s="23"/>
      <c r="GC806" s="23"/>
      <c r="GD806" s="23"/>
      <c r="GE806" s="23"/>
      <c r="GF806" s="23"/>
      <c r="GG806" s="23"/>
      <c r="GH806" s="23"/>
      <c r="GI806" s="23"/>
      <c r="GJ806" s="23"/>
      <c r="GK806" s="23"/>
      <c r="GL806" s="23"/>
    </row>
    <row r="807" spans="1:194" ht="13">
      <c r="A807" s="23"/>
      <c r="B807" s="23"/>
      <c r="C807" s="23"/>
      <c r="D807" s="23"/>
      <c r="E807" s="23"/>
      <c r="F807" s="23"/>
      <c r="G807" s="23"/>
      <c r="H807" s="401"/>
      <c r="I807" s="401"/>
      <c r="J807" s="401"/>
      <c r="K807" s="401"/>
      <c r="L807" s="401"/>
      <c r="M807" s="438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  <c r="AL807" s="23"/>
      <c r="AM807" s="23"/>
      <c r="AN807" s="23"/>
      <c r="AO807" s="23"/>
      <c r="AP807" s="23"/>
      <c r="AQ807" s="23"/>
      <c r="AR807" s="23"/>
      <c r="AS807" s="23"/>
      <c r="AT807" s="23"/>
      <c r="AU807" s="23"/>
      <c r="AV807" s="23"/>
      <c r="AW807" s="23"/>
      <c r="AX807" s="23"/>
      <c r="AY807" s="23"/>
      <c r="AZ807" s="23"/>
      <c r="BA807" s="23"/>
      <c r="BB807" s="23"/>
      <c r="BC807" s="23"/>
      <c r="BD807" s="23"/>
      <c r="BE807" s="23"/>
      <c r="BF807" s="23"/>
      <c r="BG807" s="23"/>
      <c r="BH807" s="23"/>
      <c r="BI807" s="23"/>
      <c r="BJ807" s="23"/>
      <c r="BK807" s="23"/>
      <c r="BL807" s="23"/>
      <c r="BM807" s="23"/>
      <c r="BN807" s="23"/>
      <c r="BO807" s="23"/>
      <c r="BP807" s="23"/>
      <c r="BQ807" s="23"/>
      <c r="BR807" s="23"/>
      <c r="BS807" s="23"/>
      <c r="BT807" s="23"/>
      <c r="BU807" s="23"/>
      <c r="BV807" s="23"/>
      <c r="BW807" s="23"/>
      <c r="BX807" s="23"/>
      <c r="BY807" s="23"/>
      <c r="BZ807" s="23"/>
      <c r="CA807" s="23"/>
      <c r="CB807" s="23"/>
      <c r="CC807" s="23"/>
      <c r="CD807" s="23"/>
      <c r="CE807" s="23"/>
      <c r="CF807" s="23"/>
      <c r="CG807" s="23"/>
      <c r="CH807" s="23"/>
      <c r="CI807" s="23"/>
      <c r="CJ807" s="23"/>
      <c r="CK807" s="23"/>
      <c r="CL807" s="23"/>
      <c r="CM807" s="23"/>
      <c r="CN807" s="23"/>
      <c r="CO807" s="23"/>
      <c r="CP807" s="23"/>
      <c r="CQ807" s="23"/>
      <c r="CR807" s="23"/>
      <c r="CS807" s="23"/>
      <c r="CT807" s="23"/>
      <c r="CU807" s="23"/>
      <c r="CV807" s="23"/>
      <c r="CW807" s="23"/>
      <c r="CX807" s="23"/>
      <c r="CY807" s="23"/>
      <c r="CZ807" s="23"/>
      <c r="DA807" s="23"/>
      <c r="DB807" s="23"/>
      <c r="DC807" s="23"/>
      <c r="DD807" s="23"/>
      <c r="DE807" s="23"/>
      <c r="DF807" s="23"/>
      <c r="DG807" s="23"/>
      <c r="DH807" s="23"/>
      <c r="DI807" s="23"/>
      <c r="DJ807" s="23"/>
      <c r="DK807" s="23"/>
      <c r="DL807" s="23"/>
      <c r="DM807" s="23"/>
      <c r="DN807" s="23"/>
      <c r="DO807" s="23"/>
      <c r="DP807" s="23"/>
      <c r="DQ807" s="23"/>
      <c r="DR807" s="23"/>
      <c r="DS807" s="23"/>
      <c r="DT807" s="23"/>
      <c r="DU807" s="23"/>
      <c r="DV807" s="23"/>
      <c r="DW807" s="23"/>
      <c r="DX807" s="23"/>
      <c r="DY807" s="23"/>
      <c r="DZ807" s="23"/>
      <c r="EA807" s="23"/>
      <c r="EB807" s="23"/>
      <c r="EC807" s="23"/>
      <c r="ED807" s="23"/>
      <c r="EE807" s="23"/>
      <c r="EF807" s="23"/>
      <c r="EG807" s="23"/>
      <c r="EH807" s="23"/>
      <c r="EI807" s="23"/>
      <c r="EJ807" s="23"/>
      <c r="EK807" s="23"/>
      <c r="EL807" s="23"/>
      <c r="EM807" s="23"/>
      <c r="EN807" s="23"/>
      <c r="EO807" s="23"/>
      <c r="EP807" s="23"/>
      <c r="EQ807" s="23"/>
      <c r="ER807" s="23"/>
      <c r="ES807" s="23"/>
      <c r="ET807" s="23"/>
      <c r="EU807" s="23"/>
      <c r="EV807" s="23"/>
      <c r="EW807" s="23"/>
      <c r="EX807" s="23"/>
      <c r="EY807" s="23"/>
      <c r="EZ807" s="23"/>
      <c r="FA807" s="23"/>
      <c r="FB807" s="23"/>
      <c r="FC807" s="23"/>
      <c r="FD807" s="23"/>
      <c r="FE807" s="23"/>
      <c r="FF807" s="23"/>
      <c r="FG807" s="23"/>
      <c r="FH807" s="23"/>
      <c r="FI807" s="23"/>
      <c r="FJ807" s="23"/>
      <c r="FK807" s="23"/>
      <c r="FL807" s="23"/>
      <c r="FM807" s="23"/>
      <c r="FN807" s="23"/>
      <c r="FO807" s="23"/>
      <c r="FP807" s="23"/>
      <c r="FQ807" s="23"/>
      <c r="FR807" s="23"/>
      <c r="FS807" s="23"/>
      <c r="FT807" s="23"/>
      <c r="FU807" s="23"/>
      <c r="FV807" s="23"/>
      <c r="FW807" s="23"/>
      <c r="FX807" s="23"/>
      <c r="FY807" s="23"/>
      <c r="FZ807" s="23"/>
      <c r="GA807" s="23"/>
      <c r="GB807" s="23"/>
      <c r="GC807" s="23"/>
      <c r="GD807" s="23"/>
      <c r="GE807" s="23"/>
      <c r="GF807" s="23"/>
      <c r="GG807" s="23"/>
      <c r="GH807" s="23"/>
      <c r="GI807" s="23"/>
      <c r="GJ807" s="23"/>
      <c r="GK807" s="23"/>
      <c r="GL807" s="23"/>
    </row>
    <row r="808" spans="1:194" ht="13">
      <c r="A808" s="23"/>
      <c r="B808" s="23"/>
      <c r="C808" s="23"/>
      <c r="D808" s="23"/>
      <c r="E808" s="23"/>
      <c r="F808" s="23"/>
      <c r="G808" s="23"/>
      <c r="H808" s="401"/>
      <c r="I808" s="401"/>
      <c r="J808" s="401"/>
      <c r="K808" s="401"/>
      <c r="L808" s="401"/>
      <c r="M808" s="438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  <c r="AL808" s="23"/>
      <c r="AM808" s="23"/>
      <c r="AN808" s="23"/>
      <c r="AO808" s="23"/>
      <c r="AP808" s="23"/>
      <c r="AQ808" s="23"/>
      <c r="AR808" s="23"/>
      <c r="AS808" s="23"/>
      <c r="AT808" s="23"/>
      <c r="AU808" s="23"/>
      <c r="AV808" s="23"/>
      <c r="AW808" s="23"/>
      <c r="AX808" s="23"/>
      <c r="AY808" s="23"/>
      <c r="AZ808" s="23"/>
      <c r="BA808" s="23"/>
      <c r="BB808" s="23"/>
      <c r="BC808" s="23"/>
      <c r="BD808" s="23"/>
      <c r="BE808" s="23"/>
      <c r="BF808" s="23"/>
      <c r="BG808" s="23"/>
      <c r="BH808" s="23"/>
      <c r="BI808" s="23"/>
      <c r="BJ808" s="23"/>
      <c r="BK808" s="23"/>
      <c r="BL808" s="23"/>
      <c r="BM808" s="23"/>
      <c r="BN808" s="23"/>
      <c r="BO808" s="23"/>
      <c r="BP808" s="23"/>
      <c r="BQ808" s="23"/>
      <c r="BR808" s="23"/>
      <c r="BS808" s="23"/>
      <c r="BT808" s="23"/>
      <c r="BU808" s="23"/>
      <c r="BV808" s="23"/>
      <c r="BW808" s="23"/>
      <c r="BX808" s="23"/>
      <c r="BY808" s="23"/>
      <c r="BZ808" s="23"/>
      <c r="CA808" s="23"/>
      <c r="CB808" s="23"/>
      <c r="CC808" s="23"/>
      <c r="CD808" s="23"/>
      <c r="CE808" s="23"/>
      <c r="CF808" s="23"/>
      <c r="CG808" s="23"/>
      <c r="CH808" s="23"/>
      <c r="CI808" s="23"/>
      <c r="CJ808" s="23"/>
      <c r="CK808" s="23"/>
      <c r="CL808" s="23"/>
      <c r="CM808" s="23"/>
      <c r="CN808" s="23"/>
      <c r="CO808" s="23"/>
      <c r="CP808" s="23"/>
      <c r="CQ808" s="23"/>
      <c r="CR808" s="23"/>
      <c r="CS808" s="23"/>
      <c r="CT808" s="23"/>
      <c r="CU808" s="23"/>
      <c r="CV808" s="23"/>
      <c r="CW808" s="23"/>
      <c r="CX808" s="23"/>
      <c r="CY808" s="23"/>
      <c r="CZ808" s="23"/>
      <c r="DA808" s="23"/>
      <c r="DB808" s="23"/>
      <c r="DC808" s="23"/>
      <c r="DD808" s="23"/>
      <c r="DE808" s="23"/>
      <c r="DF808" s="23"/>
      <c r="DG808" s="23"/>
      <c r="DH808" s="23"/>
      <c r="DI808" s="23"/>
      <c r="DJ808" s="23"/>
      <c r="DK808" s="23"/>
      <c r="DL808" s="23"/>
      <c r="DM808" s="23"/>
      <c r="DN808" s="23"/>
      <c r="DO808" s="23"/>
      <c r="DP808" s="23"/>
      <c r="DQ808" s="23"/>
      <c r="DR808" s="23"/>
      <c r="DS808" s="23"/>
      <c r="DT808" s="23"/>
      <c r="DU808" s="23"/>
      <c r="DV808" s="23"/>
      <c r="DW808" s="23"/>
      <c r="DX808" s="23"/>
      <c r="DY808" s="23"/>
      <c r="DZ808" s="23"/>
      <c r="EA808" s="23"/>
      <c r="EB808" s="23"/>
      <c r="EC808" s="23"/>
      <c r="ED808" s="23"/>
      <c r="EE808" s="23"/>
      <c r="EF808" s="23"/>
      <c r="EG808" s="23"/>
      <c r="EH808" s="23"/>
      <c r="EI808" s="23"/>
      <c r="EJ808" s="23"/>
      <c r="EK808" s="23"/>
      <c r="EL808" s="23"/>
      <c r="EM808" s="23"/>
      <c r="EN808" s="23"/>
      <c r="EO808" s="23"/>
      <c r="EP808" s="23"/>
      <c r="EQ808" s="23"/>
      <c r="ER808" s="23"/>
      <c r="ES808" s="23"/>
      <c r="ET808" s="23"/>
      <c r="EU808" s="23"/>
      <c r="EV808" s="23"/>
      <c r="EW808" s="23"/>
      <c r="EX808" s="23"/>
      <c r="EY808" s="23"/>
      <c r="EZ808" s="23"/>
      <c r="FA808" s="23"/>
      <c r="FB808" s="23"/>
      <c r="FC808" s="23"/>
      <c r="FD808" s="23"/>
      <c r="FE808" s="23"/>
      <c r="FF808" s="23"/>
      <c r="FG808" s="23"/>
      <c r="FH808" s="23"/>
      <c r="FI808" s="23"/>
      <c r="FJ808" s="23"/>
      <c r="FK808" s="23"/>
      <c r="FL808" s="23"/>
      <c r="FM808" s="23"/>
      <c r="FN808" s="23"/>
      <c r="FO808" s="23"/>
      <c r="FP808" s="23"/>
      <c r="FQ808" s="23"/>
      <c r="FR808" s="23"/>
      <c r="FS808" s="23"/>
      <c r="FT808" s="23"/>
      <c r="FU808" s="23"/>
      <c r="FV808" s="23"/>
      <c r="FW808" s="23"/>
      <c r="FX808" s="23"/>
      <c r="FY808" s="23"/>
      <c r="FZ808" s="23"/>
      <c r="GA808" s="23"/>
      <c r="GB808" s="23"/>
      <c r="GC808" s="23"/>
      <c r="GD808" s="23"/>
      <c r="GE808" s="23"/>
      <c r="GF808" s="23"/>
      <c r="GG808" s="23"/>
      <c r="GH808" s="23"/>
      <c r="GI808" s="23"/>
      <c r="GJ808" s="23"/>
      <c r="GK808" s="23"/>
      <c r="GL808" s="23"/>
    </row>
    <row r="809" spans="1:194" ht="13">
      <c r="A809" s="23"/>
      <c r="B809" s="23"/>
      <c r="C809" s="23"/>
      <c r="D809" s="23"/>
      <c r="E809" s="23"/>
      <c r="F809" s="23"/>
      <c r="G809" s="23"/>
      <c r="H809" s="401"/>
      <c r="I809" s="401"/>
      <c r="J809" s="401"/>
      <c r="K809" s="401"/>
      <c r="L809" s="401"/>
      <c r="M809" s="438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  <c r="AL809" s="23"/>
      <c r="AM809" s="23"/>
      <c r="AN809" s="23"/>
      <c r="AO809" s="23"/>
      <c r="AP809" s="23"/>
      <c r="AQ809" s="23"/>
      <c r="AR809" s="23"/>
      <c r="AS809" s="23"/>
      <c r="AT809" s="23"/>
      <c r="AU809" s="23"/>
      <c r="AV809" s="23"/>
      <c r="AW809" s="23"/>
      <c r="AX809" s="23"/>
      <c r="AY809" s="23"/>
      <c r="AZ809" s="23"/>
      <c r="BA809" s="23"/>
      <c r="BB809" s="23"/>
      <c r="BC809" s="23"/>
      <c r="BD809" s="23"/>
      <c r="BE809" s="23"/>
      <c r="BF809" s="23"/>
      <c r="BG809" s="23"/>
      <c r="BH809" s="23"/>
      <c r="BI809" s="23"/>
      <c r="BJ809" s="23"/>
      <c r="BK809" s="23"/>
      <c r="BL809" s="23"/>
      <c r="BM809" s="23"/>
      <c r="BN809" s="23"/>
      <c r="BO809" s="23"/>
      <c r="BP809" s="23"/>
      <c r="BQ809" s="23"/>
      <c r="BR809" s="23"/>
      <c r="BS809" s="23"/>
      <c r="BT809" s="23"/>
      <c r="BU809" s="23"/>
      <c r="BV809" s="23"/>
      <c r="BW809" s="23"/>
      <c r="BX809" s="23"/>
      <c r="BY809" s="23"/>
      <c r="BZ809" s="23"/>
      <c r="CA809" s="23"/>
      <c r="CB809" s="23"/>
      <c r="CC809" s="23"/>
      <c r="CD809" s="23"/>
      <c r="CE809" s="23"/>
      <c r="CF809" s="23"/>
      <c r="CG809" s="23"/>
      <c r="CH809" s="23"/>
      <c r="CI809" s="23"/>
      <c r="CJ809" s="23"/>
      <c r="CK809" s="23"/>
      <c r="CL809" s="23"/>
      <c r="CM809" s="23"/>
      <c r="CN809" s="23"/>
      <c r="CO809" s="23"/>
      <c r="CP809" s="23"/>
      <c r="CQ809" s="23"/>
      <c r="CR809" s="23"/>
      <c r="CS809" s="23"/>
      <c r="CT809" s="23"/>
      <c r="CU809" s="23"/>
      <c r="CV809" s="23"/>
      <c r="CW809" s="23"/>
      <c r="CX809" s="23"/>
      <c r="CY809" s="23"/>
      <c r="CZ809" s="23"/>
      <c r="DA809" s="23"/>
      <c r="DB809" s="23"/>
      <c r="DC809" s="23"/>
      <c r="DD809" s="23"/>
      <c r="DE809" s="23"/>
      <c r="DF809" s="23"/>
      <c r="DG809" s="23"/>
      <c r="DH809" s="23"/>
      <c r="DI809" s="23"/>
      <c r="DJ809" s="23"/>
      <c r="DK809" s="23"/>
      <c r="DL809" s="23"/>
      <c r="DM809" s="23"/>
      <c r="DN809" s="23"/>
      <c r="DO809" s="23"/>
      <c r="DP809" s="23"/>
      <c r="DQ809" s="23"/>
      <c r="DR809" s="23"/>
      <c r="DS809" s="23"/>
      <c r="DT809" s="23"/>
      <c r="DU809" s="23"/>
      <c r="DV809" s="23"/>
      <c r="DW809" s="23"/>
      <c r="DX809" s="23"/>
      <c r="DY809" s="23"/>
      <c r="DZ809" s="23"/>
      <c r="EA809" s="23"/>
      <c r="EB809" s="23"/>
      <c r="EC809" s="23"/>
      <c r="ED809" s="23"/>
      <c r="EE809" s="23"/>
      <c r="EF809" s="23"/>
      <c r="EG809" s="23"/>
      <c r="EH809" s="23"/>
      <c r="EI809" s="23"/>
      <c r="EJ809" s="23"/>
      <c r="EK809" s="23"/>
      <c r="EL809" s="23"/>
      <c r="EM809" s="23"/>
      <c r="EN809" s="23"/>
      <c r="EO809" s="23"/>
      <c r="EP809" s="23"/>
      <c r="EQ809" s="23"/>
      <c r="ER809" s="23"/>
      <c r="ES809" s="23"/>
      <c r="ET809" s="23"/>
      <c r="EU809" s="23"/>
      <c r="EV809" s="23"/>
      <c r="EW809" s="23"/>
      <c r="EX809" s="23"/>
      <c r="EY809" s="23"/>
      <c r="EZ809" s="23"/>
      <c r="FA809" s="23"/>
      <c r="FB809" s="23"/>
      <c r="FC809" s="23"/>
      <c r="FD809" s="23"/>
      <c r="FE809" s="23"/>
      <c r="FF809" s="23"/>
      <c r="FG809" s="23"/>
      <c r="FH809" s="23"/>
      <c r="FI809" s="23"/>
      <c r="FJ809" s="23"/>
      <c r="FK809" s="23"/>
      <c r="FL809" s="23"/>
      <c r="FM809" s="23"/>
      <c r="FN809" s="23"/>
      <c r="FO809" s="23"/>
      <c r="FP809" s="23"/>
      <c r="FQ809" s="23"/>
      <c r="FR809" s="23"/>
      <c r="FS809" s="23"/>
      <c r="FT809" s="23"/>
      <c r="FU809" s="23"/>
      <c r="FV809" s="23"/>
      <c r="FW809" s="23"/>
      <c r="FX809" s="23"/>
      <c r="FY809" s="23"/>
      <c r="FZ809" s="23"/>
      <c r="GA809" s="23"/>
      <c r="GB809" s="23"/>
      <c r="GC809" s="23"/>
      <c r="GD809" s="23"/>
      <c r="GE809" s="23"/>
      <c r="GF809" s="23"/>
      <c r="GG809" s="23"/>
      <c r="GH809" s="23"/>
      <c r="GI809" s="23"/>
      <c r="GJ809" s="23"/>
      <c r="GK809" s="23"/>
      <c r="GL809" s="23"/>
    </row>
    <row r="810" spans="1:194" ht="13">
      <c r="A810" s="23"/>
      <c r="B810" s="23"/>
      <c r="C810" s="23"/>
      <c r="D810" s="23"/>
      <c r="E810" s="23"/>
      <c r="F810" s="23"/>
      <c r="G810" s="23"/>
      <c r="H810" s="401"/>
      <c r="I810" s="401"/>
      <c r="J810" s="401"/>
      <c r="K810" s="401"/>
      <c r="L810" s="401"/>
      <c r="M810" s="438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  <c r="AL810" s="23"/>
      <c r="AM810" s="23"/>
      <c r="AN810" s="23"/>
      <c r="AO810" s="23"/>
      <c r="AP810" s="23"/>
      <c r="AQ810" s="23"/>
      <c r="AR810" s="23"/>
      <c r="AS810" s="23"/>
      <c r="AT810" s="23"/>
      <c r="AU810" s="23"/>
      <c r="AV810" s="23"/>
      <c r="AW810" s="23"/>
      <c r="AX810" s="23"/>
      <c r="AY810" s="23"/>
      <c r="AZ810" s="23"/>
      <c r="BA810" s="23"/>
      <c r="BB810" s="23"/>
      <c r="BC810" s="23"/>
      <c r="BD810" s="23"/>
      <c r="BE810" s="23"/>
      <c r="BF810" s="23"/>
      <c r="BG810" s="23"/>
      <c r="BH810" s="23"/>
      <c r="BI810" s="23"/>
      <c r="BJ810" s="23"/>
      <c r="BK810" s="23"/>
      <c r="BL810" s="23"/>
      <c r="BM810" s="23"/>
      <c r="BN810" s="23"/>
      <c r="BO810" s="23"/>
      <c r="BP810" s="23"/>
      <c r="BQ810" s="23"/>
      <c r="BR810" s="23"/>
      <c r="BS810" s="23"/>
      <c r="BT810" s="23"/>
      <c r="BU810" s="23"/>
      <c r="BV810" s="23"/>
      <c r="BW810" s="23"/>
      <c r="BX810" s="23"/>
      <c r="BY810" s="23"/>
      <c r="BZ810" s="23"/>
      <c r="CA810" s="23"/>
      <c r="CB810" s="23"/>
      <c r="CC810" s="23"/>
      <c r="CD810" s="23"/>
      <c r="CE810" s="23"/>
      <c r="CF810" s="23"/>
      <c r="CG810" s="23"/>
      <c r="CH810" s="23"/>
      <c r="CI810" s="23"/>
      <c r="CJ810" s="23"/>
      <c r="CK810" s="23"/>
      <c r="CL810" s="23"/>
      <c r="CM810" s="23"/>
      <c r="CN810" s="23"/>
      <c r="CO810" s="23"/>
      <c r="CP810" s="23"/>
      <c r="CQ810" s="23"/>
      <c r="CR810" s="23"/>
      <c r="CS810" s="23"/>
      <c r="CT810" s="23"/>
      <c r="CU810" s="23"/>
      <c r="CV810" s="23"/>
      <c r="CW810" s="23"/>
      <c r="CX810" s="23"/>
      <c r="CY810" s="23"/>
      <c r="CZ810" s="23"/>
      <c r="DA810" s="23"/>
      <c r="DB810" s="23"/>
      <c r="DC810" s="23"/>
      <c r="DD810" s="23"/>
      <c r="DE810" s="23"/>
      <c r="DF810" s="23"/>
      <c r="DG810" s="23"/>
      <c r="DH810" s="23"/>
      <c r="DI810" s="23"/>
      <c r="DJ810" s="23"/>
      <c r="DK810" s="23"/>
      <c r="DL810" s="23"/>
      <c r="DM810" s="23"/>
      <c r="DN810" s="23"/>
      <c r="DO810" s="23"/>
      <c r="DP810" s="23"/>
      <c r="DQ810" s="23"/>
      <c r="DR810" s="23"/>
      <c r="DS810" s="23"/>
      <c r="DT810" s="23"/>
      <c r="DU810" s="23"/>
      <c r="DV810" s="23"/>
      <c r="DW810" s="23"/>
      <c r="DX810" s="23"/>
      <c r="DY810" s="23"/>
      <c r="DZ810" s="23"/>
      <c r="EA810" s="23"/>
      <c r="EB810" s="23"/>
      <c r="EC810" s="23"/>
      <c r="ED810" s="23"/>
      <c r="EE810" s="23"/>
      <c r="EF810" s="23"/>
      <c r="EG810" s="23"/>
      <c r="EH810" s="23"/>
      <c r="EI810" s="23"/>
      <c r="EJ810" s="23"/>
      <c r="EK810" s="23"/>
      <c r="EL810" s="23"/>
      <c r="EM810" s="23"/>
      <c r="EN810" s="23"/>
      <c r="EO810" s="23"/>
      <c r="EP810" s="23"/>
      <c r="EQ810" s="23"/>
      <c r="ER810" s="23"/>
      <c r="ES810" s="23"/>
      <c r="ET810" s="23"/>
      <c r="EU810" s="23"/>
      <c r="EV810" s="23"/>
      <c r="EW810" s="23"/>
      <c r="EX810" s="23"/>
      <c r="EY810" s="23"/>
      <c r="EZ810" s="23"/>
      <c r="FA810" s="23"/>
      <c r="FB810" s="23"/>
      <c r="FC810" s="23"/>
      <c r="FD810" s="23"/>
      <c r="FE810" s="23"/>
      <c r="FF810" s="23"/>
      <c r="FG810" s="23"/>
      <c r="FH810" s="23"/>
      <c r="FI810" s="23"/>
      <c r="FJ810" s="23"/>
      <c r="FK810" s="23"/>
      <c r="FL810" s="23"/>
      <c r="FM810" s="23"/>
      <c r="FN810" s="23"/>
      <c r="FO810" s="23"/>
      <c r="FP810" s="23"/>
      <c r="FQ810" s="23"/>
      <c r="FR810" s="23"/>
      <c r="FS810" s="23"/>
      <c r="FT810" s="23"/>
      <c r="FU810" s="23"/>
      <c r="FV810" s="23"/>
      <c r="FW810" s="23"/>
      <c r="FX810" s="23"/>
      <c r="FY810" s="23"/>
      <c r="FZ810" s="23"/>
      <c r="GA810" s="23"/>
      <c r="GB810" s="23"/>
      <c r="GC810" s="23"/>
      <c r="GD810" s="23"/>
      <c r="GE810" s="23"/>
      <c r="GF810" s="23"/>
      <c r="GG810" s="23"/>
      <c r="GH810" s="23"/>
      <c r="GI810" s="23"/>
      <c r="GJ810" s="23"/>
      <c r="GK810" s="23"/>
      <c r="GL810" s="23"/>
    </row>
    <row r="811" spans="1:194" ht="13">
      <c r="A811" s="23"/>
      <c r="B811" s="23"/>
      <c r="C811" s="23"/>
      <c r="D811" s="23"/>
      <c r="E811" s="23"/>
      <c r="F811" s="23"/>
      <c r="G811" s="23"/>
      <c r="H811" s="401"/>
      <c r="I811" s="401"/>
      <c r="J811" s="401"/>
      <c r="K811" s="401"/>
      <c r="L811" s="401"/>
      <c r="M811" s="438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  <c r="AL811" s="23"/>
      <c r="AM811" s="23"/>
      <c r="AN811" s="23"/>
      <c r="AO811" s="23"/>
      <c r="AP811" s="23"/>
      <c r="AQ811" s="23"/>
      <c r="AR811" s="23"/>
      <c r="AS811" s="23"/>
      <c r="AT811" s="23"/>
      <c r="AU811" s="23"/>
      <c r="AV811" s="23"/>
      <c r="AW811" s="23"/>
      <c r="AX811" s="23"/>
      <c r="AY811" s="23"/>
      <c r="AZ811" s="23"/>
      <c r="BA811" s="23"/>
      <c r="BB811" s="23"/>
      <c r="BC811" s="23"/>
      <c r="BD811" s="23"/>
      <c r="BE811" s="23"/>
      <c r="BF811" s="23"/>
      <c r="BG811" s="23"/>
      <c r="BH811" s="23"/>
      <c r="BI811" s="23"/>
      <c r="BJ811" s="23"/>
      <c r="BK811" s="23"/>
      <c r="BL811" s="23"/>
      <c r="BM811" s="23"/>
      <c r="BN811" s="23"/>
      <c r="BO811" s="23"/>
      <c r="BP811" s="23"/>
      <c r="BQ811" s="23"/>
      <c r="BR811" s="23"/>
      <c r="BS811" s="23"/>
      <c r="BT811" s="23"/>
      <c r="BU811" s="23"/>
      <c r="BV811" s="23"/>
      <c r="BW811" s="23"/>
      <c r="BX811" s="23"/>
      <c r="BY811" s="23"/>
      <c r="BZ811" s="23"/>
      <c r="CA811" s="23"/>
      <c r="CB811" s="23"/>
      <c r="CC811" s="23"/>
      <c r="CD811" s="23"/>
      <c r="CE811" s="23"/>
      <c r="CF811" s="23"/>
      <c r="CG811" s="23"/>
      <c r="CH811" s="23"/>
      <c r="CI811" s="23"/>
      <c r="CJ811" s="23"/>
      <c r="CK811" s="23"/>
      <c r="CL811" s="23"/>
      <c r="CM811" s="23"/>
      <c r="CN811" s="23"/>
      <c r="CO811" s="23"/>
      <c r="CP811" s="23"/>
      <c r="CQ811" s="23"/>
      <c r="CR811" s="23"/>
      <c r="CS811" s="23"/>
      <c r="CT811" s="23"/>
      <c r="CU811" s="23"/>
      <c r="CV811" s="23"/>
      <c r="CW811" s="23"/>
      <c r="CX811" s="23"/>
      <c r="CY811" s="23"/>
      <c r="CZ811" s="23"/>
      <c r="DA811" s="23"/>
      <c r="DB811" s="23"/>
      <c r="DC811" s="23"/>
      <c r="DD811" s="23"/>
      <c r="DE811" s="23"/>
      <c r="DF811" s="23"/>
      <c r="DG811" s="23"/>
      <c r="DH811" s="23"/>
      <c r="DI811" s="23"/>
      <c r="DJ811" s="23"/>
      <c r="DK811" s="23"/>
      <c r="DL811" s="23"/>
      <c r="DM811" s="23"/>
      <c r="DN811" s="23"/>
      <c r="DO811" s="23"/>
      <c r="DP811" s="23"/>
      <c r="DQ811" s="23"/>
      <c r="DR811" s="23"/>
      <c r="DS811" s="23"/>
      <c r="DT811" s="23"/>
      <c r="DU811" s="23"/>
      <c r="DV811" s="23"/>
      <c r="DW811" s="23"/>
      <c r="DX811" s="23"/>
      <c r="DY811" s="23"/>
      <c r="DZ811" s="23"/>
      <c r="EA811" s="23"/>
      <c r="EB811" s="23"/>
      <c r="EC811" s="23"/>
      <c r="ED811" s="23"/>
      <c r="EE811" s="23"/>
      <c r="EF811" s="23"/>
      <c r="EG811" s="23"/>
      <c r="EH811" s="23"/>
      <c r="EI811" s="23"/>
      <c r="EJ811" s="23"/>
      <c r="EK811" s="23"/>
      <c r="EL811" s="23"/>
      <c r="EM811" s="23"/>
      <c r="EN811" s="23"/>
      <c r="EO811" s="23"/>
      <c r="EP811" s="23"/>
      <c r="EQ811" s="23"/>
      <c r="ER811" s="23"/>
      <c r="ES811" s="23"/>
      <c r="ET811" s="23"/>
      <c r="EU811" s="23"/>
      <c r="EV811" s="23"/>
      <c r="EW811" s="23"/>
      <c r="EX811" s="23"/>
      <c r="EY811" s="23"/>
      <c r="EZ811" s="23"/>
      <c r="FA811" s="23"/>
      <c r="FB811" s="23"/>
      <c r="FC811" s="23"/>
      <c r="FD811" s="23"/>
      <c r="FE811" s="23"/>
      <c r="FF811" s="23"/>
      <c r="FG811" s="23"/>
      <c r="FH811" s="23"/>
      <c r="FI811" s="23"/>
      <c r="FJ811" s="23"/>
      <c r="FK811" s="23"/>
      <c r="FL811" s="23"/>
      <c r="FM811" s="23"/>
      <c r="FN811" s="23"/>
      <c r="FO811" s="23"/>
      <c r="FP811" s="23"/>
      <c r="FQ811" s="23"/>
      <c r="FR811" s="23"/>
      <c r="FS811" s="23"/>
      <c r="FT811" s="23"/>
      <c r="FU811" s="23"/>
      <c r="FV811" s="23"/>
      <c r="FW811" s="23"/>
      <c r="FX811" s="23"/>
      <c r="FY811" s="23"/>
      <c r="FZ811" s="23"/>
      <c r="GA811" s="23"/>
      <c r="GB811" s="23"/>
      <c r="GC811" s="23"/>
      <c r="GD811" s="23"/>
      <c r="GE811" s="23"/>
      <c r="GF811" s="23"/>
      <c r="GG811" s="23"/>
      <c r="GH811" s="23"/>
      <c r="GI811" s="23"/>
      <c r="GJ811" s="23"/>
      <c r="GK811" s="23"/>
      <c r="GL811" s="23"/>
    </row>
    <row r="812" spans="1:194" ht="13">
      <c r="A812" s="23"/>
      <c r="B812" s="23"/>
      <c r="C812" s="23"/>
      <c r="D812" s="23"/>
      <c r="E812" s="23"/>
      <c r="F812" s="23"/>
      <c r="G812" s="23"/>
      <c r="H812" s="401"/>
      <c r="I812" s="401"/>
      <c r="J812" s="401"/>
      <c r="K812" s="401"/>
      <c r="L812" s="401"/>
      <c r="M812" s="438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  <c r="AL812" s="23"/>
      <c r="AM812" s="23"/>
      <c r="AN812" s="23"/>
      <c r="AO812" s="23"/>
      <c r="AP812" s="23"/>
      <c r="AQ812" s="23"/>
      <c r="AR812" s="23"/>
      <c r="AS812" s="23"/>
      <c r="AT812" s="23"/>
      <c r="AU812" s="23"/>
      <c r="AV812" s="23"/>
      <c r="AW812" s="23"/>
      <c r="AX812" s="23"/>
      <c r="AY812" s="23"/>
      <c r="AZ812" s="23"/>
      <c r="BA812" s="23"/>
      <c r="BB812" s="23"/>
      <c r="BC812" s="23"/>
      <c r="BD812" s="23"/>
      <c r="BE812" s="23"/>
      <c r="BF812" s="23"/>
      <c r="BG812" s="23"/>
      <c r="BH812" s="23"/>
      <c r="BI812" s="23"/>
      <c r="BJ812" s="23"/>
      <c r="BK812" s="23"/>
      <c r="BL812" s="23"/>
      <c r="BM812" s="23"/>
      <c r="BN812" s="23"/>
      <c r="BO812" s="23"/>
      <c r="BP812" s="23"/>
      <c r="BQ812" s="23"/>
      <c r="BR812" s="23"/>
      <c r="BS812" s="23"/>
      <c r="BT812" s="23"/>
      <c r="BU812" s="23"/>
      <c r="BV812" s="23"/>
      <c r="BW812" s="23"/>
      <c r="BX812" s="23"/>
      <c r="BY812" s="23"/>
      <c r="BZ812" s="23"/>
      <c r="CA812" s="23"/>
      <c r="CB812" s="23"/>
      <c r="CC812" s="23"/>
      <c r="CD812" s="23"/>
      <c r="CE812" s="23"/>
      <c r="CF812" s="23"/>
      <c r="CG812" s="23"/>
      <c r="CH812" s="23"/>
      <c r="CI812" s="23"/>
      <c r="CJ812" s="23"/>
      <c r="CK812" s="23"/>
      <c r="CL812" s="23"/>
      <c r="CM812" s="23"/>
      <c r="CN812" s="23"/>
      <c r="CO812" s="23"/>
      <c r="CP812" s="23"/>
      <c r="CQ812" s="23"/>
      <c r="CR812" s="23"/>
      <c r="CS812" s="23"/>
      <c r="CT812" s="23"/>
      <c r="CU812" s="23"/>
      <c r="CV812" s="23"/>
      <c r="CW812" s="23"/>
      <c r="CX812" s="23"/>
      <c r="CY812" s="23"/>
      <c r="CZ812" s="23"/>
      <c r="DA812" s="23"/>
      <c r="DB812" s="23"/>
      <c r="DC812" s="23"/>
      <c r="DD812" s="23"/>
      <c r="DE812" s="23"/>
      <c r="DF812" s="23"/>
      <c r="DG812" s="23"/>
      <c r="DH812" s="23"/>
      <c r="DI812" s="23"/>
      <c r="DJ812" s="23"/>
      <c r="DK812" s="23"/>
      <c r="DL812" s="23"/>
      <c r="DM812" s="23"/>
      <c r="DN812" s="23"/>
      <c r="DO812" s="23"/>
      <c r="DP812" s="23"/>
      <c r="DQ812" s="23"/>
      <c r="DR812" s="23"/>
      <c r="DS812" s="23"/>
      <c r="DT812" s="23"/>
      <c r="DU812" s="23"/>
      <c r="DV812" s="23"/>
      <c r="DW812" s="23"/>
      <c r="DX812" s="23"/>
      <c r="DY812" s="23"/>
      <c r="DZ812" s="23"/>
      <c r="EA812" s="23"/>
      <c r="EB812" s="23"/>
      <c r="EC812" s="23"/>
      <c r="ED812" s="23"/>
      <c r="EE812" s="23"/>
      <c r="EF812" s="23"/>
      <c r="EG812" s="23"/>
      <c r="EH812" s="23"/>
      <c r="EI812" s="23"/>
      <c r="EJ812" s="23"/>
      <c r="EK812" s="23"/>
      <c r="EL812" s="23"/>
      <c r="EM812" s="23"/>
      <c r="EN812" s="23"/>
      <c r="EO812" s="23"/>
      <c r="EP812" s="23"/>
      <c r="EQ812" s="23"/>
      <c r="ER812" s="23"/>
      <c r="ES812" s="23"/>
      <c r="ET812" s="23"/>
      <c r="EU812" s="23"/>
      <c r="EV812" s="23"/>
      <c r="EW812" s="23"/>
      <c r="EX812" s="23"/>
      <c r="EY812" s="23"/>
      <c r="EZ812" s="23"/>
      <c r="FA812" s="23"/>
      <c r="FB812" s="23"/>
      <c r="FC812" s="23"/>
      <c r="FD812" s="23"/>
      <c r="FE812" s="23"/>
      <c r="FF812" s="23"/>
      <c r="FG812" s="23"/>
      <c r="FH812" s="23"/>
      <c r="FI812" s="23"/>
      <c r="FJ812" s="23"/>
      <c r="FK812" s="23"/>
      <c r="FL812" s="23"/>
      <c r="FM812" s="23"/>
      <c r="FN812" s="23"/>
      <c r="FO812" s="23"/>
      <c r="FP812" s="23"/>
      <c r="FQ812" s="23"/>
      <c r="FR812" s="23"/>
      <c r="FS812" s="23"/>
      <c r="FT812" s="23"/>
      <c r="FU812" s="23"/>
      <c r="FV812" s="23"/>
      <c r="FW812" s="23"/>
      <c r="FX812" s="23"/>
      <c r="FY812" s="23"/>
      <c r="FZ812" s="23"/>
      <c r="GA812" s="23"/>
      <c r="GB812" s="23"/>
      <c r="GC812" s="23"/>
      <c r="GD812" s="23"/>
      <c r="GE812" s="23"/>
      <c r="GF812" s="23"/>
      <c r="GG812" s="23"/>
      <c r="GH812" s="23"/>
      <c r="GI812" s="23"/>
      <c r="GJ812" s="23"/>
      <c r="GK812" s="23"/>
      <c r="GL812" s="23"/>
    </row>
    <row r="813" spans="1:194" ht="13">
      <c r="A813" s="23"/>
      <c r="B813" s="23"/>
      <c r="C813" s="23"/>
      <c r="D813" s="23"/>
      <c r="E813" s="23"/>
      <c r="F813" s="23"/>
      <c r="G813" s="23"/>
      <c r="H813" s="401"/>
      <c r="I813" s="401"/>
      <c r="J813" s="401"/>
      <c r="K813" s="401"/>
      <c r="L813" s="401"/>
      <c r="M813" s="438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  <c r="AL813" s="23"/>
      <c r="AM813" s="23"/>
      <c r="AN813" s="23"/>
      <c r="AO813" s="23"/>
      <c r="AP813" s="23"/>
      <c r="AQ813" s="23"/>
      <c r="AR813" s="23"/>
      <c r="AS813" s="23"/>
      <c r="AT813" s="23"/>
      <c r="AU813" s="23"/>
      <c r="AV813" s="23"/>
      <c r="AW813" s="23"/>
      <c r="AX813" s="23"/>
      <c r="AY813" s="23"/>
      <c r="AZ813" s="23"/>
      <c r="BA813" s="23"/>
      <c r="BB813" s="23"/>
      <c r="BC813" s="23"/>
      <c r="BD813" s="23"/>
      <c r="BE813" s="23"/>
      <c r="BF813" s="23"/>
      <c r="BG813" s="23"/>
      <c r="BH813" s="23"/>
      <c r="BI813" s="23"/>
      <c r="BJ813" s="23"/>
      <c r="BK813" s="23"/>
      <c r="BL813" s="23"/>
      <c r="BM813" s="23"/>
      <c r="BN813" s="23"/>
      <c r="BO813" s="23"/>
      <c r="BP813" s="23"/>
      <c r="BQ813" s="23"/>
      <c r="BR813" s="23"/>
      <c r="BS813" s="23"/>
      <c r="BT813" s="23"/>
      <c r="BU813" s="23"/>
      <c r="BV813" s="23"/>
      <c r="BW813" s="23"/>
      <c r="BX813" s="23"/>
      <c r="BY813" s="23"/>
      <c r="BZ813" s="23"/>
      <c r="CA813" s="23"/>
      <c r="CB813" s="23"/>
      <c r="CC813" s="23"/>
      <c r="CD813" s="23"/>
      <c r="CE813" s="23"/>
      <c r="CF813" s="23"/>
      <c r="CG813" s="23"/>
      <c r="CH813" s="23"/>
      <c r="CI813" s="23"/>
      <c r="CJ813" s="23"/>
      <c r="CK813" s="23"/>
      <c r="CL813" s="23"/>
      <c r="CM813" s="23"/>
      <c r="CN813" s="23"/>
      <c r="CO813" s="23"/>
      <c r="CP813" s="23"/>
      <c r="CQ813" s="23"/>
      <c r="CR813" s="23"/>
      <c r="CS813" s="23"/>
      <c r="CT813" s="23"/>
      <c r="CU813" s="23"/>
      <c r="CV813" s="23"/>
      <c r="CW813" s="23"/>
      <c r="CX813" s="23"/>
      <c r="CY813" s="23"/>
      <c r="CZ813" s="23"/>
      <c r="DA813" s="23"/>
      <c r="DB813" s="23"/>
      <c r="DC813" s="23"/>
      <c r="DD813" s="23"/>
      <c r="DE813" s="23"/>
      <c r="DF813" s="23"/>
      <c r="DG813" s="23"/>
      <c r="DH813" s="23"/>
      <c r="DI813" s="23"/>
      <c r="DJ813" s="23"/>
      <c r="DK813" s="23"/>
      <c r="DL813" s="23"/>
      <c r="DM813" s="23"/>
      <c r="DN813" s="23"/>
      <c r="DO813" s="23"/>
      <c r="DP813" s="23"/>
      <c r="DQ813" s="23"/>
      <c r="DR813" s="23"/>
      <c r="DS813" s="23"/>
      <c r="DT813" s="23"/>
      <c r="DU813" s="23"/>
      <c r="DV813" s="23"/>
      <c r="DW813" s="23"/>
      <c r="DX813" s="23"/>
      <c r="DY813" s="23"/>
      <c r="DZ813" s="23"/>
      <c r="EA813" s="23"/>
      <c r="EB813" s="23"/>
      <c r="EC813" s="23"/>
      <c r="ED813" s="23"/>
      <c r="EE813" s="23"/>
      <c r="EF813" s="23"/>
      <c r="EG813" s="23"/>
      <c r="EH813" s="23"/>
      <c r="EI813" s="23"/>
      <c r="EJ813" s="23"/>
      <c r="EK813" s="23"/>
      <c r="EL813" s="23"/>
      <c r="EM813" s="23"/>
      <c r="EN813" s="23"/>
      <c r="EO813" s="23"/>
      <c r="EP813" s="23"/>
      <c r="EQ813" s="23"/>
      <c r="ER813" s="23"/>
      <c r="ES813" s="23"/>
      <c r="ET813" s="23"/>
      <c r="EU813" s="23"/>
      <c r="EV813" s="23"/>
      <c r="EW813" s="23"/>
      <c r="EX813" s="23"/>
      <c r="EY813" s="23"/>
      <c r="EZ813" s="23"/>
      <c r="FA813" s="23"/>
      <c r="FB813" s="23"/>
      <c r="FC813" s="23"/>
      <c r="FD813" s="23"/>
      <c r="FE813" s="23"/>
      <c r="FF813" s="23"/>
      <c r="FG813" s="23"/>
      <c r="FH813" s="23"/>
      <c r="FI813" s="23"/>
      <c r="FJ813" s="23"/>
      <c r="FK813" s="23"/>
      <c r="FL813" s="23"/>
      <c r="FM813" s="23"/>
      <c r="FN813" s="23"/>
      <c r="FO813" s="23"/>
      <c r="FP813" s="23"/>
      <c r="FQ813" s="23"/>
      <c r="FR813" s="23"/>
      <c r="FS813" s="23"/>
      <c r="FT813" s="23"/>
      <c r="FU813" s="23"/>
      <c r="FV813" s="23"/>
      <c r="FW813" s="23"/>
      <c r="FX813" s="23"/>
      <c r="FY813" s="23"/>
      <c r="FZ813" s="23"/>
      <c r="GA813" s="23"/>
      <c r="GB813" s="23"/>
      <c r="GC813" s="23"/>
      <c r="GD813" s="23"/>
      <c r="GE813" s="23"/>
      <c r="GF813" s="23"/>
      <c r="GG813" s="23"/>
      <c r="GH813" s="23"/>
      <c r="GI813" s="23"/>
      <c r="GJ813" s="23"/>
      <c r="GK813" s="23"/>
      <c r="GL813" s="23"/>
    </row>
    <row r="814" spans="1:194" ht="13">
      <c r="A814" s="23"/>
      <c r="B814" s="23"/>
      <c r="C814" s="23"/>
      <c r="D814" s="23"/>
      <c r="E814" s="23"/>
      <c r="F814" s="23"/>
      <c r="G814" s="23"/>
      <c r="H814" s="401"/>
      <c r="I814" s="401"/>
      <c r="J814" s="401"/>
      <c r="K814" s="401"/>
      <c r="L814" s="401"/>
      <c r="M814" s="438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  <c r="AL814" s="23"/>
      <c r="AM814" s="23"/>
      <c r="AN814" s="23"/>
      <c r="AO814" s="23"/>
      <c r="AP814" s="23"/>
      <c r="AQ814" s="23"/>
      <c r="AR814" s="23"/>
      <c r="AS814" s="23"/>
      <c r="AT814" s="23"/>
      <c r="AU814" s="23"/>
      <c r="AV814" s="23"/>
      <c r="AW814" s="23"/>
      <c r="AX814" s="23"/>
      <c r="AY814" s="23"/>
      <c r="AZ814" s="23"/>
      <c r="BA814" s="23"/>
      <c r="BB814" s="23"/>
      <c r="BC814" s="23"/>
      <c r="BD814" s="23"/>
      <c r="BE814" s="23"/>
      <c r="BF814" s="23"/>
      <c r="BG814" s="23"/>
      <c r="BH814" s="23"/>
      <c r="BI814" s="23"/>
      <c r="BJ814" s="23"/>
      <c r="BK814" s="23"/>
      <c r="BL814" s="23"/>
      <c r="BM814" s="23"/>
      <c r="BN814" s="23"/>
      <c r="BO814" s="23"/>
      <c r="BP814" s="23"/>
      <c r="BQ814" s="23"/>
      <c r="BR814" s="23"/>
      <c r="BS814" s="23"/>
      <c r="BT814" s="23"/>
      <c r="BU814" s="23"/>
      <c r="BV814" s="23"/>
      <c r="BW814" s="23"/>
      <c r="BX814" s="23"/>
      <c r="BY814" s="23"/>
      <c r="BZ814" s="23"/>
      <c r="CA814" s="23"/>
      <c r="CB814" s="23"/>
      <c r="CC814" s="23"/>
      <c r="CD814" s="23"/>
      <c r="CE814" s="23"/>
      <c r="CF814" s="23"/>
      <c r="CG814" s="23"/>
      <c r="CH814" s="23"/>
      <c r="CI814" s="23"/>
      <c r="CJ814" s="23"/>
      <c r="CK814" s="23"/>
      <c r="CL814" s="23"/>
      <c r="CM814" s="23"/>
      <c r="CN814" s="23"/>
      <c r="CO814" s="23"/>
      <c r="CP814" s="23"/>
      <c r="CQ814" s="23"/>
      <c r="CR814" s="23"/>
      <c r="CS814" s="23"/>
      <c r="CT814" s="23"/>
      <c r="CU814" s="23"/>
      <c r="CV814" s="23"/>
      <c r="CW814" s="23"/>
      <c r="CX814" s="23"/>
      <c r="CY814" s="23"/>
      <c r="CZ814" s="23"/>
      <c r="DA814" s="23"/>
      <c r="DB814" s="23"/>
      <c r="DC814" s="23"/>
      <c r="DD814" s="23"/>
      <c r="DE814" s="23"/>
      <c r="DF814" s="23"/>
      <c r="DG814" s="23"/>
      <c r="DH814" s="23"/>
      <c r="DI814" s="23"/>
      <c r="DJ814" s="23"/>
      <c r="DK814" s="23"/>
      <c r="DL814" s="23"/>
      <c r="DM814" s="23"/>
      <c r="DN814" s="23"/>
      <c r="DO814" s="23"/>
      <c r="DP814" s="23"/>
      <c r="DQ814" s="23"/>
      <c r="DR814" s="23"/>
      <c r="DS814" s="23"/>
      <c r="DT814" s="23"/>
      <c r="DU814" s="23"/>
      <c r="DV814" s="23"/>
      <c r="DW814" s="23"/>
      <c r="DX814" s="23"/>
      <c r="DY814" s="23"/>
      <c r="DZ814" s="23"/>
      <c r="EA814" s="23"/>
      <c r="EB814" s="23"/>
      <c r="EC814" s="23"/>
      <c r="ED814" s="23"/>
      <c r="EE814" s="23"/>
      <c r="EF814" s="23"/>
      <c r="EG814" s="23"/>
      <c r="EH814" s="23"/>
      <c r="EI814" s="23"/>
      <c r="EJ814" s="23"/>
      <c r="EK814" s="23"/>
      <c r="EL814" s="23"/>
      <c r="EM814" s="23"/>
      <c r="EN814" s="23"/>
      <c r="EO814" s="23"/>
      <c r="EP814" s="23"/>
      <c r="EQ814" s="23"/>
      <c r="ER814" s="23"/>
      <c r="ES814" s="23"/>
      <c r="ET814" s="23"/>
      <c r="EU814" s="23"/>
      <c r="EV814" s="23"/>
      <c r="EW814" s="23"/>
      <c r="EX814" s="23"/>
      <c r="EY814" s="23"/>
      <c r="EZ814" s="23"/>
      <c r="FA814" s="23"/>
      <c r="FB814" s="23"/>
      <c r="FC814" s="23"/>
      <c r="FD814" s="23"/>
      <c r="FE814" s="23"/>
      <c r="FF814" s="23"/>
      <c r="FG814" s="23"/>
      <c r="FH814" s="23"/>
      <c r="FI814" s="23"/>
      <c r="FJ814" s="23"/>
      <c r="FK814" s="23"/>
      <c r="FL814" s="23"/>
      <c r="FM814" s="23"/>
      <c r="FN814" s="23"/>
      <c r="FO814" s="23"/>
      <c r="FP814" s="23"/>
      <c r="FQ814" s="23"/>
      <c r="FR814" s="23"/>
      <c r="FS814" s="23"/>
      <c r="FT814" s="23"/>
      <c r="FU814" s="23"/>
      <c r="FV814" s="23"/>
      <c r="FW814" s="23"/>
      <c r="FX814" s="23"/>
      <c r="FY814" s="23"/>
      <c r="FZ814" s="23"/>
      <c r="GA814" s="23"/>
      <c r="GB814" s="23"/>
      <c r="GC814" s="23"/>
      <c r="GD814" s="23"/>
      <c r="GE814" s="23"/>
      <c r="GF814" s="23"/>
      <c r="GG814" s="23"/>
      <c r="GH814" s="23"/>
      <c r="GI814" s="23"/>
      <c r="GJ814" s="23"/>
      <c r="GK814" s="23"/>
      <c r="GL814" s="23"/>
    </row>
    <row r="815" spans="1:194" ht="13">
      <c r="A815" s="23"/>
      <c r="B815" s="23"/>
      <c r="C815" s="23"/>
      <c r="D815" s="23"/>
      <c r="E815" s="23"/>
      <c r="F815" s="23"/>
      <c r="G815" s="23"/>
      <c r="H815" s="401"/>
      <c r="I815" s="401"/>
      <c r="J815" s="401"/>
      <c r="K815" s="401"/>
      <c r="L815" s="401"/>
      <c r="M815" s="438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  <c r="AL815" s="23"/>
      <c r="AM815" s="23"/>
      <c r="AN815" s="23"/>
      <c r="AO815" s="23"/>
      <c r="AP815" s="23"/>
      <c r="AQ815" s="23"/>
      <c r="AR815" s="23"/>
      <c r="AS815" s="23"/>
      <c r="AT815" s="23"/>
      <c r="AU815" s="23"/>
      <c r="AV815" s="23"/>
      <c r="AW815" s="23"/>
      <c r="AX815" s="23"/>
      <c r="AY815" s="23"/>
      <c r="AZ815" s="23"/>
      <c r="BA815" s="23"/>
      <c r="BB815" s="23"/>
      <c r="BC815" s="23"/>
      <c r="BD815" s="23"/>
      <c r="BE815" s="23"/>
      <c r="BF815" s="23"/>
      <c r="BG815" s="23"/>
      <c r="BH815" s="23"/>
      <c r="BI815" s="23"/>
      <c r="BJ815" s="23"/>
      <c r="BK815" s="23"/>
      <c r="BL815" s="23"/>
      <c r="BM815" s="23"/>
      <c r="BN815" s="23"/>
      <c r="BO815" s="23"/>
      <c r="BP815" s="23"/>
      <c r="BQ815" s="23"/>
      <c r="BR815" s="23"/>
      <c r="BS815" s="23"/>
      <c r="BT815" s="23"/>
      <c r="BU815" s="23"/>
      <c r="BV815" s="23"/>
      <c r="BW815" s="23"/>
      <c r="BX815" s="23"/>
      <c r="BY815" s="23"/>
      <c r="BZ815" s="23"/>
      <c r="CA815" s="23"/>
      <c r="CB815" s="23"/>
      <c r="CC815" s="23"/>
      <c r="CD815" s="23"/>
      <c r="CE815" s="23"/>
      <c r="CF815" s="23"/>
      <c r="CG815" s="23"/>
      <c r="CH815" s="23"/>
      <c r="CI815" s="23"/>
      <c r="CJ815" s="23"/>
      <c r="CK815" s="23"/>
      <c r="CL815" s="23"/>
      <c r="CM815" s="23"/>
      <c r="CN815" s="23"/>
      <c r="CO815" s="23"/>
      <c r="CP815" s="23"/>
      <c r="CQ815" s="23"/>
      <c r="CR815" s="23"/>
      <c r="CS815" s="23"/>
      <c r="CT815" s="23"/>
      <c r="CU815" s="23"/>
      <c r="CV815" s="23"/>
      <c r="CW815" s="23"/>
      <c r="CX815" s="23"/>
      <c r="CY815" s="23"/>
      <c r="CZ815" s="23"/>
      <c r="DA815" s="23"/>
      <c r="DB815" s="23"/>
      <c r="DC815" s="23"/>
      <c r="DD815" s="23"/>
      <c r="DE815" s="23"/>
      <c r="DF815" s="23"/>
      <c r="DG815" s="23"/>
      <c r="DH815" s="23"/>
      <c r="DI815" s="23"/>
      <c r="DJ815" s="23"/>
      <c r="DK815" s="23"/>
      <c r="DL815" s="23"/>
      <c r="DM815" s="23"/>
      <c r="DN815" s="23"/>
      <c r="DO815" s="23"/>
      <c r="DP815" s="23"/>
      <c r="DQ815" s="23"/>
      <c r="DR815" s="23"/>
      <c r="DS815" s="23"/>
      <c r="DT815" s="23"/>
      <c r="DU815" s="23"/>
      <c r="DV815" s="23"/>
      <c r="DW815" s="23"/>
      <c r="DX815" s="23"/>
      <c r="DY815" s="23"/>
      <c r="DZ815" s="23"/>
      <c r="EA815" s="23"/>
      <c r="EB815" s="23"/>
      <c r="EC815" s="23"/>
      <c r="ED815" s="23"/>
      <c r="EE815" s="23"/>
      <c r="EF815" s="23"/>
      <c r="EG815" s="23"/>
      <c r="EH815" s="23"/>
      <c r="EI815" s="23"/>
      <c r="EJ815" s="23"/>
      <c r="EK815" s="23"/>
      <c r="EL815" s="23"/>
      <c r="EM815" s="23"/>
      <c r="EN815" s="23"/>
      <c r="EO815" s="23"/>
      <c r="EP815" s="23"/>
      <c r="EQ815" s="23"/>
      <c r="ER815" s="23"/>
      <c r="ES815" s="23"/>
      <c r="ET815" s="23"/>
      <c r="EU815" s="23"/>
      <c r="EV815" s="23"/>
      <c r="EW815" s="23"/>
      <c r="EX815" s="23"/>
      <c r="EY815" s="23"/>
      <c r="EZ815" s="23"/>
      <c r="FA815" s="23"/>
      <c r="FB815" s="23"/>
      <c r="FC815" s="23"/>
      <c r="FD815" s="23"/>
      <c r="FE815" s="23"/>
      <c r="FF815" s="23"/>
      <c r="FG815" s="23"/>
      <c r="FH815" s="23"/>
      <c r="FI815" s="23"/>
      <c r="FJ815" s="23"/>
      <c r="FK815" s="23"/>
      <c r="FL815" s="23"/>
      <c r="FM815" s="23"/>
      <c r="FN815" s="23"/>
      <c r="FO815" s="23"/>
      <c r="FP815" s="23"/>
      <c r="FQ815" s="23"/>
      <c r="FR815" s="23"/>
      <c r="FS815" s="23"/>
      <c r="FT815" s="23"/>
      <c r="FU815" s="23"/>
      <c r="FV815" s="23"/>
      <c r="FW815" s="23"/>
      <c r="FX815" s="23"/>
      <c r="FY815" s="23"/>
      <c r="FZ815" s="23"/>
      <c r="GA815" s="23"/>
      <c r="GB815" s="23"/>
      <c r="GC815" s="23"/>
      <c r="GD815" s="23"/>
      <c r="GE815" s="23"/>
      <c r="GF815" s="23"/>
      <c r="GG815" s="23"/>
      <c r="GH815" s="23"/>
      <c r="GI815" s="23"/>
      <c r="GJ815" s="23"/>
      <c r="GK815" s="23"/>
      <c r="GL815" s="23"/>
    </row>
    <row r="816" spans="1:194" ht="13">
      <c r="A816" s="23"/>
      <c r="B816" s="23"/>
      <c r="C816" s="23"/>
      <c r="D816" s="23"/>
      <c r="E816" s="23"/>
      <c r="F816" s="23"/>
      <c r="G816" s="23"/>
      <c r="H816" s="401"/>
      <c r="I816" s="401"/>
      <c r="J816" s="401"/>
      <c r="K816" s="401"/>
      <c r="L816" s="401"/>
      <c r="M816" s="438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  <c r="AL816" s="23"/>
      <c r="AM816" s="23"/>
      <c r="AN816" s="23"/>
      <c r="AO816" s="23"/>
      <c r="AP816" s="23"/>
      <c r="AQ816" s="23"/>
      <c r="AR816" s="23"/>
      <c r="AS816" s="23"/>
      <c r="AT816" s="23"/>
      <c r="AU816" s="23"/>
      <c r="AV816" s="23"/>
      <c r="AW816" s="23"/>
      <c r="AX816" s="23"/>
      <c r="AY816" s="23"/>
      <c r="AZ816" s="23"/>
      <c r="BA816" s="23"/>
      <c r="BB816" s="23"/>
      <c r="BC816" s="23"/>
      <c r="BD816" s="23"/>
      <c r="BE816" s="23"/>
      <c r="BF816" s="23"/>
      <c r="BG816" s="23"/>
      <c r="BH816" s="23"/>
      <c r="BI816" s="23"/>
      <c r="BJ816" s="23"/>
      <c r="BK816" s="23"/>
      <c r="BL816" s="23"/>
      <c r="BM816" s="23"/>
      <c r="BN816" s="23"/>
      <c r="BO816" s="23"/>
      <c r="BP816" s="23"/>
      <c r="BQ816" s="23"/>
      <c r="BR816" s="23"/>
      <c r="BS816" s="23"/>
      <c r="BT816" s="23"/>
      <c r="BU816" s="23"/>
      <c r="BV816" s="23"/>
      <c r="BW816" s="23"/>
      <c r="BX816" s="23"/>
      <c r="BY816" s="23"/>
      <c r="BZ816" s="23"/>
      <c r="CA816" s="23"/>
      <c r="CB816" s="23"/>
      <c r="CC816" s="23"/>
      <c r="CD816" s="23"/>
      <c r="CE816" s="23"/>
      <c r="CF816" s="23"/>
      <c r="CG816" s="23"/>
      <c r="CH816" s="23"/>
      <c r="CI816" s="23"/>
      <c r="CJ816" s="23"/>
      <c r="CK816" s="23"/>
      <c r="CL816" s="23"/>
      <c r="CM816" s="23"/>
      <c r="CN816" s="23"/>
      <c r="CO816" s="23"/>
      <c r="CP816" s="23"/>
      <c r="CQ816" s="23"/>
      <c r="CR816" s="23"/>
      <c r="CS816" s="23"/>
      <c r="CT816" s="23"/>
      <c r="CU816" s="23"/>
      <c r="CV816" s="23"/>
      <c r="CW816" s="23"/>
      <c r="CX816" s="23"/>
      <c r="CY816" s="23"/>
      <c r="CZ816" s="23"/>
      <c r="DA816" s="23"/>
      <c r="DB816" s="23"/>
      <c r="DC816" s="23"/>
      <c r="DD816" s="23"/>
      <c r="DE816" s="23"/>
      <c r="DF816" s="23"/>
      <c r="DG816" s="23"/>
      <c r="DH816" s="23"/>
      <c r="DI816" s="23"/>
      <c r="DJ816" s="23"/>
      <c r="DK816" s="23"/>
      <c r="DL816" s="23"/>
      <c r="DM816" s="23"/>
      <c r="DN816" s="23"/>
      <c r="DO816" s="23"/>
      <c r="DP816" s="23"/>
      <c r="DQ816" s="23"/>
      <c r="DR816" s="23"/>
      <c r="DS816" s="23"/>
      <c r="DT816" s="23"/>
      <c r="DU816" s="23"/>
      <c r="DV816" s="23"/>
      <c r="DW816" s="23"/>
      <c r="DX816" s="23"/>
      <c r="DY816" s="23"/>
      <c r="DZ816" s="23"/>
      <c r="EA816" s="23"/>
      <c r="EB816" s="23"/>
      <c r="EC816" s="23"/>
      <c r="ED816" s="23"/>
      <c r="EE816" s="23"/>
      <c r="EF816" s="23"/>
      <c r="EG816" s="23"/>
      <c r="EH816" s="23"/>
      <c r="EI816" s="23"/>
      <c r="EJ816" s="23"/>
      <c r="EK816" s="23"/>
      <c r="EL816" s="23"/>
      <c r="EM816" s="23"/>
      <c r="EN816" s="23"/>
      <c r="EO816" s="23"/>
      <c r="EP816" s="23"/>
      <c r="EQ816" s="23"/>
      <c r="ER816" s="23"/>
      <c r="ES816" s="23"/>
      <c r="ET816" s="23"/>
      <c r="EU816" s="23"/>
      <c r="EV816" s="23"/>
      <c r="EW816" s="23"/>
      <c r="EX816" s="23"/>
      <c r="EY816" s="23"/>
      <c r="EZ816" s="23"/>
      <c r="FA816" s="23"/>
      <c r="FB816" s="23"/>
      <c r="FC816" s="23"/>
      <c r="FD816" s="23"/>
      <c r="FE816" s="23"/>
      <c r="FF816" s="23"/>
      <c r="FG816" s="23"/>
      <c r="FH816" s="23"/>
      <c r="FI816" s="23"/>
      <c r="FJ816" s="23"/>
      <c r="FK816" s="23"/>
      <c r="FL816" s="23"/>
      <c r="FM816" s="23"/>
      <c r="FN816" s="23"/>
      <c r="FO816" s="23"/>
      <c r="FP816" s="23"/>
      <c r="FQ816" s="23"/>
      <c r="FR816" s="23"/>
      <c r="FS816" s="23"/>
      <c r="FT816" s="23"/>
      <c r="FU816" s="23"/>
      <c r="FV816" s="23"/>
      <c r="FW816" s="23"/>
      <c r="FX816" s="23"/>
      <c r="FY816" s="23"/>
      <c r="FZ816" s="23"/>
      <c r="GA816" s="23"/>
      <c r="GB816" s="23"/>
      <c r="GC816" s="23"/>
      <c r="GD816" s="23"/>
      <c r="GE816" s="23"/>
      <c r="GF816" s="23"/>
      <c r="GG816" s="23"/>
      <c r="GH816" s="23"/>
      <c r="GI816" s="23"/>
      <c r="GJ816" s="23"/>
      <c r="GK816" s="23"/>
      <c r="GL816" s="23"/>
    </row>
    <row r="817" spans="1:194" ht="13">
      <c r="A817" s="23"/>
      <c r="B817" s="23"/>
      <c r="C817" s="23"/>
      <c r="D817" s="23"/>
      <c r="E817" s="23"/>
      <c r="F817" s="23"/>
      <c r="G817" s="23"/>
      <c r="H817" s="401"/>
      <c r="I817" s="401"/>
      <c r="J817" s="401"/>
      <c r="K817" s="401"/>
      <c r="L817" s="401"/>
      <c r="M817" s="438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  <c r="AL817" s="23"/>
      <c r="AM817" s="23"/>
      <c r="AN817" s="23"/>
      <c r="AO817" s="23"/>
      <c r="AP817" s="23"/>
      <c r="AQ817" s="23"/>
      <c r="AR817" s="23"/>
      <c r="AS817" s="23"/>
      <c r="AT817" s="23"/>
      <c r="AU817" s="23"/>
      <c r="AV817" s="23"/>
      <c r="AW817" s="23"/>
      <c r="AX817" s="23"/>
      <c r="AY817" s="23"/>
      <c r="AZ817" s="23"/>
      <c r="BA817" s="23"/>
      <c r="BB817" s="23"/>
      <c r="BC817" s="23"/>
      <c r="BD817" s="23"/>
      <c r="BE817" s="23"/>
      <c r="BF817" s="23"/>
      <c r="BG817" s="23"/>
      <c r="BH817" s="23"/>
      <c r="BI817" s="23"/>
      <c r="BJ817" s="23"/>
      <c r="BK817" s="23"/>
      <c r="BL817" s="23"/>
      <c r="BM817" s="23"/>
      <c r="BN817" s="23"/>
      <c r="BO817" s="23"/>
      <c r="BP817" s="23"/>
      <c r="BQ817" s="23"/>
      <c r="BR817" s="23"/>
      <c r="BS817" s="23"/>
      <c r="BT817" s="23"/>
      <c r="BU817" s="23"/>
      <c r="BV817" s="23"/>
      <c r="BW817" s="23"/>
      <c r="BX817" s="23"/>
      <c r="BY817" s="23"/>
      <c r="BZ817" s="23"/>
      <c r="CA817" s="23"/>
      <c r="CB817" s="23"/>
      <c r="CC817" s="23"/>
      <c r="CD817" s="23"/>
      <c r="CE817" s="23"/>
      <c r="CF817" s="23"/>
      <c r="CG817" s="23"/>
      <c r="CH817" s="23"/>
      <c r="CI817" s="23"/>
      <c r="CJ817" s="23"/>
      <c r="CK817" s="23"/>
      <c r="CL817" s="23"/>
      <c r="CM817" s="23"/>
      <c r="CN817" s="23"/>
      <c r="CO817" s="23"/>
      <c r="CP817" s="23"/>
      <c r="CQ817" s="23"/>
      <c r="CR817" s="23"/>
      <c r="CS817" s="23"/>
      <c r="CT817" s="23"/>
      <c r="CU817" s="23"/>
      <c r="CV817" s="23"/>
      <c r="CW817" s="23"/>
      <c r="CX817" s="23"/>
      <c r="CY817" s="23"/>
      <c r="CZ817" s="23"/>
      <c r="DA817" s="23"/>
      <c r="DB817" s="23"/>
      <c r="DC817" s="23"/>
      <c r="DD817" s="23"/>
      <c r="DE817" s="23"/>
      <c r="DF817" s="23"/>
      <c r="DG817" s="23"/>
      <c r="DH817" s="23"/>
      <c r="DI817" s="23"/>
      <c r="DJ817" s="23"/>
      <c r="DK817" s="23"/>
      <c r="DL817" s="23"/>
      <c r="DM817" s="23"/>
      <c r="DN817" s="23"/>
      <c r="DO817" s="23"/>
      <c r="DP817" s="23"/>
      <c r="DQ817" s="23"/>
      <c r="DR817" s="23"/>
      <c r="DS817" s="23"/>
      <c r="DT817" s="23"/>
      <c r="DU817" s="23"/>
      <c r="DV817" s="23"/>
      <c r="DW817" s="23"/>
      <c r="DX817" s="23"/>
      <c r="DY817" s="23"/>
      <c r="DZ817" s="23"/>
      <c r="EA817" s="23"/>
      <c r="EB817" s="23"/>
      <c r="EC817" s="23"/>
      <c r="ED817" s="23"/>
      <c r="EE817" s="23"/>
      <c r="EF817" s="23"/>
      <c r="EG817" s="23"/>
      <c r="EH817" s="23"/>
      <c r="EI817" s="23"/>
      <c r="EJ817" s="23"/>
      <c r="EK817" s="23"/>
      <c r="EL817" s="23"/>
      <c r="EM817" s="23"/>
      <c r="EN817" s="23"/>
      <c r="EO817" s="23"/>
      <c r="EP817" s="23"/>
      <c r="EQ817" s="23"/>
      <c r="ER817" s="23"/>
      <c r="ES817" s="23"/>
      <c r="ET817" s="23"/>
      <c r="EU817" s="23"/>
      <c r="EV817" s="23"/>
      <c r="EW817" s="23"/>
      <c r="EX817" s="23"/>
      <c r="EY817" s="23"/>
      <c r="EZ817" s="23"/>
      <c r="FA817" s="23"/>
      <c r="FB817" s="23"/>
      <c r="FC817" s="23"/>
      <c r="FD817" s="23"/>
      <c r="FE817" s="23"/>
      <c r="FF817" s="23"/>
      <c r="FG817" s="23"/>
      <c r="FH817" s="23"/>
      <c r="FI817" s="23"/>
      <c r="FJ817" s="23"/>
      <c r="FK817" s="23"/>
      <c r="FL817" s="23"/>
      <c r="FM817" s="23"/>
      <c r="FN817" s="23"/>
      <c r="FO817" s="23"/>
      <c r="FP817" s="23"/>
      <c r="FQ817" s="23"/>
      <c r="FR817" s="23"/>
      <c r="FS817" s="23"/>
      <c r="FT817" s="23"/>
      <c r="FU817" s="23"/>
      <c r="FV817" s="23"/>
      <c r="FW817" s="23"/>
      <c r="FX817" s="23"/>
      <c r="FY817" s="23"/>
      <c r="FZ817" s="23"/>
      <c r="GA817" s="23"/>
      <c r="GB817" s="23"/>
      <c r="GC817" s="23"/>
      <c r="GD817" s="23"/>
      <c r="GE817" s="23"/>
      <c r="GF817" s="23"/>
      <c r="GG817" s="23"/>
      <c r="GH817" s="23"/>
      <c r="GI817" s="23"/>
      <c r="GJ817" s="23"/>
      <c r="GK817" s="23"/>
      <c r="GL817" s="23"/>
    </row>
    <row r="818" spans="1:194" ht="13">
      <c r="A818" s="23"/>
      <c r="B818" s="23"/>
      <c r="C818" s="23"/>
      <c r="D818" s="23"/>
      <c r="E818" s="23"/>
      <c r="F818" s="23"/>
      <c r="G818" s="23"/>
      <c r="H818" s="401"/>
      <c r="I818" s="401"/>
      <c r="J818" s="401"/>
      <c r="K818" s="401"/>
      <c r="L818" s="401"/>
      <c r="M818" s="438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  <c r="AL818" s="23"/>
      <c r="AM818" s="23"/>
      <c r="AN818" s="23"/>
      <c r="AO818" s="23"/>
      <c r="AP818" s="23"/>
      <c r="AQ818" s="23"/>
      <c r="AR818" s="23"/>
      <c r="AS818" s="23"/>
      <c r="AT818" s="23"/>
      <c r="AU818" s="23"/>
      <c r="AV818" s="23"/>
      <c r="AW818" s="23"/>
      <c r="AX818" s="23"/>
      <c r="AY818" s="23"/>
      <c r="AZ818" s="23"/>
      <c r="BA818" s="23"/>
      <c r="BB818" s="23"/>
      <c r="BC818" s="23"/>
      <c r="BD818" s="23"/>
      <c r="BE818" s="23"/>
      <c r="BF818" s="23"/>
      <c r="BG818" s="23"/>
      <c r="BH818" s="23"/>
      <c r="BI818" s="23"/>
      <c r="BJ818" s="23"/>
      <c r="BK818" s="23"/>
      <c r="BL818" s="23"/>
      <c r="BM818" s="23"/>
      <c r="BN818" s="23"/>
      <c r="BO818" s="23"/>
      <c r="BP818" s="23"/>
      <c r="BQ818" s="23"/>
      <c r="BR818" s="23"/>
      <c r="BS818" s="23"/>
      <c r="BT818" s="23"/>
      <c r="BU818" s="23"/>
      <c r="BV818" s="23"/>
      <c r="BW818" s="23"/>
      <c r="BX818" s="23"/>
      <c r="BY818" s="23"/>
      <c r="BZ818" s="23"/>
      <c r="CA818" s="23"/>
      <c r="CB818" s="23"/>
      <c r="CC818" s="23"/>
      <c r="CD818" s="23"/>
      <c r="CE818" s="23"/>
      <c r="CF818" s="23"/>
      <c r="CG818" s="23"/>
      <c r="CH818" s="23"/>
      <c r="CI818" s="23"/>
      <c r="CJ818" s="23"/>
      <c r="CK818" s="23"/>
      <c r="CL818" s="23"/>
      <c r="CM818" s="23"/>
      <c r="CN818" s="23"/>
      <c r="CO818" s="23"/>
      <c r="CP818" s="23"/>
      <c r="CQ818" s="23"/>
      <c r="CR818" s="23"/>
      <c r="CS818" s="23"/>
      <c r="CT818" s="23"/>
      <c r="CU818" s="23"/>
      <c r="CV818" s="23"/>
      <c r="CW818" s="23"/>
      <c r="CX818" s="23"/>
      <c r="CY818" s="23"/>
      <c r="CZ818" s="23"/>
      <c r="DA818" s="23"/>
      <c r="DB818" s="23"/>
      <c r="DC818" s="23"/>
      <c r="DD818" s="23"/>
      <c r="DE818" s="23"/>
      <c r="DF818" s="23"/>
      <c r="DG818" s="23"/>
      <c r="DH818" s="23"/>
      <c r="DI818" s="23"/>
      <c r="DJ818" s="23"/>
      <c r="DK818" s="23"/>
      <c r="DL818" s="23"/>
      <c r="DM818" s="23"/>
      <c r="DN818" s="23"/>
      <c r="DO818" s="23"/>
      <c r="DP818" s="23"/>
      <c r="DQ818" s="23"/>
      <c r="DR818" s="23"/>
      <c r="DS818" s="23"/>
      <c r="DT818" s="23"/>
      <c r="DU818" s="23"/>
      <c r="DV818" s="23"/>
      <c r="DW818" s="23"/>
      <c r="DX818" s="23"/>
      <c r="DY818" s="23"/>
      <c r="DZ818" s="23"/>
      <c r="EA818" s="23"/>
      <c r="EB818" s="23"/>
      <c r="EC818" s="23"/>
      <c r="ED818" s="23"/>
      <c r="EE818" s="23"/>
      <c r="EF818" s="23"/>
      <c r="EG818" s="23"/>
      <c r="EH818" s="23"/>
      <c r="EI818" s="23"/>
      <c r="EJ818" s="23"/>
      <c r="EK818" s="23"/>
      <c r="EL818" s="23"/>
      <c r="EM818" s="23"/>
      <c r="EN818" s="23"/>
      <c r="EO818" s="23"/>
      <c r="EP818" s="23"/>
      <c r="EQ818" s="23"/>
      <c r="ER818" s="23"/>
      <c r="ES818" s="23"/>
      <c r="ET818" s="23"/>
      <c r="EU818" s="23"/>
      <c r="EV818" s="23"/>
      <c r="EW818" s="23"/>
      <c r="EX818" s="23"/>
      <c r="EY818" s="23"/>
      <c r="EZ818" s="23"/>
      <c r="FA818" s="23"/>
      <c r="FB818" s="23"/>
      <c r="FC818" s="23"/>
      <c r="FD818" s="23"/>
      <c r="FE818" s="23"/>
      <c r="FF818" s="23"/>
      <c r="FG818" s="23"/>
      <c r="FH818" s="23"/>
      <c r="FI818" s="23"/>
      <c r="FJ818" s="23"/>
      <c r="FK818" s="23"/>
      <c r="FL818" s="23"/>
      <c r="FM818" s="23"/>
      <c r="FN818" s="23"/>
      <c r="FO818" s="23"/>
      <c r="FP818" s="23"/>
      <c r="FQ818" s="23"/>
      <c r="FR818" s="23"/>
      <c r="FS818" s="23"/>
      <c r="FT818" s="23"/>
      <c r="FU818" s="23"/>
      <c r="FV818" s="23"/>
      <c r="FW818" s="23"/>
      <c r="FX818" s="23"/>
      <c r="FY818" s="23"/>
      <c r="FZ818" s="23"/>
      <c r="GA818" s="23"/>
      <c r="GB818" s="23"/>
      <c r="GC818" s="23"/>
      <c r="GD818" s="23"/>
      <c r="GE818" s="23"/>
      <c r="GF818" s="23"/>
      <c r="GG818" s="23"/>
      <c r="GH818" s="23"/>
      <c r="GI818" s="23"/>
      <c r="GJ818" s="23"/>
      <c r="GK818" s="23"/>
      <c r="GL818" s="23"/>
    </row>
    <row r="819" spans="1:194" ht="13">
      <c r="A819" s="23"/>
      <c r="B819" s="23"/>
      <c r="C819" s="23"/>
      <c r="D819" s="23"/>
      <c r="E819" s="23"/>
      <c r="F819" s="23"/>
      <c r="G819" s="23"/>
      <c r="H819" s="401"/>
      <c r="I819" s="401"/>
      <c r="J819" s="401"/>
      <c r="K819" s="401"/>
      <c r="L819" s="401"/>
      <c r="M819" s="438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  <c r="AL819" s="23"/>
      <c r="AM819" s="23"/>
      <c r="AN819" s="23"/>
      <c r="AO819" s="23"/>
      <c r="AP819" s="23"/>
      <c r="AQ819" s="23"/>
      <c r="AR819" s="23"/>
      <c r="AS819" s="23"/>
      <c r="AT819" s="23"/>
      <c r="AU819" s="23"/>
      <c r="AV819" s="23"/>
      <c r="AW819" s="23"/>
      <c r="AX819" s="23"/>
      <c r="AY819" s="23"/>
      <c r="AZ819" s="23"/>
      <c r="BA819" s="23"/>
      <c r="BB819" s="23"/>
      <c r="BC819" s="23"/>
      <c r="BD819" s="23"/>
      <c r="BE819" s="23"/>
      <c r="BF819" s="23"/>
      <c r="BG819" s="23"/>
      <c r="BH819" s="23"/>
      <c r="BI819" s="23"/>
      <c r="BJ819" s="23"/>
      <c r="BK819" s="23"/>
      <c r="BL819" s="23"/>
      <c r="BM819" s="23"/>
      <c r="BN819" s="23"/>
      <c r="BO819" s="23"/>
      <c r="BP819" s="23"/>
      <c r="BQ819" s="23"/>
      <c r="BR819" s="23"/>
      <c r="BS819" s="23"/>
      <c r="BT819" s="23"/>
      <c r="BU819" s="23"/>
      <c r="BV819" s="23"/>
      <c r="BW819" s="23"/>
      <c r="BX819" s="23"/>
      <c r="BY819" s="23"/>
      <c r="BZ819" s="23"/>
      <c r="CA819" s="23"/>
      <c r="CB819" s="23"/>
      <c r="CC819" s="23"/>
      <c r="CD819" s="23"/>
      <c r="CE819" s="23"/>
      <c r="CF819" s="23"/>
      <c r="CG819" s="23"/>
      <c r="CH819" s="23"/>
      <c r="CI819" s="23"/>
      <c r="CJ819" s="23"/>
      <c r="CK819" s="23"/>
      <c r="CL819" s="23"/>
      <c r="CM819" s="23"/>
      <c r="CN819" s="23"/>
      <c r="CO819" s="23"/>
      <c r="CP819" s="23"/>
      <c r="CQ819" s="23"/>
      <c r="CR819" s="23"/>
      <c r="CS819" s="23"/>
      <c r="CT819" s="23"/>
      <c r="CU819" s="23"/>
      <c r="CV819" s="23"/>
      <c r="CW819" s="23"/>
      <c r="CX819" s="23"/>
      <c r="CY819" s="23"/>
      <c r="CZ819" s="23"/>
      <c r="DA819" s="23"/>
      <c r="DB819" s="23"/>
      <c r="DC819" s="23"/>
      <c r="DD819" s="23"/>
      <c r="DE819" s="23"/>
      <c r="DF819" s="23"/>
      <c r="DG819" s="23"/>
      <c r="DH819" s="23"/>
      <c r="DI819" s="23"/>
      <c r="DJ819" s="23"/>
      <c r="DK819" s="23"/>
      <c r="DL819" s="23"/>
      <c r="DM819" s="23"/>
      <c r="DN819" s="23"/>
      <c r="DO819" s="23"/>
      <c r="DP819" s="23"/>
      <c r="DQ819" s="23"/>
      <c r="DR819" s="23"/>
      <c r="DS819" s="23"/>
      <c r="DT819" s="23"/>
      <c r="DU819" s="23"/>
      <c r="DV819" s="23"/>
      <c r="DW819" s="23"/>
      <c r="DX819" s="23"/>
      <c r="DY819" s="23"/>
      <c r="DZ819" s="23"/>
      <c r="EA819" s="23"/>
      <c r="EB819" s="23"/>
      <c r="EC819" s="23"/>
      <c r="ED819" s="23"/>
      <c r="EE819" s="23"/>
      <c r="EF819" s="23"/>
      <c r="EG819" s="23"/>
      <c r="EH819" s="23"/>
      <c r="EI819" s="23"/>
      <c r="EJ819" s="23"/>
      <c r="EK819" s="23"/>
      <c r="EL819" s="23"/>
      <c r="EM819" s="23"/>
      <c r="EN819" s="23"/>
      <c r="EO819" s="23"/>
      <c r="EP819" s="23"/>
      <c r="EQ819" s="23"/>
      <c r="ER819" s="23"/>
      <c r="ES819" s="23"/>
      <c r="ET819" s="23"/>
      <c r="EU819" s="23"/>
      <c r="EV819" s="23"/>
      <c r="EW819" s="23"/>
      <c r="EX819" s="23"/>
      <c r="EY819" s="23"/>
      <c r="EZ819" s="23"/>
      <c r="FA819" s="23"/>
      <c r="FB819" s="23"/>
      <c r="FC819" s="23"/>
      <c r="FD819" s="23"/>
      <c r="FE819" s="23"/>
      <c r="FF819" s="23"/>
      <c r="FG819" s="23"/>
      <c r="FH819" s="23"/>
      <c r="FI819" s="23"/>
      <c r="FJ819" s="23"/>
      <c r="FK819" s="23"/>
      <c r="FL819" s="23"/>
      <c r="FM819" s="23"/>
      <c r="FN819" s="23"/>
      <c r="FO819" s="23"/>
      <c r="FP819" s="23"/>
      <c r="FQ819" s="23"/>
      <c r="FR819" s="23"/>
      <c r="FS819" s="23"/>
      <c r="FT819" s="23"/>
      <c r="FU819" s="23"/>
      <c r="FV819" s="23"/>
      <c r="FW819" s="23"/>
      <c r="FX819" s="23"/>
      <c r="FY819" s="23"/>
      <c r="FZ819" s="23"/>
      <c r="GA819" s="23"/>
      <c r="GB819" s="23"/>
      <c r="GC819" s="23"/>
      <c r="GD819" s="23"/>
      <c r="GE819" s="23"/>
      <c r="GF819" s="23"/>
      <c r="GG819" s="23"/>
      <c r="GH819" s="23"/>
      <c r="GI819" s="23"/>
      <c r="GJ819" s="23"/>
      <c r="GK819" s="23"/>
      <c r="GL819" s="23"/>
    </row>
    <row r="820" spans="1:194" ht="13">
      <c r="A820" s="23"/>
      <c r="B820" s="23"/>
      <c r="C820" s="23"/>
      <c r="D820" s="23"/>
      <c r="E820" s="23"/>
      <c r="F820" s="23"/>
      <c r="G820" s="23"/>
      <c r="H820" s="401"/>
      <c r="I820" s="401"/>
      <c r="J820" s="401"/>
      <c r="K820" s="401"/>
      <c r="L820" s="401"/>
      <c r="M820" s="438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  <c r="AL820" s="23"/>
      <c r="AM820" s="23"/>
      <c r="AN820" s="23"/>
      <c r="AO820" s="23"/>
      <c r="AP820" s="23"/>
      <c r="AQ820" s="23"/>
      <c r="AR820" s="23"/>
      <c r="AS820" s="23"/>
      <c r="AT820" s="23"/>
      <c r="AU820" s="23"/>
      <c r="AV820" s="23"/>
      <c r="AW820" s="23"/>
      <c r="AX820" s="23"/>
      <c r="AY820" s="23"/>
      <c r="AZ820" s="23"/>
      <c r="BA820" s="23"/>
      <c r="BB820" s="23"/>
      <c r="BC820" s="23"/>
      <c r="BD820" s="23"/>
      <c r="BE820" s="23"/>
      <c r="BF820" s="23"/>
      <c r="BG820" s="23"/>
      <c r="BH820" s="23"/>
      <c r="BI820" s="23"/>
      <c r="BJ820" s="23"/>
      <c r="BK820" s="23"/>
      <c r="BL820" s="23"/>
      <c r="BM820" s="23"/>
      <c r="BN820" s="23"/>
      <c r="BO820" s="23"/>
      <c r="BP820" s="23"/>
      <c r="BQ820" s="23"/>
      <c r="BR820" s="23"/>
      <c r="BS820" s="23"/>
      <c r="BT820" s="23"/>
      <c r="BU820" s="23"/>
      <c r="BV820" s="23"/>
      <c r="BW820" s="23"/>
      <c r="BX820" s="23"/>
      <c r="BY820" s="23"/>
      <c r="BZ820" s="23"/>
      <c r="CA820" s="23"/>
      <c r="CB820" s="23"/>
      <c r="CC820" s="23"/>
      <c r="CD820" s="23"/>
      <c r="CE820" s="23"/>
      <c r="CF820" s="23"/>
      <c r="CG820" s="23"/>
      <c r="CH820" s="23"/>
      <c r="CI820" s="23"/>
      <c r="CJ820" s="23"/>
      <c r="CK820" s="23"/>
      <c r="CL820" s="23"/>
      <c r="CM820" s="23"/>
      <c r="CN820" s="23"/>
      <c r="CO820" s="23"/>
      <c r="CP820" s="23"/>
      <c r="CQ820" s="23"/>
      <c r="CR820" s="23"/>
      <c r="CS820" s="23"/>
      <c r="CT820" s="23"/>
      <c r="CU820" s="23"/>
      <c r="CV820" s="23"/>
      <c r="CW820" s="23"/>
      <c r="CX820" s="23"/>
      <c r="CY820" s="23"/>
      <c r="CZ820" s="23"/>
      <c r="DA820" s="23"/>
      <c r="DB820" s="23"/>
      <c r="DC820" s="23"/>
      <c r="DD820" s="23"/>
      <c r="DE820" s="23"/>
      <c r="DF820" s="23"/>
      <c r="DG820" s="23"/>
      <c r="DH820" s="23"/>
      <c r="DI820" s="23"/>
      <c r="DJ820" s="23"/>
      <c r="DK820" s="23"/>
      <c r="DL820" s="23"/>
      <c r="DM820" s="23"/>
      <c r="DN820" s="23"/>
      <c r="DO820" s="23"/>
      <c r="DP820" s="23"/>
      <c r="DQ820" s="23"/>
      <c r="DR820" s="23"/>
      <c r="DS820" s="23"/>
      <c r="DT820" s="23"/>
      <c r="DU820" s="23"/>
      <c r="DV820" s="23"/>
      <c r="DW820" s="23"/>
      <c r="DX820" s="23"/>
      <c r="DY820" s="23"/>
      <c r="DZ820" s="23"/>
      <c r="EA820" s="23"/>
      <c r="EB820" s="23"/>
      <c r="EC820" s="23"/>
      <c r="ED820" s="23"/>
      <c r="EE820" s="23"/>
      <c r="EF820" s="23"/>
      <c r="EG820" s="23"/>
      <c r="EH820" s="23"/>
      <c r="EI820" s="23"/>
      <c r="EJ820" s="23"/>
      <c r="EK820" s="23"/>
      <c r="EL820" s="23"/>
      <c r="EM820" s="23"/>
      <c r="EN820" s="23"/>
      <c r="EO820" s="23"/>
      <c r="EP820" s="23"/>
      <c r="EQ820" s="23"/>
      <c r="ER820" s="23"/>
      <c r="ES820" s="23"/>
      <c r="ET820" s="23"/>
      <c r="EU820" s="23"/>
      <c r="EV820" s="23"/>
      <c r="EW820" s="23"/>
      <c r="EX820" s="23"/>
      <c r="EY820" s="23"/>
      <c r="EZ820" s="23"/>
      <c r="FA820" s="23"/>
      <c r="FB820" s="23"/>
      <c r="FC820" s="23"/>
      <c r="FD820" s="23"/>
      <c r="FE820" s="23"/>
      <c r="FF820" s="23"/>
      <c r="FG820" s="23"/>
      <c r="FH820" s="23"/>
      <c r="FI820" s="23"/>
      <c r="FJ820" s="23"/>
      <c r="FK820" s="23"/>
      <c r="FL820" s="23"/>
      <c r="FM820" s="23"/>
      <c r="FN820" s="23"/>
      <c r="FO820" s="23"/>
      <c r="FP820" s="23"/>
      <c r="FQ820" s="23"/>
      <c r="FR820" s="23"/>
      <c r="FS820" s="23"/>
      <c r="FT820" s="23"/>
      <c r="FU820" s="23"/>
      <c r="FV820" s="23"/>
      <c r="FW820" s="23"/>
      <c r="FX820" s="23"/>
      <c r="FY820" s="23"/>
      <c r="FZ820" s="23"/>
      <c r="GA820" s="23"/>
      <c r="GB820" s="23"/>
      <c r="GC820" s="23"/>
      <c r="GD820" s="23"/>
      <c r="GE820" s="23"/>
      <c r="GF820" s="23"/>
      <c r="GG820" s="23"/>
      <c r="GH820" s="23"/>
      <c r="GI820" s="23"/>
      <c r="GJ820" s="23"/>
      <c r="GK820" s="23"/>
      <c r="GL820" s="23"/>
    </row>
    <row r="821" spans="1:194" ht="13">
      <c r="A821" s="23"/>
      <c r="B821" s="23"/>
      <c r="C821" s="23"/>
      <c r="D821" s="23"/>
      <c r="E821" s="23"/>
      <c r="F821" s="23"/>
      <c r="G821" s="23"/>
      <c r="H821" s="401"/>
      <c r="I821" s="401"/>
      <c r="J821" s="401"/>
      <c r="K821" s="401"/>
      <c r="L821" s="401"/>
      <c r="M821" s="438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  <c r="AL821" s="23"/>
      <c r="AM821" s="23"/>
      <c r="AN821" s="23"/>
      <c r="AO821" s="23"/>
      <c r="AP821" s="23"/>
      <c r="AQ821" s="23"/>
      <c r="AR821" s="23"/>
      <c r="AS821" s="23"/>
      <c r="AT821" s="23"/>
      <c r="AU821" s="23"/>
      <c r="AV821" s="23"/>
      <c r="AW821" s="23"/>
      <c r="AX821" s="23"/>
      <c r="AY821" s="23"/>
      <c r="AZ821" s="23"/>
      <c r="BA821" s="23"/>
      <c r="BB821" s="23"/>
      <c r="BC821" s="23"/>
      <c r="BD821" s="23"/>
      <c r="BE821" s="23"/>
      <c r="BF821" s="23"/>
      <c r="BG821" s="23"/>
      <c r="BH821" s="23"/>
      <c r="BI821" s="23"/>
      <c r="BJ821" s="23"/>
      <c r="BK821" s="23"/>
      <c r="BL821" s="23"/>
      <c r="BM821" s="23"/>
      <c r="BN821" s="23"/>
      <c r="BO821" s="23"/>
      <c r="BP821" s="23"/>
      <c r="BQ821" s="23"/>
      <c r="BR821" s="23"/>
      <c r="BS821" s="23"/>
      <c r="BT821" s="23"/>
      <c r="BU821" s="23"/>
      <c r="BV821" s="23"/>
      <c r="BW821" s="23"/>
      <c r="BX821" s="23"/>
      <c r="BY821" s="23"/>
      <c r="BZ821" s="23"/>
      <c r="CA821" s="23"/>
      <c r="CB821" s="23"/>
      <c r="CC821" s="23"/>
      <c r="CD821" s="23"/>
      <c r="CE821" s="23"/>
      <c r="CF821" s="23"/>
      <c r="CG821" s="23"/>
      <c r="CH821" s="23"/>
      <c r="CI821" s="23"/>
      <c r="CJ821" s="23"/>
      <c r="CK821" s="23"/>
      <c r="CL821" s="23"/>
      <c r="CM821" s="23"/>
      <c r="CN821" s="23"/>
      <c r="CO821" s="23"/>
      <c r="CP821" s="23"/>
      <c r="CQ821" s="23"/>
      <c r="CR821" s="23"/>
      <c r="CS821" s="23"/>
      <c r="CT821" s="23"/>
      <c r="CU821" s="23"/>
      <c r="CV821" s="23"/>
      <c r="CW821" s="23"/>
      <c r="CX821" s="23"/>
      <c r="CY821" s="23"/>
      <c r="CZ821" s="23"/>
      <c r="DA821" s="23"/>
      <c r="DB821" s="23"/>
      <c r="DC821" s="23"/>
      <c r="DD821" s="23"/>
      <c r="DE821" s="23"/>
      <c r="DF821" s="23"/>
      <c r="DG821" s="23"/>
      <c r="DH821" s="23"/>
      <c r="DI821" s="23"/>
      <c r="DJ821" s="23"/>
      <c r="DK821" s="23"/>
      <c r="DL821" s="23"/>
      <c r="DM821" s="23"/>
      <c r="DN821" s="23"/>
      <c r="DO821" s="23"/>
      <c r="DP821" s="23"/>
      <c r="DQ821" s="23"/>
      <c r="DR821" s="23"/>
      <c r="DS821" s="23"/>
      <c r="DT821" s="23"/>
      <c r="DU821" s="23"/>
      <c r="DV821" s="23"/>
      <c r="DW821" s="23"/>
      <c r="DX821" s="23"/>
      <c r="DY821" s="23"/>
      <c r="DZ821" s="23"/>
      <c r="EA821" s="23"/>
      <c r="EB821" s="23"/>
      <c r="EC821" s="23"/>
      <c r="ED821" s="23"/>
      <c r="EE821" s="23"/>
      <c r="EF821" s="23"/>
      <c r="EG821" s="23"/>
      <c r="EH821" s="23"/>
      <c r="EI821" s="23"/>
      <c r="EJ821" s="23"/>
      <c r="EK821" s="23"/>
      <c r="EL821" s="23"/>
      <c r="EM821" s="23"/>
      <c r="EN821" s="23"/>
      <c r="EO821" s="23"/>
      <c r="EP821" s="23"/>
      <c r="EQ821" s="23"/>
      <c r="ER821" s="23"/>
      <c r="ES821" s="23"/>
      <c r="ET821" s="23"/>
      <c r="EU821" s="23"/>
      <c r="EV821" s="23"/>
      <c r="EW821" s="23"/>
      <c r="EX821" s="23"/>
      <c r="EY821" s="23"/>
      <c r="EZ821" s="23"/>
      <c r="FA821" s="23"/>
      <c r="FB821" s="23"/>
      <c r="FC821" s="23"/>
      <c r="FD821" s="23"/>
      <c r="FE821" s="23"/>
      <c r="FF821" s="23"/>
      <c r="FG821" s="23"/>
      <c r="FH821" s="23"/>
      <c r="FI821" s="23"/>
      <c r="FJ821" s="23"/>
      <c r="FK821" s="23"/>
      <c r="FL821" s="23"/>
      <c r="FM821" s="23"/>
      <c r="FN821" s="23"/>
      <c r="FO821" s="23"/>
      <c r="FP821" s="23"/>
      <c r="FQ821" s="23"/>
      <c r="FR821" s="23"/>
      <c r="FS821" s="23"/>
      <c r="FT821" s="23"/>
      <c r="FU821" s="23"/>
      <c r="FV821" s="23"/>
      <c r="FW821" s="23"/>
      <c r="FX821" s="23"/>
      <c r="FY821" s="23"/>
      <c r="FZ821" s="23"/>
      <c r="GA821" s="23"/>
      <c r="GB821" s="23"/>
      <c r="GC821" s="23"/>
      <c r="GD821" s="23"/>
      <c r="GE821" s="23"/>
      <c r="GF821" s="23"/>
      <c r="GG821" s="23"/>
      <c r="GH821" s="23"/>
      <c r="GI821" s="23"/>
      <c r="GJ821" s="23"/>
      <c r="GK821" s="23"/>
      <c r="GL821" s="23"/>
    </row>
    <row r="822" spans="1:194" ht="13">
      <c r="A822" s="23"/>
      <c r="B822" s="23"/>
      <c r="C822" s="23"/>
      <c r="D822" s="23"/>
      <c r="E822" s="23"/>
      <c r="F822" s="23"/>
      <c r="G822" s="23"/>
      <c r="H822" s="401"/>
      <c r="I822" s="401"/>
      <c r="J822" s="401"/>
      <c r="K822" s="401"/>
      <c r="L822" s="401"/>
      <c r="M822" s="438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  <c r="AL822" s="23"/>
      <c r="AM822" s="23"/>
      <c r="AN822" s="23"/>
      <c r="AO822" s="23"/>
      <c r="AP822" s="23"/>
      <c r="AQ822" s="23"/>
      <c r="AR822" s="23"/>
      <c r="AS822" s="23"/>
      <c r="AT822" s="23"/>
      <c r="AU822" s="23"/>
      <c r="AV822" s="23"/>
      <c r="AW822" s="23"/>
      <c r="AX822" s="23"/>
      <c r="AY822" s="23"/>
      <c r="AZ822" s="23"/>
      <c r="BA822" s="23"/>
      <c r="BB822" s="23"/>
      <c r="BC822" s="23"/>
      <c r="BD822" s="23"/>
      <c r="BE822" s="23"/>
      <c r="BF822" s="23"/>
      <c r="BG822" s="23"/>
      <c r="BH822" s="23"/>
      <c r="BI822" s="23"/>
      <c r="BJ822" s="23"/>
      <c r="BK822" s="23"/>
      <c r="BL822" s="23"/>
      <c r="BM822" s="23"/>
      <c r="BN822" s="23"/>
      <c r="BO822" s="23"/>
      <c r="BP822" s="23"/>
      <c r="BQ822" s="23"/>
      <c r="BR822" s="23"/>
      <c r="BS822" s="23"/>
      <c r="BT822" s="23"/>
      <c r="BU822" s="23"/>
      <c r="BV822" s="23"/>
      <c r="BW822" s="23"/>
      <c r="BX822" s="23"/>
      <c r="BY822" s="23"/>
      <c r="BZ822" s="23"/>
      <c r="CA822" s="23"/>
      <c r="CB822" s="23"/>
      <c r="CC822" s="23"/>
      <c r="CD822" s="23"/>
      <c r="CE822" s="23"/>
      <c r="CF822" s="23"/>
      <c r="CG822" s="23"/>
      <c r="CH822" s="23"/>
      <c r="CI822" s="23"/>
      <c r="CJ822" s="23"/>
      <c r="CK822" s="23"/>
      <c r="CL822" s="23"/>
      <c r="CM822" s="23"/>
      <c r="CN822" s="23"/>
      <c r="CO822" s="23"/>
      <c r="CP822" s="23"/>
      <c r="CQ822" s="23"/>
      <c r="CR822" s="23"/>
      <c r="CS822" s="23"/>
      <c r="CT822" s="23"/>
      <c r="CU822" s="23"/>
      <c r="CV822" s="23"/>
      <c r="CW822" s="23"/>
      <c r="CX822" s="23"/>
      <c r="CY822" s="23"/>
      <c r="CZ822" s="23"/>
      <c r="DA822" s="23"/>
      <c r="DB822" s="23"/>
      <c r="DC822" s="23"/>
      <c r="DD822" s="23"/>
      <c r="DE822" s="23"/>
      <c r="DF822" s="23"/>
      <c r="DG822" s="23"/>
      <c r="DH822" s="23"/>
      <c r="DI822" s="23"/>
      <c r="DJ822" s="23"/>
      <c r="DK822" s="23"/>
      <c r="DL822" s="23"/>
      <c r="DM822" s="23"/>
      <c r="DN822" s="23"/>
      <c r="DO822" s="23"/>
      <c r="DP822" s="23"/>
      <c r="DQ822" s="23"/>
      <c r="DR822" s="23"/>
      <c r="DS822" s="23"/>
      <c r="DT822" s="23"/>
      <c r="DU822" s="23"/>
      <c r="DV822" s="23"/>
      <c r="DW822" s="23"/>
      <c r="DX822" s="23"/>
      <c r="DY822" s="23"/>
      <c r="DZ822" s="23"/>
      <c r="EA822" s="23"/>
      <c r="EB822" s="23"/>
      <c r="EC822" s="23"/>
      <c r="ED822" s="23"/>
      <c r="EE822" s="23"/>
      <c r="EF822" s="23"/>
      <c r="EG822" s="23"/>
      <c r="EH822" s="23"/>
      <c r="EI822" s="23"/>
      <c r="EJ822" s="23"/>
      <c r="EK822" s="23"/>
      <c r="EL822" s="23"/>
      <c r="EM822" s="23"/>
      <c r="EN822" s="23"/>
      <c r="EO822" s="23"/>
      <c r="EP822" s="23"/>
      <c r="EQ822" s="23"/>
      <c r="ER822" s="23"/>
      <c r="ES822" s="23"/>
      <c r="ET822" s="23"/>
      <c r="EU822" s="23"/>
      <c r="EV822" s="23"/>
      <c r="EW822" s="23"/>
      <c r="EX822" s="23"/>
      <c r="EY822" s="23"/>
      <c r="EZ822" s="23"/>
      <c r="FA822" s="23"/>
      <c r="FB822" s="23"/>
      <c r="FC822" s="23"/>
      <c r="FD822" s="23"/>
      <c r="FE822" s="23"/>
      <c r="FF822" s="23"/>
      <c r="FG822" s="23"/>
      <c r="FH822" s="23"/>
      <c r="FI822" s="23"/>
      <c r="FJ822" s="23"/>
      <c r="FK822" s="23"/>
      <c r="FL822" s="23"/>
      <c r="FM822" s="23"/>
      <c r="FN822" s="23"/>
      <c r="FO822" s="23"/>
      <c r="FP822" s="23"/>
      <c r="FQ822" s="23"/>
      <c r="FR822" s="23"/>
      <c r="FS822" s="23"/>
      <c r="FT822" s="23"/>
      <c r="FU822" s="23"/>
      <c r="FV822" s="23"/>
      <c r="FW822" s="23"/>
      <c r="FX822" s="23"/>
      <c r="FY822" s="23"/>
      <c r="FZ822" s="23"/>
      <c r="GA822" s="23"/>
      <c r="GB822" s="23"/>
      <c r="GC822" s="23"/>
      <c r="GD822" s="23"/>
      <c r="GE822" s="23"/>
      <c r="GF822" s="23"/>
      <c r="GG822" s="23"/>
      <c r="GH822" s="23"/>
      <c r="GI822" s="23"/>
      <c r="GJ822" s="23"/>
      <c r="GK822" s="23"/>
      <c r="GL822" s="23"/>
    </row>
    <row r="823" spans="1:194" ht="13">
      <c r="A823" s="23"/>
      <c r="B823" s="23"/>
      <c r="C823" s="23"/>
      <c r="D823" s="23"/>
      <c r="E823" s="23"/>
      <c r="F823" s="23"/>
      <c r="G823" s="23"/>
      <c r="H823" s="401"/>
      <c r="I823" s="401"/>
      <c r="J823" s="401"/>
      <c r="K823" s="401"/>
      <c r="L823" s="401"/>
      <c r="M823" s="438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  <c r="AL823" s="23"/>
      <c r="AM823" s="23"/>
      <c r="AN823" s="23"/>
      <c r="AO823" s="23"/>
      <c r="AP823" s="23"/>
      <c r="AQ823" s="23"/>
      <c r="AR823" s="23"/>
      <c r="AS823" s="23"/>
      <c r="AT823" s="23"/>
      <c r="AU823" s="23"/>
      <c r="AV823" s="23"/>
      <c r="AW823" s="23"/>
      <c r="AX823" s="23"/>
      <c r="AY823" s="23"/>
      <c r="AZ823" s="23"/>
      <c r="BA823" s="23"/>
      <c r="BB823" s="23"/>
      <c r="BC823" s="23"/>
      <c r="BD823" s="23"/>
      <c r="BE823" s="23"/>
      <c r="BF823" s="23"/>
      <c r="BG823" s="23"/>
      <c r="BH823" s="23"/>
      <c r="BI823" s="23"/>
      <c r="BJ823" s="23"/>
      <c r="BK823" s="23"/>
      <c r="BL823" s="23"/>
      <c r="BM823" s="23"/>
      <c r="BN823" s="23"/>
      <c r="BO823" s="23"/>
      <c r="BP823" s="23"/>
      <c r="BQ823" s="23"/>
      <c r="BR823" s="23"/>
      <c r="BS823" s="23"/>
      <c r="BT823" s="23"/>
      <c r="BU823" s="23"/>
      <c r="BV823" s="23"/>
      <c r="BW823" s="23"/>
      <c r="BX823" s="23"/>
      <c r="BY823" s="23"/>
      <c r="BZ823" s="23"/>
      <c r="CA823" s="23"/>
      <c r="CB823" s="23"/>
      <c r="CC823" s="23"/>
      <c r="CD823" s="23"/>
      <c r="CE823" s="23"/>
      <c r="CF823" s="23"/>
      <c r="CG823" s="23"/>
      <c r="CH823" s="23"/>
      <c r="CI823" s="23"/>
      <c r="CJ823" s="23"/>
      <c r="CK823" s="23"/>
      <c r="CL823" s="23"/>
      <c r="CM823" s="23"/>
      <c r="CN823" s="23"/>
      <c r="CO823" s="23"/>
      <c r="CP823" s="23"/>
      <c r="CQ823" s="23"/>
      <c r="CR823" s="23"/>
      <c r="CS823" s="23"/>
      <c r="CT823" s="23"/>
      <c r="CU823" s="23"/>
      <c r="CV823" s="23"/>
      <c r="CW823" s="23"/>
      <c r="CX823" s="23"/>
      <c r="CY823" s="23"/>
      <c r="CZ823" s="23"/>
      <c r="DA823" s="23"/>
      <c r="DB823" s="23"/>
      <c r="DC823" s="23"/>
      <c r="DD823" s="23"/>
      <c r="DE823" s="23"/>
      <c r="DF823" s="23"/>
      <c r="DG823" s="23"/>
      <c r="DH823" s="23"/>
      <c r="DI823" s="23"/>
      <c r="DJ823" s="23"/>
      <c r="DK823" s="23"/>
      <c r="DL823" s="23"/>
      <c r="DM823" s="23"/>
      <c r="DN823" s="23"/>
      <c r="DO823" s="23"/>
      <c r="DP823" s="23"/>
      <c r="DQ823" s="23"/>
      <c r="DR823" s="23"/>
      <c r="DS823" s="23"/>
      <c r="DT823" s="23"/>
      <c r="DU823" s="23"/>
      <c r="DV823" s="23"/>
      <c r="DW823" s="23"/>
      <c r="DX823" s="23"/>
      <c r="DY823" s="23"/>
      <c r="DZ823" s="23"/>
      <c r="EA823" s="23"/>
      <c r="EB823" s="23"/>
      <c r="EC823" s="23"/>
      <c r="ED823" s="23"/>
      <c r="EE823" s="23"/>
      <c r="EF823" s="23"/>
      <c r="EG823" s="23"/>
      <c r="EH823" s="23"/>
      <c r="EI823" s="23"/>
      <c r="EJ823" s="23"/>
      <c r="EK823" s="23"/>
      <c r="EL823" s="23"/>
      <c r="EM823" s="23"/>
      <c r="EN823" s="23"/>
      <c r="EO823" s="23"/>
      <c r="EP823" s="23"/>
      <c r="EQ823" s="23"/>
      <c r="ER823" s="23"/>
      <c r="ES823" s="23"/>
      <c r="ET823" s="23"/>
      <c r="EU823" s="23"/>
      <c r="EV823" s="23"/>
      <c r="EW823" s="23"/>
      <c r="EX823" s="23"/>
      <c r="EY823" s="23"/>
      <c r="EZ823" s="23"/>
      <c r="FA823" s="23"/>
      <c r="FB823" s="23"/>
      <c r="FC823" s="23"/>
      <c r="FD823" s="23"/>
      <c r="FE823" s="23"/>
      <c r="FF823" s="23"/>
      <c r="FG823" s="23"/>
      <c r="FH823" s="23"/>
      <c r="FI823" s="23"/>
      <c r="FJ823" s="23"/>
      <c r="FK823" s="23"/>
      <c r="FL823" s="23"/>
      <c r="FM823" s="23"/>
      <c r="FN823" s="23"/>
      <c r="FO823" s="23"/>
      <c r="FP823" s="23"/>
      <c r="FQ823" s="23"/>
      <c r="FR823" s="23"/>
      <c r="FS823" s="23"/>
      <c r="FT823" s="23"/>
      <c r="FU823" s="23"/>
      <c r="FV823" s="23"/>
      <c r="FW823" s="23"/>
      <c r="FX823" s="23"/>
      <c r="FY823" s="23"/>
      <c r="FZ823" s="23"/>
      <c r="GA823" s="23"/>
      <c r="GB823" s="23"/>
      <c r="GC823" s="23"/>
      <c r="GD823" s="23"/>
      <c r="GE823" s="23"/>
      <c r="GF823" s="23"/>
      <c r="GG823" s="23"/>
      <c r="GH823" s="23"/>
      <c r="GI823" s="23"/>
      <c r="GJ823" s="23"/>
      <c r="GK823" s="23"/>
      <c r="GL823" s="23"/>
    </row>
    <row r="824" spans="1:194" ht="13">
      <c r="A824" s="23"/>
      <c r="B824" s="23"/>
      <c r="C824" s="23"/>
      <c r="D824" s="23"/>
      <c r="E824" s="23"/>
      <c r="F824" s="23"/>
      <c r="G824" s="23"/>
      <c r="H824" s="401"/>
      <c r="I824" s="401"/>
      <c r="J824" s="401"/>
      <c r="K824" s="401"/>
      <c r="L824" s="401"/>
      <c r="M824" s="438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  <c r="AL824" s="23"/>
      <c r="AM824" s="23"/>
      <c r="AN824" s="23"/>
      <c r="AO824" s="23"/>
      <c r="AP824" s="23"/>
      <c r="AQ824" s="23"/>
      <c r="AR824" s="23"/>
      <c r="AS824" s="23"/>
      <c r="AT824" s="23"/>
      <c r="AU824" s="23"/>
      <c r="AV824" s="23"/>
      <c r="AW824" s="23"/>
      <c r="AX824" s="23"/>
      <c r="AY824" s="23"/>
      <c r="AZ824" s="23"/>
      <c r="BA824" s="23"/>
      <c r="BB824" s="23"/>
      <c r="BC824" s="23"/>
      <c r="BD824" s="23"/>
      <c r="BE824" s="23"/>
      <c r="BF824" s="23"/>
      <c r="BG824" s="23"/>
      <c r="BH824" s="23"/>
      <c r="BI824" s="23"/>
      <c r="BJ824" s="23"/>
      <c r="BK824" s="23"/>
      <c r="BL824" s="23"/>
      <c r="BM824" s="23"/>
      <c r="BN824" s="23"/>
      <c r="BO824" s="23"/>
      <c r="BP824" s="23"/>
      <c r="BQ824" s="23"/>
      <c r="BR824" s="23"/>
      <c r="BS824" s="23"/>
      <c r="BT824" s="23"/>
      <c r="BU824" s="23"/>
      <c r="BV824" s="23"/>
      <c r="BW824" s="23"/>
      <c r="BX824" s="23"/>
      <c r="BY824" s="23"/>
      <c r="BZ824" s="23"/>
      <c r="CA824" s="23"/>
      <c r="CB824" s="23"/>
      <c r="CC824" s="23"/>
      <c r="CD824" s="23"/>
      <c r="CE824" s="23"/>
      <c r="CF824" s="23"/>
      <c r="CG824" s="23"/>
      <c r="CH824" s="23"/>
      <c r="CI824" s="23"/>
      <c r="CJ824" s="23"/>
      <c r="CK824" s="23"/>
      <c r="CL824" s="23"/>
      <c r="CM824" s="23"/>
      <c r="CN824" s="23"/>
      <c r="CO824" s="23"/>
      <c r="CP824" s="23"/>
      <c r="CQ824" s="23"/>
      <c r="CR824" s="23"/>
      <c r="CS824" s="23"/>
      <c r="CT824" s="23"/>
      <c r="CU824" s="23"/>
      <c r="CV824" s="23"/>
      <c r="CW824" s="23"/>
      <c r="CX824" s="23"/>
      <c r="CY824" s="23"/>
      <c r="CZ824" s="23"/>
      <c r="DA824" s="23"/>
      <c r="DB824" s="23"/>
      <c r="DC824" s="23"/>
      <c r="DD824" s="23"/>
      <c r="DE824" s="23"/>
      <c r="DF824" s="23"/>
      <c r="DG824" s="23"/>
      <c r="DH824" s="23"/>
      <c r="DI824" s="23"/>
      <c r="DJ824" s="23"/>
      <c r="DK824" s="23"/>
      <c r="DL824" s="23"/>
      <c r="DM824" s="23"/>
      <c r="DN824" s="23"/>
      <c r="DO824" s="23"/>
      <c r="DP824" s="23"/>
      <c r="DQ824" s="23"/>
      <c r="DR824" s="23"/>
      <c r="DS824" s="23"/>
      <c r="DT824" s="23"/>
      <c r="DU824" s="23"/>
      <c r="DV824" s="23"/>
      <c r="DW824" s="23"/>
      <c r="DX824" s="23"/>
      <c r="DY824" s="23"/>
      <c r="DZ824" s="23"/>
      <c r="EA824" s="23"/>
      <c r="EB824" s="23"/>
      <c r="EC824" s="23"/>
      <c r="ED824" s="23"/>
      <c r="EE824" s="23"/>
      <c r="EF824" s="23"/>
      <c r="EG824" s="23"/>
      <c r="EH824" s="23"/>
      <c r="EI824" s="23"/>
      <c r="EJ824" s="23"/>
      <c r="EK824" s="23"/>
      <c r="EL824" s="23"/>
      <c r="EM824" s="23"/>
      <c r="EN824" s="23"/>
      <c r="EO824" s="23"/>
      <c r="EP824" s="23"/>
      <c r="EQ824" s="23"/>
      <c r="ER824" s="23"/>
      <c r="ES824" s="23"/>
      <c r="ET824" s="23"/>
      <c r="EU824" s="23"/>
      <c r="EV824" s="23"/>
      <c r="EW824" s="23"/>
      <c r="EX824" s="23"/>
      <c r="EY824" s="23"/>
      <c r="EZ824" s="23"/>
      <c r="FA824" s="23"/>
      <c r="FB824" s="23"/>
      <c r="FC824" s="23"/>
      <c r="FD824" s="23"/>
      <c r="FE824" s="23"/>
      <c r="FF824" s="23"/>
      <c r="FG824" s="23"/>
      <c r="FH824" s="23"/>
      <c r="FI824" s="23"/>
      <c r="FJ824" s="23"/>
      <c r="FK824" s="23"/>
      <c r="FL824" s="23"/>
      <c r="FM824" s="23"/>
      <c r="FN824" s="23"/>
      <c r="FO824" s="23"/>
      <c r="FP824" s="23"/>
      <c r="FQ824" s="23"/>
      <c r="FR824" s="23"/>
      <c r="FS824" s="23"/>
      <c r="FT824" s="23"/>
      <c r="FU824" s="23"/>
      <c r="FV824" s="23"/>
      <c r="FW824" s="23"/>
      <c r="FX824" s="23"/>
      <c r="FY824" s="23"/>
      <c r="FZ824" s="23"/>
      <c r="GA824" s="23"/>
      <c r="GB824" s="23"/>
      <c r="GC824" s="23"/>
      <c r="GD824" s="23"/>
      <c r="GE824" s="23"/>
      <c r="GF824" s="23"/>
      <c r="GG824" s="23"/>
      <c r="GH824" s="23"/>
      <c r="GI824" s="23"/>
      <c r="GJ824" s="23"/>
      <c r="GK824" s="23"/>
      <c r="GL824" s="23"/>
    </row>
    <row r="825" spans="1:194" ht="13">
      <c r="A825" s="23"/>
      <c r="B825" s="23"/>
      <c r="C825" s="23"/>
      <c r="D825" s="23"/>
      <c r="E825" s="23"/>
      <c r="F825" s="23"/>
      <c r="G825" s="23"/>
      <c r="H825" s="401"/>
      <c r="I825" s="401"/>
      <c r="J825" s="401"/>
      <c r="K825" s="401"/>
      <c r="L825" s="401"/>
      <c r="M825" s="438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  <c r="AL825" s="23"/>
      <c r="AM825" s="23"/>
      <c r="AN825" s="23"/>
      <c r="AO825" s="23"/>
      <c r="AP825" s="23"/>
      <c r="AQ825" s="23"/>
      <c r="AR825" s="23"/>
      <c r="AS825" s="23"/>
      <c r="AT825" s="23"/>
      <c r="AU825" s="23"/>
      <c r="AV825" s="23"/>
      <c r="AW825" s="23"/>
      <c r="AX825" s="23"/>
      <c r="AY825" s="23"/>
      <c r="AZ825" s="23"/>
      <c r="BA825" s="23"/>
      <c r="BB825" s="23"/>
      <c r="BC825" s="23"/>
      <c r="BD825" s="23"/>
      <c r="BE825" s="23"/>
      <c r="BF825" s="23"/>
      <c r="BG825" s="23"/>
      <c r="BH825" s="23"/>
      <c r="BI825" s="23"/>
      <c r="BJ825" s="23"/>
      <c r="BK825" s="23"/>
      <c r="BL825" s="23"/>
      <c r="BM825" s="23"/>
      <c r="BN825" s="23"/>
      <c r="BO825" s="23"/>
      <c r="BP825" s="23"/>
      <c r="BQ825" s="23"/>
      <c r="BR825" s="23"/>
      <c r="BS825" s="23"/>
      <c r="BT825" s="23"/>
      <c r="BU825" s="23"/>
      <c r="BV825" s="23"/>
      <c r="BW825" s="23"/>
      <c r="BX825" s="23"/>
      <c r="BY825" s="23"/>
      <c r="BZ825" s="23"/>
      <c r="CA825" s="23"/>
      <c r="CB825" s="23"/>
      <c r="CC825" s="23"/>
      <c r="CD825" s="23"/>
      <c r="CE825" s="23"/>
      <c r="CF825" s="23"/>
      <c r="CG825" s="23"/>
      <c r="CH825" s="23"/>
      <c r="CI825" s="23"/>
      <c r="CJ825" s="23"/>
      <c r="CK825" s="23"/>
      <c r="CL825" s="23"/>
      <c r="CM825" s="23"/>
      <c r="CN825" s="23"/>
      <c r="CO825" s="23"/>
      <c r="CP825" s="23"/>
      <c r="CQ825" s="23"/>
      <c r="CR825" s="23"/>
      <c r="CS825" s="23"/>
      <c r="CT825" s="23"/>
      <c r="CU825" s="23"/>
      <c r="CV825" s="23"/>
      <c r="CW825" s="23"/>
      <c r="CX825" s="23"/>
      <c r="CY825" s="23"/>
      <c r="CZ825" s="23"/>
      <c r="DA825" s="23"/>
      <c r="DB825" s="23"/>
      <c r="DC825" s="23"/>
      <c r="DD825" s="23"/>
      <c r="DE825" s="23"/>
      <c r="DF825" s="23"/>
      <c r="DG825" s="23"/>
      <c r="DH825" s="23"/>
      <c r="DI825" s="23"/>
      <c r="DJ825" s="23"/>
      <c r="DK825" s="23"/>
      <c r="DL825" s="23"/>
      <c r="DM825" s="23"/>
      <c r="DN825" s="23"/>
      <c r="DO825" s="23"/>
      <c r="DP825" s="23"/>
      <c r="DQ825" s="23"/>
      <c r="DR825" s="23"/>
      <c r="DS825" s="23"/>
      <c r="DT825" s="23"/>
      <c r="DU825" s="23"/>
      <c r="DV825" s="23"/>
      <c r="DW825" s="23"/>
      <c r="DX825" s="23"/>
      <c r="DY825" s="23"/>
      <c r="DZ825" s="23"/>
      <c r="EA825" s="23"/>
      <c r="EB825" s="23"/>
      <c r="EC825" s="23"/>
      <c r="ED825" s="23"/>
      <c r="EE825" s="23"/>
      <c r="EF825" s="23"/>
      <c r="EG825" s="23"/>
      <c r="EH825" s="23"/>
      <c r="EI825" s="23"/>
      <c r="EJ825" s="23"/>
      <c r="EK825" s="23"/>
      <c r="EL825" s="23"/>
      <c r="EM825" s="23"/>
      <c r="EN825" s="23"/>
      <c r="EO825" s="23"/>
      <c r="EP825" s="23"/>
      <c r="EQ825" s="23"/>
      <c r="ER825" s="23"/>
      <c r="ES825" s="23"/>
      <c r="ET825" s="23"/>
      <c r="EU825" s="23"/>
      <c r="EV825" s="23"/>
      <c r="EW825" s="23"/>
      <c r="EX825" s="23"/>
      <c r="EY825" s="23"/>
      <c r="EZ825" s="23"/>
      <c r="FA825" s="23"/>
      <c r="FB825" s="23"/>
      <c r="FC825" s="23"/>
      <c r="FD825" s="23"/>
      <c r="FE825" s="23"/>
      <c r="FF825" s="23"/>
      <c r="FG825" s="23"/>
      <c r="FH825" s="23"/>
      <c r="FI825" s="23"/>
      <c r="FJ825" s="23"/>
      <c r="FK825" s="23"/>
      <c r="FL825" s="23"/>
      <c r="FM825" s="23"/>
      <c r="FN825" s="23"/>
      <c r="FO825" s="23"/>
      <c r="FP825" s="23"/>
      <c r="FQ825" s="23"/>
      <c r="FR825" s="23"/>
      <c r="FS825" s="23"/>
      <c r="FT825" s="23"/>
      <c r="FU825" s="23"/>
      <c r="FV825" s="23"/>
      <c r="FW825" s="23"/>
      <c r="FX825" s="23"/>
      <c r="FY825" s="23"/>
      <c r="FZ825" s="23"/>
      <c r="GA825" s="23"/>
      <c r="GB825" s="23"/>
      <c r="GC825" s="23"/>
      <c r="GD825" s="23"/>
      <c r="GE825" s="23"/>
      <c r="GF825" s="23"/>
      <c r="GG825" s="23"/>
      <c r="GH825" s="23"/>
      <c r="GI825" s="23"/>
      <c r="GJ825" s="23"/>
      <c r="GK825" s="23"/>
      <c r="GL825" s="23"/>
    </row>
    <row r="826" spans="1:194" ht="13">
      <c r="A826" s="23"/>
      <c r="B826" s="23"/>
      <c r="C826" s="23"/>
      <c r="D826" s="23"/>
      <c r="E826" s="23"/>
      <c r="F826" s="23"/>
      <c r="G826" s="23"/>
      <c r="H826" s="401"/>
      <c r="I826" s="401"/>
      <c r="J826" s="401"/>
      <c r="K826" s="401"/>
      <c r="L826" s="401"/>
      <c r="M826" s="438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  <c r="AL826" s="23"/>
      <c r="AM826" s="23"/>
      <c r="AN826" s="23"/>
      <c r="AO826" s="23"/>
      <c r="AP826" s="23"/>
      <c r="AQ826" s="23"/>
      <c r="AR826" s="23"/>
      <c r="AS826" s="23"/>
      <c r="AT826" s="23"/>
      <c r="AU826" s="23"/>
      <c r="AV826" s="23"/>
      <c r="AW826" s="23"/>
      <c r="AX826" s="23"/>
      <c r="AY826" s="23"/>
      <c r="AZ826" s="23"/>
      <c r="BA826" s="23"/>
      <c r="BB826" s="23"/>
      <c r="BC826" s="23"/>
      <c r="BD826" s="23"/>
      <c r="BE826" s="23"/>
      <c r="BF826" s="23"/>
      <c r="BG826" s="23"/>
      <c r="BH826" s="23"/>
      <c r="BI826" s="23"/>
      <c r="BJ826" s="23"/>
      <c r="BK826" s="23"/>
      <c r="BL826" s="23"/>
      <c r="BM826" s="23"/>
      <c r="BN826" s="23"/>
      <c r="BO826" s="23"/>
      <c r="BP826" s="23"/>
      <c r="BQ826" s="23"/>
      <c r="BR826" s="23"/>
      <c r="BS826" s="23"/>
      <c r="BT826" s="23"/>
      <c r="BU826" s="23"/>
      <c r="BV826" s="23"/>
      <c r="BW826" s="23"/>
      <c r="BX826" s="23"/>
      <c r="BY826" s="23"/>
      <c r="BZ826" s="23"/>
      <c r="CA826" s="23"/>
      <c r="CB826" s="23"/>
      <c r="CC826" s="23"/>
      <c r="CD826" s="23"/>
      <c r="CE826" s="23"/>
      <c r="CF826" s="23"/>
      <c r="CG826" s="23"/>
      <c r="CH826" s="23"/>
      <c r="CI826" s="23"/>
      <c r="CJ826" s="23"/>
      <c r="CK826" s="23"/>
      <c r="CL826" s="23"/>
      <c r="CM826" s="23"/>
      <c r="CN826" s="23"/>
      <c r="CO826" s="23"/>
      <c r="CP826" s="23"/>
      <c r="CQ826" s="23"/>
      <c r="CR826" s="23"/>
      <c r="CS826" s="23"/>
      <c r="CT826" s="23"/>
      <c r="CU826" s="23"/>
      <c r="CV826" s="23"/>
      <c r="CW826" s="23"/>
      <c r="CX826" s="23"/>
      <c r="CY826" s="23"/>
      <c r="CZ826" s="23"/>
      <c r="DA826" s="23"/>
      <c r="DB826" s="23"/>
      <c r="DC826" s="23"/>
      <c r="DD826" s="23"/>
      <c r="DE826" s="23"/>
      <c r="DF826" s="23"/>
      <c r="DG826" s="23"/>
      <c r="DH826" s="23"/>
      <c r="DI826" s="23"/>
      <c r="DJ826" s="23"/>
      <c r="DK826" s="23"/>
      <c r="DL826" s="23"/>
      <c r="DM826" s="23"/>
      <c r="DN826" s="23"/>
      <c r="DO826" s="23"/>
      <c r="DP826" s="23"/>
      <c r="DQ826" s="23"/>
      <c r="DR826" s="23"/>
      <c r="DS826" s="23"/>
      <c r="DT826" s="23"/>
      <c r="DU826" s="23"/>
      <c r="DV826" s="23"/>
      <c r="DW826" s="23"/>
      <c r="DX826" s="23"/>
      <c r="DY826" s="23"/>
      <c r="DZ826" s="23"/>
      <c r="EA826" s="23"/>
      <c r="EB826" s="23"/>
      <c r="EC826" s="23"/>
      <c r="ED826" s="23"/>
      <c r="EE826" s="23"/>
      <c r="EF826" s="23"/>
      <c r="EG826" s="23"/>
      <c r="EH826" s="23"/>
      <c r="EI826" s="23"/>
      <c r="EJ826" s="23"/>
      <c r="EK826" s="23"/>
      <c r="EL826" s="23"/>
      <c r="EM826" s="23"/>
      <c r="EN826" s="23"/>
      <c r="EO826" s="23"/>
      <c r="EP826" s="23"/>
      <c r="EQ826" s="23"/>
      <c r="ER826" s="23"/>
      <c r="ES826" s="23"/>
      <c r="ET826" s="23"/>
      <c r="EU826" s="23"/>
      <c r="EV826" s="23"/>
      <c r="EW826" s="23"/>
      <c r="EX826" s="23"/>
      <c r="EY826" s="23"/>
      <c r="EZ826" s="23"/>
      <c r="FA826" s="23"/>
      <c r="FB826" s="23"/>
      <c r="FC826" s="23"/>
      <c r="FD826" s="23"/>
      <c r="FE826" s="23"/>
      <c r="FF826" s="23"/>
      <c r="FG826" s="23"/>
      <c r="FH826" s="23"/>
      <c r="FI826" s="23"/>
      <c r="FJ826" s="23"/>
      <c r="FK826" s="23"/>
      <c r="FL826" s="23"/>
      <c r="FM826" s="23"/>
      <c r="FN826" s="23"/>
      <c r="FO826" s="23"/>
      <c r="FP826" s="23"/>
      <c r="FQ826" s="23"/>
      <c r="FR826" s="23"/>
      <c r="FS826" s="23"/>
      <c r="FT826" s="23"/>
      <c r="FU826" s="23"/>
      <c r="FV826" s="23"/>
      <c r="FW826" s="23"/>
      <c r="FX826" s="23"/>
      <c r="FY826" s="23"/>
      <c r="FZ826" s="23"/>
      <c r="GA826" s="23"/>
      <c r="GB826" s="23"/>
      <c r="GC826" s="23"/>
      <c r="GD826" s="23"/>
      <c r="GE826" s="23"/>
      <c r="GF826" s="23"/>
      <c r="GG826" s="23"/>
      <c r="GH826" s="23"/>
      <c r="GI826" s="23"/>
      <c r="GJ826" s="23"/>
      <c r="GK826" s="23"/>
      <c r="GL826" s="23"/>
    </row>
    <row r="827" spans="1:194" ht="13">
      <c r="A827" s="23"/>
      <c r="B827" s="23"/>
      <c r="C827" s="23"/>
      <c r="D827" s="23"/>
      <c r="E827" s="23"/>
      <c r="F827" s="23"/>
      <c r="G827" s="23"/>
      <c r="H827" s="401"/>
      <c r="I827" s="401"/>
      <c r="J827" s="401"/>
      <c r="K827" s="401"/>
      <c r="L827" s="401"/>
      <c r="M827" s="438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  <c r="AL827" s="23"/>
      <c r="AM827" s="23"/>
      <c r="AN827" s="23"/>
      <c r="AO827" s="23"/>
      <c r="AP827" s="23"/>
      <c r="AQ827" s="23"/>
      <c r="AR827" s="23"/>
      <c r="AS827" s="23"/>
      <c r="AT827" s="23"/>
      <c r="AU827" s="23"/>
      <c r="AV827" s="23"/>
      <c r="AW827" s="23"/>
      <c r="AX827" s="23"/>
      <c r="AY827" s="23"/>
      <c r="AZ827" s="23"/>
      <c r="BA827" s="23"/>
      <c r="BB827" s="23"/>
      <c r="BC827" s="23"/>
      <c r="BD827" s="23"/>
      <c r="BE827" s="23"/>
      <c r="BF827" s="23"/>
      <c r="BG827" s="23"/>
      <c r="BH827" s="23"/>
      <c r="BI827" s="23"/>
      <c r="BJ827" s="23"/>
      <c r="BK827" s="23"/>
      <c r="BL827" s="23"/>
      <c r="BM827" s="23"/>
      <c r="BN827" s="23"/>
      <c r="BO827" s="23"/>
      <c r="BP827" s="23"/>
      <c r="BQ827" s="23"/>
      <c r="BR827" s="23"/>
      <c r="BS827" s="23"/>
      <c r="BT827" s="23"/>
      <c r="BU827" s="23"/>
      <c r="BV827" s="23"/>
      <c r="BW827" s="23"/>
      <c r="BX827" s="23"/>
      <c r="BY827" s="23"/>
      <c r="BZ827" s="23"/>
      <c r="CA827" s="23"/>
      <c r="CB827" s="23"/>
      <c r="CC827" s="23"/>
      <c r="CD827" s="23"/>
      <c r="CE827" s="23"/>
      <c r="CF827" s="23"/>
      <c r="CG827" s="23"/>
      <c r="CH827" s="23"/>
      <c r="CI827" s="23"/>
      <c r="CJ827" s="23"/>
      <c r="CK827" s="23"/>
      <c r="CL827" s="23"/>
      <c r="CM827" s="23"/>
      <c r="CN827" s="23"/>
      <c r="CO827" s="23"/>
      <c r="CP827" s="23"/>
      <c r="CQ827" s="23"/>
      <c r="CR827" s="23"/>
      <c r="CS827" s="23"/>
      <c r="CT827" s="23"/>
      <c r="CU827" s="23"/>
      <c r="CV827" s="23"/>
      <c r="CW827" s="23"/>
      <c r="CX827" s="23"/>
      <c r="CY827" s="23"/>
      <c r="CZ827" s="23"/>
      <c r="DA827" s="23"/>
      <c r="DB827" s="23"/>
      <c r="DC827" s="23"/>
      <c r="DD827" s="23"/>
      <c r="DE827" s="23"/>
      <c r="DF827" s="23"/>
      <c r="DG827" s="23"/>
      <c r="DH827" s="23"/>
      <c r="DI827" s="23"/>
      <c r="DJ827" s="23"/>
      <c r="DK827" s="23"/>
      <c r="DL827" s="23"/>
      <c r="DM827" s="23"/>
      <c r="DN827" s="23"/>
      <c r="DO827" s="23"/>
      <c r="DP827" s="23"/>
      <c r="DQ827" s="23"/>
      <c r="DR827" s="23"/>
      <c r="DS827" s="23"/>
      <c r="DT827" s="23"/>
      <c r="DU827" s="23"/>
      <c r="DV827" s="23"/>
      <c r="DW827" s="23"/>
      <c r="DX827" s="23"/>
      <c r="DY827" s="23"/>
      <c r="DZ827" s="23"/>
      <c r="EA827" s="23"/>
      <c r="EB827" s="23"/>
      <c r="EC827" s="23"/>
      <c r="ED827" s="23"/>
      <c r="EE827" s="23"/>
      <c r="EF827" s="23"/>
      <c r="EG827" s="23"/>
      <c r="EH827" s="23"/>
      <c r="EI827" s="23"/>
      <c r="EJ827" s="23"/>
      <c r="EK827" s="23"/>
      <c r="EL827" s="23"/>
      <c r="EM827" s="23"/>
      <c r="EN827" s="23"/>
      <c r="EO827" s="23"/>
      <c r="EP827" s="23"/>
      <c r="EQ827" s="23"/>
      <c r="ER827" s="23"/>
      <c r="ES827" s="23"/>
      <c r="ET827" s="23"/>
      <c r="EU827" s="23"/>
      <c r="EV827" s="23"/>
      <c r="EW827" s="23"/>
      <c r="EX827" s="23"/>
      <c r="EY827" s="23"/>
      <c r="EZ827" s="23"/>
      <c r="FA827" s="23"/>
      <c r="FB827" s="23"/>
      <c r="FC827" s="23"/>
      <c r="FD827" s="23"/>
      <c r="FE827" s="23"/>
      <c r="FF827" s="23"/>
      <c r="FG827" s="23"/>
      <c r="FH827" s="23"/>
      <c r="FI827" s="23"/>
      <c r="FJ827" s="23"/>
      <c r="FK827" s="23"/>
      <c r="FL827" s="23"/>
      <c r="FM827" s="23"/>
      <c r="FN827" s="23"/>
      <c r="FO827" s="23"/>
      <c r="FP827" s="23"/>
      <c r="FQ827" s="23"/>
      <c r="FR827" s="23"/>
      <c r="FS827" s="23"/>
      <c r="FT827" s="23"/>
      <c r="FU827" s="23"/>
      <c r="FV827" s="23"/>
      <c r="FW827" s="23"/>
      <c r="FX827" s="23"/>
      <c r="FY827" s="23"/>
      <c r="FZ827" s="23"/>
      <c r="GA827" s="23"/>
      <c r="GB827" s="23"/>
      <c r="GC827" s="23"/>
      <c r="GD827" s="23"/>
      <c r="GE827" s="23"/>
      <c r="GF827" s="23"/>
      <c r="GG827" s="23"/>
      <c r="GH827" s="23"/>
      <c r="GI827" s="23"/>
      <c r="GJ827" s="23"/>
      <c r="GK827" s="23"/>
      <c r="GL827" s="23"/>
    </row>
    <row r="828" spans="1:194" ht="13">
      <c r="A828" s="23"/>
      <c r="B828" s="23"/>
      <c r="C828" s="23"/>
      <c r="D828" s="23"/>
      <c r="E828" s="23"/>
      <c r="F828" s="23"/>
      <c r="G828" s="23"/>
      <c r="H828" s="401"/>
      <c r="I828" s="401"/>
      <c r="J828" s="401"/>
      <c r="K828" s="401"/>
      <c r="L828" s="401"/>
      <c r="M828" s="438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  <c r="AL828" s="23"/>
      <c r="AM828" s="23"/>
      <c r="AN828" s="23"/>
      <c r="AO828" s="23"/>
      <c r="AP828" s="23"/>
      <c r="AQ828" s="23"/>
      <c r="AR828" s="23"/>
      <c r="AS828" s="23"/>
      <c r="AT828" s="23"/>
      <c r="AU828" s="23"/>
      <c r="AV828" s="23"/>
      <c r="AW828" s="23"/>
      <c r="AX828" s="23"/>
      <c r="AY828" s="23"/>
      <c r="AZ828" s="23"/>
      <c r="BA828" s="23"/>
      <c r="BB828" s="23"/>
      <c r="BC828" s="23"/>
      <c r="BD828" s="23"/>
      <c r="BE828" s="23"/>
      <c r="BF828" s="23"/>
      <c r="BG828" s="23"/>
      <c r="BH828" s="23"/>
      <c r="BI828" s="23"/>
      <c r="BJ828" s="23"/>
      <c r="BK828" s="23"/>
      <c r="BL828" s="23"/>
      <c r="BM828" s="23"/>
      <c r="BN828" s="23"/>
      <c r="BO828" s="23"/>
      <c r="BP828" s="23"/>
      <c r="BQ828" s="23"/>
      <c r="BR828" s="23"/>
      <c r="BS828" s="23"/>
      <c r="BT828" s="23"/>
      <c r="BU828" s="23"/>
      <c r="BV828" s="23"/>
      <c r="BW828" s="23"/>
      <c r="BX828" s="23"/>
      <c r="BY828" s="23"/>
      <c r="BZ828" s="23"/>
      <c r="CA828" s="23"/>
      <c r="CB828" s="23"/>
      <c r="CC828" s="23"/>
      <c r="CD828" s="23"/>
      <c r="CE828" s="23"/>
      <c r="CF828" s="23"/>
      <c r="CG828" s="23"/>
      <c r="CH828" s="23"/>
      <c r="CI828" s="23"/>
      <c r="CJ828" s="23"/>
      <c r="CK828" s="23"/>
      <c r="CL828" s="23"/>
      <c r="CM828" s="23"/>
      <c r="CN828" s="23"/>
      <c r="CO828" s="23"/>
      <c r="CP828" s="23"/>
      <c r="CQ828" s="23"/>
      <c r="CR828" s="23"/>
      <c r="CS828" s="23"/>
      <c r="CT828" s="23"/>
      <c r="CU828" s="23"/>
      <c r="CV828" s="23"/>
      <c r="CW828" s="23"/>
      <c r="CX828" s="23"/>
      <c r="CY828" s="23"/>
      <c r="CZ828" s="23"/>
      <c r="DA828" s="23"/>
      <c r="DB828" s="23"/>
      <c r="DC828" s="23"/>
      <c r="DD828" s="23"/>
      <c r="DE828" s="23"/>
      <c r="DF828" s="23"/>
      <c r="DG828" s="23"/>
      <c r="DH828" s="23"/>
      <c r="DI828" s="23"/>
      <c r="DJ828" s="23"/>
      <c r="DK828" s="23"/>
      <c r="DL828" s="23"/>
      <c r="DM828" s="23"/>
      <c r="DN828" s="23"/>
      <c r="DO828" s="23"/>
      <c r="DP828" s="23"/>
      <c r="DQ828" s="23"/>
      <c r="DR828" s="23"/>
      <c r="DS828" s="23"/>
      <c r="DT828" s="23"/>
      <c r="DU828" s="23"/>
      <c r="DV828" s="23"/>
      <c r="DW828" s="23"/>
      <c r="DX828" s="23"/>
      <c r="DY828" s="23"/>
      <c r="DZ828" s="23"/>
      <c r="EA828" s="23"/>
      <c r="EB828" s="23"/>
      <c r="EC828" s="23"/>
      <c r="ED828" s="23"/>
      <c r="EE828" s="23"/>
      <c r="EF828" s="23"/>
      <c r="EG828" s="23"/>
      <c r="EH828" s="23"/>
      <c r="EI828" s="23"/>
      <c r="EJ828" s="23"/>
      <c r="EK828" s="23"/>
      <c r="EL828" s="23"/>
      <c r="EM828" s="23"/>
      <c r="EN828" s="23"/>
      <c r="EO828" s="23"/>
      <c r="EP828" s="23"/>
      <c r="EQ828" s="23"/>
      <c r="ER828" s="23"/>
      <c r="ES828" s="23"/>
      <c r="ET828" s="23"/>
      <c r="EU828" s="23"/>
      <c r="EV828" s="23"/>
      <c r="EW828" s="23"/>
      <c r="EX828" s="23"/>
      <c r="EY828" s="23"/>
      <c r="EZ828" s="23"/>
      <c r="FA828" s="23"/>
      <c r="FB828" s="23"/>
      <c r="FC828" s="23"/>
      <c r="FD828" s="23"/>
      <c r="FE828" s="23"/>
      <c r="FF828" s="23"/>
      <c r="FG828" s="23"/>
      <c r="FH828" s="23"/>
      <c r="FI828" s="23"/>
      <c r="FJ828" s="23"/>
      <c r="FK828" s="23"/>
      <c r="FL828" s="23"/>
      <c r="FM828" s="23"/>
      <c r="FN828" s="23"/>
      <c r="FO828" s="23"/>
      <c r="FP828" s="23"/>
      <c r="FQ828" s="23"/>
      <c r="FR828" s="23"/>
      <c r="FS828" s="23"/>
      <c r="FT828" s="23"/>
      <c r="FU828" s="23"/>
      <c r="FV828" s="23"/>
      <c r="FW828" s="23"/>
      <c r="FX828" s="23"/>
      <c r="FY828" s="23"/>
      <c r="FZ828" s="23"/>
      <c r="GA828" s="23"/>
      <c r="GB828" s="23"/>
      <c r="GC828" s="23"/>
      <c r="GD828" s="23"/>
      <c r="GE828" s="23"/>
      <c r="GF828" s="23"/>
      <c r="GG828" s="23"/>
      <c r="GH828" s="23"/>
      <c r="GI828" s="23"/>
      <c r="GJ828" s="23"/>
      <c r="GK828" s="23"/>
      <c r="GL828" s="23"/>
    </row>
    <row r="829" spans="1:194" ht="13">
      <c r="A829" s="23"/>
      <c r="B829" s="23"/>
      <c r="C829" s="23"/>
      <c r="D829" s="23"/>
      <c r="E829" s="23"/>
      <c r="F829" s="23"/>
      <c r="G829" s="23"/>
      <c r="H829" s="401"/>
      <c r="I829" s="401"/>
      <c r="J829" s="401"/>
      <c r="K829" s="401"/>
      <c r="L829" s="401"/>
      <c r="M829" s="438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  <c r="AL829" s="23"/>
      <c r="AM829" s="23"/>
      <c r="AN829" s="23"/>
      <c r="AO829" s="23"/>
      <c r="AP829" s="23"/>
      <c r="AQ829" s="23"/>
      <c r="AR829" s="23"/>
      <c r="AS829" s="23"/>
      <c r="AT829" s="23"/>
      <c r="AU829" s="23"/>
      <c r="AV829" s="23"/>
      <c r="AW829" s="23"/>
      <c r="AX829" s="23"/>
      <c r="AY829" s="23"/>
      <c r="AZ829" s="23"/>
      <c r="BA829" s="23"/>
      <c r="BB829" s="23"/>
      <c r="BC829" s="23"/>
      <c r="BD829" s="23"/>
      <c r="BE829" s="23"/>
      <c r="BF829" s="23"/>
      <c r="BG829" s="23"/>
      <c r="BH829" s="23"/>
      <c r="BI829" s="23"/>
      <c r="BJ829" s="23"/>
      <c r="BK829" s="23"/>
      <c r="BL829" s="23"/>
      <c r="BM829" s="23"/>
      <c r="BN829" s="23"/>
      <c r="BO829" s="23"/>
      <c r="BP829" s="23"/>
      <c r="BQ829" s="23"/>
      <c r="BR829" s="23"/>
      <c r="BS829" s="23"/>
      <c r="BT829" s="23"/>
      <c r="BU829" s="23"/>
      <c r="BV829" s="23"/>
      <c r="BW829" s="23"/>
      <c r="BX829" s="23"/>
      <c r="BY829" s="23"/>
      <c r="BZ829" s="23"/>
      <c r="CA829" s="23"/>
      <c r="CB829" s="23"/>
      <c r="CC829" s="23"/>
      <c r="CD829" s="23"/>
      <c r="CE829" s="23"/>
      <c r="CF829" s="23"/>
      <c r="CG829" s="23"/>
      <c r="CH829" s="23"/>
      <c r="CI829" s="23"/>
      <c r="CJ829" s="23"/>
      <c r="CK829" s="23"/>
      <c r="CL829" s="23"/>
      <c r="CM829" s="23"/>
      <c r="CN829" s="23"/>
      <c r="CO829" s="23"/>
      <c r="CP829" s="23"/>
      <c r="CQ829" s="23"/>
      <c r="CR829" s="23"/>
      <c r="CS829" s="23"/>
      <c r="CT829" s="23"/>
      <c r="CU829" s="23"/>
      <c r="CV829" s="23"/>
      <c r="CW829" s="23"/>
      <c r="CX829" s="23"/>
      <c r="CY829" s="23"/>
      <c r="CZ829" s="23"/>
      <c r="DA829" s="23"/>
      <c r="DB829" s="23"/>
      <c r="DC829" s="23"/>
      <c r="DD829" s="23"/>
      <c r="DE829" s="23"/>
      <c r="DF829" s="23"/>
      <c r="DG829" s="23"/>
      <c r="DH829" s="23"/>
      <c r="DI829" s="23"/>
      <c r="DJ829" s="23"/>
      <c r="DK829" s="23"/>
      <c r="DL829" s="23"/>
      <c r="DM829" s="23"/>
      <c r="DN829" s="23"/>
      <c r="DO829" s="23"/>
      <c r="DP829" s="23"/>
      <c r="DQ829" s="23"/>
      <c r="DR829" s="23"/>
      <c r="DS829" s="23"/>
      <c r="DT829" s="23"/>
      <c r="DU829" s="23"/>
      <c r="DV829" s="23"/>
      <c r="DW829" s="23"/>
      <c r="DX829" s="23"/>
      <c r="DY829" s="23"/>
      <c r="DZ829" s="23"/>
      <c r="EA829" s="23"/>
      <c r="EB829" s="23"/>
      <c r="EC829" s="23"/>
      <c r="ED829" s="23"/>
      <c r="EE829" s="23"/>
      <c r="EF829" s="23"/>
      <c r="EG829" s="23"/>
      <c r="EH829" s="23"/>
      <c r="EI829" s="23"/>
      <c r="EJ829" s="23"/>
      <c r="EK829" s="23"/>
      <c r="EL829" s="23"/>
      <c r="EM829" s="23"/>
      <c r="EN829" s="23"/>
      <c r="EO829" s="23"/>
      <c r="EP829" s="23"/>
      <c r="EQ829" s="23"/>
      <c r="ER829" s="23"/>
      <c r="ES829" s="23"/>
      <c r="ET829" s="23"/>
      <c r="EU829" s="23"/>
      <c r="EV829" s="23"/>
      <c r="EW829" s="23"/>
      <c r="EX829" s="23"/>
      <c r="EY829" s="23"/>
      <c r="EZ829" s="23"/>
      <c r="FA829" s="23"/>
      <c r="FB829" s="23"/>
      <c r="FC829" s="23"/>
      <c r="FD829" s="23"/>
      <c r="FE829" s="23"/>
      <c r="FF829" s="23"/>
      <c r="FG829" s="23"/>
      <c r="FH829" s="23"/>
      <c r="FI829" s="23"/>
      <c r="FJ829" s="23"/>
      <c r="FK829" s="23"/>
      <c r="FL829" s="23"/>
      <c r="FM829" s="23"/>
      <c r="FN829" s="23"/>
      <c r="FO829" s="23"/>
      <c r="FP829" s="23"/>
      <c r="FQ829" s="23"/>
      <c r="FR829" s="23"/>
      <c r="FS829" s="23"/>
      <c r="FT829" s="23"/>
      <c r="FU829" s="23"/>
      <c r="FV829" s="23"/>
      <c r="FW829" s="23"/>
      <c r="FX829" s="23"/>
      <c r="FY829" s="23"/>
      <c r="FZ829" s="23"/>
      <c r="GA829" s="23"/>
      <c r="GB829" s="23"/>
      <c r="GC829" s="23"/>
      <c r="GD829" s="23"/>
      <c r="GE829" s="23"/>
      <c r="GF829" s="23"/>
      <c r="GG829" s="23"/>
      <c r="GH829" s="23"/>
      <c r="GI829" s="23"/>
      <c r="GJ829" s="23"/>
      <c r="GK829" s="23"/>
      <c r="GL829" s="23"/>
    </row>
    <row r="830" spans="1:194" ht="13">
      <c r="A830" s="23"/>
      <c r="B830" s="23"/>
      <c r="C830" s="23"/>
      <c r="D830" s="23"/>
      <c r="E830" s="23"/>
      <c r="F830" s="23"/>
      <c r="G830" s="23"/>
      <c r="H830" s="401"/>
      <c r="I830" s="401"/>
      <c r="J830" s="401"/>
      <c r="K830" s="401"/>
      <c r="L830" s="401"/>
      <c r="M830" s="438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  <c r="AL830" s="23"/>
      <c r="AM830" s="23"/>
      <c r="AN830" s="23"/>
      <c r="AO830" s="23"/>
      <c r="AP830" s="23"/>
      <c r="AQ830" s="23"/>
      <c r="AR830" s="23"/>
      <c r="AS830" s="23"/>
      <c r="AT830" s="23"/>
      <c r="AU830" s="23"/>
      <c r="AV830" s="23"/>
      <c r="AW830" s="23"/>
      <c r="AX830" s="23"/>
      <c r="AY830" s="23"/>
      <c r="AZ830" s="23"/>
      <c r="BA830" s="23"/>
      <c r="BB830" s="23"/>
      <c r="BC830" s="23"/>
      <c r="BD830" s="23"/>
      <c r="BE830" s="23"/>
      <c r="BF830" s="23"/>
      <c r="BG830" s="23"/>
      <c r="BH830" s="23"/>
      <c r="BI830" s="23"/>
      <c r="BJ830" s="23"/>
      <c r="BK830" s="23"/>
      <c r="BL830" s="23"/>
      <c r="BM830" s="23"/>
      <c r="BN830" s="23"/>
      <c r="BO830" s="23"/>
      <c r="BP830" s="23"/>
      <c r="BQ830" s="23"/>
      <c r="BR830" s="23"/>
      <c r="BS830" s="23"/>
      <c r="BT830" s="23"/>
      <c r="BU830" s="23"/>
      <c r="BV830" s="23"/>
      <c r="BW830" s="23"/>
      <c r="BX830" s="23"/>
      <c r="BY830" s="23"/>
      <c r="BZ830" s="23"/>
      <c r="CA830" s="23"/>
      <c r="CB830" s="23"/>
      <c r="CC830" s="23"/>
      <c r="CD830" s="23"/>
      <c r="CE830" s="23"/>
      <c r="CF830" s="23"/>
      <c r="CG830" s="23"/>
      <c r="CH830" s="23"/>
      <c r="CI830" s="23"/>
      <c r="CJ830" s="23"/>
      <c r="CK830" s="23"/>
      <c r="CL830" s="23"/>
      <c r="CM830" s="23"/>
      <c r="CN830" s="23"/>
      <c r="CO830" s="23"/>
      <c r="CP830" s="23"/>
      <c r="CQ830" s="23"/>
      <c r="CR830" s="23"/>
      <c r="CS830" s="23"/>
      <c r="CT830" s="23"/>
      <c r="CU830" s="23"/>
      <c r="CV830" s="23"/>
      <c r="CW830" s="23"/>
      <c r="CX830" s="23"/>
      <c r="CY830" s="23"/>
      <c r="CZ830" s="23"/>
      <c r="DA830" s="23"/>
      <c r="DB830" s="23"/>
      <c r="DC830" s="23"/>
      <c r="DD830" s="23"/>
      <c r="DE830" s="23"/>
      <c r="DF830" s="23"/>
      <c r="DG830" s="23"/>
      <c r="DH830" s="23"/>
      <c r="DI830" s="23"/>
      <c r="DJ830" s="23"/>
      <c r="DK830" s="23"/>
      <c r="DL830" s="23"/>
      <c r="DM830" s="23"/>
      <c r="DN830" s="23"/>
      <c r="DO830" s="23"/>
      <c r="DP830" s="23"/>
      <c r="DQ830" s="23"/>
      <c r="DR830" s="23"/>
      <c r="DS830" s="23"/>
      <c r="DT830" s="23"/>
      <c r="DU830" s="23"/>
      <c r="DV830" s="23"/>
      <c r="DW830" s="23"/>
      <c r="DX830" s="23"/>
      <c r="DY830" s="23"/>
      <c r="DZ830" s="23"/>
      <c r="EA830" s="23"/>
      <c r="EB830" s="23"/>
      <c r="EC830" s="23"/>
      <c r="ED830" s="23"/>
      <c r="EE830" s="23"/>
      <c r="EF830" s="23"/>
      <c r="EG830" s="23"/>
      <c r="EH830" s="23"/>
      <c r="EI830" s="23"/>
      <c r="EJ830" s="23"/>
      <c r="EK830" s="23"/>
      <c r="EL830" s="23"/>
      <c r="EM830" s="23"/>
      <c r="EN830" s="23"/>
      <c r="EO830" s="23"/>
      <c r="EP830" s="23"/>
      <c r="EQ830" s="23"/>
      <c r="ER830" s="23"/>
      <c r="ES830" s="23"/>
      <c r="ET830" s="23"/>
      <c r="EU830" s="23"/>
      <c r="EV830" s="23"/>
      <c r="EW830" s="23"/>
      <c r="EX830" s="23"/>
      <c r="EY830" s="23"/>
      <c r="EZ830" s="23"/>
      <c r="FA830" s="23"/>
      <c r="FB830" s="23"/>
      <c r="FC830" s="23"/>
      <c r="FD830" s="23"/>
      <c r="FE830" s="23"/>
      <c r="FF830" s="23"/>
      <c r="FG830" s="23"/>
      <c r="FH830" s="23"/>
      <c r="FI830" s="23"/>
      <c r="FJ830" s="23"/>
      <c r="FK830" s="23"/>
      <c r="FL830" s="23"/>
      <c r="FM830" s="23"/>
      <c r="FN830" s="23"/>
      <c r="FO830" s="23"/>
      <c r="FP830" s="23"/>
      <c r="FQ830" s="23"/>
      <c r="FR830" s="23"/>
      <c r="FS830" s="23"/>
      <c r="FT830" s="23"/>
      <c r="FU830" s="23"/>
      <c r="FV830" s="23"/>
      <c r="FW830" s="23"/>
      <c r="FX830" s="23"/>
      <c r="FY830" s="23"/>
      <c r="FZ830" s="23"/>
      <c r="GA830" s="23"/>
      <c r="GB830" s="23"/>
      <c r="GC830" s="23"/>
      <c r="GD830" s="23"/>
      <c r="GE830" s="23"/>
      <c r="GF830" s="23"/>
      <c r="GG830" s="23"/>
      <c r="GH830" s="23"/>
      <c r="GI830" s="23"/>
      <c r="GJ830" s="23"/>
      <c r="GK830" s="23"/>
      <c r="GL830" s="23"/>
    </row>
    <row r="831" spans="1:194" ht="13">
      <c r="A831" s="23"/>
      <c r="B831" s="23"/>
      <c r="C831" s="23"/>
      <c r="D831" s="23"/>
      <c r="E831" s="23"/>
      <c r="F831" s="23"/>
      <c r="G831" s="23"/>
      <c r="H831" s="401"/>
      <c r="I831" s="401"/>
      <c r="J831" s="401"/>
      <c r="K831" s="401"/>
      <c r="L831" s="401"/>
      <c r="M831" s="438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  <c r="AL831" s="23"/>
      <c r="AM831" s="23"/>
      <c r="AN831" s="23"/>
      <c r="AO831" s="23"/>
      <c r="AP831" s="23"/>
      <c r="AQ831" s="23"/>
      <c r="AR831" s="23"/>
      <c r="AS831" s="23"/>
      <c r="AT831" s="23"/>
      <c r="AU831" s="23"/>
      <c r="AV831" s="23"/>
      <c r="AW831" s="23"/>
      <c r="AX831" s="23"/>
      <c r="AY831" s="23"/>
      <c r="AZ831" s="23"/>
      <c r="BA831" s="23"/>
      <c r="BB831" s="23"/>
      <c r="BC831" s="23"/>
      <c r="BD831" s="23"/>
      <c r="BE831" s="23"/>
      <c r="BF831" s="23"/>
      <c r="BG831" s="23"/>
      <c r="BH831" s="23"/>
      <c r="BI831" s="23"/>
      <c r="BJ831" s="23"/>
      <c r="BK831" s="23"/>
      <c r="BL831" s="23"/>
      <c r="BM831" s="23"/>
      <c r="BN831" s="23"/>
      <c r="BO831" s="23"/>
      <c r="BP831" s="23"/>
      <c r="BQ831" s="23"/>
      <c r="BR831" s="23"/>
      <c r="BS831" s="23"/>
      <c r="BT831" s="23"/>
      <c r="BU831" s="23"/>
      <c r="BV831" s="23"/>
      <c r="BW831" s="23"/>
      <c r="BX831" s="23"/>
      <c r="BY831" s="23"/>
      <c r="BZ831" s="23"/>
      <c r="CA831" s="23"/>
      <c r="CB831" s="23"/>
      <c r="CC831" s="23"/>
      <c r="CD831" s="23"/>
      <c r="CE831" s="23"/>
      <c r="CF831" s="23"/>
      <c r="CG831" s="23"/>
      <c r="CH831" s="23"/>
      <c r="CI831" s="23"/>
      <c r="CJ831" s="23"/>
      <c r="CK831" s="23"/>
      <c r="CL831" s="23"/>
      <c r="CM831" s="23"/>
      <c r="CN831" s="23"/>
      <c r="CO831" s="23"/>
      <c r="CP831" s="23"/>
      <c r="CQ831" s="23"/>
      <c r="CR831" s="23"/>
      <c r="CS831" s="23"/>
      <c r="CT831" s="23"/>
      <c r="CU831" s="23"/>
      <c r="CV831" s="23"/>
      <c r="CW831" s="23"/>
      <c r="CX831" s="23"/>
      <c r="CY831" s="23"/>
      <c r="CZ831" s="23"/>
      <c r="DA831" s="23"/>
      <c r="DB831" s="23"/>
      <c r="DC831" s="23"/>
      <c r="DD831" s="23"/>
      <c r="DE831" s="23"/>
      <c r="DF831" s="23"/>
      <c r="DG831" s="23"/>
      <c r="DH831" s="23"/>
      <c r="DI831" s="23"/>
      <c r="DJ831" s="23"/>
      <c r="DK831" s="23"/>
      <c r="DL831" s="23"/>
      <c r="DM831" s="23"/>
      <c r="DN831" s="23"/>
      <c r="DO831" s="23"/>
      <c r="DP831" s="23"/>
      <c r="DQ831" s="23"/>
      <c r="DR831" s="23"/>
      <c r="DS831" s="23"/>
      <c r="DT831" s="23"/>
      <c r="DU831" s="23"/>
      <c r="DV831" s="23"/>
      <c r="DW831" s="23"/>
      <c r="DX831" s="23"/>
      <c r="DY831" s="23"/>
      <c r="DZ831" s="23"/>
      <c r="EA831" s="23"/>
      <c r="EB831" s="23"/>
      <c r="EC831" s="23"/>
      <c r="ED831" s="23"/>
      <c r="EE831" s="23"/>
      <c r="EF831" s="23"/>
      <c r="EG831" s="23"/>
      <c r="EH831" s="23"/>
      <c r="EI831" s="23"/>
      <c r="EJ831" s="23"/>
      <c r="EK831" s="23"/>
      <c r="EL831" s="23"/>
      <c r="EM831" s="23"/>
      <c r="EN831" s="23"/>
      <c r="EO831" s="23"/>
      <c r="EP831" s="23"/>
      <c r="EQ831" s="23"/>
      <c r="ER831" s="23"/>
      <c r="ES831" s="23"/>
      <c r="ET831" s="23"/>
      <c r="EU831" s="23"/>
      <c r="EV831" s="23"/>
      <c r="EW831" s="23"/>
      <c r="EX831" s="23"/>
      <c r="EY831" s="23"/>
      <c r="EZ831" s="23"/>
      <c r="FA831" s="23"/>
      <c r="FB831" s="23"/>
      <c r="FC831" s="23"/>
      <c r="FD831" s="23"/>
      <c r="FE831" s="23"/>
      <c r="FF831" s="23"/>
      <c r="FG831" s="23"/>
      <c r="FH831" s="23"/>
      <c r="FI831" s="23"/>
      <c r="FJ831" s="23"/>
      <c r="FK831" s="23"/>
      <c r="FL831" s="23"/>
      <c r="FM831" s="23"/>
      <c r="FN831" s="23"/>
      <c r="FO831" s="23"/>
      <c r="FP831" s="23"/>
      <c r="FQ831" s="23"/>
      <c r="FR831" s="23"/>
      <c r="FS831" s="23"/>
      <c r="FT831" s="23"/>
      <c r="FU831" s="23"/>
      <c r="FV831" s="23"/>
      <c r="FW831" s="23"/>
      <c r="FX831" s="23"/>
      <c r="FY831" s="23"/>
      <c r="FZ831" s="23"/>
      <c r="GA831" s="23"/>
      <c r="GB831" s="23"/>
      <c r="GC831" s="23"/>
      <c r="GD831" s="23"/>
      <c r="GE831" s="23"/>
      <c r="GF831" s="23"/>
      <c r="GG831" s="23"/>
      <c r="GH831" s="23"/>
      <c r="GI831" s="23"/>
      <c r="GJ831" s="23"/>
      <c r="GK831" s="23"/>
      <c r="GL831" s="23"/>
    </row>
    <row r="832" spans="1:194" ht="13">
      <c r="A832" s="23"/>
      <c r="B832" s="23"/>
      <c r="C832" s="23"/>
      <c r="D832" s="23"/>
      <c r="E832" s="23"/>
      <c r="F832" s="23"/>
      <c r="G832" s="23"/>
      <c r="H832" s="401"/>
      <c r="I832" s="401"/>
      <c r="J832" s="401"/>
      <c r="K832" s="401"/>
      <c r="L832" s="401"/>
      <c r="M832" s="438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  <c r="AL832" s="23"/>
      <c r="AM832" s="23"/>
      <c r="AN832" s="23"/>
      <c r="AO832" s="23"/>
      <c r="AP832" s="23"/>
      <c r="AQ832" s="23"/>
      <c r="AR832" s="23"/>
      <c r="AS832" s="23"/>
      <c r="AT832" s="23"/>
      <c r="AU832" s="23"/>
      <c r="AV832" s="23"/>
      <c r="AW832" s="23"/>
      <c r="AX832" s="23"/>
      <c r="AY832" s="23"/>
      <c r="AZ832" s="23"/>
      <c r="BA832" s="23"/>
      <c r="BB832" s="23"/>
      <c r="BC832" s="23"/>
      <c r="BD832" s="23"/>
      <c r="BE832" s="23"/>
      <c r="BF832" s="23"/>
      <c r="BG832" s="23"/>
      <c r="BH832" s="23"/>
      <c r="BI832" s="23"/>
      <c r="BJ832" s="23"/>
      <c r="BK832" s="23"/>
      <c r="BL832" s="23"/>
      <c r="BM832" s="23"/>
      <c r="BN832" s="23"/>
      <c r="BO832" s="23"/>
      <c r="BP832" s="23"/>
      <c r="BQ832" s="23"/>
      <c r="BR832" s="23"/>
      <c r="BS832" s="23"/>
      <c r="BT832" s="23"/>
      <c r="BU832" s="23"/>
      <c r="BV832" s="23"/>
      <c r="BW832" s="23"/>
      <c r="BX832" s="23"/>
      <c r="BY832" s="23"/>
      <c r="BZ832" s="23"/>
      <c r="CA832" s="23"/>
      <c r="CB832" s="23"/>
      <c r="CC832" s="23"/>
      <c r="CD832" s="23"/>
      <c r="CE832" s="23"/>
      <c r="CF832" s="23"/>
      <c r="CG832" s="23"/>
      <c r="CH832" s="23"/>
      <c r="CI832" s="23"/>
      <c r="CJ832" s="23"/>
      <c r="CK832" s="23"/>
      <c r="CL832" s="23"/>
      <c r="CM832" s="23"/>
      <c r="CN832" s="23"/>
      <c r="CO832" s="23"/>
      <c r="CP832" s="23"/>
      <c r="CQ832" s="23"/>
      <c r="CR832" s="23"/>
      <c r="CS832" s="23"/>
      <c r="CT832" s="23"/>
      <c r="CU832" s="23"/>
      <c r="CV832" s="23"/>
      <c r="CW832" s="23"/>
      <c r="CX832" s="23"/>
      <c r="CY832" s="23"/>
      <c r="CZ832" s="23"/>
      <c r="DA832" s="23"/>
      <c r="DB832" s="23"/>
      <c r="DC832" s="23"/>
      <c r="DD832" s="23"/>
      <c r="DE832" s="23"/>
      <c r="DF832" s="23"/>
      <c r="DG832" s="23"/>
      <c r="DH832" s="23"/>
      <c r="DI832" s="23"/>
      <c r="DJ832" s="23"/>
      <c r="DK832" s="23"/>
      <c r="DL832" s="23"/>
      <c r="DM832" s="23"/>
      <c r="DN832" s="23"/>
      <c r="DO832" s="23"/>
      <c r="DP832" s="23"/>
      <c r="DQ832" s="23"/>
      <c r="DR832" s="23"/>
      <c r="DS832" s="23"/>
      <c r="DT832" s="23"/>
      <c r="DU832" s="23"/>
      <c r="DV832" s="23"/>
      <c r="DW832" s="23"/>
      <c r="DX832" s="23"/>
      <c r="DY832" s="23"/>
      <c r="DZ832" s="23"/>
      <c r="EA832" s="23"/>
      <c r="EB832" s="23"/>
      <c r="EC832" s="23"/>
      <c r="ED832" s="23"/>
      <c r="EE832" s="23"/>
      <c r="EF832" s="23"/>
      <c r="EG832" s="23"/>
      <c r="EH832" s="23"/>
      <c r="EI832" s="23"/>
      <c r="EJ832" s="23"/>
      <c r="EK832" s="23"/>
      <c r="EL832" s="23"/>
      <c r="EM832" s="23"/>
      <c r="EN832" s="23"/>
      <c r="EO832" s="23"/>
      <c r="EP832" s="23"/>
      <c r="EQ832" s="23"/>
      <c r="ER832" s="23"/>
      <c r="ES832" s="23"/>
      <c r="ET832" s="23"/>
      <c r="EU832" s="23"/>
      <c r="EV832" s="23"/>
      <c r="EW832" s="23"/>
      <c r="EX832" s="23"/>
      <c r="EY832" s="23"/>
      <c r="EZ832" s="23"/>
      <c r="FA832" s="23"/>
      <c r="FB832" s="23"/>
      <c r="FC832" s="23"/>
      <c r="FD832" s="23"/>
      <c r="FE832" s="23"/>
      <c r="FF832" s="23"/>
      <c r="FG832" s="23"/>
      <c r="FH832" s="23"/>
      <c r="FI832" s="23"/>
      <c r="FJ832" s="23"/>
      <c r="FK832" s="23"/>
      <c r="FL832" s="23"/>
      <c r="FM832" s="23"/>
      <c r="FN832" s="23"/>
      <c r="FO832" s="23"/>
      <c r="FP832" s="23"/>
      <c r="FQ832" s="23"/>
      <c r="FR832" s="23"/>
      <c r="FS832" s="23"/>
      <c r="FT832" s="23"/>
      <c r="FU832" s="23"/>
      <c r="FV832" s="23"/>
      <c r="FW832" s="23"/>
      <c r="FX832" s="23"/>
      <c r="FY832" s="23"/>
      <c r="FZ832" s="23"/>
      <c r="GA832" s="23"/>
      <c r="GB832" s="23"/>
      <c r="GC832" s="23"/>
      <c r="GD832" s="23"/>
      <c r="GE832" s="23"/>
      <c r="GF832" s="23"/>
      <c r="GG832" s="23"/>
      <c r="GH832" s="23"/>
      <c r="GI832" s="23"/>
      <c r="GJ832" s="23"/>
      <c r="GK832" s="23"/>
      <c r="GL832" s="23"/>
    </row>
    <row r="833" spans="1:194" ht="13">
      <c r="A833" s="23"/>
      <c r="B833" s="23"/>
      <c r="C833" s="23"/>
      <c r="D833" s="23"/>
      <c r="E833" s="23"/>
      <c r="F833" s="23"/>
      <c r="G833" s="23"/>
      <c r="H833" s="401"/>
      <c r="I833" s="401"/>
      <c r="J833" s="401"/>
      <c r="K833" s="401"/>
      <c r="L833" s="401"/>
      <c r="M833" s="438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  <c r="AL833" s="23"/>
      <c r="AM833" s="23"/>
      <c r="AN833" s="23"/>
      <c r="AO833" s="23"/>
      <c r="AP833" s="23"/>
      <c r="AQ833" s="23"/>
      <c r="AR833" s="23"/>
      <c r="AS833" s="23"/>
      <c r="AT833" s="23"/>
      <c r="AU833" s="23"/>
      <c r="AV833" s="23"/>
      <c r="AW833" s="23"/>
      <c r="AX833" s="23"/>
      <c r="AY833" s="23"/>
      <c r="AZ833" s="23"/>
      <c r="BA833" s="23"/>
      <c r="BB833" s="23"/>
      <c r="BC833" s="23"/>
      <c r="BD833" s="23"/>
      <c r="BE833" s="23"/>
      <c r="BF833" s="23"/>
      <c r="BG833" s="23"/>
      <c r="BH833" s="23"/>
      <c r="BI833" s="23"/>
      <c r="BJ833" s="23"/>
      <c r="BK833" s="23"/>
      <c r="BL833" s="23"/>
      <c r="BM833" s="23"/>
      <c r="BN833" s="23"/>
      <c r="BO833" s="23"/>
      <c r="BP833" s="23"/>
      <c r="BQ833" s="23"/>
      <c r="BR833" s="23"/>
      <c r="BS833" s="23"/>
      <c r="BT833" s="23"/>
      <c r="BU833" s="23"/>
      <c r="BV833" s="23"/>
      <c r="BW833" s="23"/>
      <c r="BX833" s="23"/>
      <c r="BY833" s="23"/>
      <c r="BZ833" s="23"/>
      <c r="CA833" s="23"/>
      <c r="CB833" s="23"/>
      <c r="CC833" s="23"/>
      <c r="CD833" s="23"/>
      <c r="CE833" s="23"/>
      <c r="CF833" s="23"/>
      <c r="CG833" s="23"/>
      <c r="CH833" s="23"/>
      <c r="CI833" s="23"/>
      <c r="CJ833" s="23"/>
      <c r="CK833" s="23"/>
      <c r="CL833" s="23"/>
      <c r="CM833" s="23"/>
      <c r="CN833" s="23"/>
      <c r="CO833" s="23"/>
      <c r="CP833" s="23"/>
      <c r="CQ833" s="23"/>
      <c r="CR833" s="23"/>
      <c r="CS833" s="23"/>
      <c r="CT833" s="23"/>
      <c r="CU833" s="23"/>
      <c r="CV833" s="23"/>
      <c r="CW833" s="23"/>
      <c r="CX833" s="23"/>
      <c r="CY833" s="23"/>
      <c r="CZ833" s="23"/>
      <c r="DA833" s="23"/>
      <c r="DB833" s="23"/>
      <c r="DC833" s="23"/>
      <c r="DD833" s="23"/>
      <c r="DE833" s="23"/>
      <c r="DF833" s="23"/>
      <c r="DG833" s="23"/>
      <c r="DH833" s="23"/>
      <c r="DI833" s="23"/>
      <c r="DJ833" s="23"/>
      <c r="DK833" s="23"/>
      <c r="DL833" s="23"/>
      <c r="DM833" s="23"/>
      <c r="DN833" s="23"/>
      <c r="DO833" s="23"/>
      <c r="DP833" s="23"/>
      <c r="DQ833" s="23"/>
      <c r="DR833" s="23"/>
      <c r="DS833" s="23"/>
      <c r="DT833" s="23"/>
      <c r="DU833" s="23"/>
      <c r="DV833" s="23"/>
      <c r="DW833" s="23"/>
      <c r="DX833" s="23"/>
      <c r="DY833" s="23"/>
      <c r="DZ833" s="23"/>
      <c r="EA833" s="23"/>
      <c r="EB833" s="23"/>
      <c r="EC833" s="23"/>
      <c r="ED833" s="23"/>
      <c r="EE833" s="23"/>
      <c r="EF833" s="23"/>
      <c r="EG833" s="23"/>
      <c r="EH833" s="23"/>
      <c r="EI833" s="23"/>
      <c r="EJ833" s="23"/>
      <c r="EK833" s="23"/>
      <c r="EL833" s="23"/>
      <c r="EM833" s="23"/>
      <c r="EN833" s="23"/>
      <c r="EO833" s="23"/>
      <c r="EP833" s="23"/>
      <c r="EQ833" s="23"/>
      <c r="ER833" s="23"/>
      <c r="ES833" s="23"/>
      <c r="ET833" s="23"/>
      <c r="EU833" s="23"/>
      <c r="EV833" s="23"/>
      <c r="EW833" s="23"/>
      <c r="EX833" s="23"/>
      <c r="EY833" s="23"/>
      <c r="EZ833" s="23"/>
      <c r="FA833" s="23"/>
      <c r="FB833" s="23"/>
      <c r="FC833" s="23"/>
      <c r="FD833" s="23"/>
      <c r="FE833" s="23"/>
      <c r="FF833" s="23"/>
      <c r="FG833" s="23"/>
      <c r="FH833" s="23"/>
      <c r="FI833" s="23"/>
      <c r="FJ833" s="23"/>
      <c r="FK833" s="23"/>
      <c r="FL833" s="23"/>
      <c r="FM833" s="23"/>
      <c r="FN833" s="23"/>
      <c r="FO833" s="23"/>
      <c r="FP833" s="23"/>
      <c r="FQ833" s="23"/>
      <c r="FR833" s="23"/>
      <c r="FS833" s="23"/>
      <c r="FT833" s="23"/>
      <c r="FU833" s="23"/>
      <c r="FV833" s="23"/>
      <c r="FW833" s="23"/>
      <c r="FX833" s="23"/>
      <c r="FY833" s="23"/>
      <c r="FZ833" s="23"/>
      <c r="GA833" s="23"/>
      <c r="GB833" s="23"/>
      <c r="GC833" s="23"/>
      <c r="GD833" s="23"/>
      <c r="GE833" s="23"/>
      <c r="GF833" s="23"/>
      <c r="GG833" s="23"/>
      <c r="GH833" s="23"/>
      <c r="GI833" s="23"/>
      <c r="GJ833" s="23"/>
      <c r="GK833" s="23"/>
      <c r="GL833" s="23"/>
    </row>
    <row r="834" spans="1:194" ht="13">
      <c r="A834" s="23"/>
      <c r="B834" s="23"/>
      <c r="C834" s="23"/>
      <c r="D834" s="23"/>
      <c r="E834" s="23"/>
      <c r="F834" s="23"/>
      <c r="G834" s="23"/>
      <c r="H834" s="401"/>
      <c r="I834" s="401"/>
      <c r="J834" s="401"/>
      <c r="K834" s="401"/>
      <c r="L834" s="401"/>
      <c r="M834" s="438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  <c r="AL834" s="23"/>
      <c r="AM834" s="23"/>
      <c r="AN834" s="23"/>
      <c r="AO834" s="23"/>
      <c r="AP834" s="23"/>
      <c r="AQ834" s="23"/>
      <c r="AR834" s="23"/>
      <c r="AS834" s="23"/>
      <c r="AT834" s="23"/>
      <c r="AU834" s="23"/>
      <c r="AV834" s="23"/>
      <c r="AW834" s="23"/>
      <c r="AX834" s="23"/>
      <c r="AY834" s="23"/>
      <c r="AZ834" s="23"/>
      <c r="BA834" s="23"/>
      <c r="BB834" s="23"/>
      <c r="BC834" s="23"/>
      <c r="BD834" s="23"/>
      <c r="BE834" s="23"/>
      <c r="BF834" s="23"/>
      <c r="BG834" s="23"/>
      <c r="BH834" s="23"/>
      <c r="BI834" s="23"/>
      <c r="BJ834" s="23"/>
      <c r="BK834" s="23"/>
      <c r="BL834" s="23"/>
      <c r="BM834" s="23"/>
      <c r="BN834" s="23"/>
      <c r="BO834" s="23"/>
      <c r="BP834" s="23"/>
      <c r="BQ834" s="23"/>
      <c r="BR834" s="23"/>
      <c r="BS834" s="23"/>
      <c r="BT834" s="23"/>
      <c r="BU834" s="23"/>
      <c r="BV834" s="23"/>
      <c r="BW834" s="23"/>
      <c r="BX834" s="23"/>
      <c r="BY834" s="23"/>
      <c r="BZ834" s="23"/>
      <c r="CA834" s="23"/>
      <c r="CB834" s="23"/>
      <c r="CC834" s="23"/>
      <c r="CD834" s="23"/>
      <c r="CE834" s="23"/>
      <c r="CF834" s="23"/>
      <c r="CG834" s="23"/>
      <c r="CH834" s="23"/>
      <c r="CI834" s="23"/>
      <c r="CJ834" s="23"/>
      <c r="CK834" s="23"/>
      <c r="CL834" s="23"/>
      <c r="CM834" s="23"/>
      <c r="CN834" s="23"/>
      <c r="CO834" s="23"/>
      <c r="CP834" s="23"/>
      <c r="CQ834" s="23"/>
      <c r="CR834" s="23"/>
      <c r="CS834" s="23"/>
      <c r="CT834" s="23"/>
      <c r="CU834" s="23"/>
      <c r="CV834" s="23"/>
      <c r="CW834" s="23"/>
      <c r="CX834" s="23"/>
      <c r="CY834" s="23"/>
      <c r="CZ834" s="23"/>
      <c r="DA834" s="23"/>
      <c r="DB834" s="23"/>
      <c r="DC834" s="23"/>
      <c r="DD834" s="23"/>
      <c r="DE834" s="23"/>
      <c r="DF834" s="23"/>
      <c r="DG834" s="23"/>
      <c r="DH834" s="23"/>
      <c r="DI834" s="23"/>
      <c r="DJ834" s="23"/>
      <c r="DK834" s="23"/>
      <c r="DL834" s="23"/>
      <c r="DM834" s="23"/>
      <c r="DN834" s="23"/>
      <c r="DO834" s="23"/>
      <c r="DP834" s="23"/>
      <c r="DQ834" s="23"/>
      <c r="DR834" s="23"/>
      <c r="DS834" s="23"/>
      <c r="DT834" s="23"/>
      <c r="DU834" s="23"/>
      <c r="DV834" s="23"/>
      <c r="DW834" s="23"/>
      <c r="DX834" s="23"/>
      <c r="DY834" s="23"/>
      <c r="DZ834" s="23"/>
      <c r="EA834" s="23"/>
      <c r="EB834" s="23"/>
      <c r="EC834" s="23"/>
      <c r="ED834" s="23"/>
      <c r="EE834" s="23"/>
      <c r="EF834" s="23"/>
      <c r="EG834" s="23"/>
      <c r="EH834" s="23"/>
      <c r="EI834" s="23"/>
      <c r="EJ834" s="23"/>
      <c r="EK834" s="23"/>
      <c r="EL834" s="23"/>
      <c r="EM834" s="23"/>
      <c r="EN834" s="23"/>
      <c r="EO834" s="23"/>
      <c r="EP834" s="23"/>
      <c r="EQ834" s="23"/>
      <c r="ER834" s="23"/>
      <c r="ES834" s="23"/>
      <c r="ET834" s="23"/>
      <c r="EU834" s="23"/>
      <c r="EV834" s="23"/>
      <c r="EW834" s="23"/>
      <c r="EX834" s="23"/>
      <c r="EY834" s="23"/>
      <c r="EZ834" s="23"/>
      <c r="FA834" s="23"/>
      <c r="FB834" s="23"/>
      <c r="FC834" s="23"/>
      <c r="FD834" s="23"/>
      <c r="FE834" s="23"/>
      <c r="FF834" s="23"/>
      <c r="FG834" s="23"/>
      <c r="FH834" s="23"/>
      <c r="FI834" s="23"/>
      <c r="FJ834" s="23"/>
      <c r="FK834" s="23"/>
      <c r="FL834" s="23"/>
      <c r="FM834" s="23"/>
      <c r="FN834" s="23"/>
      <c r="FO834" s="23"/>
      <c r="FP834" s="23"/>
      <c r="FQ834" s="23"/>
      <c r="FR834" s="23"/>
      <c r="FS834" s="23"/>
      <c r="FT834" s="23"/>
      <c r="FU834" s="23"/>
      <c r="FV834" s="23"/>
      <c r="FW834" s="23"/>
      <c r="FX834" s="23"/>
      <c r="FY834" s="23"/>
      <c r="FZ834" s="23"/>
      <c r="GA834" s="23"/>
      <c r="GB834" s="23"/>
      <c r="GC834" s="23"/>
      <c r="GD834" s="23"/>
      <c r="GE834" s="23"/>
      <c r="GF834" s="23"/>
      <c r="GG834" s="23"/>
      <c r="GH834" s="23"/>
      <c r="GI834" s="23"/>
      <c r="GJ834" s="23"/>
      <c r="GK834" s="23"/>
      <c r="GL834" s="23"/>
    </row>
    <row r="835" spans="1:194" ht="13">
      <c r="A835" s="23"/>
      <c r="B835" s="23"/>
      <c r="C835" s="23"/>
      <c r="D835" s="23"/>
      <c r="E835" s="23"/>
      <c r="F835" s="23"/>
      <c r="G835" s="23"/>
      <c r="H835" s="401"/>
      <c r="I835" s="401"/>
      <c r="J835" s="401"/>
      <c r="K835" s="401"/>
      <c r="L835" s="401"/>
      <c r="M835" s="438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  <c r="AL835" s="23"/>
      <c r="AM835" s="23"/>
      <c r="AN835" s="23"/>
      <c r="AO835" s="23"/>
      <c r="AP835" s="23"/>
      <c r="AQ835" s="23"/>
      <c r="AR835" s="23"/>
      <c r="AS835" s="23"/>
      <c r="AT835" s="23"/>
      <c r="AU835" s="23"/>
      <c r="AV835" s="23"/>
      <c r="AW835" s="23"/>
      <c r="AX835" s="23"/>
      <c r="AY835" s="23"/>
      <c r="AZ835" s="23"/>
      <c r="BA835" s="23"/>
      <c r="BB835" s="23"/>
      <c r="BC835" s="23"/>
      <c r="BD835" s="23"/>
      <c r="BE835" s="23"/>
      <c r="BF835" s="23"/>
      <c r="BG835" s="23"/>
      <c r="BH835" s="23"/>
      <c r="BI835" s="23"/>
      <c r="BJ835" s="23"/>
      <c r="BK835" s="23"/>
      <c r="BL835" s="23"/>
      <c r="BM835" s="23"/>
      <c r="BN835" s="23"/>
      <c r="BO835" s="23"/>
      <c r="BP835" s="23"/>
      <c r="BQ835" s="23"/>
      <c r="BR835" s="23"/>
      <c r="BS835" s="23"/>
      <c r="BT835" s="23"/>
      <c r="BU835" s="23"/>
      <c r="BV835" s="23"/>
      <c r="BW835" s="23"/>
      <c r="BX835" s="23"/>
      <c r="BY835" s="23"/>
      <c r="BZ835" s="23"/>
      <c r="CA835" s="23"/>
      <c r="CB835" s="23"/>
      <c r="CC835" s="23"/>
      <c r="CD835" s="23"/>
      <c r="CE835" s="23"/>
      <c r="CF835" s="23"/>
      <c r="CG835" s="23"/>
      <c r="CH835" s="23"/>
      <c r="CI835" s="23"/>
      <c r="CJ835" s="23"/>
      <c r="CK835" s="23"/>
      <c r="CL835" s="23"/>
      <c r="CM835" s="23"/>
      <c r="CN835" s="23"/>
      <c r="CO835" s="23"/>
      <c r="CP835" s="23"/>
      <c r="CQ835" s="23"/>
      <c r="CR835" s="23"/>
      <c r="CS835" s="23"/>
      <c r="CT835" s="23"/>
      <c r="CU835" s="23"/>
      <c r="CV835" s="23"/>
      <c r="CW835" s="23"/>
      <c r="CX835" s="23"/>
      <c r="CY835" s="23"/>
      <c r="CZ835" s="23"/>
      <c r="DA835" s="23"/>
      <c r="DB835" s="23"/>
      <c r="DC835" s="23"/>
      <c r="DD835" s="23"/>
      <c r="DE835" s="23"/>
      <c r="DF835" s="23"/>
      <c r="DG835" s="23"/>
      <c r="DH835" s="23"/>
      <c r="DI835" s="23"/>
      <c r="DJ835" s="23"/>
      <c r="DK835" s="23"/>
      <c r="DL835" s="23"/>
      <c r="DM835" s="23"/>
      <c r="DN835" s="23"/>
      <c r="DO835" s="23"/>
      <c r="DP835" s="23"/>
      <c r="DQ835" s="23"/>
      <c r="DR835" s="23"/>
      <c r="DS835" s="23"/>
      <c r="DT835" s="23"/>
      <c r="DU835" s="23"/>
      <c r="DV835" s="23"/>
      <c r="DW835" s="23"/>
      <c r="DX835" s="23"/>
      <c r="DY835" s="23"/>
      <c r="DZ835" s="23"/>
      <c r="EA835" s="23"/>
      <c r="EB835" s="23"/>
      <c r="EC835" s="23"/>
      <c r="ED835" s="23"/>
      <c r="EE835" s="23"/>
      <c r="EF835" s="23"/>
      <c r="EG835" s="23"/>
      <c r="EH835" s="23"/>
      <c r="EI835" s="23"/>
      <c r="EJ835" s="23"/>
      <c r="EK835" s="23"/>
      <c r="EL835" s="23"/>
      <c r="EM835" s="23"/>
      <c r="EN835" s="23"/>
      <c r="EO835" s="23"/>
      <c r="EP835" s="23"/>
      <c r="EQ835" s="23"/>
      <c r="ER835" s="23"/>
      <c r="ES835" s="23"/>
      <c r="ET835" s="23"/>
      <c r="EU835" s="23"/>
      <c r="EV835" s="23"/>
      <c r="EW835" s="23"/>
      <c r="EX835" s="23"/>
      <c r="EY835" s="23"/>
      <c r="EZ835" s="23"/>
      <c r="FA835" s="23"/>
      <c r="FB835" s="23"/>
      <c r="FC835" s="23"/>
      <c r="FD835" s="23"/>
      <c r="FE835" s="23"/>
      <c r="FF835" s="23"/>
      <c r="FG835" s="23"/>
      <c r="FH835" s="23"/>
      <c r="FI835" s="23"/>
      <c r="FJ835" s="23"/>
      <c r="FK835" s="23"/>
      <c r="FL835" s="23"/>
      <c r="FM835" s="23"/>
      <c r="FN835" s="23"/>
      <c r="FO835" s="23"/>
      <c r="FP835" s="23"/>
      <c r="FQ835" s="23"/>
      <c r="FR835" s="23"/>
      <c r="FS835" s="23"/>
      <c r="FT835" s="23"/>
      <c r="FU835" s="23"/>
      <c r="FV835" s="23"/>
      <c r="FW835" s="23"/>
      <c r="FX835" s="23"/>
      <c r="FY835" s="23"/>
      <c r="FZ835" s="23"/>
      <c r="GA835" s="23"/>
      <c r="GB835" s="23"/>
      <c r="GC835" s="23"/>
      <c r="GD835" s="23"/>
      <c r="GE835" s="23"/>
      <c r="GF835" s="23"/>
      <c r="GG835" s="23"/>
      <c r="GH835" s="23"/>
      <c r="GI835" s="23"/>
      <c r="GJ835" s="23"/>
      <c r="GK835" s="23"/>
      <c r="GL835" s="23"/>
    </row>
    <row r="836" spans="1:194" ht="13">
      <c r="A836" s="23"/>
      <c r="B836" s="23"/>
      <c r="C836" s="23"/>
      <c r="D836" s="23"/>
      <c r="E836" s="23"/>
      <c r="F836" s="23"/>
      <c r="G836" s="23"/>
      <c r="H836" s="401"/>
      <c r="I836" s="401"/>
      <c r="J836" s="401"/>
      <c r="K836" s="401"/>
      <c r="L836" s="401"/>
      <c r="M836" s="438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  <c r="AL836" s="23"/>
      <c r="AM836" s="23"/>
      <c r="AN836" s="23"/>
      <c r="AO836" s="23"/>
      <c r="AP836" s="23"/>
      <c r="AQ836" s="23"/>
      <c r="AR836" s="23"/>
      <c r="AS836" s="23"/>
      <c r="AT836" s="23"/>
      <c r="AU836" s="23"/>
      <c r="AV836" s="23"/>
      <c r="AW836" s="23"/>
      <c r="AX836" s="23"/>
      <c r="AY836" s="23"/>
      <c r="AZ836" s="23"/>
      <c r="BA836" s="23"/>
      <c r="BB836" s="23"/>
      <c r="BC836" s="23"/>
      <c r="BD836" s="23"/>
      <c r="BE836" s="23"/>
      <c r="BF836" s="23"/>
      <c r="BG836" s="23"/>
      <c r="BH836" s="23"/>
      <c r="BI836" s="23"/>
      <c r="BJ836" s="23"/>
      <c r="BK836" s="23"/>
      <c r="BL836" s="23"/>
      <c r="BM836" s="23"/>
      <c r="BN836" s="23"/>
      <c r="BO836" s="23"/>
      <c r="BP836" s="23"/>
      <c r="BQ836" s="23"/>
      <c r="BR836" s="23"/>
      <c r="BS836" s="23"/>
      <c r="BT836" s="23"/>
      <c r="BU836" s="23"/>
      <c r="BV836" s="23"/>
      <c r="BW836" s="23"/>
      <c r="BX836" s="23"/>
      <c r="BY836" s="23"/>
      <c r="BZ836" s="23"/>
      <c r="CA836" s="23"/>
      <c r="CB836" s="23"/>
      <c r="CC836" s="23"/>
      <c r="CD836" s="23"/>
      <c r="CE836" s="23"/>
      <c r="CF836" s="23"/>
      <c r="CG836" s="23"/>
      <c r="CH836" s="23"/>
      <c r="CI836" s="23"/>
      <c r="CJ836" s="23"/>
      <c r="CK836" s="23"/>
      <c r="CL836" s="23"/>
      <c r="CM836" s="23"/>
      <c r="CN836" s="23"/>
      <c r="CO836" s="23"/>
      <c r="CP836" s="23"/>
      <c r="CQ836" s="23"/>
      <c r="CR836" s="23"/>
      <c r="CS836" s="23"/>
      <c r="CT836" s="23"/>
      <c r="CU836" s="23"/>
      <c r="CV836" s="23"/>
      <c r="CW836" s="23"/>
      <c r="CX836" s="23"/>
      <c r="CY836" s="23"/>
      <c r="CZ836" s="23"/>
      <c r="DA836" s="23"/>
      <c r="DB836" s="23"/>
      <c r="DC836" s="23"/>
      <c r="DD836" s="23"/>
      <c r="DE836" s="23"/>
      <c r="DF836" s="23"/>
      <c r="DG836" s="23"/>
      <c r="DH836" s="23"/>
      <c r="DI836" s="23"/>
      <c r="DJ836" s="23"/>
      <c r="DK836" s="23"/>
      <c r="DL836" s="23"/>
      <c r="DM836" s="23"/>
      <c r="DN836" s="23"/>
      <c r="DO836" s="23"/>
      <c r="DP836" s="23"/>
      <c r="DQ836" s="23"/>
      <c r="DR836" s="23"/>
      <c r="DS836" s="23"/>
      <c r="DT836" s="23"/>
      <c r="DU836" s="23"/>
      <c r="DV836" s="23"/>
      <c r="DW836" s="23"/>
      <c r="DX836" s="23"/>
      <c r="DY836" s="23"/>
      <c r="DZ836" s="23"/>
      <c r="EA836" s="23"/>
      <c r="EB836" s="23"/>
      <c r="EC836" s="23"/>
      <c r="ED836" s="23"/>
      <c r="EE836" s="23"/>
      <c r="EF836" s="23"/>
      <c r="EG836" s="23"/>
      <c r="EH836" s="23"/>
      <c r="EI836" s="23"/>
      <c r="EJ836" s="23"/>
      <c r="EK836" s="23"/>
      <c r="EL836" s="23"/>
      <c r="EM836" s="23"/>
      <c r="EN836" s="23"/>
      <c r="EO836" s="23"/>
      <c r="EP836" s="23"/>
      <c r="EQ836" s="23"/>
      <c r="ER836" s="23"/>
      <c r="ES836" s="23"/>
      <c r="ET836" s="23"/>
      <c r="EU836" s="23"/>
      <c r="EV836" s="23"/>
      <c r="EW836" s="23"/>
      <c r="EX836" s="23"/>
      <c r="EY836" s="23"/>
      <c r="EZ836" s="23"/>
      <c r="FA836" s="23"/>
      <c r="FB836" s="23"/>
      <c r="FC836" s="23"/>
      <c r="FD836" s="23"/>
      <c r="FE836" s="23"/>
      <c r="FF836" s="23"/>
      <c r="FG836" s="23"/>
      <c r="FH836" s="23"/>
      <c r="FI836" s="23"/>
      <c r="FJ836" s="23"/>
      <c r="FK836" s="23"/>
      <c r="FL836" s="23"/>
      <c r="FM836" s="23"/>
      <c r="FN836" s="23"/>
      <c r="FO836" s="23"/>
      <c r="FP836" s="23"/>
      <c r="FQ836" s="23"/>
      <c r="FR836" s="23"/>
      <c r="FS836" s="23"/>
      <c r="FT836" s="23"/>
      <c r="FU836" s="23"/>
      <c r="FV836" s="23"/>
      <c r="FW836" s="23"/>
      <c r="FX836" s="23"/>
      <c r="FY836" s="23"/>
      <c r="FZ836" s="23"/>
      <c r="GA836" s="23"/>
      <c r="GB836" s="23"/>
      <c r="GC836" s="23"/>
      <c r="GD836" s="23"/>
      <c r="GE836" s="23"/>
      <c r="GF836" s="23"/>
      <c r="GG836" s="23"/>
      <c r="GH836" s="23"/>
      <c r="GI836" s="23"/>
      <c r="GJ836" s="23"/>
      <c r="GK836" s="23"/>
      <c r="GL836" s="23"/>
    </row>
    <row r="837" spans="1:194" ht="13">
      <c r="A837" s="23"/>
      <c r="B837" s="23"/>
      <c r="C837" s="23"/>
      <c r="D837" s="23"/>
      <c r="E837" s="23"/>
      <c r="F837" s="23"/>
      <c r="G837" s="23"/>
      <c r="H837" s="401"/>
      <c r="I837" s="401"/>
      <c r="J837" s="401"/>
      <c r="K837" s="401"/>
      <c r="L837" s="401"/>
      <c r="M837" s="438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  <c r="AL837" s="23"/>
      <c r="AM837" s="23"/>
      <c r="AN837" s="23"/>
      <c r="AO837" s="23"/>
      <c r="AP837" s="23"/>
      <c r="AQ837" s="23"/>
      <c r="AR837" s="23"/>
      <c r="AS837" s="23"/>
      <c r="AT837" s="23"/>
      <c r="AU837" s="23"/>
      <c r="AV837" s="23"/>
      <c r="AW837" s="23"/>
      <c r="AX837" s="23"/>
      <c r="AY837" s="23"/>
      <c r="AZ837" s="23"/>
      <c r="BA837" s="23"/>
      <c r="BB837" s="23"/>
      <c r="BC837" s="23"/>
      <c r="BD837" s="23"/>
      <c r="BE837" s="23"/>
      <c r="BF837" s="23"/>
      <c r="BG837" s="23"/>
      <c r="BH837" s="23"/>
      <c r="BI837" s="23"/>
      <c r="BJ837" s="23"/>
      <c r="BK837" s="23"/>
      <c r="BL837" s="23"/>
      <c r="BM837" s="23"/>
      <c r="BN837" s="23"/>
      <c r="BO837" s="23"/>
      <c r="BP837" s="23"/>
      <c r="BQ837" s="23"/>
      <c r="BR837" s="23"/>
      <c r="BS837" s="23"/>
      <c r="BT837" s="23"/>
      <c r="BU837" s="23"/>
      <c r="BV837" s="23"/>
      <c r="BW837" s="23"/>
      <c r="BX837" s="23"/>
      <c r="BY837" s="23"/>
      <c r="BZ837" s="23"/>
      <c r="CA837" s="23"/>
      <c r="CB837" s="23"/>
      <c r="CC837" s="23"/>
      <c r="CD837" s="23"/>
      <c r="CE837" s="23"/>
      <c r="CF837" s="23"/>
      <c r="CG837" s="23"/>
      <c r="CH837" s="23"/>
      <c r="CI837" s="23"/>
      <c r="CJ837" s="23"/>
      <c r="CK837" s="23"/>
      <c r="CL837" s="23"/>
      <c r="CM837" s="23"/>
      <c r="CN837" s="23"/>
      <c r="CO837" s="23"/>
      <c r="CP837" s="23"/>
      <c r="CQ837" s="23"/>
      <c r="CR837" s="23"/>
      <c r="CS837" s="23"/>
      <c r="CT837" s="23"/>
      <c r="CU837" s="23"/>
      <c r="CV837" s="23"/>
      <c r="CW837" s="23"/>
      <c r="CX837" s="23"/>
      <c r="CY837" s="23"/>
      <c r="CZ837" s="23"/>
      <c r="DA837" s="23"/>
      <c r="DB837" s="23"/>
      <c r="DC837" s="23"/>
      <c r="DD837" s="23"/>
      <c r="DE837" s="23"/>
      <c r="DF837" s="23"/>
      <c r="DG837" s="23"/>
      <c r="DH837" s="23"/>
      <c r="DI837" s="23"/>
      <c r="DJ837" s="23"/>
      <c r="DK837" s="23"/>
      <c r="DL837" s="23"/>
      <c r="DM837" s="23"/>
      <c r="DN837" s="23"/>
      <c r="DO837" s="23"/>
      <c r="DP837" s="23"/>
      <c r="DQ837" s="23"/>
      <c r="DR837" s="23"/>
      <c r="DS837" s="23"/>
      <c r="DT837" s="23"/>
      <c r="DU837" s="23"/>
      <c r="DV837" s="23"/>
      <c r="DW837" s="23"/>
      <c r="DX837" s="23"/>
      <c r="DY837" s="23"/>
      <c r="DZ837" s="23"/>
      <c r="EA837" s="23"/>
      <c r="EB837" s="23"/>
      <c r="EC837" s="23"/>
      <c r="ED837" s="23"/>
      <c r="EE837" s="23"/>
      <c r="EF837" s="23"/>
      <c r="EG837" s="23"/>
      <c r="EH837" s="23"/>
      <c r="EI837" s="23"/>
      <c r="EJ837" s="23"/>
      <c r="EK837" s="23"/>
      <c r="EL837" s="23"/>
      <c r="EM837" s="23"/>
      <c r="EN837" s="23"/>
      <c r="EO837" s="23"/>
      <c r="EP837" s="23"/>
      <c r="EQ837" s="23"/>
      <c r="ER837" s="23"/>
      <c r="ES837" s="23"/>
      <c r="ET837" s="23"/>
      <c r="EU837" s="23"/>
      <c r="EV837" s="23"/>
      <c r="EW837" s="23"/>
      <c r="EX837" s="23"/>
      <c r="EY837" s="23"/>
      <c r="EZ837" s="23"/>
      <c r="FA837" s="23"/>
      <c r="FB837" s="23"/>
      <c r="FC837" s="23"/>
      <c r="FD837" s="23"/>
      <c r="FE837" s="23"/>
      <c r="FF837" s="23"/>
      <c r="FG837" s="23"/>
      <c r="FH837" s="23"/>
      <c r="FI837" s="23"/>
      <c r="FJ837" s="23"/>
      <c r="FK837" s="23"/>
      <c r="FL837" s="23"/>
      <c r="FM837" s="23"/>
      <c r="FN837" s="23"/>
      <c r="FO837" s="23"/>
      <c r="FP837" s="23"/>
      <c r="FQ837" s="23"/>
      <c r="FR837" s="23"/>
      <c r="FS837" s="23"/>
      <c r="FT837" s="23"/>
      <c r="FU837" s="23"/>
      <c r="FV837" s="23"/>
      <c r="FW837" s="23"/>
      <c r="FX837" s="23"/>
      <c r="FY837" s="23"/>
      <c r="FZ837" s="23"/>
      <c r="GA837" s="23"/>
      <c r="GB837" s="23"/>
      <c r="GC837" s="23"/>
      <c r="GD837" s="23"/>
      <c r="GE837" s="23"/>
      <c r="GF837" s="23"/>
      <c r="GG837" s="23"/>
      <c r="GH837" s="23"/>
      <c r="GI837" s="23"/>
      <c r="GJ837" s="23"/>
      <c r="GK837" s="23"/>
      <c r="GL837" s="23"/>
    </row>
    <row r="838" spans="1:194" ht="13">
      <c r="A838" s="23"/>
      <c r="B838" s="23"/>
      <c r="C838" s="23"/>
      <c r="D838" s="23"/>
      <c r="E838" s="23"/>
      <c r="F838" s="23"/>
      <c r="G838" s="23"/>
      <c r="H838" s="401"/>
      <c r="I838" s="401"/>
      <c r="J838" s="401"/>
      <c r="K838" s="401"/>
      <c r="L838" s="401"/>
      <c r="M838" s="438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  <c r="AL838" s="23"/>
      <c r="AM838" s="23"/>
      <c r="AN838" s="23"/>
      <c r="AO838" s="23"/>
      <c r="AP838" s="23"/>
      <c r="AQ838" s="23"/>
      <c r="AR838" s="23"/>
      <c r="AS838" s="23"/>
      <c r="AT838" s="23"/>
      <c r="AU838" s="23"/>
      <c r="AV838" s="23"/>
      <c r="AW838" s="23"/>
      <c r="AX838" s="23"/>
      <c r="AY838" s="23"/>
      <c r="AZ838" s="23"/>
      <c r="BA838" s="23"/>
      <c r="BB838" s="23"/>
      <c r="BC838" s="23"/>
      <c r="BD838" s="23"/>
      <c r="BE838" s="23"/>
      <c r="BF838" s="23"/>
      <c r="BG838" s="23"/>
      <c r="BH838" s="23"/>
      <c r="BI838" s="23"/>
      <c r="BJ838" s="23"/>
      <c r="BK838" s="23"/>
      <c r="BL838" s="23"/>
      <c r="BM838" s="23"/>
      <c r="BN838" s="23"/>
      <c r="BO838" s="23"/>
      <c r="BP838" s="23"/>
      <c r="BQ838" s="23"/>
      <c r="BR838" s="23"/>
      <c r="BS838" s="23"/>
      <c r="BT838" s="23"/>
      <c r="BU838" s="23"/>
      <c r="BV838" s="23"/>
      <c r="BW838" s="23"/>
      <c r="BX838" s="23"/>
      <c r="BY838" s="23"/>
      <c r="BZ838" s="23"/>
      <c r="CA838" s="23"/>
      <c r="CB838" s="23"/>
      <c r="CC838" s="23"/>
      <c r="CD838" s="23"/>
      <c r="CE838" s="23"/>
      <c r="CF838" s="23"/>
      <c r="CG838" s="23"/>
      <c r="CH838" s="23"/>
      <c r="CI838" s="23"/>
      <c r="CJ838" s="23"/>
      <c r="CK838" s="23"/>
      <c r="CL838" s="23"/>
      <c r="CM838" s="23"/>
      <c r="CN838" s="23"/>
      <c r="CO838" s="23"/>
      <c r="CP838" s="23"/>
      <c r="CQ838" s="23"/>
      <c r="CR838" s="23"/>
      <c r="CS838" s="23"/>
      <c r="CT838" s="23"/>
      <c r="CU838" s="23"/>
      <c r="CV838" s="23"/>
      <c r="CW838" s="23"/>
      <c r="CX838" s="23"/>
      <c r="CY838" s="23"/>
      <c r="CZ838" s="23"/>
      <c r="DA838" s="23"/>
      <c r="DB838" s="23"/>
      <c r="DC838" s="23"/>
      <c r="DD838" s="23"/>
      <c r="DE838" s="23"/>
      <c r="DF838" s="23"/>
      <c r="DG838" s="23"/>
      <c r="DH838" s="23"/>
      <c r="DI838" s="23"/>
      <c r="DJ838" s="23"/>
      <c r="DK838" s="23"/>
      <c r="DL838" s="23"/>
      <c r="DM838" s="23"/>
      <c r="DN838" s="23"/>
      <c r="DO838" s="23"/>
      <c r="DP838" s="23"/>
      <c r="DQ838" s="23"/>
      <c r="DR838" s="23"/>
      <c r="DS838" s="23"/>
      <c r="DT838" s="23"/>
      <c r="DU838" s="23"/>
      <c r="DV838" s="23"/>
      <c r="DW838" s="23"/>
      <c r="DX838" s="23"/>
      <c r="DY838" s="23"/>
      <c r="DZ838" s="23"/>
      <c r="EA838" s="23"/>
      <c r="EB838" s="23"/>
      <c r="EC838" s="23"/>
      <c r="ED838" s="23"/>
      <c r="EE838" s="23"/>
      <c r="EF838" s="23"/>
      <c r="EG838" s="23"/>
      <c r="EH838" s="23"/>
      <c r="EI838" s="23"/>
      <c r="EJ838" s="23"/>
      <c r="EK838" s="23"/>
      <c r="EL838" s="23"/>
      <c r="EM838" s="23"/>
      <c r="EN838" s="23"/>
      <c r="EO838" s="23"/>
      <c r="EP838" s="23"/>
      <c r="EQ838" s="23"/>
      <c r="ER838" s="23"/>
      <c r="ES838" s="23"/>
      <c r="ET838" s="23"/>
      <c r="EU838" s="23"/>
      <c r="EV838" s="23"/>
      <c r="EW838" s="23"/>
      <c r="EX838" s="23"/>
      <c r="EY838" s="23"/>
      <c r="EZ838" s="23"/>
      <c r="FA838" s="23"/>
      <c r="FB838" s="23"/>
      <c r="FC838" s="23"/>
      <c r="FD838" s="23"/>
      <c r="FE838" s="23"/>
      <c r="FF838" s="23"/>
      <c r="FG838" s="23"/>
      <c r="FH838" s="23"/>
      <c r="FI838" s="23"/>
      <c r="FJ838" s="23"/>
      <c r="FK838" s="23"/>
      <c r="FL838" s="23"/>
      <c r="FM838" s="23"/>
      <c r="FN838" s="23"/>
      <c r="FO838" s="23"/>
      <c r="FP838" s="23"/>
      <c r="FQ838" s="23"/>
      <c r="FR838" s="23"/>
      <c r="FS838" s="23"/>
      <c r="FT838" s="23"/>
      <c r="FU838" s="23"/>
      <c r="FV838" s="23"/>
      <c r="FW838" s="23"/>
      <c r="FX838" s="23"/>
      <c r="FY838" s="23"/>
      <c r="FZ838" s="23"/>
      <c r="GA838" s="23"/>
      <c r="GB838" s="23"/>
      <c r="GC838" s="23"/>
      <c r="GD838" s="23"/>
      <c r="GE838" s="23"/>
      <c r="GF838" s="23"/>
      <c r="GG838" s="23"/>
      <c r="GH838" s="23"/>
      <c r="GI838" s="23"/>
      <c r="GJ838" s="23"/>
      <c r="GK838" s="23"/>
      <c r="GL838" s="23"/>
    </row>
    <row r="839" spans="1:194" ht="13">
      <c r="A839" s="23"/>
      <c r="B839" s="23"/>
      <c r="C839" s="23"/>
      <c r="D839" s="23"/>
      <c r="E839" s="23"/>
      <c r="F839" s="23"/>
      <c r="G839" s="23"/>
      <c r="H839" s="401"/>
      <c r="I839" s="401"/>
      <c r="J839" s="401"/>
      <c r="K839" s="401"/>
      <c r="L839" s="401"/>
      <c r="M839" s="438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  <c r="AL839" s="23"/>
      <c r="AM839" s="23"/>
      <c r="AN839" s="23"/>
      <c r="AO839" s="23"/>
      <c r="AP839" s="23"/>
      <c r="AQ839" s="23"/>
      <c r="AR839" s="23"/>
      <c r="AS839" s="23"/>
      <c r="AT839" s="23"/>
      <c r="AU839" s="23"/>
      <c r="AV839" s="23"/>
      <c r="AW839" s="23"/>
      <c r="AX839" s="23"/>
      <c r="AY839" s="23"/>
      <c r="AZ839" s="23"/>
      <c r="BA839" s="23"/>
      <c r="BB839" s="23"/>
      <c r="BC839" s="23"/>
      <c r="BD839" s="23"/>
      <c r="BE839" s="23"/>
      <c r="BF839" s="23"/>
      <c r="BG839" s="23"/>
      <c r="BH839" s="23"/>
      <c r="BI839" s="23"/>
      <c r="BJ839" s="23"/>
      <c r="BK839" s="23"/>
      <c r="BL839" s="23"/>
      <c r="BM839" s="23"/>
      <c r="BN839" s="23"/>
      <c r="BO839" s="23"/>
      <c r="BP839" s="23"/>
      <c r="BQ839" s="23"/>
      <c r="BR839" s="23"/>
      <c r="BS839" s="23"/>
      <c r="BT839" s="23"/>
      <c r="BU839" s="23"/>
      <c r="BV839" s="23"/>
      <c r="BW839" s="23"/>
      <c r="BX839" s="23"/>
      <c r="BY839" s="23"/>
      <c r="BZ839" s="23"/>
      <c r="CA839" s="23"/>
      <c r="CB839" s="23"/>
      <c r="CC839" s="23"/>
      <c r="CD839" s="23"/>
      <c r="CE839" s="23"/>
      <c r="CF839" s="23"/>
      <c r="CG839" s="23"/>
      <c r="CH839" s="23"/>
      <c r="CI839" s="23"/>
      <c r="CJ839" s="23"/>
      <c r="CK839" s="23"/>
      <c r="CL839" s="23"/>
      <c r="CM839" s="23"/>
      <c r="CN839" s="23"/>
      <c r="CO839" s="23"/>
      <c r="CP839" s="23"/>
      <c r="CQ839" s="23"/>
      <c r="CR839" s="23"/>
      <c r="CS839" s="23"/>
      <c r="CT839" s="23"/>
      <c r="CU839" s="23"/>
      <c r="CV839" s="23"/>
      <c r="CW839" s="23"/>
      <c r="CX839" s="23"/>
      <c r="CY839" s="23"/>
      <c r="CZ839" s="23"/>
      <c r="DA839" s="23"/>
      <c r="DB839" s="23"/>
      <c r="DC839" s="23"/>
      <c r="DD839" s="23"/>
      <c r="DE839" s="23"/>
      <c r="DF839" s="23"/>
      <c r="DG839" s="23"/>
      <c r="DH839" s="23"/>
      <c r="DI839" s="23"/>
      <c r="DJ839" s="23"/>
      <c r="DK839" s="23"/>
      <c r="DL839" s="23"/>
      <c r="DM839" s="23"/>
      <c r="DN839" s="23"/>
      <c r="DO839" s="23"/>
      <c r="DP839" s="23"/>
      <c r="DQ839" s="23"/>
      <c r="DR839" s="23"/>
      <c r="DS839" s="23"/>
      <c r="DT839" s="23"/>
      <c r="DU839" s="23"/>
      <c r="DV839" s="23"/>
      <c r="DW839" s="23"/>
      <c r="DX839" s="23"/>
      <c r="DY839" s="23"/>
      <c r="DZ839" s="23"/>
      <c r="EA839" s="23"/>
      <c r="EB839" s="23"/>
      <c r="EC839" s="23"/>
      <c r="ED839" s="23"/>
      <c r="EE839" s="23"/>
      <c r="EF839" s="23"/>
      <c r="EG839" s="23"/>
      <c r="EH839" s="23"/>
      <c r="EI839" s="23"/>
      <c r="EJ839" s="23"/>
      <c r="EK839" s="23"/>
      <c r="EL839" s="23"/>
      <c r="EM839" s="23"/>
      <c r="EN839" s="23"/>
      <c r="EO839" s="23"/>
      <c r="EP839" s="23"/>
      <c r="EQ839" s="23"/>
      <c r="ER839" s="23"/>
      <c r="ES839" s="23"/>
      <c r="ET839" s="23"/>
      <c r="EU839" s="23"/>
      <c r="EV839" s="23"/>
      <c r="EW839" s="23"/>
      <c r="EX839" s="23"/>
      <c r="EY839" s="23"/>
      <c r="EZ839" s="23"/>
      <c r="FA839" s="23"/>
      <c r="FB839" s="23"/>
      <c r="FC839" s="23"/>
      <c r="FD839" s="23"/>
      <c r="FE839" s="23"/>
      <c r="FF839" s="23"/>
      <c r="FG839" s="23"/>
      <c r="FH839" s="23"/>
      <c r="FI839" s="23"/>
      <c r="FJ839" s="23"/>
      <c r="FK839" s="23"/>
      <c r="FL839" s="23"/>
      <c r="FM839" s="23"/>
      <c r="FN839" s="23"/>
      <c r="FO839" s="23"/>
      <c r="FP839" s="23"/>
      <c r="FQ839" s="23"/>
      <c r="FR839" s="23"/>
      <c r="FS839" s="23"/>
      <c r="FT839" s="23"/>
      <c r="FU839" s="23"/>
      <c r="FV839" s="23"/>
      <c r="FW839" s="23"/>
      <c r="FX839" s="23"/>
      <c r="FY839" s="23"/>
      <c r="FZ839" s="23"/>
      <c r="GA839" s="23"/>
      <c r="GB839" s="23"/>
      <c r="GC839" s="23"/>
      <c r="GD839" s="23"/>
      <c r="GE839" s="23"/>
      <c r="GF839" s="23"/>
      <c r="GG839" s="23"/>
      <c r="GH839" s="23"/>
      <c r="GI839" s="23"/>
      <c r="GJ839" s="23"/>
      <c r="GK839" s="23"/>
      <c r="GL839" s="23"/>
    </row>
    <row r="840" spans="1:194" ht="13">
      <c r="A840" s="23"/>
      <c r="B840" s="23"/>
      <c r="C840" s="23"/>
      <c r="D840" s="23"/>
      <c r="E840" s="23"/>
      <c r="F840" s="23"/>
      <c r="G840" s="23"/>
      <c r="H840" s="401"/>
      <c r="I840" s="401"/>
      <c r="J840" s="401"/>
      <c r="K840" s="401"/>
      <c r="L840" s="401"/>
      <c r="M840" s="438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  <c r="AL840" s="23"/>
      <c r="AM840" s="23"/>
      <c r="AN840" s="23"/>
      <c r="AO840" s="23"/>
      <c r="AP840" s="23"/>
      <c r="AQ840" s="23"/>
      <c r="AR840" s="23"/>
      <c r="AS840" s="23"/>
      <c r="AT840" s="23"/>
      <c r="AU840" s="23"/>
      <c r="AV840" s="23"/>
      <c r="AW840" s="23"/>
      <c r="AX840" s="23"/>
      <c r="AY840" s="23"/>
      <c r="AZ840" s="23"/>
      <c r="BA840" s="23"/>
      <c r="BB840" s="23"/>
      <c r="BC840" s="23"/>
      <c r="BD840" s="23"/>
      <c r="BE840" s="23"/>
      <c r="BF840" s="23"/>
      <c r="BG840" s="23"/>
      <c r="BH840" s="23"/>
      <c r="BI840" s="23"/>
      <c r="BJ840" s="23"/>
      <c r="BK840" s="23"/>
      <c r="BL840" s="23"/>
      <c r="BM840" s="23"/>
      <c r="BN840" s="23"/>
      <c r="BO840" s="23"/>
      <c r="BP840" s="23"/>
      <c r="BQ840" s="23"/>
      <c r="BR840" s="23"/>
      <c r="BS840" s="23"/>
      <c r="BT840" s="23"/>
      <c r="BU840" s="23"/>
      <c r="BV840" s="23"/>
      <c r="BW840" s="23"/>
      <c r="BX840" s="23"/>
      <c r="BY840" s="23"/>
      <c r="BZ840" s="23"/>
      <c r="CA840" s="23"/>
      <c r="CB840" s="23"/>
      <c r="CC840" s="23"/>
      <c r="CD840" s="23"/>
      <c r="CE840" s="23"/>
      <c r="CF840" s="23"/>
      <c r="CG840" s="23"/>
      <c r="CH840" s="23"/>
      <c r="CI840" s="23"/>
      <c r="CJ840" s="23"/>
      <c r="CK840" s="23"/>
      <c r="CL840" s="23"/>
      <c r="CM840" s="23"/>
      <c r="CN840" s="23"/>
      <c r="CO840" s="23"/>
      <c r="CP840" s="23"/>
      <c r="CQ840" s="23"/>
      <c r="CR840" s="23"/>
      <c r="CS840" s="23"/>
      <c r="CT840" s="23"/>
      <c r="CU840" s="23"/>
      <c r="CV840" s="23"/>
      <c r="CW840" s="23"/>
      <c r="CX840" s="23"/>
      <c r="CY840" s="23"/>
      <c r="CZ840" s="23"/>
      <c r="DA840" s="23"/>
      <c r="DB840" s="23"/>
      <c r="DC840" s="23"/>
      <c r="DD840" s="23"/>
      <c r="DE840" s="23"/>
      <c r="DF840" s="23"/>
      <c r="DG840" s="23"/>
      <c r="DH840" s="23"/>
      <c r="DI840" s="23"/>
      <c r="DJ840" s="23"/>
      <c r="DK840" s="23"/>
      <c r="DL840" s="23"/>
      <c r="DM840" s="23"/>
      <c r="DN840" s="23"/>
      <c r="DO840" s="23"/>
      <c r="DP840" s="23"/>
      <c r="DQ840" s="23"/>
      <c r="DR840" s="23"/>
      <c r="DS840" s="23"/>
      <c r="DT840" s="23"/>
      <c r="DU840" s="23"/>
      <c r="DV840" s="23"/>
      <c r="DW840" s="23"/>
      <c r="DX840" s="23"/>
      <c r="DY840" s="23"/>
      <c r="DZ840" s="23"/>
      <c r="EA840" s="23"/>
      <c r="EB840" s="23"/>
      <c r="EC840" s="23"/>
      <c r="ED840" s="23"/>
      <c r="EE840" s="23"/>
      <c r="EF840" s="23"/>
      <c r="EG840" s="23"/>
      <c r="EH840" s="23"/>
      <c r="EI840" s="23"/>
      <c r="EJ840" s="23"/>
      <c r="EK840" s="23"/>
      <c r="EL840" s="23"/>
      <c r="EM840" s="23"/>
      <c r="EN840" s="23"/>
      <c r="EO840" s="23"/>
      <c r="EP840" s="23"/>
      <c r="EQ840" s="23"/>
      <c r="ER840" s="23"/>
      <c r="ES840" s="23"/>
      <c r="ET840" s="23"/>
      <c r="EU840" s="23"/>
      <c r="EV840" s="23"/>
      <c r="EW840" s="23"/>
      <c r="EX840" s="23"/>
      <c r="EY840" s="23"/>
      <c r="EZ840" s="23"/>
      <c r="FA840" s="23"/>
      <c r="FB840" s="23"/>
      <c r="FC840" s="23"/>
      <c r="FD840" s="23"/>
      <c r="FE840" s="23"/>
      <c r="FF840" s="23"/>
      <c r="FG840" s="23"/>
      <c r="FH840" s="23"/>
      <c r="FI840" s="23"/>
      <c r="FJ840" s="23"/>
      <c r="FK840" s="23"/>
      <c r="FL840" s="23"/>
      <c r="FM840" s="23"/>
      <c r="FN840" s="23"/>
      <c r="FO840" s="23"/>
      <c r="FP840" s="23"/>
      <c r="FQ840" s="23"/>
      <c r="FR840" s="23"/>
      <c r="FS840" s="23"/>
      <c r="FT840" s="23"/>
      <c r="FU840" s="23"/>
      <c r="FV840" s="23"/>
      <c r="FW840" s="23"/>
      <c r="FX840" s="23"/>
      <c r="FY840" s="23"/>
      <c r="FZ840" s="23"/>
      <c r="GA840" s="23"/>
      <c r="GB840" s="23"/>
      <c r="GC840" s="23"/>
      <c r="GD840" s="23"/>
      <c r="GE840" s="23"/>
      <c r="GF840" s="23"/>
      <c r="GG840" s="23"/>
      <c r="GH840" s="23"/>
      <c r="GI840" s="23"/>
      <c r="GJ840" s="23"/>
      <c r="GK840" s="23"/>
      <c r="GL840" s="23"/>
    </row>
    <row r="841" spans="1:194" ht="13">
      <c r="A841" s="23"/>
      <c r="B841" s="23"/>
      <c r="C841" s="23"/>
      <c r="D841" s="23"/>
      <c r="E841" s="23"/>
      <c r="F841" s="23"/>
      <c r="G841" s="23"/>
      <c r="H841" s="401"/>
      <c r="I841" s="401"/>
      <c r="J841" s="401"/>
      <c r="K841" s="401"/>
      <c r="L841" s="401"/>
      <c r="M841" s="438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  <c r="AL841" s="23"/>
      <c r="AM841" s="23"/>
      <c r="AN841" s="23"/>
      <c r="AO841" s="23"/>
      <c r="AP841" s="23"/>
      <c r="AQ841" s="23"/>
      <c r="AR841" s="23"/>
      <c r="AS841" s="23"/>
      <c r="AT841" s="23"/>
      <c r="AU841" s="23"/>
      <c r="AV841" s="23"/>
      <c r="AW841" s="23"/>
      <c r="AX841" s="23"/>
      <c r="AY841" s="23"/>
      <c r="AZ841" s="23"/>
      <c r="BA841" s="23"/>
      <c r="BB841" s="23"/>
      <c r="BC841" s="23"/>
      <c r="BD841" s="23"/>
      <c r="BE841" s="23"/>
      <c r="BF841" s="23"/>
      <c r="BG841" s="23"/>
      <c r="BH841" s="23"/>
      <c r="BI841" s="23"/>
      <c r="BJ841" s="23"/>
      <c r="BK841" s="23"/>
      <c r="BL841" s="23"/>
      <c r="BM841" s="23"/>
      <c r="BN841" s="23"/>
      <c r="BO841" s="23"/>
      <c r="BP841" s="23"/>
      <c r="BQ841" s="23"/>
      <c r="BR841" s="23"/>
      <c r="BS841" s="23"/>
      <c r="BT841" s="23"/>
      <c r="BU841" s="23"/>
      <c r="BV841" s="23"/>
      <c r="BW841" s="23"/>
      <c r="BX841" s="23"/>
      <c r="BY841" s="23"/>
      <c r="BZ841" s="23"/>
      <c r="CA841" s="23"/>
      <c r="CB841" s="23"/>
      <c r="CC841" s="23"/>
      <c r="CD841" s="23"/>
      <c r="CE841" s="23"/>
      <c r="CF841" s="23"/>
      <c r="CG841" s="23"/>
      <c r="CH841" s="23"/>
      <c r="CI841" s="23"/>
      <c r="CJ841" s="23"/>
      <c r="CK841" s="23"/>
      <c r="CL841" s="23"/>
      <c r="CM841" s="23"/>
      <c r="CN841" s="23"/>
      <c r="CO841" s="23"/>
      <c r="CP841" s="23"/>
      <c r="CQ841" s="23"/>
      <c r="CR841" s="23"/>
      <c r="CS841" s="23"/>
      <c r="CT841" s="23"/>
      <c r="CU841" s="23"/>
      <c r="CV841" s="23"/>
      <c r="CW841" s="23"/>
      <c r="CX841" s="23"/>
      <c r="CY841" s="23"/>
      <c r="CZ841" s="23"/>
      <c r="DA841" s="23"/>
      <c r="DB841" s="23"/>
      <c r="DC841" s="23"/>
      <c r="DD841" s="23"/>
      <c r="DE841" s="23"/>
      <c r="DF841" s="23"/>
      <c r="DG841" s="23"/>
      <c r="DH841" s="23"/>
      <c r="DI841" s="23"/>
      <c r="DJ841" s="23"/>
      <c r="DK841" s="23"/>
      <c r="DL841" s="23"/>
      <c r="DM841" s="23"/>
      <c r="DN841" s="23"/>
      <c r="DO841" s="23"/>
      <c r="DP841" s="23"/>
      <c r="DQ841" s="23"/>
      <c r="DR841" s="23"/>
      <c r="DS841" s="23"/>
      <c r="DT841" s="23"/>
      <c r="DU841" s="23"/>
      <c r="DV841" s="23"/>
      <c r="DW841" s="23"/>
      <c r="DX841" s="23"/>
      <c r="DY841" s="23"/>
      <c r="DZ841" s="23"/>
      <c r="EA841" s="23"/>
      <c r="EB841" s="23"/>
      <c r="EC841" s="23"/>
      <c r="ED841" s="23"/>
      <c r="EE841" s="23"/>
      <c r="EF841" s="23"/>
      <c r="EG841" s="23"/>
      <c r="EH841" s="23"/>
      <c r="EI841" s="23"/>
      <c r="EJ841" s="23"/>
      <c r="EK841" s="23"/>
      <c r="EL841" s="23"/>
      <c r="EM841" s="23"/>
      <c r="EN841" s="23"/>
      <c r="EO841" s="23"/>
      <c r="EP841" s="23"/>
      <c r="EQ841" s="23"/>
      <c r="ER841" s="23"/>
      <c r="ES841" s="23"/>
      <c r="ET841" s="23"/>
      <c r="EU841" s="23"/>
      <c r="EV841" s="23"/>
      <c r="EW841" s="23"/>
      <c r="EX841" s="23"/>
      <c r="EY841" s="23"/>
      <c r="EZ841" s="23"/>
      <c r="FA841" s="23"/>
      <c r="FB841" s="23"/>
      <c r="FC841" s="23"/>
      <c r="FD841" s="23"/>
      <c r="FE841" s="23"/>
      <c r="FF841" s="23"/>
      <c r="FG841" s="23"/>
      <c r="FH841" s="23"/>
      <c r="FI841" s="23"/>
      <c r="FJ841" s="23"/>
      <c r="FK841" s="23"/>
      <c r="FL841" s="23"/>
      <c r="FM841" s="23"/>
      <c r="FN841" s="23"/>
      <c r="FO841" s="23"/>
      <c r="FP841" s="23"/>
      <c r="FQ841" s="23"/>
      <c r="FR841" s="23"/>
      <c r="FS841" s="23"/>
      <c r="FT841" s="23"/>
      <c r="FU841" s="23"/>
      <c r="FV841" s="23"/>
      <c r="FW841" s="23"/>
      <c r="FX841" s="23"/>
      <c r="FY841" s="23"/>
      <c r="FZ841" s="23"/>
      <c r="GA841" s="23"/>
      <c r="GB841" s="23"/>
      <c r="GC841" s="23"/>
      <c r="GD841" s="23"/>
      <c r="GE841" s="23"/>
      <c r="GF841" s="23"/>
      <c r="GG841" s="23"/>
      <c r="GH841" s="23"/>
      <c r="GI841" s="23"/>
      <c r="GJ841" s="23"/>
      <c r="GK841" s="23"/>
      <c r="GL841" s="23"/>
    </row>
    <row r="842" spans="1:194" ht="13">
      <c r="A842" s="23"/>
      <c r="B842" s="23"/>
      <c r="C842" s="23"/>
      <c r="D842" s="23"/>
      <c r="E842" s="23"/>
      <c r="F842" s="23"/>
      <c r="G842" s="23"/>
      <c r="H842" s="401"/>
      <c r="I842" s="401"/>
      <c r="J842" s="401"/>
      <c r="K842" s="401"/>
      <c r="L842" s="401"/>
      <c r="M842" s="438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  <c r="AL842" s="23"/>
      <c r="AM842" s="23"/>
      <c r="AN842" s="23"/>
      <c r="AO842" s="23"/>
      <c r="AP842" s="23"/>
      <c r="AQ842" s="23"/>
      <c r="AR842" s="23"/>
      <c r="AS842" s="23"/>
      <c r="AT842" s="23"/>
      <c r="AU842" s="23"/>
      <c r="AV842" s="23"/>
      <c r="AW842" s="23"/>
      <c r="AX842" s="23"/>
      <c r="AY842" s="23"/>
      <c r="AZ842" s="23"/>
      <c r="BA842" s="23"/>
      <c r="BB842" s="23"/>
      <c r="BC842" s="23"/>
      <c r="BD842" s="23"/>
      <c r="BE842" s="23"/>
      <c r="BF842" s="23"/>
      <c r="BG842" s="23"/>
      <c r="BH842" s="23"/>
      <c r="BI842" s="23"/>
      <c r="BJ842" s="23"/>
      <c r="BK842" s="23"/>
      <c r="BL842" s="23"/>
      <c r="BM842" s="23"/>
      <c r="BN842" s="23"/>
      <c r="BO842" s="23"/>
      <c r="BP842" s="23"/>
      <c r="BQ842" s="23"/>
      <c r="BR842" s="23"/>
      <c r="BS842" s="23"/>
      <c r="BT842" s="23"/>
      <c r="BU842" s="23"/>
      <c r="BV842" s="23"/>
      <c r="BW842" s="23"/>
      <c r="BX842" s="23"/>
      <c r="BY842" s="23"/>
      <c r="BZ842" s="23"/>
      <c r="CA842" s="23"/>
      <c r="CB842" s="23"/>
      <c r="CC842" s="23"/>
      <c r="CD842" s="23"/>
      <c r="CE842" s="23"/>
      <c r="CF842" s="23"/>
      <c r="CG842" s="23"/>
      <c r="CH842" s="23"/>
      <c r="CI842" s="23"/>
      <c r="CJ842" s="23"/>
      <c r="CK842" s="23"/>
      <c r="CL842" s="23"/>
      <c r="CM842" s="23"/>
      <c r="CN842" s="23"/>
      <c r="CO842" s="23"/>
      <c r="CP842" s="23"/>
      <c r="CQ842" s="23"/>
      <c r="CR842" s="23"/>
      <c r="CS842" s="23"/>
      <c r="CT842" s="23"/>
      <c r="CU842" s="23"/>
      <c r="CV842" s="23"/>
      <c r="CW842" s="23"/>
      <c r="CX842" s="23"/>
      <c r="CY842" s="23"/>
      <c r="CZ842" s="23"/>
      <c r="DA842" s="23"/>
      <c r="DB842" s="23"/>
      <c r="DC842" s="23"/>
      <c r="DD842" s="23"/>
      <c r="DE842" s="23"/>
      <c r="DF842" s="23"/>
      <c r="DG842" s="23"/>
      <c r="DH842" s="23"/>
      <c r="DI842" s="23"/>
      <c r="DJ842" s="23"/>
      <c r="DK842" s="23"/>
      <c r="DL842" s="23"/>
      <c r="DM842" s="23"/>
      <c r="DN842" s="23"/>
      <c r="DO842" s="23"/>
      <c r="DP842" s="23"/>
      <c r="DQ842" s="23"/>
      <c r="DR842" s="23"/>
      <c r="DS842" s="23"/>
      <c r="DT842" s="23"/>
      <c r="DU842" s="23"/>
      <c r="DV842" s="23"/>
      <c r="DW842" s="23"/>
      <c r="DX842" s="23"/>
      <c r="DY842" s="23"/>
      <c r="DZ842" s="23"/>
      <c r="EA842" s="23"/>
      <c r="EB842" s="23"/>
      <c r="EC842" s="23"/>
      <c r="ED842" s="23"/>
      <c r="EE842" s="23"/>
      <c r="EF842" s="23"/>
      <c r="EG842" s="23"/>
      <c r="EH842" s="23"/>
      <c r="EI842" s="23"/>
      <c r="EJ842" s="23"/>
      <c r="EK842" s="23"/>
      <c r="EL842" s="23"/>
      <c r="EM842" s="23"/>
      <c r="EN842" s="23"/>
      <c r="EO842" s="23"/>
      <c r="EP842" s="23"/>
      <c r="EQ842" s="23"/>
      <c r="ER842" s="23"/>
      <c r="ES842" s="23"/>
      <c r="ET842" s="23"/>
      <c r="EU842" s="23"/>
      <c r="EV842" s="23"/>
      <c r="EW842" s="23"/>
      <c r="EX842" s="23"/>
      <c r="EY842" s="23"/>
      <c r="EZ842" s="23"/>
      <c r="FA842" s="23"/>
      <c r="FB842" s="23"/>
      <c r="FC842" s="23"/>
      <c r="FD842" s="23"/>
      <c r="FE842" s="23"/>
      <c r="FF842" s="23"/>
      <c r="FG842" s="23"/>
      <c r="FH842" s="23"/>
      <c r="FI842" s="23"/>
      <c r="FJ842" s="23"/>
      <c r="FK842" s="23"/>
      <c r="FL842" s="23"/>
      <c r="FM842" s="23"/>
      <c r="FN842" s="23"/>
      <c r="FO842" s="23"/>
      <c r="FP842" s="23"/>
      <c r="FQ842" s="23"/>
      <c r="FR842" s="23"/>
      <c r="FS842" s="23"/>
      <c r="FT842" s="23"/>
      <c r="FU842" s="23"/>
      <c r="FV842" s="23"/>
      <c r="FW842" s="23"/>
      <c r="FX842" s="23"/>
      <c r="FY842" s="23"/>
      <c r="FZ842" s="23"/>
      <c r="GA842" s="23"/>
      <c r="GB842" s="23"/>
      <c r="GC842" s="23"/>
      <c r="GD842" s="23"/>
      <c r="GE842" s="23"/>
      <c r="GF842" s="23"/>
      <c r="GG842" s="23"/>
      <c r="GH842" s="23"/>
      <c r="GI842" s="23"/>
      <c r="GJ842" s="23"/>
      <c r="GK842" s="23"/>
      <c r="GL842" s="23"/>
    </row>
    <row r="843" spans="1:194" ht="13">
      <c r="A843" s="23"/>
      <c r="B843" s="23"/>
      <c r="C843" s="23"/>
      <c r="D843" s="23"/>
      <c r="E843" s="23"/>
      <c r="F843" s="23"/>
      <c r="G843" s="23"/>
      <c r="H843" s="401"/>
      <c r="I843" s="401"/>
      <c r="J843" s="401"/>
      <c r="K843" s="401"/>
      <c r="L843" s="401"/>
      <c r="M843" s="438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  <c r="AL843" s="23"/>
      <c r="AM843" s="23"/>
      <c r="AN843" s="23"/>
      <c r="AO843" s="23"/>
      <c r="AP843" s="23"/>
      <c r="AQ843" s="23"/>
      <c r="AR843" s="23"/>
      <c r="AS843" s="23"/>
      <c r="AT843" s="23"/>
      <c r="AU843" s="23"/>
      <c r="AV843" s="23"/>
      <c r="AW843" s="23"/>
      <c r="AX843" s="23"/>
      <c r="AY843" s="23"/>
      <c r="AZ843" s="23"/>
      <c r="BA843" s="23"/>
      <c r="BB843" s="23"/>
      <c r="BC843" s="23"/>
      <c r="BD843" s="23"/>
      <c r="BE843" s="23"/>
      <c r="BF843" s="23"/>
      <c r="BG843" s="23"/>
      <c r="BH843" s="23"/>
      <c r="BI843" s="23"/>
      <c r="BJ843" s="23"/>
      <c r="BK843" s="23"/>
      <c r="BL843" s="23"/>
      <c r="BM843" s="23"/>
      <c r="BN843" s="23"/>
      <c r="BO843" s="23"/>
      <c r="BP843" s="23"/>
      <c r="BQ843" s="23"/>
      <c r="BR843" s="23"/>
      <c r="BS843" s="23"/>
      <c r="BT843" s="23"/>
      <c r="BU843" s="23"/>
      <c r="BV843" s="23"/>
      <c r="BW843" s="23"/>
      <c r="BX843" s="23"/>
      <c r="BY843" s="23"/>
      <c r="BZ843" s="23"/>
      <c r="CA843" s="23"/>
      <c r="CB843" s="23"/>
      <c r="CC843" s="23"/>
      <c r="CD843" s="23"/>
      <c r="CE843" s="23"/>
      <c r="CF843" s="23"/>
      <c r="CG843" s="23"/>
      <c r="CH843" s="23"/>
      <c r="CI843" s="23"/>
      <c r="CJ843" s="23"/>
      <c r="CK843" s="23"/>
      <c r="CL843" s="23"/>
      <c r="CM843" s="23"/>
      <c r="CN843" s="23"/>
      <c r="CO843" s="23"/>
      <c r="CP843" s="23"/>
      <c r="CQ843" s="23"/>
      <c r="CR843" s="23"/>
      <c r="CS843" s="23"/>
      <c r="CT843" s="23"/>
      <c r="CU843" s="23"/>
      <c r="CV843" s="23"/>
      <c r="CW843" s="23"/>
      <c r="CX843" s="23"/>
      <c r="CY843" s="23"/>
      <c r="CZ843" s="23"/>
      <c r="DA843" s="23"/>
      <c r="DB843" s="23"/>
      <c r="DC843" s="23"/>
      <c r="DD843" s="23"/>
      <c r="DE843" s="23"/>
      <c r="DF843" s="23"/>
      <c r="DG843" s="23"/>
      <c r="DH843" s="23"/>
      <c r="DI843" s="23"/>
      <c r="DJ843" s="23"/>
      <c r="DK843" s="23"/>
      <c r="DL843" s="23"/>
      <c r="DM843" s="23"/>
      <c r="DN843" s="23"/>
      <c r="DO843" s="23"/>
      <c r="DP843" s="23"/>
      <c r="DQ843" s="23"/>
      <c r="DR843" s="23"/>
      <c r="DS843" s="23"/>
      <c r="DT843" s="23"/>
      <c r="DU843" s="23"/>
      <c r="DV843" s="23"/>
      <c r="DW843" s="23"/>
      <c r="DX843" s="23"/>
      <c r="DY843" s="23"/>
      <c r="DZ843" s="23"/>
      <c r="EA843" s="23"/>
      <c r="EB843" s="23"/>
      <c r="EC843" s="23"/>
      <c r="ED843" s="23"/>
      <c r="EE843" s="23"/>
      <c r="EF843" s="23"/>
      <c r="EG843" s="23"/>
      <c r="EH843" s="23"/>
      <c r="EI843" s="23"/>
      <c r="EJ843" s="23"/>
      <c r="EK843" s="23"/>
      <c r="EL843" s="23"/>
      <c r="EM843" s="23"/>
      <c r="EN843" s="23"/>
      <c r="EO843" s="23"/>
      <c r="EP843" s="23"/>
      <c r="EQ843" s="23"/>
      <c r="ER843" s="23"/>
      <c r="ES843" s="23"/>
      <c r="ET843" s="23"/>
      <c r="EU843" s="23"/>
      <c r="EV843" s="23"/>
      <c r="EW843" s="23"/>
      <c r="EX843" s="23"/>
      <c r="EY843" s="23"/>
      <c r="EZ843" s="23"/>
      <c r="FA843" s="23"/>
      <c r="FB843" s="23"/>
      <c r="FC843" s="23"/>
      <c r="FD843" s="23"/>
      <c r="FE843" s="23"/>
      <c r="FF843" s="23"/>
      <c r="FG843" s="23"/>
      <c r="FH843" s="23"/>
      <c r="FI843" s="23"/>
      <c r="FJ843" s="23"/>
      <c r="FK843" s="23"/>
      <c r="FL843" s="23"/>
      <c r="FM843" s="23"/>
      <c r="FN843" s="23"/>
      <c r="FO843" s="23"/>
      <c r="FP843" s="23"/>
      <c r="FQ843" s="23"/>
      <c r="FR843" s="23"/>
      <c r="FS843" s="23"/>
      <c r="FT843" s="23"/>
      <c r="FU843" s="23"/>
      <c r="FV843" s="23"/>
      <c r="FW843" s="23"/>
      <c r="FX843" s="23"/>
      <c r="FY843" s="23"/>
      <c r="FZ843" s="23"/>
      <c r="GA843" s="23"/>
      <c r="GB843" s="23"/>
      <c r="GC843" s="23"/>
      <c r="GD843" s="23"/>
      <c r="GE843" s="23"/>
      <c r="GF843" s="23"/>
      <c r="GG843" s="23"/>
      <c r="GH843" s="23"/>
      <c r="GI843" s="23"/>
      <c r="GJ843" s="23"/>
      <c r="GK843" s="23"/>
      <c r="GL843" s="23"/>
    </row>
    <row r="844" spans="1:194" ht="13">
      <c r="A844" s="23"/>
      <c r="B844" s="23"/>
      <c r="C844" s="23"/>
      <c r="D844" s="23"/>
      <c r="E844" s="23"/>
      <c r="F844" s="23"/>
      <c r="G844" s="23"/>
      <c r="H844" s="401"/>
      <c r="I844" s="401"/>
      <c r="J844" s="401"/>
      <c r="K844" s="401"/>
      <c r="L844" s="401"/>
      <c r="M844" s="438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  <c r="AL844" s="23"/>
      <c r="AM844" s="23"/>
      <c r="AN844" s="23"/>
      <c r="AO844" s="23"/>
      <c r="AP844" s="23"/>
      <c r="AQ844" s="23"/>
      <c r="AR844" s="23"/>
      <c r="AS844" s="23"/>
      <c r="AT844" s="23"/>
      <c r="AU844" s="23"/>
      <c r="AV844" s="23"/>
      <c r="AW844" s="23"/>
      <c r="AX844" s="23"/>
      <c r="AY844" s="23"/>
      <c r="AZ844" s="23"/>
      <c r="BA844" s="23"/>
      <c r="BB844" s="23"/>
      <c r="BC844" s="23"/>
      <c r="BD844" s="23"/>
      <c r="BE844" s="23"/>
      <c r="BF844" s="23"/>
      <c r="BG844" s="23"/>
      <c r="BH844" s="23"/>
      <c r="BI844" s="23"/>
      <c r="BJ844" s="23"/>
      <c r="BK844" s="23"/>
      <c r="BL844" s="23"/>
      <c r="BM844" s="23"/>
      <c r="BN844" s="23"/>
      <c r="BO844" s="23"/>
      <c r="BP844" s="23"/>
      <c r="BQ844" s="23"/>
      <c r="BR844" s="23"/>
      <c r="BS844" s="23"/>
      <c r="BT844" s="23"/>
      <c r="BU844" s="23"/>
      <c r="BV844" s="23"/>
      <c r="BW844" s="23"/>
      <c r="BX844" s="23"/>
      <c r="BY844" s="23"/>
      <c r="BZ844" s="23"/>
      <c r="CA844" s="23"/>
      <c r="CB844" s="23"/>
      <c r="CC844" s="23"/>
      <c r="CD844" s="23"/>
      <c r="CE844" s="23"/>
      <c r="CF844" s="23"/>
      <c r="CG844" s="23"/>
      <c r="CH844" s="23"/>
      <c r="CI844" s="23"/>
      <c r="CJ844" s="23"/>
      <c r="CK844" s="23"/>
      <c r="CL844" s="23"/>
      <c r="CM844" s="23"/>
      <c r="CN844" s="23"/>
      <c r="CO844" s="23"/>
      <c r="CP844" s="23"/>
      <c r="CQ844" s="23"/>
      <c r="CR844" s="23"/>
      <c r="CS844" s="23"/>
      <c r="CT844" s="23"/>
      <c r="CU844" s="23"/>
      <c r="CV844" s="23"/>
      <c r="CW844" s="23"/>
      <c r="CX844" s="23"/>
      <c r="CY844" s="23"/>
      <c r="CZ844" s="23"/>
      <c r="DA844" s="23"/>
      <c r="DB844" s="23"/>
      <c r="DC844" s="23"/>
      <c r="DD844" s="23"/>
      <c r="DE844" s="23"/>
      <c r="DF844" s="23"/>
      <c r="DG844" s="23"/>
      <c r="DH844" s="23"/>
      <c r="DI844" s="23"/>
      <c r="DJ844" s="23"/>
      <c r="DK844" s="23"/>
      <c r="DL844" s="23"/>
      <c r="DM844" s="23"/>
      <c r="DN844" s="23"/>
      <c r="DO844" s="23"/>
      <c r="DP844" s="23"/>
      <c r="DQ844" s="23"/>
      <c r="DR844" s="23"/>
      <c r="DS844" s="23"/>
      <c r="DT844" s="23"/>
      <c r="DU844" s="23"/>
      <c r="DV844" s="23"/>
      <c r="DW844" s="23"/>
      <c r="DX844" s="23"/>
      <c r="DY844" s="23"/>
      <c r="DZ844" s="23"/>
      <c r="EA844" s="23"/>
      <c r="EB844" s="23"/>
      <c r="EC844" s="23"/>
      <c r="ED844" s="23"/>
      <c r="EE844" s="23"/>
      <c r="EF844" s="23"/>
      <c r="EG844" s="23"/>
      <c r="EH844" s="23"/>
      <c r="EI844" s="23"/>
      <c r="EJ844" s="23"/>
      <c r="EK844" s="23"/>
      <c r="EL844" s="23"/>
      <c r="EM844" s="23"/>
      <c r="EN844" s="23"/>
      <c r="EO844" s="23"/>
      <c r="EP844" s="23"/>
      <c r="EQ844" s="23"/>
      <c r="ER844" s="23"/>
      <c r="ES844" s="23"/>
      <c r="ET844" s="23"/>
      <c r="EU844" s="23"/>
      <c r="EV844" s="23"/>
      <c r="EW844" s="23"/>
      <c r="EX844" s="23"/>
      <c r="EY844" s="23"/>
      <c r="EZ844" s="23"/>
      <c r="FA844" s="23"/>
      <c r="FB844" s="23"/>
      <c r="FC844" s="23"/>
      <c r="FD844" s="23"/>
      <c r="FE844" s="23"/>
      <c r="FF844" s="23"/>
      <c r="FG844" s="23"/>
      <c r="FH844" s="23"/>
      <c r="FI844" s="23"/>
      <c r="FJ844" s="23"/>
      <c r="FK844" s="23"/>
      <c r="FL844" s="23"/>
      <c r="FM844" s="23"/>
      <c r="FN844" s="23"/>
      <c r="FO844" s="23"/>
      <c r="FP844" s="23"/>
      <c r="FQ844" s="23"/>
      <c r="FR844" s="23"/>
      <c r="FS844" s="23"/>
      <c r="FT844" s="23"/>
      <c r="FU844" s="23"/>
      <c r="FV844" s="23"/>
      <c r="FW844" s="23"/>
      <c r="FX844" s="23"/>
      <c r="FY844" s="23"/>
      <c r="FZ844" s="23"/>
      <c r="GA844" s="23"/>
      <c r="GB844" s="23"/>
      <c r="GC844" s="23"/>
      <c r="GD844" s="23"/>
      <c r="GE844" s="23"/>
      <c r="GF844" s="23"/>
      <c r="GG844" s="23"/>
      <c r="GH844" s="23"/>
      <c r="GI844" s="23"/>
      <c r="GJ844" s="23"/>
      <c r="GK844" s="23"/>
      <c r="GL844" s="23"/>
    </row>
    <row r="845" spans="1:194" ht="13">
      <c r="A845" s="23"/>
      <c r="B845" s="23"/>
      <c r="C845" s="23"/>
      <c r="D845" s="23"/>
      <c r="E845" s="23"/>
      <c r="F845" s="23"/>
      <c r="G845" s="23"/>
      <c r="H845" s="401"/>
      <c r="I845" s="401"/>
      <c r="J845" s="401"/>
      <c r="K845" s="401"/>
      <c r="L845" s="401"/>
      <c r="M845" s="438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  <c r="AL845" s="23"/>
      <c r="AM845" s="23"/>
      <c r="AN845" s="23"/>
      <c r="AO845" s="23"/>
      <c r="AP845" s="23"/>
      <c r="AQ845" s="23"/>
      <c r="AR845" s="23"/>
      <c r="AS845" s="23"/>
      <c r="AT845" s="23"/>
      <c r="AU845" s="23"/>
      <c r="AV845" s="23"/>
      <c r="AW845" s="23"/>
      <c r="AX845" s="23"/>
      <c r="AY845" s="23"/>
      <c r="AZ845" s="23"/>
      <c r="BA845" s="23"/>
      <c r="BB845" s="23"/>
      <c r="BC845" s="23"/>
      <c r="BD845" s="23"/>
      <c r="BE845" s="23"/>
      <c r="BF845" s="23"/>
      <c r="BG845" s="23"/>
      <c r="BH845" s="23"/>
      <c r="BI845" s="23"/>
      <c r="BJ845" s="23"/>
      <c r="BK845" s="23"/>
      <c r="BL845" s="23"/>
      <c r="BM845" s="23"/>
      <c r="BN845" s="23"/>
      <c r="BO845" s="23"/>
      <c r="BP845" s="23"/>
      <c r="BQ845" s="23"/>
      <c r="BR845" s="23"/>
      <c r="BS845" s="23"/>
      <c r="BT845" s="23"/>
      <c r="BU845" s="23"/>
      <c r="BV845" s="23"/>
      <c r="BW845" s="23"/>
      <c r="BX845" s="23"/>
      <c r="BY845" s="23"/>
      <c r="BZ845" s="23"/>
      <c r="CA845" s="23"/>
      <c r="CB845" s="23"/>
      <c r="CC845" s="23"/>
      <c r="CD845" s="23"/>
      <c r="CE845" s="23"/>
      <c r="CF845" s="23"/>
      <c r="CG845" s="23"/>
      <c r="CH845" s="23"/>
      <c r="CI845" s="23"/>
      <c r="CJ845" s="23"/>
      <c r="CK845" s="23"/>
      <c r="CL845" s="23"/>
      <c r="CM845" s="23"/>
      <c r="CN845" s="23"/>
      <c r="CO845" s="23"/>
      <c r="CP845" s="23"/>
      <c r="CQ845" s="23"/>
      <c r="CR845" s="23"/>
      <c r="CS845" s="23"/>
      <c r="CT845" s="23"/>
      <c r="CU845" s="23"/>
      <c r="CV845" s="23"/>
      <c r="CW845" s="23"/>
      <c r="CX845" s="23"/>
      <c r="CY845" s="23"/>
      <c r="CZ845" s="23"/>
      <c r="DA845" s="23"/>
      <c r="DB845" s="23"/>
      <c r="DC845" s="23"/>
      <c r="DD845" s="23"/>
      <c r="DE845" s="23"/>
      <c r="DF845" s="23"/>
      <c r="DG845" s="23"/>
      <c r="DH845" s="23"/>
      <c r="DI845" s="23"/>
      <c r="DJ845" s="23"/>
      <c r="DK845" s="23"/>
      <c r="DL845" s="23"/>
      <c r="DM845" s="23"/>
      <c r="DN845" s="23"/>
      <c r="DO845" s="23"/>
      <c r="DP845" s="23"/>
      <c r="DQ845" s="23"/>
      <c r="DR845" s="23"/>
      <c r="DS845" s="23"/>
      <c r="DT845" s="23"/>
      <c r="DU845" s="23"/>
      <c r="DV845" s="23"/>
      <c r="DW845" s="23"/>
      <c r="DX845" s="23"/>
      <c r="DY845" s="23"/>
      <c r="DZ845" s="23"/>
      <c r="EA845" s="23"/>
      <c r="EB845" s="23"/>
      <c r="EC845" s="23"/>
      <c r="ED845" s="23"/>
      <c r="EE845" s="23"/>
      <c r="EF845" s="23"/>
      <c r="EG845" s="23"/>
      <c r="EH845" s="23"/>
      <c r="EI845" s="23"/>
      <c r="EJ845" s="23"/>
      <c r="EK845" s="23"/>
      <c r="EL845" s="23"/>
      <c r="EM845" s="23"/>
      <c r="EN845" s="23"/>
      <c r="EO845" s="23"/>
      <c r="EP845" s="23"/>
      <c r="EQ845" s="23"/>
      <c r="ER845" s="23"/>
      <c r="ES845" s="23"/>
      <c r="ET845" s="23"/>
      <c r="EU845" s="23"/>
      <c r="EV845" s="23"/>
      <c r="EW845" s="23"/>
      <c r="EX845" s="23"/>
      <c r="EY845" s="23"/>
      <c r="EZ845" s="23"/>
      <c r="FA845" s="23"/>
      <c r="FB845" s="23"/>
      <c r="FC845" s="23"/>
      <c r="FD845" s="23"/>
      <c r="FE845" s="23"/>
      <c r="FF845" s="23"/>
      <c r="FG845" s="23"/>
      <c r="FH845" s="23"/>
      <c r="FI845" s="23"/>
      <c r="FJ845" s="23"/>
      <c r="FK845" s="23"/>
      <c r="FL845" s="23"/>
      <c r="FM845" s="23"/>
      <c r="FN845" s="23"/>
      <c r="FO845" s="23"/>
      <c r="FP845" s="23"/>
      <c r="FQ845" s="23"/>
      <c r="FR845" s="23"/>
      <c r="FS845" s="23"/>
      <c r="FT845" s="23"/>
      <c r="FU845" s="23"/>
      <c r="FV845" s="23"/>
      <c r="FW845" s="23"/>
      <c r="FX845" s="23"/>
      <c r="FY845" s="23"/>
      <c r="FZ845" s="23"/>
      <c r="GA845" s="23"/>
      <c r="GB845" s="23"/>
      <c r="GC845" s="23"/>
      <c r="GD845" s="23"/>
      <c r="GE845" s="23"/>
      <c r="GF845" s="23"/>
      <c r="GG845" s="23"/>
      <c r="GH845" s="23"/>
      <c r="GI845" s="23"/>
      <c r="GJ845" s="23"/>
      <c r="GK845" s="23"/>
      <c r="GL845" s="23"/>
    </row>
    <row r="846" spans="1:194" ht="13">
      <c r="A846" s="23"/>
      <c r="B846" s="23"/>
      <c r="C846" s="23"/>
      <c r="D846" s="23"/>
      <c r="E846" s="23"/>
      <c r="F846" s="23"/>
      <c r="G846" s="23"/>
      <c r="H846" s="401"/>
      <c r="I846" s="401"/>
      <c r="J846" s="401"/>
      <c r="K846" s="401"/>
      <c r="L846" s="401"/>
      <c r="M846" s="438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  <c r="AL846" s="23"/>
      <c r="AM846" s="23"/>
      <c r="AN846" s="23"/>
      <c r="AO846" s="23"/>
      <c r="AP846" s="23"/>
      <c r="AQ846" s="23"/>
      <c r="AR846" s="23"/>
      <c r="AS846" s="23"/>
      <c r="AT846" s="23"/>
      <c r="AU846" s="23"/>
      <c r="AV846" s="23"/>
      <c r="AW846" s="23"/>
      <c r="AX846" s="23"/>
      <c r="AY846" s="23"/>
      <c r="AZ846" s="23"/>
      <c r="BA846" s="23"/>
      <c r="BB846" s="23"/>
      <c r="BC846" s="23"/>
      <c r="BD846" s="23"/>
      <c r="BE846" s="23"/>
      <c r="BF846" s="23"/>
      <c r="BG846" s="23"/>
      <c r="BH846" s="23"/>
      <c r="BI846" s="23"/>
      <c r="BJ846" s="23"/>
      <c r="BK846" s="23"/>
      <c r="BL846" s="23"/>
      <c r="BM846" s="23"/>
      <c r="BN846" s="23"/>
      <c r="BO846" s="23"/>
      <c r="BP846" s="23"/>
      <c r="BQ846" s="23"/>
      <c r="BR846" s="23"/>
      <c r="BS846" s="23"/>
      <c r="BT846" s="23"/>
      <c r="BU846" s="23"/>
      <c r="BV846" s="23"/>
      <c r="BW846" s="23"/>
      <c r="BX846" s="23"/>
      <c r="BY846" s="23"/>
      <c r="BZ846" s="23"/>
      <c r="CA846" s="23"/>
      <c r="CB846" s="23"/>
      <c r="CC846" s="23"/>
      <c r="CD846" s="23"/>
      <c r="CE846" s="23"/>
      <c r="CF846" s="23"/>
      <c r="CG846" s="23"/>
      <c r="CH846" s="23"/>
      <c r="CI846" s="23"/>
      <c r="CJ846" s="23"/>
      <c r="CK846" s="23"/>
      <c r="CL846" s="23"/>
      <c r="CM846" s="23"/>
      <c r="CN846" s="23"/>
      <c r="CO846" s="23"/>
      <c r="CP846" s="23"/>
      <c r="CQ846" s="23"/>
      <c r="CR846" s="23"/>
      <c r="CS846" s="23"/>
      <c r="CT846" s="23"/>
      <c r="CU846" s="23"/>
      <c r="CV846" s="23"/>
      <c r="CW846" s="23"/>
      <c r="CX846" s="23"/>
      <c r="CY846" s="23"/>
      <c r="CZ846" s="23"/>
      <c r="DA846" s="23"/>
      <c r="DB846" s="23"/>
      <c r="DC846" s="23"/>
      <c r="DD846" s="23"/>
      <c r="DE846" s="23"/>
      <c r="DF846" s="23"/>
      <c r="DG846" s="23"/>
      <c r="DH846" s="23"/>
      <c r="DI846" s="23"/>
      <c r="DJ846" s="23"/>
      <c r="DK846" s="23"/>
      <c r="DL846" s="23"/>
      <c r="DM846" s="23"/>
      <c r="DN846" s="23"/>
      <c r="DO846" s="23"/>
      <c r="DP846" s="23"/>
      <c r="DQ846" s="23"/>
      <c r="DR846" s="23"/>
      <c r="DS846" s="23"/>
      <c r="DT846" s="23"/>
      <c r="DU846" s="23"/>
      <c r="DV846" s="23"/>
      <c r="DW846" s="23"/>
      <c r="DX846" s="23"/>
      <c r="DY846" s="23"/>
      <c r="DZ846" s="23"/>
      <c r="EA846" s="23"/>
      <c r="EB846" s="23"/>
      <c r="EC846" s="23"/>
      <c r="ED846" s="23"/>
      <c r="EE846" s="23"/>
      <c r="EF846" s="23"/>
      <c r="EG846" s="23"/>
      <c r="EH846" s="23"/>
      <c r="EI846" s="23"/>
      <c r="EJ846" s="23"/>
      <c r="EK846" s="23"/>
      <c r="EL846" s="23"/>
      <c r="EM846" s="23"/>
      <c r="EN846" s="23"/>
      <c r="EO846" s="23"/>
      <c r="EP846" s="23"/>
      <c r="EQ846" s="23"/>
      <c r="ER846" s="23"/>
      <c r="ES846" s="23"/>
      <c r="ET846" s="23"/>
      <c r="EU846" s="23"/>
      <c r="EV846" s="23"/>
      <c r="EW846" s="23"/>
      <c r="EX846" s="23"/>
      <c r="EY846" s="23"/>
      <c r="EZ846" s="23"/>
      <c r="FA846" s="23"/>
      <c r="FB846" s="23"/>
      <c r="FC846" s="23"/>
      <c r="FD846" s="23"/>
      <c r="FE846" s="23"/>
      <c r="FF846" s="23"/>
      <c r="FG846" s="23"/>
      <c r="FH846" s="23"/>
      <c r="FI846" s="23"/>
      <c r="FJ846" s="23"/>
      <c r="FK846" s="23"/>
      <c r="FL846" s="23"/>
      <c r="FM846" s="23"/>
      <c r="FN846" s="23"/>
      <c r="FO846" s="23"/>
      <c r="FP846" s="23"/>
      <c r="FQ846" s="23"/>
      <c r="FR846" s="23"/>
      <c r="FS846" s="23"/>
      <c r="FT846" s="23"/>
      <c r="FU846" s="23"/>
      <c r="FV846" s="23"/>
      <c r="FW846" s="23"/>
      <c r="FX846" s="23"/>
      <c r="FY846" s="23"/>
      <c r="FZ846" s="23"/>
      <c r="GA846" s="23"/>
      <c r="GB846" s="23"/>
      <c r="GC846" s="23"/>
      <c r="GD846" s="23"/>
      <c r="GE846" s="23"/>
      <c r="GF846" s="23"/>
      <c r="GG846" s="23"/>
      <c r="GH846" s="23"/>
      <c r="GI846" s="23"/>
      <c r="GJ846" s="23"/>
      <c r="GK846" s="23"/>
      <c r="GL846" s="23"/>
    </row>
    <row r="847" spans="1:194" ht="13">
      <c r="A847" s="23"/>
      <c r="B847" s="23"/>
      <c r="C847" s="23"/>
      <c r="D847" s="23"/>
      <c r="E847" s="23"/>
      <c r="F847" s="23"/>
      <c r="G847" s="23"/>
      <c r="H847" s="401"/>
      <c r="I847" s="401"/>
      <c r="J847" s="401"/>
      <c r="K847" s="401"/>
      <c r="L847" s="401"/>
      <c r="M847" s="438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  <c r="AL847" s="23"/>
      <c r="AM847" s="23"/>
      <c r="AN847" s="23"/>
      <c r="AO847" s="23"/>
      <c r="AP847" s="23"/>
      <c r="AQ847" s="23"/>
      <c r="AR847" s="23"/>
      <c r="AS847" s="23"/>
      <c r="AT847" s="23"/>
      <c r="AU847" s="23"/>
      <c r="AV847" s="23"/>
      <c r="AW847" s="23"/>
      <c r="AX847" s="23"/>
      <c r="AY847" s="23"/>
      <c r="AZ847" s="23"/>
      <c r="BA847" s="23"/>
      <c r="BB847" s="23"/>
      <c r="BC847" s="23"/>
      <c r="BD847" s="23"/>
      <c r="BE847" s="23"/>
      <c r="BF847" s="23"/>
      <c r="BG847" s="23"/>
      <c r="BH847" s="23"/>
      <c r="BI847" s="23"/>
      <c r="BJ847" s="23"/>
      <c r="BK847" s="23"/>
      <c r="BL847" s="23"/>
      <c r="BM847" s="23"/>
      <c r="BN847" s="23"/>
      <c r="BO847" s="23"/>
      <c r="BP847" s="23"/>
      <c r="BQ847" s="23"/>
      <c r="BR847" s="23"/>
      <c r="BS847" s="23"/>
      <c r="BT847" s="23"/>
      <c r="BU847" s="23"/>
      <c r="BV847" s="23"/>
      <c r="BW847" s="23"/>
      <c r="BX847" s="23"/>
      <c r="BY847" s="23"/>
      <c r="BZ847" s="23"/>
      <c r="CA847" s="23"/>
      <c r="CB847" s="23"/>
      <c r="CC847" s="23"/>
      <c r="CD847" s="23"/>
      <c r="CE847" s="23"/>
      <c r="CF847" s="23"/>
      <c r="CG847" s="23"/>
      <c r="CH847" s="23"/>
      <c r="CI847" s="23"/>
      <c r="CJ847" s="23"/>
      <c r="CK847" s="23"/>
      <c r="CL847" s="23"/>
      <c r="CM847" s="23"/>
      <c r="CN847" s="23"/>
      <c r="CO847" s="23"/>
      <c r="CP847" s="23"/>
      <c r="CQ847" s="23"/>
      <c r="CR847" s="23"/>
      <c r="CS847" s="23"/>
      <c r="CT847" s="23"/>
      <c r="CU847" s="23"/>
      <c r="CV847" s="23"/>
      <c r="CW847" s="23"/>
      <c r="CX847" s="23"/>
      <c r="CY847" s="23"/>
      <c r="CZ847" s="23"/>
      <c r="DA847" s="23"/>
      <c r="DB847" s="23"/>
      <c r="DC847" s="23"/>
      <c r="DD847" s="23"/>
      <c r="DE847" s="23"/>
      <c r="DF847" s="23"/>
      <c r="DG847" s="23"/>
      <c r="DH847" s="23"/>
      <c r="DI847" s="23"/>
      <c r="DJ847" s="23"/>
      <c r="DK847" s="23"/>
      <c r="DL847" s="23"/>
      <c r="DM847" s="23"/>
      <c r="DN847" s="23"/>
      <c r="DO847" s="23"/>
      <c r="DP847" s="23"/>
      <c r="DQ847" s="23"/>
      <c r="DR847" s="23"/>
      <c r="DS847" s="23"/>
      <c r="DT847" s="23"/>
      <c r="DU847" s="23"/>
      <c r="DV847" s="23"/>
      <c r="DW847" s="23"/>
      <c r="DX847" s="23"/>
      <c r="DY847" s="23"/>
      <c r="DZ847" s="23"/>
      <c r="EA847" s="23"/>
      <c r="EB847" s="23"/>
      <c r="EC847" s="23"/>
      <c r="ED847" s="23"/>
      <c r="EE847" s="23"/>
      <c r="EF847" s="23"/>
      <c r="EG847" s="23"/>
      <c r="EH847" s="23"/>
      <c r="EI847" s="23"/>
      <c r="EJ847" s="23"/>
      <c r="EK847" s="23"/>
      <c r="EL847" s="23"/>
      <c r="EM847" s="23"/>
      <c r="EN847" s="23"/>
      <c r="EO847" s="23"/>
      <c r="EP847" s="23"/>
      <c r="EQ847" s="23"/>
      <c r="ER847" s="23"/>
      <c r="ES847" s="23"/>
      <c r="ET847" s="23"/>
      <c r="EU847" s="23"/>
      <c r="EV847" s="23"/>
      <c r="EW847" s="23"/>
      <c r="EX847" s="23"/>
      <c r="EY847" s="23"/>
      <c r="EZ847" s="23"/>
      <c r="FA847" s="23"/>
      <c r="FB847" s="23"/>
      <c r="FC847" s="23"/>
      <c r="FD847" s="23"/>
      <c r="FE847" s="23"/>
      <c r="FF847" s="23"/>
      <c r="FG847" s="23"/>
      <c r="FH847" s="23"/>
      <c r="FI847" s="23"/>
      <c r="FJ847" s="23"/>
      <c r="FK847" s="23"/>
      <c r="FL847" s="23"/>
      <c r="FM847" s="23"/>
      <c r="FN847" s="23"/>
      <c r="FO847" s="23"/>
      <c r="FP847" s="23"/>
      <c r="FQ847" s="23"/>
      <c r="FR847" s="23"/>
      <c r="FS847" s="23"/>
      <c r="FT847" s="23"/>
      <c r="FU847" s="23"/>
      <c r="FV847" s="23"/>
      <c r="FW847" s="23"/>
      <c r="FX847" s="23"/>
      <c r="FY847" s="23"/>
      <c r="FZ847" s="23"/>
      <c r="GA847" s="23"/>
      <c r="GB847" s="23"/>
      <c r="GC847" s="23"/>
      <c r="GD847" s="23"/>
      <c r="GE847" s="23"/>
      <c r="GF847" s="23"/>
      <c r="GG847" s="23"/>
      <c r="GH847" s="23"/>
      <c r="GI847" s="23"/>
      <c r="GJ847" s="23"/>
      <c r="GK847" s="23"/>
      <c r="GL847" s="23"/>
    </row>
    <row r="848" spans="1:194" ht="13">
      <c r="A848" s="23"/>
      <c r="B848" s="23"/>
      <c r="C848" s="23"/>
      <c r="D848" s="23"/>
      <c r="E848" s="23"/>
      <c r="F848" s="23"/>
      <c r="G848" s="23"/>
      <c r="H848" s="401"/>
      <c r="I848" s="401"/>
      <c r="J848" s="401"/>
      <c r="K848" s="401"/>
      <c r="L848" s="401"/>
      <c r="M848" s="438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  <c r="AL848" s="23"/>
      <c r="AM848" s="23"/>
      <c r="AN848" s="23"/>
      <c r="AO848" s="23"/>
      <c r="AP848" s="23"/>
      <c r="AQ848" s="23"/>
      <c r="AR848" s="23"/>
      <c r="AS848" s="23"/>
      <c r="AT848" s="23"/>
      <c r="AU848" s="23"/>
      <c r="AV848" s="23"/>
      <c r="AW848" s="23"/>
      <c r="AX848" s="23"/>
      <c r="AY848" s="23"/>
      <c r="AZ848" s="23"/>
      <c r="BA848" s="23"/>
      <c r="BB848" s="23"/>
      <c r="BC848" s="23"/>
      <c r="BD848" s="23"/>
      <c r="BE848" s="23"/>
      <c r="BF848" s="23"/>
      <c r="BG848" s="23"/>
      <c r="BH848" s="23"/>
      <c r="BI848" s="23"/>
      <c r="BJ848" s="23"/>
      <c r="BK848" s="23"/>
      <c r="BL848" s="23"/>
      <c r="BM848" s="23"/>
      <c r="BN848" s="23"/>
      <c r="BO848" s="23"/>
      <c r="BP848" s="23"/>
      <c r="BQ848" s="23"/>
      <c r="BR848" s="23"/>
      <c r="BS848" s="23"/>
      <c r="BT848" s="23"/>
      <c r="BU848" s="23"/>
      <c r="BV848" s="23"/>
      <c r="BW848" s="23"/>
      <c r="BX848" s="23"/>
      <c r="BY848" s="23"/>
      <c r="BZ848" s="23"/>
      <c r="CA848" s="23"/>
      <c r="CB848" s="23"/>
      <c r="CC848" s="23"/>
      <c r="CD848" s="23"/>
      <c r="CE848" s="23"/>
      <c r="CF848" s="23"/>
      <c r="CG848" s="23"/>
      <c r="CH848" s="23"/>
      <c r="CI848" s="23"/>
      <c r="CJ848" s="23"/>
      <c r="CK848" s="23"/>
      <c r="CL848" s="23"/>
      <c r="CM848" s="23"/>
      <c r="CN848" s="23"/>
      <c r="CO848" s="23"/>
      <c r="CP848" s="23"/>
      <c r="CQ848" s="23"/>
      <c r="CR848" s="23"/>
      <c r="CS848" s="23"/>
      <c r="CT848" s="23"/>
      <c r="CU848" s="23"/>
      <c r="CV848" s="23"/>
      <c r="CW848" s="23"/>
      <c r="CX848" s="23"/>
      <c r="CY848" s="23"/>
      <c r="CZ848" s="23"/>
      <c r="DA848" s="23"/>
      <c r="DB848" s="23"/>
      <c r="DC848" s="23"/>
      <c r="DD848" s="23"/>
      <c r="DE848" s="23"/>
      <c r="DF848" s="23"/>
      <c r="DG848" s="23"/>
      <c r="DH848" s="23"/>
      <c r="DI848" s="23"/>
      <c r="DJ848" s="23"/>
      <c r="DK848" s="23"/>
      <c r="DL848" s="23"/>
      <c r="DM848" s="23"/>
      <c r="DN848" s="23"/>
      <c r="DO848" s="23"/>
      <c r="DP848" s="23"/>
      <c r="DQ848" s="23"/>
      <c r="DR848" s="23"/>
      <c r="DS848" s="23"/>
      <c r="DT848" s="23"/>
      <c r="DU848" s="23"/>
      <c r="DV848" s="23"/>
      <c r="DW848" s="23"/>
      <c r="DX848" s="23"/>
      <c r="DY848" s="23"/>
      <c r="DZ848" s="23"/>
      <c r="EA848" s="23"/>
      <c r="EB848" s="23"/>
      <c r="EC848" s="23"/>
      <c r="ED848" s="23"/>
      <c r="EE848" s="23"/>
      <c r="EF848" s="23"/>
      <c r="EG848" s="23"/>
      <c r="EH848" s="23"/>
      <c r="EI848" s="23"/>
      <c r="EJ848" s="23"/>
      <c r="EK848" s="23"/>
      <c r="EL848" s="23"/>
      <c r="EM848" s="23"/>
      <c r="EN848" s="23"/>
      <c r="EO848" s="23"/>
      <c r="EP848" s="23"/>
      <c r="EQ848" s="23"/>
      <c r="ER848" s="23"/>
      <c r="ES848" s="23"/>
      <c r="ET848" s="23"/>
      <c r="EU848" s="23"/>
      <c r="EV848" s="23"/>
      <c r="EW848" s="23"/>
      <c r="EX848" s="23"/>
      <c r="EY848" s="23"/>
      <c r="EZ848" s="23"/>
      <c r="FA848" s="23"/>
      <c r="FB848" s="23"/>
      <c r="FC848" s="23"/>
      <c r="FD848" s="23"/>
      <c r="FE848" s="23"/>
      <c r="FF848" s="23"/>
      <c r="FG848" s="23"/>
      <c r="FH848" s="23"/>
      <c r="FI848" s="23"/>
      <c r="FJ848" s="23"/>
      <c r="FK848" s="23"/>
      <c r="FL848" s="23"/>
      <c r="FM848" s="23"/>
      <c r="FN848" s="23"/>
      <c r="FO848" s="23"/>
      <c r="FP848" s="23"/>
      <c r="FQ848" s="23"/>
      <c r="FR848" s="23"/>
      <c r="FS848" s="23"/>
      <c r="FT848" s="23"/>
      <c r="FU848" s="23"/>
      <c r="FV848" s="23"/>
      <c r="FW848" s="23"/>
      <c r="FX848" s="23"/>
      <c r="FY848" s="23"/>
      <c r="FZ848" s="23"/>
      <c r="GA848" s="23"/>
      <c r="GB848" s="23"/>
      <c r="GC848" s="23"/>
      <c r="GD848" s="23"/>
      <c r="GE848" s="23"/>
      <c r="GF848" s="23"/>
      <c r="GG848" s="23"/>
      <c r="GH848" s="23"/>
      <c r="GI848" s="23"/>
      <c r="GJ848" s="23"/>
      <c r="GK848" s="23"/>
      <c r="GL848" s="23"/>
    </row>
    <row r="849" spans="1:194" ht="13">
      <c r="A849" s="23"/>
      <c r="B849" s="23"/>
      <c r="C849" s="23"/>
      <c r="D849" s="23"/>
      <c r="E849" s="23"/>
      <c r="F849" s="23"/>
      <c r="G849" s="23"/>
      <c r="H849" s="401"/>
      <c r="I849" s="401"/>
      <c r="J849" s="401"/>
      <c r="K849" s="401"/>
      <c r="L849" s="401"/>
      <c r="M849" s="438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  <c r="AL849" s="23"/>
      <c r="AM849" s="23"/>
      <c r="AN849" s="23"/>
      <c r="AO849" s="23"/>
      <c r="AP849" s="23"/>
      <c r="AQ849" s="23"/>
      <c r="AR849" s="23"/>
      <c r="AS849" s="23"/>
      <c r="AT849" s="23"/>
      <c r="AU849" s="23"/>
      <c r="AV849" s="23"/>
      <c r="AW849" s="23"/>
      <c r="AX849" s="23"/>
      <c r="AY849" s="23"/>
      <c r="AZ849" s="23"/>
      <c r="BA849" s="23"/>
      <c r="BB849" s="23"/>
      <c r="BC849" s="23"/>
      <c r="BD849" s="23"/>
      <c r="BE849" s="23"/>
      <c r="BF849" s="23"/>
      <c r="BG849" s="23"/>
      <c r="BH849" s="23"/>
      <c r="BI849" s="23"/>
      <c r="BJ849" s="23"/>
      <c r="BK849" s="23"/>
      <c r="BL849" s="23"/>
      <c r="BM849" s="23"/>
      <c r="BN849" s="23"/>
      <c r="BO849" s="23"/>
      <c r="BP849" s="23"/>
      <c r="BQ849" s="23"/>
      <c r="BR849" s="23"/>
      <c r="BS849" s="23"/>
      <c r="BT849" s="23"/>
      <c r="BU849" s="23"/>
      <c r="BV849" s="23"/>
      <c r="BW849" s="23"/>
      <c r="BX849" s="23"/>
      <c r="BY849" s="23"/>
      <c r="BZ849" s="23"/>
      <c r="CA849" s="23"/>
      <c r="CB849" s="23"/>
      <c r="CC849" s="23"/>
      <c r="CD849" s="23"/>
      <c r="CE849" s="23"/>
      <c r="CF849" s="23"/>
      <c r="CG849" s="23"/>
      <c r="CH849" s="23"/>
      <c r="CI849" s="23"/>
      <c r="CJ849" s="23"/>
      <c r="CK849" s="23"/>
      <c r="CL849" s="23"/>
      <c r="CM849" s="23"/>
      <c r="CN849" s="23"/>
      <c r="CO849" s="23"/>
      <c r="CP849" s="23"/>
      <c r="CQ849" s="23"/>
      <c r="CR849" s="23"/>
      <c r="CS849" s="23"/>
      <c r="CT849" s="23"/>
      <c r="CU849" s="23"/>
      <c r="CV849" s="23"/>
      <c r="CW849" s="23"/>
      <c r="CX849" s="23"/>
      <c r="CY849" s="23"/>
      <c r="CZ849" s="23"/>
      <c r="DA849" s="23"/>
      <c r="DB849" s="23"/>
      <c r="DC849" s="23"/>
      <c r="DD849" s="23"/>
      <c r="DE849" s="23"/>
      <c r="DF849" s="23"/>
      <c r="DG849" s="23"/>
      <c r="DH849" s="23"/>
      <c r="DI849" s="23"/>
      <c r="DJ849" s="23"/>
      <c r="DK849" s="23"/>
      <c r="DL849" s="23"/>
      <c r="DM849" s="23"/>
      <c r="DN849" s="23"/>
      <c r="DO849" s="23"/>
      <c r="DP849" s="23"/>
      <c r="DQ849" s="23"/>
      <c r="DR849" s="23"/>
      <c r="DS849" s="23"/>
      <c r="DT849" s="23"/>
      <c r="DU849" s="23"/>
      <c r="DV849" s="23"/>
      <c r="DW849" s="23"/>
      <c r="DX849" s="23"/>
      <c r="DY849" s="23"/>
      <c r="DZ849" s="23"/>
      <c r="EA849" s="23"/>
      <c r="EB849" s="23"/>
      <c r="EC849" s="23"/>
      <c r="ED849" s="23"/>
      <c r="EE849" s="23"/>
      <c r="EF849" s="23"/>
      <c r="EG849" s="23"/>
      <c r="EH849" s="23"/>
      <c r="EI849" s="23"/>
      <c r="EJ849" s="23"/>
      <c r="EK849" s="23"/>
      <c r="EL849" s="23"/>
      <c r="EM849" s="23"/>
      <c r="EN849" s="23"/>
      <c r="EO849" s="23"/>
      <c r="EP849" s="23"/>
      <c r="EQ849" s="23"/>
      <c r="ER849" s="23"/>
      <c r="ES849" s="23"/>
      <c r="ET849" s="23"/>
      <c r="EU849" s="23"/>
      <c r="EV849" s="23"/>
      <c r="EW849" s="23"/>
      <c r="EX849" s="23"/>
      <c r="EY849" s="23"/>
      <c r="EZ849" s="23"/>
      <c r="FA849" s="23"/>
      <c r="FB849" s="23"/>
      <c r="FC849" s="23"/>
      <c r="FD849" s="23"/>
      <c r="FE849" s="23"/>
      <c r="FF849" s="23"/>
      <c r="FG849" s="23"/>
      <c r="FH849" s="23"/>
      <c r="FI849" s="23"/>
      <c r="FJ849" s="23"/>
      <c r="FK849" s="23"/>
      <c r="FL849" s="23"/>
      <c r="FM849" s="23"/>
      <c r="FN849" s="23"/>
      <c r="FO849" s="23"/>
      <c r="FP849" s="23"/>
      <c r="FQ849" s="23"/>
      <c r="FR849" s="23"/>
      <c r="FS849" s="23"/>
      <c r="FT849" s="23"/>
      <c r="FU849" s="23"/>
      <c r="FV849" s="23"/>
      <c r="FW849" s="23"/>
      <c r="FX849" s="23"/>
      <c r="FY849" s="23"/>
      <c r="FZ849" s="23"/>
      <c r="GA849" s="23"/>
      <c r="GB849" s="23"/>
      <c r="GC849" s="23"/>
      <c r="GD849" s="23"/>
      <c r="GE849" s="23"/>
      <c r="GF849" s="23"/>
      <c r="GG849" s="23"/>
      <c r="GH849" s="23"/>
      <c r="GI849" s="23"/>
      <c r="GJ849" s="23"/>
      <c r="GK849" s="23"/>
      <c r="GL849" s="23"/>
    </row>
    <row r="850" spans="1:194" ht="13">
      <c r="A850" s="23"/>
      <c r="B850" s="23"/>
      <c r="C850" s="23"/>
      <c r="D850" s="23"/>
      <c r="E850" s="23"/>
      <c r="F850" s="23"/>
      <c r="G850" s="23"/>
      <c r="H850" s="401"/>
      <c r="I850" s="401"/>
      <c r="J850" s="401"/>
      <c r="K850" s="401"/>
      <c r="L850" s="401"/>
      <c r="M850" s="438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  <c r="AL850" s="23"/>
      <c r="AM850" s="23"/>
      <c r="AN850" s="23"/>
      <c r="AO850" s="23"/>
      <c r="AP850" s="23"/>
      <c r="AQ850" s="23"/>
      <c r="AR850" s="23"/>
      <c r="AS850" s="23"/>
      <c r="AT850" s="23"/>
      <c r="AU850" s="23"/>
      <c r="AV850" s="23"/>
      <c r="AW850" s="23"/>
      <c r="AX850" s="23"/>
      <c r="AY850" s="23"/>
      <c r="AZ850" s="23"/>
      <c r="BA850" s="23"/>
      <c r="BB850" s="23"/>
      <c r="BC850" s="23"/>
      <c r="BD850" s="23"/>
      <c r="BE850" s="23"/>
      <c r="BF850" s="23"/>
      <c r="BG850" s="23"/>
      <c r="BH850" s="23"/>
      <c r="BI850" s="23"/>
      <c r="BJ850" s="23"/>
      <c r="BK850" s="23"/>
      <c r="BL850" s="23"/>
      <c r="BM850" s="23"/>
      <c r="BN850" s="23"/>
      <c r="BO850" s="23"/>
      <c r="BP850" s="23"/>
      <c r="BQ850" s="23"/>
      <c r="BR850" s="23"/>
      <c r="BS850" s="23"/>
      <c r="BT850" s="23"/>
      <c r="BU850" s="23"/>
      <c r="BV850" s="23"/>
      <c r="BW850" s="23"/>
      <c r="BX850" s="23"/>
      <c r="BY850" s="23"/>
      <c r="BZ850" s="23"/>
      <c r="CA850" s="23"/>
      <c r="CB850" s="23"/>
      <c r="CC850" s="23"/>
      <c r="CD850" s="23"/>
      <c r="CE850" s="23"/>
      <c r="CF850" s="23"/>
      <c r="CG850" s="23"/>
      <c r="CH850" s="23"/>
      <c r="CI850" s="23"/>
      <c r="CJ850" s="23"/>
      <c r="CK850" s="23"/>
      <c r="CL850" s="23"/>
      <c r="CM850" s="23"/>
      <c r="CN850" s="23"/>
      <c r="CO850" s="23"/>
      <c r="CP850" s="23"/>
      <c r="CQ850" s="23"/>
      <c r="CR850" s="23"/>
      <c r="CS850" s="23"/>
      <c r="CT850" s="23"/>
      <c r="CU850" s="23"/>
      <c r="CV850" s="23"/>
      <c r="CW850" s="23"/>
      <c r="CX850" s="23"/>
      <c r="CY850" s="23"/>
      <c r="CZ850" s="23"/>
      <c r="DA850" s="23"/>
      <c r="DB850" s="23"/>
      <c r="DC850" s="23"/>
      <c r="DD850" s="23"/>
      <c r="DE850" s="23"/>
      <c r="DF850" s="23"/>
      <c r="DG850" s="23"/>
      <c r="DH850" s="23"/>
      <c r="DI850" s="23"/>
      <c r="DJ850" s="23"/>
      <c r="DK850" s="23"/>
      <c r="DL850" s="23"/>
      <c r="DM850" s="23"/>
      <c r="DN850" s="23"/>
      <c r="DO850" s="23"/>
      <c r="DP850" s="23"/>
      <c r="DQ850" s="23"/>
      <c r="DR850" s="23"/>
      <c r="DS850" s="23"/>
      <c r="DT850" s="23"/>
      <c r="DU850" s="23"/>
      <c r="DV850" s="23"/>
      <c r="DW850" s="23"/>
      <c r="DX850" s="23"/>
      <c r="DY850" s="23"/>
      <c r="DZ850" s="23"/>
      <c r="EA850" s="23"/>
      <c r="EB850" s="23"/>
      <c r="EC850" s="23"/>
      <c r="ED850" s="23"/>
      <c r="EE850" s="23"/>
      <c r="EF850" s="23"/>
      <c r="EG850" s="23"/>
      <c r="EH850" s="23"/>
      <c r="EI850" s="23"/>
      <c r="EJ850" s="23"/>
      <c r="EK850" s="23"/>
      <c r="EL850" s="23"/>
      <c r="EM850" s="23"/>
      <c r="EN850" s="23"/>
      <c r="EO850" s="23"/>
      <c r="EP850" s="23"/>
      <c r="EQ850" s="23"/>
      <c r="ER850" s="23"/>
      <c r="ES850" s="23"/>
      <c r="ET850" s="23"/>
      <c r="EU850" s="23"/>
      <c r="EV850" s="23"/>
      <c r="EW850" s="23"/>
      <c r="EX850" s="23"/>
      <c r="EY850" s="23"/>
      <c r="EZ850" s="23"/>
      <c r="FA850" s="23"/>
      <c r="FB850" s="23"/>
      <c r="FC850" s="23"/>
      <c r="FD850" s="23"/>
      <c r="FE850" s="23"/>
      <c r="FF850" s="23"/>
      <c r="FG850" s="23"/>
      <c r="FH850" s="23"/>
      <c r="FI850" s="23"/>
      <c r="FJ850" s="23"/>
      <c r="FK850" s="23"/>
      <c r="FL850" s="23"/>
      <c r="FM850" s="23"/>
      <c r="FN850" s="23"/>
      <c r="FO850" s="23"/>
      <c r="FP850" s="23"/>
      <c r="FQ850" s="23"/>
      <c r="FR850" s="23"/>
      <c r="FS850" s="23"/>
      <c r="FT850" s="23"/>
      <c r="FU850" s="23"/>
      <c r="FV850" s="23"/>
      <c r="FW850" s="23"/>
      <c r="FX850" s="23"/>
      <c r="FY850" s="23"/>
      <c r="FZ850" s="23"/>
      <c r="GA850" s="23"/>
      <c r="GB850" s="23"/>
      <c r="GC850" s="23"/>
      <c r="GD850" s="23"/>
      <c r="GE850" s="23"/>
      <c r="GF850" s="23"/>
      <c r="GG850" s="23"/>
      <c r="GH850" s="23"/>
      <c r="GI850" s="23"/>
      <c r="GJ850" s="23"/>
      <c r="GK850" s="23"/>
      <c r="GL850" s="23"/>
    </row>
    <row r="851" spans="1:194" ht="13">
      <c r="A851" s="23"/>
      <c r="B851" s="23"/>
      <c r="C851" s="23"/>
      <c r="D851" s="23"/>
      <c r="E851" s="23"/>
      <c r="F851" s="23"/>
      <c r="G851" s="23"/>
      <c r="H851" s="401"/>
      <c r="I851" s="401"/>
      <c r="J851" s="401"/>
      <c r="K851" s="401"/>
      <c r="L851" s="401"/>
      <c r="M851" s="438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  <c r="AL851" s="23"/>
      <c r="AM851" s="23"/>
      <c r="AN851" s="23"/>
      <c r="AO851" s="23"/>
      <c r="AP851" s="23"/>
      <c r="AQ851" s="23"/>
      <c r="AR851" s="23"/>
      <c r="AS851" s="23"/>
      <c r="AT851" s="23"/>
      <c r="AU851" s="23"/>
      <c r="AV851" s="23"/>
      <c r="AW851" s="23"/>
      <c r="AX851" s="23"/>
      <c r="AY851" s="23"/>
      <c r="AZ851" s="23"/>
      <c r="BA851" s="23"/>
      <c r="BB851" s="23"/>
      <c r="BC851" s="23"/>
      <c r="BD851" s="23"/>
      <c r="BE851" s="23"/>
      <c r="BF851" s="23"/>
      <c r="BG851" s="23"/>
      <c r="BH851" s="23"/>
      <c r="BI851" s="23"/>
      <c r="BJ851" s="23"/>
      <c r="BK851" s="23"/>
      <c r="BL851" s="23"/>
      <c r="BM851" s="23"/>
      <c r="BN851" s="23"/>
      <c r="BO851" s="23"/>
      <c r="BP851" s="23"/>
      <c r="BQ851" s="23"/>
      <c r="BR851" s="23"/>
      <c r="BS851" s="23"/>
      <c r="BT851" s="23"/>
      <c r="BU851" s="23"/>
      <c r="BV851" s="23"/>
      <c r="BW851" s="23"/>
      <c r="BX851" s="23"/>
      <c r="BY851" s="23"/>
      <c r="BZ851" s="23"/>
      <c r="CA851" s="23"/>
      <c r="CB851" s="23"/>
      <c r="CC851" s="23"/>
      <c r="CD851" s="23"/>
      <c r="CE851" s="23"/>
      <c r="CF851" s="23"/>
      <c r="CG851" s="23"/>
      <c r="CH851" s="23"/>
      <c r="CI851" s="23"/>
      <c r="CJ851" s="23"/>
      <c r="CK851" s="23"/>
      <c r="CL851" s="23"/>
      <c r="CM851" s="23"/>
      <c r="CN851" s="23"/>
      <c r="CO851" s="23"/>
      <c r="CP851" s="23"/>
      <c r="CQ851" s="23"/>
      <c r="CR851" s="23"/>
      <c r="CS851" s="23"/>
      <c r="CT851" s="23"/>
      <c r="CU851" s="23"/>
      <c r="CV851" s="23"/>
      <c r="CW851" s="23"/>
      <c r="CX851" s="23"/>
      <c r="CY851" s="23"/>
      <c r="CZ851" s="23"/>
      <c r="DA851" s="23"/>
      <c r="DB851" s="23"/>
      <c r="DC851" s="23"/>
      <c r="DD851" s="23"/>
      <c r="DE851" s="23"/>
      <c r="DF851" s="23"/>
      <c r="DG851" s="23"/>
      <c r="DH851" s="23"/>
      <c r="DI851" s="23"/>
      <c r="DJ851" s="23"/>
      <c r="DK851" s="23"/>
      <c r="DL851" s="23"/>
      <c r="DM851" s="23"/>
      <c r="DN851" s="23"/>
      <c r="DO851" s="23"/>
      <c r="DP851" s="23"/>
      <c r="DQ851" s="23"/>
      <c r="DR851" s="23"/>
      <c r="DS851" s="23"/>
      <c r="DT851" s="23"/>
      <c r="DU851" s="23"/>
      <c r="DV851" s="23"/>
      <c r="DW851" s="23"/>
      <c r="DX851" s="23"/>
      <c r="DY851" s="23"/>
      <c r="DZ851" s="23"/>
      <c r="EA851" s="23"/>
      <c r="EB851" s="23"/>
      <c r="EC851" s="23"/>
      <c r="ED851" s="23"/>
      <c r="EE851" s="23"/>
      <c r="EF851" s="23"/>
      <c r="EG851" s="23"/>
      <c r="EH851" s="23"/>
      <c r="EI851" s="23"/>
      <c r="EJ851" s="23"/>
      <c r="EK851" s="23"/>
      <c r="EL851" s="23"/>
      <c r="EM851" s="23"/>
      <c r="EN851" s="23"/>
      <c r="EO851" s="23"/>
      <c r="EP851" s="23"/>
      <c r="EQ851" s="23"/>
      <c r="ER851" s="23"/>
      <c r="ES851" s="23"/>
      <c r="ET851" s="23"/>
      <c r="EU851" s="23"/>
      <c r="EV851" s="23"/>
      <c r="EW851" s="23"/>
      <c r="EX851" s="23"/>
      <c r="EY851" s="23"/>
      <c r="EZ851" s="23"/>
      <c r="FA851" s="23"/>
      <c r="FB851" s="23"/>
      <c r="FC851" s="23"/>
      <c r="FD851" s="23"/>
      <c r="FE851" s="23"/>
      <c r="FF851" s="23"/>
      <c r="FG851" s="23"/>
      <c r="FH851" s="23"/>
      <c r="FI851" s="23"/>
      <c r="FJ851" s="23"/>
      <c r="FK851" s="23"/>
      <c r="FL851" s="23"/>
      <c r="FM851" s="23"/>
      <c r="FN851" s="23"/>
      <c r="FO851" s="23"/>
      <c r="FP851" s="23"/>
      <c r="FQ851" s="23"/>
      <c r="FR851" s="23"/>
      <c r="FS851" s="23"/>
      <c r="FT851" s="23"/>
      <c r="FU851" s="23"/>
      <c r="FV851" s="23"/>
      <c r="FW851" s="23"/>
      <c r="FX851" s="23"/>
      <c r="FY851" s="23"/>
      <c r="FZ851" s="23"/>
      <c r="GA851" s="23"/>
      <c r="GB851" s="23"/>
      <c r="GC851" s="23"/>
      <c r="GD851" s="23"/>
      <c r="GE851" s="23"/>
      <c r="GF851" s="23"/>
      <c r="GG851" s="23"/>
      <c r="GH851" s="23"/>
      <c r="GI851" s="23"/>
      <c r="GJ851" s="23"/>
      <c r="GK851" s="23"/>
      <c r="GL851" s="23"/>
    </row>
    <row r="852" spans="1:194" ht="13">
      <c r="A852" s="23"/>
      <c r="B852" s="23"/>
      <c r="C852" s="23"/>
      <c r="D852" s="23"/>
      <c r="E852" s="23"/>
      <c r="F852" s="23"/>
      <c r="G852" s="23"/>
      <c r="H852" s="401"/>
      <c r="I852" s="401"/>
      <c r="J852" s="401"/>
      <c r="K852" s="401"/>
      <c r="L852" s="401"/>
      <c r="M852" s="438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  <c r="AL852" s="23"/>
      <c r="AM852" s="23"/>
      <c r="AN852" s="23"/>
      <c r="AO852" s="23"/>
      <c r="AP852" s="23"/>
      <c r="AQ852" s="23"/>
      <c r="AR852" s="23"/>
      <c r="AS852" s="23"/>
      <c r="AT852" s="23"/>
      <c r="AU852" s="23"/>
      <c r="AV852" s="23"/>
      <c r="AW852" s="23"/>
      <c r="AX852" s="23"/>
      <c r="AY852" s="23"/>
      <c r="AZ852" s="23"/>
      <c r="BA852" s="23"/>
      <c r="BB852" s="23"/>
      <c r="BC852" s="23"/>
      <c r="BD852" s="23"/>
      <c r="BE852" s="23"/>
      <c r="BF852" s="23"/>
      <c r="BG852" s="23"/>
      <c r="BH852" s="23"/>
      <c r="BI852" s="23"/>
      <c r="BJ852" s="23"/>
      <c r="BK852" s="23"/>
      <c r="BL852" s="23"/>
      <c r="BM852" s="23"/>
      <c r="BN852" s="23"/>
      <c r="BO852" s="23"/>
      <c r="BP852" s="23"/>
      <c r="BQ852" s="23"/>
      <c r="BR852" s="23"/>
      <c r="BS852" s="23"/>
      <c r="BT852" s="23"/>
      <c r="BU852" s="23"/>
      <c r="BV852" s="23"/>
      <c r="BW852" s="23"/>
      <c r="BX852" s="23"/>
      <c r="BY852" s="23"/>
      <c r="BZ852" s="23"/>
      <c r="CA852" s="23"/>
      <c r="CB852" s="23"/>
      <c r="CC852" s="23"/>
      <c r="CD852" s="23"/>
      <c r="CE852" s="23"/>
      <c r="CF852" s="23"/>
      <c r="CG852" s="23"/>
      <c r="CH852" s="23"/>
      <c r="CI852" s="23"/>
      <c r="CJ852" s="23"/>
      <c r="CK852" s="23"/>
      <c r="CL852" s="23"/>
      <c r="CM852" s="23"/>
      <c r="CN852" s="23"/>
      <c r="CO852" s="23"/>
      <c r="CP852" s="23"/>
      <c r="CQ852" s="23"/>
      <c r="CR852" s="23"/>
      <c r="CS852" s="23"/>
      <c r="CT852" s="23"/>
      <c r="CU852" s="23"/>
      <c r="CV852" s="23"/>
      <c r="CW852" s="23"/>
      <c r="CX852" s="23"/>
      <c r="CY852" s="23"/>
      <c r="CZ852" s="23"/>
      <c r="DA852" s="23"/>
      <c r="DB852" s="23"/>
      <c r="DC852" s="23"/>
      <c r="DD852" s="23"/>
      <c r="DE852" s="23"/>
      <c r="DF852" s="23"/>
      <c r="DG852" s="23"/>
      <c r="DH852" s="23"/>
      <c r="DI852" s="23"/>
      <c r="DJ852" s="23"/>
      <c r="DK852" s="23"/>
      <c r="DL852" s="23"/>
      <c r="DM852" s="23"/>
      <c r="DN852" s="23"/>
      <c r="DO852" s="23"/>
      <c r="DP852" s="23"/>
      <c r="DQ852" s="23"/>
      <c r="DR852" s="23"/>
      <c r="DS852" s="23"/>
      <c r="DT852" s="23"/>
      <c r="DU852" s="23"/>
      <c r="DV852" s="23"/>
      <c r="DW852" s="23"/>
      <c r="DX852" s="23"/>
      <c r="DY852" s="23"/>
      <c r="DZ852" s="23"/>
      <c r="EA852" s="23"/>
      <c r="EB852" s="23"/>
      <c r="EC852" s="23"/>
      <c r="ED852" s="23"/>
      <c r="EE852" s="23"/>
      <c r="EF852" s="23"/>
      <c r="EG852" s="23"/>
      <c r="EH852" s="23"/>
      <c r="EI852" s="23"/>
      <c r="EJ852" s="23"/>
      <c r="EK852" s="23"/>
      <c r="EL852" s="23"/>
      <c r="EM852" s="23"/>
      <c r="EN852" s="23"/>
      <c r="EO852" s="23"/>
      <c r="EP852" s="23"/>
      <c r="EQ852" s="23"/>
      <c r="ER852" s="23"/>
      <c r="ES852" s="23"/>
      <c r="ET852" s="23"/>
      <c r="EU852" s="23"/>
      <c r="EV852" s="23"/>
      <c r="EW852" s="23"/>
      <c r="EX852" s="23"/>
      <c r="EY852" s="23"/>
      <c r="EZ852" s="23"/>
      <c r="FA852" s="23"/>
      <c r="FB852" s="23"/>
      <c r="FC852" s="23"/>
      <c r="FD852" s="23"/>
      <c r="FE852" s="23"/>
      <c r="FF852" s="23"/>
      <c r="FG852" s="23"/>
      <c r="FH852" s="23"/>
      <c r="FI852" s="23"/>
      <c r="FJ852" s="23"/>
      <c r="FK852" s="23"/>
      <c r="FL852" s="23"/>
      <c r="FM852" s="23"/>
      <c r="FN852" s="23"/>
      <c r="FO852" s="23"/>
      <c r="FP852" s="23"/>
      <c r="FQ852" s="23"/>
      <c r="FR852" s="23"/>
      <c r="FS852" s="23"/>
      <c r="FT852" s="23"/>
      <c r="FU852" s="23"/>
      <c r="FV852" s="23"/>
      <c r="FW852" s="23"/>
      <c r="FX852" s="23"/>
      <c r="FY852" s="23"/>
      <c r="FZ852" s="23"/>
      <c r="GA852" s="23"/>
      <c r="GB852" s="23"/>
      <c r="GC852" s="23"/>
      <c r="GD852" s="23"/>
      <c r="GE852" s="23"/>
      <c r="GF852" s="23"/>
      <c r="GG852" s="23"/>
      <c r="GH852" s="23"/>
      <c r="GI852" s="23"/>
      <c r="GJ852" s="23"/>
      <c r="GK852" s="23"/>
      <c r="GL852" s="23"/>
    </row>
    <row r="853" spans="1:194" ht="13">
      <c r="A853" s="23"/>
      <c r="B853" s="23"/>
      <c r="C853" s="23"/>
      <c r="D853" s="23"/>
      <c r="E853" s="23"/>
      <c r="F853" s="23"/>
      <c r="G853" s="23"/>
      <c r="H853" s="401"/>
      <c r="I853" s="401"/>
      <c r="J853" s="401"/>
      <c r="K853" s="401"/>
      <c r="L853" s="401"/>
      <c r="M853" s="438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  <c r="AL853" s="23"/>
      <c r="AM853" s="23"/>
      <c r="AN853" s="23"/>
      <c r="AO853" s="23"/>
      <c r="AP853" s="23"/>
      <c r="AQ853" s="23"/>
      <c r="AR853" s="23"/>
      <c r="AS853" s="23"/>
      <c r="AT853" s="23"/>
      <c r="AU853" s="23"/>
      <c r="AV853" s="23"/>
      <c r="AW853" s="23"/>
      <c r="AX853" s="23"/>
      <c r="AY853" s="23"/>
      <c r="AZ853" s="23"/>
      <c r="BA853" s="23"/>
      <c r="BB853" s="23"/>
      <c r="BC853" s="23"/>
      <c r="BD853" s="23"/>
      <c r="BE853" s="23"/>
      <c r="BF853" s="23"/>
      <c r="BG853" s="23"/>
      <c r="BH853" s="23"/>
      <c r="BI853" s="23"/>
      <c r="BJ853" s="23"/>
      <c r="BK853" s="23"/>
      <c r="BL853" s="23"/>
      <c r="BM853" s="23"/>
      <c r="BN853" s="23"/>
      <c r="BO853" s="23"/>
      <c r="BP853" s="23"/>
      <c r="BQ853" s="23"/>
      <c r="BR853" s="23"/>
      <c r="BS853" s="23"/>
      <c r="BT853" s="23"/>
      <c r="BU853" s="23"/>
      <c r="BV853" s="23"/>
      <c r="BW853" s="23"/>
      <c r="BX853" s="23"/>
      <c r="BY853" s="23"/>
      <c r="BZ853" s="23"/>
      <c r="CA853" s="23"/>
      <c r="CB853" s="23"/>
      <c r="CC853" s="23"/>
      <c r="CD853" s="23"/>
      <c r="CE853" s="23"/>
      <c r="CF853" s="23"/>
      <c r="CG853" s="23"/>
      <c r="CH853" s="23"/>
      <c r="CI853" s="23"/>
      <c r="CJ853" s="23"/>
      <c r="CK853" s="23"/>
      <c r="CL853" s="23"/>
      <c r="CM853" s="23"/>
      <c r="CN853" s="23"/>
      <c r="CO853" s="23"/>
      <c r="CP853" s="23"/>
      <c r="CQ853" s="23"/>
      <c r="CR853" s="23"/>
      <c r="CS853" s="23"/>
      <c r="CT853" s="23"/>
      <c r="CU853" s="23"/>
      <c r="CV853" s="23"/>
      <c r="CW853" s="23"/>
      <c r="CX853" s="23"/>
      <c r="CY853" s="23"/>
      <c r="CZ853" s="23"/>
      <c r="DA853" s="23"/>
      <c r="DB853" s="23"/>
      <c r="DC853" s="23"/>
      <c r="DD853" s="23"/>
      <c r="DE853" s="23"/>
      <c r="DF853" s="23"/>
      <c r="DG853" s="23"/>
      <c r="DH853" s="23"/>
      <c r="DI853" s="23"/>
      <c r="DJ853" s="23"/>
      <c r="DK853" s="23"/>
      <c r="DL853" s="23"/>
      <c r="DM853" s="23"/>
      <c r="DN853" s="23"/>
      <c r="DO853" s="23"/>
      <c r="DP853" s="23"/>
      <c r="DQ853" s="23"/>
      <c r="DR853" s="23"/>
      <c r="DS853" s="23"/>
      <c r="DT853" s="23"/>
      <c r="DU853" s="23"/>
      <c r="DV853" s="23"/>
      <c r="DW853" s="23"/>
      <c r="DX853" s="23"/>
      <c r="DY853" s="23"/>
      <c r="DZ853" s="23"/>
      <c r="EA853" s="23"/>
      <c r="EB853" s="23"/>
      <c r="EC853" s="23"/>
      <c r="ED853" s="23"/>
      <c r="EE853" s="23"/>
      <c r="EF853" s="23"/>
      <c r="EG853" s="23"/>
      <c r="EH853" s="23"/>
      <c r="EI853" s="23"/>
      <c r="EJ853" s="23"/>
      <c r="EK853" s="23"/>
      <c r="EL853" s="23"/>
      <c r="EM853" s="23"/>
      <c r="EN853" s="23"/>
      <c r="EO853" s="23"/>
      <c r="EP853" s="23"/>
      <c r="EQ853" s="23"/>
      <c r="ER853" s="23"/>
      <c r="ES853" s="23"/>
      <c r="ET853" s="23"/>
      <c r="EU853" s="23"/>
      <c r="EV853" s="23"/>
      <c r="EW853" s="23"/>
      <c r="EX853" s="23"/>
      <c r="EY853" s="23"/>
      <c r="EZ853" s="23"/>
      <c r="FA853" s="23"/>
      <c r="FB853" s="23"/>
      <c r="FC853" s="23"/>
      <c r="FD853" s="23"/>
      <c r="FE853" s="23"/>
      <c r="FF853" s="23"/>
      <c r="FG853" s="23"/>
      <c r="FH853" s="23"/>
      <c r="FI853" s="23"/>
      <c r="FJ853" s="23"/>
      <c r="FK853" s="23"/>
      <c r="FL853" s="23"/>
      <c r="FM853" s="23"/>
      <c r="FN853" s="23"/>
      <c r="FO853" s="23"/>
      <c r="FP853" s="23"/>
      <c r="FQ853" s="23"/>
      <c r="FR853" s="23"/>
      <c r="FS853" s="23"/>
      <c r="FT853" s="23"/>
      <c r="FU853" s="23"/>
      <c r="FV853" s="23"/>
      <c r="FW853" s="23"/>
      <c r="FX853" s="23"/>
      <c r="FY853" s="23"/>
      <c r="FZ853" s="23"/>
      <c r="GA853" s="23"/>
      <c r="GB853" s="23"/>
      <c r="GC853" s="23"/>
      <c r="GD853" s="23"/>
      <c r="GE853" s="23"/>
      <c r="GF853" s="23"/>
      <c r="GG853" s="23"/>
      <c r="GH853" s="23"/>
      <c r="GI853" s="23"/>
      <c r="GJ853" s="23"/>
      <c r="GK853" s="23"/>
      <c r="GL853" s="23"/>
    </row>
    <row r="854" spans="1:194" ht="13">
      <c r="A854" s="23"/>
      <c r="B854" s="23"/>
      <c r="C854" s="23"/>
      <c r="D854" s="23"/>
      <c r="E854" s="23"/>
      <c r="F854" s="23"/>
      <c r="G854" s="23"/>
      <c r="H854" s="401"/>
      <c r="I854" s="401"/>
      <c r="J854" s="401"/>
      <c r="K854" s="401"/>
      <c r="L854" s="401"/>
      <c r="M854" s="438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  <c r="AL854" s="23"/>
      <c r="AM854" s="23"/>
      <c r="AN854" s="23"/>
      <c r="AO854" s="23"/>
      <c r="AP854" s="23"/>
      <c r="AQ854" s="23"/>
      <c r="AR854" s="23"/>
      <c r="AS854" s="23"/>
      <c r="AT854" s="23"/>
      <c r="AU854" s="23"/>
      <c r="AV854" s="23"/>
      <c r="AW854" s="23"/>
      <c r="AX854" s="23"/>
      <c r="AY854" s="23"/>
      <c r="AZ854" s="23"/>
      <c r="BA854" s="23"/>
      <c r="BB854" s="23"/>
      <c r="BC854" s="23"/>
      <c r="BD854" s="23"/>
      <c r="BE854" s="23"/>
      <c r="BF854" s="23"/>
      <c r="BG854" s="23"/>
      <c r="BH854" s="23"/>
      <c r="BI854" s="23"/>
      <c r="BJ854" s="23"/>
      <c r="BK854" s="23"/>
      <c r="BL854" s="23"/>
      <c r="BM854" s="23"/>
      <c r="BN854" s="23"/>
      <c r="BO854" s="23"/>
      <c r="BP854" s="23"/>
      <c r="BQ854" s="23"/>
      <c r="BR854" s="23"/>
      <c r="BS854" s="23"/>
      <c r="BT854" s="23"/>
      <c r="BU854" s="23"/>
      <c r="BV854" s="23"/>
      <c r="BW854" s="23"/>
      <c r="BX854" s="23"/>
      <c r="BY854" s="23"/>
      <c r="BZ854" s="23"/>
      <c r="CA854" s="23"/>
      <c r="CB854" s="23"/>
      <c r="CC854" s="23"/>
      <c r="CD854" s="23"/>
      <c r="CE854" s="23"/>
      <c r="CF854" s="23"/>
      <c r="CG854" s="23"/>
      <c r="CH854" s="23"/>
      <c r="CI854" s="23"/>
      <c r="CJ854" s="23"/>
      <c r="CK854" s="23"/>
      <c r="CL854" s="23"/>
      <c r="CM854" s="23"/>
      <c r="CN854" s="23"/>
      <c r="CO854" s="23"/>
      <c r="CP854" s="23"/>
      <c r="CQ854" s="23"/>
      <c r="CR854" s="23"/>
      <c r="CS854" s="23"/>
      <c r="CT854" s="23"/>
      <c r="CU854" s="23"/>
      <c r="CV854" s="23"/>
      <c r="CW854" s="23"/>
      <c r="CX854" s="23"/>
      <c r="CY854" s="23"/>
      <c r="CZ854" s="23"/>
      <c r="DA854" s="23"/>
      <c r="DB854" s="23"/>
      <c r="DC854" s="23"/>
      <c r="DD854" s="23"/>
      <c r="DE854" s="23"/>
      <c r="DF854" s="23"/>
      <c r="DG854" s="23"/>
      <c r="DH854" s="23"/>
      <c r="DI854" s="23"/>
      <c r="DJ854" s="23"/>
      <c r="DK854" s="23"/>
      <c r="DL854" s="23"/>
      <c r="DM854" s="23"/>
      <c r="DN854" s="23"/>
      <c r="DO854" s="23"/>
      <c r="DP854" s="23"/>
      <c r="DQ854" s="23"/>
      <c r="DR854" s="23"/>
      <c r="DS854" s="23"/>
      <c r="DT854" s="23"/>
      <c r="DU854" s="23"/>
      <c r="DV854" s="23"/>
      <c r="DW854" s="23"/>
      <c r="DX854" s="23"/>
      <c r="DY854" s="23"/>
      <c r="DZ854" s="23"/>
      <c r="EA854" s="23"/>
      <c r="EB854" s="23"/>
      <c r="EC854" s="23"/>
      <c r="ED854" s="23"/>
      <c r="EE854" s="23"/>
      <c r="EF854" s="23"/>
      <c r="EG854" s="23"/>
      <c r="EH854" s="23"/>
      <c r="EI854" s="23"/>
      <c r="EJ854" s="23"/>
      <c r="EK854" s="23"/>
      <c r="EL854" s="23"/>
      <c r="EM854" s="23"/>
      <c r="EN854" s="23"/>
      <c r="EO854" s="23"/>
      <c r="EP854" s="23"/>
      <c r="EQ854" s="23"/>
      <c r="ER854" s="23"/>
      <c r="ES854" s="23"/>
      <c r="ET854" s="23"/>
      <c r="EU854" s="23"/>
      <c r="EV854" s="23"/>
      <c r="EW854" s="23"/>
      <c r="EX854" s="23"/>
      <c r="EY854" s="23"/>
      <c r="EZ854" s="23"/>
      <c r="FA854" s="23"/>
      <c r="FB854" s="23"/>
      <c r="FC854" s="23"/>
      <c r="FD854" s="23"/>
      <c r="FE854" s="23"/>
      <c r="FF854" s="23"/>
      <c r="FG854" s="23"/>
      <c r="FH854" s="23"/>
      <c r="FI854" s="23"/>
      <c r="FJ854" s="23"/>
      <c r="FK854" s="23"/>
      <c r="FL854" s="23"/>
      <c r="FM854" s="23"/>
      <c r="FN854" s="23"/>
      <c r="FO854" s="23"/>
      <c r="FP854" s="23"/>
      <c r="FQ854" s="23"/>
      <c r="FR854" s="23"/>
      <c r="FS854" s="23"/>
      <c r="FT854" s="23"/>
      <c r="FU854" s="23"/>
      <c r="FV854" s="23"/>
      <c r="FW854" s="23"/>
      <c r="FX854" s="23"/>
      <c r="FY854" s="23"/>
      <c r="FZ854" s="23"/>
      <c r="GA854" s="23"/>
      <c r="GB854" s="23"/>
      <c r="GC854" s="23"/>
      <c r="GD854" s="23"/>
      <c r="GE854" s="23"/>
      <c r="GF854" s="23"/>
      <c r="GG854" s="23"/>
      <c r="GH854" s="23"/>
      <c r="GI854" s="23"/>
      <c r="GJ854" s="23"/>
      <c r="GK854" s="23"/>
      <c r="GL854" s="23"/>
    </row>
    <row r="855" spans="1:194" ht="13">
      <c r="A855" s="23"/>
      <c r="B855" s="23"/>
      <c r="C855" s="23"/>
      <c r="D855" s="23"/>
      <c r="E855" s="23"/>
      <c r="F855" s="23"/>
      <c r="G855" s="23"/>
      <c r="H855" s="401"/>
      <c r="I855" s="401"/>
      <c r="J855" s="401"/>
      <c r="K855" s="401"/>
      <c r="L855" s="401"/>
      <c r="M855" s="438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  <c r="AL855" s="23"/>
      <c r="AM855" s="23"/>
      <c r="AN855" s="23"/>
      <c r="AO855" s="23"/>
      <c r="AP855" s="23"/>
      <c r="AQ855" s="23"/>
      <c r="AR855" s="23"/>
      <c r="AS855" s="23"/>
      <c r="AT855" s="23"/>
      <c r="AU855" s="23"/>
      <c r="AV855" s="23"/>
      <c r="AW855" s="23"/>
      <c r="AX855" s="23"/>
      <c r="AY855" s="23"/>
      <c r="AZ855" s="23"/>
      <c r="BA855" s="23"/>
      <c r="BB855" s="23"/>
      <c r="BC855" s="23"/>
      <c r="BD855" s="23"/>
      <c r="BE855" s="23"/>
      <c r="BF855" s="23"/>
      <c r="BG855" s="23"/>
      <c r="BH855" s="23"/>
      <c r="BI855" s="23"/>
      <c r="BJ855" s="23"/>
      <c r="BK855" s="23"/>
      <c r="BL855" s="23"/>
      <c r="BM855" s="23"/>
      <c r="BN855" s="23"/>
      <c r="BO855" s="23"/>
      <c r="BP855" s="23"/>
      <c r="BQ855" s="23"/>
      <c r="BR855" s="23"/>
      <c r="BS855" s="23"/>
      <c r="BT855" s="23"/>
      <c r="BU855" s="23"/>
      <c r="BV855" s="23"/>
      <c r="BW855" s="23"/>
      <c r="BX855" s="23"/>
      <c r="BY855" s="23"/>
      <c r="BZ855" s="23"/>
      <c r="CA855" s="23"/>
      <c r="CB855" s="23"/>
      <c r="CC855" s="23"/>
      <c r="CD855" s="23"/>
      <c r="CE855" s="23"/>
      <c r="CF855" s="23"/>
      <c r="CG855" s="23"/>
      <c r="CH855" s="23"/>
      <c r="CI855" s="23"/>
      <c r="CJ855" s="23"/>
      <c r="CK855" s="23"/>
      <c r="CL855" s="23"/>
      <c r="CM855" s="23"/>
      <c r="CN855" s="23"/>
      <c r="CO855" s="23"/>
      <c r="CP855" s="23"/>
      <c r="CQ855" s="23"/>
      <c r="CR855" s="23"/>
      <c r="CS855" s="23"/>
      <c r="CT855" s="23"/>
      <c r="CU855" s="23"/>
      <c r="CV855" s="23"/>
      <c r="CW855" s="23"/>
      <c r="CX855" s="23"/>
      <c r="CY855" s="23"/>
      <c r="CZ855" s="23"/>
      <c r="DA855" s="23"/>
      <c r="DB855" s="23"/>
      <c r="DC855" s="23"/>
      <c r="DD855" s="23"/>
      <c r="DE855" s="23"/>
      <c r="DF855" s="23"/>
      <c r="DG855" s="23"/>
      <c r="DH855" s="23"/>
      <c r="DI855" s="23"/>
      <c r="DJ855" s="23"/>
      <c r="DK855" s="23"/>
      <c r="DL855" s="23"/>
      <c r="DM855" s="23"/>
      <c r="DN855" s="23"/>
      <c r="DO855" s="23"/>
      <c r="DP855" s="23"/>
      <c r="DQ855" s="23"/>
      <c r="DR855" s="23"/>
      <c r="DS855" s="23"/>
      <c r="DT855" s="23"/>
      <c r="DU855" s="23"/>
      <c r="DV855" s="23"/>
      <c r="DW855" s="23"/>
      <c r="DX855" s="23"/>
      <c r="DY855" s="23"/>
      <c r="DZ855" s="23"/>
      <c r="EA855" s="23"/>
      <c r="EB855" s="23"/>
      <c r="EC855" s="23"/>
      <c r="ED855" s="23"/>
      <c r="EE855" s="23"/>
      <c r="EF855" s="23"/>
      <c r="EG855" s="23"/>
      <c r="EH855" s="23"/>
      <c r="EI855" s="23"/>
      <c r="EJ855" s="23"/>
      <c r="EK855" s="23"/>
      <c r="EL855" s="23"/>
      <c r="EM855" s="23"/>
      <c r="EN855" s="23"/>
      <c r="EO855" s="23"/>
      <c r="EP855" s="23"/>
      <c r="EQ855" s="23"/>
      <c r="ER855" s="23"/>
      <c r="ES855" s="23"/>
      <c r="ET855" s="23"/>
      <c r="EU855" s="23"/>
      <c r="EV855" s="23"/>
      <c r="EW855" s="23"/>
      <c r="EX855" s="23"/>
      <c r="EY855" s="23"/>
      <c r="EZ855" s="23"/>
      <c r="FA855" s="23"/>
      <c r="FB855" s="23"/>
      <c r="FC855" s="23"/>
      <c r="FD855" s="23"/>
      <c r="FE855" s="23"/>
      <c r="FF855" s="23"/>
      <c r="FG855" s="23"/>
      <c r="FH855" s="23"/>
      <c r="FI855" s="23"/>
      <c r="FJ855" s="23"/>
      <c r="FK855" s="23"/>
      <c r="FL855" s="23"/>
      <c r="FM855" s="23"/>
      <c r="FN855" s="23"/>
      <c r="FO855" s="23"/>
      <c r="FP855" s="23"/>
      <c r="FQ855" s="23"/>
      <c r="FR855" s="23"/>
      <c r="FS855" s="23"/>
      <c r="FT855" s="23"/>
      <c r="FU855" s="23"/>
      <c r="FV855" s="23"/>
      <c r="FW855" s="23"/>
      <c r="FX855" s="23"/>
      <c r="FY855" s="23"/>
      <c r="FZ855" s="23"/>
      <c r="GA855" s="23"/>
      <c r="GB855" s="23"/>
      <c r="GC855" s="23"/>
      <c r="GD855" s="23"/>
      <c r="GE855" s="23"/>
      <c r="GF855" s="23"/>
      <c r="GG855" s="23"/>
      <c r="GH855" s="23"/>
      <c r="GI855" s="23"/>
      <c r="GJ855" s="23"/>
      <c r="GK855" s="23"/>
      <c r="GL855" s="23"/>
    </row>
    <row r="856" spans="1:194" ht="13">
      <c r="A856" s="23"/>
      <c r="B856" s="23"/>
      <c r="C856" s="23"/>
      <c r="D856" s="23"/>
      <c r="E856" s="23"/>
      <c r="F856" s="23"/>
      <c r="G856" s="23"/>
      <c r="H856" s="401"/>
      <c r="I856" s="401"/>
      <c r="J856" s="401"/>
      <c r="K856" s="401"/>
      <c r="L856" s="401"/>
      <c r="M856" s="438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  <c r="AL856" s="23"/>
      <c r="AM856" s="23"/>
      <c r="AN856" s="23"/>
      <c r="AO856" s="23"/>
      <c r="AP856" s="23"/>
      <c r="AQ856" s="23"/>
      <c r="AR856" s="23"/>
      <c r="AS856" s="23"/>
      <c r="AT856" s="23"/>
      <c r="AU856" s="23"/>
      <c r="AV856" s="23"/>
      <c r="AW856" s="23"/>
      <c r="AX856" s="23"/>
      <c r="AY856" s="23"/>
      <c r="AZ856" s="23"/>
      <c r="BA856" s="23"/>
      <c r="BB856" s="23"/>
      <c r="BC856" s="23"/>
      <c r="BD856" s="23"/>
      <c r="BE856" s="23"/>
      <c r="BF856" s="23"/>
      <c r="BG856" s="23"/>
      <c r="BH856" s="23"/>
      <c r="BI856" s="23"/>
      <c r="BJ856" s="23"/>
      <c r="BK856" s="23"/>
      <c r="BL856" s="23"/>
      <c r="BM856" s="23"/>
      <c r="BN856" s="23"/>
      <c r="BO856" s="23"/>
      <c r="BP856" s="23"/>
      <c r="BQ856" s="23"/>
      <c r="BR856" s="23"/>
      <c r="BS856" s="23"/>
      <c r="BT856" s="23"/>
      <c r="BU856" s="23"/>
      <c r="BV856" s="23"/>
      <c r="BW856" s="23"/>
      <c r="BX856" s="23"/>
      <c r="BY856" s="23"/>
      <c r="BZ856" s="23"/>
      <c r="CA856" s="23"/>
      <c r="CB856" s="23"/>
      <c r="CC856" s="23"/>
      <c r="CD856" s="23"/>
      <c r="CE856" s="23"/>
      <c r="CF856" s="23"/>
      <c r="CG856" s="23"/>
      <c r="CH856" s="23"/>
      <c r="CI856" s="23"/>
      <c r="CJ856" s="23"/>
      <c r="CK856" s="23"/>
      <c r="CL856" s="23"/>
      <c r="CM856" s="23"/>
      <c r="CN856" s="23"/>
      <c r="CO856" s="23"/>
      <c r="CP856" s="23"/>
      <c r="CQ856" s="23"/>
      <c r="CR856" s="23"/>
      <c r="CS856" s="23"/>
      <c r="CT856" s="23"/>
      <c r="CU856" s="23"/>
      <c r="CV856" s="23"/>
      <c r="CW856" s="23"/>
      <c r="CX856" s="23"/>
      <c r="CY856" s="23"/>
      <c r="CZ856" s="23"/>
      <c r="DA856" s="23"/>
      <c r="DB856" s="23"/>
      <c r="DC856" s="23"/>
      <c r="DD856" s="23"/>
      <c r="DE856" s="23"/>
      <c r="DF856" s="23"/>
      <c r="DG856" s="23"/>
      <c r="DH856" s="23"/>
      <c r="DI856" s="23"/>
      <c r="DJ856" s="23"/>
      <c r="DK856" s="23"/>
      <c r="DL856" s="23"/>
      <c r="DM856" s="23"/>
      <c r="DN856" s="23"/>
      <c r="DO856" s="23"/>
      <c r="DP856" s="23"/>
      <c r="DQ856" s="23"/>
      <c r="DR856" s="23"/>
      <c r="DS856" s="23"/>
      <c r="DT856" s="23"/>
      <c r="DU856" s="23"/>
      <c r="DV856" s="23"/>
      <c r="DW856" s="23"/>
      <c r="DX856" s="23"/>
      <c r="DY856" s="23"/>
      <c r="DZ856" s="23"/>
      <c r="EA856" s="23"/>
      <c r="EB856" s="23"/>
      <c r="EC856" s="23"/>
      <c r="ED856" s="23"/>
      <c r="EE856" s="23"/>
      <c r="EF856" s="23"/>
      <c r="EG856" s="23"/>
      <c r="EH856" s="23"/>
      <c r="EI856" s="23"/>
      <c r="EJ856" s="23"/>
      <c r="EK856" s="23"/>
      <c r="EL856" s="23"/>
      <c r="EM856" s="23"/>
      <c r="EN856" s="23"/>
      <c r="EO856" s="23"/>
      <c r="EP856" s="23"/>
      <c r="EQ856" s="23"/>
      <c r="ER856" s="23"/>
      <c r="ES856" s="23"/>
      <c r="ET856" s="23"/>
      <c r="EU856" s="23"/>
      <c r="EV856" s="23"/>
      <c r="EW856" s="23"/>
      <c r="EX856" s="23"/>
      <c r="EY856" s="23"/>
      <c r="EZ856" s="23"/>
      <c r="FA856" s="23"/>
      <c r="FB856" s="23"/>
      <c r="FC856" s="23"/>
      <c r="FD856" s="23"/>
      <c r="FE856" s="23"/>
      <c r="FF856" s="23"/>
      <c r="FG856" s="23"/>
      <c r="FH856" s="23"/>
      <c r="FI856" s="23"/>
      <c r="FJ856" s="23"/>
      <c r="FK856" s="23"/>
      <c r="FL856" s="23"/>
      <c r="FM856" s="23"/>
      <c r="FN856" s="23"/>
      <c r="FO856" s="23"/>
      <c r="FP856" s="23"/>
      <c r="FQ856" s="23"/>
      <c r="FR856" s="23"/>
      <c r="FS856" s="23"/>
      <c r="FT856" s="23"/>
      <c r="FU856" s="23"/>
      <c r="FV856" s="23"/>
      <c r="FW856" s="23"/>
      <c r="FX856" s="23"/>
      <c r="FY856" s="23"/>
      <c r="FZ856" s="23"/>
      <c r="GA856" s="23"/>
      <c r="GB856" s="23"/>
      <c r="GC856" s="23"/>
      <c r="GD856" s="23"/>
      <c r="GE856" s="23"/>
      <c r="GF856" s="23"/>
      <c r="GG856" s="23"/>
      <c r="GH856" s="23"/>
      <c r="GI856" s="23"/>
      <c r="GJ856" s="23"/>
      <c r="GK856" s="23"/>
      <c r="GL856" s="23"/>
    </row>
    <row r="857" spans="1:194" ht="13">
      <c r="A857" s="23"/>
      <c r="B857" s="23"/>
      <c r="C857" s="23"/>
      <c r="D857" s="23"/>
      <c r="E857" s="23"/>
      <c r="F857" s="23"/>
      <c r="G857" s="23"/>
      <c r="H857" s="401"/>
      <c r="I857" s="401"/>
      <c r="J857" s="401"/>
      <c r="K857" s="401"/>
      <c r="L857" s="401"/>
      <c r="M857" s="438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  <c r="AL857" s="23"/>
      <c r="AM857" s="23"/>
      <c r="AN857" s="23"/>
      <c r="AO857" s="23"/>
      <c r="AP857" s="23"/>
      <c r="AQ857" s="23"/>
      <c r="AR857" s="23"/>
      <c r="AS857" s="23"/>
      <c r="AT857" s="23"/>
      <c r="AU857" s="23"/>
      <c r="AV857" s="23"/>
      <c r="AW857" s="23"/>
      <c r="AX857" s="23"/>
      <c r="AY857" s="23"/>
      <c r="AZ857" s="23"/>
      <c r="BA857" s="23"/>
      <c r="BB857" s="23"/>
      <c r="BC857" s="23"/>
      <c r="BD857" s="23"/>
      <c r="BE857" s="23"/>
      <c r="BF857" s="23"/>
      <c r="BG857" s="23"/>
      <c r="BH857" s="23"/>
      <c r="BI857" s="23"/>
      <c r="BJ857" s="23"/>
      <c r="BK857" s="23"/>
      <c r="BL857" s="23"/>
      <c r="BM857" s="23"/>
      <c r="BN857" s="23"/>
      <c r="BO857" s="23"/>
      <c r="BP857" s="23"/>
      <c r="BQ857" s="23"/>
      <c r="BR857" s="23"/>
      <c r="BS857" s="23"/>
      <c r="BT857" s="23"/>
      <c r="BU857" s="23"/>
      <c r="BV857" s="23"/>
      <c r="BW857" s="23"/>
      <c r="BX857" s="23"/>
      <c r="BY857" s="23"/>
      <c r="BZ857" s="23"/>
      <c r="CA857" s="23"/>
      <c r="CB857" s="23"/>
      <c r="CC857" s="23"/>
      <c r="CD857" s="23"/>
      <c r="CE857" s="23"/>
      <c r="CF857" s="23"/>
      <c r="CG857" s="23"/>
      <c r="CH857" s="23"/>
      <c r="CI857" s="23"/>
      <c r="CJ857" s="23"/>
      <c r="CK857" s="23"/>
      <c r="CL857" s="23"/>
      <c r="CM857" s="23"/>
      <c r="CN857" s="23"/>
      <c r="CO857" s="23"/>
      <c r="CP857" s="23"/>
      <c r="CQ857" s="23"/>
      <c r="CR857" s="23"/>
      <c r="CS857" s="23"/>
      <c r="CT857" s="23"/>
      <c r="CU857" s="23"/>
      <c r="CV857" s="23"/>
      <c r="CW857" s="23"/>
      <c r="CX857" s="23"/>
      <c r="CY857" s="23"/>
      <c r="CZ857" s="23"/>
      <c r="DA857" s="23"/>
      <c r="DB857" s="23"/>
      <c r="DC857" s="23"/>
      <c r="DD857" s="23"/>
      <c r="DE857" s="23"/>
      <c r="DF857" s="23"/>
      <c r="DG857" s="23"/>
      <c r="DH857" s="23"/>
      <c r="DI857" s="23"/>
      <c r="DJ857" s="23"/>
      <c r="DK857" s="23"/>
      <c r="DL857" s="23"/>
      <c r="DM857" s="23"/>
      <c r="DN857" s="23"/>
      <c r="DO857" s="23"/>
      <c r="DP857" s="23"/>
      <c r="DQ857" s="23"/>
      <c r="DR857" s="23"/>
      <c r="DS857" s="23"/>
      <c r="DT857" s="23"/>
      <c r="DU857" s="23"/>
      <c r="DV857" s="23"/>
      <c r="DW857" s="23"/>
      <c r="DX857" s="23"/>
      <c r="DY857" s="23"/>
      <c r="DZ857" s="23"/>
      <c r="EA857" s="23"/>
      <c r="EB857" s="23"/>
      <c r="EC857" s="23"/>
      <c r="ED857" s="23"/>
      <c r="EE857" s="23"/>
      <c r="EF857" s="23"/>
      <c r="EG857" s="23"/>
      <c r="EH857" s="23"/>
      <c r="EI857" s="23"/>
      <c r="EJ857" s="23"/>
      <c r="EK857" s="23"/>
      <c r="EL857" s="23"/>
      <c r="EM857" s="23"/>
      <c r="EN857" s="23"/>
      <c r="EO857" s="23"/>
      <c r="EP857" s="23"/>
      <c r="EQ857" s="23"/>
      <c r="ER857" s="23"/>
      <c r="ES857" s="23"/>
      <c r="ET857" s="23"/>
      <c r="EU857" s="23"/>
      <c r="EV857" s="23"/>
      <c r="EW857" s="23"/>
      <c r="EX857" s="23"/>
      <c r="EY857" s="23"/>
      <c r="EZ857" s="23"/>
      <c r="FA857" s="23"/>
      <c r="FB857" s="23"/>
      <c r="FC857" s="23"/>
      <c r="FD857" s="23"/>
      <c r="FE857" s="23"/>
      <c r="FF857" s="23"/>
      <c r="FG857" s="23"/>
      <c r="FH857" s="23"/>
      <c r="FI857" s="23"/>
      <c r="FJ857" s="23"/>
      <c r="FK857" s="23"/>
      <c r="FL857" s="23"/>
      <c r="FM857" s="23"/>
      <c r="FN857" s="23"/>
      <c r="FO857" s="23"/>
      <c r="FP857" s="23"/>
      <c r="FQ857" s="23"/>
      <c r="FR857" s="23"/>
      <c r="FS857" s="23"/>
      <c r="FT857" s="23"/>
      <c r="FU857" s="23"/>
      <c r="FV857" s="23"/>
      <c r="FW857" s="23"/>
      <c r="FX857" s="23"/>
      <c r="FY857" s="23"/>
      <c r="FZ857" s="23"/>
      <c r="GA857" s="23"/>
      <c r="GB857" s="23"/>
      <c r="GC857" s="23"/>
      <c r="GD857" s="23"/>
      <c r="GE857" s="23"/>
      <c r="GF857" s="23"/>
      <c r="GG857" s="23"/>
      <c r="GH857" s="23"/>
      <c r="GI857" s="23"/>
      <c r="GJ857" s="23"/>
      <c r="GK857" s="23"/>
      <c r="GL857" s="23"/>
    </row>
    <row r="858" spans="1:194" ht="13">
      <c r="A858" s="23"/>
      <c r="B858" s="23"/>
      <c r="C858" s="23"/>
      <c r="D858" s="23"/>
      <c r="E858" s="23"/>
      <c r="F858" s="23"/>
      <c r="G858" s="23"/>
      <c r="H858" s="401"/>
      <c r="I858" s="401"/>
      <c r="J858" s="401"/>
      <c r="K858" s="401"/>
      <c r="L858" s="401"/>
      <c r="M858" s="438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  <c r="AL858" s="23"/>
      <c r="AM858" s="23"/>
      <c r="AN858" s="23"/>
      <c r="AO858" s="23"/>
      <c r="AP858" s="23"/>
      <c r="AQ858" s="23"/>
      <c r="AR858" s="23"/>
      <c r="AS858" s="23"/>
      <c r="AT858" s="23"/>
      <c r="AU858" s="23"/>
      <c r="AV858" s="23"/>
      <c r="AW858" s="23"/>
      <c r="AX858" s="23"/>
      <c r="AY858" s="23"/>
      <c r="AZ858" s="23"/>
      <c r="BA858" s="23"/>
      <c r="BB858" s="23"/>
      <c r="BC858" s="23"/>
      <c r="BD858" s="23"/>
      <c r="BE858" s="23"/>
      <c r="BF858" s="23"/>
      <c r="BG858" s="23"/>
      <c r="BH858" s="23"/>
      <c r="BI858" s="23"/>
      <c r="BJ858" s="23"/>
      <c r="BK858" s="23"/>
      <c r="BL858" s="23"/>
      <c r="BM858" s="23"/>
      <c r="BN858" s="23"/>
      <c r="BO858" s="23"/>
      <c r="BP858" s="23"/>
      <c r="BQ858" s="23"/>
      <c r="BR858" s="23"/>
      <c r="BS858" s="23"/>
      <c r="BT858" s="23"/>
      <c r="BU858" s="23"/>
      <c r="BV858" s="23"/>
      <c r="BW858" s="23"/>
      <c r="BX858" s="23"/>
      <c r="BY858" s="23"/>
      <c r="BZ858" s="23"/>
      <c r="CA858" s="23"/>
      <c r="CB858" s="23"/>
      <c r="CC858" s="23"/>
      <c r="CD858" s="23"/>
      <c r="CE858" s="23"/>
      <c r="CF858" s="23"/>
      <c r="CG858" s="23"/>
      <c r="CH858" s="23"/>
      <c r="CI858" s="23"/>
      <c r="CJ858" s="23"/>
      <c r="CK858" s="23"/>
      <c r="CL858" s="23"/>
      <c r="CM858" s="23"/>
      <c r="CN858" s="23"/>
      <c r="CO858" s="23"/>
      <c r="CP858" s="23"/>
      <c r="CQ858" s="23"/>
      <c r="CR858" s="23"/>
      <c r="CS858" s="23"/>
      <c r="CT858" s="23"/>
      <c r="CU858" s="23"/>
      <c r="CV858" s="23"/>
      <c r="CW858" s="23"/>
      <c r="CX858" s="23"/>
      <c r="CY858" s="23"/>
      <c r="CZ858" s="23"/>
      <c r="DA858" s="23"/>
      <c r="DB858" s="23"/>
      <c r="DC858" s="23"/>
      <c r="DD858" s="23"/>
      <c r="DE858" s="23"/>
      <c r="DF858" s="23"/>
      <c r="DG858" s="23"/>
      <c r="DH858" s="23"/>
      <c r="DI858" s="23"/>
      <c r="DJ858" s="23"/>
      <c r="DK858" s="23"/>
      <c r="DL858" s="23"/>
      <c r="DM858" s="23"/>
      <c r="DN858" s="23"/>
      <c r="DO858" s="23"/>
      <c r="DP858" s="23"/>
      <c r="DQ858" s="23"/>
      <c r="DR858" s="23"/>
      <c r="DS858" s="23"/>
      <c r="DT858" s="23"/>
      <c r="DU858" s="23"/>
      <c r="DV858" s="23"/>
      <c r="DW858" s="23"/>
      <c r="DX858" s="23"/>
      <c r="DY858" s="23"/>
      <c r="DZ858" s="23"/>
      <c r="EA858" s="23"/>
      <c r="EB858" s="23"/>
      <c r="EC858" s="23"/>
      <c r="ED858" s="23"/>
      <c r="EE858" s="23"/>
      <c r="EF858" s="23"/>
      <c r="EG858" s="23"/>
      <c r="EH858" s="23"/>
      <c r="EI858" s="23"/>
      <c r="EJ858" s="23"/>
      <c r="EK858" s="23"/>
      <c r="EL858" s="23"/>
      <c r="EM858" s="23"/>
      <c r="EN858" s="23"/>
      <c r="EO858" s="23"/>
      <c r="EP858" s="23"/>
      <c r="EQ858" s="23"/>
      <c r="ER858" s="23"/>
      <c r="ES858" s="23"/>
      <c r="ET858" s="23"/>
      <c r="EU858" s="23"/>
      <c r="EV858" s="23"/>
      <c r="EW858" s="23"/>
      <c r="EX858" s="23"/>
      <c r="EY858" s="23"/>
      <c r="EZ858" s="23"/>
      <c r="FA858" s="23"/>
      <c r="FB858" s="23"/>
      <c r="FC858" s="23"/>
      <c r="FD858" s="23"/>
      <c r="FE858" s="23"/>
      <c r="FF858" s="23"/>
      <c r="FG858" s="23"/>
      <c r="FH858" s="23"/>
      <c r="FI858" s="23"/>
      <c r="FJ858" s="23"/>
      <c r="FK858" s="23"/>
      <c r="FL858" s="23"/>
      <c r="FM858" s="23"/>
      <c r="FN858" s="23"/>
      <c r="FO858" s="23"/>
      <c r="FP858" s="23"/>
      <c r="FQ858" s="23"/>
      <c r="FR858" s="23"/>
      <c r="FS858" s="23"/>
      <c r="FT858" s="23"/>
      <c r="FU858" s="23"/>
      <c r="FV858" s="23"/>
      <c r="FW858" s="23"/>
      <c r="FX858" s="23"/>
      <c r="FY858" s="23"/>
      <c r="FZ858" s="23"/>
      <c r="GA858" s="23"/>
      <c r="GB858" s="23"/>
      <c r="GC858" s="23"/>
      <c r="GD858" s="23"/>
      <c r="GE858" s="23"/>
      <c r="GF858" s="23"/>
      <c r="GG858" s="23"/>
      <c r="GH858" s="23"/>
      <c r="GI858" s="23"/>
      <c r="GJ858" s="23"/>
      <c r="GK858" s="23"/>
      <c r="GL858" s="23"/>
    </row>
    <row r="859" spans="1:194" ht="13">
      <c r="A859" s="23"/>
      <c r="B859" s="23"/>
      <c r="C859" s="23"/>
      <c r="D859" s="23"/>
      <c r="E859" s="23"/>
      <c r="F859" s="23"/>
      <c r="G859" s="23"/>
      <c r="H859" s="401"/>
      <c r="I859" s="401"/>
      <c r="J859" s="401"/>
      <c r="K859" s="401"/>
      <c r="L859" s="401"/>
      <c r="M859" s="438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  <c r="AL859" s="23"/>
      <c r="AM859" s="23"/>
      <c r="AN859" s="23"/>
      <c r="AO859" s="23"/>
      <c r="AP859" s="23"/>
      <c r="AQ859" s="23"/>
      <c r="AR859" s="23"/>
      <c r="AS859" s="23"/>
      <c r="AT859" s="23"/>
      <c r="AU859" s="23"/>
      <c r="AV859" s="23"/>
      <c r="AW859" s="23"/>
      <c r="AX859" s="23"/>
      <c r="AY859" s="23"/>
      <c r="AZ859" s="23"/>
      <c r="BA859" s="23"/>
      <c r="BB859" s="23"/>
      <c r="BC859" s="23"/>
      <c r="BD859" s="23"/>
      <c r="BE859" s="23"/>
      <c r="BF859" s="23"/>
      <c r="BG859" s="23"/>
      <c r="BH859" s="23"/>
      <c r="BI859" s="23"/>
      <c r="BJ859" s="23"/>
      <c r="BK859" s="23"/>
      <c r="BL859" s="23"/>
      <c r="BM859" s="23"/>
      <c r="BN859" s="23"/>
      <c r="BO859" s="23"/>
      <c r="BP859" s="23"/>
      <c r="BQ859" s="23"/>
      <c r="BR859" s="23"/>
      <c r="BS859" s="23"/>
      <c r="BT859" s="23"/>
      <c r="BU859" s="23"/>
      <c r="BV859" s="23"/>
      <c r="BW859" s="23"/>
      <c r="BX859" s="23"/>
      <c r="BY859" s="23"/>
      <c r="BZ859" s="23"/>
      <c r="CA859" s="23"/>
      <c r="CB859" s="23"/>
      <c r="CC859" s="23"/>
      <c r="CD859" s="23"/>
      <c r="CE859" s="23"/>
      <c r="CF859" s="23"/>
      <c r="CG859" s="23"/>
      <c r="CH859" s="23"/>
      <c r="CI859" s="23"/>
      <c r="CJ859" s="23"/>
      <c r="CK859" s="23"/>
      <c r="CL859" s="23"/>
      <c r="CM859" s="23"/>
      <c r="CN859" s="23"/>
      <c r="CO859" s="23"/>
      <c r="CP859" s="23"/>
      <c r="CQ859" s="23"/>
      <c r="CR859" s="23"/>
      <c r="CS859" s="23"/>
      <c r="CT859" s="23"/>
      <c r="CU859" s="23"/>
      <c r="CV859" s="23"/>
      <c r="CW859" s="23"/>
      <c r="CX859" s="23"/>
      <c r="CY859" s="23"/>
      <c r="CZ859" s="23"/>
      <c r="DA859" s="23"/>
      <c r="DB859" s="23"/>
      <c r="DC859" s="23"/>
      <c r="DD859" s="23"/>
      <c r="DE859" s="23"/>
      <c r="DF859" s="23"/>
      <c r="DG859" s="23"/>
      <c r="DH859" s="23"/>
      <c r="DI859" s="23"/>
      <c r="DJ859" s="23"/>
      <c r="DK859" s="23"/>
      <c r="DL859" s="23"/>
      <c r="DM859" s="23"/>
      <c r="DN859" s="23"/>
      <c r="DO859" s="23"/>
      <c r="DP859" s="23"/>
      <c r="DQ859" s="23"/>
      <c r="DR859" s="23"/>
      <c r="DS859" s="23"/>
      <c r="DT859" s="23"/>
      <c r="DU859" s="23"/>
      <c r="DV859" s="23"/>
      <c r="DW859" s="23"/>
      <c r="DX859" s="23"/>
      <c r="DY859" s="23"/>
      <c r="DZ859" s="23"/>
      <c r="EA859" s="23"/>
      <c r="EB859" s="23"/>
      <c r="EC859" s="23"/>
      <c r="ED859" s="23"/>
      <c r="EE859" s="23"/>
      <c r="EF859" s="23"/>
      <c r="EG859" s="23"/>
      <c r="EH859" s="23"/>
      <c r="EI859" s="23"/>
      <c r="EJ859" s="23"/>
      <c r="EK859" s="23"/>
      <c r="EL859" s="23"/>
      <c r="EM859" s="23"/>
      <c r="EN859" s="23"/>
      <c r="EO859" s="23"/>
      <c r="EP859" s="23"/>
      <c r="EQ859" s="23"/>
      <c r="ER859" s="23"/>
      <c r="ES859" s="23"/>
      <c r="ET859" s="23"/>
      <c r="EU859" s="23"/>
      <c r="EV859" s="23"/>
      <c r="EW859" s="23"/>
      <c r="EX859" s="23"/>
      <c r="EY859" s="23"/>
      <c r="EZ859" s="23"/>
      <c r="FA859" s="23"/>
      <c r="FB859" s="23"/>
      <c r="FC859" s="23"/>
      <c r="FD859" s="23"/>
      <c r="FE859" s="23"/>
      <c r="FF859" s="23"/>
      <c r="FG859" s="23"/>
      <c r="FH859" s="23"/>
      <c r="FI859" s="23"/>
      <c r="FJ859" s="23"/>
      <c r="FK859" s="23"/>
      <c r="FL859" s="23"/>
      <c r="FM859" s="23"/>
      <c r="FN859" s="23"/>
      <c r="FO859" s="23"/>
      <c r="FP859" s="23"/>
      <c r="FQ859" s="23"/>
      <c r="FR859" s="23"/>
      <c r="FS859" s="23"/>
      <c r="FT859" s="23"/>
      <c r="FU859" s="23"/>
      <c r="FV859" s="23"/>
      <c r="FW859" s="23"/>
      <c r="FX859" s="23"/>
      <c r="FY859" s="23"/>
      <c r="FZ859" s="23"/>
      <c r="GA859" s="23"/>
      <c r="GB859" s="23"/>
      <c r="GC859" s="23"/>
      <c r="GD859" s="23"/>
      <c r="GE859" s="23"/>
      <c r="GF859" s="23"/>
      <c r="GG859" s="23"/>
      <c r="GH859" s="23"/>
      <c r="GI859" s="23"/>
      <c r="GJ859" s="23"/>
      <c r="GK859" s="23"/>
      <c r="GL859" s="23"/>
    </row>
    <row r="860" spans="1:194" ht="13">
      <c r="A860" s="23"/>
      <c r="B860" s="23"/>
      <c r="C860" s="23"/>
      <c r="D860" s="23"/>
      <c r="E860" s="23"/>
      <c r="F860" s="23"/>
      <c r="G860" s="23"/>
      <c r="H860" s="401"/>
      <c r="I860" s="401"/>
      <c r="J860" s="401"/>
      <c r="K860" s="401"/>
      <c r="L860" s="401"/>
      <c r="M860" s="438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  <c r="AL860" s="23"/>
      <c r="AM860" s="23"/>
      <c r="AN860" s="23"/>
      <c r="AO860" s="23"/>
      <c r="AP860" s="23"/>
      <c r="AQ860" s="23"/>
      <c r="AR860" s="23"/>
      <c r="AS860" s="23"/>
      <c r="AT860" s="23"/>
      <c r="AU860" s="23"/>
      <c r="AV860" s="23"/>
      <c r="AW860" s="23"/>
      <c r="AX860" s="23"/>
      <c r="AY860" s="23"/>
      <c r="AZ860" s="23"/>
      <c r="BA860" s="23"/>
      <c r="BB860" s="23"/>
      <c r="BC860" s="23"/>
      <c r="BD860" s="23"/>
      <c r="BE860" s="23"/>
      <c r="BF860" s="23"/>
      <c r="BG860" s="23"/>
      <c r="BH860" s="23"/>
      <c r="BI860" s="23"/>
      <c r="BJ860" s="23"/>
      <c r="BK860" s="23"/>
      <c r="BL860" s="23"/>
      <c r="BM860" s="23"/>
      <c r="BN860" s="23"/>
      <c r="BO860" s="23"/>
      <c r="BP860" s="23"/>
      <c r="BQ860" s="23"/>
      <c r="BR860" s="23"/>
      <c r="BS860" s="23"/>
      <c r="BT860" s="23"/>
      <c r="BU860" s="23"/>
      <c r="BV860" s="23"/>
      <c r="BW860" s="23"/>
      <c r="BX860" s="23"/>
      <c r="BY860" s="23"/>
      <c r="BZ860" s="23"/>
      <c r="CA860" s="23"/>
      <c r="CB860" s="23"/>
      <c r="CC860" s="23"/>
      <c r="CD860" s="23"/>
      <c r="CE860" s="23"/>
      <c r="CF860" s="23"/>
      <c r="CG860" s="23"/>
      <c r="CH860" s="23"/>
      <c r="CI860" s="23"/>
      <c r="CJ860" s="23"/>
      <c r="CK860" s="23"/>
      <c r="CL860" s="23"/>
      <c r="CM860" s="23"/>
      <c r="CN860" s="23"/>
      <c r="CO860" s="23"/>
      <c r="CP860" s="23"/>
      <c r="CQ860" s="23"/>
      <c r="CR860" s="23"/>
      <c r="CS860" s="23"/>
      <c r="CT860" s="23"/>
      <c r="CU860" s="23"/>
      <c r="CV860" s="23"/>
      <c r="CW860" s="23"/>
      <c r="CX860" s="23"/>
      <c r="CY860" s="23"/>
      <c r="CZ860" s="23"/>
      <c r="DA860" s="23"/>
      <c r="DB860" s="23"/>
      <c r="DC860" s="23"/>
      <c r="DD860" s="23"/>
      <c r="DE860" s="23"/>
      <c r="DF860" s="23"/>
      <c r="DG860" s="23"/>
      <c r="DH860" s="23"/>
      <c r="DI860" s="23"/>
      <c r="DJ860" s="23"/>
      <c r="DK860" s="23"/>
      <c r="DL860" s="23"/>
      <c r="DM860" s="23"/>
      <c r="DN860" s="23"/>
      <c r="DO860" s="23"/>
      <c r="DP860" s="23"/>
      <c r="DQ860" s="23"/>
      <c r="DR860" s="23"/>
      <c r="DS860" s="23"/>
      <c r="DT860" s="23"/>
      <c r="DU860" s="23"/>
      <c r="DV860" s="23"/>
      <c r="DW860" s="23"/>
      <c r="DX860" s="23"/>
      <c r="DY860" s="23"/>
      <c r="DZ860" s="23"/>
      <c r="EA860" s="23"/>
      <c r="EB860" s="23"/>
      <c r="EC860" s="23"/>
      <c r="ED860" s="23"/>
      <c r="EE860" s="23"/>
      <c r="EF860" s="23"/>
      <c r="EG860" s="23"/>
      <c r="EH860" s="23"/>
      <c r="EI860" s="23"/>
      <c r="EJ860" s="23"/>
      <c r="EK860" s="23"/>
      <c r="EL860" s="23"/>
      <c r="EM860" s="23"/>
      <c r="EN860" s="23"/>
      <c r="EO860" s="23"/>
      <c r="EP860" s="23"/>
      <c r="EQ860" s="23"/>
      <c r="ER860" s="23"/>
      <c r="ES860" s="23"/>
      <c r="ET860" s="23"/>
      <c r="EU860" s="23"/>
      <c r="EV860" s="23"/>
      <c r="EW860" s="23"/>
      <c r="EX860" s="23"/>
      <c r="EY860" s="23"/>
      <c r="EZ860" s="23"/>
      <c r="FA860" s="23"/>
      <c r="FB860" s="23"/>
      <c r="FC860" s="23"/>
      <c r="FD860" s="23"/>
      <c r="FE860" s="23"/>
      <c r="FF860" s="23"/>
      <c r="FG860" s="23"/>
      <c r="FH860" s="23"/>
      <c r="FI860" s="23"/>
      <c r="FJ860" s="23"/>
      <c r="FK860" s="23"/>
      <c r="FL860" s="23"/>
      <c r="FM860" s="23"/>
      <c r="FN860" s="23"/>
      <c r="FO860" s="23"/>
      <c r="FP860" s="23"/>
      <c r="FQ860" s="23"/>
      <c r="FR860" s="23"/>
      <c r="FS860" s="23"/>
      <c r="FT860" s="23"/>
      <c r="FU860" s="23"/>
      <c r="FV860" s="23"/>
      <c r="FW860" s="23"/>
      <c r="FX860" s="23"/>
      <c r="FY860" s="23"/>
      <c r="FZ860" s="23"/>
      <c r="GA860" s="23"/>
      <c r="GB860" s="23"/>
      <c r="GC860" s="23"/>
      <c r="GD860" s="23"/>
      <c r="GE860" s="23"/>
      <c r="GF860" s="23"/>
      <c r="GG860" s="23"/>
      <c r="GH860" s="23"/>
      <c r="GI860" s="23"/>
      <c r="GJ860" s="23"/>
      <c r="GK860" s="23"/>
      <c r="GL860" s="23"/>
    </row>
    <row r="861" spans="1:194" ht="13">
      <c r="A861" s="23"/>
      <c r="B861" s="23"/>
      <c r="C861" s="23"/>
      <c r="D861" s="23"/>
      <c r="E861" s="23"/>
      <c r="F861" s="23"/>
      <c r="G861" s="23"/>
      <c r="H861" s="401"/>
      <c r="I861" s="401"/>
      <c r="J861" s="401"/>
      <c r="K861" s="401"/>
      <c r="L861" s="401"/>
      <c r="M861" s="438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  <c r="AL861" s="23"/>
      <c r="AM861" s="23"/>
      <c r="AN861" s="23"/>
      <c r="AO861" s="23"/>
      <c r="AP861" s="23"/>
      <c r="AQ861" s="23"/>
      <c r="AR861" s="23"/>
      <c r="AS861" s="23"/>
      <c r="AT861" s="23"/>
      <c r="AU861" s="23"/>
      <c r="AV861" s="23"/>
      <c r="AW861" s="23"/>
      <c r="AX861" s="23"/>
      <c r="AY861" s="23"/>
      <c r="AZ861" s="23"/>
      <c r="BA861" s="23"/>
      <c r="BB861" s="23"/>
      <c r="BC861" s="23"/>
      <c r="BD861" s="23"/>
      <c r="BE861" s="23"/>
      <c r="BF861" s="23"/>
      <c r="BG861" s="23"/>
      <c r="BH861" s="23"/>
      <c r="BI861" s="23"/>
      <c r="BJ861" s="23"/>
      <c r="BK861" s="23"/>
      <c r="BL861" s="23"/>
      <c r="BM861" s="23"/>
      <c r="BN861" s="23"/>
      <c r="BO861" s="23"/>
      <c r="BP861" s="23"/>
      <c r="BQ861" s="23"/>
      <c r="BR861" s="23"/>
      <c r="BS861" s="23"/>
      <c r="BT861" s="23"/>
      <c r="BU861" s="23"/>
      <c r="BV861" s="23"/>
      <c r="BW861" s="23"/>
      <c r="BX861" s="23"/>
      <c r="BY861" s="23"/>
      <c r="BZ861" s="23"/>
      <c r="CA861" s="23"/>
      <c r="CB861" s="23"/>
      <c r="CC861" s="23"/>
      <c r="CD861" s="23"/>
      <c r="CE861" s="23"/>
      <c r="CF861" s="23"/>
      <c r="CG861" s="23"/>
      <c r="CH861" s="23"/>
      <c r="CI861" s="23"/>
      <c r="CJ861" s="23"/>
      <c r="CK861" s="23"/>
      <c r="CL861" s="23"/>
      <c r="CM861" s="23"/>
      <c r="CN861" s="23"/>
      <c r="CO861" s="23"/>
      <c r="CP861" s="23"/>
      <c r="CQ861" s="23"/>
      <c r="CR861" s="23"/>
      <c r="CS861" s="23"/>
      <c r="CT861" s="23"/>
      <c r="CU861" s="23"/>
      <c r="CV861" s="23"/>
      <c r="CW861" s="23"/>
      <c r="CX861" s="23"/>
      <c r="CY861" s="23"/>
      <c r="CZ861" s="23"/>
      <c r="DA861" s="23"/>
      <c r="DB861" s="23"/>
      <c r="DC861" s="23"/>
      <c r="DD861" s="23"/>
      <c r="DE861" s="23"/>
      <c r="DF861" s="23"/>
      <c r="DG861" s="23"/>
      <c r="DH861" s="23"/>
      <c r="DI861" s="23"/>
      <c r="DJ861" s="23"/>
      <c r="DK861" s="23"/>
      <c r="DL861" s="23"/>
      <c r="DM861" s="23"/>
      <c r="DN861" s="23"/>
      <c r="DO861" s="23"/>
      <c r="DP861" s="23"/>
      <c r="DQ861" s="23"/>
      <c r="DR861" s="23"/>
      <c r="DS861" s="23"/>
      <c r="DT861" s="23"/>
      <c r="DU861" s="23"/>
      <c r="DV861" s="23"/>
      <c r="DW861" s="23"/>
      <c r="DX861" s="23"/>
      <c r="DY861" s="23"/>
      <c r="DZ861" s="23"/>
      <c r="EA861" s="23"/>
      <c r="EB861" s="23"/>
      <c r="EC861" s="23"/>
      <c r="ED861" s="23"/>
      <c r="EE861" s="23"/>
      <c r="EF861" s="23"/>
      <c r="EG861" s="23"/>
      <c r="EH861" s="23"/>
      <c r="EI861" s="23"/>
      <c r="EJ861" s="23"/>
      <c r="EK861" s="23"/>
      <c r="EL861" s="23"/>
      <c r="EM861" s="23"/>
      <c r="EN861" s="23"/>
      <c r="EO861" s="23"/>
      <c r="EP861" s="23"/>
      <c r="EQ861" s="23"/>
      <c r="ER861" s="23"/>
      <c r="ES861" s="23"/>
      <c r="ET861" s="23"/>
      <c r="EU861" s="23"/>
      <c r="EV861" s="23"/>
      <c r="EW861" s="23"/>
      <c r="EX861" s="23"/>
      <c r="EY861" s="23"/>
      <c r="EZ861" s="23"/>
      <c r="FA861" s="23"/>
      <c r="FB861" s="23"/>
      <c r="FC861" s="23"/>
      <c r="FD861" s="23"/>
      <c r="FE861" s="23"/>
      <c r="FF861" s="23"/>
      <c r="FG861" s="23"/>
      <c r="FH861" s="23"/>
      <c r="FI861" s="23"/>
      <c r="FJ861" s="23"/>
      <c r="FK861" s="23"/>
      <c r="FL861" s="23"/>
      <c r="FM861" s="23"/>
      <c r="FN861" s="23"/>
      <c r="FO861" s="23"/>
      <c r="FP861" s="23"/>
      <c r="FQ861" s="23"/>
      <c r="FR861" s="23"/>
      <c r="FS861" s="23"/>
      <c r="FT861" s="23"/>
      <c r="FU861" s="23"/>
      <c r="FV861" s="23"/>
      <c r="FW861" s="23"/>
      <c r="FX861" s="23"/>
      <c r="FY861" s="23"/>
      <c r="FZ861" s="23"/>
      <c r="GA861" s="23"/>
      <c r="GB861" s="23"/>
      <c r="GC861" s="23"/>
      <c r="GD861" s="23"/>
      <c r="GE861" s="23"/>
      <c r="GF861" s="23"/>
      <c r="GG861" s="23"/>
      <c r="GH861" s="23"/>
      <c r="GI861" s="23"/>
      <c r="GJ861" s="23"/>
      <c r="GK861" s="23"/>
      <c r="GL861" s="23"/>
    </row>
    <row r="862" spans="1:194" ht="13">
      <c r="A862" s="23"/>
      <c r="B862" s="23"/>
      <c r="C862" s="23"/>
      <c r="D862" s="23"/>
      <c r="E862" s="23"/>
      <c r="F862" s="23"/>
      <c r="G862" s="23"/>
      <c r="H862" s="401"/>
      <c r="I862" s="401"/>
      <c r="J862" s="401"/>
      <c r="K862" s="401"/>
      <c r="L862" s="401"/>
      <c r="M862" s="438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  <c r="AL862" s="23"/>
      <c r="AM862" s="23"/>
      <c r="AN862" s="23"/>
      <c r="AO862" s="23"/>
      <c r="AP862" s="23"/>
      <c r="AQ862" s="23"/>
      <c r="AR862" s="23"/>
      <c r="AS862" s="23"/>
      <c r="AT862" s="23"/>
      <c r="AU862" s="23"/>
      <c r="AV862" s="23"/>
      <c r="AW862" s="23"/>
      <c r="AX862" s="23"/>
      <c r="AY862" s="23"/>
      <c r="AZ862" s="23"/>
      <c r="BA862" s="23"/>
      <c r="BB862" s="23"/>
      <c r="BC862" s="23"/>
      <c r="BD862" s="23"/>
      <c r="BE862" s="23"/>
      <c r="BF862" s="23"/>
      <c r="BG862" s="23"/>
      <c r="BH862" s="23"/>
      <c r="BI862" s="23"/>
      <c r="BJ862" s="23"/>
      <c r="BK862" s="23"/>
      <c r="BL862" s="23"/>
      <c r="BM862" s="23"/>
      <c r="BN862" s="23"/>
      <c r="BO862" s="23"/>
      <c r="BP862" s="23"/>
      <c r="BQ862" s="23"/>
      <c r="BR862" s="23"/>
      <c r="BS862" s="23"/>
      <c r="BT862" s="23"/>
      <c r="BU862" s="23"/>
      <c r="BV862" s="23"/>
      <c r="BW862" s="23"/>
      <c r="BX862" s="23"/>
      <c r="BY862" s="23"/>
      <c r="BZ862" s="23"/>
      <c r="CA862" s="23"/>
      <c r="CB862" s="23"/>
      <c r="CC862" s="23"/>
      <c r="CD862" s="23"/>
      <c r="CE862" s="23"/>
      <c r="CF862" s="23"/>
      <c r="CG862" s="23"/>
      <c r="CH862" s="23"/>
      <c r="CI862" s="23"/>
      <c r="CJ862" s="23"/>
      <c r="CK862" s="23"/>
      <c r="CL862" s="23"/>
      <c r="CM862" s="23"/>
      <c r="CN862" s="23"/>
      <c r="CO862" s="23"/>
      <c r="CP862" s="23"/>
      <c r="CQ862" s="23"/>
      <c r="CR862" s="23"/>
      <c r="CS862" s="23"/>
      <c r="CT862" s="23"/>
      <c r="CU862" s="23"/>
      <c r="CV862" s="23"/>
      <c r="CW862" s="23"/>
      <c r="CX862" s="23"/>
      <c r="CY862" s="23"/>
      <c r="CZ862" s="23"/>
      <c r="DA862" s="23"/>
      <c r="DB862" s="23"/>
      <c r="DC862" s="23"/>
      <c r="DD862" s="23"/>
      <c r="DE862" s="23"/>
      <c r="DF862" s="23"/>
      <c r="DG862" s="23"/>
      <c r="DH862" s="23"/>
      <c r="DI862" s="23"/>
      <c r="DJ862" s="23"/>
      <c r="DK862" s="23"/>
      <c r="DL862" s="23"/>
      <c r="DM862" s="23"/>
      <c r="DN862" s="23"/>
      <c r="DO862" s="23"/>
      <c r="DP862" s="23"/>
      <c r="DQ862" s="23"/>
      <c r="DR862" s="23"/>
      <c r="DS862" s="23"/>
      <c r="DT862" s="23"/>
      <c r="DU862" s="23"/>
      <c r="DV862" s="23"/>
      <c r="DW862" s="23"/>
      <c r="DX862" s="23"/>
      <c r="DY862" s="23"/>
      <c r="DZ862" s="23"/>
      <c r="EA862" s="23"/>
      <c r="EB862" s="23"/>
      <c r="EC862" s="23"/>
      <c r="ED862" s="23"/>
      <c r="EE862" s="23"/>
      <c r="EF862" s="23"/>
      <c r="EG862" s="23"/>
      <c r="EH862" s="23"/>
      <c r="EI862" s="23"/>
      <c r="EJ862" s="23"/>
      <c r="EK862" s="23"/>
      <c r="EL862" s="23"/>
      <c r="EM862" s="23"/>
      <c r="EN862" s="23"/>
      <c r="EO862" s="23"/>
      <c r="EP862" s="23"/>
      <c r="EQ862" s="23"/>
      <c r="ER862" s="23"/>
      <c r="ES862" s="23"/>
      <c r="ET862" s="23"/>
      <c r="EU862" s="23"/>
      <c r="EV862" s="23"/>
      <c r="EW862" s="23"/>
      <c r="EX862" s="23"/>
      <c r="EY862" s="23"/>
      <c r="EZ862" s="23"/>
      <c r="FA862" s="23"/>
      <c r="FB862" s="23"/>
      <c r="FC862" s="23"/>
      <c r="FD862" s="23"/>
      <c r="FE862" s="23"/>
      <c r="FF862" s="23"/>
      <c r="FG862" s="23"/>
      <c r="FH862" s="23"/>
      <c r="FI862" s="23"/>
      <c r="FJ862" s="23"/>
      <c r="FK862" s="23"/>
      <c r="FL862" s="23"/>
      <c r="FM862" s="23"/>
      <c r="FN862" s="23"/>
      <c r="FO862" s="23"/>
      <c r="FP862" s="23"/>
      <c r="FQ862" s="23"/>
      <c r="FR862" s="23"/>
      <c r="FS862" s="23"/>
      <c r="FT862" s="23"/>
      <c r="FU862" s="23"/>
      <c r="FV862" s="23"/>
      <c r="FW862" s="23"/>
      <c r="FX862" s="23"/>
      <c r="FY862" s="23"/>
      <c r="FZ862" s="23"/>
      <c r="GA862" s="23"/>
      <c r="GB862" s="23"/>
      <c r="GC862" s="23"/>
      <c r="GD862" s="23"/>
      <c r="GE862" s="23"/>
      <c r="GF862" s="23"/>
      <c r="GG862" s="23"/>
      <c r="GH862" s="23"/>
      <c r="GI862" s="23"/>
      <c r="GJ862" s="23"/>
      <c r="GK862" s="23"/>
      <c r="GL862" s="23"/>
    </row>
    <row r="863" spans="1:194" ht="13">
      <c r="A863" s="23"/>
      <c r="B863" s="23"/>
      <c r="C863" s="23"/>
      <c r="D863" s="23"/>
      <c r="E863" s="23"/>
      <c r="F863" s="23"/>
      <c r="G863" s="23"/>
      <c r="H863" s="401"/>
      <c r="I863" s="401"/>
      <c r="J863" s="401"/>
      <c r="K863" s="401"/>
      <c r="L863" s="401"/>
      <c r="M863" s="438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  <c r="AL863" s="23"/>
      <c r="AM863" s="23"/>
      <c r="AN863" s="23"/>
      <c r="AO863" s="23"/>
      <c r="AP863" s="23"/>
      <c r="AQ863" s="23"/>
      <c r="AR863" s="23"/>
      <c r="AS863" s="23"/>
      <c r="AT863" s="23"/>
      <c r="AU863" s="23"/>
      <c r="AV863" s="23"/>
      <c r="AW863" s="23"/>
      <c r="AX863" s="23"/>
      <c r="AY863" s="23"/>
      <c r="AZ863" s="23"/>
      <c r="BA863" s="23"/>
      <c r="BB863" s="23"/>
      <c r="BC863" s="23"/>
      <c r="BD863" s="23"/>
      <c r="BE863" s="23"/>
      <c r="BF863" s="23"/>
      <c r="BG863" s="23"/>
      <c r="BH863" s="23"/>
      <c r="BI863" s="23"/>
      <c r="BJ863" s="23"/>
      <c r="BK863" s="23"/>
      <c r="BL863" s="23"/>
      <c r="BM863" s="23"/>
      <c r="BN863" s="23"/>
      <c r="BO863" s="23"/>
      <c r="BP863" s="23"/>
      <c r="BQ863" s="23"/>
      <c r="BR863" s="23"/>
      <c r="BS863" s="23"/>
      <c r="BT863" s="23"/>
      <c r="BU863" s="23"/>
      <c r="BV863" s="23"/>
      <c r="BW863" s="23"/>
      <c r="BX863" s="23"/>
      <c r="BY863" s="23"/>
      <c r="BZ863" s="23"/>
      <c r="CA863" s="23"/>
      <c r="CB863" s="23"/>
      <c r="CC863" s="23"/>
      <c r="CD863" s="23"/>
      <c r="CE863" s="23"/>
      <c r="CF863" s="23"/>
      <c r="CG863" s="23"/>
      <c r="CH863" s="23"/>
      <c r="CI863" s="23"/>
      <c r="CJ863" s="23"/>
      <c r="CK863" s="23"/>
      <c r="CL863" s="23"/>
      <c r="CM863" s="23"/>
      <c r="CN863" s="23"/>
      <c r="CO863" s="23"/>
      <c r="CP863" s="23"/>
      <c r="CQ863" s="23"/>
      <c r="CR863" s="23"/>
      <c r="CS863" s="23"/>
      <c r="CT863" s="23"/>
      <c r="CU863" s="23"/>
      <c r="CV863" s="23"/>
      <c r="CW863" s="23"/>
      <c r="CX863" s="23"/>
      <c r="CY863" s="23"/>
      <c r="CZ863" s="23"/>
      <c r="DA863" s="23"/>
      <c r="DB863" s="23"/>
      <c r="DC863" s="23"/>
      <c r="DD863" s="23"/>
      <c r="DE863" s="23"/>
      <c r="DF863" s="23"/>
      <c r="DG863" s="23"/>
      <c r="DH863" s="23"/>
      <c r="DI863" s="23"/>
      <c r="DJ863" s="23"/>
      <c r="DK863" s="23"/>
      <c r="DL863" s="23"/>
      <c r="DM863" s="23"/>
      <c r="DN863" s="23"/>
      <c r="DO863" s="23"/>
      <c r="DP863" s="23"/>
      <c r="DQ863" s="23"/>
      <c r="DR863" s="23"/>
      <c r="DS863" s="23"/>
      <c r="DT863" s="23"/>
      <c r="DU863" s="23"/>
      <c r="DV863" s="23"/>
      <c r="DW863" s="23"/>
      <c r="DX863" s="23"/>
      <c r="DY863" s="23"/>
      <c r="DZ863" s="23"/>
      <c r="EA863" s="23"/>
      <c r="EB863" s="23"/>
      <c r="EC863" s="23"/>
      <c r="ED863" s="23"/>
      <c r="EE863" s="23"/>
      <c r="EF863" s="23"/>
      <c r="EG863" s="23"/>
      <c r="EH863" s="23"/>
      <c r="EI863" s="23"/>
      <c r="EJ863" s="23"/>
      <c r="EK863" s="23"/>
      <c r="EL863" s="23"/>
      <c r="EM863" s="23"/>
      <c r="EN863" s="23"/>
      <c r="EO863" s="23"/>
      <c r="EP863" s="23"/>
      <c r="EQ863" s="23"/>
      <c r="ER863" s="23"/>
      <c r="ES863" s="23"/>
      <c r="ET863" s="23"/>
      <c r="EU863" s="23"/>
      <c r="EV863" s="23"/>
      <c r="EW863" s="23"/>
      <c r="EX863" s="23"/>
      <c r="EY863" s="23"/>
      <c r="EZ863" s="23"/>
      <c r="FA863" s="23"/>
      <c r="FB863" s="23"/>
      <c r="FC863" s="23"/>
      <c r="FD863" s="23"/>
      <c r="FE863" s="23"/>
      <c r="FF863" s="23"/>
      <c r="FG863" s="23"/>
      <c r="FH863" s="23"/>
      <c r="FI863" s="23"/>
      <c r="FJ863" s="23"/>
      <c r="FK863" s="23"/>
      <c r="FL863" s="23"/>
      <c r="FM863" s="23"/>
      <c r="FN863" s="23"/>
      <c r="FO863" s="23"/>
      <c r="FP863" s="23"/>
      <c r="FQ863" s="23"/>
      <c r="FR863" s="23"/>
      <c r="FS863" s="23"/>
      <c r="FT863" s="23"/>
      <c r="FU863" s="23"/>
      <c r="FV863" s="23"/>
      <c r="FW863" s="23"/>
      <c r="FX863" s="23"/>
      <c r="FY863" s="23"/>
      <c r="FZ863" s="23"/>
      <c r="GA863" s="23"/>
      <c r="GB863" s="23"/>
      <c r="GC863" s="23"/>
      <c r="GD863" s="23"/>
      <c r="GE863" s="23"/>
      <c r="GF863" s="23"/>
      <c r="GG863" s="23"/>
      <c r="GH863" s="23"/>
      <c r="GI863" s="23"/>
      <c r="GJ863" s="23"/>
      <c r="GK863" s="23"/>
      <c r="GL863" s="23"/>
    </row>
    <row r="864" spans="1:194" ht="13">
      <c r="A864" s="23"/>
      <c r="B864" s="23"/>
      <c r="C864" s="23"/>
      <c r="D864" s="23"/>
      <c r="E864" s="23"/>
      <c r="F864" s="23"/>
      <c r="G864" s="23"/>
      <c r="H864" s="401"/>
      <c r="I864" s="401"/>
      <c r="J864" s="401"/>
      <c r="K864" s="401"/>
      <c r="L864" s="401"/>
      <c r="M864" s="438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  <c r="AL864" s="23"/>
      <c r="AM864" s="23"/>
      <c r="AN864" s="23"/>
      <c r="AO864" s="23"/>
      <c r="AP864" s="23"/>
      <c r="AQ864" s="23"/>
      <c r="AR864" s="23"/>
      <c r="AS864" s="23"/>
      <c r="AT864" s="23"/>
      <c r="AU864" s="23"/>
      <c r="AV864" s="23"/>
      <c r="AW864" s="23"/>
      <c r="AX864" s="23"/>
      <c r="AY864" s="23"/>
      <c r="AZ864" s="23"/>
      <c r="BA864" s="23"/>
      <c r="BB864" s="23"/>
      <c r="BC864" s="23"/>
      <c r="BD864" s="23"/>
      <c r="BE864" s="23"/>
      <c r="BF864" s="23"/>
      <c r="BG864" s="23"/>
      <c r="BH864" s="23"/>
      <c r="BI864" s="23"/>
      <c r="BJ864" s="23"/>
      <c r="BK864" s="23"/>
      <c r="BL864" s="23"/>
      <c r="BM864" s="23"/>
      <c r="BN864" s="23"/>
      <c r="BO864" s="23"/>
      <c r="BP864" s="23"/>
      <c r="BQ864" s="23"/>
      <c r="BR864" s="23"/>
      <c r="BS864" s="23"/>
      <c r="BT864" s="23"/>
      <c r="BU864" s="23"/>
      <c r="BV864" s="23"/>
      <c r="BW864" s="23"/>
      <c r="BX864" s="23"/>
      <c r="BY864" s="23"/>
      <c r="BZ864" s="23"/>
      <c r="CA864" s="23"/>
      <c r="CB864" s="23"/>
      <c r="CC864" s="23"/>
      <c r="CD864" s="23"/>
      <c r="CE864" s="23"/>
      <c r="CF864" s="23"/>
      <c r="CG864" s="23"/>
      <c r="CH864" s="23"/>
      <c r="CI864" s="23"/>
      <c r="CJ864" s="23"/>
      <c r="CK864" s="23"/>
      <c r="CL864" s="23"/>
      <c r="CM864" s="23"/>
      <c r="CN864" s="23"/>
      <c r="CO864" s="23"/>
      <c r="CP864" s="23"/>
      <c r="CQ864" s="23"/>
      <c r="CR864" s="23"/>
      <c r="CS864" s="23"/>
      <c r="CT864" s="23"/>
      <c r="CU864" s="23"/>
      <c r="CV864" s="23"/>
      <c r="CW864" s="23"/>
      <c r="CX864" s="23"/>
      <c r="CY864" s="23"/>
      <c r="CZ864" s="23"/>
      <c r="DA864" s="23"/>
      <c r="DB864" s="23"/>
      <c r="DC864" s="23"/>
      <c r="DD864" s="23"/>
      <c r="DE864" s="23"/>
      <c r="DF864" s="23"/>
      <c r="DG864" s="23"/>
      <c r="DH864" s="23"/>
      <c r="DI864" s="23"/>
      <c r="DJ864" s="23"/>
      <c r="DK864" s="23"/>
      <c r="DL864" s="23"/>
      <c r="DM864" s="23"/>
      <c r="DN864" s="23"/>
      <c r="DO864" s="23"/>
      <c r="DP864" s="23"/>
      <c r="DQ864" s="23"/>
      <c r="DR864" s="23"/>
      <c r="DS864" s="23"/>
      <c r="DT864" s="23"/>
      <c r="DU864" s="23"/>
      <c r="DV864" s="23"/>
      <c r="DW864" s="23"/>
      <c r="DX864" s="23"/>
      <c r="DY864" s="23"/>
      <c r="DZ864" s="23"/>
      <c r="EA864" s="23"/>
      <c r="EB864" s="23"/>
      <c r="EC864" s="23"/>
      <c r="ED864" s="23"/>
      <c r="EE864" s="23"/>
      <c r="EF864" s="23"/>
      <c r="EG864" s="23"/>
      <c r="EH864" s="23"/>
      <c r="EI864" s="23"/>
      <c r="EJ864" s="23"/>
      <c r="EK864" s="23"/>
      <c r="EL864" s="23"/>
      <c r="EM864" s="23"/>
      <c r="EN864" s="23"/>
      <c r="EO864" s="23"/>
      <c r="EP864" s="23"/>
      <c r="EQ864" s="23"/>
      <c r="ER864" s="23"/>
      <c r="ES864" s="23"/>
      <c r="ET864" s="23"/>
      <c r="EU864" s="23"/>
      <c r="EV864" s="23"/>
      <c r="EW864" s="23"/>
      <c r="EX864" s="23"/>
      <c r="EY864" s="23"/>
      <c r="EZ864" s="23"/>
      <c r="FA864" s="23"/>
      <c r="FB864" s="23"/>
      <c r="FC864" s="23"/>
      <c r="FD864" s="23"/>
      <c r="FE864" s="23"/>
      <c r="FF864" s="23"/>
      <c r="FG864" s="23"/>
      <c r="FH864" s="23"/>
      <c r="FI864" s="23"/>
      <c r="FJ864" s="23"/>
      <c r="FK864" s="23"/>
      <c r="FL864" s="23"/>
      <c r="FM864" s="23"/>
      <c r="FN864" s="23"/>
      <c r="FO864" s="23"/>
      <c r="FP864" s="23"/>
      <c r="FQ864" s="23"/>
      <c r="FR864" s="23"/>
      <c r="FS864" s="23"/>
      <c r="FT864" s="23"/>
      <c r="FU864" s="23"/>
      <c r="FV864" s="23"/>
      <c r="FW864" s="23"/>
      <c r="FX864" s="23"/>
      <c r="FY864" s="23"/>
      <c r="FZ864" s="23"/>
      <c r="GA864" s="23"/>
      <c r="GB864" s="23"/>
      <c r="GC864" s="23"/>
      <c r="GD864" s="23"/>
      <c r="GE864" s="23"/>
      <c r="GF864" s="23"/>
      <c r="GG864" s="23"/>
      <c r="GH864" s="23"/>
      <c r="GI864" s="23"/>
      <c r="GJ864" s="23"/>
      <c r="GK864" s="23"/>
      <c r="GL864" s="23"/>
    </row>
    <row r="865" spans="1:194" ht="13">
      <c r="A865" s="23"/>
      <c r="B865" s="23"/>
      <c r="C865" s="23"/>
      <c r="D865" s="23"/>
      <c r="E865" s="23"/>
      <c r="F865" s="23"/>
      <c r="G865" s="23"/>
      <c r="H865" s="401"/>
      <c r="I865" s="401"/>
      <c r="J865" s="401"/>
      <c r="K865" s="401"/>
      <c r="L865" s="401"/>
      <c r="M865" s="438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  <c r="AL865" s="23"/>
      <c r="AM865" s="23"/>
      <c r="AN865" s="23"/>
      <c r="AO865" s="23"/>
      <c r="AP865" s="23"/>
      <c r="AQ865" s="23"/>
      <c r="AR865" s="23"/>
      <c r="AS865" s="23"/>
      <c r="AT865" s="23"/>
      <c r="AU865" s="23"/>
      <c r="AV865" s="23"/>
      <c r="AW865" s="23"/>
      <c r="AX865" s="23"/>
      <c r="AY865" s="23"/>
      <c r="AZ865" s="23"/>
      <c r="BA865" s="23"/>
      <c r="BB865" s="23"/>
      <c r="BC865" s="23"/>
      <c r="BD865" s="23"/>
      <c r="BE865" s="23"/>
      <c r="BF865" s="23"/>
      <c r="BG865" s="23"/>
      <c r="BH865" s="23"/>
      <c r="BI865" s="23"/>
      <c r="BJ865" s="23"/>
      <c r="BK865" s="23"/>
      <c r="BL865" s="23"/>
      <c r="BM865" s="23"/>
      <c r="BN865" s="23"/>
      <c r="BO865" s="23"/>
      <c r="BP865" s="23"/>
      <c r="BQ865" s="23"/>
      <c r="BR865" s="23"/>
      <c r="BS865" s="23"/>
      <c r="BT865" s="23"/>
      <c r="BU865" s="23"/>
      <c r="BV865" s="23"/>
      <c r="BW865" s="23"/>
      <c r="BX865" s="23"/>
      <c r="BY865" s="23"/>
      <c r="BZ865" s="23"/>
      <c r="CA865" s="23"/>
      <c r="CB865" s="23"/>
      <c r="CC865" s="23"/>
      <c r="CD865" s="23"/>
      <c r="CE865" s="23"/>
      <c r="CF865" s="23"/>
      <c r="CG865" s="23"/>
      <c r="CH865" s="23"/>
      <c r="CI865" s="23"/>
      <c r="CJ865" s="23"/>
      <c r="CK865" s="23"/>
      <c r="CL865" s="23"/>
      <c r="CM865" s="23"/>
      <c r="CN865" s="23"/>
      <c r="CO865" s="23"/>
      <c r="CP865" s="23"/>
      <c r="CQ865" s="23"/>
      <c r="CR865" s="23"/>
      <c r="CS865" s="23"/>
      <c r="CT865" s="23"/>
      <c r="CU865" s="23"/>
      <c r="CV865" s="23"/>
      <c r="CW865" s="23"/>
      <c r="CX865" s="23"/>
      <c r="CY865" s="23"/>
      <c r="CZ865" s="23"/>
      <c r="DA865" s="23"/>
      <c r="DB865" s="23"/>
      <c r="DC865" s="23"/>
      <c r="DD865" s="23"/>
      <c r="DE865" s="23"/>
      <c r="DF865" s="23"/>
      <c r="DG865" s="23"/>
      <c r="DH865" s="23"/>
      <c r="DI865" s="23"/>
      <c r="DJ865" s="23"/>
      <c r="DK865" s="23"/>
      <c r="DL865" s="23"/>
      <c r="DM865" s="23"/>
      <c r="DN865" s="23"/>
      <c r="DO865" s="23"/>
      <c r="DP865" s="23"/>
      <c r="DQ865" s="23"/>
      <c r="DR865" s="23"/>
      <c r="DS865" s="23"/>
      <c r="DT865" s="23"/>
      <c r="DU865" s="23"/>
      <c r="DV865" s="23"/>
      <c r="DW865" s="23"/>
      <c r="DX865" s="23"/>
      <c r="DY865" s="23"/>
      <c r="DZ865" s="23"/>
      <c r="EA865" s="23"/>
      <c r="EB865" s="23"/>
      <c r="EC865" s="23"/>
      <c r="ED865" s="23"/>
      <c r="EE865" s="23"/>
      <c r="EF865" s="23"/>
      <c r="EG865" s="23"/>
      <c r="EH865" s="23"/>
      <c r="EI865" s="23"/>
      <c r="EJ865" s="23"/>
      <c r="EK865" s="23"/>
      <c r="EL865" s="23"/>
      <c r="EM865" s="23"/>
      <c r="EN865" s="23"/>
      <c r="EO865" s="23"/>
      <c r="EP865" s="23"/>
      <c r="EQ865" s="23"/>
      <c r="ER865" s="23"/>
      <c r="ES865" s="23"/>
      <c r="ET865" s="23"/>
      <c r="EU865" s="23"/>
      <c r="EV865" s="23"/>
      <c r="EW865" s="23"/>
      <c r="EX865" s="23"/>
      <c r="EY865" s="23"/>
      <c r="EZ865" s="23"/>
      <c r="FA865" s="23"/>
      <c r="FB865" s="23"/>
      <c r="FC865" s="23"/>
      <c r="FD865" s="23"/>
      <c r="FE865" s="23"/>
      <c r="FF865" s="23"/>
      <c r="FG865" s="23"/>
      <c r="FH865" s="23"/>
      <c r="FI865" s="23"/>
      <c r="FJ865" s="23"/>
      <c r="FK865" s="23"/>
      <c r="FL865" s="23"/>
      <c r="FM865" s="23"/>
      <c r="FN865" s="23"/>
      <c r="FO865" s="23"/>
      <c r="FP865" s="23"/>
      <c r="FQ865" s="23"/>
      <c r="FR865" s="23"/>
      <c r="FS865" s="23"/>
      <c r="FT865" s="23"/>
      <c r="FU865" s="23"/>
      <c r="FV865" s="23"/>
      <c r="FW865" s="23"/>
      <c r="FX865" s="23"/>
      <c r="FY865" s="23"/>
      <c r="FZ865" s="23"/>
      <c r="GA865" s="23"/>
      <c r="GB865" s="23"/>
      <c r="GC865" s="23"/>
      <c r="GD865" s="23"/>
      <c r="GE865" s="23"/>
      <c r="GF865" s="23"/>
      <c r="GG865" s="23"/>
      <c r="GH865" s="23"/>
      <c r="GI865" s="23"/>
      <c r="GJ865" s="23"/>
      <c r="GK865" s="23"/>
      <c r="GL865" s="23"/>
    </row>
    <row r="866" spans="1:194" ht="13">
      <c r="A866" s="23"/>
      <c r="B866" s="23"/>
      <c r="C866" s="23"/>
      <c r="D866" s="23"/>
      <c r="E866" s="23"/>
      <c r="F866" s="23"/>
      <c r="G866" s="23"/>
      <c r="H866" s="401"/>
      <c r="I866" s="401"/>
      <c r="J866" s="401"/>
      <c r="K866" s="401"/>
      <c r="L866" s="401"/>
      <c r="M866" s="438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  <c r="AL866" s="23"/>
      <c r="AM866" s="23"/>
      <c r="AN866" s="23"/>
      <c r="AO866" s="23"/>
      <c r="AP866" s="23"/>
      <c r="AQ866" s="23"/>
      <c r="AR866" s="23"/>
      <c r="AS866" s="23"/>
      <c r="AT866" s="23"/>
      <c r="AU866" s="23"/>
      <c r="AV866" s="23"/>
      <c r="AW866" s="23"/>
      <c r="AX866" s="23"/>
      <c r="AY866" s="23"/>
      <c r="AZ866" s="23"/>
      <c r="BA866" s="23"/>
      <c r="BB866" s="23"/>
      <c r="BC866" s="23"/>
      <c r="BD866" s="23"/>
      <c r="BE866" s="23"/>
      <c r="BF866" s="23"/>
      <c r="BG866" s="23"/>
      <c r="BH866" s="23"/>
      <c r="BI866" s="23"/>
      <c r="BJ866" s="23"/>
      <c r="BK866" s="23"/>
      <c r="BL866" s="23"/>
      <c r="BM866" s="23"/>
      <c r="BN866" s="23"/>
      <c r="BO866" s="23"/>
      <c r="BP866" s="23"/>
      <c r="BQ866" s="23"/>
      <c r="BR866" s="23"/>
      <c r="BS866" s="23"/>
      <c r="BT866" s="23"/>
      <c r="BU866" s="23"/>
      <c r="BV866" s="23"/>
      <c r="BW866" s="23"/>
      <c r="BX866" s="23"/>
      <c r="BY866" s="23"/>
      <c r="BZ866" s="23"/>
      <c r="CA866" s="23"/>
      <c r="CB866" s="23"/>
      <c r="CC866" s="23"/>
      <c r="CD866" s="23"/>
      <c r="CE866" s="23"/>
      <c r="CF866" s="23"/>
      <c r="CG866" s="23"/>
      <c r="CH866" s="23"/>
      <c r="CI866" s="23"/>
      <c r="CJ866" s="23"/>
      <c r="CK866" s="23"/>
      <c r="CL866" s="23"/>
      <c r="CM866" s="23"/>
      <c r="CN866" s="23"/>
      <c r="CO866" s="23"/>
      <c r="CP866" s="23"/>
      <c r="CQ866" s="23"/>
      <c r="CR866" s="23"/>
      <c r="CS866" s="23"/>
      <c r="CT866" s="23"/>
      <c r="CU866" s="23"/>
      <c r="CV866" s="23"/>
      <c r="CW866" s="23"/>
      <c r="CX866" s="23"/>
      <c r="CY866" s="23"/>
      <c r="CZ866" s="23"/>
      <c r="DA866" s="23"/>
      <c r="DB866" s="23"/>
      <c r="DC866" s="23"/>
      <c r="DD866" s="23"/>
      <c r="DE866" s="23"/>
      <c r="DF866" s="23"/>
      <c r="DG866" s="23"/>
      <c r="DH866" s="23"/>
      <c r="DI866" s="23"/>
      <c r="DJ866" s="23"/>
      <c r="DK866" s="23"/>
      <c r="DL866" s="23"/>
      <c r="DM866" s="23"/>
      <c r="DN866" s="23"/>
      <c r="DO866" s="23"/>
      <c r="DP866" s="23"/>
      <c r="DQ866" s="23"/>
      <c r="DR866" s="23"/>
      <c r="DS866" s="23"/>
      <c r="DT866" s="23"/>
      <c r="DU866" s="23"/>
      <c r="DV866" s="23"/>
      <c r="DW866" s="23"/>
      <c r="DX866" s="23"/>
      <c r="DY866" s="23"/>
      <c r="DZ866" s="23"/>
      <c r="EA866" s="23"/>
      <c r="EB866" s="23"/>
      <c r="EC866" s="23"/>
      <c r="ED866" s="23"/>
      <c r="EE866" s="23"/>
      <c r="EF866" s="23"/>
      <c r="EG866" s="23"/>
      <c r="EH866" s="23"/>
      <c r="EI866" s="23"/>
      <c r="EJ866" s="23"/>
      <c r="EK866" s="23"/>
      <c r="EL866" s="23"/>
      <c r="EM866" s="23"/>
      <c r="EN866" s="23"/>
      <c r="EO866" s="23"/>
      <c r="EP866" s="23"/>
      <c r="EQ866" s="23"/>
      <c r="ER866" s="23"/>
      <c r="ES866" s="23"/>
      <c r="ET866" s="23"/>
      <c r="EU866" s="23"/>
      <c r="EV866" s="23"/>
      <c r="EW866" s="23"/>
      <c r="EX866" s="23"/>
      <c r="EY866" s="23"/>
      <c r="EZ866" s="23"/>
      <c r="FA866" s="23"/>
      <c r="FB866" s="23"/>
      <c r="FC866" s="23"/>
      <c r="FD866" s="23"/>
      <c r="FE866" s="23"/>
      <c r="FF866" s="23"/>
      <c r="FG866" s="23"/>
      <c r="FH866" s="23"/>
      <c r="FI866" s="23"/>
      <c r="FJ866" s="23"/>
      <c r="FK866" s="23"/>
      <c r="FL866" s="23"/>
      <c r="FM866" s="23"/>
      <c r="FN866" s="23"/>
      <c r="FO866" s="23"/>
      <c r="FP866" s="23"/>
      <c r="FQ866" s="23"/>
      <c r="FR866" s="23"/>
      <c r="FS866" s="23"/>
      <c r="FT866" s="23"/>
      <c r="FU866" s="23"/>
      <c r="FV866" s="23"/>
      <c r="FW866" s="23"/>
      <c r="FX866" s="23"/>
      <c r="FY866" s="23"/>
      <c r="FZ866" s="23"/>
      <c r="GA866" s="23"/>
      <c r="GB866" s="23"/>
      <c r="GC866" s="23"/>
      <c r="GD866" s="23"/>
      <c r="GE866" s="23"/>
      <c r="GF866" s="23"/>
      <c r="GG866" s="23"/>
      <c r="GH866" s="23"/>
      <c r="GI866" s="23"/>
      <c r="GJ866" s="23"/>
      <c r="GK866" s="23"/>
      <c r="GL866" s="23"/>
    </row>
    <row r="867" spans="1:194" ht="13">
      <c r="A867" s="23"/>
      <c r="B867" s="23"/>
      <c r="C867" s="23"/>
      <c r="D867" s="23"/>
      <c r="E867" s="23"/>
      <c r="F867" s="23"/>
      <c r="G867" s="23"/>
      <c r="H867" s="401"/>
      <c r="I867" s="401"/>
      <c r="J867" s="401"/>
      <c r="K867" s="401"/>
      <c r="L867" s="401"/>
      <c r="M867" s="438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  <c r="AL867" s="23"/>
      <c r="AM867" s="23"/>
      <c r="AN867" s="23"/>
      <c r="AO867" s="23"/>
      <c r="AP867" s="23"/>
      <c r="AQ867" s="23"/>
      <c r="AR867" s="23"/>
      <c r="AS867" s="23"/>
      <c r="AT867" s="23"/>
      <c r="AU867" s="23"/>
      <c r="AV867" s="23"/>
      <c r="AW867" s="23"/>
      <c r="AX867" s="23"/>
      <c r="AY867" s="23"/>
      <c r="AZ867" s="23"/>
      <c r="BA867" s="23"/>
      <c r="BB867" s="23"/>
      <c r="BC867" s="23"/>
      <c r="BD867" s="23"/>
      <c r="BE867" s="23"/>
      <c r="BF867" s="23"/>
      <c r="BG867" s="23"/>
      <c r="BH867" s="23"/>
      <c r="BI867" s="23"/>
      <c r="BJ867" s="23"/>
      <c r="BK867" s="23"/>
      <c r="BL867" s="23"/>
      <c r="BM867" s="23"/>
      <c r="BN867" s="23"/>
      <c r="BO867" s="23"/>
      <c r="BP867" s="23"/>
      <c r="BQ867" s="23"/>
      <c r="BR867" s="23"/>
      <c r="BS867" s="23"/>
      <c r="BT867" s="23"/>
      <c r="BU867" s="23"/>
      <c r="BV867" s="23"/>
      <c r="BW867" s="23"/>
      <c r="BX867" s="23"/>
      <c r="BY867" s="23"/>
      <c r="BZ867" s="23"/>
      <c r="CA867" s="23"/>
      <c r="CB867" s="23"/>
      <c r="CC867" s="23"/>
      <c r="CD867" s="23"/>
      <c r="CE867" s="23"/>
      <c r="CF867" s="23"/>
      <c r="CG867" s="23"/>
      <c r="CH867" s="23"/>
      <c r="CI867" s="23"/>
      <c r="CJ867" s="23"/>
      <c r="CK867" s="23"/>
      <c r="CL867" s="23"/>
      <c r="CM867" s="23"/>
      <c r="CN867" s="23"/>
      <c r="CO867" s="23"/>
      <c r="CP867" s="23"/>
      <c r="CQ867" s="23"/>
      <c r="CR867" s="23"/>
      <c r="CS867" s="23"/>
      <c r="CT867" s="23"/>
      <c r="CU867" s="23"/>
      <c r="CV867" s="23"/>
      <c r="CW867" s="23"/>
      <c r="CX867" s="23"/>
      <c r="CY867" s="23"/>
      <c r="CZ867" s="23"/>
      <c r="DA867" s="23"/>
      <c r="DB867" s="23"/>
      <c r="DC867" s="23"/>
      <c r="DD867" s="23"/>
      <c r="DE867" s="23"/>
      <c r="DF867" s="23"/>
      <c r="DG867" s="23"/>
      <c r="DH867" s="23"/>
      <c r="DI867" s="23"/>
      <c r="DJ867" s="23"/>
      <c r="DK867" s="23"/>
      <c r="DL867" s="23"/>
      <c r="DM867" s="23"/>
      <c r="DN867" s="23"/>
      <c r="DO867" s="23"/>
      <c r="DP867" s="23"/>
      <c r="DQ867" s="23"/>
      <c r="DR867" s="23"/>
      <c r="DS867" s="23"/>
      <c r="DT867" s="23"/>
      <c r="DU867" s="23"/>
      <c r="DV867" s="23"/>
      <c r="DW867" s="23"/>
      <c r="DX867" s="23"/>
      <c r="DY867" s="23"/>
      <c r="DZ867" s="23"/>
      <c r="EA867" s="23"/>
      <c r="EB867" s="23"/>
      <c r="EC867" s="23"/>
      <c r="ED867" s="23"/>
      <c r="EE867" s="23"/>
      <c r="EF867" s="23"/>
      <c r="EG867" s="23"/>
      <c r="EH867" s="23"/>
      <c r="EI867" s="23"/>
      <c r="EJ867" s="23"/>
      <c r="EK867" s="23"/>
      <c r="EL867" s="23"/>
      <c r="EM867" s="23"/>
      <c r="EN867" s="23"/>
      <c r="EO867" s="23"/>
      <c r="EP867" s="23"/>
      <c r="EQ867" s="23"/>
      <c r="ER867" s="23"/>
      <c r="ES867" s="23"/>
      <c r="ET867" s="23"/>
      <c r="EU867" s="23"/>
      <c r="EV867" s="23"/>
      <c r="EW867" s="23"/>
      <c r="EX867" s="23"/>
      <c r="EY867" s="23"/>
      <c r="EZ867" s="23"/>
      <c r="FA867" s="23"/>
      <c r="FB867" s="23"/>
      <c r="FC867" s="23"/>
      <c r="FD867" s="23"/>
      <c r="FE867" s="23"/>
      <c r="FF867" s="23"/>
      <c r="FG867" s="23"/>
      <c r="FH867" s="23"/>
      <c r="FI867" s="23"/>
      <c r="FJ867" s="23"/>
      <c r="FK867" s="23"/>
      <c r="FL867" s="23"/>
      <c r="FM867" s="23"/>
      <c r="FN867" s="23"/>
      <c r="FO867" s="23"/>
      <c r="FP867" s="23"/>
      <c r="FQ867" s="23"/>
      <c r="FR867" s="23"/>
      <c r="FS867" s="23"/>
      <c r="FT867" s="23"/>
      <c r="FU867" s="23"/>
      <c r="FV867" s="23"/>
      <c r="FW867" s="23"/>
      <c r="FX867" s="23"/>
      <c r="FY867" s="23"/>
      <c r="FZ867" s="23"/>
      <c r="GA867" s="23"/>
      <c r="GB867" s="23"/>
      <c r="GC867" s="23"/>
      <c r="GD867" s="23"/>
      <c r="GE867" s="23"/>
      <c r="GF867" s="23"/>
      <c r="GG867" s="23"/>
      <c r="GH867" s="23"/>
      <c r="GI867" s="23"/>
      <c r="GJ867" s="23"/>
      <c r="GK867" s="23"/>
      <c r="GL867" s="23"/>
    </row>
    <row r="868" spans="1:194" ht="13">
      <c r="A868" s="23"/>
      <c r="B868" s="23"/>
      <c r="C868" s="23"/>
      <c r="D868" s="23"/>
      <c r="E868" s="23"/>
      <c r="F868" s="23"/>
      <c r="G868" s="23"/>
      <c r="H868" s="401"/>
      <c r="I868" s="401"/>
      <c r="J868" s="401"/>
      <c r="K868" s="401"/>
      <c r="L868" s="401"/>
      <c r="M868" s="438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  <c r="AL868" s="23"/>
      <c r="AM868" s="23"/>
      <c r="AN868" s="23"/>
      <c r="AO868" s="23"/>
      <c r="AP868" s="23"/>
      <c r="AQ868" s="23"/>
      <c r="AR868" s="23"/>
      <c r="AS868" s="23"/>
      <c r="AT868" s="23"/>
      <c r="AU868" s="23"/>
      <c r="AV868" s="23"/>
      <c r="AW868" s="23"/>
      <c r="AX868" s="23"/>
      <c r="AY868" s="23"/>
      <c r="AZ868" s="23"/>
      <c r="BA868" s="23"/>
      <c r="BB868" s="23"/>
      <c r="BC868" s="23"/>
      <c r="BD868" s="23"/>
      <c r="BE868" s="23"/>
      <c r="BF868" s="23"/>
      <c r="BG868" s="23"/>
      <c r="BH868" s="23"/>
      <c r="BI868" s="23"/>
      <c r="BJ868" s="23"/>
      <c r="BK868" s="23"/>
      <c r="BL868" s="23"/>
      <c r="BM868" s="23"/>
      <c r="BN868" s="23"/>
      <c r="BO868" s="23"/>
      <c r="BP868" s="23"/>
      <c r="BQ868" s="23"/>
      <c r="BR868" s="23"/>
      <c r="BS868" s="23"/>
      <c r="BT868" s="23"/>
      <c r="BU868" s="23"/>
      <c r="BV868" s="23"/>
      <c r="BW868" s="23"/>
      <c r="BX868" s="23"/>
      <c r="BY868" s="23"/>
      <c r="BZ868" s="23"/>
      <c r="CA868" s="23"/>
      <c r="CB868" s="23"/>
      <c r="CC868" s="23"/>
      <c r="CD868" s="23"/>
      <c r="CE868" s="23"/>
      <c r="CF868" s="23"/>
      <c r="CG868" s="23"/>
      <c r="CH868" s="23"/>
      <c r="CI868" s="23"/>
      <c r="CJ868" s="23"/>
      <c r="CK868" s="23"/>
      <c r="CL868" s="23"/>
      <c r="CM868" s="23"/>
      <c r="CN868" s="23"/>
      <c r="CO868" s="23"/>
      <c r="CP868" s="23"/>
      <c r="CQ868" s="23"/>
      <c r="CR868" s="23"/>
      <c r="CS868" s="23"/>
      <c r="CT868" s="23"/>
      <c r="CU868" s="23"/>
      <c r="CV868" s="23"/>
      <c r="CW868" s="23"/>
      <c r="CX868" s="23"/>
      <c r="CY868" s="23"/>
      <c r="CZ868" s="23"/>
      <c r="DA868" s="23"/>
      <c r="DB868" s="23"/>
      <c r="DC868" s="23"/>
      <c r="DD868" s="23"/>
      <c r="DE868" s="23"/>
      <c r="DF868" s="23"/>
      <c r="DG868" s="23"/>
      <c r="DH868" s="23"/>
      <c r="DI868" s="23"/>
      <c r="DJ868" s="23"/>
      <c r="DK868" s="23"/>
      <c r="DL868" s="23"/>
      <c r="DM868" s="23"/>
      <c r="DN868" s="23"/>
      <c r="DO868" s="23"/>
      <c r="DP868" s="23"/>
      <c r="DQ868" s="23"/>
      <c r="DR868" s="23"/>
      <c r="DS868" s="23"/>
      <c r="DT868" s="23"/>
      <c r="DU868" s="23"/>
      <c r="DV868" s="23"/>
      <c r="DW868" s="23"/>
      <c r="DX868" s="23"/>
      <c r="DY868" s="23"/>
      <c r="DZ868" s="23"/>
      <c r="EA868" s="23"/>
      <c r="EB868" s="23"/>
      <c r="EC868" s="23"/>
      <c r="ED868" s="23"/>
      <c r="EE868" s="23"/>
      <c r="EF868" s="23"/>
      <c r="EG868" s="23"/>
      <c r="EH868" s="23"/>
      <c r="EI868" s="23"/>
      <c r="EJ868" s="23"/>
      <c r="EK868" s="23"/>
      <c r="EL868" s="23"/>
      <c r="EM868" s="23"/>
      <c r="EN868" s="23"/>
      <c r="EO868" s="23"/>
      <c r="EP868" s="23"/>
      <c r="EQ868" s="23"/>
      <c r="ER868" s="23"/>
      <c r="ES868" s="23"/>
      <c r="ET868" s="23"/>
      <c r="EU868" s="23"/>
      <c r="EV868" s="23"/>
      <c r="EW868" s="23"/>
      <c r="EX868" s="23"/>
      <c r="EY868" s="23"/>
      <c r="EZ868" s="23"/>
      <c r="FA868" s="23"/>
      <c r="FB868" s="23"/>
      <c r="FC868" s="23"/>
      <c r="FD868" s="23"/>
      <c r="FE868" s="23"/>
      <c r="FF868" s="23"/>
      <c r="FG868" s="23"/>
      <c r="FH868" s="23"/>
      <c r="FI868" s="23"/>
      <c r="FJ868" s="23"/>
      <c r="FK868" s="23"/>
      <c r="FL868" s="23"/>
      <c r="FM868" s="23"/>
      <c r="FN868" s="23"/>
      <c r="FO868" s="23"/>
      <c r="FP868" s="23"/>
      <c r="FQ868" s="23"/>
      <c r="FR868" s="23"/>
      <c r="FS868" s="23"/>
      <c r="FT868" s="23"/>
      <c r="FU868" s="23"/>
      <c r="FV868" s="23"/>
      <c r="FW868" s="23"/>
      <c r="FX868" s="23"/>
      <c r="FY868" s="23"/>
      <c r="FZ868" s="23"/>
      <c r="GA868" s="23"/>
      <c r="GB868" s="23"/>
      <c r="GC868" s="23"/>
      <c r="GD868" s="23"/>
      <c r="GE868" s="23"/>
      <c r="GF868" s="23"/>
      <c r="GG868" s="23"/>
      <c r="GH868" s="23"/>
      <c r="GI868" s="23"/>
      <c r="GJ868" s="23"/>
      <c r="GK868" s="23"/>
      <c r="GL868" s="23"/>
    </row>
    <row r="869" spans="1:194" ht="13">
      <c r="A869" s="23"/>
      <c r="B869" s="23"/>
      <c r="C869" s="23"/>
      <c r="D869" s="23"/>
      <c r="E869" s="23"/>
      <c r="F869" s="23"/>
      <c r="G869" s="23"/>
      <c r="H869" s="401"/>
      <c r="I869" s="401"/>
      <c r="J869" s="401"/>
      <c r="K869" s="401"/>
      <c r="L869" s="401"/>
      <c r="M869" s="438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  <c r="AL869" s="23"/>
      <c r="AM869" s="23"/>
      <c r="AN869" s="23"/>
      <c r="AO869" s="23"/>
      <c r="AP869" s="23"/>
      <c r="AQ869" s="23"/>
      <c r="AR869" s="23"/>
      <c r="AS869" s="23"/>
      <c r="AT869" s="23"/>
      <c r="AU869" s="23"/>
      <c r="AV869" s="23"/>
      <c r="AW869" s="23"/>
      <c r="AX869" s="23"/>
      <c r="AY869" s="23"/>
      <c r="AZ869" s="23"/>
      <c r="BA869" s="23"/>
      <c r="BB869" s="23"/>
      <c r="BC869" s="23"/>
      <c r="BD869" s="23"/>
      <c r="BE869" s="23"/>
      <c r="BF869" s="23"/>
      <c r="BG869" s="23"/>
      <c r="BH869" s="23"/>
      <c r="BI869" s="23"/>
      <c r="BJ869" s="23"/>
      <c r="BK869" s="23"/>
      <c r="BL869" s="23"/>
      <c r="BM869" s="23"/>
      <c r="BN869" s="23"/>
      <c r="BO869" s="23"/>
      <c r="BP869" s="23"/>
      <c r="BQ869" s="23"/>
      <c r="BR869" s="23"/>
      <c r="BS869" s="23"/>
      <c r="BT869" s="23"/>
      <c r="BU869" s="23"/>
      <c r="BV869" s="23"/>
      <c r="BW869" s="23"/>
      <c r="BX869" s="23"/>
      <c r="BY869" s="23"/>
      <c r="BZ869" s="23"/>
      <c r="CA869" s="23"/>
      <c r="CB869" s="23"/>
      <c r="CC869" s="23"/>
      <c r="CD869" s="23"/>
      <c r="CE869" s="23"/>
      <c r="CF869" s="23"/>
      <c r="CG869" s="23"/>
      <c r="CH869" s="23"/>
      <c r="CI869" s="23"/>
      <c r="CJ869" s="23"/>
      <c r="CK869" s="23"/>
      <c r="CL869" s="23"/>
      <c r="CM869" s="23"/>
      <c r="CN869" s="23"/>
      <c r="CO869" s="23"/>
      <c r="CP869" s="23"/>
      <c r="CQ869" s="23"/>
      <c r="CR869" s="23"/>
      <c r="CS869" s="23"/>
      <c r="CT869" s="23"/>
      <c r="CU869" s="23"/>
      <c r="CV869" s="23"/>
      <c r="CW869" s="23"/>
      <c r="CX869" s="23"/>
      <c r="CY869" s="23"/>
      <c r="CZ869" s="23"/>
      <c r="DA869" s="23"/>
      <c r="DB869" s="23"/>
      <c r="DC869" s="23"/>
      <c r="DD869" s="23"/>
      <c r="DE869" s="23"/>
      <c r="DF869" s="23"/>
      <c r="DG869" s="23"/>
      <c r="DH869" s="23"/>
      <c r="DI869" s="23"/>
      <c r="DJ869" s="23"/>
      <c r="DK869" s="23"/>
      <c r="DL869" s="23"/>
      <c r="DM869" s="23"/>
      <c r="DN869" s="23"/>
      <c r="DO869" s="23"/>
      <c r="DP869" s="23"/>
      <c r="DQ869" s="23"/>
      <c r="DR869" s="23"/>
      <c r="DS869" s="23"/>
      <c r="DT869" s="23"/>
      <c r="DU869" s="23"/>
      <c r="DV869" s="23"/>
      <c r="DW869" s="23"/>
      <c r="DX869" s="23"/>
      <c r="DY869" s="23"/>
      <c r="DZ869" s="23"/>
      <c r="EA869" s="23"/>
      <c r="EB869" s="23"/>
      <c r="EC869" s="23"/>
      <c r="ED869" s="23"/>
      <c r="EE869" s="23"/>
      <c r="EF869" s="23"/>
      <c r="EG869" s="23"/>
      <c r="EH869" s="23"/>
      <c r="EI869" s="23"/>
      <c r="EJ869" s="23"/>
      <c r="EK869" s="23"/>
      <c r="EL869" s="23"/>
      <c r="EM869" s="23"/>
      <c r="EN869" s="23"/>
      <c r="EO869" s="23"/>
      <c r="EP869" s="23"/>
      <c r="EQ869" s="23"/>
      <c r="ER869" s="23"/>
      <c r="ES869" s="23"/>
      <c r="ET869" s="23"/>
      <c r="EU869" s="23"/>
      <c r="EV869" s="23"/>
      <c r="EW869" s="23"/>
      <c r="EX869" s="23"/>
      <c r="EY869" s="23"/>
      <c r="EZ869" s="23"/>
      <c r="FA869" s="23"/>
      <c r="FB869" s="23"/>
      <c r="FC869" s="23"/>
      <c r="FD869" s="23"/>
      <c r="FE869" s="23"/>
      <c r="FF869" s="23"/>
      <c r="FG869" s="23"/>
      <c r="FH869" s="23"/>
      <c r="FI869" s="23"/>
      <c r="FJ869" s="23"/>
      <c r="FK869" s="23"/>
      <c r="FL869" s="23"/>
      <c r="FM869" s="23"/>
      <c r="FN869" s="23"/>
      <c r="FO869" s="23"/>
      <c r="FP869" s="23"/>
      <c r="FQ869" s="23"/>
      <c r="FR869" s="23"/>
      <c r="FS869" s="23"/>
      <c r="FT869" s="23"/>
      <c r="FU869" s="23"/>
      <c r="FV869" s="23"/>
      <c r="FW869" s="23"/>
      <c r="FX869" s="23"/>
      <c r="FY869" s="23"/>
      <c r="FZ869" s="23"/>
      <c r="GA869" s="23"/>
      <c r="GB869" s="23"/>
      <c r="GC869" s="23"/>
      <c r="GD869" s="23"/>
      <c r="GE869" s="23"/>
      <c r="GF869" s="23"/>
      <c r="GG869" s="23"/>
      <c r="GH869" s="23"/>
      <c r="GI869" s="23"/>
      <c r="GJ869" s="23"/>
      <c r="GK869" s="23"/>
      <c r="GL869" s="23"/>
    </row>
    <row r="870" spans="1:194" ht="13">
      <c r="A870" s="23"/>
      <c r="B870" s="23"/>
      <c r="C870" s="23"/>
      <c r="D870" s="23"/>
      <c r="E870" s="23"/>
      <c r="F870" s="23"/>
      <c r="G870" s="23"/>
      <c r="H870" s="401"/>
      <c r="I870" s="401"/>
      <c r="J870" s="401"/>
      <c r="K870" s="401"/>
      <c r="L870" s="401"/>
      <c r="M870" s="438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  <c r="AL870" s="23"/>
      <c r="AM870" s="23"/>
      <c r="AN870" s="23"/>
      <c r="AO870" s="23"/>
      <c r="AP870" s="23"/>
      <c r="AQ870" s="23"/>
      <c r="AR870" s="23"/>
      <c r="AS870" s="23"/>
      <c r="AT870" s="23"/>
      <c r="AU870" s="23"/>
      <c r="AV870" s="23"/>
      <c r="AW870" s="23"/>
      <c r="AX870" s="23"/>
      <c r="AY870" s="23"/>
      <c r="AZ870" s="23"/>
      <c r="BA870" s="23"/>
      <c r="BB870" s="23"/>
      <c r="BC870" s="23"/>
      <c r="BD870" s="23"/>
      <c r="BE870" s="23"/>
      <c r="BF870" s="23"/>
      <c r="BG870" s="23"/>
      <c r="BH870" s="23"/>
      <c r="BI870" s="23"/>
      <c r="BJ870" s="23"/>
      <c r="BK870" s="23"/>
      <c r="BL870" s="23"/>
      <c r="BM870" s="23"/>
      <c r="BN870" s="23"/>
      <c r="BO870" s="23"/>
      <c r="BP870" s="23"/>
      <c r="BQ870" s="23"/>
      <c r="BR870" s="23"/>
      <c r="BS870" s="23"/>
      <c r="BT870" s="23"/>
      <c r="BU870" s="23"/>
      <c r="BV870" s="23"/>
      <c r="BW870" s="23"/>
      <c r="BX870" s="23"/>
      <c r="BY870" s="23"/>
      <c r="BZ870" s="23"/>
      <c r="CA870" s="23"/>
      <c r="CB870" s="23"/>
      <c r="CC870" s="23"/>
      <c r="CD870" s="23"/>
      <c r="CE870" s="23"/>
      <c r="CF870" s="23"/>
      <c r="CG870" s="23"/>
      <c r="CH870" s="23"/>
      <c r="CI870" s="23"/>
      <c r="CJ870" s="23"/>
      <c r="CK870" s="23"/>
      <c r="CL870" s="23"/>
      <c r="CM870" s="23"/>
      <c r="CN870" s="23"/>
      <c r="CO870" s="23"/>
      <c r="CP870" s="23"/>
      <c r="CQ870" s="23"/>
      <c r="CR870" s="23"/>
      <c r="CS870" s="23"/>
      <c r="CT870" s="23"/>
      <c r="CU870" s="23"/>
      <c r="CV870" s="23"/>
      <c r="CW870" s="23"/>
      <c r="CX870" s="23"/>
      <c r="CY870" s="23"/>
      <c r="CZ870" s="23"/>
      <c r="DA870" s="23"/>
      <c r="DB870" s="23"/>
      <c r="DC870" s="23"/>
      <c r="DD870" s="23"/>
      <c r="DE870" s="23"/>
      <c r="DF870" s="23"/>
      <c r="DG870" s="23"/>
      <c r="DH870" s="23"/>
      <c r="DI870" s="23"/>
      <c r="DJ870" s="23"/>
      <c r="DK870" s="23"/>
      <c r="DL870" s="23"/>
      <c r="DM870" s="23"/>
      <c r="DN870" s="23"/>
      <c r="DO870" s="23"/>
      <c r="DP870" s="23"/>
      <c r="DQ870" s="23"/>
      <c r="DR870" s="23"/>
      <c r="DS870" s="23"/>
      <c r="DT870" s="23"/>
      <c r="DU870" s="23"/>
      <c r="DV870" s="23"/>
      <c r="DW870" s="23"/>
      <c r="DX870" s="23"/>
      <c r="DY870" s="23"/>
      <c r="DZ870" s="23"/>
      <c r="EA870" s="23"/>
      <c r="EB870" s="23"/>
      <c r="EC870" s="23"/>
      <c r="ED870" s="23"/>
      <c r="EE870" s="23"/>
      <c r="EF870" s="23"/>
      <c r="EG870" s="23"/>
      <c r="EH870" s="23"/>
      <c r="EI870" s="23"/>
      <c r="EJ870" s="23"/>
      <c r="EK870" s="23"/>
      <c r="EL870" s="23"/>
      <c r="EM870" s="23"/>
      <c r="EN870" s="23"/>
      <c r="EO870" s="23"/>
      <c r="EP870" s="23"/>
      <c r="EQ870" s="23"/>
      <c r="ER870" s="23"/>
      <c r="ES870" s="23"/>
      <c r="ET870" s="23"/>
      <c r="EU870" s="23"/>
      <c r="EV870" s="23"/>
      <c r="EW870" s="23"/>
      <c r="EX870" s="23"/>
      <c r="EY870" s="23"/>
      <c r="EZ870" s="23"/>
      <c r="FA870" s="23"/>
      <c r="FB870" s="23"/>
      <c r="FC870" s="23"/>
      <c r="FD870" s="23"/>
      <c r="FE870" s="23"/>
      <c r="FF870" s="23"/>
      <c r="FG870" s="23"/>
      <c r="FH870" s="23"/>
      <c r="FI870" s="23"/>
      <c r="FJ870" s="23"/>
      <c r="FK870" s="23"/>
      <c r="FL870" s="23"/>
      <c r="FM870" s="23"/>
      <c r="FN870" s="23"/>
      <c r="FO870" s="23"/>
      <c r="FP870" s="23"/>
      <c r="FQ870" s="23"/>
      <c r="FR870" s="23"/>
      <c r="FS870" s="23"/>
      <c r="FT870" s="23"/>
      <c r="FU870" s="23"/>
      <c r="FV870" s="23"/>
      <c r="FW870" s="23"/>
      <c r="FX870" s="23"/>
      <c r="FY870" s="23"/>
      <c r="FZ870" s="23"/>
      <c r="GA870" s="23"/>
      <c r="GB870" s="23"/>
      <c r="GC870" s="23"/>
      <c r="GD870" s="23"/>
      <c r="GE870" s="23"/>
      <c r="GF870" s="23"/>
      <c r="GG870" s="23"/>
      <c r="GH870" s="23"/>
      <c r="GI870" s="23"/>
      <c r="GJ870" s="23"/>
      <c r="GK870" s="23"/>
      <c r="GL870" s="23"/>
    </row>
    <row r="871" spans="1:194" ht="13">
      <c r="A871" s="23"/>
      <c r="B871" s="23"/>
      <c r="C871" s="23"/>
      <c r="D871" s="23"/>
      <c r="E871" s="23"/>
      <c r="F871" s="23"/>
      <c r="G871" s="23"/>
      <c r="H871" s="401"/>
      <c r="I871" s="401"/>
      <c r="J871" s="401"/>
      <c r="K871" s="401"/>
      <c r="L871" s="401"/>
      <c r="M871" s="438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  <c r="AL871" s="23"/>
      <c r="AM871" s="23"/>
      <c r="AN871" s="23"/>
      <c r="AO871" s="23"/>
      <c r="AP871" s="23"/>
      <c r="AQ871" s="23"/>
      <c r="AR871" s="23"/>
      <c r="AS871" s="23"/>
      <c r="AT871" s="23"/>
      <c r="AU871" s="23"/>
      <c r="AV871" s="23"/>
      <c r="AW871" s="23"/>
      <c r="AX871" s="23"/>
      <c r="AY871" s="23"/>
      <c r="AZ871" s="23"/>
      <c r="BA871" s="23"/>
      <c r="BB871" s="23"/>
      <c r="BC871" s="23"/>
      <c r="BD871" s="23"/>
      <c r="BE871" s="23"/>
      <c r="BF871" s="23"/>
      <c r="BG871" s="23"/>
      <c r="BH871" s="23"/>
      <c r="BI871" s="23"/>
      <c r="BJ871" s="23"/>
      <c r="BK871" s="23"/>
      <c r="BL871" s="23"/>
      <c r="BM871" s="23"/>
      <c r="BN871" s="23"/>
      <c r="BO871" s="23"/>
      <c r="BP871" s="23"/>
      <c r="BQ871" s="23"/>
      <c r="BR871" s="23"/>
      <c r="BS871" s="23"/>
      <c r="BT871" s="23"/>
      <c r="BU871" s="23"/>
      <c r="BV871" s="23"/>
      <c r="BW871" s="23"/>
      <c r="BX871" s="23"/>
      <c r="BY871" s="23"/>
      <c r="BZ871" s="23"/>
      <c r="CA871" s="23"/>
      <c r="CB871" s="23"/>
      <c r="CC871" s="23"/>
      <c r="CD871" s="23"/>
      <c r="CE871" s="23"/>
      <c r="CF871" s="23"/>
      <c r="CG871" s="23"/>
      <c r="CH871" s="23"/>
      <c r="CI871" s="23"/>
      <c r="CJ871" s="23"/>
      <c r="CK871" s="23"/>
      <c r="CL871" s="23"/>
      <c r="CM871" s="23"/>
      <c r="CN871" s="23"/>
      <c r="CO871" s="23"/>
      <c r="CP871" s="23"/>
      <c r="CQ871" s="23"/>
      <c r="CR871" s="23"/>
      <c r="CS871" s="23"/>
      <c r="CT871" s="23"/>
      <c r="CU871" s="23"/>
      <c r="CV871" s="23"/>
      <c r="CW871" s="23"/>
      <c r="CX871" s="23"/>
      <c r="CY871" s="23"/>
      <c r="CZ871" s="23"/>
      <c r="DA871" s="23"/>
      <c r="DB871" s="23"/>
      <c r="DC871" s="23"/>
      <c r="DD871" s="23"/>
      <c r="DE871" s="23"/>
      <c r="DF871" s="23"/>
      <c r="DG871" s="23"/>
      <c r="DH871" s="23"/>
      <c r="DI871" s="23"/>
      <c r="DJ871" s="23"/>
      <c r="DK871" s="23"/>
      <c r="DL871" s="23"/>
      <c r="DM871" s="23"/>
      <c r="DN871" s="23"/>
      <c r="DO871" s="23"/>
      <c r="DP871" s="23"/>
      <c r="DQ871" s="23"/>
      <c r="DR871" s="23"/>
      <c r="DS871" s="23"/>
      <c r="DT871" s="23"/>
      <c r="DU871" s="23"/>
      <c r="DV871" s="23"/>
      <c r="DW871" s="23"/>
      <c r="DX871" s="23"/>
      <c r="DY871" s="23"/>
      <c r="DZ871" s="23"/>
      <c r="EA871" s="23"/>
      <c r="EB871" s="23"/>
      <c r="EC871" s="23"/>
      <c r="ED871" s="23"/>
      <c r="EE871" s="23"/>
      <c r="EF871" s="23"/>
      <c r="EG871" s="23"/>
      <c r="EH871" s="23"/>
      <c r="EI871" s="23"/>
      <c r="EJ871" s="23"/>
      <c r="EK871" s="23"/>
      <c r="EL871" s="23"/>
      <c r="EM871" s="23"/>
      <c r="EN871" s="23"/>
      <c r="EO871" s="23"/>
      <c r="EP871" s="23"/>
      <c r="EQ871" s="23"/>
      <c r="ER871" s="23"/>
      <c r="ES871" s="23"/>
      <c r="ET871" s="23"/>
      <c r="EU871" s="23"/>
      <c r="EV871" s="23"/>
      <c r="EW871" s="23"/>
      <c r="EX871" s="23"/>
      <c r="EY871" s="23"/>
      <c r="EZ871" s="23"/>
      <c r="FA871" s="23"/>
      <c r="FB871" s="23"/>
      <c r="FC871" s="23"/>
      <c r="FD871" s="23"/>
      <c r="FE871" s="23"/>
      <c r="FF871" s="23"/>
      <c r="FG871" s="23"/>
      <c r="FH871" s="23"/>
      <c r="FI871" s="23"/>
      <c r="FJ871" s="23"/>
      <c r="FK871" s="23"/>
      <c r="FL871" s="23"/>
      <c r="FM871" s="23"/>
      <c r="FN871" s="23"/>
      <c r="FO871" s="23"/>
      <c r="FP871" s="23"/>
      <c r="FQ871" s="23"/>
      <c r="FR871" s="23"/>
      <c r="FS871" s="23"/>
      <c r="FT871" s="23"/>
      <c r="FU871" s="23"/>
      <c r="FV871" s="23"/>
      <c r="FW871" s="23"/>
      <c r="FX871" s="23"/>
      <c r="FY871" s="23"/>
      <c r="FZ871" s="23"/>
      <c r="GA871" s="23"/>
      <c r="GB871" s="23"/>
      <c r="GC871" s="23"/>
      <c r="GD871" s="23"/>
      <c r="GE871" s="23"/>
      <c r="GF871" s="23"/>
      <c r="GG871" s="23"/>
      <c r="GH871" s="23"/>
      <c r="GI871" s="23"/>
      <c r="GJ871" s="23"/>
      <c r="GK871" s="23"/>
      <c r="GL871" s="23"/>
    </row>
    <row r="872" spans="1:194" ht="13">
      <c r="A872" s="23"/>
      <c r="B872" s="23"/>
      <c r="C872" s="23"/>
      <c r="D872" s="23"/>
      <c r="E872" s="23"/>
      <c r="F872" s="23"/>
      <c r="G872" s="23"/>
      <c r="H872" s="401"/>
      <c r="I872" s="401"/>
      <c r="J872" s="401"/>
      <c r="K872" s="401"/>
      <c r="L872" s="401"/>
      <c r="M872" s="438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  <c r="AL872" s="23"/>
      <c r="AM872" s="23"/>
      <c r="AN872" s="23"/>
      <c r="AO872" s="23"/>
      <c r="AP872" s="23"/>
      <c r="AQ872" s="23"/>
      <c r="AR872" s="23"/>
      <c r="AS872" s="23"/>
      <c r="AT872" s="23"/>
      <c r="AU872" s="23"/>
      <c r="AV872" s="23"/>
      <c r="AW872" s="23"/>
      <c r="AX872" s="23"/>
      <c r="AY872" s="23"/>
      <c r="AZ872" s="23"/>
      <c r="BA872" s="23"/>
      <c r="BB872" s="23"/>
      <c r="BC872" s="23"/>
      <c r="BD872" s="23"/>
      <c r="BE872" s="23"/>
      <c r="BF872" s="23"/>
      <c r="BG872" s="23"/>
      <c r="BH872" s="23"/>
      <c r="BI872" s="23"/>
      <c r="BJ872" s="23"/>
      <c r="BK872" s="23"/>
      <c r="BL872" s="23"/>
      <c r="BM872" s="23"/>
      <c r="BN872" s="23"/>
      <c r="BO872" s="23"/>
      <c r="BP872" s="23"/>
      <c r="BQ872" s="23"/>
      <c r="BR872" s="23"/>
      <c r="BS872" s="23"/>
      <c r="BT872" s="23"/>
      <c r="BU872" s="23"/>
      <c r="BV872" s="23"/>
      <c r="BW872" s="23"/>
      <c r="BX872" s="23"/>
      <c r="BY872" s="23"/>
      <c r="BZ872" s="23"/>
      <c r="CA872" s="23"/>
      <c r="CB872" s="23"/>
      <c r="CC872" s="23"/>
      <c r="CD872" s="23"/>
      <c r="CE872" s="23"/>
      <c r="CF872" s="23"/>
      <c r="CG872" s="23"/>
      <c r="CH872" s="23"/>
      <c r="CI872" s="23"/>
      <c r="CJ872" s="23"/>
      <c r="CK872" s="23"/>
      <c r="CL872" s="23"/>
      <c r="CM872" s="23"/>
      <c r="CN872" s="23"/>
      <c r="CO872" s="23"/>
      <c r="CP872" s="23"/>
      <c r="CQ872" s="23"/>
      <c r="CR872" s="23"/>
      <c r="CS872" s="23"/>
      <c r="CT872" s="23"/>
      <c r="CU872" s="23"/>
      <c r="CV872" s="23"/>
      <c r="CW872" s="23"/>
      <c r="CX872" s="23"/>
      <c r="CY872" s="23"/>
      <c r="CZ872" s="23"/>
      <c r="DA872" s="23"/>
      <c r="DB872" s="23"/>
      <c r="DC872" s="23"/>
      <c r="DD872" s="23"/>
      <c r="DE872" s="23"/>
      <c r="DF872" s="23"/>
      <c r="DG872" s="23"/>
      <c r="DH872" s="23"/>
      <c r="DI872" s="23"/>
      <c r="DJ872" s="23"/>
      <c r="DK872" s="23"/>
      <c r="DL872" s="23"/>
      <c r="DM872" s="23"/>
      <c r="DN872" s="23"/>
      <c r="DO872" s="23"/>
      <c r="DP872" s="23"/>
      <c r="DQ872" s="23"/>
      <c r="DR872" s="23"/>
      <c r="DS872" s="23"/>
      <c r="DT872" s="23"/>
      <c r="DU872" s="23"/>
      <c r="DV872" s="23"/>
      <c r="DW872" s="23"/>
      <c r="DX872" s="23"/>
      <c r="DY872" s="23"/>
      <c r="DZ872" s="23"/>
      <c r="EA872" s="23"/>
      <c r="EB872" s="23"/>
      <c r="EC872" s="23"/>
      <c r="ED872" s="23"/>
      <c r="EE872" s="23"/>
      <c r="EF872" s="23"/>
      <c r="EG872" s="23"/>
      <c r="EH872" s="23"/>
      <c r="EI872" s="23"/>
      <c r="EJ872" s="23"/>
      <c r="EK872" s="23"/>
      <c r="EL872" s="23"/>
      <c r="EM872" s="23"/>
      <c r="EN872" s="23"/>
      <c r="EO872" s="23"/>
      <c r="EP872" s="23"/>
      <c r="EQ872" s="23"/>
      <c r="ER872" s="23"/>
      <c r="ES872" s="23"/>
      <c r="ET872" s="23"/>
      <c r="EU872" s="23"/>
      <c r="EV872" s="23"/>
      <c r="EW872" s="23"/>
      <c r="EX872" s="23"/>
      <c r="EY872" s="23"/>
      <c r="EZ872" s="23"/>
      <c r="FA872" s="23"/>
      <c r="FB872" s="23"/>
      <c r="FC872" s="23"/>
      <c r="FD872" s="23"/>
      <c r="FE872" s="23"/>
      <c r="FF872" s="23"/>
      <c r="FG872" s="23"/>
      <c r="FH872" s="23"/>
      <c r="FI872" s="23"/>
      <c r="FJ872" s="23"/>
      <c r="FK872" s="23"/>
      <c r="FL872" s="23"/>
      <c r="FM872" s="23"/>
      <c r="FN872" s="23"/>
      <c r="FO872" s="23"/>
      <c r="FP872" s="23"/>
      <c r="FQ872" s="23"/>
      <c r="FR872" s="23"/>
      <c r="FS872" s="23"/>
      <c r="FT872" s="23"/>
      <c r="FU872" s="23"/>
      <c r="FV872" s="23"/>
      <c r="FW872" s="23"/>
      <c r="FX872" s="23"/>
      <c r="FY872" s="23"/>
      <c r="FZ872" s="23"/>
      <c r="GA872" s="23"/>
      <c r="GB872" s="23"/>
      <c r="GC872" s="23"/>
      <c r="GD872" s="23"/>
      <c r="GE872" s="23"/>
      <c r="GF872" s="23"/>
      <c r="GG872" s="23"/>
      <c r="GH872" s="23"/>
      <c r="GI872" s="23"/>
      <c r="GJ872" s="23"/>
      <c r="GK872" s="23"/>
      <c r="GL872" s="23"/>
    </row>
    <row r="873" spans="1:194" ht="13">
      <c r="A873" s="23"/>
      <c r="B873" s="23"/>
      <c r="C873" s="23"/>
      <c r="D873" s="23"/>
      <c r="E873" s="23"/>
      <c r="F873" s="23"/>
      <c r="G873" s="23"/>
      <c r="H873" s="401"/>
      <c r="I873" s="401"/>
      <c r="J873" s="401"/>
      <c r="K873" s="401"/>
      <c r="L873" s="401"/>
      <c r="M873" s="438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  <c r="AL873" s="23"/>
      <c r="AM873" s="23"/>
      <c r="AN873" s="23"/>
      <c r="AO873" s="23"/>
      <c r="AP873" s="23"/>
      <c r="AQ873" s="23"/>
      <c r="AR873" s="23"/>
      <c r="AS873" s="23"/>
      <c r="AT873" s="23"/>
      <c r="AU873" s="23"/>
      <c r="AV873" s="23"/>
      <c r="AW873" s="23"/>
      <c r="AX873" s="23"/>
      <c r="AY873" s="23"/>
      <c r="AZ873" s="23"/>
      <c r="BA873" s="23"/>
      <c r="BB873" s="23"/>
      <c r="BC873" s="23"/>
      <c r="BD873" s="23"/>
      <c r="BE873" s="23"/>
      <c r="BF873" s="23"/>
      <c r="BG873" s="23"/>
      <c r="BH873" s="23"/>
      <c r="BI873" s="23"/>
      <c r="BJ873" s="23"/>
      <c r="BK873" s="23"/>
      <c r="BL873" s="23"/>
      <c r="BM873" s="23"/>
      <c r="BN873" s="23"/>
      <c r="BO873" s="23"/>
      <c r="BP873" s="23"/>
      <c r="BQ873" s="23"/>
      <c r="BR873" s="23"/>
      <c r="BS873" s="23"/>
      <c r="BT873" s="23"/>
      <c r="BU873" s="23"/>
      <c r="BV873" s="23"/>
      <c r="BW873" s="23"/>
      <c r="BX873" s="23"/>
      <c r="BY873" s="23"/>
      <c r="BZ873" s="23"/>
      <c r="CA873" s="23"/>
      <c r="CB873" s="23"/>
      <c r="CC873" s="23"/>
      <c r="CD873" s="23"/>
      <c r="CE873" s="23"/>
      <c r="CF873" s="23"/>
      <c r="CG873" s="23"/>
      <c r="CH873" s="23"/>
      <c r="CI873" s="23"/>
      <c r="CJ873" s="23"/>
      <c r="CK873" s="23"/>
      <c r="CL873" s="23"/>
      <c r="CM873" s="23"/>
      <c r="CN873" s="23"/>
      <c r="CO873" s="23"/>
      <c r="CP873" s="23"/>
      <c r="CQ873" s="23"/>
      <c r="CR873" s="23"/>
      <c r="CS873" s="23"/>
      <c r="CT873" s="23"/>
      <c r="CU873" s="23"/>
      <c r="CV873" s="23"/>
      <c r="CW873" s="23"/>
      <c r="CX873" s="23"/>
      <c r="CY873" s="23"/>
      <c r="CZ873" s="23"/>
      <c r="DA873" s="23"/>
      <c r="DB873" s="23"/>
      <c r="DC873" s="23"/>
      <c r="DD873" s="23"/>
      <c r="DE873" s="23"/>
      <c r="DF873" s="23"/>
      <c r="DG873" s="23"/>
      <c r="DH873" s="23"/>
      <c r="DI873" s="23"/>
      <c r="DJ873" s="23"/>
      <c r="DK873" s="23"/>
      <c r="DL873" s="23"/>
      <c r="DM873" s="23"/>
      <c r="DN873" s="23"/>
      <c r="DO873" s="23"/>
      <c r="DP873" s="23"/>
      <c r="DQ873" s="23"/>
      <c r="DR873" s="23"/>
      <c r="DS873" s="23"/>
      <c r="DT873" s="23"/>
      <c r="DU873" s="23"/>
      <c r="DV873" s="23"/>
      <c r="DW873" s="23"/>
      <c r="DX873" s="23"/>
      <c r="DY873" s="23"/>
      <c r="DZ873" s="23"/>
      <c r="EA873" s="23"/>
      <c r="EB873" s="23"/>
      <c r="EC873" s="23"/>
      <c r="ED873" s="23"/>
      <c r="EE873" s="23"/>
      <c r="EF873" s="23"/>
      <c r="EG873" s="23"/>
      <c r="EH873" s="23"/>
      <c r="EI873" s="23"/>
      <c r="EJ873" s="23"/>
      <c r="EK873" s="23"/>
      <c r="EL873" s="23"/>
      <c r="EM873" s="23"/>
      <c r="EN873" s="23"/>
      <c r="EO873" s="23"/>
      <c r="EP873" s="23"/>
      <c r="EQ873" s="23"/>
      <c r="ER873" s="23"/>
      <c r="ES873" s="23"/>
      <c r="ET873" s="23"/>
      <c r="EU873" s="23"/>
      <c r="EV873" s="23"/>
      <c r="EW873" s="23"/>
      <c r="EX873" s="23"/>
      <c r="EY873" s="23"/>
      <c r="EZ873" s="23"/>
      <c r="FA873" s="23"/>
      <c r="FB873" s="23"/>
      <c r="FC873" s="23"/>
      <c r="FD873" s="23"/>
      <c r="FE873" s="23"/>
      <c r="FF873" s="23"/>
      <c r="FG873" s="23"/>
      <c r="FH873" s="23"/>
      <c r="FI873" s="23"/>
      <c r="FJ873" s="23"/>
      <c r="FK873" s="23"/>
      <c r="FL873" s="23"/>
      <c r="FM873" s="23"/>
      <c r="FN873" s="23"/>
      <c r="FO873" s="23"/>
      <c r="FP873" s="23"/>
      <c r="FQ873" s="23"/>
      <c r="FR873" s="23"/>
      <c r="FS873" s="23"/>
      <c r="FT873" s="23"/>
      <c r="FU873" s="23"/>
      <c r="FV873" s="23"/>
      <c r="FW873" s="23"/>
      <c r="FX873" s="23"/>
      <c r="FY873" s="23"/>
      <c r="FZ873" s="23"/>
      <c r="GA873" s="23"/>
      <c r="GB873" s="23"/>
      <c r="GC873" s="23"/>
      <c r="GD873" s="23"/>
      <c r="GE873" s="23"/>
      <c r="GF873" s="23"/>
      <c r="GG873" s="23"/>
      <c r="GH873" s="23"/>
      <c r="GI873" s="23"/>
      <c r="GJ873" s="23"/>
      <c r="GK873" s="23"/>
      <c r="GL873" s="23"/>
    </row>
    <row r="874" spans="1:194" ht="13">
      <c r="A874" s="23"/>
      <c r="B874" s="23"/>
      <c r="C874" s="23"/>
      <c r="D874" s="23"/>
      <c r="E874" s="23"/>
      <c r="F874" s="23"/>
      <c r="G874" s="23"/>
      <c r="H874" s="401"/>
      <c r="I874" s="401"/>
      <c r="J874" s="401"/>
      <c r="K874" s="401"/>
      <c r="L874" s="401"/>
      <c r="M874" s="438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  <c r="AL874" s="23"/>
      <c r="AM874" s="23"/>
      <c r="AN874" s="23"/>
      <c r="AO874" s="23"/>
      <c r="AP874" s="23"/>
      <c r="AQ874" s="23"/>
      <c r="AR874" s="23"/>
      <c r="AS874" s="23"/>
      <c r="AT874" s="23"/>
      <c r="AU874" s="23"/>
      <c r="AV874" s="23"/>
      <c r="AW874" s="23"/>
      <c r="AX874" s="23"/>
      <c r="AY874" s="23"/>
      <c r="AZ874" s="23"/>
      <c r="BA874" s="23"/>
      <c r="BB874" s="23"/>
      <c r="BC874" s="23"/>
      <c r="BD874" s="23"/>
      <c r="BE874" s="23"/>
      <c r="BF874" s="23"/>
      <c r="BG874" s="23"/>
      <c r="BH874" s="23"/>
      <c r="BI874" s="23"/>
      <c r="BJ874" s="23"/>
      <c r="BK874" s="23"/>
      <c r="BL874" s="23"/>
      <c r="BM874" s="23"/>
      <c r="BN874" s="23"/>
      <c r="BO874" s="23"/>
      <c r="BP874" s="23"/>
      <c r="BQ874" s="23"/>
      <c r="BR874" s="23"/>
      <c r="BS874" s="23"/>
      <c r="BT874" s="23"/>
      <c r="BU874" s="23"/>
      <c r="BV874" s="23"/>
      <c r="BW874" s="23"/>
      <c r="BX874" s="23"/>
      <c r="BY874" s="23"/>
      <c r="BZ874" s="23"/>
      <c r="CA874" s="23"/>
      <c r="CB874" s="23"/>
      <c r="CC874" s="23"/>
      <c r="CD874" s="23"/>
      <c r="CE874" s="23"/>
      <c r="CF874" s="23"/>
      <c r="CG874" s="23"/>
      <c r="CH874" s="23"/>
      <c r="CI874" s="23"/>
      <c r="CJ874" s="23"/>
      <c r="CK874" s="23"/>
      <c r="CL874" s="23"/>
      <c r="CM874" s="23"/>
      <c r="CN874" s="23"/>
      <c r="CO874" s="23"/>
      <c r="CP874" s="23"/>
      <c r="CQ874" s="23"/>
      <c r="CR874" s="23"/>
      <c r="CS874" s="23"/>
      <c r="CT874" s="23"/>
      <c r="CU874" s="23"/>
      <c r="CV874" s="23"/>
      <c r="CW874" s="23"/>
      <c r="CX874" s="23"/>
      <c r="CY874" s="23"/>
      <c r="CZ874" s="23"/>
      <c r="DA874" s="23"/>
      <c r="DB874" s="23"/>
      <c r="DC874" s="23"/>
      <c r="DD874" s="23"/>
      <c r="DE874" s="23"/>
      <c r="DF874" s="23"/>
      <c r="DG874" s="23"/>
      <c r="DH874" s="23"/>
      <c r="DI874" s="23"/>
      <c r="DJ874" s="23"/>
      <c r="DK874" s="23"/>
      <c r="DL874" s="23"/>
      <c r="DM874" s="23"/>
      <c r="DN874" s="23"/>
      <c r="DO874" s="23"/>
      <c r="DP874" s="23"/>
      <c r="DQ874" s="23"/>
      <c r="DR874" s="23"/>
      <c r="DS874" s="23"/>
      <c r="DT874" s="23"/>
      <c r="DU874" s="23"/>
      <c r="DV874" s="23"/>
      <c r="DW874" s="23"/>
      <c r="DX874" s="23"/>
      <c r="DY874" s="23"/>
      <c r="DZ874" s="23"/>
      <c r="EA874" s="23"/>
      <c r="EB874" s="23"/>
      <c r="EC874" s="23"/>
      <c r="ED874" s="23"/>
      <c r="EE874" s="23"/>
      <c r="EF874" s="23"/>
      <c r="EG874" s="23"/>
      <c r="EH874" s="23"/>
      <c r="EI874" s="23"/>
      <c r="EJ874" s="23"/>
      <c r="EK874" s="23"/>
      <c r="EL874" s="23"/>
      <c r="EM874" s="23"/>
      <c r="EN874" s="23"/>
      <c r="EO874" s="23"/>
      <c r="EP874" s="23"/>
      <c r="EQ874" s="23"/>
      <c r="ER874" s="23"/>
      <c r="ES874" s="23"/>
      <c r="ET874" s="23"/>
      <c r="EU874" s="23"/>
      <c r="EV874" s="23"/>
      <c r="EW874" s="23"/>
      <c r="EX874" s="23"/>
      <c r="EY874" s="23"/>
      <c r="EZ874" s="23"/>
      <c r="FA874" s="23"/>
      <c r="FB874" s="23"/>
      <c r="FC874" s="23"/>
      <c r="FD874" s="23"/>
      <c r="FE874" s="23"/>
      <c r="FF874" s="23"/>
      <c r="FG874" s="23"/>
      <c r="FH874" s="23"/>
      <c r="FI874" s="23"/>
      <c r="FJ874" s="23"/>
      <c r="FK874" s="23"/>
      <c r="FL874" s="23"/>
      <c r="FM874" s="23"/>
      <c r="FN874" s="23"/>
      <c r="FO874" s="23"/>
      <c r="FP874" s="23"/>
      <c r="FQ874" s="23"/>
      <c r="FR874" s="23"/>
      <c r="FS874" s="23"/>
      <c r="FT874" s="23"/>
      <c r="FU874" s="23"/>
      <c r="FV874" s="23"/>
      <c r="FW874" s="23"/>
      <c r="FX874" s="23"/>
      <c r="FY874" s="23"/>
      <c r="FZ874" s="23"/>
      <c r="GA874" s="23"/>
      <c r="GB874" s="23"/>
      <c r="GC874" s="23"/>
      <c r="GD874" s="23"/>
      <c r="GE874" s="23"/>
      <c r="GF874" s="23"/>
      <c r="GG874" s="23"/>
      <c r="GH874" s="23"/>
      <c r="GI874" s="23"/>
      <c r="GJ874" s="23"/>
      <c r="GK874" s="23"/>
      <c r="GL874" s="23"/>
    </row>
    <row r="875" spans="1:194" ht="13">
      <c r="A875" s="23"/>
      <c r="B875" s="23"/>
      <c r="C875" s="23"/>
      <c r="D875" s="23"/>
      <c r="E875" s="23"/>
      <c r="F875" s="23"/>
      <c r="G875" s="23"/>
      <c r="H875" s="401"/>
      <c r="I875" s="401"/>
      <c r="J875" s="401"/>
      <c r="K875" s="401"/>
      <c r="L875" s="401"/>
      <c r="M875" s="438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  <c r="AL875" s="23"/>
      <c r="AM875" s="23"/>
      <c r="AN875" s="23"/>
      <c r="AO875" s="23"/>
      <c r="AP875" s="23"/>
      <c r="AQ875" s="23"/>
      <c r="AR875" s="23"/>
      <c r="AS875" s="23"/>
      <c r="AT875" s="23"/>
      <c r="AU875" s="23"/>
      <c r="AV875" s="23"/>
      <c r="AW875" s="23"/>
      <c r="AX875" s="23"/>
      <c r="AY875" s="23"/>
      <c r="AZ875" s="23"/>
      <c r="BA875" s="23"/>
      <c r="BB875" s="23"/>
      <c r="BC875" s="23"/>
      <c r="BD875" s="23"/>
      <c r="BE875" s="23"/>
      <c r="BF875" s="23"/>
      <c r="BG875" s="23"/>
      <c r="BH875" s="23"/>
      <c r="BI875" s="23"/>
      <c r="BJ875" s="23"/>
      <c r="BK875" s="23"/>
      <c r="BL875" s="23"/>
      <c r="BM875" s="23"/>
      <c r="BN875" s="23"/>
      <c r="BO875" s="23"/>
      <c r="BP875" s="23"/>
      <c r="BQ875" s="23"/>
      <c r="BR875" s="23"/>
      <c r="BS875" s="23"/>
      <c r="BT875" s="23"/>
      <c r="BU875" s="23"/>
      <c r="BV875" s="23"/>
      <c r="BW875" s="23"/>
      <c r="BX875" s="23"/>
      <c r="BY875" s="23"/>
      <c r="BZ875" s="23"/>
      <c r="CA875" s="23"/>
      <c r="CB875" s="23"/>
      <c r="CC875" s="23"/>
      <c r="CD875" s="23"/>
      <c r="CE875" s="23"/>
      <c r="CF875" s="23"/>
      <c r="CG875" s="23"/>
      <c r="CH875" s="23"/>
      <c r="CI875" s="23"/>
      <c r="CJ875" s="23"/>
      <c r="CK875" s="23"/>
      <c r="CL875" s="23"/>
      <c r="CM875" s="23"/>
      <c r="CN875" s="23"/>
      <c r="CO875" s="23"/>
      <c r="CP875" s="23"/>
      <c r="CQ875" s="23"/>
      <c r="CR875" s="23"/>
      <c r="CS875" s="23"/>
      <c r="CT875" s="23"/>
      <c r="CU875" s="23"/>
      <c r="CV875" s="23"/>
      <c r="CW875" s="23"/>
      <c r="CX875" s="23"/>
      <c r="CY875" s="23"/>
      <c r="CZ875" s="23"/>
      <c r="DA875" s="23"/>
      <c r="DB875" s="23"/>
      <c r="DC875" s="23"/>
      <c r="DD875" s="23"/>
      <c r="DE875" s="23"/>
      <c r="DF875" s="23"/>
      <c r="DG875" s="23"/>
      <c r="DH875" s="23"/>
      <c r="DI875" s="23"/>
      <c r="DJ875" s="23"/>
      <c r="DK875" s="23"/>
      <c r="DL875" s="23"/>
      <c r="DM875" s="23"/>
      <c r="DN875" s="23"/>
      <c r="DO875" s="23"/>
      <c r="DP875" s="23"/>
      <c r="DQ875" s="23"/>
      <c r="DR875" s="23"/>
      <c r="DS875" s="23"/>
      <c r="DT875" s="23"/>
      <c r="DU875" s="23"/>
      <c r="DV875" s="23"/>
      <c r="DW875" s="23"/>
      <c r="DX875" s="23"/>
      <c r="DY875" s="23"/>
      <c r="DZ875" s="23"/>
      <c r="EA875" s="23"/>
      <c r="EB875" s="23"/>
      <c r="EC875" s="23"/>
      <c r="ED875" s="23"/>
      <c r="EE875" s="23"/>
      <c r="EF875" s="23"/>
      <c r="EG875" s="23"/>
      <c r="EH875" s="23"/>
      <c r="EI875" s="23"/>
      <c r="EJ875" s="23"/>
      <c r="EK875" s="23"/>
      <c r="EL875" s="23"/>
      <c r="EM875" s="23"/>
      <c r="EN875" s="23"/>
      <c r="EO875" s="23"/>
      <c r="EP875" s="23"/>
      <c r="EQ875" s="23"/>
      <c r="ER875" s="23"/>
      <c r="ES875" s="23"/>
      <c r="ET875" s="23"/>
      <c r="EU875" s="23"/>
      <c r="EV875" s="23"/>
      <c r="EW875" s="23"/>
      <c r="EX875" s="23"/>
      <c r="EY875" s="23"/>
      <c r="EZ875" s="23"/>
      <c r="FA875" s="23"/>
      <c r="FB875" s="23"/>
      <c r="FC875" s="23"/>
      <c r="FD875" s="23"/>
      <c r="FE875" s="23"/>
      <c r="FF875" s="23"/>
      <c r="FG875" s="23"/>
      <c r="FH875" s="23"/>
      <c r="FI875" s="23"/>
      <c r="FJ875" s="23"/>
      <c r="FK875" s="23"/>
      <c r="FL875" s="23"/>
      <c r="FM875" s="23"/>
      <c r="FN875" s="23"/>
      <c r="FO875" s="23"/>
      <c r="FP875" s="23"/>
      <c r="FQ875" s="23"/>
      <c r="FR875" s="23"/>
      <c r="FS875" s="23"/>
      <c r="FT875" s="23"/>
      <c r="FU875" s="23"/>
      <c r="FV875" s="23"/>
      <c r="FW875" s="23"/>
      <c r="FX875" s="23"/>
      <c r="FY875" s="23"/>
      <c r="FZ875" s="23"/>
      <c r="GA875" s="23"/>
      <c r="GB875" s="23"/>
      <c r="GC875" s="23"/>
      <c r="GD875" s="23"/>
      <c r="GE875" s="23"/>
      <c r="GF875" s="23"/>
      <c r="GG875" s="23"/>
      <c r="GH875" s="23"/>
      <c r="GI875" s="23"/>
      <c r="GJ875" s="23"/>
      <c r="GK875" s="23"/>
      <c r="GL875" s="23"/>
    </row>
    <row r="876" spans="1:194" ht="13">
      <c r="A876" s="23"/>
      <c r="B876" s="23"/>
      <c r="C876" s="23"/>
      <c r="D876" s="23"/>
      <c r="E876" s="23"/>
      <c r="F876" s="23"/>
      <c r="G876" s="23"/>
      <c r="H876" s="401"/>
      <c r="I876" s="401"/>
      <c r="J876" s="401"/>
      <c r="K876" s="401"/>
      <c r="L876" s="401"/>
      <c r="M876" s="438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  <c r="AL876" s="23"/>
      <c r="AM876" s="23"/>
      <c r="AN876" s="23"/>
      <c r="AO876" s="23"/>
      <c r="AP876" s="23"/>
      <c r="AQ876" s="23"/>
      <c r="AR876" s="23"/>
      <c r="AS876" s="23"/>
      <c r="AT876" s="23"/>
      <c r="AU876" s="23"/>
      <c r="AV876" s="23"/>
      <c r="AW876" s="23"/>
      <c r="AX876" s="23"/>
      <c r="AY876" s="23"/>
      <c r="AZ876" s="23"/>
      <c r="BA876" s="23"/>
      <c r="BB876" s="23"/>
      <c r="BC876" s="23"/>
      <c r="BD876" s="23"/>
      <c r="BE876" s="23"/>
      <c r="BF876" s="23"/>
      <c r="BG876" s="23"/>
      <c r="BH876" s="23"/>
      <c r="BI876" s="23"/>
      <c r="BJ876" s="23"/>
      <c r="BK876" s="23"/>
      <c r="BL876" s="23"/>
      <c r="BM876" s="23"/>
      <c r="BN876" s="23"/>
      <c r="BO876" s="23"/>
      <c r="BP876" s="23"/>
      <c r="BQ876" s="23"/>
      <c r="BR876" s="23"/>
      <c r="BS876" s="23"/>
      <c r="BT876" s="23"/>
      <c r="BU876" s="23"/>
      <c r="BV876" s="23"/>
      <c r="BW876" s="23"/>
      <c r="BX876" s="23"/>
      <c r="BY876" s="23"/>
      <c r="BZ876" s="23"/>
      <c r="CA876" s="23"/>
      <c r="CB876" s="23"/>
      <c r="CC876" s="23"/>
      <c r="CD876" s="23"/>
      <c r="CE876" s="23"/>
      <c r="CF876" s="23"/>
      <c r="CG876" s="23"/>
      <c r="CH876" s="23"/>
      <c r="CI876" s="23"/>
      <c r="CJ876" s="23"/>
      <c r="CK876" s="23"/>
      <c r="CL876" s="23"/>
      <c r="CM876" s="23"/>
      <c r="CN876" s="23"/>
      <c r="CO876" s="23"/>
      <c r="CP876" s="23"/>
      <c r="CQ876" s="23"/>
      <c r="CR876" s="23"/>
      <c r="CS876" s="23"/>
      <c r="CT876" s="23"/>
      <c r="CU876" s="23"/>
      <c r="CV876" s="23"/>
      <c r="CW876" s="23"/>
      <c r="CX876" s="23"/>
      <c r="CY876" s="23"/>
      <c r="CZ876" s="23"/>
      <c r="DA876" s="23"/>
      <c r="DB876" s="23"/>
      <c r="DC876" s="23"/>
      <c r="DD876" s="23"/>
      <c r="DE876" s="23"/>
      <c r="DF876" s="23"/>
      <c r="DG876" s="23"/>
      <c r="DH876" s="23"/>
      <c r="DI876" s="23"/>
      <c r="DJ876" s="23"/>
      <c r="DK876" s="23"/>
      <c r="DL876" s="23"/>
      <c r="DM876" s="23"/>
      <c r="DN876" s="23"/>
      <c r="DO876" s="23"/>
      <c r="DP876" s="23"/>
      <c r="DQ876" s="23"/>
      <c r="DR876" s="23"/>
      <c r="DS876" s="23"/>
      <c r="DT876" s="23"/>
      <c r="DU876" s="23"/>
      <c r="DV876" s="23"/>
      <c r="DW876" s="23"/>
      <c r="DX876" s="23"/>
      <c r="DY876" s="23"/>
      <c r="DZ876" s="23"/>
      <c r="EA876" s="23"/>
      <c r="EB876" s="23"/>
      <c r="EC876" s="23"/>
      <c r="ED876" s="23"/>
      <c r="EE876" s="23"/>
      <c r="EF876" s="23"/>
      <c r="EG876" s="23"/>
      <c r="EH876" s="23"/>
      <c r="EI876" s="23"/>
      <c r="EJ876" s="23"/>
      <c r="EK876" s="23"/>
      <c r="EL876" s="23"/>
      <c r="EM876" s="23"/>
      <c r="EN876" s="23"/>
      <c r="EO876" s="23"/>
      <c r="EP876" s="23"/>
      <c r="EQ876" s="23"/>
      <c r="ER876" s="23"/>
      <c r="ES876" s="23"/>
      <c r="ET876" s="23"/>
      <c r="EU876" s="23"/>
      <c r="EV876" s="23"/>
      <c r="EW876" s="23"/>
      <c r="EX876" s="23"/>
      <c r="EY876" s="23"/>
      <c r="EZ876" s="23"/>
      <c r="FA876" s="23"/>
      <c r="FB876" s="23"/>
      <c r="FC876" s="23"/>
      <c r="FD876" s="23"/>
      <c r="FE876" s="23"/>
      <c r="FF876" s="23"/>
      <c r="FG876" s="23"/>
      <c r="FH876" s="23"/>
      <c r="FI876" s="23"/>
      <c r="FJ876" s="23"/>
      <c r="FK876" s="23"/>
      <c r="FL876" s="23"/>
      <c r="FM876" s="23"/>
      <c r="FN876" s="23"/>
      <c r="FO876" s="23"/>
      <c r="FP876" s="23"/>
      <c r="FQ876" s="23"/>
      <c r="FR876" s="23"/>
      <c r="FS876" s="23"/>
      <c r="FT876" s="23"/>
      <c r="FU876" s="23"/>
      <c r="FV876" s="23"/>
      <c r="FW876" s="23"/>
      <c r="FX876" s="23"/>
      <c r="FY876" s="23"/>
      <c r="FZ876" s="23"/>
      <c r="GA876" s="23"/>
      <c r="GB876" s="23"/>
      <c r="GC876" s="23"/>
      <c r="GD876" s="23"/>
      <c r="GE876" s="23"/>
      <c r="GF876" s="23"/>
      <c r="GG876" s="23"/>
      <c r="GH876" s="23"/>
      <c r="GI876" s="23"/>
      <c r="GJ876" s="23"/>
      <c r="GK876" s="23"/>
      <c r="GL876" s="23"/>
    </row>
    <row r="877" spans="1:194" ht="13">
      <c r="A877" s="23"/>
      <c r="B877" s="23"/>
      <c r="C877" s="23"/>
      <c r="D877" s="23"/>
      <c r="E877" s="23"/>
      <c r="F877" s="23"/>
      <c r="G877" s="23"/>
      <c r="H877" s="401"/>
      <c r="I877" s="401"/>
      <c r="J877" s="401"/>
      <c r="K877" s="401"/>
      <c r="L877" s="401"/>
      <c r="M877" s="438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  <c r="AL877" s="23"/>
      <c r="AM877" s="23"/>
      <c r="AN877" s="23"/>
      <c r="AO877" s="23"/>
      <c r="AP877" s="23"/>
      <c r="AQ877" s="23"/>
      <c r="AR877" s="23"/>
      <c r="AS877" s="23"/>
      <c r="AT877" s="23"/>
      <c r="AU877" s="23"/>
      <c r="AV877" s="23"/>
      <c r="AW877" s="23"/>
      <c r="AX877" s="23"/>
      <c r="AY877" s="23"/>
      <c r="AZ877" s="23"/>
      <c r="BA877" s="23"/>
      <c r="BB877" s="23"/>
      <c r="BC877" s="23"/>
      <c r="BD877" s="23"/>
      <c r="BE877" s="23"/>
      <c r="BF877" s="23"/>
      <c r="BG877" s="23"/>
      <c r="BH877" s="23"/>
      <c r="BI877" s="23"/>
      <c r="BJ877" s="23"/>
      <c r="BK877" s="23"/>
      <c r="BL877" s="23"/>
      <c r="BM877" s="23"/>
      <c r="BN877" s="23"/>
      <c r="BO877" s="23"/>
      <c r="BP877" s="23"/>
      <c r="BQ877" s="23"/>
      <c r="BR877" s="23"/>
      <c r="BS877" s="23"/>
      <c r="BT877" s="23"/>
      <c r="BU877" s="23"/>
      <c r="BV877" s="23"/>
      <c r="BW877" s="23"/>
      <c r="BX877" s="23"/>
      <c r="BY877" s="23"/>
      <c r="BZ877" s="23"/>
      <c r="CA877" s="23"/>
      <c r="CB877" s="23"/>
      <c r="CC877" s="23"/>
      <c r="CD877" s="23"/>
      <c r="CE877" s="23"/>
      <c r="CF877" s="23"/>
      <c r="CG877" s="23"/>
      <c r="CH877" s="23"/>
      <c r="CI877" s="23"/>
      <c r="CJ877" s="23"/>
      <c r="CK877" s="23"/>
      <c r="CL877" s="23"/>
      <c r="CM877" s="23"/>
      <c r="CN877" s="23"/>
      <c r="CO877" s="23"/>
      <c r="CP877" s="23"/>
      <c r="CQ877" s="23"/>
      <c r="CR877" s="23"/>
      <c r="CS877" s="23"/>
      <c r="CT877" s="23"/>
      <c r="CU877" s="23"/>
      <c r="CV877" s="23"/>
      <c r="CW877" s="23"/>
      <c r="CX877" s="23"/>
      <c r="CY877" s="23"/>
      <c r="CZ877" s="23"/>
      <c r="DA877" s="23"/>
      <c r="DB877" s="23"/>
      <c r="DC877" s="23"/>
      <c r="DD877" s="23"/>
      <c r="DE877" s="23"/>
      <c r="DF877" s="23"/>
      <c r="DG877" s="23"/>
      <c r="DH877" s="23"/>
      <c r="DI877" s="23"/>
      <c r="DJ877" s="23"/>
      <c r="DK877" s="23"/>
      <c r="DL877" s="23"/>
      <c r="DM877" s="23"/>
      <c r="DN877" s="23"/>
      <c r="DO877" s="23"/>
      <c r="DP877" s="23"/>
      <c r="DQ877" s="23"/>
      <c r="DR877" s="23"/>
      <c r="DS877" s="23"/>
      <c r="DT877" s="23"/>
      <c r="DU877" s="23"/>
      <c r="DV877" s="23"/>
      <c r="DW877" s="23"/>
      <c r="DX877" s="23"/>
      <c r="DY877" s="23"/>
      <c r="DZ877" s="23"/>
      <c r="EA877" s="23"/>
      <c r="EB877" s="23"/>
      <c r="EC877" s="23"/>
      <c r="ED877" s="23"/>
      <c r="EE877" s="23"/>
      <c r="EF877" s="23"/>
      <c r="EG877" s="23"/>
      <c r="EH877" s="23"/>
      <c r="EI877" s="23"/>
      <c r="EJ877" s="23"/>
      <c r="EK877" s="23"/>
      <c r="EL877" s="23"/>
      <c r="EM877" s="23"/>
      <c r="EN877" s="23"/>
      <c r="EO877" s="23"/>
      <c r="EP877" s="23"/>
      <c r="EQ877" s="23"/>
      <c r="ER877" s="23"/>
      <c r="ES877" s="23"/>
      <c r="ET877" s="23"/>
      <c r="EU877" s="23"/>
      <c r="EV877" s="23"/>
      <c r="EW877" s="23"/>
      <c r="EX877" s="23"/>
      <c r="EY877" s="23"/>
      <c r="EZ877" s="23"/>
      <c r="FA877" s="23"/>
      <c r="FB877" s="23"/>
      <c r="FC877" s="23"/>
      <c r="FD877" s="23"/>
      <c r="FE877" s="23"/>
      <c r="FF877" s="23"/>
      <c r="FG877" s="23"/>
      <c r="FH877" s="23"/>
      <c r="FI877" s="23"/>
      <c r="FJ877" s="23"/>
      <c r="FK877" s="23"/>
      <c r="FL877" s="23"/>
      <c r="FM877" s="23"/>
      <c r="FN877" s="23"/>
      <c r="FO877" s="23"/>
      <c r="FP877" s="23"/>
      <c r="FQ877" s="23"/>
      <c r="FR877" s="23"/>
      <c r="FS877" s="23"/>
      <c r="FT877" s="23"/>
      <c r="FU877" s="23"/>
      <c r="FV877" s="23"/>
      <c r="FW877" s="23"/>
      <c r="FX877" s="23"/>
      <c r="FY877" s="23"/>
      <c r="FZ877" s="23"/>
      <c r="GA877" s="23"/>
      <c r="GB877" s="23"/>
      <c r="GC877" s="23"/>
      <c r="GD877" s="23"/>
      <c r="GE877" s="23"/>
      <c r="GF877" s="23"/>
      <c r="GG877" s="23"/>
      <c r="GH877" s="23"/>
      <c r="GI877" s="23"/>
      <c r="GJ877" s="23"/>
      <c r="GK877" s="23"/>
      <c r="GL877" s="23"/>
    </row>
    <row r="878" spans="1:194" ht="13">
      <c r="A878" s="23"/>
      <c r="B878" s="23"/>
      <c r="C878" s="23"/>
      <c r="D878" s="23"/>
      <c r="E878" s="23"/>
      <c r="F878" s="23"/>
      <c r="G878" s="23"/>
      <c r="H878" s="401"/>
      <c r="I878" s="401"/>
      <c r="J878" s="401"/>
      <c r="K878" s="401"/>
      <c r="L878" s="401"/>
      <c r="M878" s="438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  <c r="AL878" s="23"/>
      <c r="AM878" s="23"/>
      <c r="AN878" s="23"/>
      <c r="AO878" s="23"/>
      <c r="AP878" s="23"/>
      <c r="AQ878" s="23"/>
      <c r="AR878" s="23"/>
      <c r="AS878" s="23"/>
      <c r="AT878" s="23"/>
      <c r="AU878" s="23"/>
      <c r="AV878" s="23"/>
      <c r="AW878" s="23"/>
      <c r="AX878" s="23"/>
      <c r="AY878" s="23"/>
      <c r="AZ878" s="23"/>
      <c r="BA878" s="23"/>
      <c r="BB878" s="23"/>
      <c r="BC878" s="23"/>
      <c r="BD878" s="23"/>
      <c r="BE878" s="23"/>
      <c r="BF878" s="23"/>
      <c r="BG878" s="23"/>
      <c r="BH878" s="23"/>
      <c r="BI878" s="23"/>
      <c r="BJ878" s="23"/>
      <c r="BK878" s="23"/>
      <c r="BL878" s="23"/>
      <c r="BM878" s="23"/>
      <c r="BN878" s="23"/>
      <c r="BO878" s="23"/>
      <c r="BP878" s="23"/>
      <c r="BQ878" s="23"/>
      <c r="BR878" s="23"/>
      <c r="BS878" s="23"/>
      <c r="BT878" s="23"/>
      <c r="BU878" s="23"/>
      <c r="BV878" s="23"/>
      <c r="BW878" s="23"/>
      <c r="BX878" s="23"/>
      <c r="BY878" s="23"/>
      <c r="BZ878" s="23"/>
      <c r="CA878" s="23"/>
      <c r="CB878" s="23"/>
      <c r="CC878" s="23"/>
      <c r="CD878" s="23"/>
      <c r="CE878" s="23"/>
      <c r="CF878" s="23"/>
      <c r="CG878" s="23"/>
      <c r="CH878" s="23"/>
      <c r="CI878" s="23"/>
      <c r="CJ878" s="23"/>
      <c r="CK878" s="23"/>
      <c r="CL878" s="23"/>
      <c r="CM878" s="23"/>
      <c r="CN878" s="23"/>
      <c r="CO878" s="23"/>
      <c r="CP878" s="23"/>
      <c r="CQ878" s="23"/>
      <c r="CR878" s="23"/>
      <c r="CS878" s="23"/>
      <c r="CT878" s="23"/>
      <c r="CU878" s="23"/>
      <c r="CV878" s="23"/>
      <c r="CW878" s="23"/>
      <c r="CX878" s="23"/>
      <c r="CY878" s="23"/>
      <c r="CZ878" s="23"/>
      <c r="DA878" s="23"/>
      <c r="DB878" s="23"/>
      <c r="DC878" s="23"/>
      <c r="DD878" s="23"/>
      <c r="DE878" s="23"/>
      <c r="DF878" s="23"/>
      <c r="DG878" s="23"/>
      <c r="DH878" s="23"/>
      <c r="DI878" s="23"/>
      <c r="DJ878" s="23"/>
      <c r="DK878" s="23"/>
      <c r="DL878" s="23"/>
      <c r="DM878" s="23"/>
      <c r="DN878" s="23"/>
      <c r="DO878" s="23"/>
      <c r="DP878" s="23"/>
      <c r="DQ878" s="23"/>
      <c r="DR878" s="23"/>
      <c r="DS878" s="23"/>
      <c r="DT878" s="23"/>
      <c r="DU878" s="23"/>
      <c r="DV878" s="23"/>
      <c r="DW878" s="23"/>
      <c r="DX878" s="23"/>
      <c r="DY878" s="23"/>
      <c r="DZ878" s="23"/>
      <c r="EA878" s="23"/>
      <c r="EB878" s="23"/>
      <c r="EC878" s="23"/>
      <c r="ED878" s="23"/>
      <c r="EE878" s="23"/>
      <c r="EF878" s="23"/>
      <c r="EG878" s="23"/>
      <c r="EH878" s="23"/>
      <c r="EI878" s="23"/>
      <c r="EJ878" s="23"/>
      <c r="EK878" s="23"/>
      <c r="EL878" s="23"/>
      <c r="EM878" s="23"/>
      <c r="EN878" s="23"/>
      <c r="EO878" s="23"/>
      <c r="EP878" s="23"/>
      <c r="EQ878" s="23"/>
      <c r="ER878" s="23"/>
      <c r="ES878" s="23"/>
      <c r="ET878" s="23"/>
      <c r="EU878" s="23"/>
      <c r="EV878" s="23"/>
      <c r="EW878" s="23"/>
      <c r="EX878" s="23"/>
      <c r="EY878" s="23"/>
      <c r="EZ878" s="23"/>
      <c r="FA878" s="23"/>
      <c r="FB878" s="23"/>
      <c r="FC878" s="23"/>
      <c r="FD878" s="23"/>
      <c r="FE878" s="23"/>
      <c r="FF878" s="23"/>
      <c r="FG878" s="23"/>
      <c r="FH878" s="23"/>
      <c r="FI878" s="23"/>
      <c r="FJ878" s="23"/>
      <c r="FK878" s="23"/>
      <c r="FL878" s="23"/>
      <c r="FM878" s="23"/>
      <c r="FN878" s="23"/>
      <c r="FO878" s="23"/>
      <c r="FP878" s="23"/>
      <c r="FQ878" s="23"/>
      <c r="FR878" s="23"/>
      <c r="FS878" s="23"/>
      <c r="FT878" s="23"/>
      <c r="FU878" s="23"/>
      <c r="FV878" s="23"/>
      <c r="FW878" s="23"/>
      <c r="FX878" s="23"/>
      <c r="FY878" s="23"/>
      <c r="FZ878" s="23"/>
      <c r="GA878" s="23"/>
      <c r="GB878" s="23"/>
      <c r="GC878" s="23"/>
      <c r="GD878" s="23"/>
      <c r="GE878" s="23"/>
      <c r="GF878" s="23"/>
      <c r="GG878" s="23"/>
      <c r="GH878" s="23"/>
      <c r="GI878" s="23"/>
      <c r="GJ878" s="23"/>
      <c r="GK878" s="23"/>
      <c r="GL878" s="23"/>
    </row>
    <row r="879" spans="1:194" ht="13">
      <c r="A879" s="23"/>
      <c r="B879" s="23"/>
      <c r="C879" s="23"/>
      <c r="D879" s="23"/>
      <c r="E879" s="23"/>
      <c r="F879" s="23"/>
      <c r="G879" s="23"/>
      <c r="H879" s="401"/>
      <c r="I879" s="401"/>
      <c r="J879" s="401"/>
      <c r="K879" s="401"/>
      <c r="L879" s="401"/>
      <c r="M879" s="438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  <c r="AL879" s="23"/>
      <c r="AM879" s="23"/>
      <c r="AN879" s="23"/>
      <c r="AO879" s="23"/>
      <c r="AP879" s="23"/>
      <c r="AQ879" s="23"/>
      <c r="AR879" s="23"/>
      <c r="AS879" s="23"/>
      <c r="AT879" s="23"/>
      <c r="AU879" s="23"/>
      <c r="AV879" s="23"/>
      <c r="AW879" s="23"/>
      <c r="AX879" s="23"/>
      <c r="AY879" s="23"/>
      <c r="AZ879" s="23"/>
      <c r="BA879" s="23"/>
      <c r="BB879" s="23"/>
      <c r="BC879" s="23"/>
      <c r="BD879" s="23"/>
      <c r="BE879" s="23"/>
      <c r="BF879" s="23"/>
      <c r="BG879" s="23"/>
      <c r="BH879" s="23"/>
      <c r="BI879" s="23"/>
      <c r="BJ879" s="23"/>
      <c r="BK879" s="23"/>
      <c r="BL879" s="23"/>
      <c r="BM879" s="23"/>
      <c r="BN879" s="23"/>
      <c r="BO879" s="23"/>
      <c r="BP879" s="23"/>
      <c r="BQ879" s="23"/>
      <c r="BR879" s="23"/>
      <c r="BS879" s="23"/>
      <c r="BT879" s="23"/>
      <c r="BU879" s="23"/>
      <c r="BV879" s="23"/>
      <c r="BW879" s="23"/>
      <c r="BX879" s="23"/>
      <c r="BY879" s="23"/>
      <c r="BZ879" s="23"/>
      <c r="CA879" s="23"/>
      <c r="CB879" s="23"/>
      <c r="CC879" s="23"/>
      <c r="CD879" s="23"/>
      <c r="CE879" s="23"/>
      <c r="CF879" s="23"/>
      <c r="CG879" s="23"/>
      <c r="CH879" s="23"/>
      <c r="CI879" s="23"/>
      <c r="CJ879" s="23"/>
      <c r="CK879" s="23"/>
      <c r="CL879" s="23"/>
      <c r="CM879" s="23"/>
      <c r="CN879" s="23"/>
      <c r="CO879" s="23"/>
      <c r="CP879" s="23"/>
      <c r="CQ879" s="23"/>
      <c r="CR879" s="23"/>
      <c r="CS879" s="23"/>
      <c r="CT879" s="23"/>
      <c r="CU879" s="23"/>
      <c r="CV879" s="23"/>
      <c r="CW879" s="23"/>
      <c r="CX879" s="23"/>
      <c r="CY879" s="23"/>
      <c r="CZ879" s="23"/>
      <c r="DA879" s="23"/>
      <c r="DB879" s="23"/>
      <c r="DC879" s="23"/>
      <c r="DD879" s="23"/>
      <c r="DE879" s="23"/>
      <c r="DF879" s="23"/>
      <c r="DG879" s="23"/>
      <c r="DH879" s="23"/>
      <c r="DI879" s="23"/>
      <c r="DJ879" s="23"/>
      <c r="DK879" s="23"/>
      <c r="DL879" s="23"/>
      <c r="DM879" s="23"/>
      <c r="DN879" s="23"/>
      <c r="DO879" s="23"/>
      <c r="DP879" s="23"/>
      <c r="DQ879" s="23"/>
      <c r="DR879" s="23"/>
      <c r="DS879" s="23"/>
      <c r="DT879" s="23"/>
      <c r="DU879" s="23"/>
      <c r="DV879" s="23"/>
      <c r="DW879" s="23"/>
      <c r="DX879" s="23"/>
      <c r="DY879" s="23"/>
      <c r="DZ879" s="23"/>
      <c r="EA879" s="23"/>
      <c r="EB879" s="23"/>
      <c r="EC879" s="23"/>
      <c r="ED879" s="23"/>
      <c r="EE879" s="23"/>
      <c r="EF879" s="23"/>
      <c r="EG879" s="23"/>
      <c r="EH879" s="23"/>
      <c r="EI879" s="23"/>
      <c r="EJ879" s="23"/>
      <c r="EK879" s="23"/>
      <c r="EL879" s="23"/>
      <c r="EM879" s="23"/>
      <c r="EN879" s="23"/>
      <c r="EO879" s="23"/>
      <c r="EP879" s="23"/>
      <c r="EQ879" s="23"/>
      <c r="ER879" s="23"/>
      <c r="ES879" s="23"/>
      <c r="ET879" s="23"/>
      <c r="EU879" s="23"/>
      <c r="EV879" s="23"/>
      <c r="EW879" s="23"/>
      <c r="EX879" s="23"/>
      <c r="EY879" s="23"/>
      <c r="EZ879" s="23"/>
      <c r="FA879" s="23"/>
      <c r="FB879" s="23"/>
      <c r="FC879" s="23"/>
      <c r="FD879" s="23"/>
      <c r="FE879" s="23"/>
      <c r="FF879" s="23"/>
      <c r="FG879" s="23"/>
      <c r="FH879" s="23"/>
      <c r="FI879" s="23"/>
      <c r="FJ879" s="23"/>
      <c r="FK879" s="23"/>
      <c r="FL879" s="23"/>
      <c r="FM879" s="23"/>
      <c r="FN879" s="23"/>
      <c r="FO879" s="23"/>
      <c r="FP879" s="23"/>
      <c r="FQ879" s="23"/>
      <c r="FR879" s="23"/>
      <c r="FS879" s="23"/>
      <c r="FT879" s="23"/>
      <c r="FU879" s="23"/>
      <c r="FV879" s="23"/>
      <c r="FW879" s="23"/>
      <c r="FX879" s="23"/>
      <c r="FY879" s="23"/>
      <c r="FZ879" s="23"/>
      <c r="GA879" s="23"/>
      <c r="GB879" s="23"/>
      <c r="GC879" s="23"/>
      <c r="GD879" s="23"/>
      <c r="GE879" s="23"/>
      <c r="GF879" s="23"/>
      <c r="GG879" s="23"/>
      <c r="GH879" s="23"/>
      <c r="GI879" s="23"/>
      <c r="GJ879" s="23"/>
      <c r="GK879" s="23"/>
      <c r="GL879" s="23"/>
    </row>
    <row r="880" spans="1:194" ht="13">
      <c r="A880" s="23"/>
      <c r="B880" s="23"/>
      <c r="C880" s="23"/>
      <c r="D880" s="23"/>
      <c r="E880" s="23"/>
      <c r="F880" s="23"/>
      <c r="G880" s="23"/>
      <c r="H880" s="401"/>
      <c r="I880" s="401"/>
      <c r="J880" s="401"/>
      <c r="K880" s="401"/>
      <c r="L880" s="401"/>
      <c r="M880" s="438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  <c r="AL880" s="23"/>
      <c r="AM880" s="23"/>
      <c r="AN880" s="23"/>
      <c r="AO880" s="23"/>
      <c r="AP880" s="23"/>
      <c r="AQ880" s="23"/>
      <c r="AR880" s="23"/>
      <c r="AS880" s="23"/>
      <c r="AT880" s="23"/>
      <c r="AU880" s="23"/>
      <c r="AV880" s="23"/>
      <c r="AW880" s="23"/>
      <c r="AX880" s="23"/>
      <c r="AY880" s="23"/>
      <c r="AZ880" s="23"/>
      <c r="BA880" s="23"/>
      <c r="BB880" s="23"/>
      <c r="BC880" s="23"/>
      <c r="BD880" s="23"/>
      <c r="BE880" s="23"/>
      <c r="BF880" s="23"/>
      <c r="BG880" s="23"/>
      <c r="BH880" s="23"/>
      <c r="BI880" s="23"/>
      <c r="BJ880" s="23"/>
      <c r="BK880" s="23"/>
      <c r="BL880" s="23"/>
      <c r="BM880" s="23"/>
      <c r="BN880" s="23"/>
      <c r="BO880" s="23"/>
      <c r="BP880" s="23"/>
      <c r="BQ880" s="23"/>
      <c r="BR880" s="23"/>
      <c r="BS880" s="23"/>
      <c r="BT880" s="23"/>
      <c r="BU880" s="23"/>
      <c r="BV880" s="23"/>
      <c r="BW880" s="23"/>
      <c r="BX880" s="23"/>
      <c r="BY880" s="23"/>
      <c r="BZ880" s="23"/>
      <c r="CA880" s="23"/>
      <c r="CB880" s="23"/>
      <c r="CC880" s="23"/>
      <c r="CD880" s="23"/>
      <c r="CE880" s="23"/>
      <c r="CF880" s="23"/>
      <c r="CG880" s="23"/>
      <c r="CH880" s="23"/>
      <c r="CI880" s="23"/>
      <c r="CJ880" s="23"/>
      <c r="CK880" s="23"/>
      <c r="CL880" s="23"/>
      <c r="CM880" s="23"/>
      <c r="CN880" s="23"/>
      <c r="CO880" s="23"/>
      <c r="CP880" s="23"/>
      <c r="CQ880" s="23"/>
      <c r="CR880" s="23"/>
      <c r="CS880" s="23"/>
      <c r="CT880" s="23"/>
      <c r="CU880" s="23"/>
      <c r="CV880" s="23"/>
      <c r="CW880" s="23"/>
      <c r="CX880" s="23"/>
      <c r="CY880" s="23"/>
      <c r="CZ880" s="23"/>
      <c r="DA880" s="23"/>
      <c r="DB880" s="23"/>
      <c r="DC880" s="23"/>
      <c r="DD880" s="23"/>
      <c r="DE880" s="23"/>
      <c r="DF880" s="23"/>
      <c r="DG880" s="23"/>
      <c r="DH880" s="23"/>
      <c r="DI880" s="23"/>
      <c r="DJ880" s="23"/>
      <c r="DK880" s="23"/>
      <c r="DL880" s="23"/>
      <c r="DM880" s="23"/>
      <c r="DN880" s="23"/>
      <c r="DO880" s="23"/>
      <c r="DP880" s="23"/>
      <c r="DQ880" s="23"/>
      <c r="DR880" s="23"/>
      <c r="DS880" s="23"/>
      <c r="DT880" s="23"/>
      <c r="DU880" s="23"/>
      <c r="DV880" s="23"/>
      <c r="DW880" s="23"/>
      <c r="DX880" s="23"/>
      <c r="DY880" s="23"/>
      <c r="DZ880" s="23"/>
      <c r="EA880" s="23"/>
      <c r="EB880" s="23"/>
      <c r="EC880" s="23"/>
      <c r="ED880" s="23"/>
      <c r="EE880" s="23"/>
      <c r="EF880" s="23"/>
      <c r="EG880" s="23"/>
      <c r="EH880" s="23"/>
      <c r="EI880" s="23"/>
      <c r="EJ880" s="23"/>
      <c r="EK880" s="23"/>
      <c r="EL880" s="23"/>
      <c r="EM880" s="23"/>
      <c r="EN880" s="23"/>
      <c r="EO880" s="23"/>
      <c r="EP880" s="23"/>
      <c r="EQ880" s="23"/>
      <c r="ER880" s="23"/>
      <c r="ES880" s="23"/>
      <c r="ET880" s="23"/>
      <c r="EU880" s="23"/>
      <c r="EV880" s="23"/>
      <c r="EW880" s="23"/>
      <c r="EX880" s="23"/>
      <c r="EY880" s="23"/>
      <c r="EZ880" s="23"/>
      <c r="FA880" s="23"/>
      <c r="FB880" s="23"/>
      <c r="FC880" s="23"/>
      <c r="FD880" s="23"/>
      <c r="FE880" s="23"/>
      <c r="FF880" s="23"/>
      <c r="FG880" s="23"/>
      <c r="FH880" s="23"/>
      <c r="FI880" s="23"/>
      <c r="FJ880" s="23"/>
      <c r="FK880" s="23"/>
      <c r="FL880" s="23"/>
      <c r="FM880" s="23"/>
      <c r="FN880" s="23"/>
      <c r="FO880" s="23"/>
      <c r="FP880" s="23"/>
      <c r="FQ880" s="23"/>
      <c r="FR880" s="23"/>
      <c r="FS880" s="23"/>
      <c r="FT880" s="23"/>
      <c r="FU880" s="23"/>
      <c r="FV880" s="23"/>
      <c r="FW880" s="23"/>
      <c r="FX880" s="23"/>
      <c r="FY880" s="23"/>
      <c r="FZ880" s="23"/>
      <c r="GA880" s="23"/>
      <c r="GB880" s="23"/>
      <c r="GC880" s="23"/>
      <c r="GD880" s="23"/>
      <c r="GE880" s="23"/>
      <c r="GF880" s="23"/>
      <c r="GG880" s="23"/>
      <c r="GH880" s="23"/>
      <c r="GI880" s="23"/>
      <c r="GJ880" s="23"/>
      <c r="GK880" s="23"/>
      <c r="GL880" s="23"/>
    </row>
    <row r="881" spans="1:194" ht="13">
      <c r="A881" s="23"/>
      <c r="B881" s="23"/>
      <c r="C881" s="23"/>
      <c r="D881" s="23"/>
      <c r="E881" s="23"/>
      <c r="F881" s="23"/>
      <c r="G881" s="23"/>
      <c r="H881" s="401"/>
      <c r="I881" s="401"/>
      <c r="J881" s="401"/>
      <c r="K881" s="401"/>
      <c r="L881" s="401"/>
      <c r="M881" s="438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  <c r="AL881" s="23"/>
      <c r="AM881" s="23"/>
      <c r="AN881" s="23"/>
      <c r="AO881" s="23"/>
      <c r="AP881" s="23"/>
      <c r="AQ881" s="23"/>
      <c r="AR881" s="23"/>
      <c r="AS881" s="23"/>
      <c r="AT881" s="23"/>
      <c r="AU881" s="23"/>
      <c r="AV881" s="23"/>
      <c r="AW881" s="23"/>
      <c r="AX881" s="23"/>
      <c r="AY881" s="23"/>
      <c r="AZ881" s="23"/>
      <c r="BA881" s="23"/>
      <c r="BB881" s="23"/>
      <c r="BC881" s="23"/>
      <c r="BD881" s="23"/>
      <c r="BE881" s="23"/>
      <c r="BF881" s="23"/>
      <c r="BG881" s="23"/>
      <c r="BH881" s="23"/>
      <c r="BI881" s="23"/>
      <c r="BJ881" s="23"/>
      <c r="BK881" s="23"/>
      <c r="BL881" s="23"/>
      <c r="BM881" s="23"/>
      <c r="BN881" s="23"/>
      <c r="BO881" s="23"/>
      <c r="BP881" s="23"/>
      <c r="BQ881" s="23"/>
      <c r="BR881" s="23"/>
      <c r="BS881" s="23"/>
      <c r="BT881" s="23"/>
      <c r="BU881" s="23"/>
      <c r="BV881" s="23"/>
      <c r="BW881" s="23"/>
      <c r="BX881" s="23"/>
      <c r="BY881" s="23"/>
      <c r="BZ881" s="23"/>
      <c r="CA881" s="23"/>
      <c r="CB881" s="23"/>
      <c r="CC881" s="23"/>
      <c r="CD881" s="23"/>
      <c r="CE881" s="23"/>
      <c r="CF881" s="23"/>
      <c r="CG881" s="23"/>
      <c r="CH881" s="23"/>
      <c r="CI881" s="23"/>
      <c r="CJ881" s="23"/>
      <c r="CK881" s="23"/>
      <c r="CL881" s="23"/>
      <c r="CM881" s="23"/>
      <c r="CN881" s="23"/>
      <c r="CO881" s="23"/>
      <c r="CP881" s="23"/>
      <c r="CQ881" s="23"/>
      <c r="CR881" s="23"/>
      <c r="CS881" s="23"/>
      <c r="CT881" s="23"/>
      <c r="CU881" s="23"/>
      <c r="CV881" s="23"/>
      <c r="CW881" s="23"/>
      <c r="CX881" s="23"/>
      <c r="CY881" s="23"/>
      <c r="CZ881" s="23"/>
      <c r="DA881" s="23"/>
      <c r="DB881" s="23"/>
      <c r="DC881" s="23"/>
      <c r="DD881" s="23"/>
      <c r="DE881" s="23"/>
      <c r="DF881" s="23"/>
      <c r="DG881" s="23"/>
      <c r="DH881" s="23"/>
      <c r="DI881" s="23"/>
      <c r="DJ881" s="23"/>
      <c r="DK881" s="23"/>
      <c r="DL881" s="23"/>
      <c r="DM881" s="23"/>
      <c r="DN881" s="23"/>
      <c r="DO881" s="23"/>
      <c r="DP881" s="23"/>
      <c r="DQ881" s="23"/>
      <c r="DR881" s="23"/>
      <c r="DS881" s="23"/>
      <c r="DT881" s="23"/>
      <c r="DU881" s="23"/>
      <c r="DV881" s="23"/>
      <c r="DW881" s="23"/>
      <c r="DX881" s="23"/>
      <c r="DY881" s="23"/>
      <c r="DZ881" s="23"/>
      <c r="EA881" s="23"/>
      <c r="EB881" s="23"/>
      <c r="EC881" s="23"/>
      <c r="ED881" s="23"/>
      <c r="EE881" s="23"/>
      <c r="EF881" s="23"/>
      <c r="EG881" s="23"/>
      <c r="EH881" s="23"/>
      <c r="EI881" s="23"/>
      <c r="EJ881" s="23"/>
      <c r="EK881" s="23"/>
      <c r="EL881" s="23"/>
      <c r="EM881" s="23"/>
      <c r="EN881" s="23"/>
      <c r="EO881" s="23"/>
      <c r="EP881" s="23"/>
      <c r="EQ881" s="23"/>
      <c r="ER881" s="23"/>
      <c r="ES881" s="23"/>
      <c r="ET881" s="23"/>
      <c r="EU881" s="23"/>
      <c r="EV881" s="23"/>
      <c r="EW881" s="23"/>
      <c r="EX881" s="23"/>
      <c r="EY881" s="23"/>
      <c r="EZ881" s="23"/>
      <c r="FA881" s="23"/>
      <c r="FB881" s="23"/>
      <c r="FC881" s="23"/>
      <c r="FD881" s="23"/>
      <c r="FE881" s="23"/>
      <c r="FF881" s="23"/>
      <c r="FG881" s="23"/>
      <c r="FH881" s="23"/>
      <c r="FI881" s="23"/>
      <c r="FJ881" s="23"/>
      <c r="FK881" s="23"/>
      <c r="FL881" s="23"/>
      <c r="FM881" s="23"/>
      <c r="FN881" s="23"/>
      <c r="FO881" s="23"/>
      <c r="FP881" s="23"/>
      <c r="FQ881" s="23"/>
      <c r="FR881" s="23"/>
      <c r="FS881" s="23"/>
      <c r="FT881" s="23"/>
      <c r="FU881" s="23"/>
      <c r="FV881" s="23"/>
      <c r="FW881" s="23"/>
      <c r="FX881" s="23"/>
      <c r="FY881" s="23"/>
      <c r="FZ881" s="23"/>
      <c r="GA881" s="23"/>
      <c r="GB881" s="23"/>
      <c r="GC881" s="23"/>
      <c r="GD881" s="23"/>
      <c r="GE881" s="23"/>
      <c r="GF881" s="23"/>
      <c r="GG881" s="23"/>
      <c r="GH881" s="23"/>
      <c r="GI881" s="23"/>
      <c r="GJ881" s="23"/>
      <c r="GK881" s="23"/>
      <c r="GL881" s="23"/>
    </row>
    <row r="882" spans="1:194" ht="13">
      <c r="A882" s="23"/>
      <c r="B882" s="23"/>
      <c r="C882" s="23"/>
      <c r="D882" s="23"/>
      <c r="E882" s="23"/>
      <c r="F882" s="23"/>
      <c r="G882" s="23"/>
      <c r="H882" s="401"/>
      <c r="I882" s="401"/>
      <c r="J882" s="401"/>
      <c r="K882" s="401"/>
      <c r="L882" s="401"/>
      <c r="M882" s="438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  <c r="AL882" s="23"/>
      <c r="AM882" s="23"/>
      <c r="AN882" s="23"/>
      <c r="AO882" s="23"/>
      <c r="AP882" s="23"/>
      <c r="AQ882" s="23"/>
      <c r="AR882" s="23"/>
      <c r="AS882" s="23"/>
      <c r="AT882" s="23"/>
      <c r="AU882" s="23"/>
      <c r="AV882" s="23"/>
      <c r="AW882" s="23"/>
      <c r="AX882" s="23"/>
      <c r="AY882" s="23"/>
      <c r="AZ882" s="23"/>
      <c r="BA882" s="23"/>
      <c r="BB882" s="23"/>
      <c r="BC882" s="23"/>
      <c r="BD882" s="23"/>
      <c r="BE882" s="23"/>
      <c r="BF882" s="23"/>
      <c r="BG882" s="23"/>
      <c r="BH882" s="23"/>
      <c r="BI882" s="23"/>
      <c r="BJ882" s="23"/>
      <c r="BK882" s="23"/>
      <c r="BL882" s="23"/>
      <c r="BM882" s="23"/>
      <c r="BN882" s="23"/>
      <c r="BO882" s="23"/>
      <c r="BP882" s="23"/>
      <c r="BQ882" s="23"/>
      <c r="BR882" s="23"/>
      <c r="BS882" s="23"/>
      <c r="BT882" s="23"/>
      <c r="BU882" s="23"/>
      <c r="BV882" s="23"/>
      <c r="BW882" s="23"/>
      <c r="BX882" s="23"/>
      <c r="BY882" s="23"/>
      <c r="BZ882" s="23"/>
      <c r="CA882" s="23"/>
      <c r="CB882" s="23"/>
      <c r="CC882" s="23"/>
      <c r="CD882" s="23"/>
      <c r="CE882" s="23"/>
      <c r="CF882" s="23"/>
      <c r="CG882" s="23"/>
      <c r="CH882" s="23"/>
      <c r="CI882" s="23"/>
      <c r="CJ882" s="23"/>
      <c r="CK882" s="23"/>
      <c r="CL882" s="23"/>
      <c r="CM882" s="23"/>
      <c r="CN882" s="23"/>
      <c r="CO882" s="23"/>
      <c r="CP882" s="23"/>
      <c r="CQ882" s="23"/>
      <c r="CR882" s="23"/>
      <c r="CS882" s="23"/>
      <c r="CT882" s="23"/>
      <c r="CU882" s="23"/>
      <c r="CV882" s="23"/>
      <c r="CW882" s="23"/>
      <c r="CX882" s="23"/>
      <c r="CY882" s="23"/>
      <c r="CZ882" s="23"/>
      <c r="DA882" s="23"/>
      <c r="DB882" s="23"/>
      <c r="DC882" s="23"/>
      <c r="DD882" s="23"/>
      <c r="DE882" s="23"/>
      <c r="DF882" s="23"/>
      <c r="DG882" s="23"/>
      <c r="DH882" s="23"/>
      <c r="DI882" s="23"/>
      <c r="DJ882" s="23"/>
      <c r="DK882" s="23"/>
      <c r="DL882" s="23"/>
      <c r="DM882" s="23"/>
      <c r="DN882" s="23"/>
      <c r="DO882" s="23"/>
      <c r="DP882" s="23"/>
      <c r="DQ882" s="23"/>
      <c r="DR882" s="23"/>
      <c r="DS882" s="23"/>
      <c r="DT882" s="23"/>
      <c r="DU882" s="23"/>
      <c r="DV882" s="23"/>
      <c r="DW882" s="23"/>
      <c r="DX882" s="23"/>
      <c r="DY882" s="23"/>
      <c r="DZ882" s="23"/>
      <c r="EA882" s="23"/>
      <c r="EB882" s="23"/>
      <c r="EC882" s="23"/>
      <c r="ED882" s="23"/>
      <c r="EE882" s="23"/>
      <c r="EF882" s="23"/>
      <c r="EG882" s="23"/>
      <c r="EH882" s="23"/>
      <c r="EI882" s="23"/>
      <c r="EJ882" s="23"/>
      <c r="EK882" s="23"/>
      <c r="EL882" s="23"/>
      <c r="EM882" s="23"/>
      <c r="EN882" s="23"/>
      <c r="EO882" s="23"/>
      <c r="EP882" s="23"/>
      <c r="EQ882" s="23"/>
      <c r="ER882" s="23"/>
      <c r="ES882" s="23"/>
      <c r="ET882" s="23"/>
      <c r="EU882" s="23"/>
      <c r="EV882" s="23"/>
      <c r="EW882" s="23"/>
      <c r="EX882" s="23"/>
      <c r="EY882" s="23"/>
      <c r="EZ882" s="23"/>
      <c r="FA882" s="23"/>
      <c r="FB882" s="23"/>
      <c r="FC882" s="23"/>
      <c r="FD882" s="23"/>
      <c r="FE882" s="23"/>
      <c r="FF882" s="23"/>
      <c r="FG882" s="23"/>
      <c r="FH882" s="23"/>
      <c r="FI882" s="23"/>
      <c r="FJ882" s="23"/>
      <c r="FK882" s="23"/>
      <c r="FL882" s="23"/>
      <c r="FM882" s="23"/>
      <c r="FN882" s="23"/>
      <c r="FO882" s="23"/>
      <c r="FP882" s="23"/>
      <c r="FQ882" s="23"/>
      <c r="FR882" s="23"/>
      <c r="FS882" s="23"/>
      <c r="FT882" s="23"/>
      <c r="FU882" s="23"/>
      <c r="FV882" s="23"/>
      <c r="FW882" s="23"/>
      <c r="FX882" s="23"/>
      <c r="FY882" s="23"/>
      <c r="FZ882" s="23"/>
      <c r="GA882" s="23"/>
      <c r="GB882" s="23"/>
      <c r="GC882" s="23"/>
      <c r="GD882" s="23"/>
      <c r="GE882" s="23"/>
      <c r="GF882" s="23"/>
      <c r="GG882" s="23"/>
      <c r="GH882" s="23"/>
      <c r="GI882" s="23"/>
      <c r="GJ882" s="23"/>
      <c r="GK882" s="23"/>
      <c r="GL882" s="23"/>
    </row>
    <row r="883" spans="1:194" ht="13">
      <c r="A883" s="23"/>
      <c r="B883" s="23"/>
      <c r="C883" s="23"/>
      <c r="D883" s="23"/>
      <c r="E883" s="23"/>
      <c r="F883" s="23"/>
      <c r="G883" s="23"/>
      <c r="H883" s="401"/>
      <c r="I883" s="401"/>
      <c r="J883" s="401"/>
      <c r="K883" s="401"/>
      <c r="L883" s="401"/>
      <c r="M883" s="438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  <c r="AL883" s="23"/>
      <c r="AM883" s="23"/>
      <c r="AN883" s="23"/>
      <c r="AO883" s="23"/>
      <c r="AP883" s="23"/>
      <c r="AQ883" s="23"/>
      <c r="AR883" s="23"/>
      <c r="AS883" s="23"/>
      <c r="AT883" s="23"/>
      <c r="AU883" s="23"/>
      <c r="AV883" s="23"/>
      <c r="AW883" s="23"/>
      <c r="AX883" s="23"/>
      <c r="AY883" s="23"/>
      <c r="AZ883" s="23"/>
      <c r="BA883" s="23"/>
      <c r="BB883" s="23"/>
      <c r="BC883" s="23"/>
      <c r="BD883" s="23"/>
      <c r="BE883" s="23"/>
      <c r="BF883" s="23"/>
      <c r="BG883" s="23"/>
      <c r="BH883" s="23"/>
      <c r="BI883" s="23"/>
      <c r="BJ883" s="23"/>
      <c r="BK883" s="23"/>
      <c r="BL883" s="23"/>
      <c r="BM883" s="23"/>
      <c r="BN883" s="23"/>
      <c r="BO883" s="23"/>
      <c r="BP883" s="23"/>
      <c r="BQ883" s="23"/>
      <c r="BR883" s="23"/>
      <c r="BS883" s="23"/>
      <c r="BT883" s="23"/>
      <c r="BU883" s="23"/>
      <c r="BV883" s="23"/>
      <c r="BW883" s="23"/>
      <c r="BX883" s="23"/>
      <c r="BY883" s="23"/>
      <c r="BZ883" s="23"/>
      <c r="CA883" s="23"/>
      <c r="CB883" s="23"/>
      <c r="CC883" s="23"/>
      <c r="CD883" s="23"/>
      <c r="CE883" s="23"/>
      <c r="CF883" s="23"/>
      <c r="CG883" s="23"/>
      <c r="CH883" s="23"/>
      <c r="CI883" s="23"/>
      <c r="CJ883" s="23"/>
      <c r="CK883" s="23"/>
      <c r="CL883" s="23"/>
      <c r="CM883" s="23"/>
      <c r="CN883" s="23"/>
      <c r="CO883" s="23"/>
      <c r="CP883" s="23"/>
      <c r="CQ883" s="23"/>
      <c r="CR883" s="23"/>
      <c r="CS883" s="23"/>
      <c r="CT883" s="23"/>
      <c r="CU883" s="23"/>
      <c r="CV883" s="23"/>
      <c r="CW883" s="23"/>
      <c r="CX883" s="23"/>
      <c r="CY883" s="23"/>
      <c r="CZ883" s="23"/>
      <c r="DA883" s="23"/>
      <c r="DB883" s="23"/>
      <c r="DC883" s="23"/>
      <c r="DD883" s="23"/>
      <c r="DE883" s="23"/>
      <c r="DF883" s="23"/>
      <c r="DG883" s="23"/>
      <c r="DH883" s="23"/>
      <c r="DI883" s="23"/>
      <c r="DJ883" s="23"/>
      <c r="DK883" s="23"/>
      <c r="DL883" s="23"/>
      <c r="DM883" s="23"/>
      <c r="DN883" s="23"/>
      <c r="DO883" s="23"/>
      <c r="DP883" s="23"/>
      <c r="DQ883" s="23"/>
      <c r="DR883" s="23"/>
      <c r="DS883" s="23"/>
      <c r="DT883" s="23"/>
      <c r="DU883" s="23"/>
      <c r="DV883" s="23"/>
      <c r="DW883" s="23"/>
      <c r="DX883" s="23"/>
      <c r="DY883" s="23"/>
      <c r="DZ883" s="23"/>
      <c r="EA883" s="23"/>
      <c r="EB883" s="23"/>
      <c r="EC883" s="23"/>
      <c r="ED883" s="23"/>
      <c r="EE883" s="23"/>
      <c r="EF883" s="23"/>
      <c r="EG883" s="23"/>
      <c r="EH883" s="23"/>
      <c r="EI883" s="23"/>
      <c r="EJ883" s="23"/>
      <c r="EK883" s="23"/>
      <c r="EL883" s="23"/>
      <c r="EM883" s="23"/>
      <c r="EN883" s="23"/>
      <c r="EO883" s="23"/>
      <c r="EP883" s="23"/>
      <c r="EQ883" s="23"/>
      <c r="ER883" s="23"/>
      <c r="ES883" s="23"/>
      <c r="ET883" s="23"/>
      <c r="EU883" s="23"/>
      <c r="EV883" s="23"/>
      <c r="EW883" s="23"/>
      <c r="EX883" s="23"/>
      <c r="EY883" s="23"/>
      <c r="EZ883" s="23"/>
      <c r="FA883" s="23"/>
      <c r="FB883" s="23"/>
      <c r="FC883" s="23"/>
      <c r="FD883" s="23"/>
      <c r="FE883" s="23"/>
      <c r="FF883" s="23"/>
      <c r="FG883" s="23"/>
      <c r="FH883" s="23"/>
      <c r="FI883" s="23"/>
      <c r="FJ883" s="23"/>
      <c r="FK883" s="23"/>
      <c r="FL883" s="23"/>
      <c r="FM883" s="23"/>
      <c r="FN883" s="23"/>
      <c r="FO883" s="23"/>
      <c r="FP883" s="23"/>
      <c r="FQ883" s="23"/>
      <c r="FR883" s="23"/>
      <c r="FS883" s="23"/>
      <c r="FT883" s="23"/>
      <c r="FU883" s="23"/>
      <c r="FV883" s="23"/>
      <c r="FW883" s="23"/>
      <c r="FX883" s="23"/>
      <c r="FY883" s="23"/>
      <c r="FZ883" s="23"/>
      <c r="GA883" s="23"/>
      <c r="GB883" s="23"/>
      <c r="GC883" s="23"/>
      <c r="GD883" s="23"/>
      <c r="GE883" s="23"/>
      <c r="GF883" s="23"/>
      <c r="GG883" s="23"/>
      <c r="GH883" s="23"/>
      <c r="GI883" s="23"/>
      <c r="GJ883" s="23"/>
      <c r="GK883" s="23"/>
      <c r="GL883" s="23"/>
    </row>
    <row r="884" spans="1:194" ht="13">
      <c r="A884" s="23"/>
      <c r="B884" s="23"/>
      <c r="C884" s="23"/>
      <c r="D884" s="23"/>
      <c r="E884" s="23"/>
      <c r="F884" s="23"/>
      <c r="G884" s="23"/>
      <c r="H884" s="401"/>
      <c r="I884" s="401"/>
      <c r="J884" s="401"/>
      <c r="K884" s="401"/>
      <c r="L884" s="401"/>
      <c r="M884" s="438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  <c r="AL884" s="23"/>
      <c r="AM884" s="23"/>
      <c r="AN884" s="23"/>
      <c r="AO884" s="23"/>
      <c r="AP884" s="23"/>
      <c r="AQ884" s="23"/>
      <c r="AR884" s="23"/>
      <c r="AS884" s="23"/>
      <c r="AT884" s="23"/>
      <c r="AU884" s="23"/>
      <c r="AV884" s="23"/>
      <c r="AW884" s="23"/>
      <c r="AX884" s="23"/>
      <c r="AY884" s="23"/>
      <c r="AZ884" s="23"/>
      <c r="BA884" s="23"/>
      <c r="BB884" s="23"/>
      <c r="BC884" s="23"/>
      <c r="BD884" s="23"/>
      <c r="BE884" s="23"/>
      <c r="BF884" s="23"/>
      <c r="BG884" s="23"/>
      <c r="BH884" s="23"/>
      <c r="BI884" s="23"/>
      <c r="BJ884" s="23"/>
      <c r="BK884" s="23"/>
      <c r="BL884" s="23"/>
      <c r="BM884" s="23"/>
      <c r="BN884" s="23"/>
      <c r="BO884" s="23"/>
      <c r="BP884" s="23"/>
      <c r="BQ884" s="23"/>
      <c r="BR884" s="23"/>
      <c r="BS884" s="23"/>
      <c r="BT884" s="23"/>
      <c r="BU884" s="23"/>
      <c r="BV884" s="23"/>
      <c r="BW884" s="23"/>
      <c r="BX884" s="23"/>
      <c r="BY884" s="23"/>
      <c r="BZ884" s="23"/>
      <c r="CA884" s="23"/>
      <c r="CB884" s="23"/>
      <c r="CC884" s="23"/>
      <c r="CD884" s="23"/>
      <c r="CE884" s="23"/>
      <c r="CF884" s="23"/>
      <c r="CG884" s="23"/>
      <c r="CH884" s="23"/>
      <c r="CI884" s="23"/>
      <c r="CJ884" s="23"/>
      <c r="CK884" s="23"/>
      <c r="CL884" s="23"/>
      <c r="CM884" s="23"/>
      <c r="CN884" s="23"/>
      <c r="CO884" s="23"/>
      <c r="CP884" s="23"/>
      <c r="CQ884" s="23"/>
      <c r="CR884" s="23"/>
      <c r="CS884" s="23"/>
      <c r="CT884" s="23"/>
      <c r="CU884" s="23"/>
      <c r="CV884" s="23"/>
      <c r="CW884" s="23"/>
      <c r="CX884" s="23"/>
      <c r="CY884" s="23"/>
      <c r="CZ884" s="23"/>
      <c r="DA884" s="23"/>
      <c r="DB884" s="23"/>
      <c r="DC884" s="23"/>
      <c r="DD884" s="23"/>
      <c r="DE884" s="23"/>
      <c r="DF884" s="23"/>
      <c r="DG884" s="23"/>
      <c r="DH884" s="23"/>
      <c r="DI884" s="23"/>
      <c r="DJ884" s="23"/>
      <c r="DK884" s="23"/>
      <c r="DL884" s="23"/>
      <c r="DM884" s="23"/>
      <c r="DN884" s="23"/>
      <c r="DO884" s="23"/>
      <c r="DP884" s="23"/>
      <c r="DQ884" s="23"/>
      <c r="DR884" s="23"/>
      <c r="DS884" s="23"/>
      <c r="DT884" s="23"/>
      <c r="DU884" s="23"/>
      <c r="DV884" s="23"/>
      <c r="DW884" s="23"/>
      <c r="DX884" s="23"/>
      <c r="DY884" s="23"/>
      <c r="DZ884" s="23"/>
      <c r="EA884" s="23"/>
      <c r="EB884" s="23"/>
      <c r="EC884" s="23"/>
      <c r="ED884" s="23"/>
      <c r="EE884" s="23"/>
      <c r="EF884" s="23"/>
      <c r="EG884" s="23"/>
      <c r="EH884" s="23"/>
      <c r="EI884" s="23"/>
      <c r="EJ884" s="23"/>
      <c r="EK884" s="23"/>
      <c r="EL884" s="23"/>
      <c r="EM884" s="23"/>
      <c r="EN884" s="23"/>
      <c r="EO884" s="23"/>
      <c r="EP884" s="23"/>
      <c r="EQ884" s="23"/>
      <c r="ER884" s="23"/>
      <c r="ES884" s="23"/>
      <c r="ET884" s="23"/>
      <c r="EU884" s="23"/>
      <c r="EV884" s="23"/>
      <c r="EW884" s="23"/>
      <c r="EX884" s="23"/>
      <c r="EY884" s="23"/>
      <c r="EZ884" s="23"/>
      <c r="FA884" s="23"/>
      <c r="FB884" s="23"/>
      <c r="FC884" s="23"/>
      <c r="FD884" s="23"/>
      <c r="FE884" s="23"/>
      <c r="FF884" s="23"/>
      <c r="FG884" s="23"/>
      <c r="FH884" s="23"/>
      <c r="FI884" s="23"/>
      <c r="FJ884" s="23"/>
      <c r="FK884" s="23"/>
      <c r="FL884" s="23"/>
      <c r="FM884" s="23"/>
      <c r="FN884" s="23"/>
      <c r="FO884" s="23"/>
      <c r="FP884" s="23"/>
      <c r="FQ884" s="23"/>
      <c r="FR884" s="23"/>
      <c r="FS884" s="23"/>
      <c r="FT884" s="23"/>
      <c r="FU884" s="23"/>
      <c r="FV884" s="23"/>
      <c r="FW884" s="23"/>
      <c r="FX884" s="23"/>
      <c r="FY884" s="23"/>
      <c r="FZ884" s="23"/>
      <c r="GA884" s="23"/>
      <c r="GB884" s="23"/>
      <c r="GC884" s="23"/>
      <c r="GD884" s="23"/>
      <c r="GE884" s="23"/>
      <c r="GF884" s="23"/>
      <c r="GG884" s="23"/>
      <c r="GH884" s="23"/>
      <c r="GI884" s="23"/>
      <c r="GJ884" s="23"/>
      <c r="GK884" s="23"/>
      <c r="GL884" s="23"/>
    </row>
    <row r="885" spans="1:194" ht="13">
      <c r="A885" s="23"/>
      <c r="B885" s="23"/>
      <c r="C885" s="23"/>
      <c r="D885" s="23"/>
      <c r="E885" s="23"/>
      <c r="F885" s="23"/>
      <c r="G885" s="23"/>
      <c r="H885" s="401"/>
      <c r="I885" s="401"/>
      <c r="J885" s="401"/>
      <c r="K885" s="401"/>
      <c r="L885" s="401"/>
      <c r="M885" s="438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  <c r="AL885" s="23"/>
      <c r="AM885" s="23"/>
      <c r="AN885" s="23"/>
      <c r="AO885" s="23"/>
      <c r="AP885" s="23"/>
      <c r="AQ885" s="23"/>
      <c r="AR885" s="23"/>
      <c r="AS885" s="23"/>
      <c r="AT885" s="23"/>
      <c r="AU885" s="23"/>
      <c r="AV885" s="23"/>
      <c r="AW885" s="23"/>
      <c r="AX885" s="23"/>
      <c r="AY885" s="23"/>
      <c r="AZ885" s="23"/>
      <c r="BA885" s="23"/>
      <c r="BB885" s="23"/>
      <c r="BC885" s="23"/>
      <c r="BD885" s="23"/>
      <c r="BE885" s="23"/>
      <c r="BF885" s="23"/>
      <c r="BG885" s="23"/>
      <c r="BH885" s="23"/>
      <c r="BI885" s="23"/>
      <c r="BJ885" s="23"/>
      <c r="BK885" s="23"/>
      <c r="BL885" s="23"/>
      <c r="BM885" s="23"/>
      <c r="BN885" s="23"/>
      <c r="BO885" s="23"/>
      <c r="BP885" s="23"/>
      <c r="BQ885" s="23"/>
      <c r="BR885" s="23"/>
      <c r="BS885" s="23"/>
      <c r="BT885" s="23"/>
      <c r="BU885" s="23"/>
      <c r="BV885" s="23"/>
      <c r="BW885" s="23"/>
      <c r="BX885" s="23"/>
      <c r="BY885" s="23"/>
      <c r="BZ885" s="23"/>
      <c r="CA885" s="23"/>
      <c r="CB885" s="23"/>
      <c r="CC885" s="23"/>
      <c r="CD885" s="23"/>
      <c r="CE885" s="23"/>
      <c r="CF885" s="23"/>
      <c r="CG885" s="23"/>
      <c r="CH885" s="23"/>
      <c r="CI885" s="23"/>
      <c r="CJ885" s="23"/>
      <c r="CK885" s="23"/>
      <c r="CL885" s="23"/>
      <c r="CM885" s="23"/>
      <c r="CN885" s="23"/>
      <c r="CO885" s="23"/>
      <c r="CP885" s="23"/>
      <c r="CQ885" s="23"/>
      <c r="CR885" s="23"/>
      <c r="CS885" s="23"/>
      <c r="CT885" s="23"/>
      <c r="CU885" s="23"/>
      <c r="CV885" s="23"/>
      <c r="CW885" s="23"/>
      <c r="CX885" s="23"/>
      <c r="CY885" s="23"/>
      <c r="CZ885" s="23"/>
      <c r="DA885" s="23"/>
      <c r="DB885" s="23"/>
      <c r="DC885" s="23"/>
      <c r="DD885" s="23"/>
      <c r="DE885" s="23"/>
      <c r="DF885" s="23"/>
      <c r="DG885" s="23"/>
      <c r="DH885" s="23"/>
      <c r="DI885" s="23"/>
      <c r="DJ885" s="23"/>
      <c r="DK885" s="23"/>
      <c r="DL885" s="23"/>
      <c r="DM885" s="23"/>
      <c r="DN885" s="23"/>
      <c r="DO885" s="23"/>
      <c r="DP885" s="23"/>
      <c r="DQ885" s="23"/>
      <c r="DR885" s="23"/>
      <c r="DS885" s="23"/>
      <c r="DT885" s="23"/>
      <c r="DU885" s="23"/>
      <c r="DV885" s="23"/>
      <c r="DW885" s="23"/>
      <c r="DX885" s="23"/>
      <c r="DY885" s="23"/>
      <c r="DZ885" s="23"/>
      <c r="EA885" s="23"/>
      <c r="EB885" s="23"/>
      <c r="EC885" s="23"/>
      <c r="ED885" s="23"/>
      <c r="EE885" s="23"/>
      <c r="EF885" s="23"/>
      <c r="EG885" s="23"/>
      <c r="EH885" s="23"/>
      <c r="EI885" s="23"/>
      <c r="EJ885" s="23"/>
      <c r="EK885" s="23"/>
      <c r="EL885" s="23"/>
      <c r="EM885" s="23"/>
      <c r="EN885" s="23"/>
      <c r="EO885" s="23"/>
      <c r="EP885" s="23"/>
      <c r="EQ885" s="23"/>
      <c r="ER885" s="23"/>
      <c r="ES885" s="23"/>
      <c r="ET885" s="23"/>
      <c r="EU885" s="23"/>
      <c r="EV885" s="23"/>
      <c r="EW885" s="23"/>
      <c r="EX885" s="23"/>
      <c r="EY885" s="23"/>
      <c r="EZ885" s="23"/>
      <c r="FA885" s="23"/>
      <c r="FB885" s="23"/>
      <c r="FC885" s="23"/>
      <c r="FD885" s="23"/>
      <c r="FE885" s="23"/>
      <c r="FF885" s="23"/>
      <c r="FG885" s="23"/>
      <c r="FH885" s="23"/>
      <c r="FI885" s="23"/>
      <c r="FJ885" s="23"/>
      <c r="FK885" s="23"/>
      <c r="FL885" s="23"/>
      <c r="FM885" s="23"/>
      <c r="FN885" s="23"/>
      <c r="FO885" s="23"/>
      <c r="FP885" s="23"/>
      <c r="FQ885" s="23"/>
      <c r="FR885" s="23"/>
      <c r="FS885" s="23"/>
      <c r="FT885" s="23"/>
      <c r="FU885" s="23"/>
      <c r="FV885" s="23"/>
      <c r="FW885" s="23"/>
      <c r="FX885" s="23"/>
      <c r="FY885" s="23"/>
      <c r="FZ885" s="23"/>
      <c r="GA885" s="23"/>
      <c r="GB885" s="23"/>
      <c r="GC885" s="23"/>
      <c r="GD885" s="23"/>
      <c r="GE885" s="23"/>
      <c r="GF885" s="23"/>
      <c r="GG885" s="23"/>
      <c r="GH885" s="23"/>
      <c r="GI885" s="23"/>
      <c r="GJ885" s="23"/>
      <c r="GK885" s="23"/>
      <c r="GL885" s="23"/>
    </row>
    <row r="886" spans="1:194" ht="13">
      <c r="A886" s="23"/>
      <c r="B886" s="23"/>
      <c r="C886" s="23"/>
      <c r="D886" s="23"/>
      <c r="E886" s="23"/>
      <c r="F886" s="23"/>
      <c r="G886" s="23"/>
      <c r="H886" s="401"/>
      <c r="I886" s="401"/>
      <c r="J886" s="401"/>
      <c r="K886" s="401"/>
      <c r="L886" s="401"/>
      <c r="M886" s="438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  <c r="AL886" s="23"/>
      <c r="AM886" s="23"/>
      <c r="AN886" s="23"/>
      <c r="AO886" s="23"/>
      <c r="AP886" s="23"/>
      <c r="AQ886" s="23"/>
      <c r="AR886" s="23"/>
      <c r="AS886" s="23"/>
      <c r="AT886" s="23"/>
      <c r="AU886" s="23"/>
      <c r="AV886" s="23"/>
      <c r="AW886" s="23"/>
      <c r="AX886" s="23"/>
      <c r="AY886" s="23"/>
      <c r="AZ886" s="23"/>
      <c r="BA886" s="23"/>
      <c r="BB886" s="23"/>
      <c r="BC886" s="23"/>
      <c r="BD886" s="23"/>
      <c r="BE886" s="23"/>
      <c r="BF886" s="23"/>
      <c r="BG886" s="23"/>
      <c r="BH886" s="23"/>
      <c r="BI886" s="23"/>
      <c r="BJ886" s="23"/>
      <c r="BK886" s="23"/>
      <c r="BL886" s="23"/>
      <c r="BM886" s="23"/>
      <c r="BN886" s="23"/>
      <c r="BO886" s="23"/>
      <c r="BP886" s="23"/>
      <c r="BQ886" s="23"/>
      <c r="BR886" s="23"/>
      <c r="BS886" s="23"/>
      <c r="BT886" s="23"/>
      <c r="BU886" s="23"/>
      <c r="BV886" s="23"/>
      <c r="BW886" s="23"/>
      <c r="BX886" s="23"/>
      <c r="BY886" s="23"/>
      <c r="BZ886" s="23"/>
      <c r="CA886" s="23"/>
      <c r="CB886" s="23"/>
      <c r="CC886" s="23"/>
      <c r="CD886" s="23"/>
      <c r="CE886" s="23"/>
      <c r="CF886" s="23"/>
      <c r="CG886" s="23"/>
      <c r="CH886" s="23"/>
      <c r="CI886" s="23"/>
      <c r="CJ886" s="23"/>
      <c r="CK886" s="23"/>
      <c r="CL886" s="23"/>
      <c r="CM886" s="23"/>
      <c r="CN886" s="23"/>
      <c r="CO886" s="23"/>
      <c r="CP886" s="23"/>
      <c r="CQ886" s="23"/>
      <c r="CR886" s="23"/>
      <c r="CS886" s="23"/>
      <c r="CT886" s="23"/>
      <c r="CU886" s="23"/>
      <c r="CV886" s="23"/>
      <c r="CW886" s="23"/>
      <c r="CX886" s="23"/>
      <c r="CY886" s="23"/>
      <c r="CZ886" s="23"/>
      <c r="DA886" s="23"/>
      <c r="DB886" s="23"/>
      <c r="DC886" s="23"/>
      <c r="DD886" s="23"/>
      <c r="DE886" s="23"/>
      <c r="DF886" s="23"/>
      <c r="DG886" s="23"/>
      <c r="DH886" s="23"/>
      <c r="DI886" s="23"/>
      <c r="DJ886" s="23"/>
      <c r="DK886" s="23"/>
      <c r="DL886" s="23"/>
      <c r="DM886" s="23"/>
      <c r="DN886" s="23"/>
      <c r="DO886" s="23"/>
      <c r="DP886" s="23"/>
      <c r="DQ886" s="23"/>
      <c r="DR886" s="23"/>
      <c r="DS886" s="23"/>
      <c r="DT886" s="23"/>
      <c r="DU886" s="23"/>
      <c r="DV886" s="23"/>
      <c r="DW886" s="23"/>
      <c r="DX886" s="23"/>
      <c r="DY886" s="23"/>
      <c r="DZ886" s="23"/>
      <c r="EA886" s="23"/>
      <c r="EB886" s="23"/>
      <c r="EC886" s="23"/>
      <c r="ED886" s="23"/>
      <c r="EE886" s="23"/>
      <c r="EF886" s="23"/>
      <c r="EG886" s="23"/>
      <c r="EH886" s="23"/>
      <c r="EI886" s="23"/>
      <c r="EJ886" s="23"/>
      <c r="EK886" s="23"/>
      <c r="EL886" s="23"/>
      <c r="EM886" s="23"/>
      <c r="EN886" s="23"/>
      <c r="EO886" s="23"/>
      <c r="EP886" s="23"/>
      <c r="EQ886" s="23"/>
      <c r="ER886" s="23"/>
      <c r="ES886" s="23"/>
      <c r="ET886" s="23"/>
      <c r="EU886" s="23"/>
      <c r="EV886" s="23"/>
      <c r="EW886" s="23"/>
      <c r="EX886" s="23"/>
      <c r="EY886" s="23"/>
      <c r="EZ886" s="23"/>
      <c r="FA886" s="23"/>
      <c r="FB886" s="23"/>
      <c r="FC886" s="23"/>
      <c r="FD886" s="23"/>
      <c r="FE886" s="23"/>
      <c r="FF886" s="23"/>
      <c r="FG886" s="23"/>
      <c r="FH886" s="23"/>
      <c r="FI886" s="23"/>
      <c r="FJ886" s="23"/>
      <c r="FK886" s="23"/>
      <c r="FL886" s="23"/>
      <c r="FM886" s="23"/>
      <c r="FN886" s="23"/>
      <c r="FO886" s="23"/>
      <c r="FP886" s="23"/>
      <c r="FQ886" s="23"/>
      <c r="FR886" s="23"/>
      <c r="FS886" s="23"/>
      <c r="FT886" s="23"/>
      <c r="FU886" s="23"/>
      <c r="FV886" s="23"/>
      <c r="FW886" s="23"/>
      <c r="FX886" s="23"/>
      <c r="FY886" s="23"/>
      <c r="FZ886" s="23"/>
      <c r="GA886" s="23"/>
      <c r="GB886" s="23"/>
      <c r="GC886" s="23"/>
      <c r="GD886" s="23"/>
      <c r="GE886" s="23"/>
      <c r="GF886" s="23"/>
      <c r="GG886" s="23"/>
      <c r="GH886" s="23"/>
      <c r="GI886" s="23"/>
      <c r="GJ886" s="23"/>
      <c r="GK886" s="23"/>
      <c r="GL886" s="23"/>
    </row>
    <row r="887" spans="1:194" ht="13">
      <c r="A887" s="23"/>
      <c r="B887" s="23"/>
      <c r="C887" s="23"/>
      <c r="D887" s="23"/>
      <c r="E887" s="23"/>
      <c r="F887" s="23"/>
      <c r="G887" s="23"/>
      <c r="H887" s="401"/>
      <c r="I887" s="401"/>
      <c r="J887" s="401"/>
      <c r="K887" s="401"/>
      <c r="L887" s="401"/>
      <c r="M887" s="438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  <c r="AL887" s="23"/>
      <c r="AM887" s="23"/>
      <c r="AN887" s="23"/>
      <c r="AO887" s="23"/>
      <c r="AP887" s="23"/>
      <c r="AQ887" s="23"/>
      <c r="AR887" s="23"/>
      <c r="AS887" s="23"/>
      <c r="AT887" s="23"/>
      <c r="AU887" s="23"/>
      <c r="AV887" s="23"/>
      <c r="AW887" s="23"/>
      <c r="AX887" s="23"/>
      <c r="AY887" s="23"/>
      <c r="AZ887" s="23"/>
      <c r="BA887" s="23"/>
      <c r="BB887" s="23"/>
      <c r="BC887" s="23"/>
      <c r="BD887" s="23"/>
      <c r="BE887" s="23"/>
      <c r="BF887" s="23"/>
      <c r="BG887" s="23"/>
      <c r="BH887" s="23"/>
      <c r="BI887" s="23"/>
      <c r="BJ887" s="23"/>
      <c r="BK887" s="23"/>
      <c r="BL887" s="23"/>
      <c r="BM887" s="23"/>
      <c r="BN887" s="23"/>
      <c r="BO887" s="23"/>
      <c r="BP887" s="23"/>
      <c r="BQ887" s="23"/>
      <c r="BR887" s="23"/>
      <c r="BS887" s="23"/>
      <c r="BT887" s="23"/>
      <c r="BU887" s="23"/>
      <c r="BV887" s="23"/>
      <c r="BW887" s="23"/>
      <c r="BX887" s="23"/>
      <c r="BY887" s="23"/>
      <c r="BZ887" s="23"/>
      <c r="CA887" s="23"/>
      <c r="CB887" s="23"/>
      <c r="CC887" s="23"/>
      <c r="CD887" s="23"/>
      <c r="CE887" s="23"/>
      <c r="CF887" s="23"/>
      <c r="CG887" s="23"/>
      <c r="CH887" s="23"/>
      <c r="CI887" s="23"/>
      <c r="CJ887" s="23"/>
      <c r="CK887" s="23"/>
      <c r="CL887" s="23"/>
      <c r="CM887" s="23"/>
      <c r="CN887" s="23"/>
      <c r="CO887" s="23"/>
      <c r="CP887" s="23"/>
      <c r="CQ887" s="23"/>
      <c r="CR887" s="23"/>
      <c r="CS887" s="23"/>
      <c r="CT887" s="23"/>
      <c r="CU887" s="23"/>
      <c r="CV887" s="23"/>
      <c r="CW887" s="23"/>
      <c r="CX887" s="23"/>
      <c r="CY887" s="23"/>
      <c r="CZ887" s="23"/>
      <c r="DA887" s="23"/>
      <c r="DB887" s="23"/>
      <c r="DC887" s="23"/>
      <c r="DD887" s="23"/>
      <c r="DE887" s="23"/>
      <c r="DF887" s="23"/>
      <c r="DG887" s="23"/>
      <c r="DH887" s="23"/>
      <c r="DI887" s="23"/>
      <c r="DJ887" s="23"/>
      <c r="DK887" s="23"/>
      <c r="DL887" s="23"/>
      <c r="DM887" s="23"/>
      <c r="DN887" s="23"/>
      <c r="DO887" s="23"/>
      <c r="DP887" s="23"/>
      <c r="DQ887" s="23"/>
      <c r="DR887" s="23"/>
      <c r="DS887" s="23"/>
      <c r="DT887" s="23"/>
      <c r="DU887" s="23"/>
      <c r="DV887" s="23"/>
      <c r="DW887" s="23"/>
      <c r="DX887" s="23"/>
      <c r="DY887" s="23"/>
      <c r="DZ887" s="23"/>
      <c r="EA887" s="23"/>
      <c r="EB887" s="23"/>
      <c r="EC887" s="23"/>
      <c r="ED887" s="23"/>
      <c r="EE887" s="23"/>
      <c r="EF887" s="23"/>
      <c r="EG887" s="23"/>
      <c r="EH887" s="23"/>
      <c r="EI887" s="23"/>
      <c r="EJ887" s="23"/>
      <c r="EK887" s="23"/>
      <c r="EL887" s="23"/>
      <c r="EM887" s="23"/>
      <c r="EN887" s="23"/>
      <c r="EO887" s="23"/>
      <c r="EP887" s="23"/>
      <c r="EQ887" s="23"/>
      <c r="ER887" s="23"/>
      <c r="ES887" s="23"/>
      <c r="ET887" s="23"/>
      <c r="EU887" s="23"/>
      <c r="EV887" s="23"/>
      <c r="EW887" s="23"/>
      <c r="EX887" s="23"/>
      <c r="EY887" s="23"/>
      <c r="EZ887" s="23"/>
      <c r="FA887" s="23"/>
      <c r="FB887" s="23"/>
      <c r="FC887" s="23"/>
      <c r="FD887" s="23"/>
      <c r="FE887" s="23"/>
      <c r="FF887" s="23"/>
      <c r="FG887" s="23"/>
      <c r="FH887" s="23"/>
      <c r="FI887" s="23"/>
      <c r="FJ887" s="23"/>
      <c r="FK887" s="23"/>
      <c r="FL887" s="23"/>
      <c r="FM887" s="23"/>
      <c r="FN887" s="23"/>
      <c r="FO887" s="23"/>
      <c r="FP887" s="23"/>
      <c r="FQ887" s="23"/>
      <c r="FR887" s="23"/>
      <c r="FS887" s="23"/>
      <c r="FT887" s="23"/>
      <c r="FU887" s="23"/>
      <c r="FV887" s="23"/>
      <c r="FW887" s="23"/>
      <c r="FX887" s="23"/>
      <c r="FY887" s="23"/>
      <c r="FZ887" s="23"/>
      <c r="GA887" s="23"/>
      <c r="GB887" s="23"/>
      <c r="GC887" s="23"/>
      <c r="GD887" s="23"/>
      <c r="GE887" s="23"/>
      <c r="GF887" s="23"/>
      <c r="GG887" s="23"/>
      <c r="GH887" s="23"/>
      <c r="GI887" s="23"/>
      <c r="GJ887" s="23"/>
      <c r="GK887" s="23"/>
      <c r="GL887" s="23"/>
    </row>
    <row r="888" spans="1:194" ht="13">
      <c r="A888" s="23"/>
      <c r="B888" s="23"/>
      <c r="C888" s="23"/>
      <c r="D888" s="23"/>
      <c r="E888" s="23"/>
      <c r="F888" s="23"/>
      <c r="G888" s="23"/>
      <c r="H888" s="401"/>
      <c r="I888" s="401"/>
      <c r="J888" s="401"/>
      <c r="K888" s="401"/>
      <c r="L888" s="401"/>
      <c r="M888" s="438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  <c r="AL888" s="23"/>
      <c r="AM888" s="23"/>
      <c r="AN888" s="23"/>
      <c r="AO888" s="23"/>
      <c r="AP888" s="23"/>
      <c r="AQ888" s="23"/>
      <c r="AR888" s="23"/>
      <c r="AS888" s="23"/>
      <c r="AT888" s="23"/>
      <c r="AU888" s="23"/>
      <c r="AV888" s="23"/>
      <c r="AW888" s="23"/>
      <c r="AX888" s="23"/>
      <c r="AY888" s="23"/>
      <c r="AZ888" s="23"/>
      <c r="BA888" s="23"/>
      <c r="BB888" s="23"/>
      <c r="BC888" s="23"/>
      <c r="BD888" s="23"/>
      <c r="BE888" s="23"/>
      <c r="BF888" s="23"/>
      <c r="BG888" s="23"/>
      <c r="BH888" s="23"/>
      <c r="BI888" s="23"/>
      <c r="BJ888" s="23"/>
      <c r="BK888" s="23"/>
      <c r="BL888" s="23"/>
      <c r="BM888" s="23"/>
      <c r="BN888" s="23"/>
      <c r="BO888" s="23"/>
      <c r="BP888" s="23"/>
      <c r="BQ888" s="23"/>
      <c r="BR888" s="23"/>
      <c r="BS888" s="23"/>
      <c r="BT888" s="23"/>
      <c r="BU888" s="23"/>
      <c r="BV888" s="23"/>
      <c r="BW888" s="23"/>
      <c r="BX888" s="23"/>
      <c r="BY888" s="23"/>
      <c r="BZ888" s="23"/>
      <c r="CA888" s="23"/>
      <c r="CB888" s="23"/>
      <c r="CC888" s="23"/>
      <c r="CD888" s="23"/>
      <c r="CE888" s="23"/>
      <c r="CF888" s="23"/>
      <c r="CG888" s="23"/>
      <c r="CH888" s="23"/>
      <c r="CI888" s="23"/>
      <c r="CJ888" s="23"/>
      <c r="CK888" s="23"/>
      <c r="CL888" s="23"/>
      <c r="CM888" s="23"/>
      <c r="CN888" s="23"/>
      <c r="CO888" s="23"/>
      <c r="CP888" s="23"/>
      <c r="CQ888" s="23"/>
      <c r="CR888" s="23"/>
      <c r="CS888" s="23"/>
      <c r="CT888" s="23"/>
      <c r="CU888" s="23"/>
      <c r="CV888" s="23"/>
      <c r="CW888" s="23"/>
      <c r="CX888" s="23"/>
      <c r="CY888" s="23"/>
      <c r="CZ888" s="23"/>
      <c r="DA888" s="23"/>
      <c r="DB888" s="23"/>
      <c r="DC888" s="23"/>
      <c r="DD888" s="23"/>
      <c r="DE888" s="23"/>
      <c r="DF888" s="23"/>
      <c r="DG888" s="23"/>
      <c r="DH888" s="23"/>
      <c r="DI888" s="23"/>
      <c r="DJ888" s="23"/>
      <c r="DK888" s="23"/>
      <c r="DL888" s="23"/>
      <c r="DM888" s="23"/>
      <c r="DN888" s="23"/>
      <c r="DO888" s="23"/>
      <c r="DP888" s="23"/>
      <c r="DQ888" s="23"/>
      <c r="DR888" s="23"/>
      <c r="DS888" s="23"/>
      <c r="DT888" s="23"/>
      <c r="DU888" s="23"/>
      <c r="DV888" s="23"/>
      <c r="DW888" s="23"/>
      <c r="DX888" s="23"/>
      <c r="DY888" s="23"/>
      <c r="DZ888" s="23"/>
      <c r="EA888" s="23"/>
      <c r="EB888" s="23"/>
      <c r="EC888" s="23"/>
      <c r="ED888" s="23"/>
      <c r="EE888" s="23"/>
      <c r="EF888" s="23"/>
      <c r="EG888" s="23"/>
      <c r="EH888" s="23"/>
      <c r="EI888" s="23"/>
      <c r="EJ888" s="23"/>
      <c r="EK888" s="23"/>
      <c r="EL888" s="23"/>
      <c r="EM888" s="23"/>
      <c r="EN888" s="23"/>
      <c r="EO888" s="23"/>
      <c r="EP888" s="23"/>
      <c r="EQ888" s="23"/>
      <c r="ER888" s="23"/>
      <c r="ES888" s="23"/>
      <c r="ET888" s="23"/>
      <c r="EU888" s="23"/>
      <c r="EV888" s="23"/>
      <c r="EW888" s="23"/>
      <c r="EX888" s="23"/>
      <c r="EY888" s="23"/>
      <c r="EZ888" s="23"/>
      <c r="FA888" s="23"/>
      <c r="FB888" s="23"/>
      <c r="FC888" s="23"/>
      <c r="FD888" s="23"/>
      <c r="FE888" s="23"/>
      <c r="FF888" s="23"/>
      <c r="FG888" s="23"/>
      <c r="FH888" s="23"/>
      <c r="FI888" s="23"/>
      <c r="FJ888" s="23"/>
      <c r="FK888" s="23"/>
      <c r="FL888" s="23"/>
      <c r="FM888" s="23"/>
      <c r="FN888" s="23"/>
      <c r="FO888" s="23"/>
      <c r="FP888" s="23"/>
      <c r="FQ888" s="23"/>
      <c r="FR888" s="23"/>
      <c r="FS888" s="23"/>
      <c r="FT888" s="23"/>
      <c r="FU888" s="23"/>
      <c r="FV888" s="23"/>
      <c r="FW888" s="23"/>
      <c r="FX888" s="23"/>
      <c r="FY888" s="23"/>
      <c r="FZ888" s="23"/>
      <c r="GA888" s="23"/>
      <c r="GB888" s="23"/>
      <c r="GC888" s="23"/>
      <c r="GD888" s="23"/>
      <c r="GE888" s="23"/>
      <c r="GF888" s="23"/>
      <c r="GG888" s="23"/>
      <c r="GH888" s="23"/>
      <c r="GI888" s="23"/>
      <c r="GJ888" s="23"/>
      <c r="GK888" s="23"/>
      <c r="GL888" s="23"/>
    </row>
    <row r="889" spans="1:194" ht="13">
      <c r="A889" s="23"/>
      <c r="B889" s="23"/>
      <c r="C889" s="23"/>
      <c r="D889" s="23"/>
      <c r="E889" s="23"/>
      <c r="F889" s="23"/>
      <c r="G889" s="23"/>
      <c r="H889" s="401"/>
      <c r="I889" s="401"/>
      <c r="J889" s="401"/>
      <c r="K889" s="401"/>
      <c r="L889" s="401"/>
      <c r="M889" s="438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  <c r="AL889" s="23"/>
      <c r="AM889" s="23"/>
      <c r="AN889" s="23"/>
      <c r="AO889" s="23"/>
      <c r="AP889" s="23"/>
      <c r="AQ889" s="23"/>
      <c r="AR889" s="23"/>
      <c r="AS889" s="23"/>
      <c r="AT889" s="23"/>
      <c r="AU889" s="23"/>
      <c r="AV889" s="23"/>
      <c r="AW889" s="23"/>
      <c r="AX889" s="23"/>
      <c r="AY889" s="23"/>
      <c r="AZ889" s="23"/>
      <c r="BA889" s="23"/>
      <c r="BB889" s="23"/>
      <c r="BC889" s="23"/>
      <c r="BD889" s="23"/>
      <c r="BE889" s="23"/>
      <c r="BF889" s="23"/>
      <c r="BG889" s="23"/>
      <c r="BH889" s="23"/>
      <c r="BI889" s="23"/>
      <c r="BJ889" s="23"/>
      <c r="BK889" s="23"/>
      <c r="BL889" s="23"/>
      <c r="BM889" s="23"/>
      <c r="BN889" s="23"/>
      <c r="BO889" s="23"/>
      <c r="BP889" s="23"/>
      <c r="BQ889" s="23"/>
      <c r="BR889" s="23"/>
      <c r="BS889" s="23"/>
      <c r="BT889" s="23"/>
      <c r="BU889" s="23"/>
      <c r="BV889" s="23"/>
      <c r="BW889" s="23"/>
      <c r="BX889" s="23"/>
      <c r="BY889" s="23"/>
      <c r="BZ889" s="23"/>
      <c r="CA889" s="23"/>
      <c r="CB889" s="23"/>
      <c r="CC889" s="23"/>
      <c r="CD889" s="23"/>
      <c r="CE889" s="23"/>
      <c r="CF889" s="23"/>
      <c r="CG889" s="23"/>
      <c r="CH889" s="23"/>
      <c r="CI889" s="23"/>
      <c r="CJ889" s="23"/>
      <c r="CK889" s="23"/>
      <c r="CL889" s="23"/>
      <c r="CM889" s="23"/>
      <c r="CN889" s="23"/>
      <c r="CO889" s="23"/>
      <c r="CP889" s="23"/>
      <c r="CQ889" s="23"/>
      <c r="CR889" s="23"/>
      <c r="CS889" s="23"/>
      <c r="CT889" s="23"/>
      <c r="CU889" s="23"/>
      <c r="CV889" s="23"/>
      <c r="CW889" s="23"/>
      <c r="CX889" s="23"/>
      <c r="CY889" s="23"/>
      <c r="CZ889" s="23"/>
      <c r="DA889" s="23"/>
      <c r="DB889" s="23"/>
      <c r="DC889" s="23"/>
      <c r="DD889" s="23"/>
      <c r="DE889" s="23"/>
      <c r="DF889" s="23"/>
      <c r="DG889" s="23"/>
      <c r="DH889" s="23"/>
      <c r="DI889" s="23"/>
      <c r="DJ889" s="23"/>
      <c r="DK889" s="23"/>
      <c r="DL889" s="23"/>
      <c r="DM889" s="23"/>
      <c r="DN889" s="23"/>
      <c r="DO889" s="23"/>
      <c r="DP889" s="23"/>
      <c r="DQ889" s="23"/>
      <c r="DR889" s="23"/>
      <c r="DS889" s="23"/>
      <c r="DT889" s="23"/>
      <c r="DU889" s="23"/>
      <c r="DV889" s="23"/>
      <c r="DW889" s="23"/>
      <c r="DX889" s="23"/>
      <c r="DY889" s="23"/>
      <c r="DZ889" s="23"/>
      <c r="EA889" s="23"/>
      <c r="EB889" s="23"/>
      <c r="EC889" s="23"/>
      <c r="ED889" s="23"/>
      <c r="EE889" s="23"/>
      <c r="EF889" s="23"/>
      <c r="EG889" s="23"/>
      <c r="EH889" s="23"/>
      <c r="EI889" s="23"/>
      <c r="EJ889" s="23"/>
      <c r="EK889" s="23"/>
      <c r="EL889" s="23"/>
      <c r="EM889" s="23"/>
      <c r="EN889" s="23"/>
      <c r="EO889" s="23"/>
      <c r="EP889" s="23"/>
      <c r="EQ889" s="23"/>
      <c r="ER889" s="23"/>
      <c r="ES889" s="23"/>
      <c r="ET889" s="23"/>
      <c r="EU889" s="23"/>
      <c r="EV889" s="23"/>
      <c r="EW889" s="23"/>
      <c r="EX889" s="23"/>
      <c r="EY889" s="23"/>
      <c r="EZ889" s="23"/>
      <c r="FA889" s="23"/>
      <c r="FB889" s="23"/>
      <c r="FC889" s="23"/>
      <c r="FD889" s="23"/>
      <c r="FE889" s="23"/>
      <c r="FF889" s="23"/>
      <c r="FG889" s="23"/>
      <c r="FH889" s="23"/>
      <c r="FI889" s="23"/>
      <c r="FJ889" s="23"/>
      <c r="FK889" s="23"/>
      <c r="FL889" s="23"/>
      <c r="FM889" s="23"/>
      <c r="FN889" s="23"/>
      <c r="FO889" s="23"/>
      <c r="FP889" s="23"/>
      <c r="FQ889" s="23"/>
      <c r="FR889" s="23"/>
      <c r="FS889" s="23"/>
      <c r="FT889" s="23"/>
      <c r="FU889" s="23"/>
      <c r="FV889" s="23"/>
      <c r="FW889" s="23"/>
      <c r="FX889" s="23"/>
      <c r="FY889" s="23"/>
      <c r="FZ889" s="23"/>
      <c r="GA889" s="23"/>
      <c r="GB889" s="23"/>
      <c r="GC889" s="23"/>
      <c r="GD889" s="23"/>
      <c r="GE889" s="23"/>
      <c r="GF889" s="23"/>
      <c r="GG889" s="23"/>
      <c r="GH889" s="23"/>
      <c r="GI889" s="23"/>
      <c r="GJ889" s="23"/>
      <c r="GK889" s="23"/>
      <c r="GL889" s="23"/>
    </row>
    <row r="890" spans="1:194" ht="13">
      <c r="A890" s="23"/>
      <c r="B890" s="23"/>
      <c r="C890" s="23"/>
      <c r="D890" s="23"/>
      <c r="E890" s="23"/>
      <c r="F890" s="23"/>
      <c r="G890" s="23"/>
      <c r="H890" s="401"/>
      <c r="I890" s="401"/>
      <c r="J890" s="401"/>
      <c r="K890" s="401"/>
      <c r="L890" s="401"/>
      <c r="M890" s="438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  <c r="AL890" s="23"/>
      <c r="AM890" s="23"/>
      <c r="AN890" s="23"/>
      <c r="AO890" s="23"/>
      <c r="AP890" s="23"/>
      <c r="AQ890" s="23"/>
      <c r="AR890" s="23"/>
      <c r="AS890" s="23"/>
      <c r="AT890" s="23"/>
      <c r="AU890" s="23"/>
      <c r="AV890" s="23"/>
      <c r="AW890" s="23"/>
      <c r="AX890" s="23"/>
      <c r="AY890" s="23"/>
      <c r="AZ890" s="23"/>
      <c r="BA890" s="23"/>
      <c r="BB890" s="23"/>
      <c r="BC890" s="23"/>
      <c r="BD890" s="23"/>
      <c r="BE890" s="23"/>
      <c r="BF890" s="23"/>
      <c r="BG890" s="23"/>
      <c r="BH890" s="23"/>
      <c r="BI890" s="23"/>
      <c r="BJ890" s="23"/>
      <c r="BK890" s="23"/>
      <c r="BL890" s="23"/>
      <c r="BM890" s="23"/>
      <c r="BN890" s="23"/>
      <c r="BO890" s="23"/>
      <c r="BP890" s="23"/>
      <c r="BQ890" s="23"/>
      <c r="BR890" s="23"/>
      <c r="BS890" s="23"/>
      <c r="BT890" s="23"/>
      <c r="BU890" s="23"/>
      <c r="BV890" s="23"/>
      <c r="BW890" s="23"/>
      <c r="BX890" s="23"/>
      <c r="BY890" s="23"/>
      <c r="BZ890" s="23"/>
      <c r="CA890" s="23"/>
      <c r="CB890" s="23"/>
      <c r="CC890" s="23"/>
      <c r="CD890" s="23"/>
      <c r="CE890" s="23"/>
      <c r="CF890" s="23"/>
      <c r="CG890" s="23"/>
      <c r="CH890" s="23"/>
      <c r="CI890" s="23"/>
      <c r="CJ890" s="23"/>
      <c r="CK890" s="23"/>
      <c r="CL890" s="23"/>
      <c r="CM890" s="23"/>
      <c r="CN890" s="23"/>
      <c r="CO890" s="23"/>
      <c r="CP890" s="23"/>
      <c r="CQ890" s="23"/>
      <c r="CR890" s="23"/>
      <c r="CS890" s="23"/>
      <c r="CT890" s="23"/>
      <c r="CU890" s="23"/>
      <c r="CV890" s="23"/>
      <c r="CW890" s="23"/>
      <c r="CX890" s="23"/>
      <c r="CY890" s="23"/>
      <c r="CZ890" s="23"/>
      <c r="DA890" s="23"/>
      <c r="DB890" s="23"/>
      <c r="DC890" s="23"/>
      <c r="DD890" s="23"/>
      <c r="DE890" s="23"/>
      <c r="DF890" s="23"/>
      <c r="DG890" s="23"/>
      <c r="DH890" s="23"/>
      <c r="DI890" s="23"/>
      <c r="DJ890" s="23"/>
      <c r="DK890" s="23"/>
      <c r="DL890" s="23"/>
      <c r="DM890" s="23"/>
      <c r="DN890" s="23"/>
      <c r="DO890" s="23"/>
      <c r="DP890" s="23"/>
      <c r="DQ890" s="23"/>
      <c r="DR890" s="23"/>
      <c r="DS890" s="23"/>
      <c r="DT890" s="23"/>
      <c r="DU890" s="23"/>
      <c r="DV890" s="23"/>
      <c r="DW890" s="23"/>
      <c r="DX890" s="23"/>
      <c r="DY890" s="23"/>
      <c r="DZ890" s="23"/>
      <c r="EA890" s="23"/>
      <c r="EB890" s="23"/>
      <c r="EC890" s="23"/>
      <c r="ED890" s="23"/>
      <c r="EE890" s="23"/>
      <c r="EF890" s="23"/>
      <c r="EG890" s="23"/>
      <c r="EH890" s="23"/>
      <c r="EI890" s="23"/>
      <c r="EJ890" s="23"/>
      <c r="EK890" s="23"/>
      <c r="EL890" s="23"/>
      <c r="EM890" s="23"/>
      <c r="EN890" s="23"/>
      <c r="EO890" s="23"/>
      <c r="EP890" s="23"/>
      <c r="EQ890" s="23"/>
      <c r="ER890" s="23"/>
      <c r="ES890" s="23"/>
      <c r="ET890" s="23"/>
      <c r="EU890" s="23"/>
      <c r="EV890" s="23"/>
      <c r="EW890" s="23"/>
      <c r="EX890" s="23"/>
      <c r="EY890" s="23"/>
      <c r="EZ890" s="23"/>
      <c r="FA890" s="23"/>
      <c r="FB890" s="23"/>
      <c r="FC890" s="23"/>
      <c r="FD890" s="23"/>
      <c r="FE890" s="23"/>
      <c r="FF890" s="23"/>
      <c r="FG890" s="23"/>
      <c r="FH890" s="23"/>
      <c r="FI890" s="23"/>
      <c r="FJ890" s="23"/>
      <c r="FK890" s="23"/>
      <c r="FL890" s="23"/>
      <c r="FM890" s="23"/>
      <c r="FN890" s="23"/>
      <c r="FO890" s="23"/>
      <c r="FP890" s="23"/>
      <c r="FQ890" s="23"/>
      <c r="FR890" s="23"/>
      <c r="FS890" s="23"/>
      <c r="FT890" s="23"/>
      <c r="FU890" s="23"/>
      <c r="FV890" s="23"/>
      <c r="FW890" s="23"/>
      <c r="FX890" s="23"/>
      <c r="FY890" s="23"/>
      <c r="FZ890" s="23"/>
      <c r="GA890" s="23"/>
      <c r="GB890" s="23"/>
      <c r="GC890" s="23"/>
      <c r="GD890" s="23"/>
      <c r="GE890" s="23"/>
      <c r="GF890" s="23"/>
      <c r="GG890" s="23"/>
      <c r="GH890" s="23"/>
      <c r="GI890" s="23"/>
      <c r="GJ890" s="23"/>
      <c r="GK890" s="23"/>
      <c r="GL890" s="23"/>
    </row>
    <row r="891" spans="1:194" ht="13">
      <c r="A891" s="23"/>
      <c r="B891" s="23"/>
      <c r="C891" s="23"/>
      <c r="D891" s="23"/>
      <c r="E891" s="23"/>
      <c r="F891" s="23"/>
      <c r="G891" s="23"/>
      <c r="H891" s="401"/>
      <c r="I891" s="401"/>
      <c r="J891" s="401"/>
      <c r="K891" s="401"/>
      <c r="L891" s="401"/>
      <c r="M891" s="438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  <c r="AL891" s="23"/>
      <c r="AM891" s="23"/>
      <c r="AN891" s="23"/>
      <c r="AO891" s="23"/>
      <c r="AP891" s="23"/>
      <c r="AQ891" s="23"/>
      <c r="AR891" s="23"/>
      <c r="AS891" s="23"/>
      <c r="AT891" s="23"/>
      <c r="AU891" s="23"/>
      <c r="AV891" s="23"/>
      <c r="AW891" s="23"/>
      <c r="AX891" s="23"/>
      <c r="AY891" s="23"/>
      <c r="AZ891" s="23"/>
      <c r="BA891" s="23"/>
      <c r="BB891" s="23"/>
      <c r="BC891" s="23"/>
      <c r="BD891" s="23"/>
      <c r="BE891" s="23"/>
      <c r="BF891" s="23"/>
      <c r="BG891" s="23"/>
      <c r="BH891" s="23"/>
      <c r="BI891" s="23"/>
      <c r="BJ891" s="23"/>
      <c r="BK891" s="23"/>
      <c r="BL891" s="23"/>
      <c r="BM891" s="23"/>
      <c r="BN891" s="23"/>
      <c r="BO891" s="23"/>
      <c r="BP891" s="23"/>
      <c r="BQ891" s="23"/>
      <c r="BR891" s="23"/>
      <c r="BS891" s="23"/>
      <c r="BT891" s="23"/>
      <c r="BU891" s="23"/>
      <c r="BV891" s="23"/>
      <c r="BW891" s="23"/>
      <c r="BX891" s="23"/>
      <c r="BY891" s="23"/>
      <c r="BZ891" s="23"/>
      <c r="CA891" s="23"/>
      <c r="CB891" s="23"/>
      <c r="CC891" s="23"/>
      <c r="CD891" s="23"/>
      <c r="CE891" s="23"/>
      <c r="CF891" s="23"/>
      <c r="CG891" s="23"/>
      <c r="CH891" s="23"/>
      <c r="CI891" s="23"/>
      <c r="CJ891" s="23"/>
      <c r="CK891" s="23"/>
      <c r="CL891" s="23"/>
      <c r="CM891" s="23"/>
      <c r="CN891" s="23"/>
      <c r="CO891" s="23"/>
      <c r="CP891" s="23"/>
      <c r="CQ891" s="23"/>
      <c r="CR891" s="23"/>
      <c r="CS891" s="23"/>
      <c r="CT891" s="23"/>
      <c r="CU891" s="23"/>
      <c r="CV891" s="23"/>
      <c r="CW891" s="23"/>
      <c r="CX891" s="23"/>
      <c r="CY891" s="23"/>
      <c r="CZ891" s="23"/>
      <c r="DA891" s="23"/>
      <c r="DB891" s="23"/>
      <c r="DC891" s="23"/>
      <c r="DD891" s="23"/>
      <c r="DE891" s="23"/>
      <c r="DF891" s="23"/>
      <c r="DG891" s="23"/>
      <c r="DH891" s="23"/>
      <c r="DI891" s="23"/>
      <c r="DJ891" s="23"/>
      <c r="DK891" s="23"/>
      <c r="DL891" s="23"/>
      <c r="DM891" s="23"/>
      <c r="DN891" s="23"/>
      <c r="DO891" s="23"/>
      <c r="DP891" s="23"/>
      <c r="DQ891" s="23"/>
      <c r="DR891" s="23"/>
      <c r="DS891" s="23"/>
      <c r="DT891" s="23"/>
      <c r="DU891" s="23"/>
      <c r="DV891" s="23"/>
      <c r="DW891" s="23"/>
      <c r="DX891" s="23"/>
      <c r="DY891" s="23"/>
      <c r="DZ891" s="23"/>
      <c r="EA891" s="23"/>
      <c r="EB891" s="23"/>
      <c r="EC891" s="23"/>
      <c r="ED891" s="23"/>
      <c r="EE891" s="23"/>
      <c r="EF891" s="23"/>
      <c r="EG891" s="23"/>
      <c r="EH891" s="23"/>
      <c r="EI891" s="23"/>
      <c r="EJ891" s="23"/>
      <c r="EK891" s="23"/>
      <c r="EL891" s="23"/>
      <c r="EM891" s="23"/>
      <c r="EN891" s="23"/>
      <c r="EO891" s="23"/>
      <c r="EP891" s="23"/>
      <c r="EQ891" s="23"/>
      <c r="ER891" s="23"/>
      <c r="ES891" s="23"/>
      <c r="ET891" s="23"/>
      <c r="EU891" s="23"/>
      <c r="EV891" s="23"/>
      <c r="EW891" s="23"/>
      <c r="EX891" s="23"/>
      <c r="EY891" s="23"/>
      <c r="EZ891" s="23"/>
      <c r="FA891" s="23"/>
      <c r="FB891" s="23"/>
      <c r="FC891" s="23"/>
      <c r="FD891" s="23"/>
      <c r="FE891" s="23"/>
      <c r="FF891" s="23"/>
      <c r="FG891" s="23"/>
      <c r="FH891" s="23"/>
      <c r="FI891" s="23"/>
      <c r="FJ891" s="23"/>
      <c r="FK891" s="23"/>
      <c r="FL891" s="23"/>
      <c r="FM891" s="23"/>
      <c r="FN891" s="23"/>
      <c r="FO891" s="23"/>
      <c r="FP891" s="23"/>
      <c r="FQ891" s="23"/>
      <c r="FR891" s="23"/>
      <c r="FS891" s="23"/>
      <c r="FT891" s="23"/>
      <c r="FU891" s="23"/>
      <c r="FV891" s="23"/>
      <c r="FW891" s="23"/>
      <c r="FX891" s="23"/>
      <c r="FY891" s="23"/>
      <c r="FZ891" s="23"/>
      <c r="GA891" s="23"/>
      <c r="GB891" s="23"/>
      <c r="GC891" s="23"/>
      <c r="GD891" s="23"/>
      <c r="GE891" s="23"/>
      <c r="GF891" s="23"/>
      <c r="GG891" s="23"/>
      <c r="GH891" s="23"/>
      <c r="GI891" s="23"/>
      <c r="GJ891" s="23"/>
      <c r="GK891" s="23"/>
      <c r="GL891" s="23"/>
    </row>
    <row r="892" spans="1:194" ht="13">
      <c r="A892" s="23"/>
      <c r="B892" s="23"/>
      <c r="C892" s="23"/>
      <c r="D892" s="23"/>
      <c r="E892" s="23"/>
      <c r="F892" s="23"/>
      <c r="G892" s="23"/>
      <c r="H892" s="401"/>
      <c r="I892" s="401"/>
      <c r="J892" s="401"/>
      <c r="K892" s="401"/>
      <c r="L892" s="401"/>
      <c r="M892" s="438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  <c r="AL892" s="23"/>
      <c r="AM892" s="23"/>
      <c r="AN892" s="23"/>
      <c r="AO892" s="23"/>
      <c r="AP892" s="23"/>
      <c r="AQ892" s="23"/>
      <c r="AR892" s="23"/>
      <c r="AS892" s="23"/>
      <c r="AT892" s="23"/>
      <c r="AU892" s="23"/>
      <c r="AV892" s="23"/>
      <c r="AW892" s="23"/>
      <c r="AX892" s="23"/>
      <c r="AY892" s="23"/>
      <c r="AZ892" s="23"/>
      <c r="BA892" s="23"/>
      <c r="BB892" s="23"/>
      <c r="BC892" s="23"/>
      <c r="BD892" s="23"/>
      <c r="BE892" s="23"/>
      <c r="BF892" s="23"/>
      <c r="BG892" s="23"/>
      <c r="BH892" s="23"/>
      <c r="BI892" s="23"/>
      <c r="BJ892" s="23"/>
      <c r="BK892" s="23"/>
      <c r="BL892" s="23"/>
      <c r="BM892" s="23"/>
      <c r="BN892" s="23"/>
      <c r="BO892" s="23"/>
      <c r="BP892" s="23"/>
      <c r="BQ892" s="23"/>
      <c r="BR892" s="23"/>
      <c r="BS892" s="23"/>
      <c r="BT892" s="23"/>
      <c r="BU892" s="23"/>
      <c r="BV892" s="23"/>
      <c r="BW892" s="23"/>
      <c r="BX892" s="23"/>
      <c r="BY892" s="23"/>
      <c r="BZ892" s="23"/>
      <c r="CA892" s="23"/>
      <c r="CB892" s="23"/>
      <c r="CC892" s="23"/>
      <c r="CD892" s="23"/>
      <c r="CE892" s="23"/>
      <c r="CF892" s="23"/>
      <c r="CG892" s="23"/>
      <c r="CH892" s="23"/>
      <c r="CI892" s="23"/>
      <c r="CJ892" s="23"/>
      <c r="CK892" s="23"/>
      <c r="CL892" s="23"/>
      <c r="CM892" s="23"/>
      <c r="CN892" s="23"/>
      <c r="CO892" s="23"/>
      <c r="CP892" s="23"/>
      <c r="CQ892" s="23"/>
      <c r="CR892" s="23"/>
      <c r="CS892" s="23"/>
      <c r="CT892" s="23"/>
      <c r="CU892" s="23"/>
      <c r="CV892" s="23"/>
      <c r="CW892" s="23"/>
      <c r="CX892" s="23"/>
      <c r="CY892" s="23"/>
      <c r="CZ892" s="23"/>
      <c r="DA892" s="23"/>
      <c r="DB892" s="23"/>
      <c r="DC892" s="23"/>
      <c r="DD892" s="23"/>
      <c r="DE892" s="23"/>
      <c r="DF892" s="23"/>
      <c r="DG892" s="23"/>
      <c r="DH892" s="23"/>
      <c r="DI892" s="23"/>
      <c r="DJ892" s="23"/>
      <c r="DK892" s="23"/>
      <c r="DL892" s="23"/>
      <c r="DM892" s="23"/>
      <c r="DN892" s="23"/>
      <c r="DO892" s="23"/>
      <c r="DP892" s="23"/>
      <c r="DQ892" s="23"/>
      <c r="DR892" s="23"/>
      <c r="DS892" s="23"/>
      <c r="DT892" s="23"/>
      <c r="DU892" s="23"/>
      <c r="DV892" s="23"/>
      <c r="DW892" s="23"/>
      <c r="DX892" s="23"/>
      <c r="DY892" s="23"/>
      <c r="DZ892" s="23"/>
      <c r="EA892" s="23"/>
      <c r="EB892" s="23"/>
      <c r="EC892" s="23"/>
      <c r="ED892" s="23"/>
      <c r="EE892" s="23"/>
      <c r="EF892" s="23"/>
      <c r="EG892" s="23"/>
      <c r="EH892" s="23"/>
      <c r="EI892" s="23"/>
      <c r="EJ892" s="23"/>
      <c r="EK892" s="23"/>
      <c r="EL892" s="23"/>
      <c r="EM892" s="23"/>
      <c r="EN892" s="23"/>
      <c r="EO892" s="23"/>
      <c r="EP892" s="23"/>
      <c r="EQ892" s="23"/>
      <c r="ER892" s="23"/>
      <c r="ES892" s="23"/>
      <c r="ET892" s="23"/>
      <c r="EU892" s="23"/>
      <c r="EV892" s="23"/>
      <c r="EW892" s="23"/>
      <c r="EX892" s="23"/>
      <c r="EY892" s="23"/>
      <c r="EZ892" s="23"/>
      <c r="FA892" s="23"/>
      <c r="FB892" s="23"/>
      <c r="FC892" s="23"/>
      <c r="FD892" s="23"/>
      <c r="FE892" s="23"/>
      <c r="FF892" s="23"/>
      <c r="FG892" s="23"/>
      <c r="FH892" s="23"/>
      <c r="FI892" s="23"/>
      <c r="FJ892" s="23"/>
      <c r="FK892" s="23"/>
      <c r="FL892" s="23"/>
      <c r="FM892" s="23"/>
      <c r="FN892" s="23"/>
      <c r="FO892" s="23"/>
      <c r="FP892" s="23"/>
      <c r="FQ892" s="23"/>
      <c r="FR892" s="23"/>
      <c r="FS892" s="23"/>
      <c r="FT892" s="23"/>
      <c r="FU892" s="23"/>
      <c r="FV892" s="23"/>
      <c r="FW892" s="23"/>
      <c r="FX892" s="23"/>
      <c r="FY892" s="23"/>
      <c r="FZ892" s="23"/>
      <c r="GA892" s="23"/>
      <c r="GB892" s="23"/>
      <c r="GC892" s="23"/>
      <c r="GD892" s="23"/>
      <c r="GE892" s="23"/>
      <c r="GF892" s="23"/>
      <c r="GG892" s="23"/>
      <c r="GH892" s="23"/>
      <c r="GI892" s="23"/>
      <c r="GJ892" s="23"/>
      <c r="GK892" s="23"/>
      <c r="GL892" s="23"/>
    </row>
    <row r="893" spans="1:194" ht="13">
      <c r="A893" s="23"/>
      <c r="B893" s="23"/>
      <c r="C893" s="23"/>
      <c r="D893" s="23"/>
      <c r="E893" s="23"/>
      <c r="F893" s="23"/>
      <c r="G893" s="23"/>
      <c r="H893" s="401"/>
      <c r="I893" s="401"/>
      <c r="J893" s="401"/>
      <c r="K893" s="401"/>
      <c r="L893" s="401"/>
      <c r="M893" s="438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  <c r="AL893" s="23"/>
      <c r="AM893" s="23"/>
      <c r="AN893" s="23"/>
      <c r="AO893" s="23"/>
      <c r="AP893" s="23"/>
      <c r="AQ893" s="23"/>
      <c r="AR893" s="23"/>
      <c r="AS893" s="23"/>
      <c r="AT893" s="23"/>
      <c r="AU893" s="23"/>
      <c r="AV893" s="23"/>
      <c r="AW893" s="23"/>
      <c r="AX893" s="23"/>
      <c r="AY893" s="23"/>
      <c r="AZ893" s="23"/>
      <c r="BA893" s="23"/>
      <c r="BB893" s="23"/>
      <c r="BC893" s="23"/>
      <c r="BD893" s="23"/>
      <c r="BE893" s="23"/>
      <c r="BF893" s="23"/>
      <c r="BG893" s="23"/>
      <c r="BH893" s="23"/>
      <c r="BI893" s="23"/>
      <c r="BJ893" s="23"/>
      <c r="BK893" s="23"/>
      <c r="BL893" s="23"/>
      <c r="BM893" s="23"/>
      <c r="BN893" s="23"/>
      <c r="BO893" s="23"/>
      <c r="BP893" s="23"/>
      <c r="BQ893" s="23"/>
      <c r="BR893" s="23"/>
      <c r="BS893" s="23"/>
      <c r="BT893" s="23"/>
      <c r="BU893" s="23"/>
      <c r="BV893" s="23"/>
      <c r="BW893" s="23"/>
      <c r="BX893" s="23"/>
      <c r="BY893" s="23"/>
      <c r="BZ893" s="23"/>
      <c r="CA893" s="23"/>
      <c r="CB893" s="23"/>
      <c r="CC893" s="23"/>
      <c r="CD893" s="23"/>
      <c r="CE893" s="23"/>
      <c r="CF893" s="23"/>
      <c r="CG893" s="23"/>
      <c r="CH893" s="23"/>
      <c r="CI893" s="23"/>
      <c r="CJ893" s="23"/>
      <c r="CK893" s="23"/>
      <c r="CL893" s="23"/>
      <c r="CM893" s="23"/>
      <c r="CN893" s="23"/>
      <c r="CO893" s="23"/>
      <c r="CP893" s="23"/>
      <c r="CQ893" s="23"/>
      <c r="CR893" s="23"/>
      <c r="CS893" s="23"/>
      <c r="CT893" s="23"/>
      <c r="CU893" s="23"/>
      <c r="CV893" s="23"/>
      <c r="CW893" s="23"/>
      <c r="CX893" s="23"/>
      <c r="CY893" s="23"/>
      <c r="CZ893" s="23"/>
      <c r="DA893" s="23"/>
      <c r="DB893" s="23"/>
      <c r="DC893" s="23"/>
      <c r="DD893" s="23"/>
      <c r="DE893" s="23"/>
      <c r="DF893" s="23"/>
      <c r="DG893" s="23"/>
      <c r="DH893" s="23"/>
      <c r="DI893" s="23"/>
      <c r="DJ893" s="23"/>
      <c r="DK893" s="23"/>
      <c r="DL893" s="23"/>
      <c r="DM893" s="23"/>
      <c r="DN893" s="23"/>
      <c r="DO893" s="23"/>
      <c r="DP893" s="23"/>
      <c r="DQ893" s="23"/>
      <c r="DR893" s="23"/>
      <c r="DS893" s="23"/>
      <c r="DT893" s="23"/>
      <c r="DU893" s="23"/>
      <c r="DV893" s="23"/>
      <c r="DW893" s="23"/>
      <c r="DX893" s="23"/>
      <c r="DY893" s="23"/>
      <c r="DZ893" s="23"/>
      <c r="EA893" s="23"/>
      <c r="EB893" s="23"/>
      <c r="EC893" s="23"/>
      <c r="ED893" s="23"/>
      <c r="EE893" s="23"/>
      <c r="EF893" s="23"/>
      <c r="EG893" s="23"/>
      <c r="EH893" s="23"/>
      <c r="EI893" s="23"/>
      <c r="EJ893" s="23"/>
      <c r="EK893" s="23"/>
      <c r="EL893" s="23"/>
      <c r="EM893" s="23"/>
      <c r="EN893" s="23"/>
      <c r="EO893" s="23"/>
      <c r="EP893" s="23"/>
      <c r="EQ893" s="23"/>
      <c r="ER893" s="23"/>
      <c r="ES893" s="23"/>
      <c r="ET893" s="23"/>
      <c r="EU893" s="23"/>
      <c r="EV893" s="23"/>
      <c r="EW893" s="23"/>
      <c r="EX893" s="23"/>
      <c r="EY893" s="23"/>
      <c r="EZ893" s="23"/>
      <c r="FA893" s="23"/>
      <c r="FB893" s="23"/>
      <c r="FC893" s="23"/>
      <c r="FD893" s="23"/>
      <c r="FE893" s="23"/>
      <c r="FF893" s="23"/>
      <c r="FG893" s="23"/>
      <c r="FH893" s="23"/>
      <c r="FI893" s="23"/>
      <c r="FJ893" s="23"/>
      <c r="FK893" s="23"/>
      <c r="FL893" s="23"/>
      <c r="FM893" s="23"/>
      <c r="FN893" s="23"/>
      <c r="FO893" s="23"/>
      <c r="FP893" s="23"/>
      <c r="FQ893" s="23"/>
      <c r="FR893" s="23"/>
      <c r="FS893" s="23"/>
      <c r="FT893" s="23"/>
      <c r="FU893" s="23"/>
      <c r="FV893" s="23"/>
      <c r="FW893" s="23"/>
      <c r="FX893" s="23"/>
      <c r="FY893" s="23"/>
      <c r="FZ893" s="23"/>
      <c r="GA893" s="23"/>
      <c r="GB893" s="23"/>
      <c r="GC893" s="23"/>
      <c r="GD893" s="23"/>
      <c r="GE893" s="23"/>
      <c r="GF893" s="23"/>
      <c r="GG893" s="23"/>
      <c r="GH893" s="23"/>
      <c r="GI893" s="23"/>
      <c r="GJ893" s="23"/>
      <c r="GK893" s="23"/>
      <c r="GL893" s="23"/>
    </row>
    <row r="894" spans="1:194" ht="13">
      <c r="A894" s="23"/>
      <c r="B894" s="23"/>
      <c r="C894" s="23"/>
      <c r="D894" s="23"/>
      <c r="E894" s="23"/>
      <c r="F894" s="23"/>
      <c r="G894" s="23"/>
      <c r="H894" s="401"/>
      <c r="I894" s="401"/>
      <c r="J894" s="401"/>
      <c r="K894" s="401"/>
      <c r="L894" s="401"/>
      <c r="M894" s="438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  <c r="AL894" s="23"/>
      <c r="AM894" s="23"/>
      <c r="AN894" s="23"/>
      <c r="AO894" s="23"/>
      <c r="AP894" s="23"/>
      <c r="AQ894" s="23"/>
      <c r="AR894" s="23"/>
      <c r="AS894" s="23"/>
      <c r="AT894" s="23"/>
      <c r="AU894" s="23"/>
      <c r="AV894" s="23"/>
      <c r="AW894" s="23"/>
      <c r="AX894" s="23"/>
      <c r="AY894" s="23"/>
      <c r="AZ894" s="23"/>
      <c r="BA894" s="23"/>
      <c r="BB894" s="23"/>
      <c r="BC894" s="23"/>
      <c r="BD894" s="23"/>
      <c r="BE894" s="23"/>
      <c r="BF894" s="23"/>
      <c r="BG894" s="23"/>
      <c r="BH894" s="23"/>
      <c r="BI894" s="23"/>
      <c r="BJ894" s="23"/>
      <c r="BK894" s="23"/>
      <c r="BL894" s="23"/>
      <c r="BM894" s="23"/>
      <c r="BN894" s="23"/>
      <c r="BO894" s="23"/>
      <c r="BP894" s="23"/>
      <c r="BQ894" s="23"/>
      <c r="BR894" s="23"/>
      <c r="BS894" s="23"/>
      <c r="BT894" s="23"/>
      <c r="BU894" s="23"/>
      <c r="BV894" s="23"/>
      <c r="BW894" s="23"/>
      <c r="BX894" s="23"/>
      <c r="BY894" s="23"/>
      <c r="BZ894" s="23"/>
      <c r="CA894" s="23"/>
      <c r="CB894" s="23"/>
      <c r="CC894" s="23"/>
      <c r="CD894" s="23"/>
      <c r="CE894" s="23"/>
      <c r="CF894" s="23"/>
      <c r="CG894" s="23"/>
      <c r="CH894" s="23"/>
      <c r="CI894" s="23"/>
      <c r="CJ894" s="23"/>
      <c r="CK894" s="23"/>
      <c r="CL894" s="23"/>
      <c r="CM894" s="23"/>
      <c r="CN894" s="23"/>
      <c r="CO894" s="23"/>
      <c r="CP894" s="23"/>
      <c r="CQ894" s="23"/>
      <c r="CR894" s="23"/>
      <c r="CS894" s="23"/>
      <c r="CT894" s="23"/>
      <c r="CU894" s="23"/>
      <c r="CV894" s="23"/>
      <c r="CW894" s="23"/>
      <c r="CX894" s="23"/>
      <c r="CY894" s="23"/>
      <c r="CZ894" s="23"/>
      <c r="DA894" s="23"/>
      <c r="DB894" s="23"/>
      <c r="DC894" s="23"/>
      <c r="DD894" s="23"/>
      <c r="DE894" s="23"/>
      <c r="DF894" s="23"/>
      <c r="DG894" s="23"/>
      <c r="DH894" s="23"/>
      <c r="DI894" s="23"/>
      <c r="DJ894" s="23"/>
      <c r="DK894" s="23"/>
      <c r="DL894" s="23"/>
      <c r="DM894" s="23"/>
      <c r="DN894" s="23"/>
      <c r="DO894" s="23"/>
      <c r="DP894" s="23"/>
      <c r="DQ894" s="23"/>
      <c r="DR894" s="23"/>
      <c r="DS894" s="23"/>
      <c r="DT894" s="23"/>
      <c r="DU894" s="23"/>
      <c r="DV894" s="23"/>
      <c r="DW894" s="23"/>
      <c r="DX894" s="23"/>
      <c r="DY894" s="23"/>
      <c r="DZ894" s="23"/>
      <c r="EA894" s="23"/>
      <c r="EB894" s="23"/>
      <c r="EC894" s="23"/>
      <c r="ED894" s="23"/>
      <c r="EE894" s="23"/>
      <c r="EF894" s="23"/>
      <c r="EG894" s="23"/>
      <c r="EH894" s="23"/>
      <c r="EI894" s="23"/>
      <c r="EJ894" s="23"/>
      <c r="EK894" s="23"/>
      <c r="EL894" s="23"/>
      <c r="EM894" s="23"/>
      <c r="EN894" s="23"/>
      <c r="EO894" s="23"/>
      <c r="EP894" s="23"/>
      <c r="EQ894" s="23"/>
      <c r="ER894" s="23"/>
      <c r="ES894" s="23"/>
      <c r="ET894" s="23"/>
      <c r="EU894" s="23"/>
      <c r="EV894" s="23"/>
      <c r="EW894" s="23"/>
      <c r="EX894" s="23"/>
      <c r="EY894" s="23"/>
      <c r="EZ894" s="23"/>
      <c r="FA894" s="23"/>
      <c r="FB894" s="23"/>
      <c r="FC894" s="23"/>
      <c r="FD894" s="23"/>
      <c r="FE894" s="23"/>
      <c r="FF894" s="23"/>
      <c r="FG894" s="23"/>
      <c r="FH894" s="23"/>
      <c r="FI894" s="23"/>
      <c r="FJ894" s="23"/>
      <c r="FK894" s="23"/>
      <c r="FL894" s="23"/>
      <c r="FM894" s="23"/>
      <c r="FN894" s="23"/>
      <c r="FO894" s="23"/>
      <c r="FP894" s="23"/>
      <c r="FQ894" s="23"/>
      <c r="FR894" s="23"/>
      <c r="FS894" s="23"/>
      <c r="FT894" s="23"/>
      <c r="FU894" s="23"/>
      <c r="FV894" s="23"/>
      <c r="FW894" s="23"/>
      <c r="FX894" s="23"/>
      <c r="FY894" s="23"/>
      <c r="FZ894" s="23"/>
      <c r="GA894" s="23"/>
      <c r="GB894" s="23"/>
      <c r="GC894" s="23"/>
      <c r="GD894" s="23"/>
      <c r="GE894" s="23"/>
      <c r="GF894" s="23"/>
      <c r="GG894" s="23"/>
      <c r="GH894" s="23"/>
      <c r="GI894" s="23"/>
      <c r="GJ894" s="23"/>
      <c r="GK894" s="23"/>
      <c r="GL894" s="23"/>
    </row>
    <row r="895" spans="1:194" ht="13">
      <c r="A895" s="23"/>
      <c r="B895" s="23"/>
      <c r="C895" s="23"/>
      <c r="D895" s="23"/>
      <c r="E895" s="23"/>
      <c r="F895" s="23"/>
      <c r="G895" s="23"/>
      <c r="H895" s="401"/>
      <c r="I895" s="401"/>
      <c r="J895" s="401"/>
      <c r="K895" s="401"/>
      <c r="L895" s="401"/>
      <c r="M895" s="438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  <c r="AL895" s="23"/>
      <c r="AM895" s="23"/>
      <c r="AN895" s="23"/>
      <c r="AO895" s="23"/>
      <c r="AP895" s="23"/>
      <c r="AQ895" s="23"/>
      <c r="AR895" s="23"/>
      <c r="AS895" s="23"/>
      <c r="AT895" s="23"/>
      <c r="AU895" s="23"/>
      <c r="AV895" s="23"/>
      <c r="AW895" s="23"/>
      <c r="AX895" s="23"/>
      <c r="AY895" s="23"/>
      <c r="AZ895" s="23"/>
      <c r="BA895" s="23"/>
      <c r="BB895" s="23"/>
      <c r="BC895" s="23"/>
      <c r="BD895" s="23"/>
      <c r="BE895" s="23"/>
      <c r="BF895" s="23"/>
      <c r="BG895" s="23"/>
      <c r="BH895" s="23"/>
      <c r="BI895" s="23"/>
      <c r="BJ895" s="23"/>
      <c r="BK895" s="23"/>
      <c r="BL895" s="23"/>
      <c r="BM895" s="23"/>
      <c r="BN895" s="23"/>
      <c r="BO895" s="23"/>
      <c r="BP895" s="23"/>
      <c r="BQ895" s="23"/>
      <c r="BR895" s="23"/>
      <c r="BS895" s="23"/>
      <c r="BT895" s="23"/>
      <c r="BU895" s="23"/>
      <c r="BV895" s="23"/>
      <c r="BW895" s="23"/>
      <c r="BX895" s="23"/>
      <c r="BY895" s="23"/>
      <c r="BZ895" s="23"/>
      <c r="CA895" s="23"/>
      <c r="CB895" s="23"/>
      <c r="CC895" s="23"/>
      <c r="CD895" s="23"/>
      <c r="CE895" s="23"/>
      <c r="CF895" s="23"/>
      <c r="CG895" s="23"/>
      <c r="CH895" s="23"/>
      <c r="CI895" s="23"/>
      <c r="CJ895" s="23"/>
      <c r="CK895" s="23"/>
      <c r="CL895" s="23"/>
      <c r="CM895" s="23"/>
      <c r="CN895" s="23"/>
      <c r="CO895" s="23"/>
      <c r="CP895" s="23"/>
      <c r="CQ895" s="23"/>
      <c r="CR895" s="23"/>
      <c r="CS895" s="23"/>
      <c r="CT895" s="23"/>
      <c r="CU895" s="23"/>
      <c r="CV895" s="23"/>
      <c r="CW895" s="23"/>
      <c r="CX895" s="23"/>
      <c r="CY895" s="23"/>
      <c r="CZ895" s="23"/>
      <c r="DA895" s="23"/>
      <c r="DB895" s="23"/>
      <c r="DC895" s="23"/>
      <c r="DD895" s="23"/>
      <c r="DE895" s="23"/>
      <c r="DF895" s="23"/>
      <c r="DG895" s="23"/>
      <c r="DH895" s="23"/>
      <c r="DI895" s="23"/>
      <c r="DJ895" s="23"/>
      <c r="DK895" s="23"/>
      <c r="DL895" s="23"/>
      <c r="DM895" s="23"/>
      <c r="DN895" s="23"/>
      <c r="DO895" s="23"/>
      <c r="DP895" s="23"/>
      <c r="DQ895" s="23"/>
      <c r="DR895" s="23"/>
      <c r="DS895" s="23"/>
      <c r="DT895" s="23"/>
      <c r="DU895" s="23"/>
      <c r="DV895" s="23"/>
      <c r="DW895" s="23"/>
      <c r="DX895" s="23"/>
      <c r="DY895" s="23"/>
      <c r="DZ895" s="23"/>
      <c r="EA895" s="23"/>
      <c r="EB895" s="23"/>
      <c r="EC895" s="23"/>
      <c r="ED895" s="23"/>
      <c r="EE895" s="23"/>
      <c r="EF895" s="23"/>
      <c r="EG895" s="23"/>
      <c r="EH895" s="23"/>
      <c r="EI895" s="23"/>
      <c r="EJ895" s="23"/>
      <c r="EK895" s="23"/>
      <c r="EL895" s="23"/>
      <c r="EM895" s="23"/>
      <c r="EN895" s="23"/>
      <c r="EO895" s="23"/>
      <c r="EP895" s="23"/>
      <c r="EQ895" s="23"/>
      <c r="ER895" s="23"/>
      <c r="ES895" s="23"/>
      <c r="ET895" s="23"/>
      <c r="EU895" s="23"/>
      <c r="EV895" s="23"/>
      <c r="EW895" s="23"/>
      <c r="EX895" s="23"/>
      <c r="EY895" s="23"/>
      <c r="EZ895" s="23"/>
      <c r="FA895" s="23"/>
      <c r="FB895" s="23"/>
      <c r="FC895" s="23"/>
      <c r="FD895" s="23"/>
      <c r="FE895" s="23"/>
      <c r="FF895" s="23"/>
      <c r="FG895" s="23"/>
      <c r="FH895" s="23"/>
      <c r="FI895" s="23"/>
      <c r="FJ895" s="23"/>
      <c r="FK895" s="23"/>
      <c r="FL895" s="23"/>
      <c r="FM895" s="23"/>
      <c r="FN895" s="23"/>
      <c r="FO895" s="23"/>
      <c r="FP895" s="23"/>
      <c r="FQ895" s="23"/>
      <c r="FR895" s="23"/>
      <c r="FS895" s="23"/>
      <c r="FT895" s="23"/>
      <c r="FU895" s="23"/>
      <c r="FV895" s="23"/>
      <c r="FW895" s="23"/>
      <c r="FX895" s="23"/>
      <c r="FY895" s="23"/>
      <c r="FZ895" s="23"/>
      <c r="GA895" s="23"/>
      <c r="GB895" s="23"/>
      <c r="GC895" s="23"/>
      <c r="GD895" s="23"/>
      <c r="GE895" s="23"/>
      <c r="GF895" s="23"/>
      <c r="GG895" s="23"/>
      <c r="GH895" s="23"/>
      <c r="GI895" s="23"/>
      <c r="GJ895" s="23"/>
      <c r="GK895" s="23"/>
      <c r="GL895" s="23"/>
    </row>
    <row r="896" spans="1:194" ht="13">
      <c r="A896" s="23"/>
      <c r="B896" s="23"/>
      <c r="C896" s="23"/>
      <c r="D896" s="23"/>
      <c r="E896" s="23"/>
      <c r="F896" s="23"/>
      <c r="G896" s="23"/>
      <c r="H896" s="401"/>
      <c r="I896" s="401"/>
      <c r="J896" s="401"/>
      <c r="K896" s="401"/>
      <c r="L896" s="401"/>
      <c r="M896" s="438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  <c r="AL896" s="23"/>
      <c r="AM896" s="23"/>
      <c r="AN896" s="23"/>
      <c r="AO896" s="23"/>
      <c r="AP896" s="23"/>
      <c r="AQ896" s="23"/>
      <c r="AR896" s="23"/>
      <c r="AS896" s="23"/>
      <c r="AT896" s="23"/>
      <c r="AU896" s="23"/>
      <c r="AV896" s="23"/>
      <c r="AW896" s="23"/>
      <c r="AX896" s="23"/>
      <c r="AY896" s="23"/>
      <c r="AZ896" s="23"/>
      <c r="BA896" s="23"/>
      <c r="BB896" s="23"/>
      <c r="BC896" s="23"/>
      <c r="BD896" s="23"/>
      <c r="BE896" s="23"/>
      <c r="BF896" s="23"/>
      <c r="BG896" s="23"/>
      <c r="BH896" s="23"/>
      <c r="BI896" s="23"/>
      <c r="BJ896" s="23"/>
      <c r="BK896" s="23"/>
      <c r="BL896" s="23"/>
      <c r="BM896" s="23"/>
      <c r="BN896" s="23"/>
      <c r="BO896" s="23"/>
      <c r="BP896" s="23"/>
      <c r="BQ896" s="23"/>
      <c r="BR896" s="23"/>
      <c r="BS896" s="23"/>
      <c r="BT896" s="23"/>
      <c r="BU896" s="23"/>
      <c r="BV896" s="23"/>
      <c r="BW896" s="23"/>
      <c r="BX896" s="23"/>
      <c r="BY896" s="23"/>
      <c r="BZ896" s="23"/>
      <c r="CA896" s="23"/>
      <c r="CB896" s="23"/>
      <c r="CC896" s="23"/>
      <c r="CD896" s="23"/>
      <c r="CE896" s="23"/>
      <c r="CF896" s="23"/>
      <c r="CG896" s="23"/>
      <c r="CH896" s="23"/>
      <c r="CI896" s="23"/>
      <c r="CJ896" s="23"/>
      <c r="CK896" s="23"/>
      <c r="CL896" s="23"/>
      <c r="CM896" s="23"/>
      <c r="CN896" s="23"/>
      <c r="CO896" s="23"/>
      <c r="CP896" s="23"/>
      <c r="CQ896" s="23"/>
      <c r="CR896" s="23"/>
      <c r="CS896" s="23"/>
      <c r="CT896" s="23"/>
      <c r="CU896" s="23"/>
      <c r="CV896" s="23"/>
      <c r="CW896" s="23"/>
      <c r="CX896" s="23"/>
      <c r="CY896" s="23"/>
      <c r="CZ896" s="23"/>
      <c r="DA896" s="23"/>
      <c r="DB896" s="23"/>
      <c r="DC896" s="23"/>
      <c r="DD896" s="23"/>
      <c r="DE896" s="23"/>
      <c r="DF896" s="23"/>
      <c r="DG896" s="23"/>
      <c r="DH896" s="23"/>
      <c r="DI896" s="23"/>
      <c r="DJ896" s="23"/>
      <c r="DK896" s="23"/>
      <c r="DL896" s="23"/>
      <c r="DM896" s="23"/>
      <c r="DN896" s="23"/>
      <c r="DO896" s="23"/>
      <c r="DP896" s="23"/>
      <c r="DQ896" s="23"/>
      <c r="DR896" s="23"/>
      <c r="DS896" s="23"/>
      <c r="DT896" s="23"/>
      <c r="DU896" s="23"/>
      <c r="DV896" s="23"/>
      <c r="DW896" s="23"/>
      <c r="DX896" s="23"/>
      <c r="DY896" s="23"/>
      <c r="DZ896" s="23"/>
      <c r="EA896" s="23"/>
      <c r="EB896" s="23"/>
      <c r="EC896" s="23"/>
      <c r="ED896" s="23"/>
      <c r="EE896" s="23"/>
      <c r="EF896" s="23"/>
      <c r="EG896" s="23"/>
      <c r="EH896" s="23"/>
      <c r="EI896" s="23"/>
      <c r="EJ896" s="23"/>
      <c r="EK896" s="23"/>
      <c r="EL896" s="23"/>
      <c r="EM896" s="23"/>
      <c r="EN896" s="23"/>
      <c r="EO896" s="23"/>
      <c r="EP896" s="23"/>
      <c r="EQ896" s="23"/>
      <c r="ER896" s="23"/>
      <c r="ES896" s="23"/>
      <c r="ET896" s="23"/>
      <c r="EU896" s="23"/>
      <c r="EV896" s="23"/>
      <c r="EW896" s="23"/>
      <c r="EX896" s="23"/>
      <c r="EY896" s="23"/>
      <c r="EZ896" s="23"/>
      <c r="FA896" s="23"/>
      <c r="FB896" s="23"/>
      <c r="FC896" s="23"/>
      <c r="FD896" s="23"/>
      <c r="FE896" s="23"/>
      <c r="FF896" s="23"/>
      <c r="FG896" s="23"/>
      <c r="FH896" s="23"/>
      <c r="FI896" s="23"/>
      <c r="FJ896" s="23"/>
      <c r="FK896" s="23"/>
      <c r="FL896" s="23"/>
      <c r="FM896" s="23"/>
      <c r="FN896" s="23"/>
      <c r="FO896" s="23"/>
      <c r="FP896" s="23"/>
      <c r="FQ896" s="23"/>
      <c r="FR896" s="23"/>
      <c r="FS896" s="23"/>
      <c r="FT896" s="23"/>
      <c r="FU896" s="23"/>
      <c r="FV896" s="23"/>
      <c r="FW896" s="23"/>
      <c r="FX896" s="23"/>
      <c r="FY896" s="23"/>
      <c r="FZ896" s="23"/>
      <c r="GA896" s="23"/>
      <c r="GB896" s="23"/>
      <c r="GC896" s="23"/>
      <c r="GD896" s="23"/>
      <c r="GE896" s="23"/>
      <c r="GF896" s="23"/>
      <c r="GG896" s="23"/>
      <c r="GH896" s="23"/>
      <c r="GI896" s="23"/>
      <c r="GJ896" s="23"/>
      <c r="GK896" s="23"/>
      <c r="GL896" s="23"/>
    </row>
    <row r="897" spans="1:194" ht="13">
      <c r="A897" s="23"/>
      <c r="B897" s="23"/>
      <c r="C897" s="23"/>
      <c r="D897" s="23"/>
      <c r="E897" s="23"/>
      <c r="F897" s="23"/>
      <c r="G897" s="23"/>
      <c r="H897" s="401"/>
      <c r="I897" s="401"/>
      <c r="J897" s="401"/>
      <c r="K897" s="401"/>
      <c r="L897" s="401"/>
      <c r="M897" s="438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  <c r="AL897" s="23"/>
      <c r="AM897" s="23"/>
      <c r="AN897" s="23"/>
      <c r="AO897" s="23"/>
      <c r="AP897" s="23"/>
      <c r="AQ897" s="23"/>
      <c r="AR897" s="23"/>
      <c r="AS897" s="23"/>
      <c r="AT897" s="23"/>
      <c r="AU897" s="23"/>
      <c r="AV897" s="23"/>
      <c r="AW897" s="23"/>
      <c r="AX897" s="23"/>
      <c r="AY897" s="23"/>
      <c r="AZ897" s="23"/>
      <c r="BA897" s="23"/>
      <c r="BB897" s="23"/>
      <c r="BC897" s="23"/>
      <c r="BD897" s="23"/>
      <c r="BE897" s="23"/>
      <c r="BF897" s="23"/>
      <c r="BG897" s="23"/>
      <c r="BH897" s="23"/>
      <c r="BI897" s="23"/>
      <c r="BJ897" s="23"/>
      <c r="BK897" s="23"/>
      <c r="BL897" s="23"/>
      <c r="BM897" s="23"/>
      <c r="BN897" s="23"/>
      <c r="BO897" s="23"/>
      <c r="BP897" s="23"/>
      <c r="BQ897" s="23"/>
      <c r="BR897" s="23"/>
      <c r="BS897" s="23"/>
      <c r="BT897" s="23"/>
      <c r="BU897" s="23"/>
      <c r="BV897" s="23"/>
      <c r="BW897" s="23"/>
      <c r="BX897" s="23"/>
      <c r="BY897" s="23"/>
      <c r="BZ897" s="23"/>
      <c r="CA897" s="23"/>
      <c r="CB897" s="23"/>
      <c r="CC897" s="23"/>
      <c r="CD897" s="23"/>
      <c r="CE897" s="23"/>
      <c r="CF897" s="23"/>
      <c r="CG897" s="23"/>
      <c r="CH897" s="23"/>
      <c r="CI897" s="23"/>
      <c r="CJ897" s="23"/>
      <c r="CK897" s="23"/>
      <c r="CL897" s="23"/>
      <c r="CM897" s="23"/>
      <c r="CN897" s="23"/>
      <c r="CO897" s="23"/>
      <c r="CP897" s="23"/>
      <c r="CQ897" s="23"/>
      <c r="CR897" s="23"/>
      <c r="CS897" s="23"/>
      <c r="CT897" s="23"/>
      <c r="CU897" s="23"/>
      <c r="CV897" s="23"/>
      <c r="CW897" s="23"/>
      <c r="CX897" s="23"/>
      <c r="CY897" s="23"/>
      <c r="CZ897" s="23"/>
      <c r="DA897" s="23"/>
      <c r="DB897" s="23"/>
      <c r="DC897" s="23"/>
      <c r="DD897" s="23"/>
      <c r="DE897" s="23"/>
      <c r="DF897" s="23"/>
      <c r="DG897" s="23"/>
      <c r="DH897" s="23"/>
      <c r="DI897" s="23"/>
      <c r="DJ897" s="23"/>
      <c r="DK897" s="23"/>
      <c r="DL897" s="23"/>
      <c r="DM897" s="23"/>
      <c r="DN897" s="23"/>
      <c r="DO897" s="23"/>
      <c r="DP897" s="23"/>
      <c r="DQ897" s="23"/>
      <c r="DR897" s="23"/>
      <c r="DS897" s="23"/>
      <c r="DT897" s="23"/>
      <c r="DU897" s="23"/>
      <c r="DV897" s="23"/>
      <c r="DW897" s="23"/>
      <c r="DX897" s="23"/>
      <c r="DY897" s="23"/>
      <c r="DZ897" s="23"/>
      <c r="EA897" s="23"/>
      <c r="EB897" s="23"/>
      <c r="EC897" s="23"/>
      <c r="ED897" s="23"/>
      <c r="EE897" s="23"/>
      <c r="EF897" s="23"/>
      <c r="EG897" s="23"/>
      <c r="EH897" s="23"/>
      <c r="EI897" s="23"/>
      <c r="EJ897" s="23"/>
      <c r="EK897" s="23"/>
      <c r="EL897" s="23"/>
      <c r="EM897" s="23"/>
      <c r="EN897" s="23"/>
      <c r="EO897" s="23"/>
      <c r="EP897" s="23"/>
      <c r="EQ897" s="23"/>
      <c r="ER897" s="23"/>
      <c r="ES897" s="23"/>
      <c r="ET897" s="23"/>
      <c r="EU897" s="23"/>
      <c r="EV897" s="23"/>
      <c r="EW897" s="23"/>
      <c r="EX897" s="23"/>
      <c r="EY897" s="23"/>
      <c r="EZ897" s="23"/>
      <c r="FA897" s="23"/>
      <c r="FB897" s="23"/>
      <c r="FC897" s="23"/>
      <c r="FD897" s="23"/>
      <c r="FE897" s="23"/>
      <c r="FF897" s="23"/>
      <c r="FG897" s="23"/>
      <c r="FH897" s="23"/>
      <c r="FI897" s="23"/>
      <c r="FJ897" s="23"/>
      <c r="FK897" s="23"/>
      <c r="FL897" s="23"/>
      <c r="FM897" s="23"/>
      <c r="FN897" s="23"/>
      <c r="FO897" s="23"/>
      <c r="FP897" s="23"/>
      <c r="FQ897" s="23"/>
      <c r="FR897" s="23"/>
      <c r="FS897" s="23"/>
      <c r="FT897" s="23"/>
      <c r="FU897" s="23"/>
      <c r="FV897" s="23"/>
      <c r="FW897" s="23"/>
      <c r="FX897" s="23"/>
      <c r="FY897" s="23"/>
      <c r="FZ897" s="23"/>
      <c r="GA897" s="23"/>
      <c r="GB897" s="23"/>
      <c r="GC897" s="23"/>
      <c r="GD897" s="23"/>
      <c r="GE897" s="23"/>
      <c r="GF897" s="23"/>
      <c r="GG897" s="23"/>
      <c r="GH897" s="23"/>
      <c r="GI897" s="23"/>
      <c r="GJ897" s="23"/>
      <c r="GK897" s="23"/>
      <c r="GL897" s="23"/>
    </row>
    <row r="898" spans="1:194" ht="13">
      <c r="A898" s="23"/>
      <c r="B898" s="23"/>
      <c r="C898" s="23"/>
      <c r="D898" s="23"/>
      <c r="E898" s="23"/>
      <c r="F898" s="23"/>
      <c r="G898" s="23"/>
      <c r="H898" s="401"/>
      <c r="I898" s="401"/>
      <c r="J898" s="401"/>
      <c r="K898" s="401"/>
      <c r="L898" s="401"/>
      <c r="M898" s="438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  <c r="AL898" s="23"/>
      <c r="AM898" s="23"/>
      <c r="AN898" s="23"/>
      <c r="AO898" s="23"/>
      <c r="AP898" s="23"/>
      <c r="AQ898" s="23"/>
      <c r="AR898" s="23"/>
      <c r="AS898" s="23"/>
      <c r="AT898" s="23"/>
      <c r="AU898" s="23"/>
      <c r="AV898" s="23"/>
      <c r="AW898" s="23"/>
      <c r="AX898" s="23"/>
      <c r="AY898" s="23"/>
      <c r="AZ898" s="23"/>
      <c r="BA898" s="23"/>
      <c r="BB898" s="23"/>
      <c r="BC898" s="23"/>
      <c r="BD898" s="23"/>
      <c r="BE898" s="23"/>
      <c r="BF898" s="23"/>
      <c r="BG898" s="23"/>
      <c r="BH898" s="23"/>
      <c r="BI898" s="23"/>
      <c r="BJ898" s="23"/>
      <c r="BK898" s="23"/>
      <c r="BL898" s="23"/>
      <c r="BM898" s="23"/>
      <c r="BN898" s="23"/>
      <c r="BO898" s="23"/>
      <c r="BP898" s="23"/>
      <c r="BQ898" s="23"/>
      <c r="BR898" s="23"/>
      <c r="BS898" s="23"/>
      <c r="BT898" s="23"/>
      <c r="BU898" s="23"/>
      <c r="BV898" s="23"/>
      <c r="BW898" s="23"/>
      <c r="BX898" s="23"/>
      <c r="BY898" s="23"/>
      <c r="BZ898" s="23"/>
      <c r="CA898" s="23"/>
      <c r="CB898" s="23"/>
      <c r="CC898" s="23"/>
      <c r="CD898" s="23"/>
      <c r="CE898" s="23"/>
      <c r="CF898" s="23"/>
      <c r="CG898" s="23"/>
      <c r="CH898" s="23"/>
      <c r="CI898" s="23"/>
      <c r="CJ898" s="23"/>
      <c r="CK898" s="23"/>
      <c r="CL898" s="23"/>
      <c r="CM898" s="23"/>
      <c r="CN898" s="23"/>
      <c r="CO898" s="23"/>
      <c r="CP898" s="23"/>
      <c r="CQ898" s="23"/>
      <c r="CR898" s="23"/>
      <c r="CS898" s="23"/>
      <c r="CT898" s="23"/>
      <c r="CU898" s="23"/>
      <c r="CV898" s="23"/>
      <c r="CW898" s="23"/>
      <c r="CX898" s="23"/>
      <c r="CY898" s="23"/>
      <c r="CZ898" s="23"/>
      <c r="DA898" s="23"/>
      <c r="DB898" s="23"/>
      <c r="DC898" s="23"/>
      <c r="DD898" s="23"/>
      <c r="DE898" s="23"/>
      <c r="DF898" s="23"/>
      <c r="DG898" s="23"/>
      <c r="DH898" s="23"/>
      <c r="DI898" s="23"/>
      <c r="DJ898" s="23"/>
      <c r="DK898" s="23"/>
      <c r="DL898" s="23"/>
      <c r="DM898" s="23"/>
      <c r="DN898" s="23"/>
      <c r="DO898" s="23"/>
      <c r="DP898" s="23"/>
      <c r="DQ898" s="23"/>
      <c r="DR898" s="23"/>
      <c r="DS898" s="23"/>
      <c r="DT898" s="23"/>
      <c r="DU898" s="23"/>
      <c r="DV898" s="23"/>
      <c r="DW898" s="23"/>
      <c r="DX898" s="23"/>
      <c r="DY898" s="23"/>
      <c r="DZ898" s="23"/>
      <c r="EA898" s="23"/>
      <c r="EB898" s="23"/>
      <c r="EC898" s="23"/>
      <c r="ED898" s="23"/>
      <c r="EE898" s="23"/>
      <c r="EF898" s="23"/>
      <c r="EG898" s="23"/>
      <c r="EH898" s="23"/>
      <c r="EI898" s="23"/>
      <c r="EJ898" s="23"/>
      <c r="EK898" s="23"/>
      <c r="EL898" s="23"/>
      <c r="EM898" s="23"/>
      <c r="EN898" s="23"/>
      <c r="EO898" s="23"/>
      <c r="EP898" s="23"/>
      <c r="EQ898" s="23"/>
      <c r="ER898" s="23"/>
      <c r="ES898" s="23"/>
      <c r="ET898" s="23"/>
      <c r="EU898" s="23"/>
      <c r="EV898" s="23"/>
      <c r="EW898" s="23"/>
      <c r="EX898" s="23"/>
      <c r="EY898" s="23"/>
      <c r="EZ898" s="23"/>
      <c r="FA898" s="23"/>
      <c r="FB898" s="23"/>
      <c r="FC898" s="23"/>
      <c r="FD898" s="23"/>
      <c r="FE898" s="23"/>
      <c r="FF898" s="23"/>
      <c r="FG898" s="23"/>
      <c r="FH898" s="23"/>
      <c r="FI898" s="23"/>
      <c r="FJ898" s="23"/>
      <c r="FK898" s="23"/>
      <c r="FL898" s="23"/>
      <c r="FM898" s="23"/>
      <c r="FN898" s="23"/>
      <c r="FO898" s="23"/>
      <c r="FP898" s="23"/>
      <c r="FQ898" s="23"/>
      <c r="FR898" s="23"/>
      <c r="FS898" s="23"/>
      <c r="FT898" s="23"/>
      <c r="FU898" s="23"/>
      <c r="FV898" s="23"/>
      <c r="FW898" s="23"/>
      <c r="FX898" s="23"/>
      <c r="FY898" s="23"/>
      <c r="FZ898" s="23"/>
      <c r="GA898" s="23"/>
      <c r="GB898" s="23"/>
      <c r="GC898" s="23"/>
      <c r="GD898" s="23"/>
      <c r="GE898" s="23"/>
      <c r="GF898" s="23"/>
      <c r="GG898" s="23"/>
      <c r="GH898" s="23"/>
      <c r="GI898" s="23"/>
      <c r="GJ898" s="23"/>
      <c r="GK898" s="23"/>
      <c r="GL898" s="23"/>
    </row>
    <row r="899" spans="1:194" ht="13">
      <c r="A899" s="23"/>
      <c r="B899" s="23"/>
      <c r="C899" s="23"/>
      <c r="D899" s="23"/>
      <c r="E899" s="23"/>
      <c r="F899" s="23"/>
      <c r="G899" s="23"/>
      <c r="H899" s="401"/>
      <c r="I899" s="401"/>
      <c r="J899" s="401"/>
      <c r="K899" s="401"/>
      <c r="L899" s="401"/>
      <c r="M899" s="438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  <c r="AL899" s="23"/>
      <c r="AM899" s="23"/>
      <c r="AN899" s="23"/>
      <c r="AO899" s="23"/>
      <c r="AP899" s="23"/>
      <c r="AQ899" s="23"/>
      <c r="AR899" s="23"/>
      <c r="AS899" s="23"/>
      <c r="AT899" s="23"/>
      <c r="AU899" s="23"/>
      <c r="AV899" s="23"/>
      <c r="AW899" s="23"/>
      <c r="AX899" s="23"/>
      <c r="AY899" s="23"/>
      <c r="AZ899" s="23"/>
      <c r="BA899" s="23"/>
      <c r="BB899" s="23"/>
      <c r="BC899" s="23"/>
      <c r="BD899" s="23"/>
      <c r="BE899" s="23"/>
      <c r="BF899" s="23"/>
      <c r="BG899" s="23"/>
      <c r="BH899" s="23"/>
      <c r="BI899" s="23"/>
      <c r="BJ899" s="23"/>
      <c r="BK899" s="23"/>
      <c r="BL899" s="23"/>
      <c r="BM899" s="23"/>
      <c r="BN899" s="23"/>
      <c r="BO899" s="23"/>
      <c r="BP899" s="23"/>
      <c r="BQ899" s="23"/>
      <c r="BR899" s="23"/>
      <c r="BS899" s="23"/>
      <c r="BT899" s="23"/>
      <c r="BU899" s="23"/>
      <c r="BV899" s="23"/>
      <c r="BW899" s="23"/>
      <c r="BX899" s="23"/>
      <c r="BY899" s="23"/>
      <c r="BZ899" s="23"/>
      <c r="CA899" s="23"/>
      <c r="CB899" s="23"/>
      <c r="CC899" s="23"/>
      <c r="CD899" s="23"/>
      <c r="CE899" s="23"/>
      <c r="CF899" s="23"/>
      <c r="CG899" s="23"/>
      <c r="CH899" s="23"/>
      <c r="CI899" s="23"/>
      <c r="CJ899" s="23"/>
      <c r="CK899" s="23"/>
      <c r="CL899" s="23"/>
      <c r="CM899" s="23"/>
      <c r="CN899" s="23"/>
      <c r="CO899" s="23"/>
      <c r="CP899" s="23"/>
      <c r="CQ899" s="23"/>
      <c r="CR899" s="23"/>
      <c r="CS899" s="23"/>
      <c r="CT899" s="23"/>
      <c r="CU899" s="23"/>
      <c r="CV899" s="23"/>
      <c r="CW899" s="23"/>
      <c r="CX899" s="23"/>
      <c r="CY899" s="23"/>
      <c r="CZ899" s="23"/>
      <c r="DA899" s="23"/>
      <c r="DB899" s="23"/>
      <c r="DC899" s="23"/>
      <c r="DD899" s="23"/>
      <c r="DE899" s="23"/>
      <c r="DF899" s="23"/>
      <c r="DG899" s="23"/>
      <c r="DH899" s="23"/>
      <c r="DI899" s="23"/>
      <c r="DJ899" s="23"/>
      <c r="DK899" s="23"/>
      <c r="DL899" s="23"/>
      <c r="DM899" s="23"/>
      <c r="DN899" s="23"/>
      <c r="DO899" s="23"/>
      <c r="DP899" s="23"/>
      <c r="DQ899" s="23"/>
      <c r="DR899" s="23"/>
      <c r="DS899" s="23"/>
      <c r="DT899" s="23"/>
      <c r="DU899" s="23"/>
      <c r="DV899" s="23"/>
      <c r="DW899" s="23"/>
      <c r="DX899" s="23"/>
      <c r="DY899" s="23"/>
      <c r="DZ899" s="23"/>
      <c r="EA899" s="23"/>
      <c r="EB899" s="23"/>
      <c r="EC899" s="23"/>
      <c r="ED899" s="23"/>
      <c r="EE899" s="23"/>
      <c r="EF899" s="23"/>
      <c r="EG899" s="23"/>
      <c r="EH899" s="23"/>
      <c r="EI899" s="23"/>
      <c r="EJ899" s="23"/>
      <c r="EK899" s="23"/>
      <c r="EL899" s="23"/>
      <c r="EM899" s="23"/>
      <c r="EN899" s="23"/>
      <c r="EO899" s="23"/>
      <c r="EP899" s="23"/>
      <c r="EQ899" s="23"/>
      <c r="ER899" s="23"/>
      <c r="ES899" s="23"/>
      <c r="ET899" s="23"/>
      <c r="EU899" s="23"/>
      <c r="EV899" s="23"/>
      <c r="EW899" s="23"/>
      <c r="EX899" s="23"/>
      <c r="EY899" s="23"/>
      <c r="EZ899" s="23"/>
      <c r="FA899" s="23"/>
      <c r="FB899" s="23"/>
      <c r="FC899" s="23"/>
      <c r="FD899" s="23"/>
      <c r="FE899" s="23"/>
      <c r="FF899" s="23"/>
      <c r="FG899" s="23"/>
      <c r="FH899" s="23"/>
      <c r="FI899" s="23"/>
      <c r="FJ899" s="23"/>
      <c r="FK899" s="23"/>
      <c r="FL899" s="23"/>
      <c r="FM899" s="23"/>
      <c r="FN899" s="23"/>
      <c r="FO899" s="23"/>
      <c r="FP899" s="23"/>
      <c r="FQ899" s="23"/>
      <c r="FR899" s="23"/>
      <c r="FS899" s="23"/>
      <c r="FT899" s="23"/>
      <c r="FU899" s="23"/>
      <c r="FV899" s="23"/>
      <c r="FW899" s="23"/>
      <c r="FX899" s="23"/>
      <c r="FY899" s="23"/>
      <c r="FZ899" s="23"/>
      <c r="GA899" s="23"/>
      <c r="GB899" s="23"/>
      <c r="GC899" s="23"/>
      <c r="GD899" s="23"/>
      <c r="GE899" s="23"/>
      <c r="GF899" s="23"/>
      <c r="GG899" s="23"/>
      <c r="GH899" s="23"/>
      <c r="GI899" s="23"/>
      <c r="GJ899" s="23"/>
      <c r="GK899" s="23"/>
      <c r="GL899" s="23"/>
    </row>
    <row r="900" spans="1:194" ht="13">
      <c r="A900" s="23"/>
      <c r="B900" s="23"/>
      <c r="C900" s="23"/>
      <c r="D900" s="23"/>
      <c r="E900" s="23"/>
      <c r="F900" s="23"/>
      <c r="G900" s="23"/>
      <c r="H900" s="401"/>
      <c r="I900" s="401"/>
      <c r="J900" s="401"/>
      <c r="K900" s="401"/>
      <c r="L900" s="401"/>
      <c r="M900" s="438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  <c r="AL900" s="23"/>
      <c r="AM900" s="23"/>
      <c r="AN900" s="23"/>
      <c r="AO900" s="23"/>
      <c r="AP900" s="23"/>
      <c r="AQ900" s="23"/>
      <c r="AR900" s="23"/>
      <c r="AS900" s="23"/>
      <c r="AT900" s="23"/>
      <c r="AU900" s="23"/>
      <c r="AV900" s="23"/>
      <c r="AW900" s="23"/>
      <c r="AX900" s="23"/>
      <c r="AY900" s="23"/>
      <c r="AZ900" s="23"/>
      <c r="BA900" s="23"/>
      <c r="BB900" s="23"/>
      <c r="BC900" s="23"/>
      <c r="BD900" s="23"/>
      <c r="BE900" s="23"/>
      <c r="BF900" s="23"/>
      <c r="BG900" s="23"/>
      <c r="BH900" s="23"/>
      <c r="BI900" s="23"/>
      <c r="BJ900" s="23"/>
      <c r="BK900" s="23"/>
      <c r="BL900" s="23"/>
      <c r="BM900" s="23"/>
      <c r="BN900" s="23"/>
      <c r="BO900" s="23"/>
      <c r="BP900" s="23"/>
      <c r="BQ900" s="23"/>
      <c r="BR900" s="23"/>
      <c r="BS900" s="23"/>
      <c r="BT900" s="23"/>
      <c r="BU900" s="23"/>
      <c r="BV900" s="23"/>
      <c r="BW900" s="23"/>
      <c r="BX900" s="23"/>
      <c r="BY900" s="23"/>
      <c r="BZ900" s="23"/>
      <c r="CA900" s="23"/>
      <c r="CB900" s="23"/>
      <c r="CC900" s="23"/>
      <c r="CD900" s="23"/>
      <c r="CE900" s="23"/>
      <c r="CF900" s="23"/>
      <c r="CG900" s="23"/>
      <c r="CH900" s="23"/>
      <c r="CI900" s="23"/>
      <c r="CJ900" s="23"/>
      <c r="CK900" s="23"/>
      <c r="CL900" s="23"/>
      <c r="CM900" s="23"/>
      <c r="CN900" s="23"/>
      <c r="CO900" s="23"/>
      <c r="CP900" s="23"/>
      <c r="CQ900" s="23"/>
      <c r="CR900" s="23"/>
      <c r="CS900" s="23"/>
      <c r="CT900" s="23"/>
      <c r="CU900" s="23"/>
      <c r="CV900" s="23"/>
      <c r="CW900" s="23"/>
      <c r="CX900" s="23"/>
      <c r="CY900" s="23"/>
      <c r="CZ900" s="23"/>
      <c r="DA900" s="23"/>
      <c r="DB900" s="23"/>
      <c r="DC900" s="23"/>
      <c r="DD900" s="23"/>
      <c r="DE900" s="23"/>
      <c r="DF900" s="23"/>
      <c r="DG900" s="23"/>
      <c r="DH900" s="23"/>
      <c r="DI900" s="23"/>
      <c r="DJ900" s="23"/>
      <c r="DK900" s="23"/>
      <c r="DL900" s="23"/>
      <c r="DM900" s="23"/>
      <c r="DN900" s="23"/>
      <c r="DO900" s="23"/>
      <c r="DP900" s="23"/>
      <c r="DQ900" s="23"/>
      <c r="DR900" s="23"/>
      <c r="DS900" s="23"/>
      <c r="DT900" s="23"/>
      <c r="DU900" s="23"/>
      <c r="DV900" s="23"/>
      <c r="DW900" s="23"/>
      <c r="DX900" s="23"/>
      <c r="DY900" s="23"/>
      <c r="DZ900" s="23"/>
      <c r="EA900" s="23"/>
      <c r="EB900" s="23"/>
      <c r="EC900" s="23"/>
      <c r="ED900" s="23"/>
      <c r="EE900" s="23"/>
      <c r="EF900" s="23"/>
      <c r="EG900" s="23"/>
      <c r="EH900" s="23"/>
      <c r="EI900" s="23"/>
      <c r="EJ900" s="23"/>
      <c r="EK900" s="23"/>
      <c r="EL900" s="23"/>
      <c r="EM900" s="23"/>
      <c r="EN900" s="23"/>
      <c r="EO900" s="23"/>
      <c r="EP900" s="23"/>
      <c r="EQ900" s="23"/>
      <c r="ER900" s="23"/>
      <c r="ES900" s="23"/>
      <c r="ET900" s="23"/>
      <c r="EU900" s="23"/>
      <c r="EV900" s="23"/>
      <c r="EW900" s="23"/>
      <c r="EX900" s="23"/>
      <c r="EY900" s="23"/>
      <c r="EZ900" s="23"/>
      <c r="FA900" s="23"/>
      <c r="FB900" s="23"/>
      <c r="FC900" s="23"/>
      <c r="FD900" s="23"/>
      <c r="FE900" s="23"/>
      <c r="FF900" s="23"/>
      <c r="FG900" s="23"/>
      <c r="FH900" s="23"/>
      <c r="FI900" s="23"/>
      <c r="FJ900" s="23"/>
      <c r="FK900" s="23"/>
      <c r="FL900" s="23"/>
      <c r="FM900" s="23"/>
      <c r="FN900" s="23"/>
      <c r="FO900" s="23"/>
      <c r="FP900" s="23"/>
      <c r="FQ900" s="23"/>
      <c r="FR900" s="23"/>
      <c r="FS900" s="23"/>
      <c r="FT900" s="23"/>
      <c r="FU900" s="23"/>
      <c r="FV900" s="23"/>
      <c r="FW900" s="23"/>
      <c r="FX900" s="23"/>
      <c r="FY900" s="23"/>
      <c r="FZ900" s="23"/>
      <c r="GA900" s="23"/>
      <c r="GB900" s="23"/>
      <c r="GC900" s="23"/>
      <c r="GD900" s="23"/>
      <c r="GE900" s="23"/>
      <c r="GF900" s="23"/>
      <c r="GG900" s="23"/>
      <c r="GH900" s="23"/>
      <c r="GI900" s="23"/>
      <c r="GJ900" s="23"/>
      <c r="GK900" s="23"/>
      <c r="GL900" s="23"/>
    </row>
    <row r="901" spans="1:194" ht="13">
      <c r="A901" s="23"/>
      <c r="B901" s="23"/>
      <c r="C901" s="23"/>
      <c r="D901" s="23"/>
      <c r="E901" s="23"/>
      <c r="F901" s="23"/>
      <c r="G901" s="23"/>
      <c r="H901" s="401"/>
      <c r="I901" s="401"/>
      <c r="J901" s="401"/>
      <c r="K901" s="401"/>
      <c r="L901" s="401"/>
      <c r="M901" s="438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  <c r="AL901" s="23"/>
      <c r="AM901" s="23"/>
      <c r="AN901" s="23"/>
      <c r="AO901" s="23"/>
      <c r="AP901" s="23"/>
      <c r="AQ901" s="23"/>
      <c r="AR901" s="23"/>
      <c r="AS901" s="23"/>
      <c r="AT901" s="23"/>
      <c r="AU901" s="23"/>
      <c r="AV901" s="23"/>
      <c r="AW901" s="23"/>
      <c r="AX901" s="23"/>
      <c r="AY901" s="23"/>
      <c r="AZ901" s="23"/>
      <c r="BA901" s="23"/>
      <c r="BB901" s="23"/>
      <c r="BC901" s="23"/>
      <c r="BD901" s="23"/>
      <c r="BE901" s="23"/>
      <c r="BF901" s="23"/>
      <c r="BG901" s="23"/>
      <c r="BH901" s="23"/>
      <c r="BI901" s="23"/>
      <c r="BJ901" s="23"/>
      <c r="BK901" s="23"/>
      <c r="BL901" s="23"/>
      <c r="BM901" s="23"/>
      <c r="BN901" s="23"/>
      <c r="BO901" s="23"/>
      <c r="BP901" s="23"/>
      <c r="BQ901" s="23"/>
      <c r="BR901" s="23"/>
      <c r="BS901" s="23"/>
      <c r="BT901" s="23"/>
      <c r="BU901" s="23"/>
      <c r="BV901" s="23"/>
      <c r="BW901" s="23"/>
      <c r="BX901" s="23"/>
      <c r="BY901" s="23"/>
      <c r="BZ901" s="23"/>
      <c r="CA901" s="23"/>
      <c r="CB901" s="23"/>
      <c r="CC901" s="23"/>
      <c r="CD901" s="23"/>
      <c r="CE901" s="23"/>
      <c r="CF901" s="23"/>
      <c r="CG901" s="23"/>
      <c r="CH901" s="23"/>
      <c r="CI901" s="23"/>
      <c r="CJ901" s="23"/>
      <c r="CK901" s="23"/>
      <c r="CL901" s="23"/>
      <c r="CM901" s="23"/>
      <c r="CN901" s="23"/>
      <c r="CO901" s="23"/>
      <c r="CP901" s="23"/>
      <c r="CQ901" s="23"/>
      <c r="CR901" s="23"/>
      <c r="CS901" s="23"/>
      <c r="CT901" s="23"/>
      <c r="CU901" s="23"/>
      <c r="CV901" s="23"/>
      <c r="CW901" s="23"/>
      <c r="CX901" s="23"/>
      <c r="CY901" s="23"/>
      <c r="CZ901" s="23"/>
      <c r="DA901" s="23"/>
      <c r="DB901" s="23"/>
      <c r="DC901" s="23"/>
      <c r="DD901" s="23"/>
      <c r="DE901" s="23"/>
      <c r="DF901" s="23"/>
      <c r="DG901" s="23"/>
      <c r="DH901" s="23"/>
      <c r="DI901" s="23"/>
      <c r="DJ901" s="23"/>
      <c r="DK901" s="23"/>
      <c r="DL901" s="23"/>
      <c r="DM901" s="23"/>
      <c r="DN901" s="23"/>
      <c r="DO901" s="23"/>
      <c r="DP901" s="23"/>
      <c r="DQ901" s="23"/>
      <c r="DR901" s="23"/>
      <c r="DS901" s="23"/>
      <c r="DT901" s="23"/>
      <c r="DU901" s="23"/>
      <c r="DV901" s="23"/>
      <c r="DW901" s="23"/>
      <c r="DX901" s="23"/>
      <c r="DY901" s="23"/>
      <c r="DZ901" s="23"/>
      <c r="EA901" s="23"/>
      <c r="EB901" s="23"/>
      <c r="EC901" s="23"/>
      <c r="ED901" s="23"/>
      <c r="EE901" s="23"/>
      <c r="EF901" s="23"/>
      <c r="EG901" s="23"/>
      <c r="EH901" s="23"/>
      <c r="EI901" s="23"/>
      <c r="EJ901" s="23"/>
      <c r="EK901" s="23"/>
      <c r="EL901" s="23"/>
      <c r="EM901" s="23"/>
      <c r="EN901" s="23"/>
      <c r="EO901" s="23"/>
      <c r="EP901" s="23"/>
      <c r="EQ901" s="23"/>
      <c r="ER901" s="23"/>
      <c r="ES901" s="23"/>
      <c r="ET901" s="23"/>
      <c r="EU901" s="23"/>
      <c r="EV901" s="23"/>
      <c r="EW901" s="23"/>
      <c r="EX901" s="23"/>
      <c r="EY901" s="23"/>
      <c r="EZ901" s="23"/>
      <c r="FA901" s="23"/>
      <c r="FB901" s="23"/>
      <c r="FC901" s="23"/>
      <c r="FD901" s="23"/>
      <c r="FE901" s="23"/>
      <c r="FF901" s="23"/>
      <c r="FG901" s="23"/>
      <c r="FH901" s="23"/>
      <c r="FI901" s="23"/>
      <c r="FJ901" s="23"/>
      <c r="FK901" s="23"/>
      <c r="FL901" s="23"/>
      <c r="FM901" s="23"/>
      <c r="FN901" s="23"/>
      <c r="FO901" s="23"/>
      <c r="FP901" s="23"/>
      <c r="FQ901" s="23"/>
      <c r="FR901" s="23"/>
      <c r="FS901" s="23"/>
      <c r="FT901" s="23"/>
      <c r="FU901" s="23"/>
      <c r="FV901" s="23"/>
      <c r="FW901" s="23"/>
      <c r="FX901" s="23"/>
      <c r="FY901" s="23"/>
      <c r="FZ901" s="23"/>
      <c r="GA901" s="23"/>
      <c r="GB901" s="23"/>
      <c r="GC901" s="23"/>
      <c r="GD901" s="23"/>
      <c r="GE901" s="23"/>
      <c r="GF901" s="23"/>
      <c r="GG901" s="23"/>
      <c r="GH901" s="23"/>
      <c r="GI901" s="23"/>
      <c r="GJ901" s="23"/>
      <c r="GK901" s="23"/>
      <c r="GL901" s="23"/>
    </row>
    <row r="902" spans="1:194" ht="13">
      <c r="A902" s="23"/>
      <c r="B902" s="23"/>
      <c r="C902" s="23"/>
      <c r="D902" s="23"/>
      <c r="E902" s="23"/>
      <c r="F902" s="23"/>
      <c r="G902" s="23"/>
      <c r="H902" s="401"/>
      <c r="I902" s="401"/>
      <c r="J902" s="401"/>
      <c r="K902" s="401"/>
      <c r="L902" s="401"/>
      <c r="M902" s="438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  <c r="AL902" s="23"/>
      <c r="AM902" s="23"/>
      <c r="AN902" s="23"/>
      <c r="AO902" s="23"/>
      <c r="AP902" s="23"/>
      <c r="AQ902" s="23"/>
      <c r="AR902" s="23"/>
      <c r="AS902" s="23"/>
      <c r="AT902" s="23"/>
      <c r="AU902" s="23"/>
      <c r="AV902" s="23"/>
      <c r="AW902" s="23"/>
      <c r="AX902" s="23"/>
      <c r="AY902" s="23"/>
      <c r="AZ902" s="23"/>
      <c r="BA902" s="23"/>
      <c r="BB902" s="23"/>
      <c r="BC902" s="23"/>
      <c r="BD902" s="23"/>
      <c r="BE902" s="23"/>
      <c r="BF902" s="23"/>
      <c r="BG902" s="23"/>
      <c r="BH902" s="23"/>
      <c r="BI902" s="23"/>
      <c r="BJ902" s="23"/>
      <c r="BK902" s="23"/>
      <c r="BL902" s="23"/>
      <c r="BM902" s="23"/>
      <c r="BN902" s="23"/>
      <c r="BO902" s="23"/>
      <c r="BP902" s="23"/>
      <c r="BQ902" s="23"/>
      <c r="BR902" s="23"/>
      <c r="BS902" s="23"/>
      <c r="BT902" s="23"/>
      <c r="BU902" s="23"/>
      <c r="BV902" s="23"/>
      <c r="BW902" s="23"/>
      <c r="BX902" s="23"/>
      <c r="BY902" s="23"/>
      <c r="BZ902" s="23"/>
      <c r="CA902" s="23"/>
      <c r="CB902" s="23"/>
      <c r="CC902" s="23"/>
      <c r="CD902" s="23"/>
      <c r="CE902" s="23"/>
      <c r="CF902" s="23"/>
      <c r="CG902" s="23"/>
      <c r="CH902" s="23"/>
      <c r="CI902" s="23"/>
      <c r="CJ902" s="23"/>
      <c r="CK902" s="23"/>
      <c r="CL902" s="23"/>
      <c r="CM902" s="23"/>
      <c r="CN902" s="23"/>
      <c r="CO902" s="23"/>
      <c r="CP902" s="23"/>
      <c r="CQ902" s="23"/>
      <c r="CR902" s="23"/>
      <c r="CS902" s="23"/>
      <c r="CT902" s="23"/>
      <c r="CU902" s="23"/>
      <c r="CV902" s="23"/>
      <c r="CW902" s="23"/>
      <c r="CX902" s="23"/>
      <c r="CY902" s="23"/>
      <c r="CZ902" s="23"/>
      <c r="DA902" s="23"/>
      <c r="DB902" s="23"/>
      <c r="DC902" s="23"/>
      <c r="DD902" s="23"/>
      <c r="DE902" s="23"/>
      <c r="DF902" s="23"/>
      <c r="DG902" s="23"/>
      <c r="DH902" s="23"/>
      <c r="DI902" s="23"/>
      <c r="DJ902" s="23"/>
      <c r="DK902" s="23"/>
      <c r="DL902" s="23"/>
      <c r="DM902" s="23"/>
      <c r="DN902" s="23"/>
      <c r="DO902" s="23"/>
      <c r="DP902" s="23"/>
      <c r="DQ902" s="23"/>
      <c r="DR902" s="23"/>
      <c r="DS902" s="23"/>
      <c r="DT902" s="23"/>
      <c r="DU902" s="23"/>
      <c r="DV902" s="23"/>
      <c r="DW902" s="23"/>
      <c r="DX902" s="23"/>
      <c r="DY902" s="23"/>
      <c r="DZ902" s="23"/>
      <c r="EA902" s="23"/>
      <c r="EB902" s="23"/>
      <c r="EC902" s="23"/>
      <c r="ED902" s="23"/>
      <c r="EE902" s="23"/>
      <c r="EF902" s="23"/>
      <c r="EG902" s="23"/>
      <c r="EH902" s="23"/>
      <c r="EI902" s="23"/>
      <c r="EJ902" s="23"/>
      <c r="EK902" s="23"/>
      <c r="EL902" s="23"/>
      <c r="EM902" s="23"/>
      <c r="EN902" s="23"/>
      <c r="EO902" s="23"/>
      <c r="EP902" s="23"/>
      <c r="EQ902" s="23"/>
      <c r="ER902" s="23"/>
      <c r="ES902" s="23"/>
      <c r="ET902" s="23"/>
      <c r="EU902" s="23"/>
      <c r="EV902" s="23"/>
      <c r="EW902" s="23"/>
      <c r="EX902" s="23"/>
      <c r="EY902" s="23"/>
      <c r="EZ902" s="23"/>
      <c r="FA902" s="23"/>
      <c r="FB902" s="23"/>
      <c r="FC902" s="23"/>
      <c r="FD902" s="23"/>
      <c r="FE902" s="23"/>
      <c r="FF902" s="23"/>
      <c r="FG902" s="23"/>
      <c r="FH902" s="23"/>
      <c r="FI902" s="23"/>
      <c r="FJ902" s="23"/>
      <c r="FK902" s="23"/>
      <c r="FL902" s="23"/>
      <c r="FM902" s="23"/>
      <c r="FN902" s="23"/>
      <c r="FO902" s="23"/>
      <c r="FP902" s="23"/>
      <c r="FQ902" s="23"/>
      <c r="FR902" s="23"/>
      <c r="FS902" s="23"/>
      <c r="FT902" s="23"/>
      <c r="FU902" s="23"/>
      <c r="FV902" s="23"/>
      <c r="FW902" s="23"/>
      <c r="FX902" s="23"/>
      <c r="FY902" s="23"/>
      <c r="FZ902" s="23"/>
      <c r="GA902" s="23"/>
      <c r="GB902" s="23"/>
      <c r="GC902" s="23"/>
      <c r="GD902" s="23"/>
      <c r="GE902" s="23"/>
      <c r="GF902" s="23"/>
      <c r="GG902" s="23"/>
      <c r="GH902" s="23"/>
      <c r="GI902" s="23"/>
      <c r="GJ902" s="23"/>
      <c r="GK902" s="23"/>
      <c r="GL902" s="23"/>
    </row>
    <row r="903" spans="1:194" ht="13">
      <c r="A903" s="23"/>
      <c r="B903" s="23"/>
      <c r="C903" s="23"/>
      <c r="D903" s="23"/>
      <c r="E903" s="23"/>
      <c r="F903" s="23"/>
      <c r="G903" s="23"/>
      <c r="H903" s="401"/>
      <c r="I903" s="401"/>
      <c r="J903" s="401"/>
      <c r="K903" s="401"/>
      <c r="L903" s="401"/>
      <c r="M903" s="438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  <c r="AL903" s="23"/>
      <c r="AM903" s="23"/>
      <c r="AN903" s="23"/>
      <c r="AO903" s="23"/>
      <c r="AP903" s="23"/>
      <c r="AQ903" s="23"/>
      <c r="AR903" s="23"/>
      <c r="AS903" s="23"/>
      <c r="AT903" s="23"/>
      <c r="AU903" s="23"/>
      <c r="AV903" s="23"/>
      <c r="AW903" s="23"/>
      <c r="AX903" s="23"/>
      <c r="AY903" s="23"/>
      <c r="AZ903" s="23"/>
      <c r="BA903" s="23"/>
      <c r="BB903" s="23"/>
      <c r="BC903" s="23"/>
      <c r="BD903" s="23"/>
      <c r="BE903" s="23"/>
      <c r="BF903" s="23"/>
      <c r="BG903" s="23"/>
      <c r="BH903" s="23"/>
      <c r="BI903" s="23"/>
      <c r="BJ903" s="23"/>
      <c r="BK903" s="23"/>
      <c r="BL903" s="23"/>
      <c r="BM903" s="23"/>
      <c r="BN903" s="23"/>
      <c r="BO903" s="23"/>
      <c r="BP903" s="23"/>
      <c r="BQ903" s="23"/>
      <c r="BR903" s="23"/>
      <c r="BS903" s="23"/>
      <c r="BT903" s="23"/>
      <c r="BU903" s="23"/>
      <c r="BV903" s="23"/>
      <c r="BW903" s="23"/>
      <c r="BX903" s="23"/>
      <c r="BY903" s="23"/>
      <c r="BZ903" s="23"/>
      <c r="CA903" s="23"/>
      <c r="CB903" s="23"/>
      <c r="CC903" s="23"/>
      <c r="CD903" s="23"/>
      <c r="CE903" s="23"/>
      <c r="CF903" s="23"/>
      <c r="CG903" s="23"/>
      <c r="CH903" s="23"/>
      <c r="CI903" s="23"/>
      <c r="CJ903" s="23"/>
      <c r="CK903" s="23"/>
      <c r="CL903" s="23"/>
      <c r="CM903" s="23"/>
      <c r="CN903" s="23"/>
      <c r="CO903" s="23"/>
      <c r="CP903" s="23"/>
      <c r="CQ903" s="23"/>
      <c r="CR903" s="23"/>
      <c r="CS903" s="23"/>
      <c r="CT903" s="23"/>
      <c r="CU903" s="23"/>
      <c r="CV903" s="23"/>
      <c r="CW903" s="23"/>
      <c r="CX903" s="23"/>
      <c r="CY903" s="23"/>
      <c r="CZ903" s="23"/>
      <c r="DA903" s="23"/>
      <c r="DB903" s="23"/>
      <c r="DC903" s="23"/>
      <c r="DD903" s="23"/>
      <c r="DE903" s="23"/>
      <c r="DF903" s="23"/>
      <c r="DG903" s="23"/>
      <c r="DH903" s="23"/>
      <c r="DI903" s="23"/>
      <c r="DJ903" s="23"/>
      <c r="DK903" s="23"/>
      <c r="DL903" s="23"/>
      <c r="DM903" s="23"/>
      <c r="DN903" s="23"/>
      <c r="DO903" s="23"/>
      <c r="DP903" s="23"/>
      <c r="DQ903" s="23"/>
      <c r="DR903" s="23"/>
      <c r="DS903" s="23"/>
      <c r="DT903" s="23"/>
      <c r="DU903" s="23"/>
      <c r="DV903" s="23"/>
      <c r="DW903" s="23"/>
      <c r="DX903" s="23"/>
      <c r="DY903" s="23"/>
      <c r="DZ903" s="23"/>
      <c r="EA903" s="23"/>
      <c r="EB903" s="23"/>
      <c r="EC903" s="23"/>
      <c r="ED903" s="23"/>
      <c r="EE903" s="23"/>
      <c r="EF903" s="23"/>
      <c r="EG903" s="23"/>
      <c r="EH903" s="23"/>
      <c r="EI903" s="23"/>
      <c r="EJ903" s="23"/>
      <c r="EK903" s="23"/>
      <c r="EL903" s="23"/>
      <c r="EM903" s="23"/>
      <c r="EN903" s="23"/>
      <c r="EO903" s="23"/>
      <c r="EP903" s="23"/>
      <c r="EQ903" s="23"/>
      <c r="ER903" s="23"/>
      <c r="ES903" s="23"/>
      <c r="ET903" s="23"/>
      <c r="EU903" s="23"/>
      <c r="EV903" s="23"/>
      <c r="EW903" s="23"/>
      <c r="EX903" s="23"/>
      <c r="EY903" s="23"/>
      <c r="EZ903" s="23"/>
      <c r="FA903" s="23"/>
      <c r="FB903" s="23"/>
      <c r="FC903" s="23"/>
      <c r="FD903" s="23"/>
      <c r="FE903" s="23"/>
      <c r="FF903" s="23"/>
      <c r="FG903" s="23"/>
      <c r="FH903" s="23"/>
      <c r="FI903" s="23"/>
      <c r="FJ903" s="23"/>
      <c r="FK903" s="23"/>
      <c r="FL903" s="23"/>
      <c r="FM903" s="23"/>
      <c r="FN903" s="23"/>
      <c r="FO903" s="23"/>
      <c r="FP903" s="23"/>
      <c r="FQ903" s="23"/>
      <c r="FR903" s="23"/>
      <c r="FS903" s="23"/>
      <c r="FT903" s="23"/>
      <c r="FU903" s="23"/>
      <c r="FV903" s="23"/>
      <c r="FW903" s="23"/>
      <c r="FX903" s="23"/>
      <c r="FY903" s="23"/>
      <c r="FZ903" s="23"/>
      <c r="GA903" s="23"/>
      <c r="GB903" s="23"/>
      <c r="GC903" s="23"/>
      <c r="GD903" s="23"/>
      <c r="GE903" s="23"/>
      <c r="GF903" s="23"/>
      <c r="GG903" s="23"/>
      <c r="GH903" s="23"/>
      <c r="GI903" s="23"/>
      <c r="GJ903" s="23"/>
      <c r="GK903" s="23"/>
      <c r="GL903" s="23"/>
    </row>
    <row r="904" spans="1:194" ht="13">
      <c r="A904" s="23"/>
      <c r="B904" s="23"/>
      <c r="C904" s="23"/>
      <c r="D904" s="23"/>
      <c r="E904" s="23"/>
      <c r="F904" s="23"/>
      <c r="G904" s="23"/>
      <c r="H904" s="401"/>
      <c r="I904" s="401"/>
      <c r="J904" s="401"/>
      <c r="K904" s="401"/>
      <c r="L904" s="401"/>
      <c r="M904" s="438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  <c r="AL904" s="23"/>
      <c r="AM904" s="23"/>
      <c r="AN904" s="23"/>
      <c r="AO904" s="23"/>
      <c r="AP904" s="23"/>
      <c r="AQ904" s="23"/>
      <c r="AR904" s="23"/>
      <c r="AS904" s="23"/>
      <c r="AT904" s="23"/>
      <c r="AU904" s="23"/>
      <c r="AV904" s="23"/>
      <c r="AW904" s="23"/>
      <c r="AX904" s="23"/>
      <c r="AY904" s="23"/>
      <c r="AZ904" s="23"/>
      <c r="BA904" s="23"/>
      <c r="BB904" s="23"/>
      <c r="BC904" s="23"/>
      <c r="BD904" s="23"/>
      <c r="BE904" s="23"/>
      <c r="BF904" s="23"/>
      <c r="BG904" s="23"/>
      <c r="BH904" s="23"/>
      <c r="BI904" s="23"/>
      <c r="BJ904" s="23"/>
      <c r="BK904" s="23"/>
      <c r="BL904" s="23"/>
      <c r="BM904" s="23"/>
      <c r="BN904" s="23"/>
      <c r="BO904" s="23"/>
      <c r="BP904" s="23"/>
      <c r="BQ904" s="23"/>
      <c r="BR904" s="23"/>
      <c r="BS904" s="23"/>
      <c r="BT904" s="23"/>
      <c r="BU904" s="23"/>
      <c r="BV904" s="23"/>
      <c r="BW904" s="23"/>
      <c r="BX904" s="23"/>
      <c r="BY904" s="23"/>
      <c r="BZ904" s="23"/>
      <c r="CA904" s="23"/>
      <c r="CB904" s="23"/>
      <c r="CC904" s="23"/>
      <c r="CD904" s="23"/>
      <c r="CE904" s="23"/>
      <c r="CF904" s="23"/>
      <c r="CG904" s="23"/>
      <c r="CH904" s="23"/>
      <c r="CI904" s="23"/>
      <c r="CJ904" s="23"/>
      <c r="CK904" s="23"/>
      <c r="CL904" s="23"/>
      <c r="CM904" s="23"/>
      <c r="CN904" s="23"/>
      <c r="CO904" s="23"/>
      <c r="CP904" s="23"/>
      <c r="CQ904" s="23"/>
      <c r="CR904" s="23"/>
      <c r="CS904" s="23"/>
      <c r="CT904" s="23"/>
      <c r="CU904" s="23"/>
      <c r="CV904" s="23"/>
      <c r="CW904" s="23"/>
      <c r="CX904" s="23"/>
      <c r="CY904" s="23"/>
      <c r="CZ904" s="23"/>
      <c r="DA904" s="23"/>
      <c r="DB904" s="23"/>
      <c r="DC904" s="23"/>
      <c r="DD904" s="23"/>
      <c r="DE904" s="23"/>
      <c r="DF904" s="23"/>
      <c r="DG904" s="23"/>
      <c r="DH904" s="23"/>
      <c r="DI904" s="23"/>
      <c r="DJ904" s="23"/>
      <c r="DK904" s="23"/>
      <c r="DL904" s="23"/>
      <c r="DM904" s="23"/>
      <c r="DN904" s="23"/>
      <c r="DO904" s="23"/>
      <c r="DP904" s="23"/>
      <c r="DQ904" s="23"/>
      <c r="DR904" s="23"/>
      <c r="DS904" s="23"/>
      <c r="DT904" s="23"/>
      <c r="DU904" s="23"/>
      <c r="DV904" s="23"/>
      <c r="DW904" s="23"/>
      <c r="DX904" s="23"/>
      <c r="DY904" s="23"/>
      <c r="DZ904" s="23"/>
      <c r="EA904" s="23"/>
      <c r="EB904" s="23"/>
      <c r="EC904" s="23"/>
      <c r="ED904" s="23"/>
      <c r="EE904" s="23"/>
      <c r="EF904" s="23"/>
      <c r="EG904" s="23"/>
      <c r="EH904" s="23"/>
      <c r="EI904" s="23"/>
      <c r="EJ904" s="23"/>
      <c r="EK904" s="23"/>
      <c r="EL904" s="23"/>
      <c r="EM904" s="23"/>
      <c r="EN904" s="23"/>
      <c r="EO904" s="23"/>
      <c r="EP904" s="23"/>
      <c r="EQ904" s="23"/>
      <c r="ER904" s="23"/>
      <c r="ES904" s="23"/>
      <c r="ET904" s="23"/>
      <c r="EU904" s="23"/>
      <c r="EV904" s="23"/>
      <c r="EW904" s="23"/>
      <c r="EX904" s="23"/>
      <c r="EY904" s="23"/>
      <c r="EZ904" s="23"/>
      <c r="FA904" s="23"/>
      <c r="FB904" s="23"/>
      <c r="FC904" s="23"/>
      <c r="FD904" s="23"/>
      <c r="FE904" s="23"/>
      <c r="FF904" s="23"/>
      <c r="FG904" s="23"/>
      <c r="FH904" s="23"/>
      <c r="FI904" s="23"/>
      <c r="FJ904" s="23"/>
      <c r="FK904" s="23"/>
      <c r="FL904" s="23"/>
      <c r="FM904" s="23"/>
      <c r="FN904" s="23"/>
      <c r="FO904" s="23"/>
      <c r="FP904" s="23"/>
      <c r="FQ904" s="23"/>
      <c r="FR904" s="23"/>
      <c r="FS904" s="23"/>
      <c r="FT904" s="23"/>
      <c r="FU904" s="23"/>
      <c r="FV904" s="23"/>
      <c r="FW904" s="23"/>
      <c r="FX904" s="23"/>
      <c r="FY904" s="23"/>
      <c r="FZ904" s="23"/>
      <c r="GA904" s="23"/>
      <c r="GB904" s="23"/>
      <c r="GC904" s="23"/>
      <c r="GD904" s="23"/>
      <c r="GE904" s="23"/>
      <c r="GF904" s="23"/>
      <c r="GG904" s="23"/>
      <c r="GH904" s="23"/>
      <c r="GI904" s="23"/>
      <c r="GJ904" s="23"/>
      <c r="GK904" s="23"/>
      <c r="GL904" s="23"/>
    </row>
    <row r="905" spans="1:194" ht="13">
      <c r="A905" s="23"/>
      <c r="B905" s="23"/>
      <c r="C905" s="23"/>
      <c r="D905" s="23"/>
      <c r="E905" s="23"/>
      <c r="F905" s="23"/>
      <c r="G905" s="23"/>
      <c r="H905" s="401"/>
      <c r="I905" s="401"/>
      <c r="J905" s="401"/>
      <c r="K905" s="401"/>
      <c r="L905" s="401"/>
      <c r="M905" s="438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  <c r="AL905" s="23"/>
      <c r="AM905" s="23"/>
      <c r="AN905" s="23"/>
      <c r="AO905" s="23"/>
      <c r="AP905" s="23"/>
      <c r="AQ905" s="23"/>
      <c r="AR905" s="23"/>
      <c r="AS905" s="23"/>
      <c r="AT905" s="23"/>
      <c r="AU905" s="23"/>
      <c r="AV905" s="23"/>
      <c r="AW905" s="23"/>
      <c r="AX905" s="23"/>
      <c r="AY905" s="23"/>
      <c r="AZ905" s="23"/>
      <c r="BA905" s="23"/>
      <c r="BB905" s="23"/>
      <c r="BC905" s="23"/>
      <c r="BD905" s="23"/>
      <c r="BE905" s="23"/>
      <c r="BF905" s="23"/>
      <c r="BG905" s="23"/>
      <c r="BH905" s="23"/>
      <c r="BI905" s="23"/>
      <c r="BJ905" s="23"/>
      <c r="BK905" s="23"/>
      <c r="BL905" s="23"/>
      <c r="BM905" s="23"/>
      <c r="BN905" s="23"/>
      <c r="BO905" s="23"/>
      <c r="BP905" s="23"/>
      <c r="BQ905" s="23"/>
      <c r="BR905" s="23"/>
      <c r="BS905" s="23"/>
      <c r="BT905" s="23"/>
      <c r="BU905" s="23"/>
      <c r="BV905" s="23"/>
      <c r="BW905" s="23"/>
      <c r="BX905" s="23"/>
      <c r="BY905" s="23"/>
      <c r="BZ905" s="23"/>
      <c r="CA905" s="23"/>
      <c r="CB905" s="23"/>
      <c r="CC905" s="23"/>
      <c r="CD905" s="23"/>
      <c r="CE905" s="23"/>
      <c r="CF905" s="23"/>
      <c r="CG905" s="23"/>
      <c r="CH905" s="23"/>
      <c r="CI905" s="23"/>
      <c r="CJ905" s="23"/>
      <c r="CK905" s="23"/>
      <c r="CL905" s="23"/>
      <c r="CM905" s="23"/>
      <c r="CN905" s="23"/>
      <c r="CO905" s="23"/>
      <c r="CP905" s="23"/>
      <c r="CQ905" s="23"/>
      <c r="CR905" s="23"/>
      <c r="CS905" s="23"/>
      <c r="CT905" s="23"/>
      <c r="CU905" s="23"/>
      <c r="CV905" s="23"/>
      <c r="CW905" s="23"/>
      <c r="CX905" s="23"/>
      <c r="CY905" s="23"/>
      <c r="CZ905" s="23"/>
      <c r="DA905" s="23"/>
      <c r="DB905" s="23"/>
      <c r="DC905" s="23"/>
      <c r="DD905" s="23"/>
      <c r="DE905" s="23"/>
      <c r="DF905" s="23"/>
      <c r="DG905" s="23"/>
      <c r="DH905" s="23"/>
      <c r="DI905" s="23"/>
      <c r="DJ905" s="23"/>
      <c r="DK905" s="23"/>
      <c r="DL905" s="23"/>
      <c r="DM905" s="23"/>
      <c r="DN905" s="23"/>
      <c r="DO905" s="23"/>
      <c r="DP905" s="23"/>
      <c r="DQ905" s="23"/>
      <c r="DR905" s="23"/>
      <c r="DS905" s="23"/>
      <c r="DT905" s="23"/>
      <c r="DU905" s="23"/>
      <c r="DV905" s="23"/>
      <c r="DW905" s="23"/>
      <c r="DX905" s="23"/>
      <c r="DY905" s="23"/>
      <c r="DZ905" s="23"/>
      <c r="EA905" s="23"/>
      <c r="EB905" s="23"/>
      <c r="EC905" s="23"/>
      <c r="ED905" s="23"/>
      <c r="EE905" s="23"/>
      <c r="EF905" s="23"/>
      <c r="EG905" s="23"/>
      <c r="EH905" s="23"/>
      <c r="EI905" s="23"/>
      <c r="EJ905" s="23"/>
      <c r="EK905" s="23"/>
      <c r="EL905" s="23"/>
      <c r="EM905" s="23"/>
      <c r="EN905" s="23"/>
      <c r="EO905" s="23"/>
      <c r="EP905" s="23"/>
      <c r="EQ905" s="23"/>
      <c r="ER905" s="23"/>
      <c r="ES905" s="23"/>
      <c r="ET905" s="23"/>
      <c r="EU905" s="23"/>
      <c r="EV905" s="23"/>
      <c r="EW905" s="23"/>
      <c r="EX905" s="23"/>
      <c r="EY905" s="23"/>
      <c r="EZ905" s="23"/>
      <c r="FA905" s="23"/>
      <c r="FB905" s="23"/>
      <c r="FC905" s="23"/>
      <c r="FD905" s="23"/>
      <c r="FE905" s="23"/>
      <c r="FF905" s="23"/>
      <c r="FG905" s="23"/>
      <c r="FH905" s="23"/>
      <c r="FI905" s="23"/>
      <c r="FJ905" s="23"/>
      <c r="FK905" s="23"/>
      <c r="FL905" s="23"/>
      <c r="FM905" s="23"/>
      <c r="FN905" s="23"/>
      <c r="FO905" s="23"/>
      <c r="FP905" s="23"/>
      <c r="FQ905" s="23"/>
      <c r="FR905" s="23"/>
      <c r="FS905" s="23"/>
      <c r="FT905" s="23"/>
      <c r="FU905" s="23"/>
      <c r="FV905" s="23"/>
      <c r="FW905" s="23"/>
      <c r="FX905" s="23"/>
      <c r="FY905" s="23"/>
      <c r="FZ905" s="23"/>
      <c r="GA905" s="23"/>
      <c r="GB905" s="23"/>
      <c r="GC905" s="23"/>
      <c r="GD905" s="23"/>
      <c r="GE905" s="23"/>
      <c r="GF905" s="23"/>
      <c r="GG905" s="23"/>
      <c r="GH905" s="23"/>
      <c r="GI905" s="23"/>
      <c r="GJ905" s="23"/>
      <c r="GK905" s="23"/>
      <c r="GL905" s="23"/>
    </row>
    <row r="906" spans="1:194" ht="13">
      <c r="A906" s="23"/>
      <c r="B906" s="23"/>
      <c r="C906" s="23"/>
      <c r="D906" s="23"/>
      <c r="E906" s="23"/>
      <c r="F906" s="23"/>
      <c r="G906" s="23"/>
      <c r="H906" s="401"/>
      <c r="I906" s="401"/>
      <c r="J906" s="401"/>
      <c r="K906" s="401"/>
      <c r="L906" s="401"/>
      <c r="M906" s="438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  <c r="AL906" s="23"/>
      <c r="AM906" s="23"/>
      <c r="AN906" s="23"/>
      <c r="AO906" s="23"/>
      <c r="AP906" s="23"/>
      <c r="AQ906" s="23"/>
      <c r="AR906" s="23"/>
      <c r="AS906" s="23"/>
      <c r="AT906" s="23"/>
      <c r="AU906" s="23"/>
      <c r="AV906" s="23"/>
      <c r="AW906" s="23"/>
      <c r="AX906" s="23"/>
      <c r="AY906" s="23"/>
      <c r="AZ906" s="23"/>
      <c r="BA906" s="23"/>
      <c r="BB906" s="23"/>
      <c r="BC906" s="23"/>
      <c r="BD906" s="23"/>
      <c r="BE906" s="23"/>
      <c r="BF906" s="23"/>
      <c r="BG906" s="23"/>
      <c r="BH906" s="23"/>
      <c r="BI906" s="23"/>
      <c r="BJ906" s="23"/>
      <c r="BK906" s="23"/>
      <c r="BL906" s="23"/>
      <c r="BM906" s="23"/>
      <c r="BN906" s="23"/>
      <c r="BO906" s="23"/>
      <c r="BP906" s="23"/>
      <c r="BQ906" s="23"/>
      <c r="BR906" s="23"/>
      <c r="BS906" s="23"/>
      <c r="BT906" s="23"/>
      <c r="BU906" s="23"/>
      <c r="BV906" s="23"/>
      <c r="BW906" s="23"/>
      <c r="BX906" s="23"/>
      <c r="BY906" s="23"/>
      <c r="BZ906" s="23"/>
      <c r="CA906" s="23"/>
      <c r="CB906" s="23"/>
      <c r="CC906" s="23"/>
      <c r="CD906" s="23"/>
      <c r="CE906" s="23"/>
      <c r="CF906" s="23"/>
      <c r="CG906" s="23"/>
      <c r="CH906" s="23"/>
      <c r="CI906" s="23"/>
      <c r="CJ906" s="23"/>
      <c r="CK906" s="23"/>
      <c r="CL906" s="23"/>
      <c r="CM906" s="23"/>
      <c r="CN906" s="23"/>
      <c r="CO906" s="23"/>
      <c r="CP906" s="23"/>
      <c r="CQ906" s="23"/>
      <c r="CR906" s="23"/>
      <c r="CS906" s="23"/>
      <c r="CT906" s="23"/>
      <c r="CU906" s="23"/>
      <c r="CV906" s="23"/>
      <c r="CW906" s="23"/>
      <c r="CX906" s="23"/>
      <c r="CY906" s="23"/>
      <c r="CZ906" s="23"/>
      <c r="DA906" s="23"/>
      <c r="DB906" s="23"/>
      <c r="DC906" s="23"/>
      <c r="DD906" s="23"/>
      <c r="DE906" s="23"/>
      <c r="DF906" s="23"/>
      <c r="DG906" s="23"/>
      <c r="DH906" s="23"/>
      <c r="DI906" s="23"/>
      <c r="DJ906" s="23"/>
      <c r="DK906" s="23"/>
      <c r="DL906" s="23"/>
      <c r="DM906" s="23"/>
      <c r="DN906" s="23"/>
      <c r="DO906" s="23"/>
      <c r="DP906" s="23"/>
      <c r="DQ906" s="23"/>
      <c r="DR906" s="23"/>
      <c r="DS906" s="23"/>
      <c r="DT906" s="23"/>
      <c r="DU906" s="23"/>
      <c r="DV906" s="23"/>
      <c r="DW906" s="23"/>
      <c r="DX906" s="23"/>
      <c r="DY906" s="23"/>
      <c r="DZ906" s="23"/>
      <c r="EA906" s="23"/>
      <c r="EB906" s="23"/>
      <c r="EC906" s="23"/>
      <c r="ED906" s="23"/>
      <c r="EE906" s="23"/>
      <c r="EF906" s="23"/>
      <c r="EG906" s="23"/>
      <c r="EH906" s="23"/>
      <c r="EI906" s="23"/>
      <c r="EJ906" s="23"/>
      <c r="EK906" s="23"/>
      <c r="EL906" s="23"/>
      <c r="EM906" s="23"/>
      <c r="EN906" s="23"/>
      <c r="EO906" s="23"/>
      <c r="EP906" s="23"/>
      <c r="EQ906" s="23"/>
      <c r="ER906" s="23"/>
      <c r="ES906" s="23"/>
      <c r="ET906" s="23"/>
      <c r="EU906" s="23"/>
      <c r="EV906" s="23"/>
      <c r="EW906" s="23"/>
      <c r="EX906" s="23"/>
      <c r="EY906" s="23"/>
      <c r="EZ906" s="23"/>
      <c r="FA906" s="23"/>
      <c r="FB906" s="23"/>
      <c r="FC906" s="23"/>
      <c r="FD906" s="23"/>
      <c r="FE906" s="23"/>
      <c r="FF906" s="23"/>
      <c r="FG906" s="23"/>
      <c r="FH906" s="23"/>
      <c r="FI906" s="23"/>
      <c r="FJ906" s="23"/>
      <c r="FK906" s="23"/>
      <c r="FL906" s="23"/>
      <c r="FM906" s="23"/>
      <c r="FN906" s="23"/>
      <c r="FO906" s="23"/>
      <c r="FP906" s="23"/>
      <c r="FQ906" s="23"/>
      <c r="FR906" s="23"/>
      <c r="FS906" s="23"/>
      <c r="FT906" s="23"/>
      <c r="FU906" s="23"/>
      <c r="FV906" s="23"/>
      <c r="FW906" s="23"/>
      <c r="FX906" s="23"/>
      <c r="FY906" s="23"/>
      <c r="FZ906" s="23"/>
      <c r="GA906" s="23"/>
      <c r="GB906" s="23"/>
      <c r="GC906" s="23"/>
      <c r="GD906" s="23"/>
      <c r="GE906" s="23"/>
      <c r="GF906" s="23"/>
      <c r="GG906" s="23"/>
      <c r="GH906" s="23"/>
      <c r="GI906" s="23"/>
      <c r="GJ906" s="23"/>
      <c r="GK906" s="23"/>
      <c r="GL906" s="23"/>
    </row>
    <row r="907" spans="1:194" ht="13">
      <c r="A907" s="23"/>
      <c r="B907" s="23"/>
      <c r="C907" s="23"/>
      <c r="D907" s="23"/>
      <c r="E907" s="23"/>
      <c r="F907" s="23"/>
      <c r="G907" s="23"/>
      <c r="H907" s="401"/>
      <c r="I907" s="401"/>
      <c r="J907" s="401"/>
      <c r="K907" s="401"/>
      <c r="L907" s="401"/>
      <c r="M907" s="438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  <c r="AL907" s="23"/>
      <c r="AM907" s="23"/>
      <c r="AN907" s="23"/>
      <c r="AO907" s="23"/>
      <c r="AP907" s="23"/>
      <c r="AQ907" s="23"/>
      <c r="AR907" s="23"/>
      <c r="AS907" s="23"/>
      <c r="AT907" s="23"/>
      <c r="AU907" s="23"/>
      <c r="AV907" s="23"/>
      <c r="AW907" s="23"/>
      <c r="AX907" s="23"/>
      <c r="AY907" s="23"/>
      <c r="AZ907" s="23"/>
      <c r="BA907" s="23"/>
      <c r="BB907" s="23"/>
      <c r="BC907" s="23"/>
      <c r="BD907" s="23"/>
      <c r="BE907" s="23"/>
      <c r="BF907" s="23"/>
      <c r="BG907" s="23"/>
      <c r="BH907" s="23"/>
      <c r="BI907" s="23"/>
      <c r="BJ907" s="23"/>
      <c r="BK907" s="23"/>
      <c r="BL907" s="23"/>
      <c r="BM907" s="23"/>
      <c r="BN907" s="23"/>
      <c r="BO907" s="23"/>
      <c r="BP907" s="23"/>
      <c r="BQ907" s="23"/>
      <c r="BR907" s="23"/>
      <c r="BS907" s="23"/>
      <c r="BT907" s="23"/>
      <c r="BU907" s="23"/>
      <c r="BV907" s="23"/>
      <c r="BW907" s="23"/>
      <c r="BX907" s="23"/>
      <c r="BY907" s="23"/>
      <c r="BZ907" s="23"/>
      <c r="CA907" s="23"/>
      <c r="CB907" s="23"/>
      <c r="CC907" s="23"/>
      <c r="CD907" s="23"/>
      <c r="CE907" s="23"/>
      <c r="CF907" s="23"/>
      <c r="CG907" s="23"/>
      <c r="CH907" s="23"/>
      <c r="CI907" s="23"/>
      <c r="CJ907" s="23"/>
      <c r="CK907" s="23"/>
      <c r="CL907" s="23"/>
      <c r="CM907" s="23"/>
      <c r="CN907" s="23"/>
      <c r="CO907" s="23"/>
      <c r="CP907" s="23"/>
      <c r="CQ907" s="23"/>
      <c r="CR907" s="23"/>
      <c r="CS907" s="23"/>
      <c r="CT907" s="23"/>
      <c r="CU907" s="23"/>
      <c r="CV907" s="23"/>
      <c r="CW907" s="23"/>
      <c r="CX907" s="23"/>
      <c r="CY907" s="23"/>
      <c r="CZ907" s="23"/>
      <c r="DA907" s="23"/>
      <c r="DB907" s="23"/>
      <c r="DC907" s="23"/>
      <c r="DD907" s="23"/>
      <c r="DE907" s="23"/>
      <c r="DF907" s="23"/>
      <c r="DG907" s="23"/>
      <c r="DH907" s="23"/>
      <c r="DI907" s="23"/>
      <c r="DJ907" s="23"/>
      <c r="DK907" s="23"/>
      <c r="DL907" s="23"/>
      <c r="DM907" s="23"/>
      <c r="DN907" s="23"/>
      <c r="DO907" s="23"/>
      <c r="DP907" s="23"/>
      <c r="DQ907" s="23"/>
      <c r="DR907" s="23"/>
      <c r="DS907" s="23"/>
      <c r="DT907" s="23"/>
      <c r="DU907" s="23"/>
      <c r="DV907" s="23"/>
      <c r="DW907" s="23"/>
      <c r="DX907" s="23"/>
      <c r="DY907" s="23"/>
      <c r="DZ907" s="23"/>
      <c r="EA907" s="23"/>
      <c r="EB907" s="23"/>
      <c r="EC907" s="23"/>
      <c r="ED907" s="23"/>
      <c r="EE907" s="23"/>
      <c r="EF907" s="23"/>
      <c r="EG907" s="23"/>
      <c r="EH907" s="23"/>
      <c r="EI907" s="23"/>
      <c r="EJ907" s="23"/>
      <c r="EK907" s="23"/>
      <c r="EL907" s="23"/>
      <c r="EM907" s="23"/>
      <c r="EN907" s="23"/>
      <c r="EO907" s="23"/>
      <c r="EP907" s="23"/>
      <c r="EQ907" s="23"/>
      <c r="ER907" s="23"/>
      <c r="ES907" s="23"/>
      <c r="ET907" s="23"/>
      <c r="EU907" s="23"/>
      <c r="EV907" s="23"/>
      <c r="EW907" s="23"/>
      <c r="EX907" s="23"/>
      <c r="EY907" s="23"/>
      <c r="EZ907" s="23"/>
      <c r="FA907" s="23"/>
      <c r="FB907" s="23"/>
      <c r="FC907" s="23"/>
      <c r="FD907" s="23"/>
      <c r="FE907" s="23"/>
      <c r="FF907" s="23"/>
      <c r="FG907" s="23"/>
      <c r="FH907" s="23"/>
      <c r="FI907" s="23"/>
      <c r="FJ907" s="23"/>
      <c r="FK907" s="23"/>
      <c r="FL907" s="23"/>
      <c r="FM907" s="23"/>
      <c r="FN907" s="23"/>
      <c r="FO907" s="23"/>
      <c r="FP907" s="23"/>
      <c r="FQ907" s="23"/>
      <c r="FR907" s="23"/>
      <c r="FS907" s="23"/>
      <c r="FT907" s="23"/>
      <c r="FU907" s="23"/>
      <c r="FV907" s="23"/>
      <c r="FW907" s="23"/>
      <c r="FX907" s="23"/>
      <c r="FY907" s="23"/>
      <c r="FZ907" s="23"/>
      <c r="GA907" s="23"/>
      <c r="GB907" s="23"/>
      <c r="GC907" s="23"/>
      <c r="GD907" s="23"/>
      <c r="GE907" s="23"/>
      <c r="GF907" s="23"/>
      <c r="GG907" s="23"/>
      <c r="GH907" s="23"/>
      <c r="GI907" s="23"/>
      <c r="GJ907" s="23"/>
      <c r="GK907" s="23"/>
      <c r="GL907" s="23"/>
    </row>
    <row r="908" spans="1:194" ht="13">
      <c r="A908" s="23"/>
      <c r="B908" s="23"/>
      <c r="C908" s="23"/>
      <c r="D908" s="23"/>
      <c r="E908" s="23"/>
      <c r="F908" s="23"/>
      <c r="G908" s="23"/>
      <c r="H908" s="401"/>
      <c r="I908" s="401"/>
      <c r="J908" s="401"/>
      <c r="K908" s="401"/>
      <c r="L908" s="401"/>
      <c r="M908" s="438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  <c r="AL908" s="23"/>
      <c r="AM908" s="23"/>
      <c r="AN908" s="23"/>
      <c r="AO908" s="23"/>
      <c r="AP908" s="23"/>
      <c r="AQ908" s="23"/>
      <c r="AR908" s="23"/>
      <c r="AS908" s="23"/>
      <c r="AT908" s="23"/>
      <c r="AU908" s="23"/>
      <c r="AV908" s="23"/>
      <c r="AW908" s="23"/>
      <c r="AX908" s="23"/>
      <c r="AY908" s="23"/>
      <c r="AZ908" s="23"/>
      <c r="BA908" s="23"/>
      <c r="BB908" s="23"/>
      <c r="BC908" s="23"/>
      <c r="BD908" s="23"/>
      <c r="BE908" s="23"/>
      <c r="BF908" s="23"/>
      <c r="BG908" s="23"/>
      <c r="BH908" s="23"/>
      <c r="BI908" s="23"/>
      <c r="BJ908" s="23"/>
      <c r="BK908" s="23"/>
      <c r="BL908" s="23"/>
      <c r="BM908" s="23"/>
      <c r="BN908" s="23"/>
      <c r="BO908" s="23"/>
      <c r="BP908" s="23"/>
      <c r="BQ908" s="23"/>
      <c r="BR908" s="23"/>
      <c r="BS908" s="23"/>
      <c r="BT908" s="23"/>
      <c r="BU908" s="23"/>
      <c r="BV908" s="23"/>
      <c r="BW908" s="23"/>
      <c r="BX908" s="23"/>
      <c r="BY908" s="23"/>
      <c r="BZ908" s="23"/>
      <c r="CA908" s="23"/>
      <c r="CB908" s="23"/>
      <c r="CC908" s="23"/>
      <c r="CD908" s="23"/>
      <c r="CE908" s="23"/>
      <c r="CF908" s="23"/>
      <c r="CG908" s="23"/>
      <c r="CH908" s="23"/>
      <c r="CI908" s="23"/>
      <c r="CJ908" s="23"/>
      <c r="CK908" s="23"/>
      <c r="CL908" s="23"/>
      <c r="CM908" s="23"/>
      <c r="CN908" s="23"/>
      <c r="CO908" s="23"/>
      <c r="CP908" s="23"/>
      <c r="CQ908" s="23"/>
      <c r="CR908" s="23"/>
      <c r="CS908" s="23"/>
      <c r="CT908" s="23"/>
      <c r="CU908" s="23"/>
      <c r="CV908" s="23"/>
      <c r="CW908" s="23"/>
      <c r="CX908" s="23"/>
      <c r="CY908" s="23"/>
      <c r="CZ908" s="23"/>
      <c r="DA908" s="23"/>
      <c r="DB908" s="23"/>
      <c r="DC908" s="23"/>
      <c r="DD908" s="23"/>
      <c r="DE908" s="23"/>
      <c r="DF908" s="23"/>
      <c r="DG908" s="23"/>
      <c r="DH908" s="23"/>
      <c r="DI908" s="23"/>
      <c r="DJ908" s="23"/>
      <c r="DK908" s="23"/>
      <c r="DL908" s="23"/>
      <c r="DM908" s="23"/>
      <c r="DN908" s="23"/>
      <c r="DO908" s="23"/>
      <c r="DP908" s="23"/>
      <c r="DQ908" s="23"/>
      <c r="DR908" s="23"/>
      <c r="DS908" s="23"/>
      <c r="DT908" s="23"/>
      <c r="DU908" s="23"/>
      <c r="DV908" s="23"/>
      <c r="DW908" s="23"/>
      <c r="DX908" s="23"/>
      <c r="DY908" s="23"/>
      <c r="DZ908" s="23"/>
      <c r="EA908" s="23"/>
      <c r="EB908" s="23"/>
      <c r="EC908" s="23"/>
      <c r="ED908" s="23"/>
      <c r="EE908" s="23"/>
      <c r="EF908" s="23"/>
      <c r="EG908" s="23"/>
      <c r="EH908" s="23"/>
      <c r="EI908" s="23"/>
      <c r="EJ908" s="23"/>
      <c r="EK908" s="23"/>
      <c r="EL908" s="23"/>
      <c r="EM908" s="23"/>
      <c r="EN908" s="23"/>
      <c r="EO908" s="23"/>
      <c r="EP908" s="23"/>
      <c r="EQ908" s="23"/>
      <c r="ER908" s="23"/>
      <c r="ES908" s="23"/>
      <c r="ET908" s="23"/>
      <c r="EU908" s="23"/>
      <c r="EV908" s="23"/>
      <c r="EW908" s="23"/>
      <c r="EX908" s="23"/>
      <c r="EY908" s="23"/>
      <c r="EZ908" s="23"/>
      <c r="FA908" s="23"/>
      <c r="FB908" s="23"/>
      <c r="FC908" s="23"/>
      <c r="FD908" s="23"/>
      <c r="FE908" s="23"/>
      <c r="FF908" s="23"/>
      <c r="FG908" s="23"/>
      <c r="FH908" s="23"/>
      <c r="FI908" s="23"/>
      <c r="FJ908" s="23"/>
      <c r="FK908" s="23"/>
      <c r="FL908" s="23"/>
      <c r="FM908" s="23"/>
      <c r="FN908" s="23"/>
      <c r="FO908" s="23"/>
      <c r="FP908" s="23"/>
      <c r="FQ908" s="23"/>
      <c r="FR908" s="23"/>
      <c r="FS908" s="23"/>
      <c r="FT908" s="23"/>
      <c r="FU908" s="23"/>
      <c r="FV908" s="23"/>
      <c r="FW908" s="23"/>
      <c r="FX908" s="23"/>
      <c r="FY908" s="23"/>
      <c r="FZ908" s="23"/>
      <c r="GA908" s="23"/>
      <c r="GB908" s="23"/>
      <c r="GC908" s="23"/>
      <c r="GD908" s="23"/>
      <c r="GE908" s="23"/>
      <c r="GF908" s="23"/>
      <c r="GG908" s="23"/>
      <c r="GH908" s="23"/>
      <c r="GI908" s="23"/>
      <c r="GJ908" s="23"/>
      <c r="GK908" s="23"/>
      <c r="GL908" s="23"/>
    </row>
    <row r="909" spans="1:194" ht="13">
      <c r="A909" s="23"/>
      <c r="B909" s="23"/>
      <c r="C909" s="23"/>
      <c r="D909" s="23"/>
      <c r="E909" s="23"/>
      <c r="F909" s="23"/>
      <c r="G909" s="23"/>
      <c r="H909" s="401"/>
      <c r="I909" s="401"/>
      <c r="J909" s="401"/>
      <c r="K909" s="401"/>
      <c r="L909" s="401"/>
      <c r="M909" s="438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  <c r="AL909" s="23"/>
      <c r="AM909" s="23"/>
      <c r="AN909" s="23"/>
      <c r="AO909" s="23"/>
      <c r="AP909" s="23"/>
      <c r="AQ909" s="23"/>
      <c r="AR909" s="23"/>
      <c r="AS909" s="23"/>
      <c r="AT909" s="23"/>
      <c r="AU909" s="23"/>
      <c r="AV909" s="23"/>
      <c r="AW909" s="23"/>
      <c r="AX909" s="23"/>
      <c r="AY909" s="23"/>
      <c r="AZ909" s="23"/>
      <c r="BA909" s="23"/>
      <c r="BB909" s="23"/>
      <c r="BC909" s="23"/>
      <c r="BD909" s="23"/>
      <c r="BE909" s="23"/>
      <c r="BF909" s="23"/>
      <c r="BG909" s="23"/>
      <c r="BH909" s="23"/>
      <c r="BI909" s="23"/>
      <c r="BJ909" s="23"/>
      <c r="BK909" s="23"/>
      <c r="BL909" s="23"/>
      <c r="BM909" s="23"/>
      <c r="BN909" s="23"/>
      <c r="BO909" s="23"/>
      <c r="BP909" s="23"/>
      <c r="BQ909" s="23"/>
      <c r="BR909" s="23"/>
      <c r="BS909" s="23"/>
      <c r="BT909" s="23"/>
      <c r="BU909" s="23"/>
      <c r="BV909" s="23"/>
      <c r="BW909" s="23"/>
      <c r="BX909" s="23"/>
      <c r="BY909" s="23"/>
      <c r="BZ909" s="23"/>
      <c r="CA909" s="23"/>
      <c r="CB909" s="23"/>
      <c r="CC909" s="23"/>
      <c r="CD909" s="23"/>
      <c r="CE909" s="23"/>
      <c r="CF909" s="23"/>
      <c r="CG909" s="23"/>
      <c r="CH909" s="23"/>
      <c r="CI909" s="23"/>
      <c r="CJ909" s="23"/>
      <c r="CK909" s="23"/>
      <c r="CL909" s="23"/>
      <c r="CM909" s="23"/>
      <c r="CN909" s="23"/>
      <c r="CO909" s="23"/>
      <c r="CP909" s="23"/>
      <c r="CQ909" s="23"/>
      <c r="CR909" s="23"/>
      <c r="CS909" s="23"/>
      <c r="CT909" s="23"/>
      <c r="CU909" s="23"/>
      <c r="CV909" s="23"/>
      <c r="CW909" s="23"/>
      <c r="CX909" s="23"/>
      <c r="CY909" s="23"/>
      <c r="CZ909" s="23"/>
      <c r="DA909" s="23"/>
      <c r="DB909" s="23"/>
      <c r="DC909" s="23"/>
      <c r="DD909" s="23"/>
      <c r="DE909" s="23"/>
      <c r="DF909" s="23"/>
      <c r="DG909" s="23"/>
      <c r="DH909" s="23"/>
      <c r="DI909" s="23"/>
      <c r="DJ909" s="23"/>
      <c r="DK909" s="23"/>
      <c r="DL909" s="23"/>
      <c r="DM909" s="23"/>
      <c r="DN909" s="23"/>
      <c r="DO909" s="23"/>
      <c r="DP909" s="23"/>
      <c r="DQ909" s="23"/>
      <c r="DR909" s="23"/>
      <c r="DS909" s="23"/>
      <c r="DT909" s="23"/>
      <c r="DU909" s="23"/>
      <c r="DV909" s="23"/>
      <c r="DW909" s="23"/>
      <c r="DX909" s="23"/>
      <c r="DY909" s="23"/>
      <c r="DZ909" s="23"/>
      <c r="EA909" s="23"/>
      <c r="EB909" s="23"/>
      <c r="EC909" s="23"/>
      <c r="ED909" s="23"/>
      <c r="EE909" s="23"/>
      <c r="EF909" s="23"/>
      <c r="EG909" s="23"/>
      <c r="EH909" s="23"/>
      <c r="EI909" s="23"/>
      <c r="EJ909" s="23"/>
      <c r="EK909" s="23"/>
      <c r="EL909" s="23"/>
      <c r="EM909" s="23"/>
      <c r="EN909" s="23"/>
      <c r="EO909" s="23"/>
      <c r="EP909" s="23"/>
      <c r="EQ909" s="23"/>
      <c r="ER909" s="23"/>
      <c r="ES909" s="23"/>
      <c r="ET909" s="23"/>
      <c r="EU909" s="23"/>
      <c r="EV909" s="23"/>
      <c r="EW909" s="23"/>
      <c r="EX909" s="23"/>
      <c r="EY909" s="23"/>
      <c r="EZ909" s="23"/>
      <c r="FA909" s="23"/>
      <c r="FB909" s="23"/>
      <c r="FC909" s="23"/>
      <c r="FD909" s="23"/>
      <c r="FE909" s="23"/>
      <c r="FF909" s="23"/>
      <c r="FG909" s="23"/>
      <c r="FH909" s="23"/>
      <c r="FI909" s="23"/>
      <c r="FJ909" s="23"/>
      <c r="FK909" s="23"/>
      <c r="FL909" s="23"/>
      <c r="FM909" s="23"/>
      <c r="FN909" s="23"/>
      <c r="FO909" s="23"/>
      <c r="FP909" s="23"/>
      <c r="FQ909" s="23"/>
      <c r="FR909" s="23"/>
      <c r="FS909" s="23"/>
      <c r="FT909" s="23"/>
      <c r="FU909" s="23"/>
      <c r="FV909" s="23"/>
      <c r="FW909" s="23"/>
      <c r="FX909" s="23"/>
      <c r="FY909" s="23"/>
      <c r="FZ909" s="23"/>
      <c r="GA909" s="23"/>
      <c r="GB909" s="23"/>
      <c r="GC909" s="23"/>
      <c r="GD909" s="23"/>
      <c r="GE909" s="23"/>
      <c r="GF909" s="23"/>
      <c r="GG909" s="23"/>
      <c r="GH909" s="23"/>
      <c r="GI909" s="23"/>
      <c r="GJ909" s="23"/>
      <c r="GK909" s="23"/>
      <c r="GL909" s="23"/>
    </row>
    <row r="910" spans="1:194" ht="13">
      <c r="A910" s="23"/>
      <c r="B910" s="23"/>
      <c r="C910" s="23"/>
      <c r="D910" s="23"/>
      <c r="E910" s="23"/>
      <c r="F910" s="23"/>
      <c r="G910" s="23"/>
      <c r="H910" s="401"/>
      <c r="I910" s="401"/>
      <c r="J910" s="401"/>
      <c r="K910" s="401"/>
      <c r="L910" s="401"/>
      <c r="M910" s="438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  <c r="AL910" s="23"/>
      <c r="AM910" s="23"/>
      <c r="AN910" s="23"/>
      <c r="AO910" s="23"/>
      <c r="AP910" s="23"/>
      <c r="AQ910" s="23"/>
      <c r="AR910" s="23"/>
      <c r="AS910" s="23"/>
      <c r="AT910" s="23"/>
      <c r="AU910" s="23"/>
      <c r="AV910" s="23"/>
      <c r="AW910" s="23"/>
      <c r="AX910" s="23"/>
      <c r="AY910" s="23"/>
      <c r="AZ910" s="23"/>
      <c r="BA910" s="23"/>
      <c r="BB910" s="23"/>
      <c r="BC910" s="23"/>
      <c r="BD910" s="23"/>
      <c r="BE910" s="23"/>
      <c r="BF910" s="23"/>
      <c r="BG910" s="23"/>
      <c r="BH910" s="23"/>
      <c r="BI910" s="23"/>
      <c r="BJ910" s="23"/>
      <c r="BK910" s="23"/>
      <c r="BL910" s="23"/>
      <c r="BM910" s="23"/>
      <c r="BN910" s="23"/>
      <c r="BO910" s="23"/>
      <c r="BP910" s="23"/>
      <c r="BQ910" s="23"/>
      <c r="BR910" s="23"/>
      <c r="BS910" s="23"/>
      <c r="BT910" s="23"/>
      <c r="BU910" s="23"/>
      <c r="BV910" s="23"/>
      <c r="BW910" s="23"/>
      <c r="BX910" s="23"/>
      <c r="BY910" s="23"/>
      <c r="BZ910" s="23"/>
      <c r="CA910" s="23"/>
      <c r="CB910" s="23"/>
      <c r="CC910" s="23"/>
      <c r="CD910" s="23"/>
      <c r="CE910" s="23"/>
      <c r="CF910" s="23"/>
      <c r="CG910" s="23"/>
      <c r="CH910" s="23"/>
      <c r="CI910" s="23"/>
      <c r="CJ910" s="23"/>
      <c r="CK910" s="23"/>
      <c r="CL910" s="23"/>
      <c r="CM910" s="23"/>
      <c r="CN910" s="23"/>
      <c r="CO910" s="23"/>
      <c r="CP910" s="23"/>
      <c r="CQ910" s="23"/>
      <c r="CR910" s="23"/>
      <c r="CS910" s="23"/>
      <c r="CT910" s="23"/>
      <c r="CU910" s="23"/>
      <c r="CV910" s="23"/>
      <c r="CW910" s="23"/>
      <c r="CX910" s="23"/>
      <c r="CY910" s="23"/>
      <c r="CZ910" s="23"/>
      <c r="DA910" s="23"/>
      <c r="DB910" s="23"/>
      <c r="DC910" s="23"/>
      <c r="DD910" s="23"/>
      <c r="DE910" s="23"/>
      <c r="DF910" s="23"/>
      <c r="DG910" s="23"/>
      <c r="DH910" s="23"/>
      <c r="DI910" s="23"/>
      <c r="DJ910" s="23"/>
      <c r="DK910" s="23"/>
      <c r="DL910" s="23"/>
      <c r="DM910" s="23"/>
      <c r="DN910" s="23"/>
      <c r="DO910" s="23"/>
      <c r="DP910" s="23"/>
      <c r="DQ910" s="23"/>
      <c r="DR910" s="23"/>
      <c r="DS910" s="23"/>
      <c r="DT910" s="23"/>
      <c r="DU910" s="23"/>
      <c r="DV910" s="23"/>
      <c r="DW910" s="23"/>
      <c r="DX910" s="23"/>
      <c r="DY910" s="23"/>
      <c r="DZ910" s="23"/>
      <c r="EA910" s="23"/>
      <c r="EB910" s="23"/>
      <c r="EC910" s="23"/>
      <c r="ED910" s="23"/>
      <c r="EE910" s="23"/>
      <c r="EF910" s="23"/>
      <c r="EG910" s="23"/>
      <c r="EH910" s="23"/>
      <c r="EI910" s="23"/>
      <c r="EJ910" s="23"/>
      <c r="EK910" s="23"/>
      <c r="EL910" s="23"/>
      <c r="EM910" s="23"/>
      <c r="EN910" s="23"/>
      <c r="EO910" s="23"/>
      <c r="EP910" s="23"/>
      <c r="EQ910" s="23"/>
      <c r="ER910" s="23"/>
      <c r="ES910" s="23"/>
      <c r="ET910" s="23"/>
      <c r="EU910" s="23"/>
      <c r="EV910" s="23"/>
      <c r="EW910" s="23"/>
      <c r="EX910" s="23"/>
      <c r="EY910" s="23"/>
      <c r="EZ910" s="23"/>
      <c r="FA910" s="23"/>
      <c r="FB910" s="23"/>
      <c r="FC910" s="23"/>
      <c r="FD910" s="23"/>
      <c r="FE910" s="23"/>
      <c r="FF910" s="23"/>
      <c r="FG910" s="23"/>
      <c r="FH910" s="23"/>
      <c r="FI910" s="23"/>
      <c r="FJ910" s="23"/>
      <c r="FK910" s="23"/>
      <c r="FL910" s="23"/>
      <c r="FM910" s="23"/>
      <c r="FN910" s="23"/>
      <c r="FO910" s="23"/>
      <c r="FP910" s="23"/>
      <c r="FQ910" s="23"/>
      <c r="FR910" s="23"/>
      <c r="FS910" s="23"/>
      <c r="FT910" s="23"/>
      <c r="FU910" s="23"/>
      <c r="FV910" s="23"/>
      <c r="FW910" s="23"/>
      <c r="FX910" s="23"/>
      <c r="FY910" s="23"/>
      <c r="FZ910" s="23"/>
      <c r="GA910" s="23"/>
      <c r="GB910" s="23"/>
      <c r="GC910" s="23"/>
      <c r="GD910" s="23"/>
      <c r="GE910" s="23"/>
      <c r="GF910" s="23"/>
      <c r="GG910" s="23"/>
      <c r="GH910" s="23"/>
      <c r="GI910" s="23"/>
      <c r="GJ910" s="23"/>
      <c r="GK910" s="23"/>
      <c r="GL910" s="23"/>
    </row>
    <row r="911" spans="1:194" ht="13">
      <c r="A911" s="23"/>
      <c r="B911" s="23"/>
      <c r="C911" s="23"/>
      <c r="D911" s="23"/>
      <c r="E911" s="23"/>
      <c r="F911" s="23"/>
      <c r="G911" s="23"/>
      <c r="H911" s="401"/>
      <c r="I911" s="401"/>
      <c r="J911" s="401"/>
      <c r="K911" s="401"/>
      <c r="L911" s="401"/>
      <c r="M911" s="438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  <c r="AL911" s="23"/>
      <c r="AM911" s="23"/>
      <c r="AN911" s="23"/>
      <c r="AO911" s="23"/>
      <c r="AP911" s="23"/>
      <c r="AQ911" s="23"/>
      <c r="AR911" s="23"/>
      <c r="AS911" s="23"/>
      <c r="AT911" s="23"/>
      <c r="AU911" s="23"/>
      <c r="AV911" s="23"/>
      <c r="AW911" s="23"/>
      <c r="AX911" s="23"/>
      <c r="AY911" s="23"/>
      <c r="AZ911" s="23"/>
      <c r="BA911" s="23"/>
      <c r="BB911" s="23"/>
      <c r="BC911" s="23"/>
      <c r="BD911" s="23"/>
      <c r="BE911" s="23"/>
      <c r="BF911" s="23"/>
      <c r="BG911" s="23"/>
      <c r="BH911" s="23"/>
      <c r="BI911" s="23"/>
      <c r="BJ911" s="23"/>
      <c r="BK911" s="23"/>
      <c r="BL911" s="23"/>
      <c r="BM911" s="23"/>
      <c r="BN911" s="23"/>
      <c r="BO911" s="23"/>
      <c r="BP911" s="23"/>
      <c r="BQ911" s="23"/>
      <c r="BR911" s="23"/>
      <c r="BS911" s="23"/>
      <c r="BT911" s="23"/>
      <c r="BU911" s="23"/>
      <c r="BV911" s="23"/>
      <c r="BW911" s="23"/>
      <c r="BX911" s="23"/>
      <c r="BY911" s="23"/>
      <c r="BZ911" s="23"/>
      <c r="CA911" s="23"/>
      <c r="CB911" s="23"/>
      <c r="CC911" s="23"/>
      <c r="CD911" s="23"/>
      <c r="CE911" s="23"/>
      <c r="CF911" s="23"/>
      <c r="CG911" s="23"/>
      <c r="CH911" s="23"/>
      <c r="CI911" s="23"/>
      <c r="CJ911" s="23"/>
      <c r="CK911" s="23"/>
      <c r="CL911" s="23"/>
      <c r="CM911" s="23"/>
      <c r="CN911" s="23"/>
      <c r="CO911" s="23"/>
      <c r="CP911" s="23"/>
      <c r="CQ911" s="23"/>
      <c r="CR911" s="23"/>
      <c r="CS911" s="23"/>
      <c r="CT911" s="23"/>
      <c r="CU911" s="23"/>
      <c r="CV911" s="23"/>
      <c r="CW911" s="23"/>
      <c r="CX911" s="23"/>
      <c r="CY911" s="23"/>
      <c r="CZ911" s="23"/>
      <c r="DA911" s="23"/>
      <c r="DB911" s="23"/>
      <c r="DC911" s="23"/>
      <c r="DD911" s="23"/>
      <c r="DE911" s="23"/>
      <c r="DF911" s="23"/>
      <c r="DG911" s="23"/>
      <c r="DH911" s="23"/>
      <c r="DI911" s="23"/>
      <c r="DJ911" s="23"/>
      <c r="DK911" s="23"/>
      <c r="DL911" s="23"/>
      <c r="DM911" s="23"/>
      <c r="DN911" s="23"/>
      <c r="DO911" s="23"/>
      <c r="DP911" s="23"/>
      <c r="DQ911" s="23"/>
      <c r="DR911" s="23"/>
      <c r="DS911" s="23"/>
      <c r="DT911" s="23"/>
      <c r="DU911" s="23"/>
      <c r="DV911" s="23"/>
      <c r="DW911" s="23"/>
      <c r="DX911" s="23"/>
      <c r="DY911" s="23"/>
      <c r="DZ911" s="23"/>
      <c r="EA911" s="23"/>
      <c r="EB911" s="23"/>
      <c r="EC911" s="23"/>
      <c r="ED911" s="23"/>
      <c r="EE911" s="23"/>
      <c r="EF911" s="23"/>
      <c r="EG911" s="23"/>
      <c r="EH911" s="23"/>
      <c r="EI911" s="23"/>
      <c r="EJ911" s="23"/>
      <c r="EK911" s="23"/>
      <c r="EL911" s="23"/>
      <c r="EM911" s="23"/>
      <c r="EN911" s="23"/>
      <c r="EO911" s="23"/>
      <c r="EP911" s="23"/>
      <c r="EQ911" s="23"/>
      <c r="ER911" s="23"/>
      <c r="ES911" s="23"/>
      <c r="ET911" s="23"/>
      <c r="EU911" s="23"/>
      <c r="EV911" s="23"/>
      <c r="EW911" s="23"/>
      <c r="EX911" s="23"/>
      <c r="EY911" s="23"/>
      <c r="EZ911" s="23"/>
      <c r="FA911" s="23"/>
      <c r="FB911" s="23"/>
      <c r="FC911" s="23"/>
      <c r="FD911" s="23"/>
      <c r="FE911" s="23"/>
      <c r="FF911" s="23"/>
      <c r="FG911" s="23"/>
      <c r="FH911" s="23"/>
      <c r="FI911" s="23"/>
      <c r="FJ911" s="23"/>
      <c r="FK911" s="23"/>
      <c r="FL911" s="23"/>
      <c r="FM911" s="23"/>
      <c r="FN911" s="23"/>
      <c r="FO911" s="23"/>
      <c r="FP911" s="23"/>
      <c r="FQ911" s="23"/>
      <c r="FR911" s="23"/>
      <c r="FS911" s="23"/>
      <c r="FT911" s="23"/>
      <c r="FU911" s="23"/>
      <c r="FV911" s="23"/>
      <c r="FW911" s="23"/>
      <c r="FX911" s="23"/>
      <c r="FY911" s="23"/>
      <c r="FZ911" s="23"/>
      <c r="GA911" s="23"/>
      <c r="GB911" s="23"/>
      <c r="GC911" s="23"/>
      <c r="GD911" s="23"/>
      <c r="GE911" s="23"/>
      <c r="GF911" s="23"/>
      <c r="GG911" s="23"/>
      <c r="GH911" s="23"/>
      <c r="GI911" s="23"/>
      <c r="GJ911" s="23"/>
      <c r="GK911" s="23"/>
      <c r="GL911" s="23"/>
    </row>
    <row r="912" spans="1:194" ht="13">
      <c r="A912" s="23"/>
      <c r="B912" s="23"/>
      <c r="C912" s="23"/>
      <c r="D912" s="23"/>
      <c r="E912" s="23"/>
      <c r="F912" s="23"/>
      <c r="G912" s="23"/>
      <c r="H912" s="401"/>
      <c r="I912" s="401"/>
      <c r="J912" s="401"/>
      <c r="K912" s="401"/>
      <c r="L912" s="401"/>
      <c r="M912" s="438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  <c r="AL912" s="23"/>
      <c r="AM912" s="23"/>
      <c r="AN912" s="23"/>
      <c r="AO912" s="23"/>
      <c r="AP912" s="23"/>
      <c r="AQ912" s="23"/>
      <c r="AR912" s="23"/>
      <c r="AS912" s="23"/>
      <c r="AT912" s="23"/>
      <c r="AU912" s="23"/>
      <c r="AV912" s="23"/>
      <c r="AW912" s="23"/>
      <c r="AX912" s="23"/>
      <c r="AY912" s="23"/>
      <c r="AZ912" s="23"/>
      <c r="BA912" s="23"/>
      <c r="BB912" s="23"/>
      <c r="BC912" s="23"/>
      <c r="BD912" s="23"/>
      <c r="BE912" s="23"/>
      <c r="BF912" s="23"/>
      <c r="BG912" s="23"/>
      <c r="BH912" s="23"/>
      <c r="BI912" s="23"/>
      <c r="BJ912" s="23"/>
      <c r="BK912" s="23"/>
      <c r="BL912" s="23"/>
      <c r="BM912" s="23"/>
      <c r="BN912" s="23"/>
      <c r="BO912" s="23"/>
      <c r="BP912" s="23"/>
      <c r="BQ912" s="23"/>
      <c r="BR912" s="23"/>
      <c r="BS912" s="23"/>
      <c r="BT912" s="23"/>
      <c r="BU912" s="23"/>
      <c r="BV912" s="23"/>
      <c r="BW912" s="23"/>
      <c r="BX912" s="23"/>
      <c r="BY912" s="23"/>
      <c r="BZ912" s="23"/>
      <c r="CA912" s="23"/>
      <c r="CB912" s="23"/>
      <c r="CC912" s="23"/>
      <c r="CD912" s="23"/>
      <c r="CE912" s="23"/>
      <c r="CF912" s="23"/>
      <c r="CG912" s="23"/>
      <c r="CH912" s="23"/>
      <c r="CI912" s="23"/>
      <c r="CJ912" s="23"/>
      <c r="CK912" s="23"/>
      <c r="CL912" s="23"/>
      <c r="CM912" s="23"/>
      <c r="CN912" s="23"/>
      <c r="CO912" s="23"/>
      <c r="CP912" s="23"/>
      <c r="CQ912" s="23"/>
      <c r="CR912" s="23"/>
      <c r="CS912" s="23"/>
      <c r="CT912" s="23"/>
      <c r="CU912" s="23"/>
      <c r="CV912" s="23"/>
      <c r="CW912" s="23"/>
      <c r="CX912" s="23"/>
      <c r="CY912" s="23"/>
      <c r="CZ912" s="23"/>
      <c r="DA912" s="23"/>
      <c r="DB912" s="23"/>
      <c r="DC912" s="23"/>
      <c r="DD912" s="23"/>
      <c r="DE912" s="23"/>
      <c r="DF912" s="23"/>
      <c r="DG912" s="23"/>
      <c r="DH912" s="23"/>
      <c r="DI912" s="23"/>
      <c r="DJ912" s="23"/>
      <c r="DK912" s="23"/>
      <c r="DL912" s="23"/>
      <c r="DM912" s="23"/>
      <c r="DN912" s="23"/>
      <c r="DO912" s="23"/>
      <c r="DP912" s="23"/>
      <c r="DQ912" s="23"/>
      <c r="DR912" s="23"/>
      <c r="DS912" s="23"/>
      <c r="DT912" s="23"/>
      <c r="DU912" s="23"/>
      <c r="DV912" s="23"/>
      <c r="DW912" s="23"/>
      <c r="DX912" s="23"/>
      <c r="DY912" s="23"/>
      <c r="DZ912" s="23"/>
      <c r="EA912" s="23"/>
      <c r="EB912" s="23"/>
      <c r="EC912" s="23"/>
      <c r="ED912" s="23"/>
      <c r="EE912" s="23"/>
      <c r="EF912" s="23"/>
      <c r="EG912" s="23"/>
      <c r="EH912" s="23"/>
      <c r="EI912" s="23"/>
      <c r="EJ912" s="23"/>
      <c r="EK912" s="23"/>
      <c r="EL912" s="23"/>
      <c r="EM912" s="23"/>
      <c r="EN912" s="23"/>
      <c r="EO912" s="23"/>
      <c r="EP912" s="23"/>
      <c r="EQ912" s="23"/>
      <c r="ER912" s="23"/>
      <c r="ES912" s="23"/>
      <c r="ET912" s="23"/>
      <c r="EU912" s="23"/>
      <c r="EV912" s="23"/>
      <c r="EW912" s="23"/>
      <c r="EX912" s="23"/>
      <c r="EY912" s="23"/>
      <c r="EZ912" s="23"/>
      <c r="FA912" s="23"/>
      <c r="FB912" s="23"/>
      <c r="FC912" s="23"/>
      <c r="FD912" s="23"/>
      <c r="FE912" s="23"/>
      <c r="FF912" s="23"/>
      <c r="FG912" s="23"/>
      <c r="FH912" s="23"/>
      <c r="FI912" s="23"/>
      <c r="FJ912" s="23"/>
      <c r="FK912" s="23"/>
      <c r="FL912" s="23"/>
      <c r="FM912" s="23"/>
      <c r="FN912" s="23"/>
      <c r="FO912" s="23"/>
      <c r="FP912" s="23"/>
      <c r="FQ912" s="23"/>
      <c r="FR912" s="23"/>
      <c r="FS912" s="23"/>
      <c r="FT912" s="23"/>
      <c r="FU912" s="23"/>
      <c r="FV912" s="23"/>
      <c r="FW912" s="23"/>
      <c r="FX912" s="23"/>
      <c r="FY912" s="23"/>
      <c r="FZ912" s="23"/>
      <c r="GA912" s="23"/>
      <c r="GB912" s="23"/>
      <c r="GC912" s="23"/>
      <c r="GD912" s="23"/>
      <c r="GE912" s="23"/>
      <c r="GF912" s="23"/>
      <c r="GG912" s="23"/>
      <c r="GH912" s="23"/>
      <c r="GI912" s="23"/>
      <c r="GJ912" s="23"/>
      <c r="GK912" s="23"/>
      <c r="GL912" s="23"/>
    </row>
    <row r="913" spans="1:194" ht="13">
      <c r="A913" s="23"/>
      <c r="B913" s="23"/>
      <c r="C913" s="23"/>
      <c r="D913" s="23"/>
      <c r="E913" s="23"/>
      <c r="F913" s="23"/>
      <c r="G913" s="23"/>
      <c r="H913" s="401"/>
      <c r="I913" s="401"/>
      <c r="J913" s="401"/>
      <c r="K913" s="401"/>
      <c r="L913" s="401"/>
      <c r="M913" s="438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  <c r="AL913" s="23"/>
      <c r="AM913" s="23"/>
      <c r="AN913" s="23"/>
      <c r="AO913" s="23"/>
      <c r="AP913" s="23"/>
      <c r="AQ913" s="23"/>
      <c r="AR913" s="23"/>
      <c r="AS913" s="23"/>
      <c r="AT913" s="23"/>
      <c r="AU913" s="23"/>
      <c r="AV913" s="23"/>
      <c r="AW913" s="23"/>
      <c r="AX913" s="23"/>
      <c r="AY913" s="23"/>
      <c r="AZ913" s="23"/>
      <c r="BA913" s="23"/>
      <c r="BB913" s="23"/>
      <c r="BC913" s="23"/>
      <c r="BD913" s="23"/>
      <c r="BE913" s="23"/>
      <c r="BF913" s="23"/>
      <c r="BG913" s="23"/>
      <c r="BH913" s="23"/>
      <c r="BI913" s="23"/>
      <c r="BJ913" s="23"/>
      <c r="BK913" s="23"/>
      <c r="BL913" s="23"/>
      <c r="BM913" s="23"/>
      <c r="BN913" s="23"/>
      <c r="BO913" s="23"/>
      <c r="BP913" s="23"/>
      <c r="BQ913" s="23"/>
      <c r="BR913" s="23"/>
      <c r="BS913" s="23"/>
      <c r="BT913" s="23"/>
      <c r="BU913" s="23"/>
      <c r="BV913" s="23"/>
      <c r="BW913" s="23"/>
      <c r="BX913" s="23"/>
      <c r="BY913" s="23"/>
      <c r="BZ913" s="23"/>
      <c r="CA913" s="23"/>
      <c r="CB913" s="23"/>
      <c r="CC913" s="23"/>
      <c r="CD913" s="23"/>
      <c r="CE913" s="23"/>
      <c r="CF913" s="23"/>
      <c r="CG913" s="23"/>
      <c r="CH913" s="23"/>
      <c r="CI913" s="23"/>
      <c r="CJ913" s="23"/>
      <c r="CK913" s="23"/>
      <c r="CL913" s="23"/>
      <c r="CM913" s="23"/>
      <c r="CN913" s="23"/>
      <c r="CO913" s="23"/>
      <c r="CP913" s="23"/>
      <c r="CQ913" s="23"/>
      <c r="CR913" s="23"/>
      <c r="CS913" s="23"/>
      <c r="CT913" s="23"/>
      <c r="CU913" s="23"/>
      <c r="CV913" s="23"/>
      <c r="CW913" s="23"/>
      <c r="CX913" s="23"/>
      <c r="CY913" s="23"/>
      <c r="CZ913" s="23"/>
      <c r="DA913" s="23"/>
      <c r="DB913" s="23"/>
      <c r="DC913" s="23"/>
      <c r="DD913" s="23"/>
      <c r="DE913" s="23"/>
      <c r="DF913" s="23"/>
      <c r="DG913" s="23"/>
      <c r="DH913" s="23"/>
      <c r="DI913" s="23"/>
      <c r="DJ913" s="23"/>
      <c r="DK913" s="23"/>
      <c r="DL913" s="23"/>
      <c r="DM913" s="23"/>
      <c r="DN913" s="23"/>
      <c r="DO913" s="23"/>
      <c r="DP913" s="23"/>
      <c r="DQ913" s="23"/>
      <c r="DR913" s="23"/>
      <c r="DS913" s="23"/>
      <c r="DT913" s="23"/>
      <c r="DU913" s="23"/>
      <c r="DV913" s="23"/>
      <c r="DW913" s="23"/>
      <c r="DX913" s="23"/>
      <c r="DY913" s="23"/>
      <c r="DZ913" s="23"/>
      <c r="EA913" s="23"/>
      <c r="EB913" s="23"/>
      <c r="EC913" s="23"/>
      <c r="ED913" s="23"/>
      <c r="EE913" s="23"/>
      <c r="EF913" s="23"/>
      <c r="EG913" s="23"/>
      <c r="EH913" s="23"/>
      <c r="EI913" s="23"/>
      <c r="EJ913" s="23"/>
      <c r="EK913" s="23"/>
      <c r="EL913" s="23"/>
      <c r="EM913" s="23"/>
      <c r="EN913" s="23"/>
      <c r="EO913" s="23"/>
      <c r="EP913" s="23"/>
      <c r="EQ913" s="23"/>
      <c r="ER913" s="23"/>
      <c r="ES913" s="23"/>
      <c r="ET913" s="23"/>
      <c r="EU913" s="23"/>
      <c r="EV913" s="23"/>
      <c r="EW913" s="23"/>
      <c r="EX913" s="23"/>
      <c r="EY913" s="23"/>
      <c r="EZ913" s="23"/>
      <c r="FA913" s="23"/>
      <c r="FB913" s="23"/>
      <c r="FC913" s="23"/>
      <c r="FD913" s="23"/>
      <c r="FE913" s="23"/>
      <c r="FF913" s="23"/>
      <c r="FG913" s="23"/>
      <c r="FH913" s="23"/>
      <c r="FI913" s="23"/>
      <c r="FJ913" s="23"/>
      <c r="FK913" s="23"/>
      <c r="FL913" s="23"/>
      <c r="FM913" s="23"/>
      <c r="FN913" s="23"/>
      <c r="FO913" s="23"/>
      <c r="FP913" s="23"/>
      <c r="FQ913" s="23"/>
      <c r="FR913" s="23"/>
      <c r="FS913" s="23"/>
      <c r="FT913" s="23"/>
      <c r="FU913" s="23"/>
      <c r="FV913" s="23"/>
      <c r="FW913" s="23"/>
      <c r="FX913" s="23"/>
      <c r="FY913" s="23"/>
      <c r="FZ913" s="23"/>
      <c r="GA913" s="23"/>
      <c r="GB913" s="23"/>
      <c r="GC913" s="23"/>
      <c r="GD913" s="23"/>
      <c r="GE913" s="23"/>
      <c r="GF913" s="23"/>
      <c r="GG913" s="23"/>
      <c r="GH913" s="23"/>
      <c r="GI913" s="23"/>
      <c r="GJ913" s="23"/>
      <c r="GK913" s="23"/>
      <c r="GL913" s="23"/>
    </row>
    <row r="914" spans="1:194" ht="13">
      <c r="A914" s="23"/>
      <c r="B914" s="23"/>
      <c r="C914" s="23"/>
      <c r="D914" s="23"/>
      <c r="E914" s="23"/>
      <c r="F914" s="23"/>
      <c r="G914" s="23"/>
      <c r="H914" s="401"/>
      <c r="I914" s="401"/>
      <c r="J914" s="401"/>
      <c r="K914" s="401"/>
      <c r="L914" s="401"/>
      <c r="M914" s="438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  <c r="AL914" s="23"/>
      <c r="AM914" s="23"/>
      <c r="AN914" s="23"/>
      <c r="AO914" s="23"/>
      <c r="AP914" s="23"/>
      <c r="AQ914" s="23"/>
      <c r="AR914" s="23"/>
      <c r="AS914" s="23"/>
      <c r="AT914" s="23"/>
      <c r="AU914" s="23"/>
      <c r="AV914" s="23"/>
      <c r="AW914" s="23"/>
      <c r="AX914" s="23"/>
      <c r="AY914" s="23"/>
      <c r="AZ914" s="23"/>
      <c r="BA914" s="23"/>
      <c r="BB914" s="23"/>
      <c r="BC914" s="23"/>
      <c r="BD914" s="23"/>
      <c r="BE914" s="23"/>
      <c r="BF914" s="23"/>
      <c r="BG914" s="23"/>
      <c r="BH914" s="23"/>
      <c r="BI914" s="23"/>
      <c r="BJ914" s="23"/>
      <c r="BK914" s="23"/>
      <c r="BL914" s="23"/>
      <c r="BM914" s="23"/>
      <c r="BN914" s="23"/>
      <c r="BO914" s="23"/>
      <c r="BP914" s="23"/>
      <c r="BQ914" s="23"/>
      <c r="BR914" s="23"/>
      <c r="BS914" s="23"/>
      <c r="BT914" s="23"/>
      <c r="BU914" s="23"/>
      <c r="BV914" s="23"/>
      <c r="BW914" s="23"/>
      <c r="BX914" s="23"/>
      <c r="BY914" s="23"/>
      <c r="BZ914" s="23"/>
      <c r="CA914" s="23"/>
      <c r="CB914" s="23"/>
      <c r="CC914" s="23"/>
      <c r="CD914" s="23"/>
      <c r="CE914" s="23"/>
      <c r="CF914" s="23"/>
      <c r="CG914" s="23"/>
      <c r="CH914" s="23"/>
      <c r="CI914" s="23"/>
      <c r="CJ914" s="23"/>
      <c r="CK914" s="23"/>
      <c r="CL914" s="23"/>
      <c r="CM914" s="23"/>
      <c r="CN914" s="23"/>
      <c r="CO914" s="23"/>
      <c r="CP914" s="23"/>
      <c r="CQ914" s="23"/>
      <c r="CR914" s="23"/>
      <c r="CS914" s="23"/>
      <c r="CT914" s="23"/>
      <c r="CU914" s="23"/>
      <c r="CV914" s="23"/>
      <c r="CW914" s="23"/>
      <c r="CX914" s="23"/>
      <c r="CY914" s="23"/>
      <c r="CZ914" s="23"/>
      <c r="DA914" s="23"/>
      <c r="DB914" s="23"/>
      <c r="DC914" s="23"/>
      <c r="DD914" s="23"/>
      <c r="DE914" s="23"/>
      <c r="DF914" s="23"/>
      <c r="DG914" s="23"/>
      <c r="DH914" s="23"/>
      <c r="DI914" s="23"/>
      <c r="DJ914" s="23"/>
      <c r="DK914" s="23"/>
      <c r="DL914" s="23"/>
      <c r="DM914" s="23"/>
      <c r="DN914" s="23"/>
      <c r="DO914" s="23"/>
      <c r="DP914" s="23"/>
      <c r="DQ914" s="23"/>
      <c r="DR914" s="23"/>
      <c r="DS914" s="23"/>
      <c r="DT914" s="23"/>
      <c r="DU914" s="23"/>
      <c r="DV914" s="23"/>
      <c r="DW914" s="23"/>
      <c r="DX914" s="23"/>
      <c r="DY914" s="23"/>
      <c r="DZ914" s="23"/>
      <c r="EA914" s="23"/>
      <c r="EB914" s="23"/>
      <c r="EC914" s="23"/>
      <c r="ED914" s="23"/>
      <c r="EE914" s="23"/>
      <c r="EF914" s="23"/>
      <c r="EG914" s="23"/>
      <c r="EH914" s="23"/>
      <c r="EI914" s="23"/>
      <c r="EJ914" s="23"/>
      <c r="EK914" s="23"/>
      <c r="EL914" s="23"/>
      <c r="EM914" s="23"/>
      <c r="EN914" s="23"/>
      <c r="EO914" s="23"/>
      <c r="EP914" s="23"/>
      <c r="EQ914" s="23"/>
      <c r="ER914" s="23"/>
      <c r="ES914" s="23"/>
      <c r="ET914" s="23"/>
      <c r="EU914" s="23"/>
      <c r="EV914" s="23"/>
      <c r="EW914" s="23"/>
      <c r="EX914" s="23"/>
      <c r="EY914" s="23"/>
      <c r="EZ914" s="23"/>
      <c r="FA914" s="23"/>
      <c r="FB914" s="23"/>
      <c r="FC914" s="23"/>
      <c r="FD914" s="23"/>
      <c r="FE914" s="23"/>
      <c r="FF914" s="23"/>
      <c r="FG914" s="23"/>
      <c r="FH914" s="23"/>
      <c r="FI914" s="23"/>
      <c r="FJ914" s="23"/>
      <c r="FK914" s="23"/>
      <c r="FL914" s="23"/>
      <c r="FM914" s="23"/>
      <c r="FN914" s="23"/>
      <c r="FO914" s="23"/>
      <c r="FP914" s="23"/>
      <c r="FQ914" s="23"/>
      <c r="FR914" s="23"/>
      <c r="FS914" s="23"/>
      <c r="FT914" s="23"/>
      <c r="FU914" s="23"/>
      <c r="FV914" s="23"/>
      <c r="FW914" s="23"/>
      <c r="FX914" s="23"/>
      <c r="FY914" s="23"/>
      <c r="FZ914" s="23"/>
      <c r="GA914" s="23"/>
      <c r="GB914" s="23"/>
      <c r="GC914" s="23"/>
      <c r="GD914" s="23"/>
      <c r="GE914" s="23"/>
      <c r="GF914" s="23"/>
      <c r="GG914" s="23"/>
      <c r="GH914" s="23"/>
      <c r="GI914" s="23"/>
      <c r="GJ914" s="23"/>
      <c r="GK914" s="23"/>
      <c r="GL914" s="23"/>
    </row>
    <row r="915" spans="1:194" ht="13">
      <c r="A915" s="23"/>
      <c r="B915" s="23"/>
      <c r="C915" s="23"/>
      <c r="D915" s="23"/>
      <c r="E915" s="23"/>
      <c r="F915" s="23"/>
      <c r="G915" s="23"/>
      <c r="H915" s="401"/>
      <c r="I915" s="401"/>
      <c r="J915" s="401"/>
      <c r="K915" s="401"/>
      <c r="L915" s="401"/>
      <c r="M915" s="438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  <c r="AL915" s="23"/>
      <c r="AM915" s="23"/>
      <c r="AN915" s="23"/>
      <c r="AO915" s="23"/>
      <c r="AP915" s="23"/>
      <c r="AQ915" s="23"/>
      <c r="AR915" s="23"/>
      <c r="AS915" s="23"/>
      <c r="AT915" s="23"/>
      <c r="AU915" s="23"/>
      <c r="AV915" s="23"/>
      <c r="AW915" s="23"/>
      <c r="AX915" s="23"/>
      <c r="AY915" s="23"/>
      <c r="AZ915" s="23"/>
      <c r="BA915" s="23"/>
      <c r="BB915" s="23"/>
      <c r="BC915" s="23"/>
      <c r="BD915" s="23"/>
      <c r="BE915" s="23"/>
      <c r="BF915" s="23"/>
      <c r="BG915" s="23"/>
      <c r="BH915" s="23"/>
      <c r="BI915" s="23"/>
      <c r="BJ915" s="23"/>
      <c r="BK915" s="23"/>
      <c r="BL915" s="23"/>
      <c r="BM915" s="23"/>
      <c r="BN915" s="23"/>
      <c r="BO915" s="23"/>
      <c r="BP915" s="23"/>
      <c r="BQ915" s="23"/>
      <c r="BR915" s="23"/>
      <c r="BS915" s="23"/>
      <c r="BT915" s="23"/>
      <c r="BU915" s="23"/>
      <c r="BV915" s="23"/>
      <c r="BW915" s="23"/>
      <c r="BX915" s="23"/>
      <c r="BY915" s="23"/>
      <c r="BZ915" s="23"/>
      <c r="CA915" s="23"/>
      <c r="CB915" s="23"/>
      <c r="CC915" s="23"/>
      <c r="CD915" s="23"/>
      <c r="CE915" s="23"/>
      <c r="CF915" s="23"/>
      <c r="CG915" s="23"/>
      <c r="CH915" s="23"/>
      <c r="CI915" s="23"/>
      <c r="CJ915" s="23"/>
      <c r="CK915" s="23"/>
      <c r="CL915" s="23"/>
      <c r="CM915" s="23"/>
      <c r="CN915" s="23"/>
      <c r="CO915" s="23"/>
      <c r="CP915" s="23"/>
      <c r="CQ915" s="23"/>
      <c r="CR915" s="23"/>
      <c r="CS915" s="23"/>
      <c r="CT915" s="23"/>
      <c r="CU915" s="23"/>
      <c r="CV915" s="23"/>
      <c r="CW915" s="23"/>
      <c r="CX915" s="23"/>
      <c r="CY915" s="23"/>
      <c r="CZ915" s="23"/>
      <c r="DA915" s="23"/>
      <c r="DB915" s="23"/>
      <c r="DC915" s="23"/>
      <c r="DD915" s="23"/>
      <c r="DE915" s="23"/>
      <c r="DF915" s="23"/>
      <c r="DG915" s="23"/>
      <c r="DH915" s="23"/>
      <c r="DI915" s="23"/>
      <c r="DJ915" s="23"/>
      <c r="DK915" s="23"/>
      <c r="DL915" s="23"/>
      <c r="DM915" s="23"/>
      <c r="DN915" s="23"/>
      <c r="DO915" s="23"/>
      <c r="DP915" s="23"/>
      <c r="DQ915" s="23"/>
      <c r="DR915" s="23"/>
      <c r="DS915" s="23"/>
      <c r="DT915" s="23"/>
      <c r="DU915" s="23"/>
      <c r="DV915" s="23"/>
      <c r="DW915" s="23"/>
      <c r="DX915" s="23"/>
      <c r="DY915" s="23"/>
      <c r="DZ915" s="23"/>
      <c r="EA915" s="23"/>
      <c r="EB915" s="23"/>
      <c r="EC915" s="23"/>
      <c r="ED915" s="23"/>
      <c r="EE915" s="23"/>
      <c r="EF915" s="23"/>
      <c r="EG915" s="23"/>
      <c r="EH915" s="23"/>
      <c r="EI915" s="23"/>
      <c r="EJ915" s="23"/>
      <c r="EK915" s="23"/>
      <c r="EL915" s="23"/>
      <c r="EM915" s="23"/>
      <c r="EN915" s="23"/>
      <c r="EO915" s="23"/>
      <c r="EP915" s="23"/>
      <c r="EQ915" s="23"/>
      <c r="ER915" s="23"/>
      <c r="ES915" s="23"/>
      <c r="ET915" s="23"/>
      <c r="EU915" s="23"/>
      <c r="EV915" s="23"/>
      <c r="EW915" s="23"/>
      <c r="EX915" s="23"/>
      <c r="EY915" s="23"/>
      <c r="EZ915" s="23"/>
      <c r="FA915" s="23"/>
      <c r="FB915" s="23"/>
      <c r="FC915" s="23"/>
      <c r="FD915" s="23"/>
      <c r="FE915" s="23"/>
      <c r="FF915" s="23"/>
      <c r="FG915" s="23"/>
      <c r="FH915" s="23"/>
      <c r="FI915" s="23"/>
      <c r="FJ915" s="23"/>
      <c r="FK915" s="23"/>
      <c r="FL915" s="23"/>
      <c r="FM915" s="23"/>
      <c r="FN915" s="23"/>
      <c r="FO915" s="23"/>
      <c r="FP915" s="23"/>
      <c r="FQ915" s="23"/>
      <c r="FR915" s="23"/>
      <c r="FS915" s="23"/>
      <c r="FT915" s="23"/>
      <c r="FU915" s="23"/>
      <c r="FV915" s="23"/>
      <c r="FW915" s="23"/>
      <c r="FX915" s="23"/>
      <c r="FY915" s="23"/>
      <c r="FZ915" s="23"/>
      <c r="GA915" s="23"/>
      <c r="GB915" s="23"/>
      <c r="GC915" s="23"/>
      <c r="GD915" s="23"/>
      <c r="GE915" s="23"/>
      <c r="GF915" s="23"/>
      <c r="GG915" s="23"/>
      <c r="GH915" s="23"/>
      <c r="GI915" s="23"/>
      <c r="GJ915" s="23"/>
      <c r="GK915" s="23"/>
      <c r="GL915" s="23"/>
    </row>
    <row r="916" spans="1:194" ht="13">
      <c r="A916" s="23"/>
      <c r="B916" s="23"/>
      <c r="C916" s="23"/>
      <c r="D916" s="23"/>
      <c r="E916" s="23"/>
      <c r="F916" s="23"/>
      <c r="G916" s="23"/>
      <c r="H916" s="401"/>
      <c r="I916" s="401"/>
      <c r="J916" s="401"/>
      <c r="K916" s="401"/>
      <c r="L916" s="401"/>
      <c r="M916" s="438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  <c r="AL916" s="23"/>
      <c r="AM916" s="23"/>
      <c r="AN916" s="23"/>
      <c r="AO916" s="23"/>
      <c r="AP916" s="23"/>
      <c r="AQ916" s="23"/>
      <c r="AR916" s="23"/>
      <c r="AS916" s="23"/>
      <c r="AT916" s="23"/>
      <c r="AU916" s="23"/>
      <c r="AV916" s="23"/>
      <c r="AW916" s="23"/>
      <c r="AX916" s="23"/>
      <c r="AY916" s="23"/>
      <c r="AZ916" s="23"/>
      <c r="BA916" s="23"/>
      <c r="BB916" s="23"/>
      <c r="BC916" s="23"/>
      <c r="BD916" s="23"/>
      <c r="BE916" s="23"/>
      <c r="BF916" s="23"/>
      <c r="BG916" s="23"/>
      <c r="BH916" s="23"/>
      <c r="BI916" s="23"/>
      <c r="BJ916" s="23"/>
      <c r="BK916" s="23"/>
      <c r="BL916" s="23"/>
      <c r="BM916" s="23"/>
      <c r="BN916" s="23"/>
      <c r="BO916" s="23"/>
      <c r="BP916" s="23"/>
      <c r="BQ916" s="23"/>
      <c r="BR916" s="23"/>
      <c r="BS916" s="23"/>
      <c r="BT916" s="23"/>
      <c r="BU916" s="23"/>
      <c r="BV916" s="23"/>
      <c r="BW916" s="23"/>
      <c r="BX916" s="23"/>
      <c r="BY916" s="23"/>
      <c r="BZ916" s="23"/>
      <c r="CA916" s="23"/>
      <c r="CB916" s="23"/>
      <c r="CC916" s="23"/>
      <c r="CD916" s="23"/>
      <c r="CE916" s="23"/>
      <c r="CF916" s="23"/>
      <c r="CG916" s="23"/>
      <c r="CH916" s="23"/>
      <c r="CI916" s="23"/>
      <c r="CJ916" s="23"/>
      <c r="CK916" s="23"/>
      <c r="CL916" s="23"/>
      <c r="CM916" s="23"/>
      <c r="CN916" s="23"/>
      <c r="CO916" s="23"/>
      <c r="CP916" s="23"/>
      <c r="CQ916" s="23"/>
      <c r="CR916" s="23"/>
      <c r="CS916" s="23"/>
      <c r="CT916" s="23"/>
      <c r="CU916" s="23"/>
      <c r="CV916" s="23"/>
      <c r="CW916" s="23"/>
      <c r="CX916" s="23"/>
      <c r="CY916" s="23"/>
      <c r="CZ916" s="23"/>
      <c r="DA916" s="23"/>
      <c r="DB916" s="23"/>
      <c r="DC916" s="23"/>
      <c r="DD916" s="23"/>
      <c r="DE916" s="23"/>
      <c r="DF916" s="23"/>
      <c r="DG916" s="23"/>
      <c r="DH916" s="23"/>
      <c r="DI916" s="23"/>
      <c r="DJ916" s="23"/>
      <c r="DK916" s="23"/>
      <c r="DL916" s="23"/>
      <c r="DM916" s="23"/>
      <c r="DN916" s="23"/>
      <c r="DO916" s="23"/>
      <c r="DP916" s="23"/>
      <c r="DQ916" s="23"/>
      <c r="DR916" s="23"/>
      <c r="DS916" s="23"/>
      <c r="DT916" s="23"/>
      <c r="DU916" s="23"/>
      <c r="DV916" s="23"/>
      <c r="DW916" s="23"/>
      <c r="DX916" s="23"/>
      <c r="DY916" s="23"/>
      <c r="DZ916" s="23"/>
      <c r="EA916" s="23"/>
      <c r="EB916" s="23"/>
      <c r="EC916" s="23"/>
      <c r="ED916" s="23"/>
      <c r="EE916" s="23"/>
      <c r="EF916" s="23"/>
      <c r="EG916" s="23"/>
      <c r="EH916" s="23"/>
      <c r="EI916" s="23"/>
      <c r="EJ916" s="23"/>
      <c r="EK916" s="23"/>
      <c r="EL916" s="23"/>
      <c r="EM916" s="23"/>
      <c r="EN916" s="23"/>
      <c r="EO916" s="23"/>
      <c r="EP916" s="23"/>
      <c r="EQ916" s="23"/>
      <c r="ER916" s="23"/>
      <c r="ES916" s="23"/>
      <c r="ET916" s="23"/>
      <c r="EU916" s="23"/>
      <c r="EV916" s="23"/>
      <c r="EW916" s="23"/>
      <c r="EX916" s="23"/>
      <c r="EY916" s="23"/>
      <c r="EZ916" s="23"/>
      <c r="FA916" s="23"/>
      <c r="FB916" s="23"/>
      <c r="FC916" s="23"/>
      <c r="FD916" s="23"/>
      <c r="FE916" s="23"/>
      <c r="FF916" s="23"/>
      <c r="FG916" s="23"/>
      <c r="FH916" s="23"/>
      <c r="FI916" s="23"/>
      <c r="FJ916" s="23"/>
      <c r="FK916" s="23"/>
      <c r="FL916" s="23"/>
      <c r="FM916" s="23"/>
      <c r="FN916" s="23"/>
      <c r="FO916" s="23"/>
      <c r="FP916" s="23"/>
      <c r="FQ916" s="23"/>
      <c r="FR916" s="23"/>
      <c r="FS916" s="23"/>
      <c r="FT916" s="23"/>
      <c r="FU916" s="23"/>
      <c r="FV916" s="23"/>
      <c r="FW916" s="23"/>
      <c r="FX916" s="23"/>
      <c r="FY916" s="23"/>
      <c r="FZ916" s="23"/>
      <c r="GA916" s="23"/>
      <c r="GB916" s="23"/>
      <c r="GC916" s="23"/>
      <c r="GD916" s="23"/>
      <c r="GE916" s="23"/>
      <c r="GF916" s="23"/>
      <c r="GG916" s="23"/>
      <c r="GH916" s="23"/>
      <c r="GI916" s="23"/>
      <c r="GJ916" s="23"/>
      <c r="GK916" s="23"/>
      <c r="GL916" s="23"/>
    </row>
    <row r="917" spans="1:194" ht="13">
      <c r="A917" s="23"/>
      <c r="B917" s="23"/>
      <c r="C917" s="23"/>
      <c r="D917" s="23"/>
      <c r="E917" s="23"/>
      <c r="F917" s="23"/>
      <c r="G917" s="23"/>
      <c r="H917" s="401"/>
      <c r="I917" s="401"/>
      <c r="J917" s="401"/>
      <c r="K917" s="401"/>
      <c r="L917" s="401"/>
      <c r="M917" s="438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  <c r="AL917" s="23"/>
      <c r="AM917" s="23"/>
      <c r="AN917" s="23"/>
      <c r="AO917" s="23"/>
      <c r="AP917" s="23"/>
      <c r="AQ917" s="23"/>
      <c r="AR917" s="23"/>
      <c r="AS917" s="23"/>
      <c r="AT917" s="23"/>
      <c r="AU917" s="23"/>
      <c r="AV917" s="23"/>
      <c r="AW917" s="23"/>
      <c r="AX917" s="23"/>
      <c r="AY917" s="23"/>
      <c r="AZ917" s="23"/>
      <c r="BA917" s="23"/>
      <c r="BB917" s="23"/>
      <c r="BC917" s="23"/>
      <c r="BD917" s="23"/>
      <c r="BE917" s="23"/>
      <c r="BF917" s="23"/>
      <c r="BG917" s="23"/>
      <c r="BH917" s="23"/>
      <c r="BI917" s="23"/>
      <c r="BJ917" s="23"/>
      <c r="BK917" s="23"/>
      <c r="BL917" s="23"/>
      <c r="BM917" s="23"/>
      <c r="BN917" s="23"/>
      <c r="BO917" s="23"/>
      <c r="BP917" s="23"/>
      <c r="BQ917" s="23"/>
      <c r="BR917" s="23"/>
      <c r="BS917" s="23"/>
      <c r="BT917" s="23"/>
      <c r="BU917" s="23"/>
      <c r="BV917" s="23"/>
      <c r="BW917" s="23"/>
      <c r="BX917" s="23"/>
      <c r="BY917" s="23"/>
      <c r="BZ917" s="23"/>
      <c r="CA917" s="23"/>
      <c r="CB917" s="23"/>
      <c r="CC917" s="23"/>
      <c r="CD917" s="23"/>
      <c r="CE917" s="23"/>
      <c r="CF917" s="23"/>
      <c r="CG917" s="23"/>
      <c r="CH917" s="23"/>
      <c r="CI917" s="23"/>
      <c r="CJ917" s="23"/>
      <c r="CK917" s="23"/>
      <c r="CL917" s="23"/>
      <c r="CM917" s="23"/>
      <c r="CN917" s="23"/>
      <c r="CO917" s="23"/>
      <c r="CP917" s="23"/>
      <c r="CQ917" s="23"/>
      <c r="CR917" s="23"/>
      <c r="CS917" s="23"/>
      <c r="CT917" s="23"/>
      <c r="CU917" s="23"/>
      <c r="CV917" s="23"/>
      <c r="CW917" s="23"/>
      <c r="CX917" s="23"/>
      <c r="CY917" s="23"/>
      <c r="CZ917" s="23"/>
      <c r="DA917" s="23"/>
      <c r="DB917" s="23"/>
      <c r="DC917" s="23"/>
      <c r="DD917" s="23"/>
      <c r="DE917" s="23"/>
      <c r="DF917" s="23"/>
      <c r="DG917" s="23"/>
      <c r="DH917" s="23"/>
      <c r="DI917" s="23"/>
      <c r="DJ917" s="23"/>
      <c r="DK917" s="23"/>
      <c r="DL917" s="23"/>
      <c r="DM917" s="23"/>
      <c r="DN917" s="23"/>
      <c r="DO917" s="23"/>
      <c r="DP917" s="23"/>
      <c r="DQ917" s="23"/>
      <c r="DR917" s="23"/>
      <c r="DS917" s="23"/>
      <c r="DT917" s="23"/>
      <c r="DU917" s="23"/>
      <c r="DV917" s="23"/>
      <c r="DW917" s="23"/>
      <c r="DX917" s="23"/>
      <c r="DY917" s="23"/>
      <c r="DZ917" s="23"/>
      <c r="EA917" s="23"/>
      <c r="EB917" s="23"/>
      <c r="EC917" s="23"/>
      <c r="ED917" s="23"/>
      <c r="EE917" s="23"/>
      <c r="EF917" s="23"/>
      <c r="EG917" s="23"/>
      <c r="EH917" s="23"/>
      <c r="EI917" s="23"/>
      <c r="EJ917" s="23"/>
      <c r="EK917" s="23"/>
      <c r="EL917" s="23"/>
      <c r="EM917" s="23"/>
      <c r="EN917" s="23"/>
      <c r="EO917" s="23"/>
      <c r="EP917" s="23"/>
      <c r="EQ917" s="23"/>
      <c r="ER917" s="23"/>
      <c r="ES917" s="23"/>
      <c r="ET917" s="23"/>
      <c r="EU917" s="23"/>
      <c r="EV917" s="23"/>
      <c r="EW917" s="23"/>
      <c r="EX917" s="23"/>
      <c r="EY917" s="23"/>
      <c r="EZ917" s="23"/>
      <c r="FA917" s="23"/>
      <c r="FB917" s="23"/>
      <c r="FC917" s="23"/>
      <c r="FD917" s="23"/>
      <c r="FE917" s="23"/>
      <c r="FF917" s="23"/>
      <c r="FG917" s="23"/>
      <c r="FH917" s="23"/>
      <c r="FI917" s="23"/>
      <c r="FJ917" s="23"/>
      <c r="FK917" s="23"/>
      <c r="FL917" s="23"/>
      <c r="FM917" s="23"/>
      <c r="FN917" s="23"/>
      <c r="FO917" s="23"/>
      <c r="FP917" s="23"/>
      <c r="FQ917" s="23"/>
      <c r="FR917" s="23"/>
      <c r="FS917" s="23"/>
      <c r="FT917" s="23"/>
      <c r="FU917" s="23"/>
      <c r="FV917" s="23"/>
      <c r="FW917" s="23"/>
      <c r="FX917" s="23"/>
      <c r="FY917" s="23"/>
      <c r="FZ917" s="23"/>
      <c r="GA917" s="23"/>
      <c r="GB917" s="23"/>
      <c r="GC917" s="23"/>
      <c r="GD917" s="23"/>
      <c r="GE917" s="23"/>
      <c r="GF917" s="23"/>
      <c r="GG917" s="23"/>
      <c r="GH917" s="23"/>
      <c r="GI917" s="23"/>
      <c r="GJ917" s="23"/>
      <c r="GK917" s="23"/>
      <c r="GL917" s="23"/>
    </row>
    <row r="918" spans="1:194" ht="13">
      <c r="A918" s="23"/>
      <c r="B918" s="23"/>
      <c r="C918" s="23"/>
      <c r="D918" s="23"/>
      <c r="E918" s="23"/>
      <c r="F918" s="23"/>
      <c r="G918" s="23"/>
      <c r="H918" s="401"/>
      <c r="I918" s="401"/>
      <c r="J918" s="401"/>
      <c r="K918" s="401"/>
      <c r="L918" s="401"/>
      <c r="M918" s="438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  <c r="AL918" s="23"/>
      <c r="AM918" s="23"/>
      <c r="AN918" s="23"/>
      <c r="AO918" s="23"/>
      <c r="AP918" s="23"/>
      <c r="AQ918" s="23"/>
      <c r="AR918" s="23"/>
      <c r="AS918" s="23"/>
      <c r="AT918" s="23"/>
      <c r="AU918" s="23"/>
      <c r="AV918" s="23"/>
      <c r="AW918" s="23"/>
      <c r="AX918" s="23"/>
      <c r="AY918" s="23"/>
      <c r="AZ918" s="23"/>
      <c r="BA918" s="23"/>
      <c r="BB918" s="23"/>
      <c r="BC918" s="23"/>
      <c r="BD918" s="23"/>
      <c r="BE918" s="23"/>
      <c r="BF918" s="23"/>
      <c r="BG918" s="23"/>
      <c r="BH918" s="23"/>
      <c r="BI918" s="23"/>
      <c r="BJ918" s="23"/>
      <c r="BK918" s="23"/>
      <c r="BL918" s="23"/>
      <c r="BM918" s="23"/>
      <c r="BN918" s="23"/>
      <c r="BO918" s="23"/>
      <c r="BP918" s="23"/>
      <c r="BQ918" s="23"/>
      <c r="BR918" s="23"/>
      <c r="BS918" s="23"/>
      <c r="BT918" s="23"/>
      <c r="BU918" s="23"/>
      <c r="BV918" s="23"/>
      <c r="BW918" s="23"/>
      <c r="BX918" s="23"/>
      <c r="BY918" s="23"/>
      <c r="BZ918" s="23"/>
      <c r="CA918" s="23"/>
      <c r="CB918" s="23"/>
      <c r="CC918" s="23"/>
      <c r="CD918" s="23"/>
      <c r="CE918" s="23"/>
      <c r="CF918" s="23"/>
      <c r="CG918" s="23"/>
      <c r="CH918" s="23"/>
      <c r="CI918" s="23"/>
      <c r="CJ918" s="23"/>
      <c r="CK918" s="23"/>
      <c r="CL918" s="23"/>
      <c r="CM918" s="23"/>
      <c r="CN918" s="23"/>
      <c r="CO918" s="23"/>
      <c r="CP918" s="23"/>
      <c r="CQ918" s="23"/>
      <c r="CR918" s="23"/>
      <c r="CS918" s="23"/>
      <c r="CT918" s="23"/>
      <c r="CU918" s="23"/>
      <c r="CV918" s="23"/>
      <c r="CW918" s="23"/>
      <c r="CX918" s="23"/>
      <c r="CY918" s="23"/>
      <c r="CZ918" s="23"/>
      <c r="DA918" s="23"/>
      <c r="DB918" s="23"/>
      <c r="DC918" s="23"/>
      <c r="DD918" s="23"/>
      <c r="DE918" s="23"/>
      <c r="DF918" s="23"/>
      <c r="DG918" s="23"/>
      <c r="DH918" s="23"/>
      <c r="DI918" s="23"/>
      <c r="DJ918" s="23"/>
      <c r="DK918" s="23"/>
      <c r="DL918" s="23"/>
      <c r="DM918" s="23"/>
      <c r="DN918" s="23"/>
      <c r="DO918" s="23"/>
      <c r="DP918" s="23"/>
      <c r="DQ918" s="23"/>
      <c r="DR918" s="23"/>
      <c r="DS918" s="23"/>
      <c r="DT918" s="23"/>
      <c r="DU918" s="23"/>
      <c r="DV918" s="23"/>
      <c r="DW918" s="23"/>
      <c r="DX918" s="23"/>
      <c r="DY918" s="23"/>
      <c r="DZ918" s="23"/>
      <c r="EA918" s="23"/>
      <c r="EB918" s="23"/>
      <c r="EC918" s="23"/>
      <c r="ED918" s="23"/>
      <c r="EE918" s="23"/>
      <c r="EF918" s="23"/>
      <c r="EG918" s="23"/>
      <c r="EH918" s="23"/>
      <c r="EI918" s="23"/>
      <c r="EJ918" s="23"/>
      <c r="EK918" s="23"/>
      <c r="EL918" s="23"/>
      <c r="EM918" s="23"/>
      <c r="EN918" s="23"/>
      <c r="EO918" s="23"/>
      <c r="EP918" s="23"/>
      <c r="EQ918" s="23"/>
      <c r="ER918" s="23"/>
      <c r="ES918" s="23"/>
      <c r="ET918" s="23"/>
      <c r="EU918" s="23"/>
      <c r="EV918" s="23"/>
      <c r="EW918" s="23"/>
      <c r="EX918" s="23"/>
      <c r="EY918" s="23"/>
      <c r="EZ918" s="23"/>
      <c r="FA918" s="23"/>
      <c r="FB918" s="23"/>
      <c r="FC918" s="23"/>
      <c r="FD918" s="23"/>
      <c r="FE918" s="23"/>
      <c r="FF918" s="23"/>
      <c r="FG918" s="23"/>
      <c r="FH918" s="23"/>
      <c r="FI918" s="23"/>
      <c r="FJ918" s="23"/>
      <c r="FK918" s="23"/>
      <c r="FL918" s="23"/>
      <c r="FM918" s="23"/>
      <c r="FN918" s="23"/>
      <c r="FO918" s="23"/>
      <c r="FP918" s="23"/>
      <c r="FQ918" s="23"/>
      <c r="FR918" s="23"/>
      <c r="FS918" s="23"/>
      <c r="FT918" s="23"/>
      <c r="FU918" s="23"/>
      <c r="FV918" s="23"/>
      <c r="FW918" s="23"/>
      <c r="FX918" s="23"/>
      <c r="FY918" s="23"/>
      <c r="FZ918" s="23"/>
      <c r="GA918" s="23"/>
      <c r="GB918" s="23"/>
      <c r="GC918" s="23"/>
      <c r="GD918" s="23"/>
      <c r="GE918" s="23"/>
      <c r="GF918" s="23"/>
      <c r="GG918" s="23"/>
      <c r="GH918" s="23"/>
      <c r="GI918" s="23"/>
      <c r="GJ918" s="23"/>
      <c r="GK918" s="23"/>
      <c r="GL918" s="23"/>
    </row>
    <row r="919" spans="1:194" ht="13">
      <c r="A919" s="23"/>
      <c r="B919" s="23"/>
      <c r="C919" s="23"/>
      <c r="D919" s="23"/>
      <c r="E919" s="23"/>
      <c r="F919" s="23"/>
      <c r="G919" s="23"/>
      <c r="H919" s="401"/>
      <c r="I919" s="401"/>
      <c r="J919" s="401"/>
      <c r="K919" s="401"/>
      <c r="L919" s="401"/>
      <c r="M919" s="438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  <c r="AL919" s="23"/>
      <c r="AM919" s="23"/>
      <c r="AN919" s="23"/>
      <c r="AO919" s="23"/>
      <c r="AP919" s="23"/>
      <c r="AQ919" s="23"/>
      <c r="AR919" s="23"/>
      <c r="AS919" s="23"/>
      <c r="AT919" s="23"/>
      <c r="AU919" s="23"/>
      <c r="AV919" s="23"/>
      <c r="AW919" s="23"/>
      <c r="AX919" s="23"/>
      <c r="AY919" s="23"/>
      <c r="AZ919" s="23"/>
      <c r="BA919" s="23"/>
      <c r="BB919" s="23"/>
      <c r="BC919" s="23"/>
      <c r="BD919" s="23"/>
      <c r="BE919" s="23"/>
      <c r="BF919" s="23"/>
      <c r="BG919" s="23"/>
      <c r="BH919" s="23"/>
      <c r="BI919" s="23"/>
      <c r="BJ919" s="23"/>
      <c r="BK919" s="23"/>
      <c r="BL919" s="23"/>
      <c r="BM919" s="23"/>
      <c r="BN919" s="23"/>
      <c r="BO919" s="23"/>
      <c r="BP919" s="23"/>
      <c r="BQ919" s="23"/>
      <c r="BR919" s="23"/>
      <c r="BS919" s="23"/>
      <c r="BT919" s="23"/>
      <c r="BU919" s="23"/>
      <c r="BV919" s="23"/>
      <c r="BW919" s="23"/>
      <c r="BX919" s="23"/>
      <c r="BY919" s="23"/>
      <c r="BZ919" s="23"/>
      <c r="CA919" s="23"/>
      <c r="CB919" s="23"/>
      <c r="CC919" s="23"/>
      <c r="CD919" s="23"/>
      <c r="CE919" s="23"/>
      <c r="CF919" s="23"/>
      <c r="CG919" s="23"/>
      <c r="CH919" s="23"/>
      <c r="CI919" s="23"/>
      <c r="CJ919" s="23"/>
      <c r="CK919" s="23"/>
      <c r="CL919" s="23"/>
      <c r="CM919" s="23"/>
      <c r="CN919" s="23"/>
      <c r="CO919" s="23"/>
      <c r="CP919" s="23"/>
      <c r="CQ919" s="23"/>
      <c r="CR919" s="23"/>
      <c r="CS919" s="23"/>
      <c r="CT919" s="23"/>
      <c r="CU919" s="23"/>
      <c r="CV919" s="23"/>
      <c r="CW919" s="23"/>
      <c r="CX919" s="23"/>
      <c r="CY919" s="23"/>
      <c r="CZ919" s="23"/>
      <c r="DA919" s="23"/>
      <c r="DB919" s="23"/>
      <c r="DC919" s="23"/>
      <c r="DD919" s="23"/>
      <c r="DE919" s="23"/>
      <c r="DF919" s="23"/>
      <c r="DG919" s="23"/>
      <c r="DH919" s="23"/>
      <c r="DI919" s="23"/>
      <c r="DJ919" s="23"/>
      <c r="DK919" s="23"/>
      <c r="DL919" s="23"/>
      <c r="DM919" s="23"/>
      <c r="DN919" s="23"/>
      <c r="DO919" s="23"/>
      <c r="DP919" s="23"/>
      <c r="DQ919" s="23"/>
      <c r="DR919" s="23"/>
      <c r="DS919" s="23"/>
      <c r="DT919" s="23"/>
      <c r="DU919" s="23"/>
      <c r="DV919" s="23"/>
      <c r="DW919" s="23"/>
      <c r="DX919" s="23"/>
      <c r="DY919" s="23"/>
      <c r="DZ919" s="23"/>
      <c r="EA919" s="23"/>
      <c r="EB919" s="23"/>
      <c r="EC919" s="23"/>
      <c r="ED919" s="23"/>
      <c r="EE919" s="23"/>
      <c r="EF919" s="23"/>
      <c r="EG919" s="23"/>
      <c r="EH919" s="23"/>
      <c r="EI919" s="23"/>
      <c r="EJ919" s="23"/>
      <c r="EK919" s="23"/>
      <c r="EL919" s="23"/>
      <c r="EM919" s="23"/>
      <c r="EN919" s="23"/>
      <c r="EO919" s="23"/>
      <c r="EP919" s="23"/>
      <c r="EQ919" s="23"/>
      <c r="ER919" s="23"/>
      <c r="ES919" s="23"/>
      <c r="ET919" s="23"/>
      <c r="EU919" s="23"/>
      <c r="EV919" s="23"/>
      <c r="EW919" s="23"/>
      <c r="EX919" s="23"/>
      <c r="EY919" s="23"/>
      <c r="EZ919" s="23"/>
      <c r="FA919" s="23"/>
      <c r="FB919" s="23"/>
      <c r="FC919" s="23"/>
      <c r="FD919" s="23"/>
      <c r="FE919" s="23"/>
      <c r="FF919" s="23"/>
      <c r="FG919" s="23"/>
      <c r="FH919" s="23"/>
      <c r="FI919" s="23"/>
      <c r="FJ919" s="23"/>
      <c r="FK919" s="23"/>
      <c r="FL919" s="23"/>
      <c r="FM919" s="23"/>
      <c r="FN919" s="23"/>
      <c r="FO919" s="23"/>
      <c r="FP919" s="23"/>
      <c r="FQ919" s="23"/>
      <c r="FR919" s="23"/>
      <c r="FS919" s="23"/>
      <c r="FT919" s="23"/>
      <c r="FU919" s="23"/>
      <c r="FV919" s="23"/>
      <c r="FW919" s="23"/>
      <c r="FX919" s="23"/>
      <c r="FY919" s="23"/>
      <c r="FZ919" s="23"/>
      <c r="GA919" s="23"/>
      <c r="GB919" s="23"/>
      <c r="GC919" s="23"/>
      <c r="GD919" s="23"/>
      <c r="GE919" s="23"/>
      <c r="GF919" s="23"/>
      <c r="GG919" s="23"/>
      <c r="GH919" s="23"/>
      <c r="GI919" s="23"/>
      <c r="GJ919" s="23"/>
      <c r="GK919" s="23"/>
      <c r="GL919" s="23"/>
    </row>
    <row r="920" spans="1:194" ht="13">
      <c r="A920" s="23"/>
      <c r="B920" s="23"/>
      <c r="C920" s="23"/>
      <c r="D920" s="23"/>
      <c r="E920" s="23"/>
      <c r="F920" s="23"/>
      <c r="G920" s="23"/>
      <c r="H920" s="401"/>
      <c r="I920" s="401"/>
      <c r="J920" s="401"/>
      <c r="K920" s="401"/>
      <c r="L920" s="401"/>
      <c r="M920" s="438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  <c r="AL920" s="23"/>
      <c r="AM920" s="23"/>
      <c r="AN920" s="23"/>
      <c r="AO920" s="23"/>
      <c r="AP920" s="23"/>
      <c r="AQ920" s="23"/>
      <c r="AR920" s="23"/>
      <c r="AS920" s="23"/>
      <c r="AT920" s="23"/>
      <c r="AU920" s="23"/>
      <c r="AV920" s="23"/>
      <c r="AW920" s="23"/>
      <c r="AX920" s="23"/>
      <c r="AY920" s="23"/>
      <c r="AZ920" s="23"/>
      <c r="BA920" s="23"/>
      <c r="BB920" s="23"/>
      <c r="BC920" s="23"/>
      <c r="BD920" s="23"/>
      <c r="BE920" s="23"/>
      <c r="BF920" s="23"/>
      <c r="BG920" s="23"/>
      <c r="BH920" s="23"/>
      <c r="BI920" s="23"/>
      <c r="BJ920" s="23"/>
      <c r="BK920" s="23"/>
      <c r="BL920" s="23"/>
      <c r="BM920" s="23"/>
      <c r="BN920" s="23"/>
      <c r="BO920" s="23"/>
      <c r="BP920" s="23"/>
      <c r="BQ920" s="23"/>
      <c r="BR920" s="23"/>
      <c r="BS920" s="23"/>
      <c r="BT920" s="23"/>
      <c r="BU920" s="23"/>
      <c r="BV920" s="23"/>
      <c r="BW920" s="23"/>
      <c r="BX920" s="23"/>
      <c r="BY920" s="23"/>
      <c r="BZ920" s="23"/>
      <c r="CA920" s="23"/>
      <c r="CB920" s="23"/>
      <c r="CC920" s="23"/>
      <c r="CD920" s="23"/>
      <c r="CE920" s="23"/>
      <c r="CF920" s="23"/>
      <c r="CG920" s="23"/>
      <c r="CH920" s="23"/>
      <c r="CI920" s="23"/>
      <c r="CJ920" s="23"/>
      <c r="CK920" s="23"/>
      <c r="CL920" s="23"/>
      <c r="CM920" s="23"/>
      <c r="CN920" s="23"/>
      <c r="CO920" s="23"/>
      <c r="CP920" s="23"/>
      <c r="CQ920" s="23"/>
      <c r="CR920" s="23"/>
      <c r="CS920" s="23"/>
      <c r="CT920" s="23"/>
      <c r="CU920" s="23"/>
      <c r="CV920" s="23"/>
      <c r="CW920" s="23"/>
      <c r="CX920" s="23"/>
      <c r="CY920" s="23"/>
      <c r="CZ920" s="23"/>
      <c r="DA920" s="23"/>
      <c r="DB920" s="23"/>
      <c r="DC920" s="23"/>
      <c r="DD920" s="23"/>
      <c r="DE920" s="23"/>
      <c r="DF920" s="23"/>
      <c r="DG920" s="23"/>
      <c r="DH920" s="23"/>
      <c r="DI920" s="23"/>
      <c r="DJ920" s="23"/>
      <c r="DK920" s="23"/>
      <c r="DL920" s="23"/>
      <c r="DM920" s="23"/>
      <c r="DN920" s="23"/>
      <c r="DO920" s="23"/>
      <c r="DP920" s="23"/>
      <c r="DQ920" s="23"/>
      <c r="DR920" s="23"/>
      <c r="DS920" s="23"/>
      <c r="DT920" s="23"/>
      <c r="DU920" s="23"/>
      <c r="DV920" s="23"/>
      <c r="DW920" s="23"/>
      <c r="DX920" s="23"/>
      <c r="DY920" s="23"/>
      <c r="DZ920" s="23"/>
      <c r="EA920" s="23"/>
      <c r="EB920" s="23"/>
      <c r="EC920" s="23"/>
      <c r="ED920" s="23"/>
      <c r="EE920" s="23"/>
      <c r="EF920" s="23"/>
      <c r="EG920" s="23"/>
      <c r="EH920" s="23"/>
      <c r="EI920" s="23"/>
      <c r="EJ920" s="23"/>
      <c r="EK920" s="23"/>
      <c r="EL920" s="23"/>
      <c r="EM920" s="23"/>
      <c r="EN920" s="23"/>
      <c r="EO920" s="23"/>
      <c r="EP920" s="23"/>
      <c r="EQ920" s="23"/>
      <c r="ER920" s="23"/>
      <c r="ES920" s="23"/>
      <c r="ET920" s="23"/>
      <c r="EU920" s="23"/>
      <c r="EV920" s="23"/>
      <c r="EW920" s="23"/>
      <c r="EX920" s="23"/>
      <c r="EY920" s="23"/>
      <c r="EZ920" s="23"/>
      <c r="FA920" s="23"/>
      <c r="FB920" s="23"/>
      <c r="FC920" s="23"/>
      <c r="FD920" s="23"/>
      <c r="FE920" s="23"/>
      <c r="FF920" s="23"/>
      <c r="FG920" s="23"/>
      <c r="FH920" s="23"/>
      <c r="FI920" s="23"/>
      <c r="FJ920" s="23"/>
      <c r="FK920" s="23"/>
      <c r="FL920" s="23"/>
      <c r="FM920" s="23"/>
      <c r="FN920" s="23"/>
      <c r="FO920" s="23"/>
      <c r="FP920" s="23"/>
      <c r="FQ920" s="23"/>
      <c r="FR920" s="23"/>
      <c r="FS920" s="23"/>
      <c r="FT920" s="23"/>
      <c r="FU920" s="23"/>
      <c r="FV920" s="23"/>
      <c r="FW920" s="23"/>
      <c r="FX920" s="23"/>
      <c r="FY920" s="23"/>
      <c r="FZ920" s="23"/>
      <c r="GA920" s="23"/>
      <c r="GB920" s="23"/>
      <c r="GC920" s="23"/>
      <c r="GD920" s="23"/>
      <c r="GE920" s="23"/>
      <c r="GF920" s="23"/>
      <c r="GG920" s="23"/>
      <c r="GH920" s="23"/>
      <c r="GI920" s="23"/>
      <c r="GJ920" s="23"/>
      <c r="GK920" s="23"/>
      <c r="GL920" s="23"/>
    </row>
    <row r="921" spans="1:194" ht="13">
      <c r="A921" s="23"/>
      <c r="B921" s="23"/>
      <c r="C921" s="23"/>
      <c r="D921" s="23"/>
      <c r="E921" s="23"/>
      <c r="F921" s="23"/>
      <c r="G921" s="23"/>
      <c r="H921" s="401"/>
      <c r="I921" s="401"/>
      <c r="J921" s="401"/>
      <c r="K921" s="401"/>
      <c r="L921" s="401"/>
      <c r="M921" s="438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  <c r="AL921" s="23"/>
      <c r="AM921" s="23"/>
      <c r="AN921" s="23"/>
      <c r="AO921" s="23"/>
      <c r="AP921" s="23"/>
      <c r="AQ921" s="23"/>
      <c r="AR921" s="23"/>
      <c r="AS921" s="23"/>
      <c r="AT921" s="23"/>
      <c r="AU921" s="23"/>
      <c r="AV921" s="23"/>
      <c r="AW921" s="23"/>
      <c r="AX921" s="23"/>
      <c r="AY921" s="23"/>
      <c r="AZ921" s="23"/>
      <c r="BA921" s="23"/>
      <c r="BB921" s="23"/>
      <c r="BC921" s="23"/>
      <c r="BD921" s="23"/>
      <c r="BE921" s="23"/>
      <c r="BF921" s="23"/>
      <c r="BG921" s="23"/>
      <c r="BH921" s="23"/>
      <c r="BI921" s="23"/>
      <c r="BJ921" s="23"/>
      <c r="BK921" s="23"/>
      <c r="BL921" s="23"/>
      <c r="BM921" s="23"/>
      <c r="BN921" s="23"/>
      <c r="BO921" s="23"/>
      <c r="BP921" s="23"/>
      <c r="BQ921" s="23"/>
      <c r="BR921" s="23"/>
      <c r="BS921" s="23"/>
      <c r="BT921" s="23"/>
      <c r="BU921" s="23"/>
      <c r="BV921" s="23"/>
      <c r="BW921" s="23"/>
      <c r="BX921" s="23"/>
      <c r="BY921" s="23"/>
      <c r="BZ921" s="23"/>
      <c r="CA921" s="23"/>
      <c r="CB921" s="23"/>
      <c r="CC921" s="23"/>
      <c r="CD921" s="23"/>
      <c r="CE921" s="23"/>
      <c r="CF921" s="23"/>
      <c r="CG921" s="23"/>
      <c r="CH921" s="23"/>
      <c r="CI921" s="23"/>
      <c r="CJ921" s="23"/>
      <c r="CK921" s="23"/>
      <c r="CL921" s="23"/>
      <c r="CM921" s="23"/>
      <c r="CN921" s="23"/>
      <c r="CO921" s="23"/>
      <c r="CP921" s="23"/>
      <c r="CQ921" s="23"/>
      <c r="CR921" s="23"/>
      <c r="CS921" s="23"/>
      <c r="CT921" s="23"/>
      <c r="CU921" s="23"/>
      <c r="CV921" s="23"/>
      <c r="CW921" s="23"/>
      <c r="CX921" s="23"/>
      <c r="CY921" s="23"/>
      <c r="CZ921" s="23"/>
      <c r="DA921" s="23"/>
      <c r="DB921" s="23"/>
      <c r="DC921" s="23"/>
      <c r="DD921" s="23"/>
      <c r="DE921" s="23"/>
      <c r="DF921" s="23"/>
      <c r="DG921" s="23"/>
      <c r="DH921" s="23"/>
      <c r="DI921" s="23"/>
      <c r="DJ921" s="23"/>
      <c r="DK921" s="23"/>
      <c r="DL921" s="23"/>
      <c r="DM921" s="23"/>
      <c r="DN921" s="23"/>
      <c r="DO921" s="23"/>
      <c r="DP921" s="23"/>
      <c r="DQ921" s="23"/>
      <c r="DR921" s="23"/>
      <c r="DS921" s="23"/>
      <c r="DT921" s="23"/>
      <c r="DU921" s="23"/>
      <c r="DV921" s="23"/>
      <c r="DW921" s="23"/>
      <c r="DX921" s="23"/>
      <c r="DY921" s="23"/>
      <c r="DZ921" s="23"/>
      <c r="EA921" s="23"/>
      <c r="EB921" s="23"/>
      <c r="EC921" s="23"/>
      <c r="ED921" s="23"/>
      <c r="EE921" s="23"/>
      <c r="EF921" s="23"/>
      <c r="EG921" s="23"/>
      <c r="EH921" s="23"/>
      <c r="EI921" s="23"/>
      <c r="EJ921" s="23"/>
      <c r="EK921" s="23"/>
      <c r="EL921" s="23"/>
      <c r="EM921" s="23"/>
      <c r="EN921" s="23"/>
      <c r="EO921" s="23"/>
      <c r="EP921" s="23"/>
      <c r="EQ921" s="23"/>
      <c r="ER921" s="23"/>
      <c r="ES921" s="23"/>
      <c r="ET921" s="23"/>
      <c r="EU921" s="23"/>
      <c r="EV921" s="23"/>
      <c r="EW921" s="23"/>
      <c r="EX921" s="23"/>
      <c r="EY921" s="23"/>
      <c r="EZ921" s="23"/>
      <c r="FA921" s="23"/>
      <c r="FB921" s="23"/>
      <c r="FC921" s="23"/>
      <c r="FD921" s="23"/>
      <c r="FE921" s="23"/>
      <c r="FF921" s="23"/>
      <c r="FG921" s="23"/>
      <c r="FH921" s="23"/>
      <c r="FI921" s="23"/>
      <c r="FJ921" s="23"/>
      <c r="FK921" s="23"/>
      <c r="FL921" s="23"/>
      <c r="FM921" s="23"/>
      <c r="FN921" s="23"/>
      <c r="FO921" s="23"/>
      <c r="FP921" s="23"/>
      <c r="FQ921" s="23"/>
      <c r="FR921" s="23"/>
      <c r="FS921" s="23"/>
      <c r="FT921" s="23"/>
      <c r="FU921" s="23"/>
      <c r="FV921" s="23"/>
      <c r="FW921" s="23"/>
      <c r="FX921" s="23"/>
      <c r="FY921" s="23"/>
      <c r="FZ921" s="23"/>
      <c r="GA921" s="23"/>
      <c r="GB921" s="23"/>
      <c r="GC921" s="23"/>
      <c r="GD921" s="23"/>
      <c r="GE921" s="23"/>
      <c r="GF921" s="23"/>
      <c r="GG921" s="23"/>
      <c r="GH921" s="23"/>
      <c r="GI921" s="23"/>
      <c r="GJ921" s="23"/>
      <c r="GK921" s="23"/>
      <c r="GL921" s="23"/>
    </row>
    <row r="922" spans="1:194" ht="13">
      <c r="A922" s="23"/>
      <c r="B922" s="23"/>
      <c r="C922" s="23"/>
      <c r="D922" s="23"/>
      <c r="E922" s="23"/>
      <c r="F922" s="23"/>
      <c r="G922" s="23"/>
      <c r="H922" s="401"/>
      <c r="I922" s="401"/>
      <c r="J922" s="401"/>
      <c r="K922" s="401"/>
      <c r="L922" s="401"/>
      <c r="M922" s="438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  <c r="AL922" s="23"/>
      <c r="AM922" s="23"/>
      <c r="AN922" s="23"/>
      <c r="AO922" s="23"/>
      <c r="AP922" s="23"/>
      <c r="AQ922" s="23"/>
      <c r="AR922" s="23"/>
      <c r="AS922" s="23"/>
      <c r="AT922" s="23"/>
      <c r="AU922" s="23"/>
      <c r="AV922" s="23"/>
      <c r="AW922" s="23"/>
      <c r="AX922" s="23"/>
      <c r="AY922" s="23"/>
      <c r="AZ922" s="23"/>
      <c r="BA922" s="23"/>
      <c r="BB922" s="23"/>
      <c r="BC922" s="23"/>
      <c r="BD922" s="23"/>
      <c r="BE922" s="23"/>
      <c r="BF922" s="23"/>
      <c r="BG922" s="23"/>
      <c r="BH922" s="23"/>
      <c r="BI922" s="23"/>
      <c r="BJ922" s="23"/>
      <c r="BK922" s="23"/>
      <c r="BL922" s="23"/>
      <c r="BM922" s="23"/>
      <c r="BN922" s="23"/>
      <c r="BO922" s="23"/>
      <c r="BP922" s="23"/>
      <c r="BQ922" s="23"/>
      <c r="BR922" s="23"/>
      <c r="BS922" s="23"/>
      <c r="BT922" s="23"/>
      <c r="BU922" s="23"/>
      <c r="BV922" s="23"/>
      <c r="BW922" s="23"/>
      <c r="BX922" s="23"/>
      <c r="BY922" s="23"/>
      <c r="BZ922" s="23"/>
      <c r="CA922" s="23"/>
      <c r="CB922" s="23"/>
      <c r="CC922" s="23"/>
      <c r="CD922" s="23"/>
      <c r="CE922" s="23"/>
      <c r="CF922" s="23"/>
      <c r="CG922" s="23"/>
      <c r="CH922" s="23"/>
      <c r="CI922" s="23"/>
      <c r="CJ922" s="23"/>
      <c r="CK922" s="23"/>
      <c r="CL922" s="23"/>
      <c r="CM922" s="23"/>
      <c r="CN922" s="23"/>
      <c r="CO922" s="23"/>
      <c r="CP922" s="23"/>
      <c r="CQ922" s="23"/>
      <c r="CR922" s="23"/>
      <c r="CS922" s="23"/>
      <c r="CT922" s="23"/>
      <c r="CU922" s="23"/>
      <c r="CV922" s="23"/>
      <c r="CW922" s="23"/>
      <c r="CX922" s="23"/>
      <c r="CY922" s="23"/>
      <c r="CZ922" s="23"/>
      <c r="DA922" s="23"/>
      <c r="DB922" s="23"/>
      <c r="DC922" s="23"/>
      <c r="DD922" s="23"/>
      <c r="DE922" s="23"/>
      <c r="DF922" s="23"/>
      <c r="DG922" s="23"/>
      <c r="DH922" s="23"/>
      <c r="DI922" s="23"/>
      <c r="DJ922" s="23"/>
      <c r="DK922" s="23"/>
      <c r="DL922" s="23"/>
      <c r="DM922" s="23"/>
      <c r="DN922" s="23"/>
      <c r="DO922" s="23"/>
      <c r="DP922" s="23"/>
      <c r="DQ922" s="23"/>
      <c r="DR922" s="23"/>
      <c r="DS922" s="23"/>
      <c r="DT922" s="23"/>
      <c r="DU922" s="23"/>
      <c r="DV922" s="23"/>
      <c r="DW922" s="23"/>
      <c r="DX922" s="23"/>
      <c r="DY922" s="23"/>
      <c r="DZ922" s="23"/>
      <c r="EA922" s="23"/>
      <c r="EB922" s="23"/>
      <c r="EC922" s="23"/>
      <c r="ED922" s="23"/>
      <c r="EE922" s="23"/>
      <c r="EF922" s="23"/>
      <c r="EG922" s="23"/>
      <c r="EH922" s="23"/>
      <c r="EI922" s="23"/>
      <c r="EJ922" s="23"/>
      <c r="EK922" s="23"/>
      <c r="EL922" s="23"/>
      <c r="EM922" s="23"/>
      <c r="EN922" s="23"/>
      <c r="EO922" s="23"/>
      <c r="EP922" s="23"/>
      <c r="EQ922" s="23"/>
      <c r="ER922" s="23"/>
      <c r="ES922" s="23"/>
      <c r="ET922" s="23"/>
      <c r="EU922" s="23"/>
      <c r="EV922" s="23"/>
      <c r="EW922" s="23"/>
      <c r="EX922" s="23"/>
      <c r="EY922" s="23"/>
      <c r="EZ922" s="23"/>
      <c r="FA922" s="23"/>
      <c r="FB922" s="23"/>
      <c r="FC922" s="23"/>
      <c r="FD922" s="23"/>
      <c r="FE922" s="23"/>
      <c r="FF922" s="23"/>
      <c r="FG922" s="23"/>
      <c r="FH922" s="23"/>
      <c r="FI922" s="23"/>
      <c r="FJ922" s="23"/>
      <c r="FK922" s="23"/>
      <c r="FL922" s="23"/>
      <c r="FM922" s="23"/>
      <c r="FN922" s="23"/>
      <c r="FO922" s="23"/>
      <c r="FP922" s="23"/>
      <c r="FQ922" s="23"/>
      <c r="FR922" s="23"/>
      <c r="FS922" s="23"/>
      <c r="FT922" s="23"/>
      <c r="FU922" s="23"/>
      <c r="FV922" s="23"/>
      <c r="FW922" s="23"/>
      <c r="FX922" s="23"/>
      <c r="FY922" s="23"/>
      <c r="FZ922" s="23"/>
      <c r="GA922" s="23"/>
      <c r="GB922" s="23"/>
      <c r="GC922" s="23"/>
      <c r="GD922" s="23"/>
      <c r="GE922" s="23"/>
      <c r="GF922" s="23"/>
      <c r="GG922" s="23"/>
      <c r="GH922" s="23"/>
      <c r="GI922" s="23"/>
      <c r="GJ922" s="23"/>
      <c r="GK922" s="23"/>
      <c r="GL922" s="23"/>
    </row>
    <row r="923" spans="1:194" ht="13">
      <c r="A923" s="23"/>
      <c r="B923" s="23"/>
      <c r="C923" s="23"/>
      <c r="D923" s="23"/>
      <c r="E923" s="23"/>
      <c r="F923" s="23"/>
      <c r="G923" s="23"/>
      <c r="H923" s="401"/>
      <c r="I923" s="401"/>
      <c r="J923" s="401"/>
      <c r="K923" s="401"/>
      <c r="L923" s="401"/>
      <c r="M923" s="438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  <c r="AL923" s="23"/>
      <c r="AM923" s="23"/>
      <c r="AN923" s="23"/>
      <c r="AO923" s="23"/>
      <c r="AP923" s="23"/>
      <c r="AQ923" s="23"/>
      <c r="AR923" s="23"/>
      <c r="AS923" s="23"/>
      <c r="AT923" s="23"/>
      <c r="AU923" s="23"/>
      <c r="AV923" s="23"/>
      <c r="AW923" s="23"/>
      <c r="AX923" s="23"/>
      <c r="AY923" s="23"/>
      <c r="AZ923" s="23"/>
      <c r="BA923" s="23"/>
      <c r="BB923" s="23"/>
      <c r="BC923" s="23"/>
      <c r="BD923" s="23"/>
      <c r="BE923" s="23"/>
      <c r="BF923" s="23"/>
      <c r="BG923" s="23"/>
      <c r="BH923" s="23"/>
      <c r="BI923" s="23"/>
      <c r="BJ923" s="23"/>
      <c r="BK923" s="23"/>
      <c r="BL923" s="23"/>
      <c r="BM923" s="23"/>
      <c r="BN923" s="23"/>
      <c r="BO923" s="23"/>
      <c r="BP923" s="23"/>
      <c r="BQ923" s="23"/>
      <c r="BR923" s="23"/>
      <c r="BS923" s="23"/>
      <c r="BT923" s="23"/>
      <c r="BU923" s="23"/>
      <c r="BV923" s="23"/>
      <c r="BW923" s="23"/>
      <c r="BX923" s="23"/>
      <c r="BY923" s="23"/>
      <c r="BZ923" s="23"/>
      <c r="CA923" s="23"/>
      <c r="CB923" s="23"/>
      <c r="CC923" s="23"/>
      <c r="CD923" s="23"/>
      <c r="CE923" s="23"/>
      <c r="CF923" s="23"/>
      <c r="CG923" s="23"/>
      <c r="CH923" s="23"/>
      <c r="CI923" s="23"/>
      <c r="CJ923" s="23"/>
      <c r="CK923" s="23"/>
      <c r="CL923" s="23"/>
      <c r="CM923" s="23"/>
      <c r="CN923" s="23"/>
      <c r="CO923" s="23"/>
      <c r="CP923" s="23"/>
      <c r="CQ923" s="23"/>
      <c r="CR923" s="23"/>
      <c r="CS923" s="23"/>
      <c r="CT923" s="23"/>
      <c r="CU923" s="23"/>
      <c r="CV923" s="23"/>
      <c r="CW923" s="23"/>
      <c r="CX923" s="23"/>
      <c r="CY923" s="23"/>
      <c r="CZ923" s="23"/>
      <c r="DA923" s="23"/>
      <c r="DB923" s="23"/>
      <c r="DC923" s="23"/>
      <c r="DD923" s="23"/>
      <c r="DE923" s="23"/>
      <c r="DF923" s="23"/>
      <c r="DG923" s="23"/>
      <c r="DH923" s="23"/>
      <c r="DI923" s="23"/>
      <c r="DJ923" s="23"/>
      <c r="DK923" s="23"/>
      <c r="DL923" s="23"/>
      <c r="DM923" s="23"/>
      <c r="DN923" s="23"/>
      <c r="DO923" s="23"/>
      <c r="DP923" s="23"/>
      <c r="DQ923" s="23"/>
      <c r="DR923" s="23"/>
      <c r="DS923" s="23"/>
      <c r="DT923" s="23"/>
      <c r="DU923" s="23"/>
      <c r="DV923" s="23"/>
      <c r="DW923" s="23"/>
      <c r="DX923" s="23"/>
      <c r="DY923" s="23"/>
      <c r="DZ923" s="23"/>
      <c r="EA923" s="23"/>
      <c r="EB923" s="23"/>
      <c r="EC923" s="23"/>
      <c r="ED923" s="23"/>
      <c r="EE923" s="23"/>
      <c r="EF923" s="23"/>
      <c r="EG923" s="23"/>
      <c r="EH923" s="23"/>
      <c r="EI923" s="23"/>
      <c r="EJ923" s="23"/>
      <c r="EK923" s="23"/>
      <c r="EL923" s="23"/>
      <c r="EM923" s="23"/>
      <c r="EN923" s="23"/>
      <c r="EO923" s="23"/>
      <c r="EP923" s="23"/>
      <c r="EQ923" s="23"/>
      <c r="ER923" s="23"/>
      <c r="ES923" s="23"/>
      <c r="ET923" s="23"/>
      <c r="EU923" s="23"/>
      <c r="EV923" s="23"/>
      <c r="EW923" s="23"/>
      <c r="EX923" s="23"/>
      <c r="EY923" s="23"/>
      <c r="EZ923" s="23"/>
      <c r="FA923" s="23"/>
      <c r="FB923" s="23"/>
      <c r="FC923" s="23"/>
      <c r="FD923" s="23"/>
      <c r="FE923" s="23"/>
      <c r="FF923" s="23"/>
      <c r="FG923" s="23"/>
      <c r="FH923" s="23"/>
      <c r="FI923" s="23"/>
      <c r="FJ923" s="23"/>
      <c r="FK923" s="23"/>
      <c r="FL923" s="23"/>
      <c r="FM923" s="23"/>
      <c r="FN923" s="23"/>
      <c r="FO923" s="23"/>
      <c r="FP923" s="23"/>
      <c r="FQ923" s="23"/>
      <c r="FR923" s="23"/>
      <c r="FS923" s="23"/>
      <c r="FT923" s="23"/>
      <c r="FU923" s="23"/>
      <c r="FV923" s="23"/>
      <c r="FW923" s="23"/>
      <c r="FX923" s="23"/>
      <c r="FY923" s="23"/>
      <c r="FZ923" s="23"/>
      <c r="GA923" s="23"/>
      <c r="GB923" s="23"/>
      <c r="GC923" s="23"/>
      <c r="GD923" s="23"/>
      <c r="GE923" s="23"/>
      <c r="GF923" s="23"/>
      <c r="GG923" s="23"/>
      <c r="GH923" s="23"/>
      <c r="GI923" s="23"/>
      <c r="GJ923" s="23"/>
      <c r="GK923" s="23"/>
      <c r="GL923" s="23"/>
    </row>
    <row r="924" spans="1:194" ht="13">
      <c r="A924" s="23"/>
      <c r="B924" s="23"/>
      <c r="C924" s="23"/>
      <c r="D924" s="23"/>
      <c r="E924" s="23"/>
      <c r="F924" s="23"/>
      <c r="G924" s="23"/>
      <c r="H924" s="401"/>
      <c r="I924" s="401"/>
      <c r="J924" s="401"/>
      <c r="K924" s="401"/>
      <c r="L924" s="401"/>
      <c r="M924" s="438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  <c r="AL924" s="23"/>
      <c r="AM924" s="23"/>
      <c r="AN924" s="23"/>
      <c r="AO924" s="23"/>
      <c r="AP924" s="23"/>
      <c r="AQ924" s="23"/>
      <c r="AR924" s="23"/>
      <c r="AS924" s="23"/>
      <c r="AT924" s="23"/>
      <c r="AU924" s="23"/>
      <c r="AV924" s="23"/>
      <c r="AW924" s="23"/>
      <c r="AX924" s="23"/>
      <c r="AY924" s="23"/>
      <c r="AZ924" s="23"/>
      <c r="BA924" s="23"/>
      <c r="BB924" s="23"/>
      <c r="BC924" s="23"/>
      <c r="BD924" s="23"/>
      <c r="BE924" s="23"/>
      <c r="BF924" s="23"/>
      <c r="BG924" s="23"/>
      <c r="BH924" s="23"/>
      <c r="BI924" s="23"/>
      <c r="BJ924" s="23"/>
      <c r="BK924" s="23"/>
      <c r="BL924" s="23"/>
      <c r="BM924" s="23"/>
      <c r="BN924" s="23"/>
      <c r="BO924" s="23"/>
      <c r="BP924" s="23"/>
      <c r="BQ924" s="23"/>
      <c r="BR924" s="23"/>
      <c r="BS924" s="23"/>
      <c r="BT924" s="23"/>
      <c r="BU924" s="23"/>
      <c r="BV924" s="23"/>
      <c r="BW924" s="23"/>
      <c r="BX924" s="23"/>
      <c r="BY924" s="23"/>
      <c r="BZ924" s="23"/>
      <c r="CA924" s="23"/>
      <c r="CB924" s="23"/>
      <c r="CC924" s="23"/>
      <c r="CD924" s="23"/>
      <c r="CE924" s="23"/>
      <c r="CF924" s="23"/>
      <c r="CG924" s="23"/>
      <c r="CH924" s="23"/>
      <c r="CI924" s="23"/>
      <c r="CJ924" s="23"/>
      <c r="CK924" s="23"/>
      <c r="CL924" s="23"/>
      <c r="CM924" s="23"/>
      <c r="CN924" s="23"/>
      <c r="CO924" s="23"/>
      <c r="CP924" s="23"/>
      <c r="CQ924" s="23"/>
      <c r="CR924" s="23"/>
      <c r="CS924" s="23"/>
      <c r="CT924" s="23"/>
      <c r="CU924" s="23"/>
      <c r="CV924" s="23"/>
      <c r="CW924" s="23"/>
      <c r="CX924" s="23"/>
      <c r="CY924" s="23"/>
      <c r="CZ924" s="23"/>
      <c r="DA924" s="23"/>
      <c r="DB924" s="23"/>
      <c r="DC924" s="23"/>
      <c r="DD924" s="23"/>
      <c r="DE924" s="23"/>
      <c r="DF924" s="23"/>
      <c r="DG924" s="23"/>
      <c r="DH924" s="23"/>
      <c r="DI924" s="23"/>
      <c r="DJ924" s="23"/>
      <c r="DK924" s="23"/>
      <c r="DL924" s="23"/>
      <c r="DM924" s="23"/>
      <c r="DN924" s="23"/>
      <c r="DO924" s="23"/>
      <c r="DP924" s="23"/>
      <c r="DQ924" s="23"/>
      <c r="DR924" s="23"/>
      <c r="DS924" s="23"/>
      <c r="DT924" s="23"/>
      <c r="DU924" s="23"/>
      <c r="DV924" s="23"/>
      <c r="DW924" s="23"/>
      <c r="DX924" s="23"/>
      <c r="DY924" s="23"/>
      <c r="DZ924" s="23"/>
      <c r="EA924" s="23"/>
      <c r="EB924" s="23"/>
      <c r="EC924" s="23"/>
      <c r="ED924" s="23"/>
      <c r="EE924" s="23"/>
      <c r="EF924" s="23"/>
      <c r="EG924" s="23"/>
      <c r="EH924" s="23"/>
      <c r="EI924" s="23"/>
      <c r="EJ924" s="23"/>
      <c r="EK924" s="23"/>
      <c r="EL924" s="23"/>
      <c r="EM924" s="23"/>
      <c r="EN924" s="23"/>
      <c r="EO924" s="23"/>
      <c r="EP924" s="23"/>
      <c r="EQ924" s="23"/>
      <c r="ER924" s="23"/>
      <c r="ES924" s="23"/>
      <c r="ET924" s="23"/>
      <c r="EU924" s="23"/>
      <c r="EV924" s="23"/>
      <c r="EW924" s="23"/>
      <c r="EX924" s="23"/>
      <c r="EY924" s="23"/>
      <c r="EZ924" s="23"/>
      <c r="FA924" s="23"/>
      <c r="FB924" s="23"/>
      <c r="FC924" s="23"/>
      <c r="FD924" s="23"/>
      <c r="FE924" s="23"/>
      <c r="FF924" s="23"/>
      <c r="FG924" s="23"/>
      <c r="FH924" s="23"/>
      <c r="FI924" s="23"/>
      <c r="FJ924" s="23"/>
      <c r="FK924" s="23"/>
      <c r="FL924" s="23"/>
      <c r="FM924" s="23"/>
      <c r="FN924" s="23"/>
      <c r="FO924" s="23"/>
      <c r="FP924" s="23"/>
      <c r="FQ924" s="23"/>
      <c r="FR924" s="23"/>
      <c r="FS924" s="23"/>
      <c r="FT924" s="23"/>
      <c r="FU924" s="23"/>
      <c r="FV924" s="23"/>
      <c r="FW924" s="23"/>
      <c r="FX924" s="23"/>
      <c r="FY924" s="23"/>
      <c r="FZ924" s="23"/>
      <c r="GA924" s="23"/>
      <c r="GB924" s="23"/>
      <c r="GC924" s="23"/>
      <c r="GD924" s="23"/>
      <c r="GE924" s="23"/>
      <c r="GF924" s="23"/>
      <c r="GG924" s="23"/>
      <c r="GH924" s="23"/>
      <c r="GI924" s="23"/>
      <c r="GJ924" s="23"/>
      <c r="GK924" s="23"/>
      <c r="GL924" s="23"/>
    </row>
    <row r="925" spans="1:194" ht="13">
      <c r="A925" s="23"/>
      <c r="B925" s="23"/>
      <c r="C925" s="23"/>
      <c r="D925" s="23"/>
      <c r="E925" s="23"/>
      <c r="F925" s="23"/>
      <c r="G925" s="23"/>
      <c r="H925" s="401"/>
      <c r="I925" s="401"/>
      <c r="J925" s="401"/>
      <c r="K925" s="401"/>
      <c r="L925" s="401"/>
      <c r="M925" s="438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  <c r="AL925" s="23"/>
      <c r="AM925" s="23"/>
      <c r="AN925" s="23"/>
      <c r="AO925" s="23"/>
      <c r="AP925" s="23"/>
      <c r="AQ925" s="23"/>
      <c r="AR925" s="23"/>
      <c r="AS925" s="23"/>
      <c r="AT925" s="23"/>
      <c r="AU925" s="23"/>
      <c r="AV925" s="23"/>
      <c r="AW925" s="23"/>
      <c r="AX925" s="23"/>
      <c r="AY925" s="23"/>
      <c r="AZ925" s="23"/>
      <c r="BA925" s="23"/>
      <c r="BB925" s="23"/>
      <c r="BC925" s="23"/>
      <c r="BD925" s="23"/>
      <c r="BE925" s="23"/>
      <c r="BF925" s="23"/>
      <c r="BG925" s="23"/>
      <c r="BH925" s="23"/>
      <c r="BI925" s="23"/>
      <c r="BJ925" s="23"/>
      <c r="BK925" s="23"/>
      <c r="BL925" s="23"/>
      <c r="BM925" s="23"/>
      <c r="BN925" s="23"/>
      <c r="BO925" s="23"/>
      <c r="BP925" s="23"/>
      <c r="BQ925" s="23"/>
      <c r="BR925" s="23"/>
      <c r="BS925" s="23"/>
      <c r="BT925" s="23"/>
      <c r="BU925" s="23"/>
      <c r="BV925" s="23"/>
      <c r="BW925" s="23"/>
      <c r="BX925" s="23"/>
      <c r="BY925" s="23"/>
      <c r="BZ925" s="23"/>
      <c r="CA925" s="23"/>
      <c r="CB925" s="23"/>
      <c r="CC925" s="23"/>
      <c r="CD925" s="23"/>
      <c r="CE925" s="23"/>
      <c r="CF925" s="23"/>
      <c r="CG925" s="23"/>
      <c r="CH925" s="23"/>
      <c r="CI925" s="23"/>
      <c r="CJ925" s="23"/>
      <c r="CK925" s="23"/>
      <c r="CL925" s="23"/>
      <c r="CM925" s="23"/>
      <c r="CN925" s="23"/>
      <c r="CO925" s="23"/>
      <c r="CP925" s="23"/>
      <c r="CQ925" s="23"/>
      <c r="CR925" s="23"/>
      <c r="CS925" s="23"/>
      <c r="CT925" s="23"/>
      <c r="CU925" s="23"/>
      <c r="CV925" s="23"/>
      <c r="CW925" s="23"/>
      <c r="CX925" s="23"/>
      <c r="CY925" s="23"/>
      <c r="CZ925" s="23"/>
      <c r="DA925" s="23"/>
      <c r="DB925" s="23"/>
      <c r="DC925" s="23"/>
      <c r="DD925" s="23"/>
      <c r="DE925" s="23"/>
      <c r="DF925" s="23"/>
      <c r="DG925" s="23"/>
      <c r="DH925" s="23"/>
      <c r="DI925" s="23"/>
      <c r="DJ925" s="23"/>
      <c r="DK925" s="23"/>
      <c r="DL925" s="23"/>
      <c r="DM925" s="23"/>
      <c r="DN925" s="23"/>
      <c r="DO925" s="23"/>
      <c r="DP925" s="23"/>
      <c r="DQ925" s="23"/>
      <c r="DR925" s="23"/>
      <c r="DS925" s="23"/>
      <c r="DT925" s="23"/>
      <c r="DU925" s="23"/>
      <c r="DV925" s="23"/>
      <c r="DW925" s="23"/>
      <c r="DX925" s="23"/>
      <c r="DY925" s="23"/>
      <c r="DZ925" s="23"/>
      <c r="EA925" s="23"/>
      <c r="EB925" s="23"/>
      <c r="EC925" s="23"/>
      <c r="ED925" s="23"/>
      <c r="EE925" s="23"/>
      <c r="EF925" s="23"/>
      <c r="EG925" s="23"/>
      <c r="EH925" s="23"/>
      <c r="EI925" s="23"/>
      <c r="EJ925" s="23"/>
      <c r="EK925" s="23"/>
      <c r="EL925" s="23"/>
      <c r="EM925" s="23"/>
      <c r="EN925" s="23"/>
      <c r="EO925" s="23"/>
      <c r="EP925" s="23"/>
      <c r="EQ925" s="23"/>
      <c r="ER925" s="23"/>
      <c r="ES925" s="23"/>
      <c r="ET925" s="23"/>
      <c r="EU925" s="23"/>
      <c r="EV925" s="23"/>
      <c r="EW925" s="23"/>
      <c r="EX925" s="23"/>
      <c r="EY925" s="23"/>
      <c r="EZ925" s="23"/>
      <c r="FA925" s="23"/>
      <c r="FB925" s="23"/>
      <c r="FC925" s="23"/>
      <c r="FD925" s="23"/>
      <c r="FE925" s="23"/>
      <c r="FF925" s="23"/>
      <c r="FG925" s="23"/>
      <c r="FH925" s="23"/>
      <c r="FI925" s="23"/>
      <c r="FJ925" s="23"/>
      <c r="FK925" s="23"/>
      <c r="FL925" s="23"/>
      <c r="FM925" s="23"/>
      <c r="FN925" s="23"/>
      <c r="FO925" s="23"/>
      <c r="FP925" s="23"/>
      <c r="FQ925" s="23"/>
      <c r="FR925" s="23"/>
      <c r="FS925" s="23"/>
      <c r="FT925" s="23"/>
      <c r="FU925" s="23"/>
      <c r="FV925" s="23"/>
      <c r="FW925" s="23"/>
      <c r="FX925" s="23"/>
      <c r="FY925" s="23"/>
      <c r="FZ925" s="23"/>
      <c r="GA925" s="23"/>
      <c r="GB925" s="23"/>
      <c r="GC925" s="23"/>
      <c r="GD925" s="23"/>
      <c r="GE925" s="23"/>
      <c r="GF925" s="23"/>
      <c r="GG925" s="23"/>
      <c r="GH925" s="23"/>
      <c r="GI925" s="23"/>
      <c r="GJ925" s="23"/>
      <c r="GK925" s="23"/>
      <c r="GL925" s="23"/>
    </row>
    <row r="926" spans="1:194" ht="13">
      <c r="A926" s="23"/>
      <c r="B926" s="23"/>
      <c r="C926" s="23"/>
      <c r="D926" s="23"/>
      <c r="E926" s="23"/>
      <c r="F926" s="23"/>
      <c r="G926" s="23"/>
      <c r="H926" s="401"/>
      <c r="I926" s="401"/>
      <c r="J926" s="401"/>
      <c r="K926" s="401"/>
      <c r="L926" s="401"/>
      <c r="M926" s="438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  <c r="AL926" s="23"/>
      <c r="AM926" s="23"/>
      <c r="AN926" s="23"/>
      <c r="AO926" s="23"/>
      <c r="AP926" s="23"/>
      <c r="AQ926" s="23"/>
      <c r="AR926" s="23"/>
      <c r="AS926" s="23"/>
      <c r="AT926" s="23"/>
      <c r="AU926" s="23"/>
      <c r="AV926" s="23"/>
      <c r="AW926" s="23"/>
      <c r="AX926" s="23"/>
      <c r="AY926" s="23"/>
      <c r="AZ926" s="23"/>
      <c r="BA926" s="23"/>
      <c r="BB926" s="23"/>
      <c r="BC926" s="23"/>
      <c r="BD926" s="23"/>
      <c r="BE926" s="23"/>
      <c r="BF926" s="23"/>
      <c r="BG926" s="23"/>
      <c r="BH926" s="23"/>
      <c r="BI926" s="23"/>
      <c r="BJ926" s="23"/>
      <c r="BK926" s="23"/>
      <c r="BL926" s="23"/>
      <c r="BM926" s="23"/>
      <c r="BN926" s="23"/>
      <c r="BO926" s="23"/>
      <c r="BP926" s="23"/>
      <c r="BQ926" s="23"/>
      <c r="BR926" s="23"/>
      <c r="BS926" s="23"/>
      <c r="BT926" s="23"/>
      <c r="BU926" s="23"/>
      <c r="BV926" s="23"/>
      <c r="BW926" s="23"/>
      <c r="BX926" s="23"/>
      <c r="BY926" s="23"/>
      <c r="BZ926" s="23"/>
      <c r="CA926" s="23"/>
      <c r="CB926" s="23"/>
      <c r="CC926" s="23"/>
      <c r="CD926" s="23"/>
      <c r="CE926" s="23"/>
      <c r="CF926" s="23"/>
      <c r="CG926" s="23"/>
      <c r="CH926" s="23"/>
      <c r="CI926" s="23"/>
      <c r="CJ926" s="23"/>
      <c r="CK926" s="23"/>
      <c r="CL926" s="23"/>
      <c r="CM926" s="23"/>
      <c r="CN926" s="23"/>
      <c r="CO926" s="23"/>
      <c r="CP926" s="23"/>
      <c r="CQ926" s="23"/>
      <c r="CR926" s="23"/>
      <c r="CS926" s="23"/>
      <c r="CT926" s="23"/>
      <c r="CU926" s="23"/>
      <c r="CV926" s="23"/>
      <c r="CW926" s="23"/>
      <c r="CX926" s="23"/>
      <c r="CY926" s="23"/>
      <c r="CZ926" s="23"/>
      <c r="DA926" s="23"/>
      <c r="DB926" s="23"/>
      <c r="DC926" s="23"/>
      <c r="DD926" s="23"/>
      <c r="DE926" s="23"/>
      <c r="DF926" s="23"/>
      <c r="DG926" s="23"/>
      <c r="DH926" s="23"/>
      <c r="DI926" s="23"/>
      <c r="DJ926" s="23"/>
      <c r="DK926" s="23"/>
      <c r="DL926" s="23"/>
      <c r="DM926" s="23"/>
      <c r="DN926" s="23"/>
      <c r="DO926" s="23"/>
      <c r="DP926" s="23"/>
      <c r="DQ926" s="23"/>
      <c r="DR926" s="23"/>
      <c r="DS926" s="23"/>
      <c r="DT926" s="23"/>
      <c r="DU926" s="23"/>
      <c r="DV926" s="23"/>
      <c r="DW926" s="23"/>
      <c r="DX926" s="23"/>
      <c r="DY926" s="23"/>
      <c r="DZ926" s="23"/>
      <c r="EA926" s="23"/>
      <c r="EB926" s="23"/>
      <c r="EC926" s="23"/>
      <c r="ED926" s="23"/>
      <c r="EE926" s="23"/>
      <c r="EF926" s="23"/>
      <c r="EG926" s="23"/>
      <c r="EH926" s="23"/>
      <c r="EI926" s="23"/>
      <c r="EJ926" s="23"/>
      <c r="EK926" s="23"/>
      <c r="EL926" s="23"/>
      <c r="EM926" s="23"/>
      <c r="EN926" s="23"/>
      <c r="EO926" s="23"/>
      <c r="EP926" s="23"/>
      <c r="EQ926" s="23"/>
      <c r="ER926" s="23"/>
      <c r="ES926" s="23"/>
      <c r="ET926" s="23"/>
      <c r="EU926" s="23"/>
      <c r="EV926" s="23"/>
      <c r="EW926" s="23"/>
      <c r="EX926" s="23"/>
      <c r="EY926" s="23"/>
      <c r="EZ926" s="23"/>
      <c r="FA926" s="23"/>
      <c r="FB926" s="23"/>
      <c r="FC926" s="23"/>
      <c r="FD926" s="23"/>
      <c r="FE926" s="23"/>
      <c r="FF926" s="23"/>
      <c r="FG926" s="23"/>
      <c r="FH926" s="23"/>
      <c r="FI926" s="23"/>
      <c r="FJ926" s="23"/>
      <c r="FK926" s="23"/>
      <c r="FL926" s="23"/>
      <c r="FM926" s="23"/>
      <c r="FN926" s="23"/>
      <c r="FO926" s="23"/>
      <c r="FP926" s="23"/>
      <c r="FQ926" s="23"/>
      <c r="FR926" s="23"/>
      <c r="FS926" s="23"/>
      <c r="FT926" s="23"/>
      <c r="FU926" s="23"/>
      <c r="FV926" s="23"/>
      <c r="FW926" s="23"/>
      <c r="FX926" s="23"/>
      <c r="FY926" s="23"/>
      <c r="FZ926" s="23"/>
      <c r="GA926" s="23"/>
      <c r="GB926" s="23"/>
      <c r="GC926" s="23"/>
      <c r="GD926" s="23"/>
      <c r="GE926" s="23"/>
      <c r="GF926" s="23"/>
      <c r="GG926" s="23"/>
      <c r="GH926" s="23"/>
      <c r="GI926" s="23"/>
      <c r="GJ926" s="23"/>
      <c r="GK926" s="23"/>
      <c r="GL926" s="23"/>
    </row>
    <row r="927" spans="1:194" ht="13">
      <c r="A927" s="23"/>
      <c r="B927" s="23"/>
      <c r="C927" s="23"/>
      <c r="D927" s="23"/>
      <c r="E927" s="23"/>
      <c r="F927" s="23"/>
      <c r="G927" s="23"/>
      <c r="H927" s="401"/>
      <c r="I927" s="401"/>
      <c r="J927" s="401"/>
      <c r="K927" s="401"/>
      <c r="L927" s="401"/>
      <c r="M927" s="438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  <c r="AL927" s="23"/>
      <c r="AM927" s="23"/>
      <c r="AN927" s="23"/>
      <c r="AO927" s="23"/>
      <c r="AP927" s="23"/>
      <c r="AQ927" s="23"/>
      <c r="AR927" s="23"/>
      <c r="AS927" s="23"/>
      <c r="AT927" s="23"/>
      <c r="AU927" s="23"/>
      <c r="AV927" s="23"/>
      <c r="AW927" s="23"/>
      <c r="AX927" s="23"/>
      <c r="AY927" s="23"/>
      <c r="AZ927" s="23"/>
      <c r="BA927" s="23"/>
      <c r="BB927" s="23"/>
      <c r="BC927" s="23"/>
      <c r="BD927" s="23"/>
      <c r="BE927" s="23"/>
      <c r="BF927" s="23"/>
      <c r="BG927" s="23"/>
      <c r="BH927" s="23"/>
      <c r="BI927" s="23"/>
      <c r="BJ927" s="23"/>
      <c r="BK927" s="23"/>
      <c r="BL927" s="23"/>
      <c r="BM927" s="23"/>
      <c r="BN927" s="23"/>
      <c r="BO927" s="23"/>
      <c r="BP927" s="23"/>
      <c r="BQ927" s="23"/>
      <c r="BR927" s="23"/>
      <c r="BS927" s="23"/>
      <c r="BT927" s="23"/>
      <c r="BU927" s="23"/>
      <c r="BV927" s="23"/>
      <c r="BW927" s="23"/>
      <c r="BX927" s="23"/>
      <c r="BY927" s="23"/>
      <c r="BZ927" s="23"/>
      <c r="CA927" s="23"/>
      <c r="CB927" s="23"/>
      <c r="CC927" s="23"/>
      <c r="CD927" s="23"/>
      <c r="CE927" s="23"/>
      <c r="CF927" s="23"/>
      <c r="CG927" s="23"/>
      <c r="CH927" s="23"/>
      <c r="CI927" s="23"/>
      <c r="CJ927" s="23"/>
      <c r="CK927" s="23"/>
      <c r="CL927" s="23"/>
      <c r="CM927" s="23"/>
      <c r="CN927" s="23"/>
      <c r="CO927" s="23"/>
      <c r="CP927" s="23"/>
      <c r="CQ927" s="23"/>
      <c r="CR927" s="23"/>
      <c r="CS927" s="23"/>
      <c r="CT927" s="23"/>
      <c r="CU927" s="23"/>
      <c r="CV927" s="23"/>
      <c r="CW927" s="23"/>
      <c r="CX927" s="23"/>
      <c r="CY927" s="23"/>
      <c r="CZ927" s="23"/>
      <c r="DA927" s="23"/>
      <c r="DB927" s="23"/>
      <c r="DC927" s="23"/>
      <c r="DD927" s="23"/>
      <c r="DE927" s="23"/>
      <c r="DF927" s="23"/>
      <c r="DG927" s="23"/>
      <c r="DH927" s="23"/>
      <c r="DI927" s="23"/>
      <c r="DJ927" s="23"/>
      <c r="DK927" s="23"/>
      <c r="DL927" s="23"/>
      <c r="DM927" s="23"/>
      <c r="DN927" s="23"/>
      <c r="DO927" s="23"/>
      <c r="DP927" s="23"/>
      <c r="DQ927" s="23"/>
      <c r="DR927" s="23"/>
      <c r="DS927" s="23"/>
      <c r="DT927" s="23"/>
      <c r="DU927" s="23"/>
      <c r="DV927" s="23"/>
      <c r="DW927" s="23"/>
      <c r="DX927" s="23"/>
      <c r="DY927" s="23"/>
      <c r="DZ927" s="23"/>
      <c r="EA927" s="23"/>
      <c r="EB927" s="23"/>
      <c r="EC927" s="23"/>
      <c r="ED927" s="23"/>
      <c r="EE927" s="23"/>
      <c r="EF927" s="23"/>
      <c r="EG927" s="23"/>
      <c r="EH927" s="23"/>
      <c r="EI927" s="23"/>
      <c r="EJ927" s="23"/>
      <c r="EK927" s="23"/>
      <c r="EL927" s="23"/>
      <c r="EM927" s="23"/>
      <c r="EN927" s="23"/>
      <c r="EO927" s="23"/>
      <c r="EP927" s="23"/>
      <c r="EQ927" s="23"/>
      <c r="ER927" s="23"/>
      <c r="ES927" s="23"/>
      <c r="ET927" s="23"/>
      <c r="EU927" s="23"/>
      <c r="EV927" s="23"/>
      <c r="EW927" s="23"/>
      <c r="EX927" s="23"/>
      <c r="EY927" s="23"/>
      <c r="EZ927" s="23"/>
      <c r="FA927" s="23"/>
      <c r="FB927" s="23"/>
      <c r="FC927" s="23"/>
      <c r="FD927" s="23"/>
      <c r="FE927" s="23"/>
      <c r="FF927" s="23"/>
      <c r="FG927" s="23"/>
      <c r="FH927" s="23"/>
      <c r="FI927" s="23"/>
      <c r="FJ927" s="23"/>
      <c r="FK927" s="23"/>
      <c r="FL927" s="23"/>
      <c r="FM927" s="23"/>
      <c r="FN927" s="23"/>
      <c r="FO927" s="23"/>
      <c r="FP927" s="23"/>
      <c r="FQ927" s="23"/>
      <c r="FR927" s="23"/>
      <c r="FS927" s="23"/>
      <c r="FT927" s="23"/>
      <c r="FU927" s="23"/>
      <c r="FV927" s="23"/>
      <c r="FW927" s="23"/>
      <c r="FX927" s="23"/>
      <c r="FY927" s="23"/>
      <c r="FZ927" s="23"/>
      <c r="GA927" s="23"/>
      <c r="GB927" s="23"/>
      <c r="GC927" s="23"/>
      <c r="GD927" s="23"/>
      <c r="GE927" s="23"/>
      <c r="GF927" s="23"/>
      <c r="GG927" s="23"/>
      <c r="GH927" s="23"/>
      <c r="GI927" s="23"/>
      <c r="GJ927" s="23"/>
      <c r="GK927" s="23"/>
      <c r="GL927" s="23"/>
    </row>
    <row r="928" spans="1:194" ht="13">
      <c r="A928" s="23"/>
      <c r="B928" s="23"/>
      <c r="C928" s="23"/>
      <c r="D928" s="23"/>
      <c r="E928" s="23"/>
      <c r="F928" s="23"/>
      <c r="G928" s="23"/>
      <c r="H928" s="401"/>
      <c r="I928" s="401"/>
      <c r="J928" s="401"/>
      <c r="K928" s="401"/>
      <c r="L928" s="401"/>
      <c r="M928" s="438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  <c r="AL928" s="23"/>
      <c r="AM928" s="23"/>
      <c r="AN928" s="23"/>
      <c r="AO928" s="23"/>
      <c r="AP928" s="23"/>
      <c r="AQ928" s="23"/>
      <c r="AR928" s="23"/>
      <c r="AS928" s="23"/>
      <c r="AT928" s="23"/>
      <c r="AU928" s="23"/>
      <c r="AV928" s="23"/>
      <c r="AW928" s="23"/>
      <c r="AX928" s="23"/>
      <c r="AY928" s="23"/>
      <c r="AZ928" s="23"/>
      <c r="BA928" s="23"/>
      <c r="BB928" s="23"/>
      <c r="BC928" s="23"/>
      <c r="BD928" s="23"/>
      <c r="BE928" s="23"/>
      <c r="BF928" s="23"/>
      <c r="BG928" s="23"/>
      <c r="BH928" s="23"/>
      <c r="BI928" s="23"/>
      <c r="BJ928" s="23"/>
      <c r="BK928" s="23"/>
      <c r="BL928" s="23"/>
      <c r="BM928" s="23"/>
      <c r="BN928" s="23"/>
      <c r="BO928" s="23"/>
      <c r="BP928" s="23"/>
      <c r="BQ928" s="23"/>
      <c r="BR928" s="23"/>
      <c r="BS928" s="23"/>
      <c r="BT928" s="23"/>
      <c r="BU928" s="23"/>
      <c r="BV928" s="23"/>
      <c r="BW928" s="23"/>
      <c r="BX928" s="23"/>
      <c r="BY928" s="23"/>
      <c r="BZ928" s="23"/>
      <c r="CA928" s="23"/>
      <c r="CB928" s="23"/>
      <c r="CC928" s="23"/>
      <c r="CD928" s="23"/>
      <c r="CE928" s="23"/>
      <c r="CF928" s="23"/>
      <c r="CG928" s="23"/>
      <c r="CH928" s="23"/>
      <c r="CI928" s="23"/>
      <c r="CJ928" s="23"/>
      <c r="CK928" s="23"/>
      <c r="CL928" s="23"/>
      <c r="CM928" s="23"/>
      <c r="CN928" s="23"/>
      <c r="CO928" s="23"/>
      <c r="CP928" s="23"/>
      <c r="CQ928" s="23"/>
      <c r="CR928" s="23"/>
      <c r="CS928" s="23"/>
      <c r="CT928" s="23"/>
      <c r="CU928" s="23"/>
      <c r="CV928" s="23"/>
      <c r="CW928" s="23"/>
      <c r="CX928" s="23"/>
      <c r="CY928" s="23"/>
      <c r="CZ928" s="23"/>
      <c r="DA928" s="23"/>
      <c r="DB928" s="23"/>
      <c r="DC928" s="23"/>
      <c r="DD928" s="23"/>
      <c r="DE928" s="23"/>
      <c r="DF928" s="23"/>
      <c r="DG928" s="23"/>
      <c r="DH928" s="23"/>
      <c r="DI928" s="23"/>
      <c r="DJ928" s="23"/>
      <c r="DK928" s="23"/>
      <c r="DL928" s="23"/>
      <c r="DM928" s="23"/>
      <c r="DN928" s="23"/>
      <c r="DO928" s="23"/>
      <c r="DP928" s="23"/>
      <c r="DQ928" s="23"/>
      <c r="DR928" s="23"/>
      <c r="DS928" s="23"/>
      <c r="DT928" s="23"/>
      <c r="DU928" s="23"/>
      <c r="DV928" s="23"/>
      <c r="DW928" s="23"/>
      <c r="DX928" s="23"/>
      <c r="DY928" s="23"/>
      <c r="DZ928" s="23"/>
      <c r="EA928" s="23"/>
      <c r="EB928" s="23"/>
      <c r="EC928" s="23"/>
      <c r="ED928" s="23"/>
      <c r="EE928" s="23"/>
      <c r="EF928" s="23"/>
      <c r="EG928" s="23"/>
      <c r="EH928" s="23"/>
      <c r="EI928" s="23"/>
      <c r="EJ928" s="23"/>
      <c r="EK928" s="23"/>
      <c r="EL928" s="23"/>
      <c r="EM928" s="23"/>
      <c r="EN928" s="23"/>
      <c r="EO928" s="23"/>
      <c r="EP928" s="23"/>
      <c r="EQ928" s="23"/>
      <c r="ER928" s="23"/>
      <c r="ES928" s="23"/>
      <c r="ET928" s="23"/>
      <c r="EU928" s="23"/>
      <c r="EV928" s="23"/>
      <c r="EW928" s="23"/>
      <c r="EX928" s="23"/>
      <c r="EY928" s="23"/>
      <c r="EZ928" s="23"/>
      <c r="FA928" s="23"/>
      <c r="FB928" s="23"/>
      <c r="FC928" s="23"/>
      <c r="FD928" s="23"/>
      <c r="FE928" s="23"/>
      <c r="FF928" s="23"/>
      <c r="FG928" s="23"/>
      <c r="FH928" s="23"/>
      <c r="FI928" s="23"/>
      <c r="FJ928" s="23"/>
      <c r="FK928" s="23"/>
      <c r="FL928" s="23"/>
      <c r="FM928" s="23"/>
      <c r="FN928" s="23"/>
      <c r="FO928" s="23"/>
      <c r="FP928" s="23"/>
      <c r="FQ928" s="23"/>
      <c r="FR928" s="23"/>
      <c r="FS928" s="23"/>
      <c r="FT928" s="23"/>
      <c r="FU928" s="23"/>
      <c r="FV928" s="23"/>
      <c r="FW928" s="23"/>
      <c r="FX928" s="23"/>
      <c r="FY928" s="23"/>
      <c r="FZ928" s="23"/>
      <c r="GA928" s="23"/>
      <c r="GB928" s="23"/>
      <c r="GC928" s="23"/>
      <c r="GD928" s="23"/>
      <c r="GE928" s="23"/>
      <c r="GF928" s="23"/>
      <c r="GG928" s="23"/>
      <c r="GH928" s="23"/>
      <c r="GI928" s="23"/>
      <c r="GJ928" s="23"/>
      <c r="GK928" s="23"/>
      <c r="GL928" s="23"/>
    </row>
    <row r="929" spans="1:194" ht="13">
      <c r="A929" s="23"/>
      <c r="B929" s="23"/>
      <c r="C929" s="23"/>
      <c r="D929" s="23"/>
      <c r="E929" s="23"/>
      <c r="F929" s="23"/>
      <c r="G929" s="23"/>
      <c r="H929" s="401"/>
      <c r="I929" s="401"/>
      <c r="J929" s="401"/>
      <c r="K929" s="401"/>
      <c r="L929" s="401"/>
      <c r="M929" s="438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  <c r="AL929" s="23"/>
      <c r="AM929" s="23"/>
      <c r="AN929" s="23"/>
      <c r="AO929" s="23"/>
      <c r="AP929" s="23"/>
      <c r="AQ929" s="23"/>
      <c r="AR929" s="23"/>
      <c r="AS929" s="23"/>
      <c r="AT929" s="23"/>
      <c r="AU929" s="23"/>
      <c r="AV929" s="23"/>
      <c r="AW929" s="23"/>
      <c r="AX929" s="23"/>
      <c r="AY929" s="23"/>
      <c r="AZ929" s="23"/>
      <c r="BA929" s="23"/>
      <c r="BB929" s="23"/>
      <c r="BC929" s="23"/>
      <c r="BD929" s="23"/>
      <c r="BE929" s="23"/>
      <c r="BF929" s="23"/>
      <c r="BG929" s="23"/>
      <c r="BH929" s="23"/>
      <c r="BI929" s="23"/>
      <c r="BJ929" s="23"/>
      <c r="BK929" s="23"/>
      <c r="BL929" s="23"/>
      <c r="BM929" s="23"/>
      <c r="BN929" s="23"/>
      <c r="BO929" s="23"/>
      <c r="BP929" s="23"/>
      <c r="BQ929" s="23"/>
      <c r="BR929" s="23"/>
      <c r="BS929" s="23"/>
      <c r="BT929" s="23"/>
      <c r="BU929" s="23"/>
      <c r="BV929" s="23"/>
      <c r="BW929" s="23"/>
      <c r="BX929" s="23"/>
      <c r="BY929" s="23"/>
      <c r="BZ929" s="23"/>
      <c r="CA929" s="23"/>
      <c r="CB929" s="23"/>
      <c r="CC929" s="23"/>
      <c r="CD929" s="23"/>
      <c r="CE929" s="23"/>
      <c r="CF929" s="23"/>
      <c r="CG929" s="23"/>
      <c r="CH929" s="23"/>
      <c r="CI929" s="23"/>
      <c r="CJ929" s="23"/>
      <c r="CK929" s="23"/>
      <c r="CL929" s="23"/>
      <c r="CM929" s="23"/>
      <c r="CN929" s="23"/>
      <c r="CO929" s="23"/>
      <c r="CP929" s="23"/>
      <c r="CQ929" s="23"/>
      <c r="CR929" s="23"/>
      <c r="CS929" s="23"/>
      <c r="CT929" s="23"/>
      <c r="CU929" s="23"/>
      <c r="CV929" s="23"/>
      <c r="CW929" s="23"/>
      <c r="CX929" s="23"/>
      <c r="CY929" s="23"/>
      <c r="CZ929" s="23"/>
      <c r="DA929" s="23"/>
      <c r="DB929" s="23"/>
      <c r="DC929" s="23"/>
      <c r="DD929" s="23"/>
      <c r="DE929" s="23"/>
      <c r="DF929" s="23"/>
      <c r="DG929" s="23"/>
      <c r="DH929" s="23"/>
      <c r="DI929" s="23"/>
      <c r="DJ929" s="23"/>
      <c r="DK929" s="23"/>
      <c r="DL929" s="23"/>
      <c r="DM929" s="23"/>
      <c r="DN929" s="23"/>
      <c r="DO929" s="23"/>
      <c r="DP929" s="23"/>
      <c r="DQ929" s="23"/>
      <c r="DR929" s="23"/>
      <c r="DS929" s="23"/>
      <c r="DT929" s="23"/>
      <c r="DU929" s="23"/>
      <c r="DV929" s="23"/>
      <c r="DW929" s="23"/>
      <c r="DX929" s="23"/>
      <c r="DY929" s="23"/>
      <c r="DZ929" s="23"/>
      <c r="EA929" s="23"/>
      <c r="EB929" s="23"/>
      <c r="EC929" s="23"/>
      <c r="ED929" s="23"/>
      <c r="EE929" s="23"/>
      <c r="EF929" s="23"/>
      <c r="EG929" s="23"/>
      <c r="EH929" s="23"/>
      <c r="EI929" s="23"/>
      <c r="EJ929" s="23"/>
      <c r="EK929" s="23"/>
      <c r="EL929" s="23"/>
      <c r="EM929" s="23"/>
      <c r="EN929" s="23"/>
      <c r="EO929" s="23"/>
      <c r="EP929" s="23"/>
      <c r="EQ929" s="23"/>
      <c r="ER929" s="23"/>
      <c r="ES929" s="23"/>
      <c r="ET929" s="23"/>
      <c r="EU929" s="23"/>
      <c r="EV929" s="23"/>
      <c r="EW929" s="23"/>
      <c r="EX929" s="23"/>
      <c r="EY929" s="23"/>
      <c r="EZ929" s="23"/>
      <c r="FA929" s="23"/>
      <c r="FB929" s="23"/>
      <c r="FC929" s="23"/>
      <c r="FD929" s="23"/>
      <c r="FE929" s="23"/>
      <c r="FF929" s="23"/>
      <c r="FG929" s="23"/>
      <c r="FH929" s="23"/>
      <c r="FI929" s="23"/>
      <c r="FJ929" s="23"/>
      <c r="FK929" s="23"/>
      <c r="FL929" s="23"/>
      <c r="FM929" s="23"/>
      <c r="FN929" s="23"/>
      <c r="FO929" s="23"/>
      <c r="FP929" s="23"/>
      <c r="FQ929" s="23"/>
      <c r="FR929" s="23"/>
      <c r="FS929" s="23"/>
      <c r="FT929" s="23"/>
      <c r="FU929" s="23"/>
      <c r="FV929" s="23"/>
      <c r="FW929" s="23"/>
      <c r="FX929" s="23"/>
      <c r="FY929" s="23"/>
      <c r="FZ929" s="23"/>
      <c r="GA929" s="23"/>
      <c r="GB929" s="23"/>
      <c r="GC929" s="23"/>
      <c r="GD929" s="23"/>
      <c r="GE929" s="23"/>
      <c r="GF929" s="23"/>
      <c r="GG929" s="23"/>
      <c r="GH929" s="23"/>
      <c r="GI929" s="23"/>
      <c r="GJ929" s="23"/>
      <c r="GK929" s="23"/>
      <c r="GL929" s="23"/>
    </row>
    <row r="930" spans="1:194" ht="13">
      <c r="A930" s="23"/>
      <c r="B930" s="23"/>
      <c r="C930" s="23"/>
      <c r="D930" s="23"/>
      <c r="E930" s="23"/>
      <c r="F930" s="23"/>
      <c r="G930" s="23"/>
      <c r="H930" s="401"/>
      <c r="I930" s="401"/>
      <c r="J930" s="401"/>
      <c r="K930" s="401"/>
      <c r="L930" s="401"/>
      <c r="M930" s="438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  <c r="AL930" s="23"/>
      <c r="AM930" s="23"/>
      <c r="AN930" s="23"/>
      <c r="AO930" s="23"/>
      <c r="AP930" s="23"/>
      <c r="AQ930" s="23"/>
      <c r="AR930" s="23"/>
      <c r="AS930" s="23"/>
      <c r="AT930" s="23"/>
      <c r="AU930" s="23"/>
      <c r="AV930" s="23"/>
      <c r="AW930" s="23"/>
      <c r="AX930" s="23"/>
      <c r="AY930" s="23"/>
      <c r="AZ930" s="23"/>
      <c r="BA930" s="23"/>
      <c r="BB930" s="23"/>
      <c r="BC930" s="23"/>
      <c r="BD930" s="23"/>
      <c r="BE930" s="23"/>
      <c r="BF930" s="23"/>
      <c r="BG930" s="23"/>
      <c r="BH930" s="23"/>
      <c r="BI930" s="23"/>
      <c r="BJ930" s="23"/>
      <c r="BK930" s="23"/>
      <c r="BL930" s="23"/>
      <c r="BM930" s="23"/>
      <c r="BN930" s="23"/>
      <c r="BO930" s="23"/>
      <c r="BP930" s="23"/>
      <c r="BQ930" s="23"/>
      <c r="BR930" s="23"/>
      <c r="BS930" s="23"/>
      <c r="BT930" s="23"/>
      <c r="BU930" s="23"/>
      <c r="BV930" s="23"/>
      <c r="BW930" s="23"/>
      <c r="BX930" s="23"/>
      <c r="BY930" s="23"/>
      <c r="BZ930" s="23"/>
      <c r="CA930" s="23"/>
      <c r="CB930" s="23"/>
      <c r="CC930" s="23"/>
      <c r="CD930" s="23"/>
      <c r="CE930" s="23"/>
      <c r="CF930" s="23"/>
      <c r="CG930" s="23"/>
      <c r="CH930" s="23"/>
      <c r="CI930" s="23"/>
      <c r="CJ930" s="23"/>
      <c r="CK930" s="23"/>
      <c r="CL930" s="23"/>
      <c r="CM930" s="23"/>
      <c r="CN930" s="23"/>
      <c r="CO930" s="23"/>
      <c r="CP930" s="23"/>
      <c r="CQ930" s="23"/>
      <c r="CR930" s="23"/>
      <c r="CS930" s="23"/>
      <c r="CT930" s="23"/>
      <c r="CU930" s="23"/>
      <c r="CV930" s="23"/>
      <c r="CW930" s="23"/>
      <c r="CX930" s="23"/>
      <c r="CY930" s="23"/>
      <c r="CZ930" s="23"/>
      <c r="DA930" s="23"/>
      <c r="DB930" s="23"/>
      <c r="DC930" s="23"/>
      <c r="DD930" s="23"/>
      <c r="DE930" s="23"/>
      <c r="DF930" s="23"/>
      <c r="DG930" s="23"/>
      <c r="DH930" s="23"/>
      <c r="DI930" s="23"/>
      <c r="DJ930" s="23"/>
      <c r="DK930" s="23"/>
      <c r="DL930" s="23"/>
      <c r="DM930" s="23"/>
      <c r="DN930" s="23"/>
      <c r="DO930" s="23"/>
      <c r="DP930" s="23"/>
      <c r="DQ930" s="23"/>
      <c r="DR930" s="23"/>
      <c r="DS930" s="23"/>
      <c r="DT930" s="23"/>
      <c r="DU930" s="23"/>
      <c r="DV930" s="23"/>
      <c r="DW930" s="23"/>
      <c r="DX930" s="23"/>
      <c r="DY930" s="23"/>
      <c r="DZ930" s="23"/>
      <c r="EA930" s="23"/>
      <c r="EB930" s="23"/>
      <c r="EC930" s="23"/>
      <c r="ED930" s="23"/>
      <c r="EE930" s="23"/>
      <c r="EF930" s="23"/>
      <c r="EG930" s="23"/>
      <c r="EH930" s="23"/>
      <c r="EI930" s="23"/>
      <c r="EJ930" s="23"/>
      <c r="EK930" s="23"/>
      <c r="EL930" s="23"/>
      <c r="EM930" s="23"/>
      <c r="EN930" s="23"/>
      <c r="EO930" s="23"/>
      <c r="EP930" s="23"/>
      <c r="EQ930" s="23"/>
      <c r="ER930" s="23"/>
      <c r="ES930" s="23"/>
      <c r="ET930" s="23"/>
      <c r="EU930" s="23"/>
      <c r="EV930" s="23"/>
      <c r="EW930" s="23"/>
      <c r="EX930" s="23"/>
      <c r="EY930" s="23"/>
      <c r="EZ930" s="23"/>
      <c r="FA930" s="23"/>
      <c r="FB930" s="23"/>
      <c r="FC930" s="23"/>
      <c r="FD930" s="23"/>
      <c r="FE930" s="23"/>
      <c r="FF930" s="23"/>
      <c r="FG930" s="23"/>
      <c r="FH930" s="23"/>
      <c r="FI930" s="23"/>
      <c r="FJ930" s="23"/>
      <c r="FK930" s="23"/>
      <c r="FL930" s="23"/>
      <c r="FM930" s="23"/>
      <c r="FN930" s="23"/>
      <c r="FO930" s="23"/>
      <c r="FP930" s="23"/>
      <c r="FQ930" s="23"/>
      <c r="FR930" s="23"/>
      <c r="FS930" s="23"/>
      <c r="FT930" s="23"/>
      <c r="FU930" s="23"/>
      <c r="FV930" s="23"/>
      <c r="FW930" s="23"/>
      <c r="FX930" s="23"/>
      <c r="FY930" s="23"/>
      <c r="FZ930" s="23"/>
      <c r="GA930" s="23"/>
      <c r="GB930" s="23"/>
      <c r="GC930" s="23"/>
      <c r="GD930" s="23"/>
      <c r="GE930" s="23"/>
      <c r="GF930" s="23"/>
      <c r="GG930" s="23"/>
      <c r="GH930" s="23"/>
      <c r="GI930" s="23"/>
      <c r="GJ930" s="23"/>
      <c r="GK930" s="23"/>
      <c r="GL930" s="23"/>
    </row>
    <row r="931" spans="1:194" ht="13">
      <c r="A931" s="23"/>
      <c r="B931" s="23"/>
      <c r="C931" s="23"/>
      <c r="D931" s="23"/>
      <c r="E931" s="23"/>
      <c r="F931" s="23"/>
      <c r="G931" s="23"/>
      <c r="H931" s="401"/>
      <c r="I931" s="401"/>
      <c r="J931" s="401"/>
      <c r="K931" s="401"/>
      <c r="L931" s="401"/>
      <c r="M931" s="438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  <c r="AL931" s="23"/>
      <c r="AM931" s="23"/>
      <c r="AN931" s="23"/>
      <c r="AO931" s="23"/>
      <c r="AP931" s="23"/>
      <c r="AQ931" s="23"/>
      <c r="AR931" s="23"/>
      <c r="AS931" s="23"/>
      <c r="AT931" s="23"/>
      <c r="AU931" s="23"/>
      <c r="AV931" s="23"/>
      <c r="AW931" s="23"/>
      <c r="AX931" s="23"/>
      <c r="AY931" s="23"/>
      <c r="AZ931" s="23"/>
      <c r="BA931" s="23"/>
      <c r="BB931" s="23"/>
      <c r="BC931" s="23"/>
      <c r="BD931" s="23"/>
      <c r="BE931" s="23"/>
      <c r="BF931" s="23"/>
      <c r="BG931" s="23"/>
      <c r="BH931" s="23"/>
      <c r="BI931" s="23"/>
      <c r="BJ931" s="23"/>
      <c r="BK931" s="23"/>
      <c r="BL931" s="23"/>
      <c r="BM931" s="23"/>
      <c r="BN931" s="23"/>
      <c r="BO931" s="23"/>
      <c r="BP931" s="23"/>
      <c r="BQ931" s="23"/>
      <c r="BR931" s="23"/>
      <c r="BS931" s="23"/>
      <c r="BT931" s="23"/>
      <c r="BU931" s="23"/>
      <c r="BV931" s="23"/>
      <c r="BW931" s="23"/>
      <c r="BX931" s="23"/>
      <c r="BY931" s="23"/>
      <c r="BZ931" s="23"/>
      <c r="CA931" s="23"/>
      <c r="CB931" s="23"/>
      <c r="CC931" s="23"/>
      <c r="CD931" s="23"/>
      <c r="CE931" s="23"/>
      <c r="CF931" s="23"/>
      <c r="CG931" s="23"/>
      <c r="CH931" s="23"/>
      <c r="CI931" s="23"/>
      <c r="CJ931" s="23"/>
      <c r="CK931" s="23"/>
      <c r="CL931" s="23"/>
      <c r="CM931" s="23"/>
      <c r="CN931" s="23"/>
      <c r="CO931" s="23"/>
      <c r="CP931" s="23"/>
      <c r="CQ931" s="23"/>
      <c r="CR931" s="23"/>
      <c r="CS931" s="23"/>
      <c r="CT931" s="23"/>
      <c r="CU931" s="23"/>
      <c r="CV931" s="23"/>
      <c r="CW931" s="23"/>
      <c r="CX931" s="23"/>
      <c r="CY931" s="23"/>
      <c r="CZ931" s="23"/>
      <c r="DA931" s="23"/>
      <c r="DB931" s="23"/>
      <c r="DC931" s="23"/>
      <c r="DD931" s="23"/>
      <c r="DE931" s="23"/>
      <c r="DF931" s="23"/>
      <c r="DG931" s="23"/>
      <c r="DH931" s="23"/>
      <c r="DI931" s="23"/>
      <c r="DJ931" s="23"/>
      <c r="DK931" s="23"/>
      <c r="DL931" s="23"/>
      <c r="DM931" s="23"/>
      <c r="DN931" s="23"/>
      <c r="DO931" s="23"/>
      <c r="DP931" s="23"/>
      <c r="DQ931" s="23"/>
      <c r="DR931" s="23"/>
      <c r="DS931" s="23"/>
      <c r="DT931" s="23"/>
      <c r="DU931" s="23"/>
      <c r="DV931" s="23"/>
      <c r="DW931" s="23"/>
      <c r="DX931" s="23"/>
      <c r="DY931" s="23"/>
      <c r="DZ931" s="23"/>
      <c r="EA931" s="23"/>
      <c r="EB931" s="23"/>
      <c r="EC931" s="23"/>
      <c r="ED931" s="23"/>
      <c r="EE931" s="23"/>
      <c r="EF931" s="23"/>
      <c r="EG931" s="23"/>
      <c r="EH931" s="23"/>
      <c r="EI931" s="23"/>
      <c r="EJ931" s="23"/>
      <c r="EK931" s="23"/>
      <c r="EL931" s="23"/>
      <c r="EM931" s="23"/>
      <c r="EN931" s="23"/>
      <c r="EO931" s="23"/>
      <c r="EP931" s="23"/>
      <c r="EQ931" s="23"/>
      <c r="ER931" s="23"/>
      <c r="ES931" s="23"/>
      <c r="ET931" s="23"/>
      <c r="EU931" s="23"/>
      <c r="EV931" s="23"/>
      <c r="EW931" s="23"/>
      <c r="EX931" s="23"/>
      <c r="EY931" s="23"/>
      <c r="EZ931" s="23"/>
      <c r="FA931" s="23"/>
      <c r="FB931" s="23"/>
      <c r="FC931" s="23"/>
      <c r="FD931" s="23"/>
      <c r="FE931" s="23"/>
      <c r="FF931" s="23"/>
      <c r="FG931" s="23"/>
      <c r="FH931" s="23"/>
      <c r="FI931" s="23"/>
      <c r="FJ931" s="23"/>
      <c r="FK931" s="23"/>
      <c r="FL931" s="23"/>
      <c r="FM931" s="23"/>
      <c r="FN931" s="23"/>
      <c r="FO931" s="23"/>
      <c r="FP931" s="23"/>
      <c r="FQ931" s="23"/>
      <c r="FR931" s="23"/>
      <c r="FS931" s="23"/>
      <c r="FT931" s="23"/>
      <c r="FU931" s="23"/>
      <c r="FV931" s="23"/>
      <c r="FW931" s="23"/>
      <c r="FX931" s="23"/>
      <c r="FY931" s="23"/>
      <c r="FZ931" s="23"/>
      <c r="GA931" s="23"/>
      <c r="GB931" s="23"/>
      <c r="GC931" s="23"/>
      <c r="GD931" s="23"/>
      <c r="GE931" s="23"/>
      <c r="GF931" s="23"/>
      <c r="GG931" s="23"/>
      <c r="GH931" s="23"/>
      <c r="GI931" s="23"/>
      <c r="GJ931" s="23"/>
      <c r="GK931" s="23"/>
      <c r="GL931" s="23"/>
    </row>
    <row r="932" spans="1:194" ht="13">
      <c r="A932" s="23"/>
      <c r="B932" s="23"/>
      <c r="C932" s="23"/>
      <c r="D932" s="23"/>
      <c r="E932" s="23"/>
      <c r="F932" s="23"/>
      <c r="G932" s="23"/>
      <c r="H932" s="401"/>
      <c r="I932" s="401"/>
      <c r="J932" s="401"/>
      <c r="K932" s="401"/>
      <c r="L932" s="401"/>
      <c r="M932" s="438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  <c r="AL932" s="23"/>
      <c r="AM932" s="23"/>
      <c r="AN932" s="23"/>
      <c r="AO932" s="23"/>
      <c r="AP932" s="23"/>
      <c r="AQ932" s="23"/>
      <c r="AR932" s="23"/>
      <c r="AS932" s="23"/>
      <c r="AT932" s="23"/>
      <c r="AU932" s="23"/>
      <c r="AV932" s="23"/>
      <c r="AW932" s="23"/>
      <c r="AX932" s="23"/>
      <c r="AY932" s="23"/>
      <c r="AZ932" s="23"/>
      <c r="BA932" s="23"/>
      <c r="BB932" s="23"/>
      <c r="BC932" s="23"/>
      <c r="BD932" s="23"/>
      <c r="BE932" s="23"/>
      <c r="BF932" s="23"/>
      <c r="BG932" s="23"/>
      <c r="BH932" s="23"/>
      <c r="BI932" s="23"/>
      <c r="BJ932" s="23"/>
      <c r="BK932" s="23"/>
      <c r="BL932" s="23"/>
      <c r="BM932" s="23"/>
      <c r="BN932" s="23"/>
      <c r="BO932" s="23"/>
      <c r="BP932" s="23"/>
      <c r="BQ932" s="23"/>
      <c r="BR932" s="23"/>
      <c r="BS932" s="23"/>
      <c r="BT932" s="23"/>
      <c r="BU932" s="23"/>
      <c r="BV932" s="23"/>
      <c r="BW932" s="23"/>
      <c r="BX932" s="23"/>
      <c r="BY932" s="23"/>
      <c r="BZ932" s="23"/>
      <c r="CA932" s="23"/>
      <c r="CB932" s="23"/>
      <c r="CC932" s="23"/>
      <c r="CD932" s="23"/>
      <c r="CE932" s="23"/>
      <c r="CF932" s="23"/>
      <c r="CG932" s="23"/>
      <c r="CH932" s="23"/>
      <c r="CI932" s="23"/>
      <c r="CJ932" s="23"/>
      <c r="CK932" s="23"/>
      <c r="CL932" s="23"/>
      <c r="CM932" s="23"/>
      <c r="CN932" s="23"/>
      <c r="CO932" s="23"/>
      <c r="CP932" s="23"/>
      <c r="CQ932" s="23"/>
      <c r="CR932" s="23"/>
      <c r="CS932" s="23"/>
      <c r="CT932" s="23"/>
      <c r="CU932" s="23"/>
      <c r="CV932" s="23"/>
      <c r="CW932" s="23"/>
      <c r="CX932" s="23"/>
      <c r="CY932" s="23"/>
      <c r="CZ932" s="23"/>
      <c r="DA932" s="23"/>
      <c r="DB932" s="23"/>
      <c r="DC932" s="23"/>
      <c r="DD932" s="23"/>
      <c r="DE932" s="23"/>
      <c r="DF932" s="23"/>
      <c r="DG932" s="23"/>
      <c r="DH932" s="23"/>
      <c r="DI932" s="23"/>
      <c r="DJ932" s="23"/>
      <c r="DK932" s="23"/>
      <c r="DL932" s="23"/>
      <c r="DM932" s="23"/>
      <c r="DN932" s="23"/>
      <c r="DO932" s="23"/>
      <c r="DP932" s="23"/>
      <c r="DQ932" s="23"/>
      <c r="DR932" s="23"/>
      <c r="DS932" s="23"/>
      <c r="DT932" s="23"/>
      <c r="DU932" s="23"/>
      <c r="DV932" s="23"/>
      <c r="DW932" s="23"/>
      <c r="DX932" s="23"/>
      <c r="DY932" s="23"/>
      <c r="DZ932" s="23"/>
      <c r="EA932" s="23"/>
      <c r="EB932" s="23"/>
      <c r="EC932" s="23"/>
      <c r="ED932" s="23"/>
      <c r="EE932" s="23"/>
      <c r="EF932" s="23"/>
      <c r="EG932" s="23"/>
      <c r="EH932" s="23"/>
      <c r="EI932" s="23"/>
      <c r="EJ932" s="23"/>
      <c r="EK932" s="23"/>
      <c r="EL932" s="23"/>
      <c r="EM932" s="23"/>
      <c r="EN932" s="23"/>
      <c r="EO932" s="23"/>
      <c r="EP932" s="23"/>
      <c r="EQ932" s="23"/>
      <c r="ER932" s="23"/>
      <c r="ES932" s="23"/>
      <c r="ET932" s="23"/>
      <c r="EU932" s="23"/>
      <c r="EV932" s="23"/>
      <c r="EW932" s="23"/>
      <c r="EX932" s="23"/>
      <c r="EY932" s="23"/>
      <c r="EZ932" s="23"/>
      <c r="FA932" s="23"/>
      <c r="FB932" s="23"/>
      <c r="FC932" s="23"/>
      <c r="FD932" s="23"/>
      <c r="FE932" s="23"/>
      <c r="FF932" s="23"/>
      <c r="FG932" s="23"/>
      <c r="FH932" s="23"/>
      <c r="FI932" s="23"/>
      <c r="FJ932" s="23"/>
      <c r="FK932" s="23"/>
      <c r="FL932" s="23"/>
      <c r="FM932" s="23"/>
      <c r="FN932" s="23"/>
      <c r="FO932" s="23"/>
      <c r="FP932" s="23"/>
      <c r="FQ932" s="23"/>
      <c r="FR932" s="23"/>
      <c r="FS932" s="23"/>
      <c r="FT932" s="23"/>
      <c r="FU932" s="23"/>
      <c r="FV932" s="23"/>
      <c r="FW932" s="23"/>
      <c r="FX932" s="23"/>
      <c r="FY932" s="23"/>
      <c r="FZ932" s="23"/>
      <c r="GA932" s="23"/>
      <c r="GB932" s="23"/>
      <c r="GC932" s="23"/>
      <c r="GD932" s="23"/>
      <c r="GE932" s="23"/>
      <c r="GF932" s="23"/>
      <c r="GG932" s="23"/>
      <c r="GH932" s="23"/>
      <c r="GI932" s="23"/>
      <c r="GJ932" s="23"/>
      <c r="GK932" s="23"/>
      <c r="GL932" s="23"/>
    </row>
    <row r="933" spans="1:194" ht="13">
      <c r="A933" s="23"/>
      <c r="B933" s="23"/>
      <c r="C933" s="23"/>
      <c r="D933" s="23"/>
      <c r="E933" s="23"/>
      <c r="F933" s="23"/>
      <c r="G933" s="23"/>
      <c r="H933" s="401"/>
      <c r="I933" s="401"/>
      <c r="J933" s="401"/>
      <c r="K933" s="401"/>
      <c r="L933" s="401"/>
      <c r="M933" s="438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  <c r="AL933" s="23"/>
      <c r="AM933" s="23"/>
      <c r="AN933" s="23"/>
      <c r="AO933" s="23"/>
      <c r="AP933" s="23"/>
      <c r="AQ933" s="23"/>
      <c r="AR933" s="23"/>
      <c r="AS933" s="23"/>
      <c r="AT933" s="23"/>
      <c r="AU933" s="23"/>
      <c r="AV933" s="23"/>
      <c r="AW933" s="23"/>
      <c r="AX933" s="23"/>
      <c r="AY933" s="23"/>
      <c r="AZ933" s="23"/>
      <c r="BA933" s="23"/>
      <c r="BB933" s="23"/>
      <c r="BC933" s="23"/>
      <c r="BD933" s="23"/>
      <c r="BE933" s="23"/>
      <c r="BF933" s="23"/>
      <c r="BG933" s="23"/>
      <c r="BH933" s="23"/>
      <c r="BI933" s="23"/>
      <c r="BJ933" s="23"/>
      <c r="BK933" s="23"/>
      <c r="BL933" s="23"/>
      <c r="BM933" s="23"/>
      <c r="BN933" s="23"/>
      <c r="BO933" s="23"/>
      <c r="BP933" s="23"/>
      <c r="BQ933" s="23"/>
      <c r="BR933" s="23"/>
      <c r="BS933" s="23"/>
      <c r="BT933" s="23"/>
      <c r="BU933" s="23"/>
      <c r="BV933" s="23"/>
      <c r="BW933" s="23"/>
      <c r="BX933" s="23"/>
      <c r="BY933" s="23"/>
      <c r="BZ933" s="23"/>
      <c r="CA933" s="23"/>
      <c r="CB933" s="23"/>
      <c r="CC933" s="23"/>
      <c r="CD933" s="23"/>
      <c r="CE933" s="23"/>
      <c r="CF933" s="23"/>
      <c r="CG933" s="23"/>
      <c r="CH933" s="23"/>
      <c r="CI933" s="23"/>
      <c r="CJ933" s="23"/>
      <c r="CK933" s="23"/>
      <c r="CL933" s="23"/>
      <c r="CM933" s="23"/>
      <c r="CN933" s="23"/>
      <c r="CO933" s="23"/>
      <c r="CP933" s="23"/>
      <c r="CQ933" s="23"/>
      <c r="CR933" s="23"/>
      <c r="CS933" s="23"/>
      <c r="CT933" s="23"/>
      <c r="CU933" s="23"/>
      <c r="CV933" s="23"/>
      <c r="CW933" s="23"/>
      <c r="CX933" s="23"/>
      <c r="CY933" s="23"/>
      <c r="CZ933" s="23"/>
      <c r="DA933" s="23"/>
      <c r="DB933" s="23"/>
      <c r="DC933" s="23"/>
      <c r="DD933" s="23"/>
      <c r="DE933" s="23"/>
      <c r="DF933" s="23"/>
      <c r="DG933" s="23"/>
      <c r="DH933" s="23"/>
      <c r="DI933" s="23"/>
      <c r="DJ933" s="23"/>
      <c r="DK933" s="23"/>
      <c r="DL933" s="23"/>
      <c r="DM933" s="23"/>
      <c r="DN933" s="23"/>
      <c r="DO933" s="23"/>
      <c r="DP933" s="23"/>
      <c r="DQ933" s="23"/>
      <c r="DR933" s="23"/>
      <c r="DS933" s="23"/>
      <c r="DT933" s="23"/>
      <c r="DU933" s="23"/>
      <c r="DV933" s="23"/>
      <c r="DW933" s="23"/>
      <c r="DX933" s="23"/>
      <c r="DY933" s="23"/>
      <c r="DZ933" s="23"/>
      <c r="EA933" s="23"/>
      <c r="EB933" s="23"/>
      <c r="EC933" s="23"/>
      <c r="ED933" s="23"/>
      <c r="EE933" s="23"/>
      <c r="EF933" s="23"/>
      <c r="EG933" s="23"/>
      <c r="EH933" s="23"/>
      <c r="EI933" s="23"/>
      <c r="EJ933" s="23"/>
      <c r="EK933" s="23"/>
      <c r="EL933" s="23"/>
      <c r="EM933" s="23"/>
      <c r="EN933" s="23"/>
      <c r="EO933" s="23"/>
      <c r="EP933" s="23"/>
      <c r="EQ933" s="23"/>
      <c r="ER933" s="23"/>
      <c r="ES933" s="23"/>
      <c r="ET933" s="23"/>
      <c r="EU933" s="23"/>
      <c r="EV933" s="23"/>
      <c r="EW933" s="23"/>
      <c r="EX933" s="23"/>
      <c r="EY933" s="23"/>
      <c r="EZ933" s="23"/>
      <c r="FA933" s="23"/>
      <c r="FB933" s="23"/>
      <c r="FC933" s="23"/>
      <c r="FD933" s="23"/>
      <c r="FE933" s="23"/>
      <c r="FF933" s="23"/>
      <c r="FG933" s="23"/>
      <c r="FH933" s="23"/>
      <c r="FI933" s="23"/>
      <c r="FJ933" s="23"/>
      <c r="FK933" s="23"/>
      <c r="FL933" s="23"/>
      <c r="FM933" s="23"/>
      <c r="FN933" s="23"/>
      <c r="FO933" s="23"/>
      <c r="FP933" s="23"/>
      <c r="FQ933" s="23"/>
      <c r="FR933" s="23"/>
      <c r="FS933" s="23"/>
      <c r="FT933" s="23"/>
      <c r="FU933" s="23"/>
      <c r="FV933" s="23"/>
      <c r="FW933" s="23"/>
      <c r="FX933" s="23"/>
      <c r="FY933" s="23"/>
      <c r="FZ933" s="23"/>
      <c r="GA933" s="23"/>
      <c r="GB933" s="23"/>
      <c r="GC933" s="23"/>
      <c r="GD933" s="23"/>
      <c r="GE933" s="23"/>
      <c r="GF933" s="23"/>
      <c r="GG933" s="23"/>
      <c r="GH933" s="23"/>
      <c r="GI933" s="23"/>
      <c r="GJ933" s="23"/>
      <c r="GK933" s="23"/>
      <c r="GL933" s="23"/>
    </row>
    <row r="934" spans="1:194" ht="13">
      <c r="A934" s="23"/>
      <c r="B934" s="23"/>
      <c r="C934" s="23"/>
      <c r="D934" s="23"/>
      <c r="E934" s="23"/>
      <c r="F934" s="23"/>
      <c r="G934" s="23"/>
      <c r="H934" s="401"/>
      <c r="I934" s="401"/>
      <c r="J934" s="401"/>
      <c r="K934" s="401"/>
      <c r="L934" s="401"/>
      <c r="M934" s="438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  <c r="AL934" s="23"/>
      <c r="AM934" s="23"/>
      <c r="AN934" s="23"/>
      <c r="AO934" s="23"/>
      <c r="AP934" s="23"/>
      <c r="AQ934" s="23"/>
      <c r="AR934" s="23"/>
      <c r="AS934" s="23"/>
      <c r="AT934" s="23"/>
      <c r="AU934" s="23"/>
      <c r="AV934" s="23"/>
      <c r="AW934" s="23"/>
      <c r="AX934" s="23"/>
      <c r="AY934" s="23"/>
      <c r="AZ934" s="23"/>
      <c r="BA934" s="23"/>
      <c r="BB934" s="23"/>
      <c r="BC934" s="23"/>
      <c r="BD934" s="23"/>
      <c r="BE934" s="23"/>
      <c r="BF934" s="23"/>
      <c r="BG934" s="23"/>
      <c r="BH934" s="23"/>
      <c r="BI934" s="23"/>
      <c r="BJ934" s="23"/>
      <c r="BK934" s="23"/>
      <c r="BL934" s="23"/>
      <c r="BM934" s="23"/>
      <c r="BN934" s="23"/>
      <c r="BO934" s="23"/>
      <c r="BP934" s="23"/>
      <c r="BQ934" s="23"/>
      <c r="BR934" s="23"/>
      <c r="BS934" s="23"/>
      <c r="BT934" s="23"/>
      <c r="BU934" s="23"/>
      <c r="BV934" s="23"/>
      <c r="BW934" s="23"/>
      <c r="BX934" s="23"/>
      <c r="BY934" s="23"/>
      <c r="BZ934" s="23"/>
      <c r="CA934" s="23"/>
      <c r="CB934" s="23"/>
      <c r="CC934" s="23"/>
      <c r="CD934" s="23"/>
      <c r="CE934" s="23"/>
      <c r="CF934" s="23"/>
      <c r="CG934" s="23"/>
      <c r="CH934" s="23"/>
      <c r="CI934" s="23"/>
      <c r="CJ934" s="23"/>
      <c r="CK934" s="23"/>
      <c r="CL934" s="23"/>
      <c r="CM934" s="23"/>
      <c r="CN934" s="23"/>
      <c r="CO934" s="23"/>
      <c r="CP934" s="23"/>
      <c r="CQ934" s="23"/>
      <c r="CR934" s="23"/>
      <c r="CS934" s="23"/>
      <c r="CT934" s="23"/>
      <c r="CU934" s="23"/>
      <c r="CV934" s="23"/>
      <c r="CW934" s="23"/>
      <c r="CX934" s="23"/>
      <c r="CY934" s="23"/>
      <c r="CZ934" s="23"/>
      <c r="DA934" s="23"/>
      <c r="DB934" s="23"/>
      <c r="DC934" s="23"/>
      <c r="DD934" s="23"/>
      <c r="DE934" s="23"/>
      <c r="DF934" s="23"/>
      <c r="DG934" s="23"/>
      <c r="DH934" s="23"/>
      <c r="DI934" s="23"/>
      <c r="DJ934" s="23"/>
      <c r="DK934" s="23"/>
      <c r="DL934" s="23"/>
      <c r="DM934" s="23"/>
      <c r="DN934" s="23"/>
      <c r="DO934" s="23"/>
      <c r="DP934" s="23"/>
      <c r="DQ934" s="23"/>
      <c r="DR934" s="23"/>
      <c r="DS934" s="23"/>
      <c r="DT934" s="23"/>
      <c r="DU934" s="23"/>
      <c r="DV934" s="23"/>
      <c r="DW934" s="23"/>
      <c r="DX934" s="23"/>
      <c r="DY934" s="23"/>
      <c r="DZ934" s="23"/>
      <c r="EA934" s="23"/>
      <c r="EB934" s="23"/>
      <c r="EC934" s="23"/>
      <c r="ED934" s="23"/>
      <c r="EE934" s="23"/>
      <c r="EF934" s="23"/>
      <c r="EG934" s="23"/>
      <c r="EH934" s="23"/>
      <c r="EI934" s="23"/>
      <c r="EJ934" s="23"/>
      <c r="EK934" s="23"/>
      <c r="EL934" s="23"/>
      <c r="EM934" s="23"/>
      <c r="EN934" s="23"/>
      <c r="EO934" s="23"/>
      <c r="EP934" s="23"/>
      <c r="EQ934" s="23"/>
      <c r="ER934" s="23"/>
      <c r="ES934" s="23"/>
      <c r="ET934" s="23"/>
      <c r="EU934" s="23"/>
      <c r="EV934" s="23"/>
      <c r="EW934" s="23"/>
      <c r="EX934" s="23"/>
      <c r="EY934" s="23"/>
      <c r="EZ934" s="23"/>
      <c r="FA934" s="23"/>
      <c r="FB934" s="23"/>
      <c r="FC934" s="23"/>
      <c r="FD934" s="23"/>
      <c r="FE934" s="23"/>
      <c r="FF934" s="23"/>
      <c r="FG934" s="23"/>
      <c r="FH934" s="23"/>
      <c r="FI934" s="23"/>
      <c r="FJ934" s="23"/>
      <c r="FK934" s="23"/>
      <c r="FL934" s="23"/>
      <c r="FM934" s="23"/>
      <c r="FN934" s="23"/>
      <c r="FO934" s="23"/>
      <c r="FP934" s="23"/>
      <c r="FQ934" s="23"/>
      <c r="FR934" s="23"/>
      <c r="FS934" s="23"/>
      <c r="FT934" s="23"/>
      <c r="FU934" s="23"/>
      <c r="FV934" s="23"/>
      <c r="FW934" s="23"/>
      <c r="FX934" s="23"/>
      <c r="FY934" s="23"/>
      <c r="FZ934" s="23"/>
      <c r="GA934" s="23"/>
      <c r="GB934" s="23"/>
      <c r="GC934" s="23"/>
      <c r="GD934" s="23"/>
      <c r="GE934" s="23"/>
      <c r="GF934" s="23"/>
      <c r="GG934" s="23"/>
      <c r="GH934" s="23"/>
      <c r="GI934" s="23"/>
      <c r="GJ934" s="23"/>
      <c r="GK934" s="23"/>
      <c r="GL934" s="23"/>
    </row>
    <row r="935" spans="1:194" ht="13">
      <c r="A935" s="23"/>
      <c r="B935" s="23"/>
      <c r="C935" s="23"/>
      <c r="D935" s="23"/>
      <c r="E935" s="23"/>
      <c r="F935" s="23"/>
      <c r="G935" s="23"/>
      <c r="H935" s="401"/>
      <c r="I935" s="401"/>
      <c r="J935" s="401"/>
      <c r="K935" s="401"/>
      <c r="L935" s="401"/>
      <c r="M935" s="438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  <c r="AL935" s="23"/>
      <c r="AM935" s="23"/>
      <c r="AN935" s="23"/>
      <c r="AO935" s="23"/>
      <c r="AP935" s="23"/>
      <c r="AQ935" s="23"/>
      <c r="AR935" s="23"/>
      <c r="AS935" s="23"/>
      <c r="AT935" s="23"/>
      <c r="AU935" s="23"/>
      <c r="AV935" s="23"/>
      <c r="AW935" s="23"/>
      <c r="AX935" s="23"/>
      <c r="AY935" s="23"/>
      <c r="AZ935" s="23"/>
      <c r="BA935" s="23"/>
      <c r="BB935" s="23"/>
      <c r="BC935" s="23"/>
      <c r="BD935" s="23"/>
      <c r="BE935" s="23"/>
      <c r="BF935" s="23"/>
      <c r="BG935" s="23"/>
      <c r="BH935" s="23"/>
      <c r="BI935" s="23"/>
      <c r="BJ935" s="23"/>
      <c r="BK935" s="23"/>
      <c r="BL935" s="23"/>
      <c r="BM935" s="23"/>
      <c r="BN935" s="23"/>
      <c r="BO935" s="23"/>
      <c r="BP935" s="23"/>
      <c r="BQ935" s="23"/>
      <c r="BR935" s="23"/>
      <c r="BS935" s="23"/>
      <c r="BT935" s="23"/>
      <c r="BU935" s="23"/>
      <c r="BV935" s="23"/>
      <c r="BW935" s="23"/>
      <c r="BX935" s="23"/>
      <c r="BY935" s="23"/>
      <c r="BZ935" s="23"/>
      <c r="CA935" s="23"/>
      <c r="CB935" s="23"/>
      <c r="CC935" s="23"/>
      <c r="CD935" s="23"/>
      <c r="CE935" s="23"/>
      <c r="CF935" s="23"/>
      <c r="CG935" s="23"/>
      <c r="CH935" s="23"/>
      <c r="CI935" s="23"/>
      <c r="CJ935" s="23"/>
      <c r="CK935" s="23"/>
      <c r="CL935" s="23"/>
      <c r="CM935" s="23"/>
      <c r="CN935" s="23"/>
      <c r="CO935" s="23"/>
      <c r="CP935" s="23"/>
      <c r="CQ935" s="23"/>
      <c r="CR935" s="23"/>
      <c r="CS935" s="23"/>
      <c r="CT935" s="23"/>
      <c r="CU935" s="23"/>
      <c r="CV935" s="23"/>
      <c r="CW935" s="23"/>
      <c r="CX935" s="23"/>
      <c r="CY935" s="23"/>
      <c r="CZ935" s="23"/>
      <c r="DA935" s="23"/>
      <c r="DB935" s="23"/>
      <c r="DC935" s="23"/>
      <c r="DD935" s="23"/>
      <c r="DE935" s="23"/>
      <c r="DF935" s="23"/>
      <c r="DG935" s="23"/>
      <c r="DH935" s="23"/>
      <c r="DI935" s="23"/>
      <c r="DJ935" s="23"/>
      <c r="DK935" s="23"/>
      <c r="DL935" s="23"/>
      <c r="DM935" s="23"/>
      <c r="DN935" s="23"/>
      <c r="DO935" s="23"/>
      <c r="DP935" s="23"/>
      <c r="DQ935" s="23"/>
      <c r="DR935" s="23"/>
      <c r="DS935" s="23"/>
      <c r="DT935" s="23"/>
      <c r="DU935" s="23"/>
      <c r="DV935" s="23"/>
      <c r="DW935" s="23"/>
      <c r="DX935" s="23"/>
      <c r="DY935" s="23"/>
      <c r="DZ935" s="23"/>
      <c r="EA935" s="23"/>
      <c r="EB935" s="23"/>
      <c r="EC935" s="23"/>
      <c r="ED935" s="23"/>
      <c r="EE935" s="23"/>
      <c r="EF935" s="23"/>
      <c r="EG935" s="23"/>
      <c r="EH935" s="23"/>
      <c r="EI935" s="23"/>
      <c r="EJ935" s="23"/>
      <c r="EK935" s="23"/>
      <c r="EL935" s="23"/>
      <c r="EM935" s="23"/>
      <c r="EN935" s="23"/>
      <c r="EO935" s="23"/>
      <c r="EP935" s="23"/>
      <c r="EQ935" s="23"/>
      <c r="ER935" s="23"/>
      <c r="ES935" s="23"/>
      <c r="ET935" s="23"/>
      <c r="EU935" s="23"/>
      <c r="EV935" s="23"/>
      <c r="EW935" s="23"/>
      <c r="EX935" s="23"/>
      <c r="EY935" s="23"/>
      <c r="EZ935" s="23"/>
      <c r="FA935" s="23"/>
      <c r="FB935" s="23"/>
      <c r="FC935" s="23"/>
      <c r="FD935" s="23"/>
      <c r="FE935" s="23"/>
      <c r="FF935" s="23"/>
      <c r="FG935" s="23"/>
      <c r="FH935" s="23"/>
      <c r="FI935" s="23"/>
      <c r="FJ935" s="23"/>
      <c r="FK935" s="23"/>
      <c r="FL935" s="23"/>
      <c r="FM935" s="23"/>
      <c r="FN935" s="23"/>
      <c r="FO935" s="23"/>
      <c r="FP935" s="23"/>
      <c r="FQ935" s="23"/>
      <c r="FR935" s="23"/>
      <c r="FS935" s="23"/>
      <c r="FT935" s="23"/>
      <c r="FU935" s="23"/>
      <c r="FV935" s="23"/>
      <c r="FW935" s="23"/>
      <c r="FX935" s="23"/>
      <c r="FY935" s="23"/>
      <c r="FZ935" s="23"/>
      <c r="GA935" s="23"/>
      <c r="GB935" s="23"/>
      <c r="GC935" s="23"/>
      <c r="GD935" s="23"/>
      <c r="GE935" s="23"/>
      <c r="GF935" s="23"/>
      <c r="GG935" s="23"/>
      <c r="GH935" s="23"/>
      <c r="GI935" s="23"/>
      <c r="GJ935" s="23"/>
      <c r="GK935" s="23"/>
      <c r="GL935" s="23"/>
    </row>
    <row r="936" spans="1:194" ht="13">
      <c r="A936" s="23"/>
      <c r="B936" s="23"/>
      <c r="C936" s="23"/>
      <c r="D936" s="23"/>
      <c r="E936" s="23"/>
      <c r="F936" s="23"/>
      <c r="G936" s="23"/>
      <c r="H936" s="401"/>
      <c r="I936" s="401"/>
      <c r="J936" s="401"/>
      <c r="K936" s="401"/>
      <c r="L936" s="401"/>
      <c r="M936" s="438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  <c r="AL936" s="23"/>
      <c r="AM936" s="23"/>
      <c r="AN936" s="23"/>
      <c r="AO936" s="23"/>
      <c r="AP936" s="23"/>
      <c r="AQ936" s="23"/>
      <c r="AR936" s="23"/>
      <c r="AS936" s="23"/>
      <c r="AT936" s="23"/>
      <c r="AU936" s="23"/>
      <c r="AV936" s="23"/>
      <c r="AW936" s="23"/>
      <c r="AX936" s="23"/>
      <c r="AY936" s="23"/>
      <c r="AZ936" s="23"/>
      <c r="BA936" s="23"/>
      <c r="BB936" s="23"/>
      <c r="BC936" s="23"/>
      <c r="BD936" s="23"/>
      <c r="BE936" s="23"/>
      <c r="BF936" s="23"/>
      <c r="BG936" s="23"/>
      <c r="BH936" s="23"/>
      <c r="BI936" s="23"/>
      <c r="BJ936" s="23"/>
      <c r="BK936" s="23"/>
      <c r="BL936" s="23"/>
      <c r="BM936" s="23"/>
      <c r="BN936" s="23"/>
      <c r="BO936" s="23"/>
      <c r="BP936" s="23"/>
      <c r="BQ936" s="23"/>
      <c r="BR936" s="23"/>
      <c r="BS936" s="23"/>
      <c r="BT936" s="23"/>
      <c r="BU936" s="23"/>
      <c r="BV936" s="23"/>
      <c r="BW936" s="23"/>
      <c r="BX936" s="23"/>
      <c r="BY936" s="23"/>
      <c r="BZ936" s="23"/>
      <c r="CA936" s="23"/>
      <c r="CB936" s="23"/>
      <c r="CC936" s="23"/>
      <c r="CD936" s="23"/>
      <c r="CE936" s="23"/>
      <c r="CF936" s="23"/>
      <c r="CG936" s="23"/>
      <c r="CH936" s="23"/>
      <c r="CI936" s="23"/>
      <c r="CJ936" s="23"/>
      <c r="CK936" s="23"/>
      <c r="CL936" s="23"/>
      <c r="CM936" s="23"/>
      <c r="CN936" s="23"/>
      <c r="CO936" s="23"/>
      <c r="CP936" s="23"/>
      <c r="CQ936" s="23"/>
      <c r="CR936" s="23"/>
      <c r="CS936" s="23"/>
      <c r="CT936" s="23"/>
      <c r="CU936" s="23"/>
      <c r="CV936" s="23"/>
      <c r="CW936" s="23"/>
      <c r="CX936" s="23"/>
      <c r="CY936" s="23"/>
      <c r="CZ936" s="23"/>
      <c r="DA936" s="23"/>
      <c r="DB936" s="23"/>
      <c r="DC936" s="23"/>
      <c r="DD936" s="23"/>
      <c r="DE936" s="23"/>
      <c r="DF936" s="23"/>
      <c r="DG936" s="23"/>
      <c r="DH936" s="23"/>
      <c r="DI936" s="23"/>
      <c r="DJ936" s="23"/>
      <c r="DK936" s="23"/>
      <c r="DL936" s="23"/>
      <c r="DM936" s="23"/>
      <c r="DN936" s="23"/>
      <c r="DO936" s="23"/>
      <c r="DP936" s="23"/>
      <c r="DQ936" s="23"/>
      <c r="DR936" s="23"/>
      <c r="DS936" s="23"/>
      <c r="DT936" s="23"/>
      <c r="DU936" s="23"/>
      <c r="DV936" s="23"/>
      <c r="DW936" s="23"/>
      <c r="DX936" s="23"/>
      <c r="DY936" s="23"/>
      <c r="DZ936" s="23"/>
      <c r="EA936" s="23"/>
      <c r="EB936" s="23"/>
      <c r="EC936" s="23"/>
      <c r="ED936" s="23"/>
      <c r="EE936" s="23"/>
      <c r="EF936" s="23"/>
      <c r="EG936" s="23"/>
      <c r="EH936" s="23"/>
      <c r="EI936" s="23"/>
      <c r="EJ936" s="23"/>
      <c r="EK936" s="23"/>
      <c r="EL936" s="23"/>
      <c r="EM936" s="23"/>
      <c r="EN936" s="23"/>
      <c r="EO936" s="23"/>
      <c r="EP936" s="23"/>
      <c r="EQ936" s="23"/>
      <c r="ER936" s="23"/>
      <c r="ES936" s="23"/>
      <c r="ET936" s="23"/>
      <c r="EU936" s="23"/>
      <c r="EV936" s="23"/>
      <c r="EW936" s="23"/>
      <c r="EX936" s="23"/>
      <c r="EY936" s="23"/>
      <c r="EZ936" s="23"/>
      <c r="FA936" s="23"/>
      <c r="FB936" s="23"/>
      <c r="FC936" s="23"/>
      <c r="FD936" s="23"/>
      <c r="FE936" s="23"/>
      <c r="FF936" s="23"/>
      <c r="FG936" s="23"/>
      <c r="FH936" s="23"/>
      <c r="FI936" s="23"/>
      <c r="FJ936" s="23"/>
      <c r="FK936" s="23"/>
      <c r="FL936" s="23"/>
      <c r="FM936" s="23"/>
      <c r="FN936" s="23"/>
      <c r="FO936" s="23"/>
      <c r="FP936" s="23"/>
      <c r="FQ936" s="23"/>
      <c r="FR936" s="23"/>
      <c r="FS936" s="23"/>
      <c r="FT936" s="23"/>
      <c r="FU936" s="23"/>
      <c r="FV936" s="23"/>
      <c r="FW936" s="23"/>
      <c r="FX936" s="23"/>
      <c r="FY936" s="23"/>
      <c r="FZ936" s="23"/>
      <c r="GA936" s="23"/>
      <c r="GB936" s="23"/>
      <c r="GC936" s="23"/>
      <c r="GD936" s="23"/>
      <c r="GE936" s="23"/>
      <c r="GF936" s="23"/>
      <c r="GG936" s="23"/>
      <c r="GH936" s="23"/>
      <c r="GI936" s="23"/>
      <c r="GJ936" s="23"/>
      <c r="GK936" s="23"/>
      <c r="GL936" s="23"/>
    </row>
    <row r="937" spans="1:194" ht="13">
      <c r="A937" s="23"/>
      <c r="B937" s="23"/>
      <c r="C937" s="23"/>
      <c r="D937" s="23"/>
      <c r="E937" s="23"/>
      <c r="F937" s="23"/>
      <c r="G937" s="23"/>
      <c r="H937" s="401"/>
      <c r="I937" s="401"/>
      <c r="J937" s="401"/>
      <c r="K937" s="401"/>
      <c r="L937" s="401"/>
      <c r="M937" s="438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  <c r="AL937" s="23"/>
      <c r="AM937" s="23"/>
      <c r="AN937" s="23"/>
      <c r="AO937" s="23"/>
      <c r="AP937" s="23"/>
      <c r="AQ937" s="23"/>
      <c r="AR937" s="23"/>
      <c r="AS937" s="23"/>
      <c r="AT937" s="23"/>
      <c r="AU937" s="23"/>
      <c r="AV937" s="23"/>
      <c r="AW937" s="23"/>
      <c r="AX937" s="23"/>
      <c r="AY937" s="23"/>
      <c r="AZ937" s="23"/>
      <c r="BA937" s="23"/>
      <c r="BB937" s="23"/>
      <c r="BC937" s="23"/>
      <c r="BD937" s="23"/>
      <c r="BE937" s="23"/>
      <c r="BF937" s="23"/>
      <c r="BG937" s="23"/>
      <c r="BH937" s="23"/>
      <c r="BI937" s="23"/>
      <c r="BJ937" s="23"/>
      <c r="BK937" s="23"/>
      <c r="BL937" s="23"/>
      <c r="BM937" s="23"/>
      <c r="BN937" s="23"/>
      <c r="BO937" s="23"/>
      <c r="BP937" s="23"/>
      <c r="BQ937" s="23"/>
      <c r="BR937" s="23"/>
      <c r="BS937" s="23"/>
      <c r="BT937" s="23"/>
      <c r="BU937" s="23"/>
      <c r="BV937" s="23"/>
      <c r="BW937" s="23"/>
      <c r="BX937" s="23"/>
      <c r="BY937" s="23"/>
      <c r="BZ937" s="23"/>
      <c r="CA937" s="23"/>
      <c r="CB937" s="23"/>
      <c r="CC937" s="23"/>
      <c r="CD937" s="23"/>
      <c r="CE937" s="23"/>
      <c r="CF937" s="23"/>
      <c r="CG937" s="23"/>
      <c r="CH937" s="23"/>
      <c r="CI937" s="23"/>
      <c r="CJ937" s="23"/>
      <c r="CK937" s="23"/>
      <c r="CL937" s="23"/>
      <c r="CM937" s="23"/>
      <c r="CN937" s="23"/>
      <c r="CO937" s="23"/>
      <c r="CP937" s="23"/>
      <c r="CQ937" s="23"/>
      <c r="CR937" s="23"/>
      <c r="CS937" s="23"/>
      <c r="CT937" s="23"/>
      <c r="CU937" s="23"/>
      <c r="CV937" s="23"/>
      <c r="CW937" s="23"/>
      <c r="CX937" s="23"/>
      <c r="CY937" s="23"/>
      <c r="CZ937" s="23"/>
      <c r="DA937" s="23"/>
      <c r="DB937" s="23"/>
      <c r="DC937" s="23"/>
      <c r="DD937" s="23"/>
      <c r="DE937" s="23"/>
      <c r="DF937" s="23"/>
      <c r="DG937" s="23"/>
      <c r="DH937" s="23"/>
      <c r="DI937" s="23"/>
      <c r="DJ937" s="23"/>
      <c r="DK937" s="23"/>
      <c r="DL937" s="23"/>
      <c r="DM937" s="23"/>
      <c r="DN937" s="23"/>
      <c r="DO937" s="23"/>
      <c r="DP937" s="23"/>
      <c r="DQ937" s="23"/>
      <c r="DR937" s="23"/>
      <c r="DS937" s="23"/>
      <c r="DT937" s="23"/>
      <c r="DU937" s="23"/>
      <c r="DV937" s="23"/>
      <c r="DW937" s="23"/>
      <c r="DX937" s="23"/>
      <c r="DY937" s="23"/>
      <c r="DZ937" s="23"/>
      <c r="EA937" s="23"/>
      <c r="EB937" s="23"/>
      <c r="EC937" s="23"/>
      <c r="ED937" s="23"/>
      <c r="EE937" s="23"/>
      <c r="EF937" s="23"/>
      <c r="EG937" s="23"/>
      <c r="EH937" s="23"/>
      <c r="EI937" s="23"/>
      <c r="EJ937" s="23"/>
      <c r="EK937" s="23"/>
      <c r="EL937" s="23"/>
      <c r="EM937" s="23"/>
      <c r="EN937" s="23"/>
      <c r="EO937" s="23"/>
      <c r="EP937" s="23"/>
      <c r="EQ937" s="23"/>
      <c r="ER937" s="23"/>
      <c r="ES937" s="23"/>
      <c r="ET937" s="23"/>
      <c r="EU937" s="23"/>
      <c r="EV937" s="23"/>
      <c r="EW937" s="23"/>
      <c r="EX937" s="23"/>
      <c r="EY937" s="23"/>
      <c r="EZ937" s="23"/>
      <c r="FA937" s="23"/>
      <c r="FB937" s="23"/>
      <c r="FC937" s="23"/>
      <c r="FD937" s="23"/>
      <c r="FE937" s="23"/>
      <c r="FF937" s="23"/>
      <c r="FG937" s="23"/>
      <c r="FH937" s="23"/>
      <c r="FI937" s="23"/>
      <c r="FJ937" s="23"/>
      <c r="FK937" s="23"/>
      <c r="FL937" s="23"/>
      <c r="FM937" s="23"/>
      <c r="FN937" s="23"/>
      <c r="FO937" s="23"/>
      <c r="FP937" s="23"/>
      <c r="FQ937" s="23"/>
      <c r="FR937" s="23"/>
      <c r="FS937" s="23"/>
      <c r="FT937" s="23"/>
      <c r="FU937" s="23"/>
      <c r="FV937" s="23"/>
      <c r="FW937" s="23"/>
      <c r="FX937" s="23"/>
      <c r="FY937" s="23"/>
      <c r="FZ937" s="23"/>
      <c r="GA937" s="23"/>
      <c r="GB937" s="23"/>
      <c r="GC937" s="23"/>
      <c r="GD937" s="23"/>
      <c r="GE937" s="23"/>
      <c r="GF937" s="23"/>
      <c r="GG937" s="23"/>
      <c r="GH937" s="23"/>
      <c r="GI937" s="23"/>
      <c r="GJ937" s="23"/>
      <c r="GK937" s="23"/>
      <c r="GL937" s="23"/>
    </row>
    <row r="938" spans="1:194" ht="13">
      <c r="A938" s="23"/>
      <c r="B938" s="23"/>
      <c r="C938" s="23"/>
      <c r="D938" s="23"/>
      <c r="E938" s="23"/>
      <c r="F938" s="23"/>
      <c r="G938" s="23"/>
      <c r="H938" s="401"/>
      <c r="I938" s="401"/>
      <c r="J938" s="401"/>
      <c r="K938" s="401"/>
      <c r="L938" s="401"/>
      <c r="M938" s="438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  <c r="AL938" s="23"/>
      <c r="AM938" s="23"/>
      <c r="AN938" s="23"/>
      <c r="AO938" s="23"/>
      <c r="AP938" s="23"/>
      <c r="AQ938" s="23"/>
      <c r="AR938" s="23"/>
      <c r="AS938" s="23"/>
      <c r="AT938" s="23"/>
      <c r="AU938" s="23"/>
      <c r="AV938" s="23"/>
      <c r="AW938" s="23"/>
      <c r="AX938" s="23"/>
      <c r="AY938" s="23"/>
      <c r="AZ938" s="23"/>
      <c r="BA938" s="23"/>
      <c r="BB938" s="23"/>
      <c r="BC938" s="23"/>
      <c r="BD938" s="23"/>
      <c r="BE938" s="23"/>
      <c r="BF938" s="23"/>
      <c r="BG938" s="23"/>
      <c r="BH938" s="23"/>
      <c r="BI938" s="23"/>
      <c r="BJ938" s="23"/>
      <c r="BK938" s="23"/>
      <c r="BL938" s="23"/>
      <c r="BM938" s="23"/>
      <c r="BN938" s="23"/>
      <c r="BO938" s="23"/>
      <c r="BP938" s="23"/>
      <c r="BQ938" s="23"/>
      <c r="BR938" s="23"/>
      <c r="BS938" s="23"/>
      <c r="BT938" s="23"/>
      <c r="BU938" s="23"/>
      <c r="BV938" s="23"/>
      <c r="BW938" s="23"/>
      <c r="BX938" s="23"/>
      <c r="BY938" s="23"/>
      <c r="BZ938" s="23"/>
      <c r="CA938" s="23"/>
      <c r="CB938" s="23"/>
      <c r="CC938" s="23"/>
      <c r="CD938" s="23"/>
      <c r="CE938" s="23"/>
      <c r="CF938" s="23"/>
      <c r="CG938" s="23"/>
      <c r="CH938" s="23"/>
      <c r="CI938" s="23"/>
      <c r="CJ938" s="23"/>
      <c r="CK938" s="23"/>
      <c r="CL938" s="23"/>
      <c r="CM938" s="23"/>
      <c r="CN938" s="23"/>
      <c r="CO938" s="23"/>
      <c r="CP938" s="23"/>
      <c r="CQ938" s="23"/>
      <c r="CR938" s="23"/>
      <c r="CS938" s="23"/>
      <c r="CT938" s="23"/>
      <c r="CU938" s="23"/>
      <c r="CV938" s="23"/>
      <c r="CW938" s="23"/>
      <c r="CX938" s="23"/>
      <c r="CY938" s="23"/>
      <c r="CZ938" s="23"/>
      <c r="DA938" s="23"/>
      <c r="DB938" s="23"/>
      <c r="DC938" s="23"/>
      <c r="DD938" s="23"/>
      <c r="DE938" s="23"/>
      <c r="DF938" s="23"/>
      <c r="DG938" s="23"/>
      <c r="DH938" s="23"/>
      <c r="DI938" s="23"/>
      <c r="DJ938" s="23"/>
      <c r="DK938" s="23"/>
      <c r="DL938" s="23"/>
      <c r="DM938" s="23"/>
      <c r="DN938" s="23"/>
      <c r="DO938" s="23"/>
      <c r="DP938" s="23"/>
      <c r="DQ938" s="23"/>
      <c r="DR938" s="23"/>
      <c r="DS938" s="23"/>
      <c r="DT938" s="23"/>
      <c r="DU938" s="23"/>
      <c r="DV938" s="23"/>
      <c r="DW938" s="23"/>
      <c r="DX938" s="23"/>
      <c r="DY938" s="23"/>
      <c r="DZ938" s="23"/>
      <c r="EA938" s="23"/>
      <c r="EB938" s="23"/>
      <c r="EC938" s="23"/>
      <c r="ED938" s="23"/>
      <c r="EE938" s="23"/>
      <c r="EF938" s="23"/>
      <c r="EG938" s="23"/>
      <c r="EH938" s="23"/>
      <c r="EI938" s="23"/>
      <c r="EJ938" s="23"/>
      <c r="EK938" s="23"/>
      <c r="EL938" s="23"/>
      <c r="EM938" s="23"/>
      <c r="EN938" s="23"/>
      <c r="EO938" s="23"/>
      <c r="EP938" s="23"/>
      <c r="EQ938" s="23"/>
      <c r="ER938" s="23"/>
      <c r="ES938" s="23"/>
      <c r="ET938" s="23"/>
      <c r="EU938" s="23"/>
      <c r="EV938" s="23"/>
      <c r="EW938" s="23"/>
      <c r="EX938" s="23"/>
      <c r="EY938" s="23"/>
      <c r="EZ938" s="23"/>
      <c r="FA938" s="23"/>
      <c r="FB938" s="23"/>
      <c r="FC938" s="23"/>
      <c r="FD938" s="23"/>
      <c r="FE938" s="23"/>
      <c r="FF938" s="23"/>
      <c r="FG938" s="23"/>
      <c r="FH938" s="23"/>
      <c r="FI938" s="23"/>
      <c r="FJ938" s="23"/>
      <c r="FK938" s="23"/>
      <c r="FL938" s="23"/>
      <c r="FM938" s="23"/>
      <c r="FN938" s="23"/>
      <c r="FO938" s="23"/>
      <c r="FP938" s="23"/>
      <c r="FQ938" s="23"/>
      <c r="FR938" s="23"/>
      <c r="FS938" s="23"/>
      <c r="FT938" s="23"/>
      <c r="FU938" s="23"/>
      <c r="FV938" s="23"/>
      <c r="FW938" s="23"/>
      <c r="FX938" s="23"/>
      <c r="FY938" s="23"/>
      <c r="FZ938" s="23"/>
      <c r="GA938" s="23"/>
      <c r="GB938" s="23"/>
      <c r="GC938" s="23"/>
      <c r="GD938" s="23"/>
      <c r="GE938" s="23"/>
      <c r="GF938" s="23"/>
      <c r="GG938" s="23"/>
      <c r="GH938" s="23"/>
      <c r="GI938" s="23"/>
      <c r="GJ938" s="23"/>
      <c r="GK938" s="23"/>
      <c r="GL938" s="23"/>
    </row>
    <row r="939" spans="1:194" ht="13">
      <c r="A939" s="23"/>
      <c r="B939" s="23"/>
      <c r="C939" s="23"/>
      <c r="D939" s="23"/>
      <c r="E939" s="23"/>
      <c r="F939" s="23"/>
      <c r="G939" s="23"/>
      <c r="H939" s="401"/>
      <c r="I939" s="401"/>
      <c r="J939" s="401"/>
      <c r="K939" s="401"/>
      <c r="L939" s="401"/>
      <c r="M939" s="438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  <c r="AL939" s="23"/>
      <c r="AM939" s="23"/>
      <c r="AN939" s="23"/>
      <c r="AO939" s="23"/>
      <c r="AP939" s="23"/>
      <c r="AQ939" s="23"/>
      <c r="AR939" s="23"/>
      <c r="AS939" s="23"/>
      <c r="AT939" s="23"/>
      <c r="AU939" s="23"/>
      <c r="AV939" s="23"/>
      <c r="AW939" s="23"/>
      <c r="AX939" s="23"/>
      <c r="AY939" s="23"/>
      <c r="AZ939" s="23"/>
      <c r="BA939" s="23"/>
      <c r="BB939" s="23"/>
      <c r="BC939" s="23"/>
      <c r="BD939" s="23"/>
      <c r="BE939" s="23"/>
      <c r="BF939" s="23"/>
      <c r="BG939" s="23"/>
      <c r="BH939" s="23"/>
      <c r="BI939" s="23"/>
      <c r="BJ939" s="23"/>
      <c r="BK939" s="23"/>
      <c r="BL939" s="23"/>
      <c r="BM939" s="23"/>
      <c r="BN939" s="23"/>
      <c r="BO939" s="23"/>
      <c r="BP939" s="23"/>
      <c r="BQ939" s="23"/>
      <c r="BR939" s="23"/>
      <c r="BS939" s="23"/>
      <c r="BT939" s="23"/>
      <c r="BU939" s="23"/>
      <c r="BV939" s="23"/>
      <c r="BW939" s="23"/>
      <c r="BX939" s="23"/>
      <c r="BY939" s="23"/>
      <c r="BZ939" s="23"/>
      <c r="CA939" s="23"/>
      <c r="CB939" s="23"/>
      <c r="CC939" s="23"/>
      <c r="CD939" s="23"/>
      <c r="CE939" s="23"/>
      <c r="CF939" s="23"/>
      <c r="CG939" s="23"/>
      <c r="CH939" s="23"/>
      <c r="CI939" s="23"/>
      <c r="CJ939" s="23"/>
      <c r="CK939" s="23"/>
      <c r="CL939" s="23"/>
      <c r="CM939" s="23"/>
      <c r="CN939" s="23"/>
      <c r="CO939" s="23"/>
      <c r="CP939" s="23"/>
      <c r="CQ939" s="23"/>
      <c r="CR939" s="23"/>
      <c r="CS939" s="23"/>
      <c r="CT939" s="23"/>
      <c r="CU939" s="23"/>
      <c r="CV939" s="23"/>
      <c r="CW939" s="23"/>
      <c r="CX939" s="23"/>
      <c r="CY939" s="23"/>
      <c r="CZ939" s="23"/>
      <c r="DA939" s="23"/>
      <c r="DB939" s="23"/>
      <c r="DC939" s="23"/>
      <c r="DD939" s="23"/>
      <c r="DE939" s="23"/>
      <c r="DF939" s="23"/>
      <c r="DG939" s="23"/>
      <c r="DH939" s="23"/>
      <c r="DI939" s="23"/>
      <c r="DJ939" s="23"/>
      <c r="DK939" s="23"/>
      <c r="DL939" s="23"/>
      <c r="DM939" s="23"/>
      <c r="DN939" s="23"/>
      <c r="DO939" s="23"/>
      <c r="DP939" s="23"/>
      <c r="DQ939" s="23"/>
      <c r="DR939" s="23"/>
      <c r="DS939" s="23"/>
      <c r="DT939" s="23"/>
      <c r="DU939" s="23"/>
      <c r="DV939" s="23"/>
      <c r="DW939" s="23"/>
      <c r="DX939" s="23"/>
      <c r="DY939" s="23"/>
      <c r="DZ939" s="23"/>
      <c r="EA939" s="23"/>
      <c r="EB939" s="23"/>
      <c r="EC939" s="23"/>
      <c r="ED939" s="23"/>
      <c r="EE939" s="23"/>
      <c r="EF939" s="23"/>
      <c r="EG939" s="23"/>
      <c r="EH939" s="23"/>
      <c r="EI939" s="23"/>
      <c r="EJ939" s="23"/>
      <c r="EK939" s="23"/>
      <c r="EL939" s="23"/>
      <c r="EM939" s="23"/>
      <c r="EN939" s="23"/>
      <c r="EO939" s="23"/>
      <c r="EP939" s="23"/>
      <c r="EQ939" s="23"/>
      <c r="ER939" s="23"/>
      <c r="ES939" s="23"/>
      <c r="ET939" s="23"/>
      <c r="EU939" s="23"/>
      <c r="EV939" s="23"/>
      <c r="EW939" s="23"/>
      <c r="EX939" s="23"/>
      <c r="EY939" s="23"/>
      <c r="EZ939" s="23"/>
      <c r="FA939" s="23"/>
      <c r="FB939" s="23"/>
      <c r="FC939" s="23"/>
      <c r="FD939" s="23"/>
      <c r="FE939" s="23"/>
      <c r="FF939" s="23"/>
      <c r="FG939" s="23"/>
      <c r="FH939" s="23"/>
      <c r="FI939" s="23"/>
      <c r="FJ939" s="23"/>
      <c r="FK939" s="23"/>
      <c r="FL939" s="23"/>
      <c r="FM939" s="23"/>
      <c r="FN939" s="23"/>
      <c r="FO939" s="23"/>
      <c r="FP939" s="23"/>
      <c r="FQ939" s="23"/>
      <c r="FR939" s="23"/>
      <c r="FS939" s="23"/>
      <c r="FT939" s="23"/>
      <c r="FU939" s="23"/>
      <c r="FV939" s="23"/>
      <c r="FW939" s="23"/>
      <c r="FX939" s="23"/>
      <c r="FY939" s="23"/>
      <c r="FZ939" s="23"/>
      <c r="GA939" s="23"/>
      <c r="GB939" s="23"/>
      <c r="GC939" s="23"/>
      <c r="GD939" s="23"/>
      <c r="GE939" s="23"/>
      <c r="GF939" s="23"/>
      <c r="GG939" s="23"/>
      <c r="GH939" s="23"/>
      <c r="GI939" s="23"/>
      <c r="GJ939" s="23"/>
      <c r="GK939" s="23"/>
      <c r="GL939" s="23"/>
    </row>
    <row r="940" spans="1:194" ht="13">
      <c r="A940" s="23"/>
      <c r="B940" s="23"/>
      <c r="C940" s="23"/>
      <c r="D940" s="23"/>
      <c r="E940" s="23"/>
      <c r="F940" s="23"/>
      <c r="G940" s="23"/>
      <c r="H940" s="401"/>
      <c r="I940" s="401"/>
      <c r="J940" s="401"/>
      <c r="K940" s="401"/>
      <c r="L940" s="401"/>
      <c r="M940" s="438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  <c r="AL940" s="23"/>
      <c r="AM940" s="23"/>
      <c r="AN940" s="23"/>
      <c r="AO940" s="23"/>
      <c r="AP940" s="23"/>
      <c r="AQ940" s="23"/>
      <c r="AR940" s="23"/>
      <c r="AS940" s="23"/>
      <c r="AT940" s="23"/>
      <c r="AU940" s="23"/>
      <c r="AV940" s="23"/>
      <c r="AW940" s="23"/>
      <c r="AX940" s="23"/>
      <c r="AY940" s="23"/>
      <c r="AZ940" s="23"/>
      <c r="BA940" s="23"/>
      <c r="BB940" s="23"/>
      <c r="BC940" s="23"/>
      <c r="BD940" s="23"/>
      <c r="BE940" s="23"/>
      <c r="BF940" s="23"/>
      <c r="BG940" s="23"/>
      <c r="BH940" s="23"/>
      <c r="BI940" s="23"/>
      <c r="BJ940" s="23"/>
      <c r="BK940" s="23"/>
      <c r="BL940" s="23"/>
      <c r="BM940" s="23"/>
      <c r="BN940" s="23"/>
      <c r="BO940" s="23"/>
      <c r="BP940" s="23"/>
      <c r="BQ940" s="23"/>
      <c r="BR940" s="23"/>
      <c r="BS940" s="23"/>
      <c r="BT940" s="23"/>
      <c r="BU940" s="23"/>
      <c r="BV940" s="23"/>
      <c r="BW940" s="23"/>
      <c r="BX940" s="23"/>
      <c r="BY940" s="23"/>
      <c r="BZ940" s="23"/>
      <c r="CA940" s="23"/>
      <c r="CB940" s="23"/>
      <c r="CC940" s="23"/>
      <c r="CD940" s="23"/>
      <c r="CE940" s="23"/>
      <c r="CF940" s="23"/>
      <c r="CG940" s="23"/>
      <c r="CH940" s="23"/>
      <c r="CI940" s="23"/>
      <c r="CJ940" s="23"/>
      <c r="CK940" s="23"/>
      <c r="CL940" s="23"/>
      <c r="CM940" s="23"/>
      <c r="CN940" s="23"/>
      <c r="CO940" s="23"/>
      <c r="CP940" s="23"/>
      <c r="CQ940" s="23"/>
      <c r="CR940" s="23"/>
      <c r="CS940" s="23"/>
      <c r="CT940" s="23"/>
      <c r="CU940" s="23"/>
      <c r="CV940" s="23"/>
      <c r="CW940" s="23"/>
      <c r="CX940" s="23"/>
      <c r="CY940" s="23"/>
      <c r="CZ940" s="23"/>
      <c r="DA940" s="23"/>
      <c r="DB940" s="23"/>
      <c r="DC940" s="23"/>
      <c r="DD940" s="23"/>
      <c r="DE940" s="23"/>
      <c r="DF940" s="23"/>
      <c r="DG940" s="23"/>
      <c r="DH940" s="23"/>
      <c r="DI940" s="23"/>
      <c r="DJ940" s="23"/>
      <c r="DK940" s="23"/>
      <c r="DL940" s="23"/>
      <c r="DM940" s="23"/>
      <c r="DN940" s="23"/>
      <c r="DO940" s="23"/>
      <c r="DP940" s="23"/>
      <c r="DQ940" s="23"/>
      <c r="DR940" s="23"/>
      <c r="DS940" s="23"/>
      <c r="DT940" s="23"/>
      <c r="DU940" s="23"/>
      <c r="DV940" s="23"/>
      <c r="DW940" s="23"/>
      <c r="DX940" s="23"/>
      <c r="DY940" s="23"/>
      <c r="DZ940" s="23"/>
      <c r="EA940" s="23"/>
      <c r="EB940" s="23"/>
      <c r="EC940" s="23"/>
      <c r="ED940" s="23"/>
      <c r="EE940" s="23"/>
      <c r="EF940" s="23"/>
      <c r="EG940" s="23"/>
      <c r="EH940" s="23"/>
      <c r="EI940" s="23"/>
      <c r="EJ940" s="23"/>
      <c r="EK940" s="23"/>
      <c r="EL940" s="23"/>
      <c r="EM940" s="23"/>
      <c r="EN940" s="23"/>
      <c r="EO940" s="23"/>
      <c r="EP940" s="23"/>
      <c r="EQ940" s="23"/>
      <c r="ER940" s="23"/>
      <c r="ES940" s="23"/>
      <c r="ET940" s="23"/>
      <c r="EU940" s="23"/>
      <c r="EV940" s="23"/>
      <c r="EW940" s="23"/>
      <c r="EX940" s="23"/>
      <c r="EY940" s="23"/>
      <c r="EZ940" s="23"/>
      <c r="FA940" s="23"/>
      <c r="FB940" s="23"/>
      <c r="FC940" s="23"/>
      <c r="FD940" s="23"/>
      <c r="FE940" s="23"/>
      <c r="FF940" s="23"/>
      <c r="FG940" s="23"/>
      <c r="FH940" s="23"/>
      <c r="FI940" s="23"/>
      <c r="FJ940" s="23"/>
      <c r="FK940" s="23"/>
      <c r="FL940" s="23"/>
      <c r="FM940" s="23"/>
      <c r="FN940" s="23"/>
      <c r="FO940" s="23"/>
      <c r="FP940" s="23"/>
      <c r="FQ940" s="23"/>
      <c r="FR940" s="23"/>
      <c r="FS940" s="23"/>
      <c r="FT940" s="23"/>
      <c r="FU940" s="23"/>
      <c r="FV940" s="23"/>
      <c r="FW940" s="23"/>
      <c r="FX940" s="23"/>
      <c r="FY940" s="23"/>
      <c r="FZ940" s="23"/>
      <c r="GA940" s="23"/>
      <c r="GB940" s="23"/>
      <c r="GC940" s="23"/>
      <c r="GD940" s="23"/>
      <c r="GE940" s="23"/>
      <c r="GF940" s="23"/>
      <c r="GG940" s="23"/>
      <c r="GH940" s="23"/>
      <c r="GI940" s="23"/>
      <c r="GJ940" s="23"/>
      <c r="GK940" s="23"/>
      <c r="GL940" s="23"/>
    </row>
    <row r="941" spans="1:194" ht="13">
      <c r="A941" s="23"/>
      <c r="B941" s="23"/>
      <c r="C941" s="23"/>
      <c r="D941" s="23"/>
      <c r="E941" s="23"/>
      <c r="F941" s="23"/>
      <c r="G941" s="23"/>
      <c r="H941" s="401"/>
      <c r="I941" s="401"/>
      <c r="J941" s="401"/>
      <c r="K941" s="401"/>
      <c r="L941" s="401"/>
      <c r="M941" s="438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  <c r="AL941" s="23"/>
      <c r="AM941" s="23"/>
      <c r="AN941" s="23"/>
      <c r="AO941" s="23"/>
      <c r="AP941" s="23"/>
      <c r="AQ941" s="23"/>
      <c r="AR941" s="23"/>
      <c r="AS941" s="23"/>
      <c r="AT941" s="23"/>
      <c r="AU941" s="23"/>
      <c r="AV941" s="23"/>
      <c r="AW941" s="23"/>
      <c r="AX941" s="23"/>
      <c r="AY941" s="23"/>
      <c r="AZ941" s="23"/>
      <c r="BA941" s="23"/>
      <c r="BB941" s="23"/>
      <c r="BC941" s="23"/>
      <c r="BD941" s="23"/>
      <c r="BE941" s="23"/>
      <c r="BF941" s="23"/>
      <c r="BG941" s="23"/>
      <c r="BH941" s="23"/>
      <c r="BI941" s="23"/>
      <c r="BJ941" s="23"/>
      <c r="BK941" s="23"/>
      <c r="BL941" s="23"/>
      <c r="BM941" s="23"/>
      <c r="BN941" s="23"/>
      <c r="BO941" s="23"/>
      <c r="BP941" s="23"/>
      <c r="BQ941" s="23"/>
      <c r="BR941" s="23"/>
      <c r="BS941" s="23"/>
      <c r="BT941" s="23"/>
      <c r="BU941" s="23"/>
      <c r="BV941" s="23"/>
      <c r="BW941" s="23"/>
      <c r="BX941" s="23"/>
      <c r="BY941" s="23"/>
      <c r="BZ941" s="23"/>
      <c r="CA941" s="23"/>
      <c r="CB941" s="23"/>
      <c r="CC941" s="23"/>
      <c r="CD941" s="23"/>
      <c r="CE941" s="23"/>
      <c r="CF941" s="23"/>
      <c r="CG941" s="23"/>
      <c r="CH941" s="23"/>
      <c r="CI941" s="23"/>
      <c r="CJ941" s="23"/>
      <c r="CK941" s="23"/>
      <c r="CL941" s="23"/>
      <c r="CM941" s="23"/>
      <c r="CN941" s="23"/>
      <c r="CO941" s="23"/>
      <c r="CP941" s="23"/>
      <c r="CQ941" s="23"/>
      <c r="CR941" s="23"/>
      <c r="CS941" s="23"/>
      <c r="CT941" s="23"/>
      <c r="CU941" s="23"/>
      <c r="CV941" s="23"/>
      <c r="CW941" s="23"/>
      <c r="CX941" s="23"/>
      <c r="CY941" s="23"/>
      <c r="CZ941" s="23"/>
      <c r="DA941" s="23"/>
      <c r="DB941" s="23"/>
      <c r="DC941" s="23"/>
      <c r="DD941" s="23"/>
      <c r="DE941" s="23"/>
      <c r="DF941" s="23"/>
      <c r="DG941" s="23"/>
      <c r="DH941" s="23"/>
      <c r="DI941" s="23"/>
      <c r="DJ941" s="23"/>
      <c r="DK941" s="23"/>
      <c r="DL941" s="23"/>
      <c r="DM941" s="23"/>
      <c r="DN941" s="23"/>
      <c r="DO941" s="23"/>
      <c r="DP941" s="23"/>
      <c r="DQ941" s="23"/>
      <c r="DR941" s="23"/>
      <c r="DS941" s="23"/>
      <c r="DT941" s="23"/>
      <c r="DU941" s="23"/>
      <c r="DV941" s="23"/>
      <c r="DW941" s="23"/>
      <c r="DX941" s="23"/>
      <c r="DY941" s="23"/>
      <c r="DZ941" s="23"/>
      <c r="EA941" s="23"/>
      <c r="EB941" s="23"/>
      <c r="EC941" s="23"/>
      <c r="ED941" s="23"/>
      <c r="EE941" s="23"/>
      <c r="EF941" s="23"/>
      <c r="EG941" s="23"/>
      <c r="EH941" s="23"/>
      <c r="EI941" s="23"/>
      <c r="EJ941" s="23"/>
      <c r="EK941" s="23"/>
      <c r="EL941" s="23"/>
      <c r="EM941" s="23"/>
      <c r="EN941" s="23"/>
      <c r="EO941" s="23"/>
      <c r="EP941" s="23"/>
      <c r="EQ941" s="23"/>
      <c r="ER941" s="23"/>
      <c r="ES941" s="23"/>
      <c r="ET941" s="23"/>
      <c r="EU941" s="23"/>
      <c r="EV941" s="23"/>
      <c r="EW941" s="23"/>
      <c r="EX941" s="23"/>
      <c r="EY941" s="23"/>
      <c r="EZ941" s="23"/>
      <c r="FA941" s="23"/>
      <c r="FB941" s="23"/>
      <c r="FC941" s="23"/>
      <c r="FD941" s="23"/>
      <c r="FE941" s="23"/>
      <c r="FF941" s="23"/>
      <c r="FG941" s="23"/>
      <c r="FH941" s="23"/>
      <c r="FI941" s="23"/>
      <c r="FJ941" s="23"/>
      <c r="FK941" s="23"/>
      <c r="FL941" s="23"/>
      <c r="FM941" s="23"/>
      <c r="FN941" s="23"/>
      <c r="FO941" s="23"/>
      <c r="FP941" s="23"/>
      <c r="FQ941" s="23"/>
      <c r="FR941" s="23"/>
      <c r="FS941" s="23"/>
      <c r="FT941" s="23"/>
      <c r="FU941" s="23"/>
      <c r="FV941" s="23"/>
      <c r="FW941" s="23"/>
      <c r="FX941" s="23"/>
      <c r="FY941" s="23"/>
      <c r="FZ941" s="23"/>
      <c r="GA941" s="23"/>
      <c r="GB941" s="23"/>
      <c r="GC941" s="23"/>
      <c r="GD941" s="23"/>
      <c r="GE941" s="23"/>
      <c r="GF941" s="23"/>
      <c r="GG941" s="23"/>
      <c r="GH941" s="23"/>
      <c r="GI941" s="23"/>
      <c r="GJ941" s="23"/>
      <c r="GK941" s="23"/>
      <c r="GL941" s="23"/>
    </row>
    <row r="942" spans="1:194" ht="13">
      <c r="A942" s="23"/>
      <c r="B942" s="23"/>
      <c r="C942" s="23"/>
      <c r="D942" s="23"/>
      <c r="E942" s="23"/>
      <c r="F942" s="23"/>
      <c r="G942" s="23"/>
      <c r="H942" s="401"/>
      <c r="I942" s="401"/>
      <c r="J942" s="401"/>
      <c r="K942" s="401"/>
      <c r="L942" s="401"/>
      <c r="M942" s="438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  <c r="AL942" s="23"/>
      <c r="AM942" s="23"/>
      <c r="AN942" s="23"/>
      <c r="AO942" s="23"/>
      <c r="AP942" s="23"/>
      <c r="AQ942" s="23"/>
      <c r="AR942" s="23"/>
      <c r="AS942" s="23"/>
      <c r="AT942" s="23"/>
      <c r="AU942" s="23"/>
      <c r="AV942" s="23"/>
      <c r="AW942" s="23"/>
      <c r="AX942" s="23"/>
      <c r="AY942" s="23"/>
      <c r="AZ942" s="23"/>
      <c r="BA942" s="23"/>
      <c r="BB942" s="23"/>
      <c r="BC942" s="23"/>
      <c r="BD942" s="23"/>
      <c r="BE942" s="23"/>
      <c r="BF942" s="23"/>
      <c r="BG942" s="23"/>
      <c r="BH942" s="23"/>
      <c r="BI942" s="23"/>
      <c r="BJ942" s="23"/>
      <c r="BK942" s="23"/>
      <c r="BL942" s="23"/>
      <c r="BM942" s="23"/>
      <c r="BN942" s="23"/>
      <c r="BO942" s="23"/>
      <c r="BP942" s="23"/>
      <c r="BQ942" s="23"/>
      <c r="BR942" s="23"/>
      <c r="BS942" s="23"/>
      <c r="BT942" s="23"/>
      <c r="BU942" s="23"/>
      <c r="BV942" s="23"/>
      <c r="BW942" s="23"/>
      <c r="BX942" s="23"/>
      <c r="BY942" s="23"/>
      <c r="BZ942" s="23"/>
      <c r="CA942" s="23"/>
      <c r="CB942" s="23"/>
      <c r="CC942" s="23"/>
      <c r="CD942" s="23"/>
      <c r="CE942" s="23"/>
      <c r="CF942" s="23"/>
      <c r="CG942" s="23"/>
      <c r="CH942" s="23"/>
      <c r="CI942" s="23"/>
      <c r="CJ942" s="23"/>
      <c r="CK942" s="23"/>
      <c r="CL942" s="23"/>
      <c r="CM942" s="23"/>
      <c r="CN942" s="23"/>
      <c r="CO942" s="23"/>
      <c r="CP942" s="23"/>
      <c r="CQ942" s="23"/>
      <c r="CR942" s="23"/>
      <c r="CS942" s="23"/>
      <c r="CT942" s="23"/>
      <c r="CU942" s="23"/>
      <c r="CV942" s="23"/>
      <c r="CW942" s="23"/>
      <c r="CX942" s="23"/>
      <c r="CY942" s="23"/>
      <c r="CZ942" s="23"/>
      <c r="DA942" s="23"/>
      <c r="DB942" s="23"/>
      <c r="DC942" s="23"/>
      <c r="DD942" s="23"/>
      <c r="DE942" s="23"/>
      <c r="DF942" s="23"/>
      <c r="DG942" s="23"/>
      <c r="DH942" s="23"/>
      <c r="DI942" s="23"/>
      <c r="DJ942" s="23"/>
      <c r="DK942" s="23"/>
      <c r="DL942" s="23"/>
      <c r="DM942" s="23"/>
      <c r="DN942" s="23"/>
      <c r="DO942" s="23"/>
      <c r="DP942" s="23"/>
      <c r="DQ942" s="23"/>
      <c r="DR942" s="23"/>
      <c r="DS942" s="23"/>
      <c r="DT942" s="23"/>
      <c r="DU942" s="23"/>
      <c r="DV942" s="23"/>
      <c r="DW942" s="23"/>
      <c r="DX942" s="23"/>
      <c r="DY942" s="23"/>
      <c r="DZ942" s="23"/>
      <c r="EA942" s="23"/>
      <c r="EB942" s="23"/>
      <c r="EC942" s="23"/>
      <c r="ED942" s="23"/>
      <c r="EE942" s="23"/>
      <c r="EF942" s="23"/>
      <c r="EG942" s="23"/>
      <c r="EH942" s="23"/>
      <c r="EI942" s="23"/>
      <c r="EJ942" s="23"/>
      <c r="EK942" s="23"/>
      <c r="EL942" s="23"/>
      <c r="EM942" s="23"/>
      <c r="EN942" s="23"/>
      <c r="EO942" s="23"/>
      <c r="EP942" s="23"/>
      <c r="EQ942" s="23"/>
      <c r="ER942" s="23"/>
      <c r="ES942" s="23"/>
      <c r="ET942" s="23"/>
      <c r="EU942" s="23"/>
      <c r="EV942" s="23"/>
      <c r="EW942" s="23"/>
      <c r="EX942" s="23"/>
      <c r="EY942" s="23"/>
      <c r="EZ942" s="23"/>
      <c r="FA942" s="23"/>
      <c r="FB942" s="23"/>
      <c r="FC942" s="23"/>
      <c r="FD942" s="23"/>
      <c r="FE942" s="23"/>
      <c r="FF942" s="23"/>
      <c r="FG942" s="23"/>
      <c r="FH942" s="23"/>
      <c r="FI942" s="23"/>
      <c r="FJ942" s="23"/>
      <c r="FK942" s="23"/>
      <c r="FL942" s="23"/>
      <c r="FM942" s="23"/>
      <c r="FN942" s="23"/>
      <c r="FO942" s="23"/>
      <c r="FP942" s="23"/>
      <c r="FQ942" s="23"/>
      <c r="FR942" s="23"/>
      <c r="FS942" s="23"/>
      <c r="FT942" s="23"/>
      <c r="FU942" s="23"/>
      <c r="FV942" s="23"/>
      <c r="FW942" s="23"/>
      <c r="FX942" s="23"/>
      <c r="FY942" s="23"/>
      <c r="FZ942" s="23"/>
      <c r="GA942" s="23"/>
      <c r="GB942" s="23"/>
      <c r="GC942" s="23"/>
      <c r="GD942" s="23"/>
      <c r="GE942" s="23"/>
      <c r="GF942" s="23"/>
      <c r="GG942" s="23"/>
      <c r="GH942" s="23"/>
      <c r="GI942" s="23"/>
      <c r="GJ942" s="23"/>
      <c r="GK942" s="23"/>
      <c r="GL942" s="23"/>
    </row>
    <row r="943" spans="1:194" ht="13">
      <c r="A943" s="23"/>
      <c r="B943" s="23"/>
      <c r="C943" s="23"/>
      <c r="D943" s="23"/>
      <c r="E943" s="23"/>
      <c r="F943" s="23"/>
      <c r="G943" s="23"/>
      <c r="H943" s="401"/>
      <c r="I943" s="401"/>
      <c r="J943" s="401"/>
      <c r="K943" s="401"/>
      <c r="L943" s="401"/>
      <c r="M943" s="438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  <c r="AL943" s="23"/>
      <c r="AM943" s="23"/>
      <c r="AN943" s="23"/>
      <c r="AO943" s="23"/>
      <c r="AP943" s="23"/>
      <c r="AQ943" s="23"/>
      <c r="AR943" s="23"/>
      <c r="AS943" s="23"/>
      <c r="AT943" s="23"/>
      <c r="AU943" s="23"/>
      <c r="AV943" s="23"/>
      <c r="AW943" s="23"/>
      <c r="AX943" s="23"/>
      <c r="AY943" s="23"/>
      <c r="AZ943" s="23"/>
      <c r="BA943" s="23"/>
      <c r="BB943" s="23"/>
      <c r="BC943" s="23"/>
      <c r="BD943" s="23"/>
      <c r="BE943" s="23"/>
      <c r="BF943" s="23"/>
      <c r="BG943" s="23"/>
      <c r="BH943" s="23"/>
      <c r="BI943" s="23"/>
      <c r="BJ943" s="23"/>
      <c r="BK943" s="23"/>
      <c r="BL943" s="23"/>
      <c r="BM943" s="23"/>
      <c r="BN943" s="23"/>
      <c r="BO943" s="23"/>
      <c r="BP943" s="23"/>
      <c r="BQ943" s="23"/>
      <c r="BR943" s="23"/>
      <c r="BS943" s="23"/>
      <c r="BT943" s="23"/>
      <c r="BU943" s="23"/>
      <c r="BV943" s="23"/>
      <c r="BW943" s="23"/>
      <c r="BX943" s="23"/>
      <c r="BY943" s="23"/>
      <c r="BZ943" s="23"/>
      <c r="CA943" s="23"/>
      <c r="CB943" s="23"/>
      <c r="CC943" s="23"/>
      <c r="CD943" s="23"/>
      <c r="CE943" s="23"/>
      <c r="CF943" s="23"/>
      <c r="CG943" s="23"/>
      <c r="CH943" s="23"/>
      <c r="CI943" s="23"/>
      <c r="CJ943" s="23"/>
      <c r="CK943" s="23"/>
      <c r="CL943" s="23"/>
      <c r="CM943" s="23"/>
      <c r="CN943" s="23"/>
      <c r="CO943" s="23"/>
      <c r="CP943" s="23"/>
      <c r="CQ943" s="23"/>
      <c r="CR943" s="23"/>
      <c r="CS943" s="23"/>
      <c r="CT943" s="23"/>
      <c r="CU943" s="23"/>
      <c r="CV943" s="23"/>
      <c r="CW943" s="23"/>
      <c r="CX943" s="23"/>
      <c r="CY943" s="23"/>
      <c r="CZ943" s="23"/>
      <c r="DA943" s="23"/>
      <c r="DB943" s="23"/>
      <c r="DC943" s="23"/>
      <c r="DD943" s="23"/>
      <c r="DE943" s="23"/>
      <c r="DF943" s="23"/>
      <c r="DG943" s="23"/>
      <c r="DH943" s="23"/>
      <c r="DI943" s="23"/>
      <c r="DJ943" s="23"/>
      <c r="DK943" s="23"/>
      <c r="DL943" s="23"/>
      <c r="DM943" s="23"/>
      <c r="DN943" s="23"/>
      <c r="DO943" s="23"/>
      <c r="DP943" s="23"/>
      <c r="DQ943" s="23"/>
      <c r="DR943" s="23"/>
      <c r="DS943" s="23"/>
      <c r="DT943" s="23"/>
      <c r="DU943" s="23"/>
      <c r="DV943" s="23"/>
      <c r="DW943" s="23"/>
      <c r="DX943" s="23"/>
      <c r="DY943" s="23"/>
      <c r="DZ943" s="23"/>
      <c r="EA943" s="23"/>
      <c r="EB943" s="23"/>
      <c r="EC943" s="23"/>
      <c r="ED943" s="23"/>
      <c r="EE943" s="23"/>
      <c r="EF943" s="23"/>
      <c r="EG943" s="23"/>
      <c r="EH943" s="23"/>
      <c r="EI943" s="23"/>
      <c r="EJ943" s="23"/>
      <c r="EK943" s="23"/>
      <c r="EL943" s="23"/>
      <c r="EM943" s="23"/>
      <c r="EN943" s="23"/>
      <c r="EO943" s="23"/>
      <c r="EP943" s="23"/>
      <c r="EQ943" s="23"/>
      <c r="ER943" s="23"/>
      <c r="ES943" s="23"/>
      <c r="ET943" s="23"/>
      <c r="EU943" s="23"/>
      <c r="EV943" s="23"/>
      <c r="EW943" s="23"/>
      <c r="EX943" s="23"/>
      <c r="EY943" s="23"/>
      <c r="EZ943" s="23"/>
      <c r="FA943" s="23"/>
      <c r="FB943" s="23"/>
      <c r="FC943" s="23"/>
      <c r="FD943" s="23"/>
      <c r="FE943" s="23"/>
      <c r="FF943" s="23"/>
      <c r="FG943" s="23"/>
      <c r="FH943" s="23"/>
      <c r="FI943" s="23"/>
      <c r="FJ943" s="23"/>
      <c r="FK943" s="23"/>
      <c r="FL943" s="23"/>
      <c r="FM943" s="23"/>
      <c r="FN943" s="23"/>
      <c r="FO943" s="23"/>
      <c r="FP943" s="23"/>
      <c r="FQ943" s="23"/>
      <c r="FR943" s="23"/>
      <c r="FS943" s="23"/>
      <c r="FT943" s="23"/>
      <c r="FU943" s="23"/>
      <c r="FV943" s="23"/>
      <c r="FW943" s="23"/>
      <c r="FX943" s="23"/>
      <c r="FY943" s="23"/>
      <c r="FZ943" s="23"/>
      <c r="GA943" s="23"/>
      <c r="GB943" s="23"/>
      <c r="GC943" s="23"/>
      <c r="GD943" s="23"/>
      <c r="GE943" s="23"/>
      <c r="GF943" s="23"/>
      <c r="GG943" s="23"/>
      <c r="GH943" s="23"/>
      <c r="GI943" s="23"/>
      <c r="GJ943" s="23"/>
      <c r="GK943" s="23"/>
      <c r="GL943" s="23"/>
    </row>
    <row r="944" spans="1:194" ht="13">
      <c r="A944" s="23"/>
      <c r="B944" s="23"/>
      <c r="C944" s="23"/>
      <c r="D944" s="23"/>
      <c r="E944" s="23"/>
      <c r="F944" s="23"/>
      <c r="G944" s="23"/>
      <c r="H944" s="401"/>
      <c r="I944" s="401"/>
      <c r="J944" s="401"/>
      <c r="K944" s="401"/>
      <c r="L944" s="401"/>
      <c r="M944" s="438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  <c r="AL944" s="23"/>
      <c r="AM944" s="23"/>
      <c r="AN944" s="23"/>
      <c r="AO944" s="23"/>
      <c r="AP944" s="23"/>
      <c r="AQ944" s="23"/>
      <c r="AR944" s="23"/>
      <c r="AS944" s="23"/>
      <c r="AT944" s="23"/>
      <c r="AU944" s="23"/>
      <c r="AV944" s="23"/>
      <c r="AW944" s="23"/>
      <c r="AX944" s="23"/>
      <c r="AY944" s="23"/>
      <c r="AZ944" s="23"/>
      <c r="BA944" s="23"/>
      <c r="BB944" s="23"/>
      <c r="BC944" s="23"/>
      <c r="BD944" s="23"/>
      <c r="BE944" s="23"/>
      <c r="BF944" s="23"/>
      <c r="BG944" s="23"/>
      <c r="BH944" s="23"/>
      <c r="BI944" s="23"/>
      <c r="BJ944" s="23"/>
      <c r="BK944" s="23"/>
      <c r="BL944" s="23"/>
      <c r="BM944" s="23"/>
      <c r="BN944" s="23"/>
      <c r="BO944" s="23"/>
      <c r="BP944" s="23"/>
      <c r="BQ944" s="23"/>
      <c r="BR944" s="23"/>
      <c r="BS944" s="23"/>
      <c r="BT944" s="23"/>
      <c r="BU944" s="23"/>
      <c r="BV944" s="23"/>
      <c r="BW944" s="23"/>
      <c r="BX944" s="23"/>
      <c r="BY944" s="23"/>
      <c r="BZ944" s="23"/>
      <c r="CA944" s="23"/>
      <c r="CB944" s="23"/>
      <c r="CC944" s="23"/>
      <c r="CD944" s="23"/>
      <c r="CE944" s="23"/>
      <c r="CF944" s="23"/>
      <c r="CG944" s="23"/>
      <c r="CH944" s="23"/>
      <c r="CI944" s="23"/>
      <c r="CJ944" s="23"/>
      <c r="CK944" s="23"/>
      <c r="CL944" s="23"/>
      <c r="CM944" s="23"/>
      <c r="CN944" s="23"/>
      <c r="CO944" s="23"/>
      <c r="CP944" s="23"/>
      <c r="CQ944" s="23"/>
      <c r="CR944" s="23"/>
      <c r="CS944" s="23"/>
      <c r="CT944" s="23"/>
      <c r="CU944" s="23"/>
      <c r="CV944" s="23"/>
      <c r="CW944" s="23"/>
      <c r="CX944" s="23"/>
      <c r="CY944" s="23"/>
      <c r="CZ944" s="23"/>
      <c r="DA944" s="23"/>
      <c r="DB944" s="23"/>
      <c r="DC944" s="23"/>
      <c r="DD944" s="23"/>
      <c r="DE944" s="23"/>
      <c r="DF944" s="23"/>
      <c r="DG944" s="23"/>
      <c r="DH944" s="23"/>
      <c r="DI944" s="23"/>
      <c r="DJ944" s="23"/>
      <c r="DK944" s="23"/>
      <c r="DL944" s="23"/>
      <c r="DM944" s="23"/>
      <c r="DN944" s="23"/>
      <c r="DO944" s="23"/>
      <c r="DP944" s="23"/>
      <c r="DQ944" s="23"/>
      <c r="DR944" s="23"/>
      <c r="DS944" s="23"/>
      <c r="DT944" s="23"/>
      <c r="DU944" s="23"/>
      <c r="DV944" s="23"/>
      <c r="DW944" s="23"/>
      <c r="DX944" s="23"/>
      <c r="DY944" s="23"/>
      <c r="DZ944" s="23"/>
      <c r="EA944" s="23"/>
      <c r="EB944" s="23"/>
      <c r="EC944" s="23"/>
      <c r="ED944" s="23"/>
      <c r="EE944" s="23"/>
      <c r="EF944" s="23"/>
      <c r="EG944" s="23"/>
      <c r="EH944" s="23"/>
      <c r="EI944" s="23"/>
      <c r="EJ944" s="23"/>
      <c r="EK944" s="23"/>
      <c r="EL944" s="23"/>
      <c r="EM944" s="23"/>
      <c r="EN944" s="23"/>
      <c r="EO944" s="23"/>
      <c r="EP944" s="23"/>
      <c r="EQ944" s="23"/>
      <c r="ER944" s="23"/>
      <c r="ES944" s="23"/>
      <c r="ET944" s="23"/>
      <c r="EU944" s="23"/>
      <c r="EV944" s="23"/>
      <c r="EW944" s="23"/>
      <c r="EX944" s="23"/>
      <c r="EY944" s="23"/>
      <c r="EZ944" s="23"/>
      <c r="FA944" s="23"/>
      <c r="FB944" s="23"/>
      <c r="FC944" s="23"/>
      <c r="FD944" s="23"/>
      <c r="FE944" s="23"/>
      <c r="FF944" s="23"/>
      <c r="FG944" s="23"/>
      <c r="FH944" s="23"/>
      <c r="FI944" s="23"/>
      <c r="FJ944" s="23"/>
      <c r="FK944" s="23"/>
      <c r="FL944" s="23"/>
      <c r="FM944" s="23"/>
      <c r="FN944" s="23"/>
      <c r="FO944" s="23"/>
      <c r="FP944" s="23"/>
      <c r="FQ944" s="23"/>
      <c r="FR944" s="23"/>
      <c r="FS944" s="23"/>
      <c r="FT944" s="23"/>
      <c r="FU944" s="23"/>
      <c r="FV944" s="23"/>
      <c r="FW944" s="23"/>
      <c r="FX944" s="23"/>
      <c r="FY944" s="23"/>
      <c r="FZ944" s="23"/>
      <c r="GA944" s="23"/>
      <c r="GB944" s="23"/>
      <c r="GC944" s="23"/>
      <c r="GD944" s="23"/>
      <c r="GE944" s="23"/>
      <c r="GF944" s="23"/>
      <c r="GG944" s="23"/>
      <c r="GH944" s="23"/>
      <c r="GI944" s="23"/>
      <c r="GJ944" s="23"/>
      <c r="GK944" s="23"/>
      <c r="GL944" s="23"/>
    </row>
    <row r="945" spans="1:194" ht="13">
      <c r="A945" s="23"/>
      <c r="B945" s="23"/>
      <c r="C945" s="23"/>
      <c r="D945" s="23"/>
      <c r="E945" s="23"/>
      <c r="F945" s="23"/>
      <c r="G945" s="23"/>
      <c r="H945" s="401"/>
      <c r="I945" s="401"/>
      <c r="J945" s="401"/>
      <c r="K945" s="401"/>
      <c r="L945" s="401"/>
      <c r="M945" s="438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  <c r="AL945" s="23"/>
      <c r="AM945" s="23"/>
      <c r="AN945" s="23"/>
      <c r="AO945" s="23"/>
      <c r="AP945" s="23"/>
      <c r="AQ945" s="23"/>
      <c r="AR945" s="23"/>
      <c r="AS945" s="23"/>
      <c r="AT945" s="23"/>
      <c r="AU945" s="23"/>
      <c r="AV945" s="23"/>
      <c r="AW945" s="23"/>
      <c r="AX945" s="23"/>
      <c r="AY945" s="23"/>
      <c r="AZ945" s="23"/>
      <c r="BA945" s="23"/>
      <c r="BB945" s="23"/>
      <c r="BC945" s="23"/>
      <c r="BD945" s="23"/>
      <c r="BE945" s="23"/>
      <c r="BF945" s="23"/>
      <c r="BG945" s="23"/>
      <c r="BH945" s="23"/>
      <c r="BI945" s="23"/>
      <c r="BJ945" s="23"/>
      <c r="BK945" s="23"/>
      <c r="BL945" s="23"/>
      <c r="BM945" s="23"/>
      <c r="BN945" s="23"/>
      <c r="BO945" s="23"/>
      <c r="BP945" s="23"/>
      <c r="BQ945" s="23"/>
      <c r="BR945" s="23"/>
      <c r="BS945" s="23"/>
      <c r="BT945" s="23"/>
      <c r="BU945" s="23"/>
      <c r="BV945" s="23"/>
      <c r="BW945" s="23"/>
      <c r="BX945" s="23"/>
      <c r="BY945" s="23"/>
      <c r="BZ945" s="23"/>
      <c r="CA945" s="23"/>
      <c r="CB945" s="23"/>
      <c r="CC945" s="23"/>
      <c r="CD945" s="23"/>
      <c r="CE945" s="23"/>
      <c r="CF945" s="23"/>
      <c r="CG945" s="23"/>
      <c r="CH945" s="23"/>
      <c r="CI945" s="23"/>
      <c r="CJ945" s="23"/>
      <c r="CK945" s="23"/>
      <c r="CL945" s="23"/>
      <c r="CM945" s="23"/>
      <c r="CN945" s="23"/>
      <c r="CO945" s="23"/>
      <c r="CP945" s="23"/>
      <c r="CQ945" s="23"/>
      <c r="CR945" s="23"/>
      <c r="CS945" s="23"/>
      <c r="CT945" s="23"/>
      <c r="CU945" s="23"/>
      <c r="CV945" s="23"/>
      <c r="CW945" s="23"/>
      <c r="CX945" s="23"/>
      <c r="CY945" s="23"/>
      <c r="CZ945" s="23"/>
      <c r="DA945" s="23"/>
      <c r="DB945" s="23"/>
      <c r="DC945" s="23"/>
      <c r="DD945" s="23"/>
      <c r="DE945" s="23"/>
      <c r="DF945" s="23"/>
      <c r="DG945" s="23"/>
      <c r="DH945" s="23"/>
      <c r="DI945" s="23"/>
      <c r="DJ945" s="23"/>
      <c r="DK945" s="23"/>
      <c r="DL945" s="23"/>
      <c r="DM945" s="23"/>
      <c r="DN945" s="23"/>
      <c r="DO945" s="23"/>
      <c r="DP945" s="23"/>
      <c r="DQ945" s="23"/>
      <c r="DR945" s="23"/>
      <c r="DS945" s="23"/>
      <c r="DT945" s="23"/>
      <c r="DU945" s="23"/>
      <c r="DV945" s="23"/>
      <c r="DW945" s="23"/>
      <c r="DX945" s="23"/>
      <c r="DY945" s="23"/>
      <c r="DZ945" s="23"/>
      <c r="EA945" s="23"/>
      <c r="EB945" s="23"/>
      <c r="EC945" s="23"/>
      <c r="ED945" s="23"/>
      <c r="EE945" s="23"/>
      <c r="EF945" s="23"/>
      <c r="EG945" s="23"/>
      <c r="EH945" s="23"/>
      <c r="EI945" s="23"/>
      <c r="EJ945" s="23"/>
      <c r="EK945" s="23"/>
      <c r="EL945" s="23"/>
      <c r="EM945" s="23"/>
      <c r="EN945" s="23"/>
      <c r="EO945" s="23"/>
      <c r="EP945" s="23"/>
      <c r="EQ945" s="23"/>
      <c r="ER945" s="23"/>
      <c r="ES945" s="23"/>
      <c r="ET945" s="23"/>
      <c r="EU945" s="23"/>
      <c r="EV945" s="23"/>
      <c r="EW945" s="23"/>
      <c r="EX945" s="23"/>
      <c r="EY945" s="23"/>
      <c r="EZ945" s="23"/>
      <c r="FA945" s="23"/>
      <c r="FB945" s="23"/>
      <c r="FC945" s="23"/>
      <c r="FD945" s="23"/>
      <c r="FE945" s="23"/>
      <c r="FF945" s="23"/>
      <c r="FG945" s="23"/>
      <c r="FH945" s="23"/>
      <c r="FI945" s="23"/>
      <c r="FJ945" s="23"/>
      <c r="FK945" s="23"/>
      <c r="FL945" s="23"/>
      <c r="FM945" s="23"/>
      <c r="FN945" s="23"/>
      <c r="FO945" s="23"/>
      <c r="FP945" s="23"/>
      <c r="FQ945" s="23"/>
      <c r="FR945" s="23"/>
      <c r="FS945" s="23"/>
      <c r="FT945" s="23"/>
      <c r="FU945" s="23"/>
      <c r="FV945" s="23"/>
      <c r="FW945" s="23"/>
      <c r="FX945" s="23"/>
      <c r="FY945" s="23"/>
      <c r="FZ945" s="23"/>
      <c r="GA945" s="23"/>
      <c r="GB945" s="23"/>
      <c r="GC945" s="23"/>
      <c r="GD945" s="23"/>
      <c r="GE945" s="23"/>
      <c r="GF945" s="23"/>
      <c r="GG945" s="23"/>
      <c r="GH945" s="23"/>
      <c r="GI945" s="23"/>
      <c r="GJ945" s="23"/>
      <c r="GK945" s="23"/>
      <c r="GL945" s="23"/>
    </row>
    <row r="946" spans="1:194" ht="13">
      <c r="A946" s="23"/>
      <c r="B946" s="23"/>
      <c r="C946" s="23"/>
      <c r="D946" s="23"/>
      <c r="E946" s="23"/>
      <c r="F946" s="23"/>
      <c r="G946" s="23"/>
      <c r="H946" s="401"/>
      <c r="I946" s="401"/>
      <c r="J946" s="401"/>
      <c r="K946" s="401"/>
      <c r="L946" s="401"/>
      <c r="M946" s="438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  <c r="AL946" s="23"/>
      <c r="AM946" s="23"/>
      <c r="AN946" s="23"/>
      <c r="AO946" s="23"/>
      <c r="AP946" s="23"/>
      <c r="AQ946" s="23"/>
      <c r="AR946" s="23"/>
      <c r="AS946" s="23"/>
      <c r="AT946" s="23"/>
      <c r="AU946" s="23"/>
      <c r="AV946" s="23"/>
      <c r="AW946" s="23"/>
      <c r="AX946" s="23"/>
      <c r="AY946" s="23"/>
      <c r="AZ946" s="23"/>
      <c r="BA946" s="23"/>
      <c r="BB946" s="23"/>
      <c r="BC946" s="23"/>
      <c r="BD946" s="23"/>
      <c r="BE946" s="23"/>
      <c r="BF946" s="23"/>
      <c r="BG946" s="23"/>
      <c r="BH946" s="23"/>
      <c r="BI946" s="23"/>
      <c r="BJ946" s="23"/>
      <c r="BK946" s="23"/>
      <c r="BL946" s="23"/>
      <c r="BM946" s="23"/>
      <c r="BN946" s="23"/>
      <c r="BO946" s="23"/>
      <c r="BP946" s="23"/>
      <c r="BQ946" s="23"/>
      <c r="BR946" s="23"/>
      <c r="BS946" s="23"/>
      <c r="BT946" s="23"/>
      <c r="BU946" s="23"/>
      <c r="BV946" s="23"/>
      <c r="BW946" s="23"/>
      <c r="BX946" s="23"/>
      <c r="BY946" s="23"/>
      <c r="BZ946" s="23"/>
      <c r="CA946" s="23"/>
      <c r="CB946" s="23"/>
      <c r="CC946" s="23"/>
      <c r="CD946" s="23"/>
      <c r="CE946" s="23"/>
      <c r="CF946" s="23"/>
      <c r="CG946" s="23"/>
      <c r="CH946" s="23"/>
      <c r="CI946" s="23"/>
      <c r="CJ946" s="23"/>
      <c r="CK946" s="23"/>
      <c r="CL946" s="23"/>
      <c r="CM946" s="23"/>
      <c r="CN946" s="23"/>
      <c r="CO946" s="23"/>
      <c r="CP946" s="23"/>
      <c r="CQ946" s="23"/>
      <c r="CR946" s="23"/>
      <c r="CS946" s="23"/>
      <c r="CT946" s="23"/>
      <c r="CU946" s="23"/>
      <c r="CV946" s="23"/>
      <c r="CW946" s="23"/>
      <c r="CX946" s="23"/>
      <c r="CY946" s="23"/>
      <c r="CZ946" s="23"/>
      <c r="DA946" s="23"/>
      <c r="DB946" s="23"/>
      <c r="DC946" s="23"/>
      <c r="DD946" s="23"/>
      <c r="DE946" s="23"/>
      <c r="DF946" s="23"/>
      <c r="DG946" s="23"/>
      <c r="DH946" s="23"/>
      <c r="DI946" s="23"/>
      <c r="DJ946" s="23"/>
      <c r="DK946" s="23"/>
      <c r="DL946" s="23"/>
      <c r="DM946" s="23"/>
      <c r="DN946" s="23"/>
      <c r="DO946" s="23"/>
      <c r="DP946" s="23"/>
      <c r="DQ946" s="23"/>
      <c r="DR946" s="23"/>
      <c r="DS946" s="23"/>
      <c r="DT946" s="23"/>
      <c r="DU946" s="23"/>
      <c r="DV946" s="23"/>
      <c r="DW946" s="23"/>
      <c r="DX946" s="23"/>
      <c r="DY946" s="23"/>
      <c r="DZ946" s="23"/>
      <c r="EA946" s="23"/>
      <c r="EB946" s="23"/>
      <c r="EC946" s="23"/>
      <c r="ED946" s="23"/>
      <c r="EE946" s="23"/>
      <c r="EF946" s="23"/>
      <c r="EG946" s="23"/>
      <c r="EH946" s="23"/>
      <c r="EI946" s="23"/>
      <c r="EJ946" s="23"/>
      <c r="EK946" s="23"/>
      <c r="EL946" s="23"/>
      <c r="EM946" s="23"/>
      <c r="EN946" s="23"/>
      <c r="EO946" s="23"/>
      <c r="EP946" s="23"/>
      <c r="EQ946" s="23"/>
      <c r="ER946" s="23"/>
      <c r="ES946" s="23"/>
      <c r="ET946" s="23"/>
      <c r="EU946" s="23"/>
      <c r="EV946" s="23"/>
      <c r="EW946" s="23"/>
      <c r="EX946" s="23"/>
      <c r="EY946" s="23"/>
      <c r="EZ946" s="23"/>
      <c r="FA946" s="23"/>
      <c r="FB946" s="23"/>
      <c r="FC946" s="23"/>
      <c r="FD946" s="23"/>
      <c r="FE946" s="23"/>
      <c r="FF946" s="23"/>
      <c r="FG946" s="23"/>
      <c r="FH946" s="23"/>
      <c r="FI946" s="23"/>
      <c r="FJ946" s="23"/>
      <c r="FK946" s="23"/>
      <c r="FL946" s="23"/>
      <c r="FM946" s="23"/>
      <c r="FN946" s="23"/>
      <c r="FO946" s="23"/>
      <c r="FP946" s="23"/>
      <c r="FQ946" s="23"/>
      <c r="FR946" s="23"/>
      <c r="FS946" s="23"/>
      <c r="FT946" s="23"/>
      <c r="FU946" s="23"/>
      <c r="FV946" s="23"/>
      <c r="FW946" s="23"/>
      <c r="FX946" s="23"/>
      <c r="FY946" s="23"/>
      <c r="FZ946" s="23"/>
      <c r="GA946" s="23"/>
      <c r="GB946" s="23"/>
      <c r="GC946" s="23"/>
      <c r="GD946" s="23"/>
      <c r="GE946" s="23"/>
      <c r="GF946" s="23"/>
      <c r="GG946" s="23"/>
      <c r="GH946" s="23"/>
      <c r="GI946" s="23"/>
      <c r="GJ946" s="23"/>
      <c r="GK946" s="23"/>
      <c r="GL946" s="23"/>
    </row>
    <row r="947" spans="1:194" ht="13">
      <c r="A947" s="23"/>
      <c r="B947" s="23"/>
      <c r="C947" s="23"/>
      <c r="D947" s="23"/>
      <c r="E947" s="23"/>
      <c r="F947" s="23"/>
      <c r="G947" s="23"/>
      <c r="H947" s="401"/>
      <c r="I947" s="401"/>
      <c r="J947" s="401"/>
      <c r="K947" s="401"/>
      <c r="L947" s="401"/>
      <c r="M947" s="438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  <c r="AL947" s="23"/>
      <c r="AM947" s="23"/>
      <c r="AN947" s="23"/>
      <c r="AO947" s="23"/>
      <c r="AP947" s="23"/>
      <c r="AQ947" s="23"/>
      <c r="AR947" s="23"/>
      <c r="AS947" s="23"/>
      <c r="AT947" s="23"/>
      <c r="AU947" s="23"/>
      <c r="AV947" s="23"/>
      <c r="AW947" s="23"/>
      <c r="AX947" s="23"/>
      <c r="AY947" s="23"/>
      <c r="AZ947" s="23"/>
      <c r="BA947" s="23"/>
      <c r="BB947" s="23"/>
      <c r="BC947" s="23"/>
      <c r="BD947" s="23"/>
      <c r="BE947" s="23"/>
      <c r="BF947" s="23"/>
      <c r="BG947" s="23"/>
      <c r="BH947" s="23"/>
      <c r="BI947" s="23"/>
      <c r="BJ947" s="23"/>
      <c r="BK947" s="23"/>
      <c r="BL947" s="23"/>
      <c r="BM947" s="23"/>
      <c r="BN947" s="23"/>
      <c r="BO947" s="23"/>
      <c r="BP947" s="23"/>
      <c r="BQ947" s="23"/>
      <c r="BR947" s="23"/>
      <c r="BS947" s="23"/>
      <c r="BT947" s="23"/>
      <c r="BU947" s="23"/>
      <c r="BV947" s="23"/>
      <c r="BW947" s="23"/>
      <c r="BX947" s="23"/>
      <c r="BY947" s="23"/>
      <c r="BZ947" s="23"/>
      <c r="CA947" s="23"/>
      <c r="CB947" s="23"/>
      <c r="CC947" s="23"/>
      <c r="CD947" s="23"/>
      <c r="CE947" s="23"/>
      <c r="CF947" s="23"/>
      <c r="CG947" s="23"/>
      <c r="CH947" s="23"/>
      <c r="CI947" s="23"/>
      <c r="CJ947" s="23"/>
      <c r="CK947" s="23"/>
      <c r="CL947" s="23"/>
      <c r="CM947" s="23"/>
      <c r="CN947" s="23"/>
      <c r="CO947" s="23"/>
      <c r="CP947" s="23"/>
      <c r="CQ947" s="23"/>
      <c r="CR947" s="23"/>
      <c r="CS947" s="23"/>
      <c r="CT947" s="23"/>
      <c r="CU947" s="23"/>
      <c r="CV947" s="23"/>
      <c r="CW947" s="23"/>
      <c r="CX947" s="23"/>
      <c r="CY947" s="23"/>
      <c r="CZ947" s="23"/>
      <c r="DA947" s="23"/>
      <c r="DB947" s="23"/>
      <c r="DC947" s="23"/>
      <c r="DD947" s="23"/>
      <c r="DE947" s="23"/>
      <c r="DF947" s="23"/>
      <c r="DG947" s="23"/>
      <c r="DH947" s="23"/>
      <c r="DI947" s="23"/>
      <c r="DJ947" s="23"/>
      <c r="DK947" s="23"/>
      <c r="DL947" s="23"/>
      <c r="DM947" s="23"/>
      <c r="DN947" s="23"/>
      <c r="DO947" s="23"/>
      <c r="DP947" s="23"/>
      <c r="DQ947" s="23"/>
      <c r="DR947" s="23"/>
      <c r="DS947" s="23"/>
      <c r="DT947" s="23"/>
      <c r="DU947" s="23"/>
      <c r="DV947" s="23"/>
      <c r="DW947" s="23"/>
      <c r="DX947" s="23"/>
      <c r="DY947" s="23"/>
      <c r="DZ947" s="23"/>
      <c r="EA947" s="23"/>
      <c r="EB947" s="23"/>
      <c r="EC947" s="23"/>
      <c r="ED947" s="23"/>
      <c r="EE947" s="23"/>
      <c r="EF947" s="23"/>
      <c r="EG947" s="23"/>
      <c r="EH947" s="23"/>
      <c r="EI947" s="23"/>
      <c r="EJ947" s="23"/>
      <c r="EK947" s="23"/>
      <c r="EL947" s="23"/>
      <c r="EM947" s="23"/>
      <c r="EN947" s="23"/>
      <c r="EO947" s="23"/>
      <c r="EP947" s="23"/>
      <c r="EQ947" s="23"/>
      <c r="ER947" s="23"/>
      <c r="ES947" s="23"/>
      <c r="ET947" s="23"/>
      <c r="EU947" s="23"/>
      <c r="EV947" s="23"/>
      <c r="EW947" s="23"/>
      <c r="EX947" s="23"/>
      <c r="EY947" s="23"/>
      <c r="EZ947" s="23"/>
      <c r="FA947" s="23"/>
      <c r="FB947" s="23"/>
      <c r="FC947" s="23"/>
      <c r="FD947" s="23"/>
      <c r="FE947" s="23"/>
      <c r="FF947" s="23"/>
      <c r="FG947" s="23"/>
      <c r="FH947" s="23"/>
      <c r="FI947" s="23"/>
      <c r="FJ947" s="23"/>
      <c r="FK947" s="23"/>
      <c r="FL947" s="23"/>
      <c r="FM947" s="23"/>
      <c r="FN947" s="23"/>
      <c r="FO947" s="23"/>
      <c r="FP947" s="23"/>
      <c r="FQ947" s="23"/>
      <c r="FR947" s="23"/>
      <c r="FS947" s="23"/>
      <c r="FT947" s="23"/>
      <c r="FU947" s="23"/>
      <c r="FV947" s="23"/>
      <c r="FW947" s="23"/>
      <c r="FX947" s="23"/>
      <c r="FY947" s="23"/>
      <c r="FZ947" s="23"/>
      <c r="GA947" s="23"/>
      <c r="GB947" s="23"/>
      <c r="GC947" s="23"/>
      <c r="GD947" s="23"/>
      <c r="GE947" s="23"/>
      <c r="GF947" s="23"/>
      <c r="GG947" s="23"/>
      <c r="GH947" s="23"/>
      <c r="GI947" s="23"/>
      <c r="GJ947" s="23"/>
      <c r="GK947" s="23"/>
      <c r="GL947" s="23"/>
    </row>
    <row r="948" spans="1:194" ht="13">
      <c r="A948" s="23"/>
      <c r="B948" s="23"/>
      <c r="C948" s="23"/>
      <c r="D948" s="23"/>
      <c r="E948" s="23"/>
      <c r="F948" s="23"/>
      <c r="G948" s="23"/>
      <c r="H948" s="401"/>
      <c r="I948" s="401"/>
      <c r="J948" s="401"/>
      <c r="K948" s="401"/>
      <c r="L948" s="401"/>
      <c r="M948" s="438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  <c r="AL948" s="23"/>
      <c r="AM948" s="23"/>
      <c r="AN948" s="23"/>
      <c r="AO948" s="23"/>
      <c r="AP948" s="23"/>
      <c r="AQ948" s="23"/>
      <c r="AR948" s="23"/>
      <c r="AS948" s="23"/>
      <c r="AT948" s="23"/>
      <c r="AU948" s="23"/>
      <c r="AV948" s="23"/>
      <c r="AW948" s="23"/>
      <c r="AX948" s="23"/>
      <c r="AY948" s="23"/>
      <c r="AZ948" s="23"/>
      <c r="BA948" s="23"/>
      <c r="BB948" s="23"/>
      <c r="BC948" s="23"/>
      <c r="BD948" s="23"/>
      <c r="BE948" s="23"/>
      <c r="BF948" s="23"/>
      <c r="BG948" s="23"/>
      <c r="BH948" s="23"/>
      <c r="BI948" s="23"/>
      <c r="BJ948" s="23"/>
      <c r="BK948" s="23"/>
      <c r="BL948" s="23"/>
      <c r="BM948" s="23"/>
      <c r="BN948" s="23"/>
      <c r="BO948" s="23"/>
      <c r="BP948" s="23"/>
      <c r="BQ948" s="23"/>
      <c r="BR948" s="23"/>
      <c r="BS948" s="23"/>
      <c r="BT948" s="23"/>
      <c r="BU948" s="23"/>
      <c r="BV948" s="23"/>
      <c r="BW948" s="23"/>
      <c r="BX948" s="23"/>
      <c r="BY948" s="23"/>
      <c r="BZ948" s="23"/>
      <c r="CA948" s="23"/>
      <c r="CB948" s="23"/>
      <c r="CC948" s="23"/>
      <c r="CD948" s="23"/>
      <c r="CE948" s="23"/>
      <c r="CF948" s="23"/>
      <c r="CG948" s="23"/>
      <c r="CH948" s="23"/>
      <c r="CI948" s="23"/>
      <c r="CJ948" s="23"/>
      <c r="CK948" s="23"/>
      <c r="CL948" s="23"/>
      <c r="CM948" s="23"/>
      <c r="CN948" s="23"/>
      <c r="CO948" s="23"/>
      <c r="CP948" s="23"/>
      <c r="CQ948" s="23"/>
      <c r="CR948" s="23"/>
      <c r="CS948" s="23"/>
      <c r="CT948" s="23"/>
      <c r="CU948" s="23"/>
      <c r="CV948" s="23"/>
      <c r="CW948" s="23"/>
      <c r="CX948" s="23"/>
      <c r="CY948" s="23"/>
      <c r="CZ948" s="23"/>
      <c r="DA948" s="23"/>
      <c r="DB948" s="23"/>
      <c r="DC948" s="23"/>
      <c r="DD948" s="23"/>
      <c r="DE948" s="23"/>
      <c r="DF948" s="23"/>
      <c r="DG948" s="23"/>
      <c r="DH948" s="23"/>
      <c r="DI948" s="23"/>
      <c r="DJ948" s="23"/>
      <c r="DK948" s="23"/>
      <c r="DL948" s="23"/>
      <c r="DM948" s="23"/>
      <c r="DN948" s="23"/>
      <c r="DO948" s="23"/>
      <c r="DP948" s="23"/>
      <c r="DQ948" s="23"/>
      <c r="DR948" s="23"/>
      <c r="DS948" s="23"/>
      <c r="DT948" s="23"/>
      <c r="DU948" s="23"/>
      <c r="DV948" s="23"/>
      <c r="DW948" s="23"/>
      <c r="DX948" s="23"/>
      <c r="DY948" s="23"/>
      <c r="DZ948" s="23"/>
      <c r="EA948" s="23"/>
      <c r="EB948" s="23"/>
      <c r="EC948" s="23"/>
      <c r="ED948" s="23"/>
      <c r="EE948" s="23"/>
      <c r="EF948" s="23"/>
      <c r="EG948" s="23"/>
      <c r="EH948" s="23"/>
      <c r="EI948" s="23"/>
      <c r="EJ948" s="23"/>
      <c r="EK948" s="23"/>
      <c r="EL948" s="23"/>
      <c r="EM948" s="23"/>
      <c r="EN948" s="23"/>
      <c r="EO948" s="23"/>
      <c r="EP948" s="23"/>
      <c r="EQ948" s="23"/>
      <c r="ER948" s="23"/>
      <c r="ES948" s="23"/>
      <c r="ET948" s="23"/>
      <c r="EU948" s="23"/>
      <c r="EV948" s="23"/>
      <c r="EW948" s="23"/>
      <c r="EX948" s="23"/>
      <c r="EY948" s="23"/>
      <c r="EZ948" s="23"/>
      <c r="FA948" s="23"/>
      <c r="FB948" s="23"/>
      <c r="FC948" s="23"/>
      <c r="FD948" s="23"/>
      <c r="FE948" s="23"/>
      <c r="FF948" s="23"/>
      <c r="FG948" s="23"/>
      <c r="FH948" s="23"/>
      <c r="FI948" s="23"/>
      <c r="FJ948" s="23"/>
      <c r="FK948" s="23"/>
      <c r="FL948" s="23"/>
      <c r="FM948" s="23"/>
      <c r="FN948" s="23"/>
      <c r="FO948" s="23"/>
      <c r="FP948" s="23"/>
      <c r="FQ948" s="23"/>
      <c r="FR948" s="23"/>
      <c r="FS948" s="23"/>
      <c r="FT948" s="23"/>
      <c r="FU948" s="23"/>
      <c r="FV948" s="23"/>
      <c r="FW948" s="23"/>
      <c r="FX948" s="23"/>
      <c r="FY948" s="23"/>
      <c r="FZ948" s="23"/>
      <c r="GA948" s="23"/>
      <c r="GB948" s="23"/>
      <c r="GC948" s="23"/>
      <c r="GD948" s="23"/>
      <c r="GE948" s="23"/>
      <c r="GF948" s="23"/>
      <c r="GG948" s="23"/>
      <c r="GH948" s="23"/>
      <c r="GI948" s="23"/>
      <c r="GJ948" s="23"/>
      <c r="GK948" s="23"/>
      <c r="GL948" s="23"/>
    </row>
    <row r="949" spans="1:194" ht="13">
      <c r="A949" s="23"/>
      <c r="B949" s="23"/>
      <c r="C949" s="23"/>
      <c r="D949" s="23"/>
      <c r="E949" s="23"/>
      <c r="F949" s="23"/>
      <c r="G949" s="23"/>
      <c r="H949" s="401"/>
      <c r="I949" s="401"/>
      <c r="J949" s="401"/>
      <c r="K949" s="401"/>
      <c r="L949" s="401"/>
      <c r="M949" s="438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  <c r="AL949" s="23"/>
      <c r="AM949" s="23"/>
      <c r="AN949" s="23"/>
      <c r="AO949" s="23"/>
      <c r="AP949" s="23"/>
      <c r="AQ949" s="23"/>
      <c r="AR949" s="23"/>
      <c r="AS949" s="23"/>
      <c r="AT949" s="23"/>
      <c r="AU949" s="23"/>
      <c r="AV949" s="23"/>
      <c r="AW949" s="23"/>
      <c r="AX949" s="23"/>
      <c r="AY949" s="23"/>
      <c r="AZ949" s="23"/>
      <c r="BA949" s="23"/>
      <c r="BB949" s="23"/>
      <c r="BC949" s="23"/>
      <c r="BD949" s="23"/>
      <c r="BE949" s="23"/>
      <c r="BF949" s="23"/>
      <c r="BG949" s="23"/>
      <c r="BH949" s="23"/>
      <c r="BI949" s="23"/>
      <c r="BJ949" s="23"/>
      <c r="BK949" s="23"/>
      <c r="BL949" s="23"/>
      <c r="BM949" s="23"/>
      <c r="BN949" s="23"/>
      <c r="BO949" s="23"/>
      <c r="BP949" s="23"/>
      <c r="BQ949" s="23"/>
      <c r="BR949" s="23"/>
      <c r="BS949" s="23"/>
      <c r="BT949" s="23"/>
      <c r="BU949" s="23"/>
      <c r="BV949" s="23"/>
      <c r="BW949" s="23"/>
      <c r="BX949" s="23"/>
      <c r="BY949" s="23"/>
      <c r="BZ949" s="23"/>
      <c r="CA949" s="23"/>
      <c r="CB949" s="23"/>
      <c r="CC949" s="23"/>
      <c r="CD949" s="23"/>
      <c r="CE949" s="23"/>
      <c r="CF949" s="23"/>
      <c r="CG949" s="23"/>
      <c r="CH949" s="23"/>
      <c r="CI949" s="23"/>
      <c r="CJ949" s="23"/>
      <c r="CK949" s="23"/>
      <c r="CL949" s="23"/>
      <c r="CM949" s="23"/>
      <c r="CN949" s="23"/>
      <c r="CO949" s="23"/>
      <c r="CP949" s="23"/>
      <c r="CQ949" s="23"/>
      <c r="CR949" s="23"/>
      <c r="CS949" s="23"/>
      <c r="CT949" s="23"/>
      <c r="CU949" s="23"/>
      <c r="CV949" s="23"/>
      <c r="CW949" s="23"/>
      <c r="CX949" s="23"/>
      <c r="CY949" s="23"/>
      <c r="CZ949" s="23"/>
      <c r="DA949" s="23"/>
      <c r="DB949" s="23"/>
      <c r="DC949" s="23"/>
      <c r="DD949" s="23"/>
      <c r="DE949" s="23"/>
      <c r="DF949" s="23"/>
      <c r="DG949" s="23"/>
      <c r="DH949" s="23"/>
      <c r="DI949" s="23"/>
      <c r="DJ949" s="23"/>
      <c r="DK949" s="23"/>
      <c r="DL949" s="23"/>
      <c r="DM949" s="23"/>
      <c r="DN949" s="23"/>
      <c r="DO949" s="23"/>
      <c r="DP949" s="23"/>
      <c r="DQ949" s="23"/>
      <c r="DR949" s="23"/>
      <c r="DS949" s="23"/>
      <c r="DT949" s="23"/>
      <c r="DU949" s="23"/>
      <c r="DV949" s="23"/>
      <c r="DW949" s="23"/>
      <c r="DX949" s="23"/>
      <c r="DY949" s="23"/>
      <c r="DZ949" s="23"/>
      <c r="EA949" s="23"/>
      <c r="EB949" s="23"/>
      <c r="EC949" s="23"/>
      <c r="ED949" s="23"/>
      <c r="EE949" s="23"/>
      <c r="EF949" s="23"/>
      <c r="EG949" s="23"/>
      <c r="EH949" s="23"/>
      <c r="EI949" s="23"/>
      <c r="EJ949" s="23"/>
      <c r="EK949" s="23"/>
      <c r="EL949" s="23"/>
      <c r="EM949" s="23"/>
      <c r="EN949" s="23"/>
      <c r="EO949" s="23"/>
      <c r="EP949" s="23"/>
      <c r="EQ949" s="23"/>
      <c r="ER949" s="23"/>
      <c r="ES949" s="23"/>
      <c r="ET949" s="23"/>
      <c r="EU949" s="23"/>
      <c r="EV949" s="23"/>
      <c r="EW949" s="23"/>
      <c r="EX949" s="23"/>
      <c r="EY949" s="23"/>
      <c r="EZ949" s="23"/>
      <c r="FA949" s="23"/>
      <c r="FB949" s="23"/>
      <c r="FC949" s="23"/>
      <c r="FD949" s="23"/>
      <c r="FE949" s="23"/>
      <c r="FF949" s="23"/>
      <c r="FG949" s="23"/>
      <c r="FH949" s="23"/>
      <c r="FI949" s="23"/>
      <c r="FJ949" s="23"/>
      <c r="FK949" s="23"/>
      <c r="FL949" s="23"/>
      <c r="FM949" s="23"/>
      <c r="FN949" s="23"/>
      <c r="FO949" s="23"/>
      <c r="FP949" s="23"/>
      <c r="FQ949" s="23"/>
      <c r="FR949" s="23"/>
      <c r="FS949" s="23"/>
      <c r="FT949" s="23"/>
      <c r="FU949" s="23"/>
      <c r="FV949" s="23"/>
      <c r="FW949" s="23"/>
      <c r="FX949" s="23"/>
      <c r="FY949" s="23"/>
      <c r="FZ949" s="23"/>
      <c r="GA949" s="23"/>
      <c r="GB949" s="23"/>
      <c r="GC949" s="23"/>
      <c r="GD949" s="23"/>
      <c r="GE949" s="23"/>
      <c r="GF949" s="23"/>
      <c r="GG949" s="23"/>
      <c r="GH949" s="23"/>
      <c r="GI949" s="23"/>
      <c r="GJ949" s="23"/>
      <c r="GK949" s="23"/>
      <c r="GL949" s="23"/>
    </row>
    <row r="950" spans="1:194" ht="13">
      <c r="A950" s="23"/>
      <c r="B950" s="23"/>
      <c r="C950" s="23"/>
      <c r="D950" s="23"/>
      <c r="E950" s="23"/>
      <c r="F950" s="23"/>
      <c r="G950" s="23"/>
      <c r="H950" s="401"/>
      <c r="I950" s="401"/>
      <c r="J950" s="401"/>
      <c r="K950" s="401"/>
      <c r="L950" s="401"/>
      <c r="M950" s="438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  <c r="AL950" s="23"/>
      <c r="AM950" s="23"/>
      <c r="AN950" s="23"/>
      <c r="AO950" s="23"/>
      <c r="AP950" s="23"/>
      <c r="AQ950" s="23"/>
      <c r="AR950" s="23"/>
      <c r="AS950" s="23"/>
      <c r="AT950" s="23"/>
      <c r="AU950" s="23"/>
      <c r="AV950" s="23"/>
      <c r="AW950" s="23"/>
      <c r="AX950" s="23"/>
      <c r="AY950" s="23"/>
      <c r="AZ950" s="23"/>
      <c r="BA950" s="23"/>
      <c r="BB950" s="23"/>
      <c r="BC950" s="23"/>
      <c r="BD950" s="23"/>
      <c r="BE950" s="23"/>
      <c r="BF950" s="23"/>
      <c r="BG950" s="23"/>
      <c r="BH950" s="23"/>
      <c r="BI950" s="23"/>
      <c r="BJ950" s="23"/>
      <c r="BK950" s="23"/>
      <c r="BL950" s="23"/>
      <c r="BM950" s="23"/>
      <c r="BN950" s="23"/>
      <c r="BO950" s="23"/>
      <c r="BP950" s="23"/>
      <c r="BQ950" s="23"/>
      <c r="BR950" s="23"/>
      <c r="BS950" s="23"/>
      <c r="BT950" s="23"/>
      <c r="BU950" s="23"/>
      <c r="BV950" s="23"/>
      <c r="BW950" s="23"/>
      <c r="BX950" s="23"/>
      <c r="BY950" s="23"/>
      <c r="BZ950" s="23"/>
      <c r="CA950" s="23"/>
      <c r="CB950" s="23"/>
      <c r="CC950" s="23"/>
      <c r="CD950" s="23"/>
      <c r="CE950" s="23"/>
      <c r="CF950" s="23"/>
      <c r="CG950" s="23"/>
      <c r="CH950" s="23"/>
      <c r="CI950" s="23"/>
      <c r="CJ950" s="23"/>
      <c r="CK950" s="23"/>
      <c r="CL950" s="23"/>
      <c r="CM950" s="23"/>
      <c r="CN950" s="23"/>
      <c r="CO950" s="23"/>
      <c r="CP950" s="23"/>
      <c r="CQ950" s="23"/>
      <c r="CR950" s="23"/>
      <c r="CS950" s="23"/>
      <c r="CT950" s="23"/>
      <c r="CU950" s="23"/>
      <c r="CV950" s="23"/>
      <c r="CW950" s="23"/>
      <c r="CX950" s="23"/>
      <c r="CY950" s="23"/>
      <c r="CZ950" s="23"/>
      <c r="DA950" s="23"/>
      <c r="DB950" s="23"/>
      <c r="DC950" s="23"/>
      <c r="DD950" s="23"/>
      <c r="DE950" s="23"/>
      <c r="DF950" s="23"/>
      <c r="DG950" s="23"/>
      <c r="DH950" s="23"/>
      <c r="DI950" s="23"/>
      <c r="DJ950" s="23"/>
      <c r="DK950" s="23"/>
      <c r="DL950" s="23"/>
      <c r="DM950" s="23"/>
      <c r="DN950" s="23"/>
      <c r="DO950" s="23"/>
      <c r="DP950" s="23"/>
      <c r="DQ950" s="23"/>
      <c r="DR950" s="23"/>
      <c r="DS950" s="23"/>
      <c r="DT950" s="23"/>
      <c r="DU950" s="23"/>
      <c r="DV950" s="23"/>
      <c r="DW950" s="23"/>
      <c r="DX950" s="23"/>
      <c r="DY950" s="23"/>
      <c r="DZ950" s="23"/>
      <c r="EA950" s="23"/>
      <c r="EB950" s="23"/>
      <c r="EC950" s="23"/>
      <c r="ED950" s="23"/>
      <c r="EE950" s="23"/>
      <c r="EF950" s="23"/>
      <c r="EG950" s="23"/>
      <c r="EH950" s="23"/>
      <c r="EI950" s="23"/>
      <c r="EJ950" s="23"/>
      <c r="EK950" s="23"/>
      <c r="EL950" s="23"/>
      <c r="EM950" s="23"/>
      <c r="EN950" s="23"/>
      <c r="EO950" s="23"/>
      <c r="EP950" s="23"/>
      <c r="EQ950" s="23"/>
      <c r="ER950" s="23"/>
      <c r="ES950" s="23"/>
      <c r="ET950" s="23"/>
      <c r="EU950" s="23"/>
      <c r="EV950" s="23"/>
      <c r="EW950" s="23"/>
      <c r="EX950" s="23"/>
      <c r="EY950" s="23"/>
      <c r="EZ950" s="23"/>
      <c r="FA950" s="23"/>
      <c r="FB950" s="23"/>
      <c r="FC950" s="23"/>
      <c r="FD950" s="23"/>
      <c r="FE950" s="23"/>
      <c r="FF950" s="23"/>
      <c r="FG950" s="23"/>
      <c r="FH950" s="23"/>
      <c r="FI950" s="23"/>
      <c r="FJ950" s="23"/>
      <c r="FK950" s="23"/>
      <c r="FL950" s="23"/>
      <c r="FM950" s="23"/>
      <c r="FN950" s="23"/>
      <c r="FO950" s="23"/>
      <c r="FP950" s="23"/>
      <c r="FQ950" s="23"/>
      <c r="FR950" s="23"/>
      <c r="FS950" s="23"/>
      <c r="FT950" s="23"/>
      <c r="FU950" s="23"/>
      <c r="FV950" s="23"/>
      <c r="FW950" s="23"/>
      <c r="FX950" s="23"/>
      <c r="FY950" s="23"/>
      <c r="FZ950" s="23"/>
      <c r="GA950" s="23"/>
      <c r="GB950" s="23"/>
      <c r="GC950" s="23"/>
      <c r="GD950" s="23"/>
      <c r="GE950" s="23"/>
      <c r="GF950" s="23"/>
      <c r="GG950" s="23"/>
      <c r="GH950" s="23"/>
      <c r="GI950" s="23"/>
      <c r="GJ950" s="23"/>
      <c r="GK950" s="23"/>
      <c r="GL950" s="23"/>
    </row>
    <row r="951" spans="1:194" ht="13">
      <c r="A951" s="23"/>
      <c r="B951" s="23"/>
      <c r="C951" s="23"/>
      <c r="D951" s="23"/>
      <c r="E951" s="23"/>
      <c r="F951" s="23"/>
      <c r="G951" s="23"/>
      <c r="H951" s="401"/>
      <c r="I951" s="401"/>
      <c r="J951" s="401"/>
      <c r="K951" s="401"/>
      <c r="L951" s="401"/>
      <c r="M951" s="438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  <c r="AL951" s="23"/>
      <c r="AM951" s="23"/>
      <c r="AN951" s="23"/>
      <c r="AO951" s="23"/>
      <c r="AP951" s="23"/>
      <c r="AQ951" s="23"/>
      <c r="AR951" s="23"/>
      <c r="AS951" s="23"/>
      <c r="AT951" s="23"/>
      <c r="AU951" s="23"/>
      <c r="AV951" s="23"/>
      <c r="AW951" s="23"/>
      <c r="AX951" s="23"/>
      <c r="AY951" s="23"/>
      <c r="AZ951" s="23"/>
      <c r="BA951" s="23"/>
      <c r="BB951" s="23"/>
      <c r="BC951" s="23"/>
      <c r="BD951" s="23"/>
      <c r="BE951" s="23"/>
      <c r="BF951" s="23"/>
      <c r="BG951" s="23"/>
      <c r="BH951" s="23"/>
      <c r="BI951" s="23"/>
      <c r="BJ951" s="23"/>
      <c r="BK951" s="23"/>
      <c r="BL951" s="23"/>
      <c r="BM951" s="23"/>
      <c r="BN951" s="23"/>
      <c r="BO951" s="23"/>
      <c r="BP951" s="23"/>
      <c r="BQ951" s="23"/>
      <c r="BR951" s="23"/>
      <c r="BS951" s="23"/>
      <c r="BT951" s="23"/>
      <c r="BU951" s="23"/>
      <c r="BV951" s="23"/>
      <c r="BW951" s="23"/>
      <c r="BX951" s="23"/>
      <c r="BY951" s="23"/>
      <c r="BZ951" s="23"/>
      <c r="CA951" s="23"/>
      <c r="CB951" s="23"/>
      <c r="CC951" s="23"/>
      <c r="CD951" s="23"/>
      <c r="CE951" s="23"/>
      <c r="CF951" s="23"/>
      <c r="CG951" s="23"/>
      <c r="CH951" s="23"/>
      <c r="CI951" s="23"/>
      <c r="CJ951" s="23"/>
      <c r="CK951" s="23"/>
      <c r="CL951" s="23"/>
      <c r="CM951" s="23"/>
      <c r="CN951" s="23"/>
      <c r="CO951" s="23"/>
      <c r="CP951" s="23"/>
      <c r="CQ951" s="23"/>
      <c r="CR951" s="23"/>
      <c r="CS951" s="23"/>
      <c r="CT951" s="23"/>
      <c r="CU951" s="23"/>
      <c r="CV951" s="23"/>
      <c r="CW951" s="23"/>
      <c r="CX951" s="23"/>
      <c r="CY951" s="23"/>
      <c r="CZ951" s="23"/>
      <c r="DA951" s="23"/>
      <c r="DB951" s="23"/>
      <c r="DC951" s="23"/>
      <c r="DD951" s="23"/>
      <c r="DE951" s="23"/>
      <c r="DF951" s="23"/>
      <c r="DG951" s="23"/>
      <c r="DH951" s="23"/>
      <c r="DI951" s="23"/>
      <c r="DJ951" s="23"/>
      <c r="DK951" s="23"/>
      <c r="DL951" s="23"/>
      <c r="DM951" s="23"/>
      <c r="DN951" s="23"/>
      <c r="DO951" s="23"/>
      <c r="DP951" s="23"/>
      <c r="DQ951" s="23"/>
      <c r="DR951" s="23"/>
      <c r="DS951" s="23"/>
      <c r="DT951" s="23"/>
      <c r="DU951" s="23"/>
      <c r="DV951" s="23"/>
      <c r="DW951" s="23"/>
      <c r="DX951" s="23"/>
      <c r="DY951" s="23"/>
      <c r="DZ951" s="23"/>
      <c r="EA951" s="23"/>
      <c r="EB951" s="23"/>
      <c r="EC951" s="23"/>
      <c r="ED951" s="23"/>
      <c r="EE951" s="23"/>
      <c r="EF951" s="23"/>
      <c r="EG951" s="23"/>
      <c r="EH951" s="23"/>
      <c r="EI951" s="23"/>
      <c r="EJ951" s="23"/>
      <c r="EK951" s="23"/>
      <c r="EL951" s="23"/>
      <c r="EM951" s="23"/>
      <c r="EN951" s="23"/>
      <c r="EO951" s="23"/>
      <c r="EP951" s="23"/>
      <c r="EQ951" s="23"/>
      <c r="ER951" s="23"/>
      <c r="ES951" s="23"/>
      <c r="ET951" s="23"/>
      <c r="EU951" s="23"/>
      <c r="EV951" s="23"/>
      <c r="EW951" s="23"/>
      <c r="EX951" s="23"/>
      <c r="EY951" s="23"/>
      <c r="EZ951" s="23"/>
      <c r="FA951" s="23"/>
      <c r="FB951" s="23"/>
      <c r="FC951" s="23"/>
      <c r="FD951" s="23"/>
      <c r="FE951" s="23"/>
      <c r="FF951" s="23"/>
      <c r="FG951" s="23"/>
      <c r="FH951" s="23"/>
      <c r="FI951" s="23"/>
      <c r="FJ951" s="23"/>
      <c r="FK951" s="23"/>
      <c r="FL951" s="23"/>
      <c r="FM951" s="23"/>
      <c r="FN951" s="23"/>
      <c r="FO951" s="23"/>
      <c r="FP951" s="23"/>
      <c r="FQ951" s="23"/>
      <c r="FR951" s="23"/>
      <c r="FS951" s="23"/>
      <c r="FT951" s="23"/>
      <c r="FU951" s="23"/>
      <c r="FV951" s="23"/>
      <c r="FW951" s="23"/>
      <c r="FX951" s="23"/>
      <c r="FY951" s="23"/>
      <c r="FZ951" s="23"/>
      <c r="GA951" s="23"/>
      <c r="GB951" s="23"/>
      <c r="GC951" s="23"/>
      <c r="GD951" s="23"/>
      <c r="GE951" s="23"/>
      <c r="GF951" s="23"/>
      <c r="GG951" s="23"/>
      <c r="GH951" s="23"/>
      <c r="GI951" s="23"/>
      <c r="GJ951" s="23"/>
      <c r="GK951" s="23"/>
      <c r="GL951" s="23"/>
    </row>
    <row r="952" spans="1:194" ht="13">
      <c r="A952" s="23"/>
      <c r="B952" s="23"/>
      <c r="C952" s="23"/>
      <c r="D952" s="23"/>
      <c r="E952" s="23"/>
      <c r="F952" s="23"/>
      <c r="G952" s="23"/>
      <c r="H952" s="401"/>
      <c r="I952" s="401"/>
      <c r="J952" s="401"/>
      <c r="K952" s="401"/>
      <c r="L952" s="401"/>
      <c r="M952" s="438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  <c r="AL952" s="23"/>
      <c r="AM952" s="23"/>
      <c r="AN952" s="23"/>
      <c r="AO952" s="23"/>
      <c r="AP952" s="23"/>
      <c r="AQ952" s="23"/>
      <c r="AR952" s="23"/>
      <c r="AS952" s="23"/>
      <c r="AT952" s="23"/>
      <c r="AU952" s="23"/>
      <c r="AV952" s="23"/>
      <c r="AW952" s="23"/>
      <c r="AX952" s="23"/>
      <c r="AY952" s="23"/>
      <c r="AZ952" s="23"/>
      <c r="BA952" s="23"/>
      <c r="BB952" s="23"/>
      <c r="BC952" s="23"/>
      <c r="BD952" s="23"/>
      <c r="BE952" s="23"/>
      <c r="BF952" s="23"/>
      <c r="BG952" s="23"/>
      <c r="BH952" s="23"/>
      <c r="BI952" s="23"/>
      <c r="BJ952" s="23"/>
      <c r="BK952" s="23"/>
      <c r="BL952" s="23"/>
      <c r="BM952" s="23"/>
      <c r="BN952" s="23"/>
      <c r="BO952" s="23"/>
      <c r="BP952" s="23"/>
      <c r="BQ952" s="23"/>
      <c r="BR952" s="23"/>
      <c r="BS952" s="23"/>
      <c r="BT952" s="23"/>
      <c r="BU952" s="23"/>
      <c r="BV952" s="23"/>
      <c r="BW952" s="23"/>
      <c r="BX952" s="23"/>
      <c r="BY952" s="23"/>
      <c r="BZ952" s="23"/>
      <c r="CA952" s="23"/>
      <c r="CB952" s="23"/>
      <c r="CC952" s="23"/>
      <c r="CD952" s="23"/>
      <c r="CE952" s="23"/>
      <c r="CF952" s="23"/>
      <c r="CG952" s="23"/>
      <c r="CH952" s="23"/>
      <c r="CI952" s="23"/>
      <c r="CJ952" s="23"/>
      <c r="CK952" s="23"/>
      <c r="CL952" s="23"/>
      <c r="CM952" s="23"/>
      <c r="CN952" s="23"/>
      <c r="CO952" s="23"/>
      <c r="CP952" s="23"/>
      <c r="CQ952" s="23"/>
      <c r="CR952" s="23"/>
      <c r="CS952" s="23"/>
      <c r="CT952" s="23"/>
      <c r="CU952" s="23"/>
      <c r="CV952" s="23"/>
      <c r="CW952" s="23"/>
      <c r="CX952" s="23"/>
      <c r="CY952" s="23"/>
      <c r="CZ952" s="23"/>
      <c r="DA952" s="23"/>
      <c r="DB952" s="23"/>
      <c r="DC952" s="23"/>
      <c r="DD952" s="23"/>
      <c r="DE952" s="23"/>
      <c r="DF952" s="23"/>
      <c r="DG952" s="23"/>
      <c r="DH952" s="23"/>
      <c r="DI952" s="23"/>
      <c r="DJ952" s="23"/>
      <c r="DK952" s="23"/>
      <c r="DL952" s="23"/>
      <c r="DM952" s="23"/>
      <c r="DN952" s="23"/>
      <c r="DO952" s="23"/>
      <c r="DP952" s="23"/>
      <c r="DQ952" s="23"/>
      <c r="DR952" s="23"/>
      <c r="DS952" s="23"/>
      <c r="DT952" s="23"/>
      <c r="DU952" s="23"/>
      <c r="DV952" s="23"/>
      <c r="DW952" s="23"/>
      <c r="DX952" s="23"/>
      <c r="DY952" s="23"/>
      <c r="DZ952" s="23"/>
      <c r="EA952" s="23"/>
      <c r="EB952" s="23"/>
      <c r="EC952" s="23"/>
      <c r="ED952" s="23"/>
      <c r="EE952" s="23"/>
      <c r="EF952" s="23"/>
      <c r="EG952" s="23"/>
      <c r="EH952" s="23"/>
      <c r="EI952" s="23"/>
      <c r="EJ952" s="23"/>
      <c r="EK952" s="23"/>
      <c r="EL952" s="23"/>
      <c r="EM952" s="23"/>
      <c r="EN952" s="23"/>
      <c r="EO952" s="23"/>
      <c r="EP952" s="23"/>
      <c r="EQ952" s="23"/>
      <c r="ER952" s="23"/>
      <c r="ES952" s="23"/>
      <c r="ET952" s="23"/>
      <c r="EU952" s="23"/>
      <c r="EV952" s="23"/>
      <c r="EW952" s="23"/>
      <c r="EX952" s="23"/>
      <c r="EY952" s="23"/>
      <c r="EZ952" s="23"/>
      <c r="FA952" s="23"/>
      <c r="FB952" s="23"/>
      <c r="FC952" s="23"/>
      <c r="FD952" s="23"/>
      <c r="FE952" s="23"/>
      <c r="FF952" s="23"/>
      <c r="FG952" s="23"/>
      <c r="FH952" s="23"/>
      <c r="FI952" s="23"/>
      <c r="FJ952" s="23"/>
      <c r="FK952" s="23"/>
      <c r="FL952" s="23"/>
      <c r="FM952" s="23"/>
      <c r="FN952" s="23"/>
      <c r="FO952" s="23"/>
      <c r="FP952" s="23"/>
      <c r="FQ952" s="23"/>
      <c r="FR952" s="23"/>
      <c r="FS952" s="23"/>
      <c r="FT952" s="23"/>
      <c r="FU952" s="23"/>
      <c r="FV952" s="23"/>
      <c r="FW952" s="23"/>
      <c r="FX952" s="23"/>
      <c r="FY952" s="23"/>
      <c r="FZ952" s="23"/>
      <c r="GA952" s="23"/>
      <c r="GB952" s="23"/>
      <c r="GC952" s="23"/>
      <c r="GD952" s="23"/>
      <c r="GE952" s="23"/>
      <c r="GF952" s="23"/>
      <c r="GG952" s="23"/>
      <c r="GH952" s="23"/>
      <c r="GI952" s="23"/>
      <c r="GJ952" s="23"/>
      <c r="GK952" s="23"/>
      <c r="GL952" s="23"/>
    </row>
    <row r="953" spans="1:194" ht="13">
      <c r="A953" s="23"/>
      <c r="B953" s="23"/>
      <c r="C953" s="23"/>
      <c r="D953" s="23"/>
      <c r="E953" s="23"/>
      <c r="F953" s="23"/>
      <c r="G953" s="23"/>
      <c r="H953" s="401"/>
      <c r="I953" s="401"/>
      <c r="J953" s="401"/>
      <c r="K953" s="401"/>
      <c r="L953" s="401"/>
      <c r="M953" s="438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  <c r="AL953" s="23"/>
      <c r="AM953" s="23"/>
      <c r="AN953" s="23"/>
      <c r="AO953" s="23"/>
      <c r="AP953" s="23"/>
      <c r="AQ953" s="23"/>
      <c r="AR953" s="23"/>
      <c r="AS953" s="23"/>
      <c r="AT953" s="23"/>
      <c r="AU953" s="23"/>
      <c r="AV953" s="23"/>
      <c r="AW953" s="23"/>
      <c r="AX953" s="23"/>
      <c r="AY953" s="23"/>
      <c r="AZ953" s="23"/>
      <c r="BA953" s="23"/>
      <c r="BB953" s="23"/>
      <c r="BC953" s="23"/>
      <c r="BD953" s="23"/>
      <c r="BE953" s="23"/>
      <c r="BF953" s="23"/>
      <c r="BG953" s="23"/>
      <c r="BH953" s="23"/>
      <c r="BI953" s="23"/>
      <c r="BJ953" s="23"/>
      <c r="BK953" s="23"/>
      <c r="BL953" s="23"/>
      <c r="BM953" s="23"/>
      <c r="BN953" s="23"/>
      <c r="BO953" s="23"/>
      <c r="BP953" s="23"/>
      <c r="BQ953" s="23"/>
      <c r="BR953" s="23"/>
      <c r="BS953" s="23"/>
      <c r="BT953" s="23"/>
      <c r="BU953" s="23"/>
      <c r="BV953" s="23"/>
      <c r="BW953" s="23"/>
      <c r="BX953" s="23"/>
      <c r="BY953" s="23"/>
      <c r="BZ953" s="23"/>
      <c r="CA953" s="23"/>
      <c r="CB953" s="23"/>
      <c r="CC953" s="23"/>
      <c r="CD953" s="23"/>
      <c r="CE953" s="23"/>
      <c r="CF953" s="23"/>
      <c r="CG953" s="23"/>
      <c r="CH953" s="23"/>
      <c r="CI953" s="23"/>
      <c r="CJ953" s="23"/>
      <c r="CK953" s="23"/>
      <c r="CL953" s="23"/>
      <c r="CM953" s="23"/>
      <c r="CN953" s="23"/>
      <c r="CO953" s="23"/>
      <c r="CP953" s="23"/>
      <c r="CQ953" s="23"/>
      <c r="CR953" s="23"/>
      <c r="CS953" s="23"/>
      <c r="CT953" s="23"/>
      <c r="CU953" s="23"/>
      <c r="CV953" s="23"/>
      <c r="CW953" s="23"/>
      <c r="CX953" s="23"/>
      <c r="CY953" s="23"/>
      <c r="CZ953" s="23"/>
      <c r="DA953" s="23"/>
      <c r="DB953" s="23"/>
      <c r="DC953" s="23"/>
      <c r="DD953" s="23"/>
      <c r="DE953" s="23"/>
      <c r="DF953" s="23"/>
      <c r="DG953" s="23"/>
      <c r="DH953" s="23"/>
      <c r="DI953" s="23"/>
      <c r="DJ953" s="23"/>
      <c r="DK953" s="23"/>
      <c r="DL953" s="23"/>
      <c r="DM953" s="23"/>
      <c r="DN953" s="23"/>
      <c r="DO953" s="23"/>
      <c r="DP953" s="23"/>
      <c r="DQ953" s="23"/>
      <c r="DR953" s="23"/>
      <c r="DS953" s="23"/>
      <c r="DT953" s="23"/>
      <c r="DU953" s="23"/>
      <c r="DV953" s="23"/>
      <c r="DW953" s="23"/>
      <c r="DX953" s="23"/>
      <c r="DY953" s="23"/>
      <c r="DZ953" s="23"/>
      <c r="EA953" s="23"/>
      <c r="EB953" s="23"/>
      <c r="EC953" s="23"/>
      <c r="ED953" s="23"/>
      <c r="EE953" s="23"/>
      <c r="EF953" s="23"/>
      <c r="EG953" s="23"/>
      <c r="EH953" s="23"/>
      <c r="EI953" s="23"/>
      <c r="EJ953" s="23"/>
      <c r="EK953" s="23"/>
      <c r="EL953" s="23"/>
      <c r="EM953" s="23"/>
      <c r="EN953" s="23"/>
      <c r="EO953" s="23"/>
      <c r="EP953" s="23"/>
      <c r="EQ953" s="23"/>
      <c r="ER953" s="23"/>
      <c r="ES953" s="23"/>
      <c r="ET953" s="23"/>
      <c r="EU953" s="23"/>
      <c r="EV953" s="23"/>
      <c r="EW953" s="23"/>
      <c r="EX953" s="23"/>
      <c r="EY953" s="23"/>
      <c r="EZ953" s="23"/>
      <c r="FA953" s="23"/>
      <c r="FB953" s="23"/>
      <c r="FC953" s="23"/>
      <c r="FD953" s="23"/>
      <c r="FE953" s="23"/>
      <c r="FF953" s="23"/>
      <c r="FG953" s="23"/>
      <c r="FH953" s="23"/>
      <c r="FI953" s="23"/>
      <c r="FJ953" s="23"/>
      <c r="FK953" s="23"/>
      <c r="FL953" s="23"/>
      <c r="FM953" s="23"/>
      <c r="FN953" s="23"/>
      <c r="FO953" s="23"/>
      <c r="FP953" s="23"/>
      <c r="FQ953" s="23"/>
      <c r="FR953" s="23"/>
      <c r="FS953" s="23"/>
      <c r="FT953" s="23"/>
      <c r="FU953" s="23"/>
      <c r="FV953" s="23"/>
      <c r="FW953" s="23"/>
      <c r="FX953" s="23"/>
      <c r="FY953" s="23"/>
      <c r="FZ953" s="23"/>
      <c r="GA953" s="23"/>
      <c r="GB953" s="23"/>
      <c r="GC953" s="23"/>
      <c r="GD953" s="23"/>
      <c r="GE953" s="23"/>
      <c r="GF953" s="23"/>
      <c r="GG953" s="23"/>
      <c r="GH953" s="23"/>
      <c r="GI953" s="23"/>
      <c r="GJ953" s="23"/>
      <c r="GK953" s="23"/>
      <c r="GL953" s="23"/>
    </row>
    <row r="954" spans="1:194" ht="13">
      <c r="A954" s="23"/>
      <c r="B954" s="23"/>
      <c r="C954" s="23"/>
      <c r="D954" s="23"/>
      <c r="E954" s="23"/>
      <c r="F954" s="23"/>
      <c r="G954" s="23"/>
      <c r="H954" s="401"/>
      <c r="I954" s="401"/>
      <c r="J954" s="401"/>
      <c r="K954" s="401"/>
      <c r="L954" s="401"/>
      <c r="M954" s="438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  <c r="AL954" s="23"/>
      <c r="AM954" s="23"/>
      <c r="AN954" s="23"/>
      <c r="AO954" s="23"/>
      <c r="AP954" s="23"/>
      <c r="AQ954" s="23"/>
      <c r="AR954" s="23"/>
      <c r="AS954" s="23"/>
      <c r="AT954" s="23"/>
      <c r="AU954" s="23"/>
      <c r="AV954" s="23"/>
      <c r="AW954" s="23"/>
      <c r="AX954" s="23"/>
      <c r="AY954" s="23"/>
      <c r="AZ954" s="23"/>
      <c r="BA954" s="23"/>
      <c r="BB954" s="23"/>
      <c r="BC954" s="23"/>
      <c r="BD954" s="23"/>
      <c r="BE954" s="23"/>
      <c r="BF954" s="23"/>
      <c r="BG954" s="23"/>
      <c r="BH954" s="23"/>
      <c r="BI954" s="23"/>
      <c r="BJ954" s="23"/>
      <c r="BK954" s="23"/>
      <c r="BL954" s="23"/>
      <c r="BM954" s="23"/>
      <c r="BN954" s="23"/>
      <c r="BO954" s="23"/>
      <c r="BP954" s="23"/>
      <c r="BQ954" s="23"/>
      <c r="BR954" s="23"/>
      <c r="BS954" s="23"/>
      <c r="BT954" s="23"/>
      <c r="BU954" s="23"/>
      <c r="BV954" s="23"/>
      <c r="BW954" s="23"/>
      <c r="BX954" s="23"/>
      <c r="BY954" s="23"/>
      <c r="BZ954" s="23"/>
      <c r="CA954" s="23"/>
      <c r="CB954" s="23"/>
      <c r="CC954" s="23"/>
      <c r="CD954" s="23"/>
      <c r="CE954" s="23"/>
      <c r="CF954" s="23"/>
      <c r="CG954" s="23"/>
      <c r="CH954" s="23"/>
      <c r="CI954" s="23"/>
      <c r="CJ954" s="23"/>
      <c r="CK954" s="23"/>
      <c r="CL954" s="23"/>
      <c r="CM954" s="23"/>
      <c r="CN954" s="23"/>
      <c r="CO954" s="23"/>
      <c r="CP954" s="23"/>
      <c r="CQ954" s="23"/>
      <c r="CR954" s="23"/>
      <c r="CS954" s="23"/>
      <c r="CT954" s="23"/>
      <c r="CU954" s="23"/>
      <c r="CV954" s="23"/>
      <c r="CW954" s="23"/>
      <c r="CX954" s="23"/>
      <c r="CY954" s="23"/>
      <c r="CZ954" s="23"/>
      <c r="DA954" s="23"/>
      <c r="DB954" s="23"/>
      <c r="DC954" s="23"/>
      <c r="DD954" s="23"/>
      <c r="DE954" s="23"/>
      <c r="DF954" s="23"/>
      <c r="DG954" s="23"/>
      <c r="DH954" s="23"/>
      <c r="DI954" s="23"/>
      <c r="DJ954" s="23"/>
      <c r="DK954" s="23"/>
      <c r="DL954" s="23"/>
      <c r="DM954" s="23"/>
      <c r="DN954" s="23"/>
      <c r="DO954" s="23"/>
      <c r="DP954" s="23"/>
      <c r="DQ954" s="23"/>
      <c r="DR954" s="23"/>
      <c r="DS954" s="23"/>
      <c r="DT954" s="23"/>
      <c r="DU954" s="23"/>
      <c r="DV954" s="23"/>
      <c r="DW954" s="23"/>
      <c r="DX954" s="23"/>
      <c r="DY954" s="23"/>
      <c r="DZ954" s="23"/>
      <c r="EA954" s="23"/>
      <c r="EB954" s="23"/>
      <c r="EC954" s="23"/>
      <c r="ED954" s="23"/>
      <c r="EE954" s="23"/>
      <c r="EF954" s="23"/>
      <c r="EG954" s="23"/>
      <c r="EH954" s="23"/>
      <c r="EI954" s="23"/>
      <c r="EJ954" s="23"/>
      <c r="EK954" s="23"/>
      <c r="EL954" s="23"/>
      <c r="EM954" s="23"/>
      <c r="EN954" s="23"/>
      <c r="EO954" s="23"/>
      <c r="EP954" s="23"/>
      <c r="EQ954" s="23"/>
      <c r="ER954" s="23"/>
      <c r="ES954" s="23"/>
      <c r="ET954" s="23"/>
      <c r="EU954" s="23"/>
      <c r="EV954" s="23"/>
      <c r="EW954" s="23"/>
      <c r="EX954" s="23"/>
      <c r="EY954" s="23"/>
      <c r="EZ954" s="23"/>
      <c r="FA954" s="23"/>
      <c r="FB954" s="23"/>
      <c r="FC954" s="23"/>
      <c r="FD954" s="23"/>
      <c r="FE954" s="23"/>
      <c r="FF954" s="23"/>
      <c r="FG954" s="23"/>
      <c r="FH954" s="23"/>
      <c r="FI954" s="23"/>
      <c r="FJ954" s="23"/>
      <c r="FK954" s="23"/>
      <c r="FL954" s="23"/>
      <c r="FM954" s="23"/>
      <c r="FN954" s="23"/>
      <c r="FO954" s="23"/>
      <c r="FP954" s="23"/>
      <c r="FQ954" s="23"/>
      <c r="FR954" s="23"/>
      <c r="FS954" s="23"/>
      <c r="FT954" s="23"/>
      <c r="FU954" s="23"/>
      <c r="FV954" s="23"/>
      <c r="FW954" s="23"/>
      <c r="FX954" s="23"/>
      <c r="FY954" s="23"/>
      <c r="FZ954" s="23"/>
      <c r="GA954" s="23"/>
      <c r="GB954" s="23"/>
      <c r="GC954" s="23"/>
      <c r="GD954" s="23"/>
      <c r="GE954" s="23"/>
      <c r="GF954" s="23"/>
      <c r="GG954" s="23"/>
      <c r="GH954" s="23"/>
      <c r="GI954" s="23"/>
      <c r="GJ954" s="23"/>
      <c r="GK954" s="23"/>
      <c r="GL954" s="23"/>
    </row>
    <row r="955" spans="1:194" ht="13">
      <c r="A955" s="23"/>
      <c r="B955" s="23"/>
      <c r="C955" s="23"/>
      <c r="D955" s="23"/>
      <c r="E955" s="23"/>
      <c r="F955" s="23"/>
      <c r="G955" s="23"/>
      <c r="H955" s="401"/>
      <c r="I955" s="401"/>
      <c r="J955" s="401"/>
      <c r="K955" s="401"/>
      <c r="L955" s="401"/>
      <c r="M955" s="438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  <c r="AL955" s="23"/>
      <c r="AM955" s="23"/>
      <c r="AN955" s="23"/>
      <c r="AO955" s="23"/>
      <c r="AP955" s="23"/>
      <c r="AQ955" s="23"/>
      <c r="AR955" s="23"/>
      <c r="AS955" s="23"/>
      <c r="AT955" s="23"/>
      <c r="AU955" s="23"/>
      <c r="AV955" s="23"/>
      <c r="AW955" s="23"/>
      <c r="AX955" s="23"/>
      <c r="AY955" s="23"/>
      <c r="AZ955" s="23"/>
      <c r="BA955" s="23"/>
      <c r="BB955" s="23"/>
      <c r="BC955" s="23"/>
      <c r="BD955" s="23"/>
      <c r="BE955" s="23"/>
      <c r="BF955" s="23"/>
      <c r="BG955" s="23"/>
      <c r="BH955" s="23"/>
      <c r="BI955" s="23"/>
      <c r="BJ955" s="23"/>
      <c r="BK955" s="23"/>
      <c r="BL955" s="23"/>
      <c r="BM955" s="23"/>
      <c r="BN955" s="23"/>
      <c r="BO955" s="23"/>
      <c r="BP955" s="23"/>
      <c r="BQ955" s="23"/>
      <c r="BR955" s="23"/>
      <c r="BS955" s="23"/>
      <c r="BT955" s="23"/>
      <c r="BU955" s="23"/>
      <c r="BV955" s="23"/>
      <c r="BW955" s="23"/>
      <c r="BX955" s="23"/>
      <c r="BY955" s="23"/>
      <c r="BZ955" s="23"/>
      <c r="CA955" s="23"/>
      <c r="CB955" s="23"/>
      <c r="CC955" s="23"/>
      <c r="CD955" s="23"/>
      <c r="CE955" s="23"/>
      <c r="CF955" s="23"/>
      <c r="CG955" s="23"/>
      <c r="CH955" s="23"/>
      <c r="CI955" s="23"/>
      <c r="CJ955" s="23"/>
      <c r="CK955" s="23"/>
      <c r="CL955" s="23"/>
      <c r="CM955" s="23"/>
      <c r="CN955" s="23"/>
      <c r="CO955" s="23"/>
      <c r="CP955" s="23"/>
      <c r="CQ955" s="23"/>
      <c r="CR955" s="23"/>
      <c r="CS955" s="23"/>
      <c r="CT955" s="23"/>
      <c r="CU955" s="23"/>
      <c r="CV955" s="23"/>
      <c r="CW955" s="23"/>
      <c r="CX955" s="23"/>
      <c r="CY955" s="23"/>
      <c r="CZ955" s="23"/>
      <c r="DA955" s="23"/>
      <c r="DB955" s="23"/>
      <c r="DC955" s="23"/>
      <c r="DD955" s="23"/>
      <c r="DE955" s="23"/>
      <c r="DF955" s="23"/>
      <c r="DG955" s="23"/>
      <c r="DH955" s="23"/>
      <c r="DI955" s="23"/>
      <c r="DJ955" s="23"/>
      <c r="DK955" s="23"/>
      <c r="DL955" s="23"/>
      <c r="DM955" s="23"/>
      <c r="DN955" s="23"/>
      <c r="DO955" s="23"/>
      <c r="DP955" s="23"/>
      <c r="DQ955" s="23"/>
      <c r="DR955" s="23"/>
      <c r="DS955" s="23"/>
      <c r="DT955" s="23"/>
      <c r="DU955" s="23"/>
      <c r="DV955" s="23"/>
      <c r="DW955" s="23"/>
      <c r="DX955" s="23"/>
      <c r="DY955" s="23"/>
      <c r="DZ955" s="23"/>
      <c r="EA955" s="23"/>
      <c r="EB955" s="23"/>
      <c r="EC955" s="23"/>
      <c r="ED955" s="23"/>
      <c r="EE955" s="23"/>
      <c r="EF955" s="23"/>
      <c r="EG955" s="23"/>
      <c r="EH955" s="23"/>
      <c r="EI955" s="23"/>
      <c r="EJ955" s="23"/>
      <c r="EK955" s="23"/>
      <c r="EL955" s="23"/>
      <c r="EM955" s="23"/>
      <c r="EN955" s="23"/>
      <c r="EO955" s="23"/>
      <c r="EP955" s="23"/>
      <c r="EQ955" s="23"/>
      <c r="ER955" s="23"/>
      <c r="ES955" s="23"/>
      <c r="ET955" s="23"/>
      <c r="EU955" s="23"/>
      <c r="EV955" s="23"/>
      <c r="EW955" s="23"/>
      <c r="EX955" s="23"/>
      <c r="EY955" s="23"/>
      <c r="EZ955" s="23"/>
      <c r="FA955" s="23"/>
      <c r="FB955" s="23"/>
      <c r="FC955" s="23"/>
      <c r="FD955" s="23"/>
      <c r="FE955" s="23"/>
      <c r="FF955" s="23"/>
      <c r="FG955" s="23"/>
      <c r="FH955" s="23"/>
      <c r="FI955" s="23"/>
      <c r="FJ955" s="23"/>
      <c r="FK955" s="23"/>
      <c r="FL955" s="23"/>
      <c r="FM955" s="23"/>
      <c r="FN955" s="23"/>
      <c r="FO955" s="23"/>
      <c r="FP955" s="23"/>
      <c r="FQ955" s="23"/>
      <c r="FR955" s="23"/>
      <c r="FS955" s="23"/>
      <c r="FT955" s="23"/>
      <c r="FU955" s="23"/>
      <c r="FV955" s="23"/>
      <c r="FW955" s="23"/>
      <c r="FX955" s="23"/>
      <c r="FY955" s="23"/>
      <c r="FZ955" s="23"/>
      <c r="GA955" s="23"/>
      <c r="GB955" s="23"/>
      <c r="GC955" s="23"/>
      <c r="GD955" s="23"/>
      <c r="GE955" s="23"/>
      <c r="GF955" s="23"/>
      <c r="GG955" s="23"/>
      <c r="GH955" s="23"/>
      <c r="GI955" s="23"/>
      <c r="GJ955" s="23"/>
      <c r="GK955" s="23"/>
      <c r="GL955" s="23"/>
    </row>
    <row r="956" spans="1:194" ht="13">
      <c r="A956" s="23"/>
      <c r="B956" s="23"/>
      <c r="C956" s="23"/>
      <c r="D956" s="23"/>
      <c r="E956" s="23"/>
      <c r="F956" s="23"/>
      <c r="G956" s="23"/>
      <c r="H956" s="401"/>
      <c r="I956" s="401"/>
      <c r="J956" s="401"/>
      <c r="K956" s="401"/>
      <c r="L956" s="401"/>
      <c r="M956" s="438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  <c r="AL956" s="23"/>
      <c r="AM956" s="23"/>
      <c r="AN956" s="23"/>
      <c r="AO956" s="23"/>
      <c r="AP956" s="23"/>
      <c r="AQ956" s="23"/>
      <c r="AR956" s="23"/>
      <c r="AS956" s="23"/>
      <c r="AT956" s="23"/>
      <c r="AU956" s="23"/>
      <c r="AV956" s="23"/>
      <c r="AW956" s="23"/>
      <c r="AX956" s="23"/>
      <c r="AY956" s="23"/>
      <c r="AZ956" s="23"/>
      <c r="BA956" s="23"/>
      <c r="BB956" s="23"/>
      <c r="BC956" s="23"/>
      <c r="BD956" s="23"/>
      <c r="BE956" s="23"/>
      <c r="BF956" s="23"/>
      <c r="BG956" s="23"/>
      <c r="BH956" s="23"/>
      <c r="BI956" s="23"/>
      <c r="BJ956" s="23"/>
      <c r="BK956" s="23"/>
      <c r="BL956" s="23"/>
      <c r="BM956" s="23"/>
      <c r="BN956" s="23"/>
      <c r="BO956" s="23"/>
      <c r="BP956" s="23"/>
      <c r="BQ956" s="23"/>
      <c r="BR956" s="23"/>
      <c r="BS956" s="23"/>
      <c r="BT956" s="23"/>
      <c r="BU956" s="23"/>
      <c r="BV956" s="23"/>
      <c r="BW956" s="23"/>
      <c r="BX956" s="23"/>
      <c r="BY956" s="23"/>
      <c r="BZ956" s="23"/>
      <c r="CA956" s="23"/>
      <c r="CB956" s="23"/>
      <c r="CC956" s="23"/>
      <c r="CD956" s="23"/>
      <c r="CE956" s="23"/>
      <c r="CF956" s="23"/>
      <c r="CG956" s="23"/>
      <c r="CH956" s="23"/>
      <c r="CI956" s="23"/>
      <c r="CJ956" s="23"/>
      <c r="CK956" s="23"/>
      <c r="CL956" s="23"/>
      <c r="CM956" s="23"/>
      <c r="CN956" s="23"/>
      <c r="CO956" s="23"/>
      <c r="CP956" s="23"/>
      <c r="CQ956" s="23"/>
      <c r="CR956" s="23"/>
      <c r="CS956" s="23"/>
      <c r="CT956" s="23"/>
      <c r="CU956" s="23"/>
      <c r="CV956" s="23"/>
      <c r="CW956" s="23"/>
      <c r="CX956" s="23"/>
      <c r="CY956" s="23"/>
      <c r="CZ956" s="23"/>
      <c r="DA956" s="23"/>
      <c r="DB956" s="23"/>
      <c r="DC956" s="23"/>
      <c r="DD956" s="23"/>
      <c r="DE956" s="23"/>
      <c r="DF956" s="23"/>
      <c r="DG956" s="23"/>
      <c r="DH956" s="23"/>
      <c r="DI956" s="23"/>
      <c r="DJ956" s="23"/>
      <c r="DK956" s="23"/>
      <c r="DL956" s="23"/>
      <c r="DM956" s="23"/>
      <c r="DN956" s="23"/>
      <c r="DO956" s="23"/>
      <c r="DP956" s="23"/>
      <c r="DQ956" s="23"/>
      <c r="DR956" s="23"/>
      <c r="DS956" s="23"/>
      <c r="DT956" s="23"/>
      <c r="DU956" s="23"/>
      <c r="DV956" s="23"/>
      <c r="DW956" s="23"/>
      <c r="DX956" s="23"/>
      <c r="DY956" s="23"/>
      <c r="DZ956" s="23"/>
      <c r="EA956" s="23"/>
      <c r="EB956" s="23"/>
      <c r="EC956" s="23"/>
      <c r="ED956" s="23"/>
      <c r="EE956" s="23"/>
      <c r="EF956" s="23"/>
      <c r="EG956" s="23"/>
      <c r="EH956" s="23"/>
      <c r="EI956" s="23"/>
      <c r="EJ956" s="23"/>
      <c r="EK956" s="23"/>
      <c r="EL956" s="23"/>
      <c r="EM956" s="23"/>
      <c r="EN956" s="23"/>
      <c r="EO956" s="23"/>
      <c r="EP956" s="23"/>
      <c r="EQ956" s="23"/>
      <c r="ER956" s="23"/>
      <c r="ES956" s="23"/>
      <c r="ET956" s="23"/>
      <c r="EU956" s="23"/>
      <c r="EV956" s="23"/>
      <c r="EW956" s="23"/>
      <c r="EX956" s="23"/>
      <c r="EY956" s="23"/>
      <c r="EZ956" s="23"/>
      <c r="FA956" s="23"/>
      <c r="FB956" s="23"/>
      <c r="FC956" s="23"/>
      <c r="FD956" s="23"/>
      <c r="FE956" s="23"/>
      <c r="FF956" s="23"/>
      <c r="FG956" s="23"/>
      <c r="FH956" s="23"/>
      <c r="FI956" s="23"/>
      <c r="FJ956" s="23"/>
      <c r="FK956" s="23"/>
      <c r="FL956" s="23"/>
      <c r="FM956" s="23"/>
      <c r="FN956" s="23"/>
      <c r="FO956" s="23"/>
      <c r="FP956" s="23"/>
      <c r="FQ956" s="23"/>
      <c r="FR956" s="23"/>
      <c r="FS956" s="23"/>
      <c r="FT956" s="23"/>
      <c r="FU956" s="23"/>
      <c r="FV956" s="23"/>
      <c r="FW956" s="23"/>
      <c r="FX956" s="23"/>
      <c r="FY956" s="23"/>
      <c r="FZ956" s="23"/>
      <c r="GA956" s="23"/>
      <c r="GB956" s="23"/>
      <c r="GC956" s="23"/>
      <c r="GD956" s="23"/>
      <c r="GE956" s="23"/>
      <c r="GF956" s="23"/>
      <c r="GG956" s="23"/>
      <c r="GH956" s="23"/>
      <c r="GI956" s="23"/>
      <c r="GJ956" s="23"/>
      <c r="GK956" s="23"/>
      <c r="GL956" s="23"/>
    </row>
    <row r="957" spans="1:194" ht="13">
      <c r="A957" s="23"/>
      <c r="B957" s="23"/>
      <c r="C957" s="23"/>
      <c r="D957" s="23"/>
      <c r="E957" s="23"/>
      <c r="F957" s="23"/>
      <c r="G957" s="23"/>
      <c r="H957" s="401"/>
      <c r="I957" s="401"/>
      <c r="J957" s="401"/>
      <c r="K957" s="401"/>
      <c r="L957" s="401"/>
      <c r="M957" s="438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  <c r="AL957" s="23"/>
      <c r="AM957" s="23"/>
      <c r="AN957" s="23"/>
      <c r="AO957" s="23"/>
      <c r="AP957" s="23"/>
      <c r="AQ957" s="23"/>
      <c r="AR957" s="23"/>
      <c r="AS957" s="23"/>
      <c r="AT957" s="23"/>
      <c r="AU957" s="23"/>
      <c r="AV957" s="23"/>
      <c r="AW957" s="23"/>
      <c r="AX957" s="23"/>
      <c r="AY957" s="23"/>
      <c r="AZ957" s="23"/>
      <c r="BA957" s="23"/>
      <c r="BB957" s="23"/>
      <c r="BC957" s="23"/>
      <c r="BD957" s="23"/>
      <c r="BE957" s="23"/>
      <c r="BF957" s="23"/>
      <c r="BG957" s="23"/>
      <c r="BH957" s="23"/>
      <c r="BI957" s="23"/>
      <c r="BJ957" s="23"/>
      <c r="BK957" s="23"/>
      <c r="BL957" s="23"/>
      <c r="BM957" s="23"/>
      <c r="BN957" s="23"/>
      <c r="BO957" s="23"/>
      <c r="BP957" s="23"/>
      <c r="BQ957" s="23"/>
      <c r="BR957" s="23"/>
      <c r="BS957" s="23"/>
      <c r="BT957" s="23"/>
      <c r="BU957" s="23"/>
      <c r="BV957" s="23"/>
      <c r="BW957" s="23"/>
      <c r="BX957" s="23"/>
      <c r="BY957" s="23"/>
      <c r="BZ957" s="23"/>
      <c r="CA957" s="23"/>
      <c r="CB957" s="23"/>
      <c r="CC957" s="23"/>
      <c r="CD957" s="23"/>
      <c r="CE957" s="23"/>
      <c r="CF957" s="23"/>
      <c r="CG957" s="23"/>
      <c r="CH957" s="23"/>
      <c r="CI957" s="23"/>
      <c r="CJ957" s="23"/>
      <c r="CK957" s="23"/>
      <c r="CL957" s="23"/>
      <c r="CM957" s="23"/>
      <c r="CN957" s="23"/>
      <c r="CO957" s="23"/>
      <c r="CP957" s="23"/>
      <c r="CQ957" s="23"/>
      <c r="CR957" s="23"/>
      <c r="CS957" s="23"/>
      <c r="CT957" s="23"/>
      <c r="CU957" s="23"/>
      <c r="CV957" s="23"/>
      <c r="CW957" s="23"/>
      <c r="CX957" s="23"/>
      <c r="CY957" s="23"/>
      <c r="CZ957" s="23"/>
      <c r="DA957" s="23"/>
      <c r="DB957" s="23"/>
      <c r="DC957" s="23"/>
      <c r="DD957" s="23"/>
      <c r="DE957" s="23"/>
      <c r="DF957" s="23"/>
      <c r="DG957" s="23"/>
      <c r="DH957" s="23"/>
      <c r="DI957" s="23"/>
      <c r="DJ957" s="23"/>
      <c r="DK957" s="23"/>
      <c r="DL957" s="23"/>
      <c r="DM957" s="23"/>
      <c r="DN957" s="23"/>
      <c r="DO957" s="23"/>
      <c r="DP957" s="23"/>
      <c r="DQ957" s="23"/>
      <c r="DR957" s="23"/>
      <c r="DS957" s="23"/>
      <c r="DT957" s="23"/>
      <c r="DU957" s="23"/>
      <c r="DV957" s="23"/>
      <c r="DW957" s="23"/>
      <c r="DX957" s="23"/>
      <c r="DY957" s="23"/>
      <c r="DZ957" s="23"/>
      <c r="EA957" s="23"/>
      <c r="EB957" s="23"/>
      <c r="EC957" s="23"/>
      <c r="ED957" s="23"/>
      <c r="EE957" s="23"/>
      <c r="EF957" s="23"/>
      <c r="EG957" s="23"/>
      <c r="EH957" s="23"/>
      <c r="EI957" s="23"/>
      <c r="EJ957" s="23"/>
      <c r="EK957" s="23"/>
      <c r="EL957" s="23"/>
      <c r="EM957" s="23"/>
      <c r="EN957" s="23"/>
      <c r="EO957" s="23"/>
      <c r="EP957" s="23"/>
      <c r="EQ957" s="23"/>
      <c r="ER957" s="23"/>
      <c r="ES957" s="23"/>
      <c r="ET957" s="23"/>
      <c r="EU957" s="23"/>
      <c r="EV957" s="23"/>
      <c r="EW957" s="23"/>
      <c r="EX957" s="23"/>
      <c r="EY957" s="23"/>
      <c r="EZ957" s="23"/>
      <c r="FA957" s="23"/>
      <c r="FB957" s="23"/>
      <c r="FC957" s="23"/>
      <c r="FD957" s="23"/>
      <c r="FE957" s="23"/>
      <c r="FF957" s="23"/>
      <c r="FG957" s="23"/>
      <c r="FH957" s="23"/>
      <c r="FI957" s="23"/>
      <c r="FJ957" s="23"/>
      <c r="FK957" s="23"/>
      <c r="FL957" s="23"/>
      <c r="FM957" s="23"/>
      <c r="FN957" s="23"/>
      <c r="FO957" s="23"/>
      <c r="FP957" s="23"/>
      <c r="FQ957" s="23"/>
      <c r="FR957" s="23"/>
      <c r="FS957" s="23"/>
      <c r="FT957" s="23"/>
      <c r="FU957" s="23"/>
      <c r="FV957" s="23"/>
      <c r="FW957" s="23"/>
      <c r="FX957" s="23"/>
      <c r="FY957" s="23"/>
      <c r="FZ957" s="23"/>
      <c r="GA957" s="23"/>
      <c r="GB957" s="23"/>
      <c r="GC957" s="23"/>
      <c r="GD957" s="23"/>
      <c r="GE957" s="23"/>
      <c r="GF957" s="23"/>
      <c r="GG957" s="23"/>
      <c r="GH957" s="23"/>
      <c r="GI957" s="23"/>
      <c r="GJ957" s="23"/>
      <c r="GK957" s="23"/>
      <c r="GL957" s="23"/>
    </row>
    <row r="958" spans="1:194" ht="13">
      <c r="A958" s="23"/>
      <c r="B958" s="23"/>
      <c r="C958" s="23"/>
      <c r="D958" s="23"/>
      <c r="E958" s="23"/>
      <c r="F958" s="23"/>
      <c r="G958" s="23"/>
      <c r="H958" s="401"/>
      <c r="I958" s="401"/>
      <c r="J958" s="401"/>
      <c r="K958" s="401"/>
      <c r="L958" s="401"/>
      <c r="M958" s="438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  <c r="AL958" s="23"/>
      <c r="AM958" s="23"/>
      <c r="AN958" s="23"/>
      <c r="AO958" s="23"/>
      <c r="AP958" s="23"/>
      <c r="AQ958" s="23"/>
      <c r="AR958" s="23"/>
      <c r="AS958" s="23"/>
      <c r="AT958" s="23"/>
      <c r="AU958" s="23"/>
      <c r="AV958" s="23"/>
      <c r="AW958" s="23"/>
      <c r="AX958" s="23"/>
      <c r="AY958" s="23"/>
      <c r="AZ958" s="23"/>
      <c r="BA958" s="23"/>
      <c r="BB958" s="23"/>
      <c r="BC958" s="23"/>
      <c r="BD958" s="23"/>
      <c r="BE958" s="23"/>
      <c r="BF958" s="23"/>
      <c r="BG958" s="23"/>
      <c r="BH958" s="23"/>
      <c r="BI958" s="23"/>
      <c r="BJ958" s="23"/>
      <c r="BK958" s="23"/>
      <c r="BL958" s="23"/>
      <c r="BM958" s="23"/>
      <c r="BN958" s="23"/>
      <c r="BO958" s="23"/>
      <c r="BP958" s="23"/>
      <c r="BQ958" s="23"/>
      <c r="BR958" s="23"/>
      <c r="BS958" s="23"/>
      <c r="BT958" s="23"/>
      <c r="BU958" s="23"/>
      <c r="BV958" s="23"/>
      <c r="BW958" s="23"/>
      <c r="BX958" s="23"/>
      <c r="BY958" s="23"/>
      <c r="BZ958" s="23"/>
      <c r="CA958" s="23"/>
      <c r="CB958" s="23"/>
      <c r="CC958" s="23"/>
      <c r="CD958" s="23"/>
      <c r="CE958" s="23"/>
      <c r="CF958" s="23"/>
      <c r="CG958" s="23"/>
      <c r="CH958" s="23"/>
      <c r="CI958" s="23"/>
      <c r="CJ958" s="23"/>
      <c r="CK958" s="23"/>
      <c r="CL958" s="23"/>
      <c r="CM958" s="23"/>
      <c r="CN958" s="23"/>
      <c r="CO958" s="23"/>
      <c r="CP958" s="23"/>
      <c r="CQ958" s="23"/>
      <c r="CR958" s="23"/>
      <c r="CS958" s="23"/>
      <c r="CT958" s="23"/>
      <c r="CU958" s="23"/>
      <c r="CV958" s="23"/>
      <c r="CW958" s="23"/>
      <c r="CX958" s="23"/>
      <c r="CY958" s="23"/>
      <c r="CZ958" s="23"/>
      <c r="DA958" s="23"/>
      <c r="DB958" s="23"/>
      <c r="DC958" s="23"/>
      <c r="DD958" s="23"/>
      <c r="DE958" s="23"/>
      <c r="DF958" s="23"/>
      <c r="DG958" s="23"/>
      <c r="DH958" s="23"/>
      <c r="DI958" s="23"/>
      <c r="DJ958" s="23"/>
      <c r="DK958" s="23"/>
      <c r="DL958" s="23"/>
      <c r="DM958" s="23"/>
      <c r="DN958" s="23"/>
      <c r="DO958" s="23"/>
      <c r="DP958" s="23"/>
      <c r="DQ958" s="23"/>
      <c r="DR958" s="23"/>
      <c r="DS958" s="23"/>
      <c r="DT958" s="23"/>
      <c r="DU958" s="23"/>
      <c r="DV958" s="23"/>
      <c r="DW958" s="23"/>
      <c r="DX958" s="23"/>
      <c r="DY958" s="23"/>
      <c r="DZ958" s="23"/>
      <c r="EA958" s="23"/>
      <c r="EB958" s="23"/>
      <c r="EC958" s="23"/>
      <c r="ED958" s="23"/>
      <c r="EE958" s="23"/>
      <c r="EF958" s="23"/>
      <c r="EG958" s="23"/>
      <c r="EH958" s="23"/>
      <c r="EI958" s="23"/>
      <c r="EJ958" s="23"/>
      <c r="EK958" s="23"/>
      <c r="EL958" s="23"/>
      <c r="EM958" s="23"/>
      <c r="EN958" s="23"/>
      <c r="EO958" s="23"/>
      <c r="EP958" s="23"/>
      <c r="EQ958" s="23"/>
      <c r="ER958" s="23"/>
      <c r="ES958" s="23"/>
      <c r="ET958" s="23"/>
      <c r="EU958" s="23"/>
      <c r="EV958" s="23"/>
      <c r="EW958" s="23"/>
      <c r="EX958" s="23"/>
      <c r="EY958" s="23"/>
      <c r="EZ958" s="23"/>
      <c r="FA958" s="23"/>
      <c r="FB958" s="23"/>
      <c r="FC958" s="23"/>
      <c r="FD958" s="23"/>
      <c r="FE958" s="23"/>
      <c r="FF958" s="23"/>
      <c r="FG958" s="23"/>
      <c r="FH958" s="23"/>
      <c r="FI958" s="23"/>
      <c r="FJ958" s="23"/>
      <c r="FK958" s="23"/>
      <c r="FL958" s="23"/>
      <c r="FM958" s="23"/>
      <c r="FN958" s="23"/>
      <c r="FO958" s="23"/>
      <c r="FP958" s="23"/>
      <c r="FQ958" s="23"/>
      <c r="FR958" s="23"/>
      <c r="FS958" s="23"/>
      <c r="FT958" s="23"/>
      <c r="FU958" s="23"/>
      <c r="FV958" s="23"/>
      <c r="FW958" s="23"/>
      <c r="FX958" s="23"/>
      <c r="FY958" s="23"/>
      <c r="FZ958" s="23"/>
      <c r="GA958" s="23"/>
      <c r="GB958" s="23"/>
      <c r="GC958" s="23"/>
      <c r="GD958" s="23"/>
      <c r="GE958" s="23"/>
      <c r="GF958" s="23"/>
      <c r="GG958" s="23"/>
      <c r="GH958" s="23"/>
      <c r="GI958" s="23"/>
      <c r="GJ958" s="23"/>
      <c r="GK958" s="23"/>
      <c r="GL958" s="23"/>
    </row>
    <row r="959" spans="1:194" ht="13">
      <c r="A959" s="23"/>
      <c r="B959" s="23"/>
      <c r="C959" s="23"/>
      <c r="D959" s="23"/>
      <c r="E959" s="23"/>
      <c r="F959" s="23"/>
      <c r="G959" s="23"/>
      <c r="H959" s="401"/>
      <c r="I959" s="401"/>
      <c r="J959" s="401"/>
      <c r="K959" s="401"/>
      <c r="L959" s="401"/>
      <c r="M959" s="438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  <c r="AL959" s="23"/>
      <c r="AM959" s="23"/>
      <c r="AN959" s="23"/>
      <c r="AO959" s="23"/>
      <c r="AP959" s="23"/>
      <c r="AQ959" s="23"/>
      <c r="AR959" s="23"/>
      <c r="AS959" s="23"/>
      <c r="AT959" s="23"/>
      <c r="AU959" s="23"/>
      <c r="AV959" s="23"/>
      <c r="AW959" s="23"/>
      <c r="AX959" s="23"/>
      <c r="AY959" s="23"/>
      <c r="AZ959" s="23"/>
      <c r="BA959" s="23"/>
      <c r="BB959" s="23"/>
      <c r="BC959" s="23"/>
      <c r="BD959" s="23"/>
      <c r="BE959" s="23"/>
      <c r="BF959" s="23"/>
      <c r="BG959" s="23"/>
      <c r="BH959" s="23"/>
      <c r="BI959" s="23"/>
      <c r="BJ959" s="23"/>
      <c r="BK959" s="23"/>
      <c r="BL959" s="23"/>
      <c r="BM959" s="23"/>
      <c r="BN959" s="23"/>
      <c r="BO959" s="23"/>
      <c r="BP959" s="23"/>
      <c r="BQ959" s="23"/>
      <c r="BR959" s="23"/>
      <c r="BS959" s="23"/>
      <c r="BT959" s="23"/>
      <c r="BU959" s="23"/>
      <c r="BV959" s="23"/>
      <c r="BW959" s="23"/>
      <c r="BX959" s="23"/>
      <c r="BY959" s="23"/>
      <c r="BZ959" s="23"/>
      <c r="CA959" s="23"/>
      <c r="CB959" s="23"/>
      <c r="CC959" s="23"/>
      <c r="CD959" s="23"/>
      <c r="CE959" s="23"/>
      <c r="CF959" s="23"/>
      <c r="CG959" s="23"/>
      <c r="CH959" s="23"/>
      <c r="CI959" s="23"/>
      <c r="CJ959" s="23"/>
      <c r="CK959" s="23"/>
      <c r="CL959" s="23"/>
      <c r="CM959" s="23"/>
      <c r="CN959" s="23"/>
      <c r="CO959" s="23"/>
      <c r="CP959" s="23"/>
      <c r="CQ959" s="23"/>
      <c r="CR959" s="23"/>
      <c r="CS959" s="23"/>
      <c r="CT959" s="23"/>
      <c r="CU959" s="23"/>
      <c r="CV959" s="23"/>
      <c r="CW959" s="23"/>
      <c r="CX959" s="23"/>
      <c r="CY959" s="23"/>
      <c r="CZ959" s="23"/>
      <c r="DA959" s="23"/>
      <c r="DB959" s="23"/>
      <c r="DC959" s="23"/>
      <c r="DD959" s="23"/>
      <c r="DE959" s="23"/>
      <c r="DF959" s="23"/>
      <c r="DG959" s="23"/>
      <c r="DH959" s="23"/>
      <c r="DI959" s="23"/>
      <c r="DJ959" s="23"/>
      <c r="DK959" s="23"/>
      <c r="DL959" s="23"/>
      <c r="DM959" s="23"/>
      <c r="DN959" s="23"/>
      <c r="DO959" s="23"/>
      <c r="DP959" s="23"/>
      <c r="DQ959" s="23"/>
      <c r="DR959" s="23"/>
      <c r="DS959" s="23"/>
      <c r="DT959" s="23"/>
      <c r="DU959" s="23"/>
      <c r="DV959" s="23"/>
      <c r="DW959" s="23"/>
      <c r="DX959" s="23"/>
      <c r="DY959" s="23"/>
      <c r="DZ959" s="23"/>
      <c r="EA959" s="23"/>
      <c r="EB959" s="23"/>
      <c r="EC959" s="23"/>
      <c r="ED959" s="23"/>
      <c r="EE959" s="23"/>
      <c r="EF959" s="23"/>
      <c r="EG959" s="23"/>
      <c r="EH959" s="23"/>
      <c r="EI959" s="23"/>
      <c r="EJ959" s="23"/>
      <c r="EK959" s="23"/>
      <c r="EL959" s="23"/>
      <c r="EM959" s="23"/>
      <c r="EN959" s="23"/>
      <c r="EO959" s="23"/>
      <c r="EP959" s="23"/>
      <c r="EQ959" s="23"/>
      <c r="ER959" s="23"/>
      <c r="ES959" s="23"/>
      <c r="ET959" s="23"/>
      <c r="EU959" s="23"/>
      <c r="EV959" s="23"/>
      <c r="EW959" s="23"/>
      <c r="EX959" s="23"/>
      <c r="EY959" s="23"/>
      <c r="EZ959" s="23"/>
      <c r="FA959" s="23"/>
      <c r="FB959" s="23"/>
      <c r="FC959" s="23"/>
      <c r="FD959" s="23"/>
      <c r="FE959" s="23"/>
      <c r="FF959" s="23"/>
      <c r="FG959" s="23"/>
      <c r="FH959" s="23"/>
      <c r="FI959" s="23"/>
      <c r="FJ959" s="23"/>
      <c r="FK959" s="23"/>
      <c r="FL959" s="23"/>
      <c r="FM959" s="23"/>
      <c r="FN959" s="23"/>
      <c r="FO959" s="23"/>
      <c r="FP959" s="23"/>
      <c r="FQ959" s="23"/>
      <c r="FR959" s="23"/>
      <c r="FS959" s="23"/>
      <c r="FT959" s="23"/>
      <c r="FU959" s="23"/>
      <c r="FV959" s="23"/>
      <c r="FW959" s="23"/>
      <c r="FX959" s="23"/>
      <c r="FY959" s="23"/>
      <c r="FZ959" s="23"/>
      <c r="GA959" s="23"/>
      <c r="GB959" s="23"/>
      <c r="GC959" s="23"/>
      <c r="GD959" s="23"/>
      <c r="GE959" s="23"/>
      <c r="GF959" s="23"/>
      <c r="GG959" s="23"/>
      <c r="GH959" s="23"/>
      <c r="GI959" s="23"/>
      <c r="GJ959" s="23"/>
      <c r="GK959" s="23"/>
      <c r="GL959" s="23"/>
    </row>
    <row r="960" spans="1:194" ht="13">
      <c r="A960" s="23"/>
      <c r="B960" s="23"/>
      <c r="C960" s="23"/>
      <c r="D960" s="23"/>
      <c r="E960" s="23"/>
      <c r="F960" s="23"/>
      <c r="G960" s="23"/>
      <c r="H960" s="401"/>
      <c r="I960" s="401"/>
      <c r="J960" s="401"/>
      <c r="K960" s="401"/>
      <c r="L960" s="401"/>
      <c r="M960" s="438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  <c r="AL960" s="23"/>
      <c r="AM960" s="23"/>
      <c r="AN960" s="23"/>
      <c r="AO960" s="23"/>
      <c r="AP960" s="23"/>
      <c r="AQ960" s="23"/>
      <c r="AR960" s="23"/>
      <c r="AS960" s="23"/>
      <c r="AT960" s="23"/>
      <c r="AU960" s="23"/>
      <c r="AV960" s="23"/>
      <c r="AW960" s="23"/>
      <c r="AX960" s="23"/>
      <c r="AY960" s="23"/>
      <c r="AZ960" s="23"/>
      <c r="BA960" s="23"/>
      <c r="BB960" s="23"/>
      <c r="BC960" s="23"/>
      <c r="BD960" s="23"/>
      <c r="BE960" s="23"/>
      <c r="BF960" s="23"/>
      <c r="BG960" s="23"/>
      <c r="BH960" s="23"/>
      <c r="BI960" s="23"/>
      <c r="BJ960" s="23"/>
      <c r="BK960" s="23"/>
      <c r="BL960" s="23"/>
      <c r="BM960" s="23"/>
      <c r="BN960" s="23"/>
      <c r="BO960" s="23"/>
      <c r="BP960" s="23"/>
      <c r="BQ960" s="23"/>
      <c r="BR960" s="23"/>
      <c r="BS960" s="23"/>
      <c r="BT960" s="23"/>
      <c r="BU960" s="23"/>
      <c r="BV960" s="23"/>
      <c r="BW960" s="23"/>
      <c r="BX960" s="23"/>
      <c r="BY960" s="23"/>
      <c r="BZ960" s="23"/>
      <c r="CA960" s="23"/>
      <c r="CB960" s="23"/>
      <c r="CC960" s="23"/>
      <c r="CD960" s="23"/>
      <c r="CE960" s="23"/>
      <c r="CF960" s="23"/>
      <c r="CG960" s="23"/>
      <c r="CH960" s="23"/>
      <c r="CI960" s="23"/>
      <c r="CJ960" s="23"/>
      <c r="CK960" s="23"/>
      <c r="CL960" s="23"/>
      <c r="CM960" s="23"/>
      <c r="CN960" s="23"/>
      <c r="CO960" s="23"/>
      <c r="CP960" s="23"/>
      <c r="CQ960" s="23"/>
      <c r="CR960" s="23"/>
      <c r="CS960" s="23"/>
      <c r="CT960" s="23"/>
      <c r="CU960" s="23"/>
      <c r="CV960" s="23"/>
      <c r="CW960" s="23"/>
      <c r="CX960" s="23"/>
      <c r="CY960" s="23"/>
      <c r="CZ960" s="23"/>
      <c r="DA960" s="23"/>
      <c r="DB960" s="23"/>
      <c r="DC960" s="23"/>
      <c r="DD960" s="23"/>
      <c r="DE960" s="23"/>
      <c r="DF960" s="23"/>
      <c r="DG960" s="23"/>
      <c r="DH960" s="23"/>
      <c r="DI960" s="23"/>
      <c r="DJ960" s="23"/>
      <c r="DK960" s="23"/>
      <c r="DL960" s="23"/>
      <c r="DM960" s="23"/>
      <c r="DN960" s="23"/>
      <c r="DO960" s="23"/>
      <c r="DP960" s="23"/>
      <c r="DQ960" s="23"/>
      <c r="DR960" s="23"/>
      <c r="DS960" s="23"/>
      <c r="DT960" s="23"/>
      <c r="DU960" s="23"/>
      <c r="DV960" s="23"/>
      <c r="DW960" s="23"/>
      <c r="DX960" s="23"/>
      <c r="DY960" s="23"/>
      <c r="DZ960" s="23"/>
      <c r="EA960" s="23"/>
      <c r="EB960" s="23"/>
      <c r="EC960" s="23"/>
      <c r="ED960" s="23"/>
      <c r="EE960" s="23"/>
      <c r="EF960" s="23"/>
      <c r="EG960" s="23"/>
      <c r="EH960" s="23"/>
      <c r="EI960" s="23"/>
      <c r="EJ960" s="23"/>
      <c r="EK960" s="23"/>
      <c r="EL960" s="23"/>
      <c r="EM960" s="23"/>
      <c r="EN960" s="23"/>
      <c r="EO960" s="23"/>
      <c r="EP960" s="23"/>
      <c r="EQ960" s="23"/>
      <c r="ER960" s="23"/>
      <c r="ES960" s="23"/>
      <c r="ET960" s="23"/>
      <c r="EU960" s="23"/>
      <c r="EV960" s="23"/>
      <c r="EW960" s="23"/>
      <c r="EX960" s="23"/>
      <c r="EY960" s="23"/>
      <c r="EZ960" s="23"/>
      <c r="FA960" s="23"/>
      <c r="FB960" s="23"/>
      <c r="FC960" s="23"/>
      <c r="FD960" s="23"/>
      <c r="FE960" s="23"/>
      <c r="FF960" s="23"/>
      <c r="FG960" s="23"/>
      <c r="FH960" s="23"/>
      <c r="FI960" s="23"/>
      <c r="FJ960" s="23"/>
      <c r="FK960" s="23"/>
      <c r="FL960" s="23"/>
      <c r="FM960" s="23"/>
      <c r="FN960" s="23"/>
      <c r="FO960" s="23"/>
      <c r="FP960" s="23"/>
      <c r="FQ960" s="23"/>
      <c r="FR960" s="23"/>
      <c r="FS960" s="23"/>
      <c r="FT960" s="23"/>
      <c r="FU960" s="23"/>
      <c r="FV960" s="23"/>
      <c r="FW960" s="23"/>
      <c r="FX960" s="23"/>
      <c r="FY960" s="23"/>
      <c r="FZ960" s="23"/>
      <c r="GA960" s="23"/>
      <c r="GB960" s="23"/>
      <c r="GC960" s="23"/>
      <c r="GD960" s="23"/>
      <c r="GE960" s="23"/>
      <c r="GF960" s="23"/>
      <c r="GG960" s="23"/>
      <c r="GH960" s="23"/>
      <c r="GI960" s="23"/>
      <c r="GJ960" s="23"/>
      <c r="GK960" s="23"/>
      <c r="GL960" s="23"/>
    </row>
    <row r="961" spans="1:194" ht="13">
      <c r="A961" s="23"/>
      <c r="B961" s="23"/>
      <c r="C961" s="23"/>
      <c r="D961" s="23"/>
      <c r="E961" s="23"/>
      <c r="F961" s="23"/>
      <c r="G961" s="23"/>
      <c r="H961" s="401"/>
      <c r="I961" s="401"/>
      <c r="J961" s="401"/>
      <c r="K961" s="401"/>
      <c r="L961" s="401"/>
      <c r="M961" s="438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  <c r="AL961" s="23"/>
      <c r="AM961" s="23"/>
      <c r="AN961" s="23"/>
      <c r="AO961" s="23"/>
      <c r="AP961" s="23"/>
      <c r="AQ961" s="23"/>
      <c r="AR961" s="23"/>
      <c r="AS961" s="23"/>
      <c r="AT961" s="23"/>
      <c r="AU961" s="23"/>
      <c r="AV961" s="23"/>
      <c r="AW961" s="23"/>
      <c r="AX961" s="23"/>
      <c r="AY961" s="23"/>
      <c r="AZ961" s="23"/>
      <c r="BA961" s="23"/>
      <c r="BB961" s="23"/>
      <c r="BC961" s="23"/>
      <c r="BD961" s="23"/>
      <c r="BE961" s="23"/>
      <c r="BF961" s="23"/>
      <c r="BG961" s="23"/>
      <c r="BH961" s="23"/>
      <c r="BI961" s="23"/>
      <c r="BJ961" s="23"/>
      <c r="BK961" s="23"/>
      <c r="BL961" s="23"/>
      <c r="BM961" s="23"/>
      <c r="BN961" s="23"/>
      <c r="BO961" s="23"/>
      <c r="BP961" s="23"/>
      <c r="BQ961" s="23"/>
      <c r="BR961" s="23"/>
      <c r="BS961" s="23"/>
      <c r="BT961" s="23"/>
      <c r="BU961" s="23"/>
      <c r="BV961" s="23"/>
      <c r="BW961" s="23"/>
      <c r="BX961" s="23"/>
      <c r="BY961" s="23"/>
      <c r="BZ961" s="23"/>
      <c r="CA961" s="23"/>
      <c r="CB961" s="23"/>
      <c r="CC961" s="23"/>
      <c r="CD961" s="23"/>
      <c r="CE961" s="23"/>
      <c r="CF961" s="23"/>
      <c r="CG961" s="23"/>
      <c r="CH961" s="23"/>
      <c r="CI961" s="23"/>
      <c r="CJ961" s="23"/>
      <c r="CK961" s="23"/>
      <c r="CL961" s="23"/>
      <c r="CM961" s="23"/>
      <c r="CN961" s="23"/>
      <c r="CO961" s="23"/>
      <c r="CP961" s="23"/>
      <c r="CQ961" s="23"/>
      <c r="CR961" s="23"/>
      <c r="CS961" s="23"/>
      <c r="CT961" s="23"/>
      <c r="CU961" s="23"/>
      <c r="CV961" s="23"/>
      <c r="CW961" s="23"/>
      <c r="CX961" s="23"/>
      <c r="CY961" s="23"/>
      <c r="CZ961" s="23"/>
      <c r="DA961" s="23"/>
      <c r="DB961" s="23"/>
      <c r="DC961" s="23"/>
      <c r="DD961" s="23"/>
      <c r="DE961" s="23"/>
      <c r="DF961" s="23"/>
      <c r="DG961" s="23"/>
      <c r="DH961" s="23"/>
      <c r="DI961" s="23"/>
      <c r="DJ961" s="23"/>
      <c r="DK961" s="23"/>
      <c r="DL961" s="23"/>
      <c r="DM961" s="23"/>
      <c r="DN961" s="23"/>
      <c r="DO961" s="23"/>
      <c r="DP961" s="23"/>
      <c r="DQ961" s="23"/>
      <c r="DR961" s="23"/>
      <c r="DS961" s="23"/>
      <c r="DT961" s="23"/>
      <c r="DU961" s="23"/>
      <c r="DV961" s="23"/>
      <c r="DW961" s="23"/>
      <c r="DX961" s="23"/>
      <c r="DY961" s="23"/>
      <c r="DZ961" s="23"/>
      <c r="EA961" s="23"/>
      <c r="EB961" s="23"/>
      <c r="EC961" s="23"/>
      <c r="ED961" s="23"/>
      <c r="EE961" s="23"/>
      <c r="EF961" s="23"/>
      <c r="EG961" s="23"/>
      <c r="EH961" s="23"/>
      <c r="EI961" s="23"/>
      <c r="EJ961" s="23"/>
      <c r="EK961" s="23"/>
      <c r="EL961" s="23"/>
      <c r="EM961" s="23"/>
      <c r="EN961" s="23"/>
      <c r="EO961" s="23"/>
      <c r="EP961" s="23"/>
      <c r="EQ961" s="23"/>
      <c r="ER961" s="23"/>
      <c r="ES961" s="23"/>
      <c r="ET961" s="23"/>
      <c r="EU961" s="23"/>
      <c r="EV961" s="23"/>
      <c r="EW961" s="23"/>
      <c r="EX961" s="23"/>
      <c r="EY961" s="23"/>
      <c r="EZ961" s="23"/>
      <c r="FA961" s="23"/>
      <c r="FB961" s="23"/>
      <c r="FC961" s="23"/>
      <c r="FD961" s="23"/>
      <c r="FE961" s="23"/>
      <c r="FF961" s="23"/>
      <c r="FG961" s="23"/>
      <c r="FH961" s="23"/>
      <c r="FI961" s="23"/>
      <c r="FJ961" s="23"/>
      <c r="FK961" s="23"/>
      <c r="FL961" s="23"/>
      <c r="FM961" s="23"/>
      <c r="FN961" s="23"/>
      <c r="FO961" s="23"/>
      <c r="FP961" s="23"/>
      <c r="FQ961" s="23"/>
      <c r="FR961" s="23"/>
      <c r="FS961" s="23"/>
      <c r="FT961" s="23"/>
      <c r="FU961" s="23"/>
      <c r="FV961" s="23"/>
      <c r="FW961" s="23"/>
      <c r="FX961" s="23"/>
      <c r="FY961" s="23"/>
      <c r="FZ961" s="23"/>
      <c r="GA961" s="23"/>
      <c r="GB961" s="23"/>
      <c r="GC961" s="23"/>
      <c r="GD961" s="23"/>
      <c r="GE961" s="23"/>
      <c r="GF961" s="23"/>
      <c r="GG961" s="23"/>
      <c r="GH961" s="23"/>
      <c r="GI961" s="23"/>
      <c r="GJ961" s="23"/>
      <c r="GK961" s="23"/>
      <c r="GL961" s="23"/>
    </row>
    <row r="962" spans="1:194" ht="13">
      <c r="A962" s="23"/>
      <c r="B962" s="23"/>
      <c r="C962" s="23"/>
      <c r="D962" s="23"/>
      <c r="E962" s="23"/>
      <c r="F962" s="23"/>
      <c r="G962" s="23"/>
      <c r="H962" s="401"/>
      <c r="I962" s="401"/>
      <c r="J962" s="401"/>
      <c r="K962" s="401"/>
      <c r="L962" s="401"/>
      <c r="M962" s="438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  <c r="AL962" s="23"/>
      <c r="AM962" s="23"/>
      <c r="AN962" s="23"/>
      <c r="AO962" s="23"/>
      <c r="AP962" s="23"/>
      <c r="AQ962" s="23"/>
      <c r="AR962" s="23"/>
      <c r="AS962" s="23"/>
      <c r="AT962" s="23"/>
      <c r="AU962" s="23"/>
      <c r="AV962" s="23"/>
      <c r="AW962" s="23"/>
      <c r="AX962" s="23"/>
      <c r="AY962" s="23"/>
      <c r="AZ962" s="23"/>
      <c r="BA962" s="23"/>
      <c r="BB962" s="23"/>
      <c r="BC962" s="23"/>
      <c r="BD962" s="23"/>
      <c r="BE962" s="23"/>
      <c r="BF962" s="23"/>
      <c r="BG962" s="23"/>
      <c r="BH962" s="23"/>
      <c r="BI962" s="23"/>
      <c r="BJ962" s="23"/>
      <c r="BK962" s="23"/>
      <c r="BL962" s="23"/>
      <c r="BM962" s="23"/>
      <c r="BN962" s="23"/>
      <c r="BO962" s="23"/>
      <c r="BP962" s="23"/>
      <c r="BQ962" s="23"/>
      <c r="BR962" s="23"/>
      <c r="BS962" s="23"/>
      <c r="BT962" s="23"/>
      <c r="BU962" s="23"/>
      <c r="BV962" s="23"/>
      <c r="BW962" s="23"/>
      <c r="BX962" s="23"/>
      <c r="BY962" s="23"/>
      <c r="BZ962" s="23"/>
      <c r="CA962" s="23"/>
      <c r="CB962" s="23"/>
      <c r="CC962" s="23"/>
      <c r="CD962" s="23"/>
      <c r="CE962" s="23"/>
      <c r="CF962" s="23"/>
      <c r="CG962" s="23"/>
      <c r="CH962" s="23"/>
      <c r="CI962" s="23"/>
      <c r="CJ962" s="23"/>
      <c r="CK962" s="23"/>
      <c r="CL962" s="23"/>
      <c r="CM962" s="23"/>
      <c r="CN962" s="23"/>
      <c r="CO962" s="23"/>
      <c r="CP962" s="23"/>
      <c r="CQ962" s="23"/>
      <c r="CR962" s="23"/>
      <c r="CS962" s="23"/>
      <c r="CT962" s="23"/>
      <c r="CU962" s="23"/>
      <c r="CV962" s="23"/>
      <c r="CW962" s="23"/>
      <c r="CX962" s="23"/>
      <c r="CY962" s="23"/>
      <c r="CZ962" s="23"/>
      <c r="DA962" s="23"/>
      <c r="DB962" s="23"/>
      <c r="DC962" s="23"/>
      <c r="DD962" s="23"/>
      <c r="DE962" s="23"/>
      <c r="DF962" s="23"/>
      <c r="DG962" s="23"/>
      <c r="DH962" s="23"/>
      <c r="DI962" s="23"/>
      <c r="DJ962" s="23"/>
      <c r="DK962" s="23"/>
      <c r="DL962" s="23"/>
      <c r="DM962" s="23"/>
      <c r="DN962" s="23"/>
      <c r="DO962" s="23"/>
      <c r="DP962" s="23"/>
      <c r="DQ962" s="23"/>
      <c r="DR962" s="23"/>
      <c r="DS962" s="23"/>
      <c r="DT962" s="23"/>
      <c r="DU962" s="23"/>
      <c r="DV962" s="23"/>
      <c r="DW962" s="23"/>
      <c r="DX962" s="23"/>
      <c r="DY962" s="23"/>
      <c r="DZ962" s="23"/>
      <c r="EA962" s="23"/>
      <c r="EB962" s="23"/>
      <c r="EC962" s="23"/>
      <c r="ED962" s="23"/>
      <c r="EE962" s="23"/>
      <c r="EF962" s="23"/>
      <c r="EG962" s="23"/>
      <c r="EH962" s="23"/>
      <c r="EI962" s="23"/>
      <c r="EJ962" s="23"/>
      <c r="EK962" s="23"/>
      <c r="EL962" s="23"/>
      <c r="EM962" s="23"/>
      <c r="EN962" s="23"/>
      <c r="EO962" s="23"/>
      <c r="EP962" s="23"/>
      <c r="EQ962" s="23"/>
      <c r="ER962" s="23"/>
      <c r="ES962" s="23"/>
      <c r="ET962" s="23"/>
      <c r="EU962" s="23"/>
      <c r="EV962" s="23"/>
      <c r="EW962" s="23"/>
      <c r="EX962" s="23"/>
      <c r="EY962" s="23"/>
      <c r="EZ962" s="23"/>
      <c r="FA962" s="23"/>
      <c r="FB962" s="23"/>
      <c r="FC962" s="23"/>
      <c r="FD962" s="23"/>
      <c r="FE962" s="23"/>
      <c r="FF962" s="23"/>
      <c r="FG962" s="23"/>
      <c r="FH962" s="23"/>
      <c r="FI962" s="23"/>
      <c r="FJ962" s="23"/>
      <c r="FK962" s="23"/>
      <c r="FL962" s="23"/>
      <c r="FM962" s="23"/>
      <c r="FN962" s="23"/>
      <c r="FO962" s="23"/>
      <c r="FP962" s="23"/>
      <c r="FQ962" s="23"/>
      <c r="FR962" s="23"/>
      <c r="FS962" s="23"/>
      <c r="FT962" s="23"/>
      <c r="FU962" s="23"/>
      <c r="FV962" s="23"/>
      <c r="FW962" s="23"/>
      <c r="FX962" s="23"/>
      <c r="FY962" s="23"/>
      <c r="FZ962" s="23"/>
      <c r="GA962" s="23"/>
      <c r="GB962" s="23"/>
      <c r="GC962" s="23"/>
      <c r="GD962" s="23"/>
      <c r="GE962" s="23"/>
      <c r="GF962" s="23"/>
      <c r="GG962" s="23"/>
      <c r="GH962" s="23"/>
      <c r="GI962" s="23"/>
      <c r="GJ962" s="23"/>
      <c r="GK962" s="23"/>
      <c r="GL962" s="23"/>
    </row>
    <row r="963" spans="1:194" ht="13">
      <c r="A963" s="23"/>
      <c r="B963" s="23"/>
      <c r="C963" s="23"/>
      <c r="D963" s="23"/>
      <c r="E963" s="23"/>
      <c r="F963" s="23"/>
      <c r="G963" s="23"/>
      <c r="H963" s="401"/>
      <c r="I963" s="401"/>
      <c r="J963" s="401"/>
      <c r="K963" s="401"/>
      <c r="L963" s="401"/>
      <c r="M963" s="438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  <c r="AL963" s="23"/>
      <c r="AM963" s="23"/>
      <c r="AN963" s="23"/>
      <c r="AO963" s="23"/>
      <c r="AP963" s="23"/>
      <c r="AQ963" s="23"/>
      <c r="AR963" s="23"/>
      <c r="AS963" s="23"/>
      <c r="AT963" s="23"/>
      <c r="AU963" s="23"/>
      <c r="AV963" s="23"/>
      <c r="AW963" s="23"/>
      <c r="AX963" s="23"/>
      <c r="AY963" s="23"/>
      <c r="AZ963" s="23"/>
      <c r="BA963" s="23"/>
      <c r="BB963" s="23"/>
      <c r="BC963" s="23"/>
      <c r="BD963" s="23"/>
      <c r="BE963" s="23"/>
      <c r="BF963" s="23"/>
      <c r="BG963" s="23"/>
      <c r="BH963" s="23"/>
      <c r="BI963" s="23"/>
      <c r="BJ963" s="23"/>
      <c r="BK963" s="23"/>
      <c r="BL963" s="23"/>
      <c r="BM963" s="23"/>
      <c r="BN963" s="23"/>
      <c r="BO963" s="23"/>
      <c r="BP963" s="23"/>
      <c r="BQ963" s="23"/>
      <c r="BR963" s="23"/>
      <c r="BS963" s="23"/>
      <c r="BT963" s="23"/>
      <c r="BU963" s="23"/>
      <c r="BV963" s="23"/>
      <c r="BW963" s="23"/>
      <c r="BX963" s="23"/>
      <c r="BY963" s="23"/>
      <c r="BZ963" s="23"/>
      <c r="CA963" s="23"/>
      <c r="CB963" s="23"/>
      <c r="CC963" s="23"/>
      <c r="CD963" s="23"/>
      <c r="CE963" s="23"/>
      <c r="CF963" s="23"/>
      <c r="CG963" s="23"/>
      <c r="CH963" s="23"/>
      <c r="CI963" s="23"/>
      <c r="CJ963" s="23"/>
      <c r="CK963" s="23"/>
      <c r="CL963" s="23"/>
      <c r="CM963" s="23"/>
      <c r="CN963" s="23"/>
      <c r="CO963" s="23"/>
      <c r="CP963" s="23"/>
      <c r="CQ963" s="23"/>
      <c r="CR963" s="23"/>
      <c r="CS963" s="23"/>
      <c r="CT963" s="23"/>
      <c r="CU963" s="23"/>
      <c r="CV963" s="23"/>
      <c r="CW963" s="23"/>
      <c r="CX963" s="23"/>
      <c r="CY963" s="23"/>
      <c r="CZ963" s="23"/>
      <c r="DA963" s="23"/>
      <c r="DB963" s="23"/>
      <c r="DC963" s="23"/>
      <c r="DD963" s="23"/>
      <c r="DE963" s="23"/>
      <c r="DF963" s="23"/>
      <c r="DG963" s="23"/>
      <c r="DH963" s="23"/>
      <c r="DI963" s="23"/>
      <c r="DJ963" s="23"/>
      <c r="DK963" s="23"/>
      <c r="DL963" s="23"/>
      <c r="DM963" s="23"/>
      <c r="DN963" s="23"/>
      <c r="DO963" s="23"/>
      <c r="DP963" s="23"/>
      <c r="DQ963" s="23"/>
      <c r="DR963" s="23"/>
      <c r="DS963" s="23"/>
      <c r="DT963" s="23"/>
      <c r="DU963" s="23"/>
      <c r="DV963" s="23"/>
      <c r="DW963" s="23"/>
      <c r="DX963" s="23"/>
      <c r="DY963" s="23"/>
      <c r="DZ963" s="23"/>
      <c r="EA963" s="23"/>
      <c r="EB963" s="23"/>
      <c r="EC963" s="23"/>
      <c r="ED963" s="23"/>
      <c r="EE963" s="23"/>
      <c r="EF963" s="23"/>
      <c r="EG963" s="23"/>
      <c r="EH963" s="23"/>
      <c r="EI963" s="23"/>
      <c r="EJ963" s="23"/>
      <c r="EK963" s="23"/>
      <c r="EL963" s="23"/>
      <c r="EM963" s="23"/>
      <c r="EN963" s="23"/>
      <c r="EO963" s="23"/>
      <c r="EP963" s="23"/>
      <c r="EQ963" s="23"/>
      <c r="ER963" s="23"/>
      <c r="ES963" s="23"/>
      <c r="ET963" s="23"/>
      <c r="EU963" s="23"/>
      <c r="EV963" s="23"/>
      <c r="EW963" s="23"/>
      <c r="EX963" s="23"/>
      <c r="EY963" s="23"/>
      <c r="EZ963" s="23"/>
      <c r="FA963" s="23"/>
      <c r="FB963" s="23"/>
      <c r="FC963" s="23"/>
      <c r="FD963" s="23"/>
      <c r="FE963" s="23"/>
      <c r="FF963" s="23"/>
      <c r="FG963" s="23"/>
      <c r="FH963" s="23"/>
      <c r="FI963" s="23"/>
      <c r="FJ963" s="23"/>
      <c r="FK963" s="23"/>
      <c r="FL963" s="23"/>
      <c r="FM963" s="23"/>
      <c r="FN963" s="23"/>
      <c r="FO963" s="23"/>
      <c r="FP963" s="23"/>
      <c r="FQ963" s="23"/>
      <c r="FR963" s="23"/>
      <c r="FS963" s="23"/>
      <c r="FT963" s="23"/>
      <c r="FU963" s="23"/>
      <c r="FV963" s="23"/>
      <c r="FW963" s="23"/>
      <c r="FX963" s="23"/>
      <c r="FY963" s="23"/>
      <c r="FZ963" s="23"/>
      <c r="GA963" s="23"/>
      <c r="GB963" s="23"/>
      <c r="GC963" s="23"/>
      <c r="GD963" s="23"/>
      <c r="GE963" s="23"/>
      <c r="GF963" s="23"/>
      <c r="GG963" s="23"/>
      <c r="GH963" s="23"/>
      <c r="GI963" s="23"/>
      <c r="GJ963" s="23"/>
      <c r="GK963" s="23"/>
      <c r="GL963" s="23"/>
    </row>
    <row r="964" spans="1:194" ht="13">
      <c r="A964" s="23"/>
      <c r="B964" s="23"/>
      <c r="C964" s="23"/>
      <c r="D964" s="23"/>
      <c r="E964" s="23"/>
      <c r="F964" s="23"/>
      <c r="G964" s="23"/>
      <c r="H964" s="401"/>
      <c r="I964" s="401"/>
      <c r="J964" s="401"/>
      <c r="K964" s="401"/>
      <c r="L964" s="401"/>
      <c r="M964" s="438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  <c r="AL964" s="23"/>
      <c r="AM964" s="23"/>
      <c r="AN964" s="23"/>
      <c r="AO964" s="23"/>
      <c r="AP964" s="23"/>
      <c r="AQ964" s="23"/>
      <c r="AR964" s="23"/>
      <c r="AS964" s="23"/>
      <c r="AT964" s="23"/>
      <c r="AU964" s="23"/>
      <c r="AV964" s="23"/>
      <c r="AW964" s="23"/>
      <c r="AX964" s="23"/>
      <c r="AY964" s="23"/>
      <c r="AZ964" s="23"/>
      <c r="BA964" s="23"/>
      <c r="BB964" s="23"/>
      <c r="BC964" s="23"/>
      <c r="BD964" s="23"/>
      <c r="BE964" s="23"/>
      <c r="BF964" s="23"/>
      <c r="BG964" s="23"/>
      <c r="BH964" s="23"/>
      <c r="BI964" s="23"/>
      <c r="BJ964" s="23"/>
      <c r="BK964" s="23"/>
      <c r="BL964" s="23"/>
      <c r="BM964" s="23"/>
      <c r="BN964" s="23"/>
      <c r="BO964" s="23"/>
      <c r="BP964" s="23"/>
      <c r="BQ964" s="23"/>
      <c r="BR964" s="23"/>
      <c r="BS964" s="23"/>
      <c r="BT964" s="23"/>
      <c r="BU964" s="23"/>
      <c r="BV964" s="23"/>
      <c r="BW964" s="23"/>
      <c r="BX964" s="23"/>
      <c r="BY964" s="23"/>
      <c r="BZ964" s="23"/>
      <c r="CA964" s="23"/>
      <c r="CB964" s="23"/>
      <c r="CC964" s="23"/>
      <c r="CD964" s="23"/>
      <c r="CE964" s="23"/>
      <c r="CF964" s="23"/>
      <c r="CG964" s="23"/>
      <c r="CH964" s="23"/>
      <c r="CI964" s="23"/>
      <c r="CJ964" s="23"/>
      <c r="CK964" s="23"/>
      <c r="CL964" s="23"/>
      <c r="CM964" s="23"/>
      <c r="CN964" s="23"/>
      <c r="CO964" s="23"/>
      <c r="CP964" s="23"/>
      <c r="CQ964" s="23"/>
      <c r="CR964" s="23"/>
      <c r="CS964" s="23"/>
      <c r="CT964" s="23"/>
      <c r="CU964" s="23"/>
      <c r="CV964" s="23"/>
      <c r="CW964" s="23"/>
      <c r="CX964" s="23"/>
      <c r="CY964" s="23"/>
      <c r="CZ964" s="23"/>
      <c r="DA964" s="23"/>
      <c r="DB964" s="23"/>
      <c r="DC964" s="23"/>
      <c r="DD964" s="23"/>
      <c r="DE964" s="23"/>
      <c r="DF964" s="23"/>
      <c r="DG964" s="23"/>
      <c r="DH964" s="23"/>
      <c r="DI964" s="23"/>
      <c r="DJ964" s="23"/>
      <c r="DK964" s="23"/>
      <c r="DL964" s="23"/>
      <c r="DM964" s="23"/>
      <c r="DN964" s="23"/>
      <c r="DO964" s="23"/>
      <c r="DP964" s="23"/>
      <c r="DQ964" s="23"/>
      <c r="DR964" s="23"/>
      <c r="DS964" s="23"/>
      <c r="DT964" s="23"/>
      <c r="DU964" s="23"/>
      <c r="DV964" s="23"/>
      <c r="DW964" s="23"/>
      <c r="DX964" s="23"/>
      <c r="DY964" s="23"/>
      <c r="DZ964" s="23"/>
      <c r="EA964" s="23"/>
      <c r="EB964" s="23"/>
      <c r="EC964" s="23"/>
      <c r="ED964" s="23"/>
      <c r="EE964" s="23"/>
      <c r="EF964" s="23"/>
      <c r="EG964" s="23"/>
      <c r="EH964" s="23"/>
      <c r="EI964" s="23"/>
      <c r="EJ964" s="23"/>
      <c r="EK964" s="23"/>
      <c r="EL964" s="23"/>
      <c r="EM964" s="23"/>
      <c r="EN964" s="23"/>
      <c r="EO964" s="23"/>
      <c r="EP964" s="23"/>
      <c r="EQ964" s="23"/>
      <c r="ER964" s="23"/>
      <c r="ES964" s="23"/>
      <c r="ET964" s="23"/>
      <c r="EU964" s="23"/>
      <c r="EV964" s="23"/>
      <c r="EW964" s="23"/>
      <c r="EX964" s="23"/>
      <c r="EY964" s="23"/>
      <c r="EZ964" s="23"/>
      <c r="FA964" s="23"/>
      <c r="FB964" s="23"/>
      <c r="FC964" s="23"/>
      <c r="FD964" s="23"/>
      <c r="FE964" s="23"/>
      <c r="FF964" s="23"/>
      <c r="FG964" s="23"/>
      <c r="FH964" s="23"/>
      <c r="FI964" s="23"/>
      <c r="FJ964" s="23"/>
      <c r="FK964" s="23"/>
      <c r="FL964" s="23"/>
      <c r="FM964" s="23"/>
      <c r="FN964" s="23"/>
      <c r="FO964" s="23"/>
      <c r="FP964" s="23"/>
      <c r="FQ964" s="23"/>
      <c r="FR964" s="23"/>
      <c r="FS964" s="23"/>
      <c r="FT964" s="23"/>
      <c r="FU964" s="23"/>
      <c r="FV964" s="23"/>
      <c r="FW964" s="23"/>
      <c r="FX964" s="23"/>
      <c r="FY964" s="23"/>
      <c r="FZ964" s="23"/>
      <c r="GA964" s="23"/>
      <c r="GB964" s="23"/>
      <c r="GC964" s="23"/>
      <c r="GD964" s="23"/>
      <c r="GE964" s="23"/>
      <c r="GF964" s="23"/>
      <c r="GG964" s="23"/>
      <c r="GH964" s="23"/>
      <c r="GI964" s="23"/>
      <c r="GJ964" s="23"/>
      <c r="GK964" s="23"/>
      <c r="GL964" s="23"/>
    </row>
    <row r="965" spans="1:194" ht="13">
      <c r="A965" s="23"/>
      <c r="B965" s="23"/>
      <c r="C965" s="23"/>
      <c r="D965" s="23"/>
      <c r="E965" s="23"/>
      <c r="F965" s="23"/>
      <c r="G965" s="23"/>
      <c r="H965" s="401"/>
      <c r="I965" s="401"/>
      <c r="J965" s="401"/>
      <c r="K965" s="401"/>
      <c r="L965" s="401"/>
      <c r="M965" s="438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  <c r="AL965" s="23"/>
      <c r="AM965" s="23"/>
      <c r="AN965" s="23"/>
      <c r="AO965" s="23"/>
      <c r="AP965" s="23"/>
      <c r="AQ965" s="23"/>
      <c r="AR965" s="23"/>
      <c r="AS965" s="23"/>
      <c r="AT965" s="23"/>
      <c r="AU965" s="23"/>
      <c r="AV965" s="23"/>
      <c r="AW965" s="23"/>
      <c r="AX965" s="23"/>
      <c r="AY965" s="23"/>
      <c r="AZ965" s="23"/>
      <c r="BA965" s="23"/>
      <c r="BB965" s="23"/>
      <c r="BC965" s="23"/>
      <c r="BD965" s="23"/>
      <c r="BE965" s="23"/>
      <c r="BF965" s="23"/>
      <c r="BG965" s="23"/>
      <c r="BH965" s="23"/>
      <c r="BI965" s="23"/>
      <c r="BJ965" s="23"/>
      <c r="BK965" s="23"/>
      <c r="BL965" s="23"/>
      <c r="BM965" s="23"/>
      <c r="BN965" s="23"/>
      <c r="BO965" s="23"/>
      <c r="BP965" s="23"/>
      <c r="BQ965" s="23"/>
      <c r="BR965" s="23"/>
      <c r="BS965" s="23"/>
      <c r="BT965" s="23"/>
      <c r="BU965" s="23"/>
      <c r="BV965" s="23"/>
      <c r="BW965" s="23"/>
      <c r="BX965" s="23"/>
      <c r="BY965" s="23"/>
      <c r="BZ965" s="23"/>
      <c r="CA965" s="23"/>
      <c r="CB965" s="23"/>
      <c r="CC965" s="23"/>
      <c r="CD965" s="23"/>
      <c r="CE965" s="23"/>
      <c r="CF965" s="23"/>
      <c r="CG965" s="23"/>
      <c r="CH965" s="23"/>
      <c r="CI965" s="23"/>
      <c r="CJ965" s="23"/>
      <c r="CK965" s="23"/>
      <c r="CL965" s="23"/>
      <c r="CM965" s="23"/>
      <c r="CN965" s="23"/>
      <c r="CO965" s="23"/>
      <c r="CP965" s="23"/>
      <c r="CQ965" s="23"/>
      <c r="CR965" s="23"/>
      <c r="CS965" s="23"/>
      <c r="CT965" s="23"/>
      <c r="CU965" s="23"/>
      <c r="CV965" s="23"/>
      <c r="CW965" s="23"/>
      <c r="CX965" s="23"/>
      <c r="CY965" s="23"/>
      <c r="CZ965" s="23"/>
      <c r="DA965" s="23"/>
      <c r="DB965" s="23"/>
      <c r="DC965" s="23"/>
      <c r="DD965" s="23"/>
      <c r="DE965" s="23"/>
      <c r="DF965" s="23"/>
      <c r="DG965" s="23"/>
      <c r="DH965" s="23"/>
      <c r="DI965" s="23"/>
      <c r="DJ965" s="23"/>
      <c r="DK965" s="23"/>
      <c r="DL965" s="23"/>
      <c r="DM965" s="23"/>
      <c r="DN965" s="23"/>
      <c r="DO965" s="23"/>
      <c r="DP965" s="23"/>
      <c r="DQ965" s="23"/>
      <c r="DR965" s="23"/>
      <c r="DS965" s="23"/>
      <c r="DT965" s="23"/>
      <c r="DU965" s="23"/>
      <c r="DV965" s="23"/>
      <c r="DW965" s="23"/>
      <c r="DX965" s="23"/>
      <c r="DY965" s="23"/>
      <c r="DZ965" s="23"/>
      <c r="EA965" s="23"/>
      <c r="EB965" s="23"/>
      <c r="EC965" s="23"/>
      <c r="ED965" s="23"/>
      <c r="EE965" s="23"/>
      <c r="EF965" s="23"/>
      <c r="EG965" s="23"/>
      <c r="EH965" s="23"/>
      <c r="EI965" s="23"/>
      <c r="EJ965" s="23"/>
      <c r="EK965" s="23"/>
      <c r="EL965" s="23"/>
      <c r="EM965" s="23"/>
      <c r="EN965" s="23"/>
      <c r="EO965" s="23"/>
      <c r="EP965" s="23"/>
      <c r="EQ965" s="23"/>
      <c r="ER965" s="23"/>
      <c r="ES965" s="23"/>
      <c r="ET965" s="23"/>
      <c r="EU965" s="23"/>
      <c r="EV965" s="23"/>
      <c r="EW965" s="23"/>
      <c r="EX965" s="23"/>
      <c r="EY965" s="23"/>
      <c r="EZ965" s="23"/>
      <c r="FA965" s="23"/>
      <c r="FB965" s="23"/>
      <c r="FC965" s="23"/>
      <c r="FD965" s="23"/>
      <c r="FE965" s="23"/>
      <c r="FF965" s="23"/>
      <c r="FG965" s="23"/>
      <c r="FH965" s="23"/>
      <c r="FI965" s="23"/>
      <c r="FJ965" s="23"/>
      <c r="FK965" s="23"/>
      <c r="FL965" s="23"/>
      <c r="FM965" s="23"/>
      <c r="FN965" s="23"/>
      <c r="FO965" s="23"/>
      <c r="FP965" s="23"/>
      <c r="FQ965" s="23"/>
      <c r="FR965" s="23"/>
      <c r="FS965" s="23"/>
      <c r="FT965" s="23"/>
      <c r="FU965" s="23"/>
      <c r="FV965" s="23"/>
      <c r="FW965" s="23"/>
      <c r="FX965" s="23"/>
      <c r="FY965" s="23"/>
      <c r="FZ965" s="23"/>
      <c r="GA965" s="23"/>
      <c r="GB965" s="23"/>
      <c r="GC965" s="23"/>
      <c r="GD965" s="23"/>
      <c r="GE965" s="23"/>
      <c r="GF965" s="23"/>
      <c r="GG965" s="23"/>
      <c r="GH965" s="23"/>
      <c r="GI965" s="23"/>
      <c r="GJ965" s="23"/>
      <c r="GK965" s="23"/>
      <c r="GL965" s="23"/>
    </row>
    <row r="966" spans="1:194" ht="13">
      <c r="A966" s="23"/>
      <c r="B966" s="23"/>
      <c r="C966" s="23"/>
      <c r="D966" s="23"/>
      <c r="E966" s="23"/>
      <c r="F966" s="23"/>
      <c r="G966" s="23"/>
      <c r="H966" s="401"/>
      <c r="I966" s="401"/>
      <c r="J966" s="401"/>
      <c r="K966" s="401"/>
      <c r="L966" s="401"/>
      <c r="M966" s="438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  <c r="AL966" s="23"/>
      <c r="AM966" s="23"/>
      <c r="AN966" s="23"/>
      <c r="AO966" s="23"/>
      <c r="AP966" s="23"/>
      <c r="AQ966" s="23"/>
      <c r="AR966" s="23"/>
      <c r="AS966" s="23"/>
      <c r="AT966" s="23"/>
      <c r="AU966" s="23"/>
      <c r="AV966" s="23"/>
      <c r="AW966" s="23"/>
      <c r="AX966" s="23"/>
      <c r="AY966" s="23"/>
      <c r="AZ966" s="23"/>
      <c r="BA966" s="23"/>
      <c r="BB966" s="23"/>
      <c r="BC966" s="23"/>
      <c r="BD966" s="23"/>
      <c r="BE966" s="23"/>
      <c r="BF966" s="23"/>
      <c r="BG966" s="23"/>
      <c r="BH966" s="23"/>
      <c r="BI966" s="23"/>
      <c r="BJ966" s="23"/>
      <c r="BK966" s="23"/>
      <c r="BL966" s="23"/>
      <c r="BM966" s="23"/>
      <c r="BN966" s="23"/>
      <c r="BO966" s="23"/>
      <c r="BP966" s="23"/>
      <c r="BQ966" s="23"/>
      <c r="BR966" s="23"/>
      <c r="BS966" s="23"/>
      <c r="BT966" s="23"/>
      <c r="BU966" s="23"/>
      <c r="BV966" s="23"/>
      <c r="BW966" s="23"/>
      <c r="BX966" s="23"/>
      <c r="BY966" s="23"/>
      <c r="BZ966" s="23"/>
      <c r="CA966" s="23"/>
      <c r="CB966" s="23"/>
      <c r="CC966" s="23"/>
      <c r="CD966" s="23"/>
      <c r="CE966" s="23"/>
      <c r="CF966" s="23"/>
      <c r="CG966" s="23"/>
      <c r="CH966" s="23"/>
      <c r="CI966" s="23"/>
      <c r="CJ966" s="23"/>
      <c r="CK966" s="23"/>
      <c r="CL966" s="23"/>
      <c r="CM966" s="23"/>
      <c r="CN966" s="23"/>
      <c r="CO966" s="23"/>
      <c r="CP966" s="23"/>
      <c r="CQ966" s="23"/>
      <c r="CR966" s="23"/>
      <c r="CS966" s="23"/>
      <c r="CT966" s="23"/>
      <c r="CU966" s="23"/>
      <c r="CV966" s="23"/>
      <c r="CW966" s="23"/>
      <c r="CX966" s="23"/>
      <c r="CY966" s="23"/>
      <c r="CZ966" s="23"/>
      <c r="DA966" s="23"/>
      <c r="DB966" s="23"/>
      <c r="DC966" s="23"/>
      <c r="DD966" s="23"/>
      <c r="DE966" s="23"/>
      <c r="DF966" s="23"/>
      <c r="DG966" s="23"/>
      <c r="DH966" s="23"/>
      <c r="DI966" s="23"/>
      <c r="DJ966" s="23"/>
      <c r="DK966" s="23"/>
      <c r="DL966" s="23"/>
      <c r="DM966" s="23"/>
      <c r="DN966" s="23"/>
      <c r="DO966" s="23"/>
      <c r="DP966" s="23"/>
      <c r="DQ966" s="23"/>
      <c r="DR966" s="23"/>
      <c r="DS966" s="23"/>
      <c r="DT966" s="23"/>
      <c r="DU966" s="23"/>
      <c r="DV966" s="23"/>
      <c r="DW966" s="23"/>
      <c r="DX966" s="23"/>
      <c r="DY966" s="23"/>
      <c r="DZ966" s="23"/>
      <c r="EA966" s="23"/>
      <c r="EB966" s="23"/>
      <c r="EC966" s="23"/>
      <c r="ED966" s="23"/>
      <c r="EE966" s="23"/>
      <c r="EF966" s="23"/>
      <c r="EG966" s="23"/>
      <c r="EH966" s="23"/>
      <c r="EI966" s="23"/>
      <c r="EJ966" s="23"/>
      <c r="EK966" s="23"/>
      <c r="EL966" s="23"/>
      <c r="EM966" s="23"/>
      <c r="EN966" s="23"/>
      <c r="EO966" s="23"/>
      <c r="EP966" s="23"/>
      <c r="EQ966" s="23"/>
      <c r="ER966" s="23"/>
      <c r="ES966" s="23"/>
      <c r="ET966" s="23"/>
      <c r="EU966" s="23"/>
      <c r="EV966" s="23"/>
      <c r="EW966" s="23"/>
      <c r="EX966" s="23"/>
      <c r="EY966" s="23"/>
      <c r="EZ966" s="23"/>
      <c r="FA966" s="23"/>
      <c r="FB966" s="23"/>
      <c r="FC966" s="23"/>
      <c r="FD966" s="23"/>
      <c r="FE966" s="23"/>
      <c r="FF966" s="23"/>
      <c r="FG966" s="23"/>
      <c r="FH966" s="23"/>
      <c r="FI966" s="23"/>
      <c r="FJ966" s="23"/>
      <c r="FK966" s="23"/>
      <c r="FL966" s="23"/>
      <c r="FM966" s="23"/>
      <c r="FN966" s="23"/>
      <c r="FO966" s="23"/>
      <c r="FP966" s="23"/>
      <c r="FQ966" s="23"/>
      <c r="FR966" s="23"/>
      <c r="FS966" s="23"/>
      <c r="FT966" s="23"/>
      <c r="FU966" s="23"/>
      <c r="FV966" s="23"/>
      <c r="FW966" s="23"/>
      <c r="FX966" s="23"/>
      <c r="FY966" s="23"/>
      <c r="FZ966" s="23"/>
      <c r="GA966" s="23"/>
      <c r="GB966" s="23"/>
      <c r="GC966" s="23"/>
      <c r="GD966" s="23"/>
      <c r="GE966" s="23"/>
      <c r="GF966" s="23"/>
      <c r="GG966" s="23"/>
      <c r="GH966" s="23"/>
      <c r="GI966" s="23"/>
      <c r="GJ966" s="23"/>
      <c r="GK966" s="23"/>
      <c r="GL966" s="23"/>
    </row>
    <row r="967" spans="1:194" ht="13">
      <c r="A967" s="23"/>
      <c r="B967" s="23"/>
      <c r="C967" s="23"/>
      <c r="D967" s="23"/>
      <c r="E967" s="23"/>
      <c r="F967" s="23"/>
      <c r="G967" s="23"/>
      <c r="H967" s="401"/>
      <c r="I967" s="401"/>
      <c r="J967" s="401"/>
      <c r="K967" s="401"/>
      <c r="L967" s="401"/>
      <c r="M967" s="438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  <c r="AL967" s="23"/>
      <c r="AM967" s="23"/>
      <c r="AN967" s="23"/>
      <c r="AO967" s="23"/>
      <c r="AP967" s="23"/>
      <c r="AQ967" s="23"/>
      <c r="AR967" s="23"/>
      <c r="AS967" s="23"/>
      <c r="AT967" s="23"/>
      <c r="AU967" s="23"/>
      <c r="AV967" s="23"/>
      <c r="AW967" s="23"/>
      <c r="AX967" s="23"/>
      <c r="AY967" s="23"/>
      <c r="AZ967" s="23"/>
      <c r="BA967" s="23"/>
      <c r="BB967" s="23"/>
      <c r="BC967" s="23"/>
      <c r="BD967" s="23"/>
      <c r="BE967" s="23"/>
      <c r="BF967" s="23"/>
      <c r="BG967" s="23"/>
      <c r="BH967" s="23"/>
      <c r="BI967" s="23"/>
      <c r="BJ967" s="23"/>
      <c r="BK967" s="23"/>
      <c r="BL967" s="23"/>
      <c r="BM967" s="23"/>
      <c r="BN967" s="23"/>
      <c r="BO967" s="23"/>
      <c r="BP967" s="23"/>
      <c r="BQ967" s="23"/>
      <c r="BR967" s="23"/>
      <c r="BS967" s="23"/>
      <c r="BT967" s="23"/>
      <c r="BU967" s="23"/>
      <c r="BV967" s="23"/>
      <c r="BW967" s="23"/>
      <c r="BX967" s="23"/>
      <c r="BY967" s="23"/>
      <c r="BZ967" s="23"/>
      <c r="CA967" s="23"/>
      <c r="CB967" s="23"/>
      <c r="CC967" s="23"/>
      <c r="CD967" s="23"/>
      <c r="CE967" s="23"/>
      <c r="CF967" s="23"/>
      <c r="CG967" s="23"/>
      <c r="CH967" s="23"/>
      <c r="CI967" s="23"/>
      <c r="CJ967" s="23"/>
      <c r="CK967" s="23"/>
      <c r="CL967" s="23"/>
      <c r="CM967" s="23"/>
      <c r="CN967" s="23"/>
      <c r="CO967" s="23"/>
      <c r="CP967" s="23"/>
      <c r="CQ967" s="23"/>
      <c r="CR967" s="23"/>
      <c r="CS967" s="23"/>
      <c r="CT967" s="23"/>
      <c r="CU967" s="23"/>
      <c r="CV967" s="23"/>
      <c r="CW967" s="23"/>
      <c r="CX967" s="23"/>
      <c r="CY967" s="23"/>
      <c r="CZ967" s="23"/>
      <c r="DA967" s="23"/>
      <c r="DB967" s="23"/>
      <c r="DC967" s="23"/>
      <c r="DD967" s="23"/>
      <c r="DE967" s="23"/>
      <c r="DF967" s="23"/>
      <c r="DG967" s="23"/>
      <c r="DH967" s="23"/>
      <c r="DI967" s="23"/>
      <c r="DJ967" s="23"/>
      <c r="DK967" s="23"/>
      <c r="DL967" s="23"/>
      <c r="DM967" s="23"/>
      <c r="DN967" s="23"/>
      <c r="DO967" s="23"/>
      <c r="DP967" s="23"/>
      <c r="DQ967" s="23"/>
      <c r="DR967" s="23"/>
      <c r="DS967" s="23"/>
      <c r="DT967" s="23"/>
      <c r="DU967" s="23"/>
      <c r="DV967" s="23"/>
      <c r="DW967" s="23"/>
      <c r="DX967" s="23"/>
      <c r="DY967" s="23"/>
      <c r="DZ967" s="23"/>
      <c r="EA967" s="23"/>
      <c r="EB967" s="23"/>
      <c r="EC967" s="23"/>
      <c r="ED967" s="23"/>
      <c r="EE967" s="23"/>
      <c r="EF967" s="23"/>
      <c r="EG967" s="23"/>
      <c r="EH967" s="23"/>
      <c r="EI967" s="23"/>
      <c r="EJ967" s="23"/>
      <c r="EK967" s="23"/>
      <c r="EL967" s="23"/>
      <c r="EM967" s="23"/>
      <c r="EN967" s="23"/>
      <c r="EO967" s="23"/>
      <c r="EP967" s="23"/>
      <c r="EQ967" s="23"/>
      <c r="ER967" s="23"/>
      <c r="ES967" s="23"/>
      <c r="ET967" s="23"/>
      <c r="EU967" s="23"/>
      <c r="EV967" s="23"/>
      <c r="EW967" s="23"/>
      <c r="EX967" s="23"/>
      <c r="EY967" s="23"/>
      <c r="EZ967" s="23"/>
      <c r="FA967" s="23"/>
      <c r="FB967" s="23"/>
      <c r="FC967" s="23"/>
      <c r="FD967" s="23"/>
      <c r="FE967" s="23"/>
      <c r="FF967" s="23"/>
      <c r="FG967" s="23"/>
      <c r="FH967" s="23"/>
      <c r="FI967" s="23"/>
      <c r="FJ967" s="23"/>
      <c r="FK967" s="23"/>
      <c r="FL967" s="23"/>
      <c r="FM967" s="23"/>
      <c r="FN967" s="23"/>
      <c r="FO967" s="23"/>
      <c r="FP967" s="23"/>
      <c r="FQ967" s="23"/>
      <c r="FR967" s="23"/>
      <c r="FS967" s="23"/>
      <c r="FT967" s="23"/>
      <c r="FU967" s="23"/>
      <c r="FV967" s="23"/>
      <c r="FW967" s="23"/>
      <c r="FX967" s="23"/>
      <c r="FY967" s="23"/>
      <c r="FZ967" s="23"/>
      <c r="GA967" s="23"/>
      <c r="GB967" s="23"/>
      <c r="GC967" s="23"/>
      <c r="GD967" s="23"/>
      <c r="GE967" s="23"/>
      <c r="GF967" s="23"/>
      <c r="GG967" s="23"/>
      <c r="GH967" s="23"/>
      <c r="GI967" s="23"/>
      <c r="GJ967" s="23"/>
      <c r="GK967" s="23"/>
      <c r="GL967" s="23"/>
    </row>
    <row r="968" spans="1:194" ht="13">
      <c r="A968" s="23"/>
      <c r="B968" s="23"/>
      <c r="C968" s="23"/>
      <c r="D968" s="23"/>
      <c r="E968" s="23"/>
      <c r="F968" s="23"/>
      <c r="G968" s="23"/>
      <c r="H968" s="401"/>
      <c r="I968" s="401"/>
      <c r="J968" s="401"/>
      <c r="K968" s="401"/>
      <c r="L968" s="401"/>
      <c r="M968" s="438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  <c r="AL968" s="23"/>
      <c r="AM968" s="23"/>
      <c r="AN968" s="23"/>
      <c r="AO968" s="23"/>
      <c r="AP968" s="23"/>
      <c r="AQ968" s="23"/>
      <c r="AR968" s="23"/>
      <c r="AS968" s="23"/>
      <c r="AT968" s="23"/>
      <c r="AU968" s="23"/>
      <c r="AV968" s="23"/>
      <c r="AW968" s="23"/>
      <c r="AX968" s="23"/>
      <c r="AY968" s="23"/>
      <c r="AZ968" s="23"/>
      <c r="BA968" s="23"/>
      <c r="BB968" s="23"/>
      <c r="BC968" s="23"/>
      <c r="BD968" s="23"/>
      <c r="BE968" s="23"/>
      <c r="BF968" s="23"/>
      <c r="BG968" s="23"/>
      <c r="BH968" s="23"/>
      <c r="BI968" s="23"/>
      <c r="BJ968" s="23"/>
      <c r="BK968" s="23"/>
      <c r="BL968" s="23"/>
      <c r="BM968" s="23"/>
      <c r="BN968" s="23"/>
      <c r="BO968" s="23"/>
      <c r="BP968" s="23"/>
      <c r="BQ968" s="23"/>
      <c r="BR968" s="23"/>
      <c r="BS968" s="23"/>
      <c r="BT968" s="23"/>
      <c r="BU968" s="23"/>
      <c r="BV968" s="23"/>
      <c r="BW968" s="23"/>
      <c r="BX968" s="23"/>
      <c r="BY968" s="23"/>
      <c r="BZ968" s="23"/>
      <c r="CA968" s="23"/>
      <c r="CB968" s="23"/>
      <c r="CC968" s="23"/>
      <c r="CD968" s="23"/>
      <c r="CE968" s="23"/>
      <c r="CF968" s="23"/>
      <c r="CG968" s="23"/>
      <c r="CH968" s="23"/>
      <c r="CI968" s="23"/>
      <c r="CJ968" s="23"/>
      <c r="CK968" s="23"/>
      <c r="CL968" s="23"/>
      <c r="CM968" s="23"/>
      <c r="CN968" s="23"/>
      <c r="CO968" s="23"/>
      <c r="CP968" s="23"/>
      <c r="CQ968" s="23"/>
      <c r="CR968" s="23"/>
      <c r="CS968" s="23"/>
      <c r="CT968" s="23"/>
      <c r="CU968" s="23"/>
      <c r="CV968" s="23"/>
      <c r="CW968" s="23"/>
      <c r="CX968" s="23"/>
      <c r="CY968" s="23"/>
      <c r="CZ968" s="23"/>
      <c r="DA968" s="23"/>
      <c r="DB968" s="23"/>
      <c r="DC968" s="23"/>
      <c r="DD968" s="23"/>
      <c r="DE968" s="23"/>
      <c r="DF968" s="23"/>
      <c r="DG968" s="23"/>
      <c r="DH968" s="23"/>
      <c r="DI968" s="23"/>
      <c r="DJ968" s="23"/>
      <c r="DK968" s="23"/>
      <c r="DL968" s="23"/>
      <c r="DM968" s="23"/>
      <c r="DN968" s="23"/>
      <c r="DO968" s="23"/>
      <c r="DP968" s="23"/>
      <c r="DQ968" s="23"/>
      <c r="DR968" s="23"/>
      <c r="DS968" s="23"/>
      <c r="DT968" s="23"/>
      <c r="DU968" s="23"/>
      <c r="DV968" s="23"/>
      <c r="DW968" s="23"/>
      <c r="DX968" s="23"/>
      <c r="DY968" s="23"/>
      <c r="DZ968" s="23"/>
      <c r="EA968" s="23"/>
      <c r="EB968" s="23"/>
      <c r="EC968" s="23"/>
      <c r="ED968" s="23"/>
      <c r="EE968" s="23"/>
      <c r="EF968" s="23"/>
      <c r="EG968" s="23"/>
      <c r="EH968" s="23"/>
      <c r="EI968" s="23"/>
      <c r="EJ968" s="23"/>
      <c r="EK968" s="23"/>
      <c r="EL968" s="23"/>
      <c r="EM968" s="23"/>
      <c r="EN968" s="23"/>
      <c r="EO968" s="23"/>
      <c r="EP968" s="23"/>
      <c r="EQ968" s="23"/>
      <c r="ER968" s="23"/>
      <c r="ES968" s="23"/>
      <c r="ET968" s="23"/>
      <c r="EU968" s="23"/>
      <c r="EV968" s="23"/>
      <c r="EW968" s="23"/>
      <c r="EX968" s="23"/>
      <c r="EY968" s="23"/>
      <c r="EZ968" s="23"/>
      <c r="FA968" s="23"/>
      <c r="FB968" s="23"/>
      <c r="FC968" s="23"/>
      <c r="FD968" s="23"/>
      <c r="FE968" s="23"/>
      <c r="FF968" s="23"/>
      <c r="FG968" s="23"/>
      <c r="FH968" s="23"/>
      <c r="FI968" s="23"/>
      <c r="FJ968" s="23"/>
      <c r="FK968" s="23"/>
      <c r="FL968" s="23"/>
      <c r="FM968" s="23"/>
      <c r="FN968" s="23"/>
      <c r="FO968" s="23"/>
      <c r="FP968" s="23"/>
      <c r="FQ968" s="23"/>
      <c r="FR968" s="23"/>
      <c r="FS968" s="23"/>
      <c r="FT968" s="23"/>
      <c r="FU968" s="23"/>
      <c r="FV968" s="23"/>
      <c r="FW968" s="23"/>
      <c r="FX968" s="23"/>
      <c r="FY968" s="23"/>
      <c r="FZ968" s="23"/>
      <c r="GA968" s="23"/>
      <c r="GB968" s="23"/>
      <c r="GC968" s="23"/>
      <c r="GD968" s="23"/>
      <c r="GE968" s="23"/>
      <c r="GF968" s="23"/>
      <c r="GG968" s="23"/>
      <c r="GH968" s="23"/>
      <c r="GI968" s="23"/>
      <c r="GJ968" s="23"/>
      <c r="GK968" s="23"/>
      <c r="GL968" s="23"/>
    </row>
    <row r="969" spans="1:194" ht="13">
      <c r="A969" s="23"/>
      <c r="B969" s="23"/>
      <c r="C969" s="23"/>
      <c r="D969" s="23"/>
      <c r="E969" s="23"/>
      <c r="F969" s="23"/>
      <c r="G969" s="23"/>
      <c r="H969" s="401"/>
      <c r="I969" s="401"/>
      <c r="J969" s="401"/>
      <c r="K969" s="401"/>
      <c r="L969" s="401"/>
      <c r="M969" s="438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  <c r="AL969" s="23"/>
      <c r="AM969" s="23"/>
      <c r="AN969" s="23"/>
      <c r="AO969" s="23"/>
      <c r="AP969" s="23"/>
      <c r="AQ969" s="23"/>
      <c r="AR969" s="23"/>
      <c r="AS969" s="23"/>
      <c r="AT969" s="23"/>
      <c r="AU969" s="23"/>
      <c r="AV969" s="23"/>
      <c r="AW969" s="23"/>
      <c r="AX969" s="23"/>
      <c r="AY969" s="23"/>
      <c r="AZ969" s="23"/>
      <c r="BA969" s="23"/>
      <c r="BB969" s="23"/>
      <c r="BC969" s="23"/>
      <c r="BD969" s="23"/>
      <c r="BE969" s="23"/>
      <c r="BF969" s="23"/>
      <c r="BG969" s="23"/>
      <c r="BH969" s="23"/>
      <c r="BI969" s="23"/>
      <c r="BJ969" s="23"/>
      <c r="BK969" s="23"/>
      <c r="BL969" s="23"/>
      <c r="BM969" s="23"/>
      <c r="BN969" s="23"/>
      <c r="BO969" s="23"/>
      <c r="BP969" s="23"/>
      <c r="BQ969" s="23"/>
      <c r="BR969" s="23"/>
      <c r="BS969" s="23"/>
      <c r="BT969" s="23"/>
      <c r="BU969" s="23"/>
      <c r="BV969" s="23"/>
      <c r="BW969" s="23"/>
      <c r="BX969" s="23"/>
      <c r="BY969" s="23"/>
      <c r="BZ969" s="23"/>
      <c r="CA969" s="23"/>
      <c r="CB969" s="23"/>
      <c r="CC969" s="23"/>
      <c r="CD969" s="23"/>
      <c r="CE969" s="23"/>
      <c r="CF969" s="23"/>
      <c r="CG969" s="23"/>
      <c r="CH969" s="23"/>
      <c r="CI969" s="23"/>
      <c r="CJ969" s="23"/>
      <c r="CK969" s="23"/>
      <c r="CL969" s="23"/>
      <c r="CM969" s="23"/>
      <c r="CN969" s="23"/>
      <c r="CO969" s="23"/>
      <c r="CP969" s="23"/>
      <c r="CQ969" s="23"/>
      <c r="CR969" s="23"/>
      <c r="CS969" s="23"/>
      <c r="CT969" s="23"/>
      <c r="CU969" s="23"/>
      <c r="CV969" s="23"/>
      <c r="CW969" s="23"/>
      <c r="CX969" s="23"/>
      <c r="CY969" s="23"/>
      <c r="CZ969" s="23"/>
      <c r="DA969" s="23"/>
      <c r="DB969" s="23"/>
      <c r="DC969" s="23"/>
      <c r="DD969" s="23"/>
      <c r="DE969" s="23"/>
      <c r="DF969" s="23"/>
      <c r="DG969" s="23"/>
      <c r="DH969" s="23"/>
      <c r="DI969" s="23"/>
      <c r="DJ969" s="23"/>
      <c r="DK969" s="23"/>
      <c r="DL969" s="23"/>
      <c r="DM969" s="23"/>
      <c r="DN969" s="23"/>
      <c r="DO969" s="23"/>
      <c r="DP969" s="23"/>
      <c r="DQ969" s="23"/>
      <c r="DR969" s="23"/>
      <c r="DS969" s="23"/>
      <c r="DT969" s="23"/>
      <c r="DU969" s="23"/>
      <c r="DV969" s="23"/>
      <c r="DW969" s="23"/>
      <c r="DX969" s="23"/>
      <c r="DY969" s="23"/>
      <c r="DZ969" s="23"/>
      <c r="EA969" s="23"/>
      <c r="EB969" s="23"/>
      <c r="EC969" s="23"/>
      <c r="ED969" s="23"/>
      <c r="EE969" s="23"/>
      <c r="EF969" s="23"/>
      <c r="EG969" s="23"/>
      <c r="EH969" s="23"/>
      <c r="EI969" s="23"/>
      <c r="EJ969" s="23"/>
      <c r="EK969" s="23"/>
      <c r="EL969" s="23"/>
      <c r="EM969" s="23"/>
      <c r="EN969" s="23"/>
      <c r="EO969" s="23"/>
      <c r="EP969" s="23"/>
      <c r="EQ969" s="23"/>
      <c r="ER969" s="23"/>
      <c r="ES969" s="23"/>
      <c r="ET969" s="23"/>
      <c r="EU969" s="23"/>
      <c r="EV969" s="23"/>
      <c r="EW969" s="23"/>
      <c r="EX969" s="23"/>
      <c r="EY969" s="23"/>
      <c r="EZ969" s="23"/>
      <c r="FA969" s="23"/>
      <c r="FB969" s="23"/>
      <c r="FC969" s="23"/>
      <c r="FD969" s="23"/>
      <c r="FE969" s="23"/>
      <c r="FF969" s="23"/>
      <c r="FG969" s="23"/>
      <c r="FH969" s="23"/>
      <c r="FI969" s="23"/>
      <c r="FJ969" s="23"/>
      <c r="FK969" s="23"/>
      <c r="FL969" s="23"/>
      <c r="FM969" s="23"/>
      <c r="FN969" s="23"/>
      <c r="FO969" s="23"/>
      <c r="FP969" s="23"/>
      <c r="FQ969" s="23"/>
      <c r="FR969" s="23"/>
      <c r="FS969" s="23"/>
      <c r="FT969" s="23"/>
      <c r="FU969" s="23"/>
      <c r="FV969" s="23"/>
      <c r="FW969" s="23"/>
      <c r="FX969" s="23"/>
      <c r="FY969" s="23"/>
      <c r="FZ969" s="23"/>
      <c r="GA969" s="23"/>
      <c r="GB969" s="23"/>
      <c r="GC969" s="23"/>
      <c r="GD969" s="23"/>
      <c r="GE969" s="23"/>
      <c r="GF969" s="23"/>
      <c r="GG969" s="23"/>
      <c r="GH969" s="23"/>
      <c r="GI969" s="23"/>
      <c r="GJ969" s="23"/>
      <c r="GK969" s="23"/>
      <c r="GL969" s="23"/>
    </row>
    <row r="970" spans="1:194" ht="13">
      <c r="A970" s="23"/>
      <c r="B970" s="23"/>
      <c r="C970" s="23"/>
      <c r="D970" s="23"/>
      <c r="E970" s="23"/>
      <c r="F970" s="23"/>
      <c r="G970" s="23"/>
      <c r="H970" s="401"/>
      <c r="I970" s="401"/>
      <c r="J970" s="401"/>
      <c r="K970" s="401"/>
      <c r="L970" s="401"/>
      <c r="M970" s="438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  <c r="AL970" s="23"/>
      <c r="AM970" s="23"/>
      <c r="AN970" s="23"/>
      <c r="AO970" s="23"/>
      <c r="AP970" s="23"/>
      <c r="AQ970" s="23"/>
      <c r="AR970" s="23"/>
      <c r="AS970" s="23"/>
      <c r="AT970" s="23"/>
      <c r="AU970" s="23"/>
      <c r="AV970" s="23"/>
      <c r="AW970" s="23"/>
      <c r="AX970" s="23"/>
      <c r="AY970" s="23"/>
      <c r="AZ970" s="23"/>
      <c r="BA970" s="23"/>
      <c r="BB970" s="23"/>
      <c r="BC970" s="23"/>
      <c r="BD970" s="23"/>
      <c r="BE970" s="23"/>
      <c r="BF970" s="23"/>
      <c r="BG970" s="23"/>
      <c r="BH970" s="23"/>
      <c r="BI970" s="23"/>
      <c r="BJ970" s="23"/>
      <c r="BK970" s="23"/>
      <c r="BL970" s="23"/>
      <c r="BM970" s="23"/>
      <c r="BN970" s="23"/>
      <c r="BO970" s="23"/>
      <c r="BP970" s="23"/>
      <c r="BQ970" s="23"/>
      <c r="BR970" s="23"/>
      <c r="BS970" s="23"/>
      <c r="BT970" s="23"/>
      <c r="BU970" s="23"/>
      <c r="BV970" s="23"/>
      <c r="BW970" s="23"/>
      <c r="BX970" s="23"/>
      <c r="BY970" s="23"/>
      <c r="BZ970" s="23"/>
      <c r="CA970" s="23"/>
      <c r="CB970" s="23"/>
      <c r="CC970" s="23"/>
      <c r="CD970" s="23"/>
      <c r="CE970" s="23"/>
      <c r="CF970" s="23"/>
      <c r="CG970" s="23"/>
      <c r="CH970" s="23"/>
      <c r="CI970" s="23"/>
      <c r="CJ970" s="23"/>
      <c r="CK970" s="23"/>
      <c r="CL970" s="23"/>
      <c r="CM970" s="23"/>
      <c r="CN970" s="23"/>
      <c r="CO970" s="23"/>
      <c r="CP970" s="23"/>
      <c r="CQ970" s="23"/>
      <c r="CR970" s="23"/>
      <c r="CS970" s="23"/>
      <c r="CT970" s="23"/>
      <c r="CU970" s="23"/>
      <c r="CV970" s="23"/>
      <c r="CW970" s="23"/>
      <c r="CX970" s="23"/>
      <c r="CY970" s="23"/>
      <c r="CZ970" s="23"/>
      <c r="DA970" s="23"/>
      <c r="DB970" s="23"/>
      <c r="DC970" s="23"/>
      <c r="DD970" s="23"/>
      <c r="DE970" s="23"/>
      <c r="DF970" s="23"/>
      <c r="DG970" s="23"/>
      <c r="DH970" s="23"/>
      <c r="DI970" s="23"/>
      <c r="DJ970" s="23"/>
      <c r="DK970" s="23"/>
      <c r="DL970" s="23"/>
      <c r="DM970" s="23"/>
      <c r="DN970" s="23"/>
      <c r="DO970" s="23"/>
      <c r="DP970" s="23"/>
      <c r="DQ970" s="23"/>
      <c r="DR970" s="23"/>
      <c r="DS970" s="23"/>
      <c r="DT970" s="23"/>
      <c r="DU970" s="23"/>
      <c r="DV970" s="23"/>
      <c r="DW970" s="23"/>
      <c r="DX970" s="23"/>
      <c r="DY970" s="23"/>
      <c r="DZ970" s="23"/>
      <c r="EA970" s="23"/>
      <c r="EB970" s="23"/>
      <c r="EC970" s="23"/>
      <c r="ED970" s="23"/>
      <c r="EE970" s="23"/>
      <c r="EF970" s="23"/>
      <c r="EG970" s="23"/>
      <c r="EH970" s="23"/>
      <c r="EI970" s="23"/>
      <c r="EJ970" s="23"/>
      <c r="EK970" s="23"/>
      <c r="EL970" s="23"/>
      <c r="EM970" s="23"/>
      <c r="EN970" s="23"/>
      <c r="EO970" s="23"/>
      <c r="EP970" s="23"/>
      <c r="EQ970" s="23"/>
      <c r="ER970" s="23"/>
      <c r="ES970" s="23"/>
      <c r="ET970" s="23"/>
      <c r="EU970" s="23"/>
      <c r="EV970" s="23"/>
      <c r="EW970" s="23"/>
      <c r="EX970" s="23"/>
      <c r="EY970" s="23"/>
      <c r="EZ970" s="23"/>
      <c r="FA970" s="23"/>
      <c r="FB970" s="23"/>
      <c r="FC970" s="23"/>
      <c r="FD970" s="23"/>
      <c r="FE970" s="23"/>
      <c r="FF970" s="23"/>
      <c r="FG970" s="23"/>
      <c r="FH970" s="23"/>
      <c r="FI970" s="23"/>
      <c r="FJ970" s="23"/>
      <c r="FK970" s="23"/>
      <c r="FL970" s="23"/>
      <c r="FM970" s="23"/>
      <c r="FN970" s="23"/>
      <c r="FO970" s="23"/>
      <c r="FP970" s="23"/>
      <c r="FQ970" s="23"/>
      <c r="FR970" s="23"/>
      <c r="FS970" s="23"/>
      <c r="FT970" s="23"/>
      <c r="FU970" s="23"/>
      <c r="FV970" s="23"/>
      <c r="FW970" s="23"/>
      <c r="FX970" s="23"/>
      <c r="FY970" s="23"/>
      <c r="FZ970" s="23"/>
      <c r="GA970" s="23"/>
      <c r="GB970" s="23"/>
      <c r="GC970" s="23"/>
      <c r="GD970" s="23"/>
      <c r="GE970" s="23"/>
      <c r="GF970" s="23"/>
      <c r="GG970" s="23"/>
      <c r="GH970" s="23"/>
      <c r="GI970" s="23"/>
      <c r="GJ970" s="23"/>
      <c r="GK970" s="23"/>
      <c r="GL970" s="23"/>
    </row>
    <row r="971" spans="1:194" ht="13">
      <c r="A971" s="23"/>
      <c r="B971" s="23"/>
      <c r="C971" s="23"/>
      <c r="D971" s="23"/>
      <c r="E971" s="23"/>
      <c r="F971" s="23"/>
      <c r="G971" s="23"/>
      <c r="H971" s="401"/>
      <c r="I971" s="401"/>
      <c r="J971" s="401"/>
      <c r="K971" s="401"/>
      <c r="L971" s="401"/>
      <c r="M971" s="438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  <c r="AL971" s="23"/>
      <c r="AM971" s="23"/>
      <c r="AN971" s="23"/>
      <c r="AO971" s="23"/>
      <c r="AP971" s="23"/>
      <c r="AQ971" s="23"/>
      <c r="AR971" s="23"/>
      <c r="AS971" s="23"/>
      <c r="AT971" s="23"/>
      <c r="AU971" s="23"/>
      <c r="AV971" s="23"/>
      <c r="AW971" s="23"/>
      <c r="AX971" s="23"/>
      <c r="AY971" s="23"/>
      <c r="AZ971" s="23"/>
      <c r="BA971" s="23"/>
      <c r="BB971" s="23"/>
      <c r="BC971" s="23"/>
      <c r="BD971" s="23"/>
      <c r="BE971" s="23"/>
      <c r="BF971" s="23"/>
      <c r="BG971" s="23"/>
      <c r="BH971" s="23"/>
      <c r="BI971" s="23"/>
      <c r="BJ971" s="23"/>
      <c r="BK971" s="23"/>
      <c r="BL971" s="23"/>
      <c r="BM971" s="23"/>
      <c r="BN971" s="23"/>
      <c r="BO971" s="23"/>
      <c r="BP971" s="23"/>
      <c r="BQ971" s="23"/>
      <c r="BR971" s="23"/>
      <c r="BS971" s="23"/>
      <c r="BT971" s="23"/>
      <c r="BU971" s="23"/>
      <c r="BV971" s="23"/>
      <c r="BW971" s="23"/>
      <c r="BX971" s="23"/>
      <c r="BY971" s="23"/>
      <c r="BZ971" s="23"/>
      <c r="CA971" s="23"/>
      <c r="CB971" s="23"/>
      <c r="CC971" s="23"/>
      <c r="CD971" s="23"/>
      <c r="CE971" s="23"/>
      <c r="CF971" s="23"/>
      <c r="CG971" s="23"/>
      <c r="CH971" s="23"/>
      <c r="CI971" s="23"/>
      <c r="CJ971" s="23"/>
      <c r="CK971" s="23"/>
      <c r="CL971" s="23"/>
      <c r="CM971" s="23"/>
      <c r="CN971" s="23"/>
      <c r="CO971" s="23"/>
      <c r="CP971" s="23"/>
      <c r="CQ971" s="23"/>
      <c r="CR971" s="23"/>
      <c r="CS971" s="23"/>
      <c r="CT971" s="23"/>
      <c r="CU971" s="23"/>
      <c r="CV971" s="23"/>
      <c r="CW971" s="23"/>
      <c r="CX971" s="23"/>
      <c r="CY971" s="23"/>
      <c r="CZ971" s="23"/>
      <c r="DA971" s="23"/>
      <c r="DB971" s="23"/>
      <c r="DC971" s="23"/>
      <c r="DD971" s="23"/>
      <c r="DE971" s="23"/>
      <c r="DF971" s="23"/>
      <c r="DG971" s="23"/>
      <c r="DH971" s="23"/>
      <c r="DI971" s="23"/>
      <c r="DJ971" s="23"/>
      <c r="DK971" s="23"/>
      <c r="DL971" s="23"/>
      <c r="DM971" s="23"/>
      <c r="DN971" s="23"/>
      <c r="DO971" s="23"/>
      <c r="DP971" s="23"/>
      <c r="DQ971" s="23"/>
      <c r="DR971" s="23"/>
      <c r="DS971" s="23"/>
      <c r="DT971" s="23"/>
      <c r="DU971" s="23"/>
      <c r="DV971" s="23"/>
      <c r="DW971" s="23"/>
      <c r="DX971" s="23"/>
      <c r="DY971" s="23"/>
      <c r="DZ971" s="23"/>
      <c r="EA971" s="23"/>
      <c r="EB971" s="23"/>
      <c r="EC971" s="23"/>
      <c r="ED971" s="23"/>
      <c r="EE971" s="23"/>
      <c r="EF971" s="23"/>
      <c r="EG971" s="23"/>
      <c r="EH971" s="23"/>
      <c r="EI971" s="23"/>
      <c r="EJ971" s="23"/>
      <c r="EK971" s="23"/>
      <c r="EL971" s="23"/>
      <c r="EM971" s="23"/>
      <c r="EN971" s="23"/>
      <c r="EO971" s="23"/>
      <c r="EP971" s="23"/>
      <c r="EQ971" s="23"/>
      <c r="ER971" s="23"/>
      <c r="ES971" s="23"/>
      <c r="ET971" s="23"/>
      <c r="EU971" s="23"/>
      <c r="EV971" s="23"/>
      <c r="EW971" s="23"/>
      <c r="EX971" s="23"/>
      <c r="EY971" s="23"/>
      <c r="EZ971" s="23"/>
      <c r="FA971" s="23"/>
      <c r="FB971" s="23"/>
      <c r="FC971" s="23"/>
      <c r="FD971" s="23"/>
      <c r="FE971" s="23"/>
      <c r="FF971" s="23"/>
      <c r="FG971" s="23"/>
      <c r="FH971" s="23"/>
      <c r="FI971" s="23"/>
      <c r="FJ971" s="23"/>
      <c r="FK971" s="23"/>
      <c r="FL971" s="23"/>
      <c r="FM971" s="23"/>
      <c r="FN971" s="23"/>
      <c r="FO971" s="23"/>
      <c r="FP971" s="23"/>
      <c r="FQ971" s="23"/>
      <c r="FR971" s="23"/>
      <c r="FS971" s="23"/>
      <c r="FT971" s="23"/>
      <c r="FU971" s="23"/>
      <c r="FV971" s="23"/>
      <c r="FW971" s="23"/>
      <c r="FX971" s="23"/>
      <c r="FY971" s="23"/>
      <c r="FZ971" s="23"/>
      <c r="GA971" s="23"/>
      <c r="GB971" s="23"/>
      <c r="GC971" s="23"/>
      <c r="GD971" s="23"/>
      <c r="GE971" s="23"/>
      <c r="GF971" s="23"/>
      <c r="GG971" s="23"/>
      <c r="GH971" s="23"/>
      <c r="GI971" s="23"/>
      <c r="GJ971" s="23"/>
      <c r="GK971" s="23"/>
      <c r="GL971" s="23"/>
    </row>
    <row r="972" spans="1:194" ht="13">
      <c r="A972" s="23"/>
      <c r="B972" s="23"/>
      <c r="C972" s="23"/>
      <c r="D972" s="23"/>
      <c r="E972" s="23"/>
      <c r="F972" s="23"/>
      <c r="G972" s="23"/>
      <c r="H972" s="401"/>
      <c r="I972" s="401"/>
      <c r="J972" s="401"/>
      <c r="K972" s="401"/>
      <c r="L972" s="401"/>
      <c r="M972" s="438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  <c r="AL972" s="23"/>
      <c r="AM972" s="23"/>
      <c r="AN972" s="23"/>
      <c r="AO972" s="23"/>
      <c r="AP972" s="23"/>
      <c r="AQ972" s="23"/>
      <c r="AR972" s="23"/>
      <c r="AS972" s="23"/>
      <c r="AT972" s="23"/>
      <c r="AU972" s="23"/>
      <c r="AV972" s="23"/>
      <c r="AW972" s="23"/>
      <c r="AX972" s="23"/>
      <c r="AY972" s="23"/>
      <c r="AZ972" s="23"/>
      <c r="BA972" s="23"/>
      <c r="BB972" s="23"/>
      <c r="BC972" s="23"/>
      <c r="BD972" s="23"/>
      <c r="BE972" s="23"/>
      <c r="BF972" s="23"/>
      <c r="BG972" s="23"/>
      <c r="BH972" s="23"/>
      <c r="BI972" s="23"/>
      <c r="BJ972" s="23"/>
      <c r="BK972" s="23"/>
      <c r="BL972" s="23"/>
      <c r="BM972" s="23"/>
      <c r="BN972" s="23"/>
      <c r="BO972" s="23"/>
      <c r="BP972" s="23"/>
      <c r="BQ972" s="23"/>
      <c r="BR972" s="23"/>
      <c r="BS972" s="23"/>
      <c r="BT972" s="23"/>
      <c r="BU972" s="23"/>
      <c r="BV972" s="23"/>
      <c r="BW972" s="23"/>
      <c r="BX972" s="23"/>
      <c r="BY972" s="23"/>
      <c r="BZ972" s="23"/>
      <c r="CA972" s="23"/>
      <c r="CB972" s="23"/>
      <c r="CC972" s="23"/>
      <c r="CD972" s="23"/>
      <c r="CE972" s="23"/>
      <c r="CF972" s="23"/>
      <c r="CG972" s="23"/>
      <c r="CH972" s="23"/>
      <c r="CI972" s="23"/>
      <c r="CJ972" s="23"/>
      <c r="CK972" s="23"/>
      <c r="CL972" s="23"/>
      <c r="CM972" s="23"/>
      <c r="CN972" s="23"/>
      <c r="CO972" s="23"/>
      <c r="CP972" s="23"/>
      <c r="CQ972" s="23"/>
      <c r="CR972" s="23"/>
      <c r="CS972" s="23"/>
      <c r="CT972" s="23"/>
      <c r="CU972" s="23"/>
      <c r="CV972" s="23"/>
      <c r="CW972" s="23"/>
      <c r="CX972" s="23"/>
      <c r="CY972" s="23"/>
      <c r="CZ972" s="23"/>
      <c r="DA972" s="23"/>
      <c r="DB972" s="23"/>
      <c r="DC972" s="23"/>
      <c r="DD972" s="23"/>
      <c r="DE972" s="23"/>
      <c r="DF972" s="23"/>
      <c r="DG972" s="23"/>
      <c r="DH972" s="23"/>
      <c r="DI972" s="23"/>
      <c r="DJ972" s="23"/>
      <c r="DK972" s="23"/>
      <c r="DL972" s="23"/>
      <c r="DM972" s="23"/>
      <c r="DN972" s="23"/>
      <c r="DO972" s="23"/>
      <c r="DP972" s="23"/>
      <c r="DQ972" s="23"/>
      <c r="DR972" s="23"/>
      <c r="DS972" s="23"/>
      <c r="DT972" s="23"/>
      <c r="DU972" s="23"/>
      <c r="DV972" s="23"/>
      <c r="DW972" s="23"/>
      <c r="DX972" s="23"/>
      <c r="DY972" s="23"/>
      <c r="DZ972" s="23"/>
      <c r="EA972" s="23"/>
      <c r="EB972" s="23"/>
      <c r="EC972" s="23"/>
      <c r="ED972" s="23"/>
      <c r="EE972" s="23"/>
      <c r="EF972" s="23"/>
      <c r="EG972" s="23"/>
      <c r="EH972" s="23"/>
      <c r="EI972" s="23"/>
      <c r="EJ972" s="23"/>
      <c r="EK972" s="23"/>
      <c r="EL972" s="23"/>
      <c r="EM972" s="23"/>
      <c r="EN972" s="23"/>
      <c r="EO972" s="23"/>
      <c r="EP972" s="23"/>
      <c r="EQ972" s="23"/>
      <c r="ER972" s="23"/>
      <c r="ES972" s="23"/>
      <c r="ET972" s="23"/>
      <c r="EU972" s="23"/>
      <c r="EV972" s="23"/>
      <c r="EW972" s="23"/>
      <c r="EX972" s="23"/>
      <c r="EY972" s="23"/>
      <c r="EZ972" s="23"/>
      <c r="FA972" s="23"/>
      <c r="FB972" s="23"/>
      <c r="FC972" s="23"/>
      <c r="FD972" s="23"/>
      <c r="FE972" s="23"/>
      <c r="FF972" s="23"/>
      <c r="FG972" s="23"/>
      <c r="FH972" s="23"/>
      <c r="FI972" s="23"/>
      <c r="FJ972" s="23"/>
      <c r="FK972" s="23"/>
      <c r="FL972" s="23"/>
      <c r="FM972" s="23"/>
      <c r="FN972" s="23"/>
      <c r="FO972" s="23"/>
      <c r="FP972" s="23"/>
      <c r="FQ972" s="23"/>
      <c r="FR972" s="23"/>
      <c r="FS972" s="23"/>
      <c r="FT972" s="23"/>
      <c r="FU972" s="23"/>
      <c r="FV972" s="23"/>
      <c r="FW972" s="23"/>
      <c r="FX972" s="23"/>
      <c r="FY972" s="23"/>
      <c r="FZ972" s="23"/>
      <c r="GA972" s="23"/>
      <c r="GB972" s="23"/>
      <c r="GC972" s="23"/>
      <c r="GD972" s="23"/>
      <c r="GE972" s="23"/>
      <c r="GF972" s="23"/>
      <c r="GG972" s="23"/>
      <c r="GH972" s="23"/>
      <c r="GI972" s="23"/>
      <c r="GJ972" s="23"/>
      <c r="GK972" s="23"/>
      <c r="GL972" s="23"/>
    </row>
    <row r="973" spans="1:194" ht="13">
      <c r="A973" s="23"/>
      <c r="B973" s="23"/>
      <c r="C973" s="23"/>
      <c r="D973" s="23"/>
      <c r="E973" s="23"/>
      <c r="F973" s="23"/>
      <c r="G973" s="23"/>
      <c r="H973" s="401"/>
      <c r="I973" s="401"/>
      <c r="J973" s="401"/>
      <c r="K973" s="401"/>
      <c r="L973" s="401"/>
      <c r="M973" s="438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  <c r="AL973" s="23"/>
      <c r="AM973" s="23"/>
      <c r="AN973" s="23"/>
      <c r="AO973" s="23"/>
      <c r="AP973" s="23"/>
      <c r="AQ973" s="23"/>
      <c r="AR973" s="23"/>
      <c r="AS973" s="23"/>
      <c r="AT973" s="23"/>
      <c r="AU973" s="23"/>
      <c r="AV973" s="23"/>
      <c r="AW973" s="23"/>
      <c r="AX973" s="23"/>
      <c r="AY973" s="23"/>
      <c r="AZ973" s="23"/>
      <c r="BA973" s="23"/>
      <c r="BB973" s="23"/>
      <c r="BC973" s="23"/>
      <c r="BD973" s="23"/>
      <c r="BE973" s="23"/>
      <c r="BF973" s="23"/>
      <c r="BG973" s="23"/>
      <c r="BH973" s="23"/>
      <c r="BI973" s="23"/>
      <c r="BJ973" s="23"/>
      <c r="BK973" s="23"/>
      <c r="BL973" s="23"/>
      <c r="BM973" s="23"/>
      <c r="BN973" s="23"/>
      <c r="BO973" s="23"/>
      <c r="BP973" s="23"/>
      <c r="BQ973" s="23"/>
      <c r="BR973" s="23"/>
      <c r="BS973" s="23"/>
      <c r="BT973" s="23"/>
      <c r="BU973" s="23"/>
      <c r="BV973" s="23"/>
      <c r="BW973" s="23"/>
      <c r="BX973" s="23"/>
      <c r="BY973" s="23"/>
      <c r="BZ973" s="23"/>
      <c r="CA973" s="23"/>
      <c r="CB973" s="23"/>
      <c r="CC973" s="23"/>
      <c r="CD973" s="23"/>
      <c r="CE973" s="23"/>
      <c r="CF973" s="23"/>
      <c r="CG973" s="23"/>
      <c r="CH973" s="23"/>
      <c r="CI973" s="23"/>
      <c r="CJ973" s="23"/>
      <c r="CK973" s="23"/>
      <c r="CL973" s="23"/>
      <c r="CM973" s="23"/>
      <c r="CN973" s="23"/>
      <c r="CO973" s="23"/>
      <c r="CP973" s="23"/>
      <c r="CQ973" s="23"/>
      <c r="CR973" s="23"/>
      <c r="CS973" s="23"/>
      <c r="CT973" s="23"/>
      <c r="CU973" s="23"/>
      <c r="CV973" s="23"/>
      <c r="CW973" s="23"/>
      <c r="CX973" s="23"/>
      <c r="CY973" s="23"/>
      <c r="CZ973" s="23"/>
      <c r="DA973" s="23"/>
      <c r="DB973" s="23"/>
      <c r="DC973" s="23"/>
      <c r="DD973" s="23"/>
      <c r="DE973" s="23"/>
      <c r="DF973" s="23"/>
      <c r="DG973" s="23"/>
      <c r="DH973" s="23"/>
      <c r="DI973" s="23"/>
      <c r="DJ973" s="23"/>
      <c r="DK973" s="23"/>
      <c r="DL973" s="23"/>
      <c r="DM973" s="23"/>
      <c r="DN973" s="23"/>
      <c r="DO973" s="23"/>
      <c r="DP973" s="23"/>
      <c r="DQ973" s="23"/>
      <c r="DR973" s="23"/>
      <c r="DS973" s="23"/>
      <c r="DT973" s="23"/>
      <c r="DU973" s="23"/>
      <c r="DV973" s="23"/>
      <c r="DW973" s="23"/>
      <c r="DX973" s="23"/>
      <c r="DY973" s="23"/>
      <c r="DZ973" s="23"/>
      <c r="EA973" s="23"/>
      <c r="EB973" s="23"/>
      <c r="EC973" s="23"/>
      <c r="ED973" s="23"/>
      <c r="EE973" s="23"/>
      <c r="EF973" s="23"/>
      <c r="EG973" s="23"/>
      <c r="EH973" s="23"/>
      <c r="EI973" s="23"/>
      <c r="EJ973" s="23"/>
      <c r="EK973" s="23"/>
      <c r="EL973" s="23"/>
      <c r="EM973" s="23"/>
      <c r="EN973" s="23"/>
      <c r="EO973" s="23"/>
      <c r="EP973" s="23"/>
      <c r="EQ973" s="23"/>
      <c r="ER973" s="23"/>
      <c r="ES973" s="23"/>
      <c r="ET973" s="23"/>
      <c r="EU973" s="23"/>
      <c r="EV973" s="23"/>
      <c r="EW973" s="23"/>
      <c r="EX973" s="23"/>
      <c r="EY973" s="23"/>
      <c r="EZ973" s="23"/>
      <c r="FA973" s="23"/>
      <c r="FB973" s="23"/>
      <c r="FC973" s="23"/>
      <c r="FD973" s="23"/>
      <c r="FE973" s="23"/>
      <c r="FF973" s="23"/>
      <c r="FG973" s="23"/>
      <c r="FH973" s="23"/>
      <c r="FI973" s="23"/>
      <c r="FJ973" s="23"/>
      <c r="FK973" s="23"/>
      <c r="FL973" s="23"/>
      <c r="FM973" s="23"/>
      <c r="FN973" s="23"/>
      <c r="FO973" s="23"/>
      <c r="FP973" s="23"/>
      <c r="FQ973" s="23"/>
      <c r="FR973" s="23"/>
      <c r="FS973" s="23"/>
      <c r="FT973" s="23"/>
      <c r="FU973" s="23"/>
      <c r="FV973" s="23"/>
      <c r="FW973" s="23"/>
      <c r="FX973" s="23"/>
      <c r="FY973" s="23"/>
      <c r="FZ973" s="23"/>
      <c r="GA973" s="23"/>
      <c r="GB973" s="23"/>
      <c r="GC973" s="23"/>
      <c r="GD973" s="23"/>
      <c r="GE973" s="23"/>
      <c r="GF973" s="23"/>
      <c r="GG973" s="23"/>
      <c r="GH973" s="23"/>
      <c r="GI973" s="23"/>
      <c r="GJ973" s="23"/>
      <c r="GK973" s="23"/>
      <c r="GL973" s="23"/>
    </row>
    <row r="974" spans="1:194" ht="13">
      <c r="A974" s="23"/>
      <c r="B974" s="23"/>
      <c r="C974" s="23"/>
      <c r="D974" s="23"/>
      <c r="E974" s="23"/>
      <c r="F974" s="23"/>
      <c r="G974" s="23"/>
      <c r="H974" s="401"/>
      <c r="I974" s="401"/>
      <c r="J974" s="401"/>
      <c r="K974" s="401"/>
      <c r="L974" s="401"/>
      <c r="M974" s="438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  <c r="AL974" s="23"/>
      <c r="AM974" s="23"/>
      <c r="AN974" s="23"/>
      <c r="AO974" s="23"/>
      <c r="AP974" s="23"/>
      <c r="AQ974" s="23"/>
      <c r="AR974" s="23"/>
      <c r="AS974" s="23"/>
      <c r="AT974" s="23"/>
      <c r="AU974" s="23"/>
      <c r="AV974" s="23"/>
      <c r="AW974" s="23"/>
      <c r="AX974" s="23"/>
      <c r="AY974" s="23"/>
      <c r="AZ974" s="23"/>
      <c r="BA974" s="23"/>
      <c r="BB974" s="23"/>
      <c r="BC974" s="23"/>
      <c r="BD974" s="23"/>
      <c r="BE974" s="23"/>
      <c r="BF974" s="23"/>
      <c r="BG974" s="23"/>
      <c r="BH974" s="23"/>
      <c r="BI974" s="23"/>
      <c r="BJ974" s="23"/>
      <c r="BK974" s="23"/>
      <c r="BL974" s="23"/>
      <c r="BM974" s="23"/>
      <c r="BN974" s="23"/>
      <c r="BO974" s="23"/>
      <c r="BP974" s="23"/>
      <c r="BQ974" s="23"/>
      <c r="BR974" s="23"/>
      <c r="BS974" s="23"/>
      <c r="BT974" s="23"/>
      <c r="BU974" s="23"/>
      <c r="BV974" s="23"/>
      <c r="BW974" s="23"/>
      <c r="BX974" s="23"/>
      <c r="BY974" s="23"/>
      <c r="BZ974" s="23"/>
      <c r="CA974" s="23"/>
      <c r="CB974" s="23"/>
      <c r="CC974" s="23"/>
      <c r="CD974" s="23"/>
      <c r="CE974" s="23"/>
      <c r="CF974" s="23"/>
      <c r="CG974" s="23"/>
      <c r="CH974" s="23"/>
      <c r="CI974" s="23"/>
      <c r="CJ974" s="23"/>
      <c r="CK974" s="23"/>
      <c r="CL974" s="23"/>
      <c r="CM974" s="23"/>
      <c r="CN974" s="23"/>
      <c r="CO974" s="23"/>
      <c r="CP974" s="23"/>
      <c r="CQ974" s="23"/>
      <c r="CR974" s="23"/>
      <c r="CS974" s="23"/>
      <c r="CT974" s="23"/>
      <c r="CU974" s="23"/>
      <c r="CV974" s="23"/>
      <c r="CW974" s="23"/>
      <c r="CX974" s="23"/>
      <c r="CY974" s="23"/>
      <c r="CZ974" s="23"/>
      <c r="DA974" s="23"/>
      <c r="DB974" s="23"/>
      <c r="DC974" s="23"/>
      <c r="DD974" s="23"/>
      <c r="DE974" s="23"/>
      <c r="DF974" s="23"/>
      <c r="DG974" s="23"/>
      <c r="DH974" s="23"/>
      <c r="DI974" s="23"/>
      <c r="DJ974" s="23"/>
      <c r="DK974" s="23"/>
      <c r="DL974" s="23"/>
      <c r="DM974" s="23"/>
      <c r="DN974" s="23"/>
      <c r="DO974" s="23"/>
      <c r="DP974" s="23"/>
      <c r="DQ974" s="23"/>
      <c r="DR974" s="23"/>
      <c r="DS974" s="23"/>
      <c r="DT974" s="23"/>
      <c r="DU974" s="23"/>
      <c r="DV974" s="23"/>
      <c r="DW974" s="23"/>
      <c r="DX974" s="23"/>
      <c r="DY974" s="23"/>
      <c r="DZ974" s="23"/>
      <c r="EA974" s="23"/>
      <c r="EB974" s="23"/>
      <c r="EC974" s="23"/>
      <c r="ED974" s="23"/>
      <c r="EE974" s="23"/>
      <c r="EF974" s="23"/>
      <c r="EG974" s="23"/>
      <c r="EH974" s="23"/>
      <c r="EI974" s="23"/>
      <c r="EJ974" s="23"/>
      <c r="EK974" s="23"/>
      <c r="EL974" s="23"/>
      <c r="EM974" s="23"/>
      <c r="EN974" s="23"/>
      <c r="EO974" s="23"/>
      <c r="EP974" s="23"/>
      <c r="EQ974" s="23"/>
      <c r="ER974" s="23"/>
      <c r="ES974" s="23"/>
      <c r="ET974" s="23"/>
      <c r="EU974" s="23"/>
      <c r="EV974" s="23"/>
      <c r="EW974" s="23"/>
      <c r="EX974" s="23"/>
      <c r="EY974" s="23"/>
      <c r="EZ974" s="23"/>
      <c r="FA974" s="23"/>
      <c r="FB974" s="23"/>
      <c r="FC974" s="23"/>
      <c r="FD974" s="23"/>
      <c r="FE974" s="23"/>
      <c r="FF974" s="23"/>
      <c r="FG974" s="23"/>
      <c r="FH974" s="23"/>
      <c r="FI974" s="23"/>
      <c r="FJ974" s="23"/>
      <c r="FK974" s="23"/>
      <c r="FL974" s="23"/>
      <c r="FM974" s="23"/>
      <c r="FN974" s="23"/>
      <c r="FO974" s="23"/>
      <c r="FP974" s="23"/>
      <c r="FQ974" s="23"/>
      <c r="FR974" s="23"/>
      <c r="FS974" s="23"/>
      <c r="FT974" s="23"/>
      <c r="FU974" s="23"/>
      <c r="FV974" s="23"/>
      <c r="FW974" s="23"/>
      <c r="FX974" s="23"/>
      <c r="FY974" s="23"/>
      <c r="FZ974" s="23"/>
      <c r="GA974" s="23"/>
      <c r="GB974" s="23"/>
      <c r="GC974" s="23"/>
      <c r="GD974" s="23"/>
      <c r="GE974" s="23"/>
      <c r="GF974" s="23"/>
      <c r="GG974" s="23"/>
      <c r="GH974" s="23"/>
      <c r="GI974" s="23"/>
      <c r="GJ974" s="23"/>
      <c r="GK974" s="23"/>
      <c r="GL974" s="23"/>
    </row>
    <row r="975" spans="1:194" ht="13">
      <c r="A975" s="23"/>
      <c r="B975" s="23"/>
      <c r="C975" s="23"/>
      <c r="D975" s="23"/>
      <c r="E975" s="23"/>
      <c r="F975" s="23"/>
      <c r="G975" s="23"/>
      <c r="H975" s="401"/>
      <c r="I975" s="401"/>
      <c r="J975" s="401"/>
      <c r="K975" s="401"/>
      <c r="L975" s="401"/>
      <c r="M975" s="438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  <c r="AL975" s="23"/>
      <c r="AM975" s="23"/>
      <c r="AN975" s="23"/>
      <c r="AO975" s="23"/>
      <c r="AP975" s="23"/>
      <c r="AQ975" s="23"/>
      <c r="AR975" s="23"/>
      <c r="AS975" s="23"/>
      <c r="AT975" s="23"/>
      <c r="AU975" s="23"/>
      <c r="AV975" s="23"/>
      <c r="AW975" s="23"/>
      <c r="AX975" s="23"/>
      <c r="AY975" s="23"/>
      <c r="AZ975" s="23"/>
      <c r="BA975" s="23"/>
      <c r="BB975" s="23"/>
      <c r="BC975" s="23"/>
      <c r="BD975" s="23"/>
      <c r="BE975" s="23"/>
      <c r="BF975" s="23"/>
      <c r="BG975" s="23"/>
      <c r="BH975" s="23"/>
      <c r="BI975" s="23"/>
      <c r="BJ975" s="23"/>
      <c r="BK975" s="23"/>
      <c r="BL975" s="23"/>
      <c r="BM975" s="23"/>
      <c r="BN975" s="23"/>
      <c r="BO975" s="23"/>
      <c r="BP975" s="23"/>
      <c r="BQ975" s="23"/>
      <c r="BR975" s="23"/>
      <c r="BS975" s="23"/>
      <c r="BT975" s="23"/>
      <c r="BU975" s="23"/>
      <c r="BV975" s="23"/>
      <c r="BW975" s="23"/>
      <c r="BX975" s="23"/>
      <c r="BY975" s="23"/>
      <c r="BZ975" s="23"/>
      <c r="CA975" s="23"/>
      <c r="CB975" s="23"/>
      <c r="CC975" s="23"/>
      <c r="CD975" s="23"/>
      <c r="CE975" s="23"/>
      <c r="CF975" s="23"/>
      <c r="CG975" s="23"/>
      <c r="CH975" s="23"/>
      <c r="CI975" s="23"/>
      <c r="CJ975" s="23"/>
      <c r="CK975" s="23"/>
      <c r="CL975" s="23"/>
      <c r="CM975" s="23"/>
      <c r="CN975" s="23"/>
      <c r="CO975" s="23"/>
      <c r="CP975" s="23"/>
      <c r="CQ975" s="23"/>
      <c r="CR975" s="23"/>
      <c r="CS975" s="23"/>
      <c r="CT975" s="23"/>
      <c r="CU975" s="23"/>
      <c r="CV975" s="23"/>
      <c r="CW975" s="23"/>
      <c r="CX975" s="23"/>
      <c r="CY975" s="23"/>
      <c r="CZ975" s="23"/>
      <c r="DA975" s="23"/>
      <c r="DB975" s="23"/>
      <c r="DC975" s="23"/>
      <c r="DD975" s="23"/>
      <c r="DE975" s="23"/>
      <c r="DF975" s="23"/>
      <c r="DG975" s="23"/>
      <c r="DH975" s="23"/>
      <c r="DI975" s="23"/>
      <c r="DJ975" s="23"/>
      <c r="DK975" s="23"/>
      <c r="DL975" s="23"/>
      <c r="DM975" s="23"/>
      <c r="DN975" s="23"/>
      <c r="DO975" s="23"/>
      <c r="DP975" s="23"/>
      <c r="DQ975" s="23"/>
      <c r="DR975" s="23"/>
      <c r="DS975" s="23"/>
      <c r="DT975" s="23"/>
      <c r="DU975" s="23"/>
      <c r="DV975" s="23"/>
      <c r="DW975" s="23"/>
      <c r="DX975" s="23"/>
      <c r="DY975" s="23"/>
      <c r="DZ975" s="23"/>
      <c r="EA975" s="23"/>
      <c r="EB975" s="23"/>
      <c r="EC975" s="23"/>
      <c r="ED975" s="23"/>
      <c r="EE975" s="23"/>
      <c r="EF975" s="23"/>
      <c r="EG975" s="23"/>
      <c r="EH975" s="23"/>
      <c r="EI975" s="23"/>
      <c r="EJ975" s="23"/>
      <c r="EK975" s="23"/>
      <c r="EL975" s="23"/>
      <c r="EM975" s="23"/>
      <c r="EN975" s="23"/>
      <c r="EO975" s="23"/>
      <c r="EP975" s="23"/>
      <c r="EQ975" s="23"/>
      <c r="ER975" s="23"/>
      <c r="ES975" s="23"/>
      <c r="ET975" s="23"/>
      <c r="EU975" s="23"/>
      <c r="EV975" s="23"/>
      <c r="EW975" s="23"/>
      <c r="EX975" s="23"/>
      <c r="EY975" s="23"/>
      <c r="EZ975" s="23"/>
      <c r="FA975" s="23"/>
      <c r="FB975" s="23"/>
      <c r="FC975" s="23"/>
      <c r="FD975" s="23"/>
      <c r="FE975" s="23"/>
      <c r="FF975" s="23"/>
      <c r="FG975" s="23"/>
      <c r="FH975" s="23"/>
      <c r="FI975" s="23"/>
      <c r="FJ975" s="23"/>
      <c r="FK975" s="23"/>
      <c r="FL975" s="23"/>
      <c r="FM975" s="23"/>
      <c r="FN975" s="23"/>
      <c r="FO975" s="23"/>
      <c r="FP975" s="23"/>
      <c r="FQ975" s="23"/>
      <c r="FR975" s="23"/>
      <c r="FS975" s="23"/>
      <c r="FT975" s="23"/>
      <c r="FU975" s="23"/>
      <c r="FV975" s="23"/>
      <c r="FW975" s="23"/>
      <c r="FX975" s="23"/>
      <c r="FY975" s="23"/>
      <c r="FZ975" s="23"/>
      <c r="GA975" s="23"/>
      <c r="GB975" s="23"/>
      <c r="GC975" s="23"/>
      <c r="GD975" s="23"/>
      <c r="GE975" s="23"/>
      <c r="GF975" s="23"/>
      <c r="GG975" s="23"/>
      <c r="GH975" s="23"/>
      <c r="GI975" s="23"/>
      <c r="GJ975" s="23"/>
      <c r="GK975" s="23"/>
      <c r="GL975" s="23"/>
    </row>
    <row r="976" spans="1:194" ht="13">
      <c r="A976" s="23"/>
      <c r="B976" s="23"/>
      <c r="C976" s="23"/>
      <c r="D976" s="23"/>
      <c r="E976" s="23"/>
      <c r="F976" s="23"/>
      <c r="G976" s="23"/>
      <c r="H976" s="401"/>
      <c r="I976" s="401"/>
      <c r="J976" s="401"/>
      <c r="K976" s="401"/>
      <c r="L976" s="401"/>
      <c r="M976" s="438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  <c r="AL976" s="23"/>
      <c r="AM976" s="23"/>
      <c r="AN976" s="23"/>
      <c r="AO976" s="23"/>
      <c r="AP976" s="23"/>
      <c r="AQ976" s="23"/>
      <c r="AR976" s="23"/>
      <c r="AS976" s="23"/>
      <c r="AT976" s="23"/>
      <c r="AU976" s="23"/>
      <c r="AV976" s="23"/>
      <c r="AW976" s="23"/>
      <c r="AX976" s="23"/>
      <c r="AY976" s="23"/>
      <c r="AZ976" s="23"/>
      <c r="BA976" s="23"/>
      <c r="BB976" s="23"/>
      <c r="BC976" s="23"/>
      <c r="BD976" s="23"/>
      <c r="BE976" s="23"/>
      <c r="BF976" s="23"/>
      <c r="BG976" s="23"/>
      <c r="BH976" s="23"/>
      <c r="BI976" s="23"/>
      <c r="BJ976" s="23"/>
      <c r="BK976" s="23"/>
      <c r="BL976" s="23"/>
      <c r="BM976" s="23"/>
      <c r="BN976" s="23"/>
      <c r="BO976" s="23"/>
      <c r="BP976" s="23"/>
      <c r="BQ976" s="23"/>
      <c r="BR976" s="23"/>
      <c r="BS976" s="23"/>
      <c r="BT976" s="23"/>
      <c r="BU976" s="23"/>
      <c r="BV976" s="23"/>
      <c r="BW976" s="23"/>
      <c r="BX976" s="23"/>
      <c r="BY976" s="23"/>
      <c r="BZ976" s="23"/>
      <c r="CA976" s="23"/>
      <c r="CB976" s="23"/>
      <c r="CC976" s="23"/>
      <c r="CD976" s="23"/>
      <c r="CE976" s="23"/>
      <c r="CF976" s="23"/>
      <c r="CG976" s="23"/>
      <c r="CH976" s="23"/>
      <c r="CI976" s="23"/>
      <c r="CJ976" s="23"/>
      <c r="CK976" s="23"/>
      <c r="CL976" s="23"/>
      <c r="CM976" s="23"/>
      <c r="CN976" s="23"/>
      <c r="CO976" s="23"/>
      <c r="CP976" s="23"/>
      <c r="CQ976" s="23"/>
      <c r="CR976" s="23"/>
      <c r="CS976" s="23"/>
      <c r="CT976" s="23"/>
      <c r="CU976" s="23"/>
      <c r="CV976" s="23"/>
      <c r="CW976" s="23"/>
      <c r="CX976" s="23"/>
      <c r="CY976" s="23"/>
      <c r="CZ976" s="23"/>
      <c r="DA976" s="23"/>
      <c r="DB976" s="23"/>
      <c r="DC976" s="23"/>
      <c r="DD976" s="23"/>
      <c r="DE976" s="23"/>
      <c r="DF976" s="23"/>
      <c r="DG976" s="23"/>
      <c r="DH976" s="23"/>
      <c r="DI976" s="23"/>
      <c r="DJ976" s="23"/>
      <c r="DK976" s="23"/>
      <c r="DL976" s="23"/>
      <c r="DM976" s="23"/>
      <c r="DN976" s="23"/>
      <c r="DO976" s="23"/>
      <c r="DP976" s="23"/>
      <c r="DQ976" s="23"/>
      <c r="DR976" s="23"/>
      <c r="DS976" s="23"/>
      <c r="DT976" s="23"/>
      <c r="DU976" s="23"/>
      <c r="DV976" s="23"/>
      <c r="DW976" s="23"/>
      <c r="DX976" s="23"/>
      <c r="DY976" s="23"/>
      <c r="DZ976" s="23"/>
      <c r="EA976" s="23"/>
      <c r="EB976" s="23"/>
      <c r="EC976" s="23"/>
      <c r="ED976" s="23"/>
      <c r="EE976" s="23"/>
      <c r="EF976" s="23"/>
      <c r="EG976" s="23"/>
      <c r="EH976" s="23"/>
      <c r="EI976" s="23"/>
      <c r="EJ976" s="23"/>
      <c r="EK976" s="23"/>
      <c r="EL976" s="23"/>
      <c r="EM976" s="23"/>
      <c r="EN976" s="23"/>
      <c r="EO976" s="23"/>
      <c r="EP976" s="23"/>
      <c r="EQ976" s="23"/>
      <c r="ER976" s="23"/>
      <c r="ES976" s="23"/>
      <c r="ET976" s="23"/>
      <c r="EU976" s="23"/>
      <c r="EV976" s="23"/>
      <c r="EW976" s="23"/>
      <c r="EX976" s="23"/>
      <c r="EY976" s="23"/>
      <c r="EZ976" s="23"/>
      <c r="FA976" s="23"/>
      <c r="FB976" s="23"/>
      <c r="FC976" s="23"/>
      <c r="FD976" s="23"/>
      <c r="FE976" s="23"/>
      <c r="FF976" s="23"/>
      <c r="FG976" s="23"/>
      <c r="FH976" s="23"/>
      <c r="FI976" s="23"/>
      <c r="FJ976" s="23"/>
      <c r="FK976" s="23"/>
      <c r="FL976" s="23"/>
      <c r="FM976" s="23"/>
      <c r="FN976" s="23"/>
      <c r="FO976" s="23"/>
      <c r="FP976" s="23"/>
      <c r="FQ976" s="23"/>
      <c r="FR976" s="23"/>
      <c r="FS976" s="23"/>
      <c r="FT976" s="23"/>
      <c r="FU976" s="23"/>
      <c r="FV976" s="23"/>
      <c r="FW976" s="23"/>
      <c r="FX976" s="23"/>
      <c r="FY976" s="23"/>
      <c r="FZ976" s="23"/>
      <c r="GA976" s="23"/>
      <c r="GB976" s="23"/>
      <c r="GC976" s="23"/>
      <c r="GD976" s="23"/>
      <c r="GE976" s="23"/>
      <c r="GF976" s="23"/>
      <c r="GG976" s="23"/>
      <c r="GH976" s="23"/>
      <c r="GI976" s="23"/>
      <c r="GJ976" s="23"/>
      <c r="GK976" s="23"/>
      <c r="GL976" s="23"/>
    </row>
    <row r="977" spans="1:194" ht="13">
      <c r="A977" s="23"/>
      <c r="B977" s="23"/>
      <c r="C977" s="23"/>
      <c r="D977" s="23"/>
      <c r="E977" s="23"/>
      <c r="F977" s="23"/>
      <c r="G977" s="23"/>
      <c r="H977" s="401"/>
      <c r="I977" s="401"/>
      <c r="J977" s="401"/>
      <c r="K977" s="401"/>
      <c r="L977" s="401"/>
      <c r="M977" s="438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  <c r="AL977" s="23"/>
      <c r="AM977" s="23"/>
      <c r="AN977" s="23"/>
      <c r="AO977" s="23"/>
      <c r="AP977" s="23"/>
      <c r="AQ977" s="23"/>
      <c r="AR977" s="23"/>
      <c r="AS977" s="23"/>
      <c r="AT977" s="23"/>
      <c r="AU977" s="23"/>
      <c r="AV977" s="23"/>
      <c r="AW977" s="23"/>
      <c r="AX977" s="23"/>
      <c r="AY977" s="23"/>
      <c r="AZ977" s="23"/>
      <c r="BA977" s="23"/>
      <c r="BB977" s="23"/>
      <c r="BC977" s="23"/>
      <c r="BD977" s="23"/>
      <c r="BE977" s="23"/>
      <c r="BF977" s="23"/>
      <c r="BG977" s="23"/>
      <c r="BH977" s="23"/>
      <c r="BI977" s="23"/>
      <c r="BJ977" s="23"/>
      <c r="BK977" s="23"/>
      <c r="BL977" s="23"/>
      <c r="BM977" s="23"/>
      <c r="BN977" s="23"/>
      <c r="BO977" s="23"/>
      <c r="BP977" s="23"/>
      <c r="BQ977" s="23"/>
      <c r="BR977" s="23"/>
      <c r="BS977" s="23"/>
      <c r="BT977" s="23"/>
      <c r="BU977" s="23"/>
      <c r="BV977" s="23"/>
      <c r="BW977" s="23"/>
      <c r="BX977" s="23"/>
      <c r="BY977" s="23"/>
      <c r="BZ977" s="23"/>
      <c r="CA977" s="23"/>
      <c r="CB977" s="23"/>
      <c r="CC977" s="23"/>
      <c r="CD977" s="23"/>
      <c r="CE977" s="23"/>
      <c r="CF977" s="23"/>
      <c r="CG977" s="23"/>
      <c r="CH977" s="23"/>
      <c r="CI977" s="23"/>
      <c r="CJ977" s="23"/>
      <c r="CK977" s="23"/>
      <c r="CL977" s="23"/>
      <c r="CM977" s="23"/>
      <c r="CN977" s="23"/>
      <c r="CO977" s="23"/>
      <c r="CP977" s="23"/>
      <c r="CQ977" s="23"/>
      <c r="CR977" s="23"/>
      <c r="CS977" s="23"/>
      <c r="CT977" s="23"/>
      <c r="CU977" s="23"/>
      <c r="CV977" s="23"/>
      <c r="CW977" s="23"/>
      <c r="CX977" s="23"/>
      <c r="CY977" s="23"/>
      <c r="CZ977" s="23"/>
      <c r="DA977" s="23"/>
      <c r="DB977" s="23"/>
      <c r="DC977" s="23"/>
      <c r="DD977" s="23"/>
      <c r="DE977" s="23"/>
      <c r="DF977" s="23"/>
      <c r="DG977" s="23"/>
      <c r="DH977" s="23"/>
      <c r="DI977" s="23"/>
      <c r="DJ977" s="23"/>
      <c r="DK977" s="23"/>
      <c r="DL977" s="23"/>
      <c r="DM977" s="23"/>
      <c r="DN977" s="23"/>
      <c r="DO977" s="23"/>
      <c r="DP977" s="23"/>
      <c r="DQ977" s="23"/>
      <c r="DR977" s="23"/>
      <c r="DS977" s="23"/>
      <c r="DT977" s="23"/>
      <c r="DU977" s="23"/>
      <c r="DV977" s="23"/>
      <c r="DW977" s="23"/>
      <c r="DX977" s="23"/>
      <c r="DY977" s="23"/>
      <c r="DZ977" s="23"/>
      <c r="EA977" s="23"/>
      <c r="EB977" s="23"/>
      <c r="EC977" s="23"/>
      <c r="ED977" s="23"/>
      <c r="EE977" s="23"/>
      <c r="EF977" s="23"/>
      <c r="EG977" s="23"/>
      <c r="EH977" s="23"/>
      <c r="EI977" s="23"/>
      <c r="EJ977" s="23"/>
      <c r="EK977" s="23"/>
      <c r="EL977" s="23"/>
      <c r="EM977" s="23"/>
      <c r="EN977" s="23"/>
      <c r="EO977" s="23"/>
      <c r="EP977" s="23"/>
      <c r="EQ977" s="23"/>
      <c r="ER977" s="23"/>
      <c r="ES977" s="23"/>
      <c r="ET977" s="23"/>
      <c r="EU977" s="23"/>
      <c r="EV977" s="23"/>
      <c r="EW977" s="23"/>
      <c r="EX977" s="23"/>
      <c r="EY977" s="23"/>
      <c r="EZ977" s="23"/>
      <c r="FA977" s="23"/>
      <c r="FB977" s="23"/>
      <c r="FC977" s="23"/>
      <c r="FD977" s="23"/>
      <c r="FE977" s="23"/>
      <c r="FF977" s="23"/>
      <c r="FG977" s="23"/>
      <c r="FH977" s="23"/>
      <c r="FI977" s="23"/>
      <c r="FJ977" s="23"/>
      <c r="FK977" s="23"/>
      <c r="FL977" s="23"/>
      <c r="FM977" s="23"/>
      <c r="FN977" s="23"/>
      <c r="FO977" s="23"/>
      <c r="FP977" s="23"/>
      <c r="FQ977" s="23"/>
      <c r="FR977" s="23"/>
      <c r="FS977" s="23"/>
      <c r="FT977" s="23"/>
      <c r="FU977" s="23"/>
      <c r="FV977" s="23"/>
      <c r="FW977" s="23"/>
      <c r="FX977" s="23"/>
      <c r="FY977" s="23"/>
      <c r="FZ977" s="23"/>
      <c r="GA977" s="23"/>
      <c r="GB977" s="23"/>
      <c r="GC977" s="23"/>
      <c r="GD977" s="23"/>
      <c r="GE977" s="23"/>
      <c r="GF977" s="23"/>
      <c r="GG977" s="23"/>
      <c r="GH977" s="23"/>
      <c r="GI977" s="23"/>
      <c r="GJ977" s="23"/>
      <c r="GK977" s="23"/>
      <c r="GL977" s="23"/>
    </row>
    <row r="978" spans="1:194" ht="13">
      <c r="A978" s="23"/>
      <c r="B978" s="23"/>
      <c r="C978" s="23"/>
      <c r="D978" s="23"/>
      <c r="E978" s="23"/>
      <c r="F978" s="23"/>
      <c r="G978" s="23"/>
      <c r="H978" s="401"/>
      <c r="I978" s="401"/>
      <c r="J978" s="401"/>
      <c r="K978" s="401"/>
      <c r="L978" s="401"/>
      <c r="M978" s="438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  <c r="AL978" s="23"/>
      <c r="AM978" s="23"/>
      <c r="AN978" s="23"/>
      <c r="AO978" s="23"/>
      <c r="AP978" s="23"/>
      <c r="AQ978" s="23"/>
      <c r="AR978" s="23"/>
      <c r="AS978" s="23"/>
      <c r="AT978" s="23"/>
      <c r="AU978" s="23"/>
      <c r="AV978" s="23"/>
      <c r="AW978" s="23"/>
      <c r="AX978" s="23"/>
      <c r="AY978" s="23"/>
      <c r="AZ978" s="23"/>
      <c r="BA978" s="23"/>
      <c r="BB978" s="23"/>
      <c r="BC978" s="23"/>
      <c r="BD978" s="23"/>
      <c r="BE978" s="23"/>
      <c r="BF978" s="23"/>
      <c r="BG978" s="23"/>
      <c r="BH978" s="23"/>
      <c r="BI978" s="23"/>
      <c r="BJ978" s="23"/>
      <c r="BK978" s="23"/>
      <c r="BL978" s="23"/>
      <c r="BM978" s="23"/>
      <c r="BN978" s="23"/>
      <c r="BO978" s="23"/>
      <c r="BP978" s="23"/>
      <c r="BQ978" s="23"/>
      <c r="BR978" s="23"/>
      <c r="BS978" s="23"/>
      <c r="BT978" s="23"/>
      <c r="BU978" s="23"/>
      <c r="BV978" s="23"/>
      <c r="BW978" s="23"/>
      <c r="BX978" s="23"/>
      <c r="BY978" s="23"/>
      <c r="BZ978" s="23"/>
      <c r="CA978" s="23"/>
      <c r="CB978" s="23"/>
      <c r="CC978" s="23"/>
      <c r="CD978" s="23"/>
      <c r="CE978" s="23"/>
      <c r="CF978" s="23"/>
      <c r="CG978" s="23"/>
      <c r="CH978" s="23"/>
      <c r="CI978" s="23"/>
      <c r="CJ978" s="23"/>
      <c r="CK978" s="23"/>
      <c r="CL978" s="23"/>
      <c r="CM978" s="23"/>
      <c r="CN978" s="23"/>
      <c r="CO978" s="23"/>
      <c r="CP978" s="23"/>
      <c r="CQ978" s="23"/>
      <c r="CR978" s="23"/>
      <c r="CS978" s="23"/>
      <c r="CT978" s="23"/>
      <c r="CU978" s="23"/>
      <c r="CV978" s="23"/>
      <c r="CW978" s="23"/>
      <c r="CX978" s="23"/>
      <c r="CY978" s="23"/>
      <c r="CZ978" s="23"/>
      <c r="DA978" s="23"/>
      <c r="DB978" s="23"/>
      <c r="DC978" s="23"/>
      <c r="DD978" s="23"/>
      <c r="DE978" s="23"/>
      <c r="DF978" s="23"/>
      <c r="DG978" s="23"/>
      <c r="DH978" s="23"/>
      <c r="DI978" s="23"/>
      <c r="DJ978" s="23"/>
      <c r="DK978" s="23"/>
      <c r="DL978" s="23"/>
      <c r="DM978" s="23"/>
      <c r="DN978" s="23"/>
      <c r="DO978" s="23"/>
      <c r="DP978" s="23"/>
      <c r="DQ978" s="23"/>
      <c r="DR978" s="23"/>
      <c r="DS978" s="23"/>
      <c r="DT978" s="23"/>
      <c r="DU978" s="23"/>
      <c r="DV978" s="23"/>
      <c r="DW978" s="23"/>
      <c r="DX978" s="23"/>
      <c r="DY978" s="23"/>
      <c r="DZ978" s="23"/>
      <c r="EA978" s="23"/>
      <c r="EB978" s="23"/>
      <c r="EC978" s="23"/>
      <c r="ED978" s="23"/>
      <c r="EE978" s="23"/>
      <c r="EF978" s="23"/>
      <c r="EG978" s="23"/>
      <c r="EH978" s="23"/>
      <c r="EI978" s="23"/>
      <c r="EJ978" s="23"/>
      <c r="EK978" s="23"/>
      <c r="EL978" s="23"/>
      <c r="EM978" s="23"/>
      <c r="EN978" s="23"/>
      <c r="EO978" s="23"/>
      <c r="EP978" s="23"/>
      <c r="EQ978" s="23"/>
      <c r="ER978" s="23"/>
      <c r="ES978" s="23"/>
      <c r="ET978" s="23"/>
      <c r="EU978" s="23"/>
      <c r="EV978" s="23"/>
      <c r="EW978" s="23"/>
      <c r="EX978" s="23"/>
      <c r="EY978" s="23"/>
      <c r="EZ978" s="23"/>
      <c r="FA978" s="23"/>
      <c r="FB978" s="23"/>
      <c r="FC978" s="23"/>
      <c r="FD978" s="23"/>
      <c r="FE978" s="23"/>
      <c r="FF978" s="23"/>
      <c r="FG978" s="23"/>
      <c r="FH978" s="23"/>
      <c r="FI978" s="23"/>
      <c r="FJ978" s="23"/>
      <c r="FK978" s="23"/>
      <c r="FL978" s="23"/>
      <c r="FM978" s="23"/>
      <c r="FN978" s="23"/>
      <c r="FO978" s="23"/>
      <c r="FP978" s="23"/>
      <c r="FQ978" s="23"/>
      <c r="FR978" s="23"/>
      <c r="FS978" s="23"/>
      <c r="FT978" s="23"/>
      <c r="FU978" s="23"/>
      <c r="FV978" s="23"/>
      <c r="FW978" s="23"/>
      <c r="FX978" s="23"/>
      <c r="FY978" s="23"/>
      <c r="FZ978" s="23"/>
      <c r="GA978" s="23"/>
      <c r="GB978" s="23"/>
      <c r="GC978" s="23"/>
      <c r="GD978" s="23"/>
      <c r="GE978" s="23"/>
      <c r="GF978" s="23"/>
      <c r="GG978" s="23"/>
      <c r="GH978" s="23"/>
      <c r="GI978" s="23"/>
      <c r="GJ978" s="23"/>
      <c r="GK978" s="23"/>
      <c r="GL978" s="23"/>
    </row>
    <row r="979" spans="1:194" ht="13">
      <c r="A979" s="23"/>
      <c r="B979" s="23"/>
      <c r="C979" s="23"/>
      <c r="D979" s="23"/>
      <c r="E979" s="23"/>
      <c r="F979" s="23"/>
      <c r="G979" s="23"/>
      <c r="H979" s="401"/>
      <c r="I979" s="401"/>
      <c r="J979" s="401"/>
      <c r="K979" s="401"/>
      <c r="L979" s="401"/>
      <c r="M979" s="438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  <c r="AL979" s="23"/>
      <c r="AM979" s="23"/>
      <c r="AN979" s="23"/>
      <c r="AO979" s="23"/>
      <c r="AP979" s="23"/>
      <c r="AQ979" s="23"/>
      <c r="AR979" s="23"/>
      <c r="AS979" s="23"/>
      <c r="AT979" s="23"/>
      <c r="AU979" s="23"/>
      <c r="AV979" s="23"/>
      <c r="AW979" s="23"/>
      <c r="AX979" s="23"/>
      <c r="AY979" s="23"/>
      <c r="AZ979" s="23"/>
      <c r="BA979" s="23"/>
      <c r="BB979" s="23"/>
      <c r="BC979" s="23"/>
      <c r="BD979" s="23"/>
      <c r="BE979" s="23"/>
      <c r="BF979" s="23"/>
      <c r="BG979" s="23"/>
      <c r="BH979" s="23"/>
      <c r="BI979" s="23"/>
      <c r="BJ979" s="23"/>
      <c r="BK979" s="23"/>
      <c r="BL979" s="23"/>
      <c r="BM979" s="23"/>
      <c r="BN979" s="23"/>
      <c r="BO979" s="23"/>
      <c r="BP979" s="23"/>
      <c r="BQ979" s="23"/>
      <c r="BR979" s="23"/>
      <c r="BS979" s="23"/>
      <c r="BT979" s="23"/>
      <c r="BU979" s="23"/>
      <c r="BV979" s="23"/>
      <c r="BW979" s="23"/>
      <c r="BX979" s="23"/>
      <c r="BY979" s="23"/>
      <c r="BZ979" s="23"/>
      <c r="CA979" s="23"/>
      <c r="CB979" s="23"/>
      <c r="CC979" s="23"/>
      <c r="CD979" s="23"/>
      <c r="CE979" s="23"/>
      <c r="CF979" s="23"/>
      <c r="CG979" s="23"/>
      <c r="CH979" s="23"/>
      <c r="CI979" s="23"/>
      <c r="CJ979" s="23"/>
      <c r="CK979" s="23"/>
      <c r="CL979" s="23"/>
      <c r="CM979" s="23"/>
      <c r="CN979" s="23"/>
      <c r="CO979" s="23"/>
      <c r="CP979" s="23"/>
      <c r="CQ979" s="23"/>
      <c r="CR979" s="23"/>
      <c r="CS979" s="23"/>
      <c r="CT979" s="23"/>
      <c r="CU979" s="23"/>
      <c r="CV979" s="23"/>
      <c r="CW979" s="23"/>
      <c r="CX979" s="23"/>
      <c r="CY979" s="23"/>
      <c r="CZ979" s="23"/>
      <c r="DA979" s="23"/>
      <c r="DB979" s="23"/>
      <c r="DC979" s="23"/>
      <c r="DD979" s="23"/>
      <c r="DE979" s="23"/>
      <c r="DF979" s="23"/>
      <c r="DG979" s="23"/>
      <c r="DH979" s="23"/>
      <c r="DI979" s="23"/>
      <c r="DJ979" s="23"/>
      <c r="DK979" s="23"/>
      <c r="DL979" s="23"/>
      <c r="DM979" s="23"/>
      <c r="DN979" s="23"/>
      <c r="DO979" s="23"/>
      <c r="DP979" s="23"/>
      <c r="DQ979" s="23"/>
      <c r="DR979" s="23"/>
      <c r="DS979" s="23"/>
      <c r="DT979" s="23"/>
      <c r="DU979" s="23"/>
      <c r="DV979" s="23"/>
      <c r="DW979" s="23"/>
      <c r="DX979" s="23"/>
      <c r="DY979" s="23"/>
      <c r="DZ979" s="23"/>
      <c r="EA979" s="23"/>
      <c r="EB979" s="23"/>
      <c r="EC979" s="23"/>
      <c r="ED979" s="23"/>
      <c r="EE979" s="23"/>
      <c r="EF979" s="23"/>
      <c r="EG979" s="23"/>
      <c r="EH979" s="23"/>
      <c r="EI979" s="23"/>
      <c r="EJ979" s="23"/>
      <c r="EK979" s="23"/>
      <c r="EL979" s="23"/>
      <c r="EM979" s="23"/>
      <c r="EN979" s="23"/>
      <c r="EO979" s="23"/>
      <c r="EP979" s="23"/>
      <c r="EQ979" s="23"/>
      <c r="ER979" s="23"/>
      <c r="ES979" s="23"/>
      <c r="ET979" s="23"/>
      <c r="EU979" s="23"/>
      <c r="EV979" s="23"/>
      <c r="EW979" s="23"/>
      <c r="EX979" s="23"/>
      <c r="EY979" s="23"/>
      <c r="EZ979" s="23"/>
      <c r="FA979" s="23"/>
      <c r="FB979" s="23"/>
      <c r="FC979" s="23"/>
      <c r="FD979" s="23"/>
      <c r="FE979" s="23"/>
      <c r="FF979" s="23"/>
      <c r="FG979" s="23"/>
      <c r="FH979" s="23"/>
      <c r="FI979" s="23"/>
      <c r="FJ979" s="23"/>
      <c r="FK979" s="23"/>
      <c r="FL979" s="23"/>
      <c r="FM979" s="23"/>
      <c r="FN979" s="23"/>
      <c r="FO979" s="23"/>
      <c r="FP979" s="23"/>
      <c r="FQ979" s="23"/>
      <c r="FR979" s="23"/>
      <c r="FS979" s="23"/>
      <c r="FT979" s="23"/>
      <c r="FU979" s="23"/>
      <c r="FV979" s="23"/>
      <c r="FW979" s="23"/>
      <c r="FX979" s="23"/>
      <c r="FY979" s="23"/>
      <c r="FZ979" s="23"/>
      <c r="GA979" s="23"/>
      <c r="GB979" s="23"/>
      <c r="GC979" s="23"/>
      <c r="GD979" s="23"/>
      <c r="GE979" s="23"/>
      <c r="GF979" s="23"/>
      <c r="GG979" s="23"/>
      <c r="GH979" s="23"/>
      <c r="GI979" s="23"/>
      <c r="GJ979" s="23"/>
      <c r="GK979" s="23"/>
      <c r="GL979" s="23"/>
    </row>
    <row r="980" spans="1:194" ht="13">
      <c r="A980" s="23"/>
      <c r="B980" s="23"/>
      <c r="C980" s="23"/>
      <c r="D980" s="23"/>
      <c r="E980" s="23"/>
      <c r="F980" s="23"/>
      <c r="G980" s="23"/>
      <c r="H980" s="401"/>
      <c r="I980" s="401"/>
      <c r="J980" s="401"/>
      <c r="K980" s="401"/>
      <c r="L980" s="401"/>
      <c r="M980" s="438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  <c r="AL980" s="23"/>
      <c r="AM980" s="23"/>
      <c r="AN980" s="23"/>
      <c r="AO980" s="23"/>
      <c r="AP980" s="23"/>
      <c r="AQ980" s="23"/>
      <c r="AR980" s="23"/>
      <c r="AS980" s="23"/>
      <c r="AT980" s="23"/>
      <c r="AU980" s="23"/>
      <c r="AV980" s="23"/>
      <c r="AW980" s="23"/>
      <c r="AX980" s="23"/>
      <c r="AY980" s="23"/>
      <c r="AZ980" s="23"/>
      <c r="BA980" s="23"/>
      <c r="BB980" s="23"/>
      <c r="BC980" s="23"/>
      <c r="BD980" s="23"/>
      <c r="BE980" s="23"/>
      <c r="BF980" s="23"/>
      <c r="BG980" s="23"/>
      <c r="BH980" s="23"/>
      <c r="BI980" s="23"/>
      <c r="BJ980" s="23"/>
      <c r="BK980" s="23"/>
      <c r="BL980" s="23"/>
      <c r="BM980" s="23"/>
      <c r="BN980" s="23"/>
      <c r="BO980" s="23"/>
      <c r="BP980" s="23"/>
      <c r="BQ980" s="23"/>
      <c r="BR980" s="23"/>
      <c r="BS980" s="23"/>
      <c r="BT980" s="23"/>
      <c r="BU980" s="23"/>
      <c r="BV980" s="23"/>
      <c r="BW980" s="23"/>
      <c r="BX980" s="23"/>
      <c r="BY980" s="23"/>
      <c r="BZ980" s="23"/>
      <c r="CA980" s="23"/>
      <c r="CB980" s="23"/>
      <c r="CC980" s="23"/>
      <c r="CD980" s="23"/>
      <c r="CE980" s="23"/>
      <c r="CF980" s="23"/>
      <c r="CG980" s="23"/>
      <c r="CH980" s="23"/>
      <c r="CI980" s="23"/>
      <c r="CJ980" s="23"/>
      <c r="CK980" s="23"/>
      <c r="CL980" s="23"/>
      <c r="CM980" s="23"/>
      <c r="CN980" s="23"/>
      <c r="CO980" s="23"/>
      <c r="CP980" s="23"/>
      <c r="CQ980" s="23"/>
      <c r="CR980" s="23"/>
      <c r="CS980" s="23"/>
      <c r="CT980" s="23"/>
      <c r="CU980" s="23"/>
      <c r="CV980" s="23"/>
      <c r="CW980" s="23"/>
      <c r="CX980" s="23"/>
      <c r="CY980" s="23"/>
      <c r="CZ980" s="23"/>
      <c r="DA980" s="23"/>
      <c r="DB980" s="23"/>
      <c r="DC980" s="23"/>
      <c r="DD980" s="23"/>
      <c r="DE980" s="23"/>
      <c r="DF980" s="23"/>
      <c r="DG980" s="23"/>
      <c r="DH980" s="23"/>
      <c r="DI980" s="23"/>
      <c r="DJ980" s="23"/>
      <c r="DK980" s="23"/>
      <c r="DL980" s="23"/>
      <c r="DM980" s="23"/>
      <c r="DN980" s="23"/>
      <c r="DO980" s="23"/>
      <c r="DP980" s="23"/>
      <c r="DQ980" s="23"/>
      <c r="DR980" s="23"/>
      <c r="DS980" s="23"/>
      <c r="DT980" s="23"/>
      <c r="DU980" s="23"/>
      <c r="DV980" s="23"/>
      <c r="DW980" s="23"/>
      <c r="DX980" s="23"/>
      <c r="DY980" s="23"/>
      <c r="DZ980" s="23"/>
      <c r="EA980" s="23"/>
      <c r="EB980" s="23"/>
      <c r="EC980" s="23"/>
      <c r="ED980" s="23"/>
      <c r="EE980" s="23"/>
      <c r="EF980" s="23"/>
      <c r="EG980" s="23"/>
      <c r="EH980" s="23"/>
      <c r="EI980" s="23"/>
      <c r="EJ980" s="23"/>
      <c r="EK980" s="23"/>
      <c r="EL980" s="23"/>
      <c r="EM980" s="23"/>
      <c r="EN980" s="23"/>
      <c r="EO980" s="23"/>
      <c r="EP980" s="23"/>
      <c r="EQ980" s="23"/>
      <c r="ER980" s="23"/>
      <c r="ES980" s="23"/>
      <c r="ET980" s="23"/>
      <c r="EU980" s="23"/>
      <c r="EV980" s="23"/>
      <c r="EW980" s="23"/>
      <c r="EX980" s="23"/>
      <c r="EY980" s="23"/>
      <c r="EZ980" s="23"/>
      <c r="FA980" s="23"/>
      <c r="FB980" s="23"/>
      <c r="FC980" s="23"/>
      <c r="FD980" s="23"/>
      <c r="FE980" s="23"/>
      <c r="FF980" s="23"/>
      <c r="FG980" s="23"/>
      <c r="FH980" s="23"/>
      <c r="FI980" s="23"/>
      <c r="FJ980" s="23"/>
      <c r="FK980" s="23"/>
      <c r="FL980" s="23"/>
      <c r="FM980" s="23"/>
      <c r="FN980" s="23"/>
      <c r="FO980" s="23"/>
      <c r="FP980" s="23"/>
      <c r="FQ980" s="23"/>
      <c r="FR980" s="23"/>
      <c r="FS980" s="23"/>
      <c r="FT980" s="23"/>
      <c r="FU980" s="23"/>
      <c r="FV980" s="23"/>
      <c r="FW980" s="23"/>
      <c r="FX980" s="23"/>
      <c r="FY980" s="23"/>
      <c r="FZ980" s="23"/>
      <c r="GA980" s="23"/>
      <c r="GB980" s="23"/>
      <c r="GC980" s="23"/>
      <c r="GD980" s="23"/>
      <c r="GE980" s="23"/>
      <c r="GF980" s="23"/>
      <c r="GG980" s="23"/>
      <c r="GH980" s="23"/>
      <c r="GI980" s="23"/>
      <c r="GJ980" s="23"/>
      <c r="GK980" s="23"/>
      <c r="GL980" s="23"/>
    </row>
    <row r="981" spans="1:194" ht="13">
      <c r="A981" s="23"/>
      <c r="B981" s="23"/>
      <c r="C981" s="23"/>
      <c r="D981" s="23"/>
      <c r="E981" s="23"/>
      <c r="F981" s="23"/>
      <c r="G981" s="23"/>
      <c r="H981" s="401"/>
      <c r="I981" s="401"/>
      <c r="J981" s="401"/>
      <c r="K981" s="401"/>
      <c r="L981" s="401"/>
      <c r="M981" s="438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  <c r="AL981" s="23"/>
      <c r="AM981" s="23"/>
      <c r="AN981" s="23"/>
      <c r="AO981" s="23"/>
      <c r="AP981" s="23"/>
      <c r="AQ981" s="23"/>
      <c r="AR981" s="23"/>
      <c r="AS981" s="23"/>
      <c r="AT981" s="23"/>
      <c r="AU981" s="23"/>
      <c r="AV981" s="23"/>
      <c r="AW981" s="23"/>
      <c r="AX981" s="23"/>
      <c r="AY981" s="23"/>
      <c r="AZ981" s="23"/>
      <c r="BA981" s="23"/>
      <c r="BB981" s="23"/>
      <c r="BC981" s="23"/>
      <c r="BD981" s="23"/>
      <c r="BE981" s="23"/>
      <c r="BF981" s="23"/>
      <c r="BG981" s="23"/>
      <c r="BH981" s="23"/>
      <c r="BI981" s="23"/>
      <c r="BJ981" s="23"/>
      <c r="BK981" s="23"/>
      <c r="BL981" s="23"/>
      <c r="BM981" s="23"/>
      <c r="BN981" s="23"/>
      <c r="BO981" s="23"/>
      <c r="BP981" s="23"/>
      <c r="BQ981" s="23"/>
      <c r="BR981" s="23"/>
      <c r="BS981" s="23"/>
      <c r="BT981" s="23"/>
      <c r="BU981" s="23"/>
      <c r="BV981" s="23"/>
      <c r="BW981" s="23"/>
      <c r="BX981" s="23"/>
      <c r="BY981" s="23"/>
      <c r="BZ981" s="23"/>
      <c r="CA981" s="23"/>
      <c r="CB981" s="23"/>
      <c r="CC981" s="23"/>
      <c r="CD981" s="23"/>
      <c r="CE981" s="23"/>
      <c r="CF981" s="23"/>
      <c r="CG981" s="23"/>
      <c r="CH981" s="23"/>
      <c r="CI981" s="23"/>
      <c r="CJ981" s="23"/>
      <c r="CK981" s="23"/>
      <c r="CL981" s="23"/>
      <c r="CM981" s="23"/>
      <c r="CN981" s="23"/>
      <c r="CO981" s="23"/>
      <c r="CP981" s="23"/>
      <c r="CQ981" s="23"/>
      <c r="CR981" s="23"/>
      <c r="CS981" s="23"/>
      <c r="CT981" s="23"/>
      <c r="CU981" s="23"/>
      <c r="CV981" s="23"/>
      <c r="CW981" s="23"/>
      <c r="CX981" s="23"/>
      <c r="CY981" s="23"/>
      <c r="CZ981" s="23"/>
      <c r="DA981" s="23"/>
      <c r="DB981" s="23"/>
      <c r="DC981" s="23"/>
      <c r="DD981" s="23"/>
      <c r="DE981" s="23"/>
      <c r="DF981" s="23"/>
      <c r="DG981" s="23"/>
      <c r="DH981" s="23"/>
      <c r="DI981" s="23"/>
      <c r="DJ981" s="23"/>
      <c r="DK981" s="23"/>
      <c r="DL981" s="23"/>
      <c r="DM981" s="23"/>
      <c r="DN981" s="23"/>
      <c r="DO981" s="23"/>
      <c r="DP981" s="23"/>
      <c r="DQ981" s="23"/>
      <c r="DR981" s="23"/>
      <c r="DS981" s="23"/>
      <c r="DT981" s="23"/>
      <c r="DU981" s="23"/>
      <c r="DV981" s="23"/>
      <c r="DW981" s="23"/>
      <c r="DX981" s="23"/>
      <c r="DY981" s="23"/>
      <c r="DZ981" s="23"/>
      <c r="EA981" s="23"/>
      <c r="EB981" s="23"/>
      <c r="EC981" s="23"/>
      <c r="ED981" s="23"/>
      <c r="EE981" s="23"/>
      <c r="EF981" s="23"/>
      <c r="EG981" s="23"/>
      <c r="EH981" s="23"/>
      <c r="EI981" s="23"/>
      <c r="EJ981" s="23"/>
      <c r="EK981" s="23"/>
      <c r="EL981" s="23"/>
      <c r="EM981" s="23"/>
      <c r="EN981" s="23"/>
      <c r="EO981" s="23"/>
      <c r="EP981" s="23"/>
      <c r="EQ981" s="23"/>
      <c r="ER981" s="23"/>
      <c r="ES981" s="23"/>
      <c r="ET981" s="23"/>
      <c r="EU981" s="23"/>
      <c r="EV981" s="23"/>
      <c r="EW981" s="23"/>
      <c r="EX981" s="23"/>
      <c r="EY981" s="23"/>
      <c r="EZ981" s="23"/>
      <c r="FA981" s="23"/>
      <c r="FB981" s="23"/>
      <c r="FC981" s="23"/>
      <c r="FD981" s="23"/>
      <c r="FE981" s="23"/>
      <c r="FF981" s="23"/>
      <c r="FG981" s="23"/>
      <c r="FH981" s="23"/>
      <c r="FI981" s="23"/>
      <c r="FJ981" s="23"/>
      <c r="FK981" s="23"/>
      <c r="FL981" s="23"/>
      <c r="FM981" s="23"/>
      <c r="FN981" s="23"/>
      <c r="FO981" s="23"/>
      <c r="FP981" s="23"/>
      <c r="FQ981" s="23"/>
      <c r="FR981" s="23"/>
      <c r="FS981" s="23"/>
      <c r="FT981" s="23"/>
      <c r="FU981" s="23"/>
      <c r="FV981" s="23"/>
      <c r="FW981" s="23"/>
      <c r="FX981" s="23"/>
      <c r="FY981" s="23"/>
      <c r="FZ981" s="23"/>
      <c r="GA981" s="23"/>
      <c r="GB981" s="23"/>
      <c r="GC981" s="23"/>
      <c r="GD981" s="23"/>
      <c r="GE981" s="23"/>
      <c r="GF981" s="23"/>
      <c r="GG981" s="23"/>
      <c r="GH981" s="23"/>
      <c r="GI981" s="23"/>
      <c r="GJ981" s="23"/>
      <c r="GK981" s="23"/>
      <c r="GL981" s="23"/>
    </row>
    <row r="982" spans="1:194" ht="13">
      <c r="A982" s="23"/>
      <c r="B982" s="23"/>
      <c r="C982" s="23"/>
      <c r="D982" s="23"/>
      <c r="E982" s="23"/>
      <c r="F982" s="23"/>
      <c r="G982" s="23"/>
      <c r="H982" s="401"/>
      <c r="I982" s="401"/>
      <c r="J982" s="401"/>
      <c r="K982" s="401"/>
      <c r="L982" s="401"/>
      <c r="M982" s="438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  <c r="AL982" s="23"/>
      <c r="AM982" s="23"/>
      <c r="AN982" s="23"/>
      <c r="AO982" s="23"/>
      <c r="AP982" s="23"/>
      <c r="AQ982" s="23"/>
      <c r="AR982" s="23"/>
      <c r="AS982" s="23"/>
      <c r="AT982" s="23"/>
      <c r="AU982" s="23"/>
      <c r="AV982" s="23"/>
      <c r="AW982" s="23"/>
      <c r="AX982" s="23"/>
      <c r="AY982" s="23"/>
      <c r="AZ982" s="23"/>
      <c r="BA982" s="23"/>
      <c r="BB982" s="23"/>
      <c r="BC982" s="23"/>
      <c r="BD982" s="23"/>
      <c r="BE982" s="23"/>
      <c r="BF982" s="23"/>
      <c r="BG982" s="23"/>
      <c r="BH982" s="23"/>
      <c r="BI982" s="23"/>
      <c r="BJ982" s="23"/>
      <c r="BK982" s="23"/>
      <c r="BL982" s="23"/>
      <c r="BM982" s="23"/>
      <c r="BN982" s="23"/>
      <c r="BO982" s="23"/>
      <c r="BP982" s="23"/>
      <c r="BQ982" s="23"/>
      <c r="BR982" s="23"/>
      <c r="BS982" s="23"/>
      <c r="BT982" s="23"/>
      <c r="BU982" s="23"/>
      <c r="BV982" s="23"/>
      <c r="BW982" s="23"/>
      <c r="BX982" s="23"/>
      <c r="BY982" s="23"/>
      <c r="BZ982" s="23"/>
      <c r="CA982" s="23"/>
      <c r="CB982" s="23"/>
      <c r="CC982" s="23"/>
      <c r="CD982" s="23"/>
      <c r="CE982" s="23"/>
      <c r="CF982" s="23"/>
      <c r="CG982" s="23"/>
      <c r="CH982" s="23"/>
      <c r="CI982" s="23"/>
      <c r="CJ982" s="23"/>
      <c r="CK982" s="23"/>
      <c r="CL982" s="23"/>
      <c r="CM982" s="23"/>
      <c r="CN982" s="23"/>
      <c r="CO982" s="23"/>
      <c r="CP982" s="23"/>
      <c r="CQ982" s="23"/>
      <c r="CR982" s="23"/>
      <c r="CS982" s="23"/>
      <c r="CT982" s="23"/>
      <c r="CU982" s="23"/>
      <c r="CV982" s="23"/>
      <c r="CW982" s="23"/>
      <c r="CX982" s="23"/>
      <c r="CY982" s="23"/>
      <c r="CZ982" s="23"/>
      <c r="DA982" s="23"/>
      <c r="DB982" s="23"/>
      <c r="DC982" s="23"/>
      <c r="DD982" s="23"/>
      <c r="DE982" s="23"/>
      <c r="DF982" s="23"/>
      <c r="DG982" s="23"/>
      <c r="DH982" s="23"/>
      <c r="DI982" s="23"/>
      <c r="DJ982" s="23"/>
      <c r="DK982" s="23"/>
      <c r="DL982" s="23"/>
      <c r="DM982" s="23"/>
      <c r="DN982" s="23"/>
      <c r="DO982" s="23"/>
      <c r="DP982" s="23"/>
      <c r="DQ982" s="23"/>
      <c r="DR982" s="23"/>
      <c r="DS982" s="23"/>
      <c r="DT982" s="23"/>
      <c r="DU982" s="23"/>
      <c r="DV982" s="23"/>
      <c r="DW982" s="23"/>
      <c r="DX982" s="23"/>
      <c r="DY982" s="23"/>
      <c r="DZ982" s="23"/>
      <c r="EA982" s="23"/>
      <c r="EB982" s="23"/>
      <c r="EC982" s="23"/>
      <c r="ED982" s="23"/>
      <c r="EE982" s="23"/>
      <c r="EF982" s="23"/>
      <c r="EG982" s="23"/>
      <c r="EH982" s="23"/>
      <c r="EI982" s="23"/>
      <c r="EJ982" s="23"/>
      <c r="EK982" s="23"/>
      <c r="EL982" s="23"/>
      <c r="EM982" s="23"/>
      <c r="EN982" s="23"/>
      <c r="EO982" s="23"/>
      <c r="EP982" s="23"/>
      <c r="EQ982" s="23"/>
      <c r="ER982" s="23"/>
      <c r="ES982" s="23"/>
      <c r="ET982" s="23"/>
      <c r="EU982" s="23"/>
      <c r="EV982" s="23"/>
      <c r="EW982" s="23"/>
      <c r="EX982" s="23"/>
      <c r="EY982" s="23"/>
      <c r="EZ982" s="23"/>
      <c r="FA982" s="23"/>
      <c r="FB982" s="23"/>
      <c r="FC982" s="23"/>
      <c r="FD982" s="23"/>
      <c r="FE982" s="23"/>
      <c r="FF982" s="23"/>
      <c r="FG982" s="23"/>
      <c r="FH982" s="23"/>
      <c r="FI982" s="23"/>
      <c r="FJ982" s="23"/>
      <c r="FK982" s="23"/>
      <c r="FL982" s="23"/>
      <c r="FM982" s="23"/>
      <c r="FN982" s="23"/>
      <c r="FO982" s="23"/>
      <c r="FP982" s="23"/>
      <c r="FQ982" s="23"/>
      <c r="FR982" s="23"/>
      <c r="FS982" s="23"/>
      <c r="FT982" s="23"/>
      <c r="FU982" s="23"/>
      <c r="FV982" s="23"/>
      <c r="FW982" s="23"/>
      <c r="FX982" s="23"/>
      <c r="FY982" s="23"/>
      <c r="FZ982" s="23"/>
      <c r="GA982" s="23"/>
      <c r="GB982" s="23"/>
      <c r="GC982" s="23"/>
      <c r="GD982" s="23"/>
      <c r="GE982" s="23"/>
      <c r="GF982" s="23"/>
      <c r="GG982" s="23"/>
      <c r="GH982" s="23"/>
      <c r="GI982" s="23"/>
      <c r="GJ982" s="23"/>
      <c r="GK982" s="23"/>
      <c r="GL982" s="23"/>
    </row>
    <row r="983" spans="1:194" ht="13">
      <c r="A983" s="23"/>
      <c r="B983" s="23"/>
      <c r="C983" s="23"/>
      <c r="D983" s="23"/>
      <c r="E983" s="23"/>
      <c r="F983" s="23"/>
      <c r="G983" s="23"/>
      <c r="H983" s="401"/>
      <c r="I983" s="401"/>
      <c r="J983" s="401"/>
      <c r="K983" s="401"/>
      <c r="L983" s="401"/>
      <c r="M983" s="438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  <c r="AL983" s="23"/>
      <c r="AM983" s="23"/>
      <c r="AN983" s="23"/>
      <c r="AO983" s="23"/>
      <c r="AP983" s="23"/>
      <c r="AQ983" s="23"/>
      <c r="AR983" s="23"/>
      <c r="AS983" s="23"/>
      <c r="AT983" s="23"/>
      <c r="AU983" s="23"/>
      <c r="AV983" s="23"/>
      <c r="AW983" s="23"/>
      <c r="AX983" s="23"/>
      <c r="AY983" s="23"/>
      <c r="AZ983" s="23"/>
      <c r="BA983" s="23"/>
      <c r="BB983" s="23"/>
      <c r="BC983" s="23"/>
      <c r="BD983" s="23"/>
      <c r="BE983" s="23"/>
      <c r="BF983" s="23"/>
      <c r="BG983" s="23"/>
      <c r="BH983" s="23"/>
      <c r="BI983" s="23"/>
      <c r="BJ983" s="23"/>
      <c r="BK983" s="23"/>
      <c r="BL983" s="23"/>
      <c r="BM983" s="23"/>
      <c r="BN983" s="23"/>
      <c r="BO983" s="23"/>
      <c r="BP983" s="23"/>
      <c r="BQ983" s="23"/>
      <c r="BR983" s="23"/>
      <c r="BS983" s="23"/>
      <c r="BT983" s="23"/>
      <c r="BU983" s="23"/>
      <c r="BV983" s="23"/>
      <c r="BW983" s="23"/>
      <c r="BX983" s="23"/>
      <c r="BY983" s="23"/>
      <c r="BZ983" s="23"/>
      <c r="CA983" s="23"/>
      <c r="CB983" s="23"/>
      <c r="CC983" s="23"/>
      <c r="CD983" s="23"/>
      <c r="CE983" s="23"/>
      <c r="CF983" s="23"/>
      <c r="CG983" s="23"/>
      <c r="CH983" s="23"/>
      <c r="CI983" s="23"/>
      <c r="CJ983" s="23"/>
      <c r="CK983" s="23"/>
      <c r="CL983" s="23"/>
      <c r="CM983" s="23"/>
      <c r="CN983" s="23"/>
      <c r="CO983" s="23"/>
      <c r="CP983" s="23"/>
      <c r="CQ983" s="23"/>
      <c r="CR983" s="23"/>
      <c r="CS983" s="23"/>
      <c r="CT983" s="23"/>
      <c r="CU983" s="23"/>
      <c r="CV983" s="23"/>
      <c r="CW983" s="23"/>
      <c r="CX983" s="23"/>
      <c r="CY983" s="23"/>
      <c r="CZ983" s="23"/>
      <c r="DA983" s="23"/>
      <c r="DB983" s="23"/>
      <c r="DC983" s="23"/>
      <c r="DD983" s="23"/>
      <c r="DE983" s="23"/>
      <c r="DF983" s="23"/>
      <c r="DG983" s="23"/>
      <c r="DH983" s="23"/>
      <c r="DI983" s="23"/>
      <c r="DJ983" s="23"/>
      <c r="DK983" s="23"/>
      <c r="DL983" s="23"/>
      <c r="DM983" s="23"/>
      <c r="DN983" s="23"/>
      <c r="DO983" s="23"/>
      <c r="DP983" s="23"/>
      <c r="DQ983" s="23"/>
      <c r="DR983" s="23"/>
      <c r="DS983" s="23"/>
      <c r="DT983" s="23"/>
      <c r="DU983" s="23"/>
      <c r="DV983" s="23"/>
      <c r="DW983" s="23"/>
      <c r="DX983" s="23"/>
      <c r="DY983" s="23"/>
      <c r="DZ983" s="23"/>
      <c r="EA983" s="23"/>
      <c r="EB983" s="23"/>
      <c r="EC983" s="23"/>
      <c r="ED983" s="23"/>
      <c r="EE983" s="23"/>
      <c r="EF983" s="23"/>
      <c r="EG983" s="23"/>
      <c r="EH983" s="23"/>
      <c r="EI983" s="23"/>
      <c r="EJ983" s="23"/>
      <c r="EK983" s="23"/>
      <c r="EL983" s="23"/>
      <c r="EM983" s="23"/>
      <c r="EN983" s="23"/>
      <c r="EO983" s="23"/>
      <c r="EP983" s="23"/>
      <c r="EQ983" s="23"/>
      <c r="ER983" s="23"/>
      <c r="ES983" s="23"/>
      <c r="ET983" s="23"/>
      <c r="EU983" s="23"/>
      <c r="EV983" s="23"/>
      <c r="EW983" s="23"/>
      <c r="EX983" s="23"/>
      <c r="EY983" s="23"/>
      <c r="EZ983" s="23"/>
      <c r="FA983" s="23"/>
      <c r="FB983" s="23"/>
      <c r="FC983" s="23"/>
      <c r="FD983" s="23"/>
      <c r="FE983" s="23"/>
      <c r="FF983" s="23"/>
      <c r="FG983" s="23"/>
      <c r="FH983" s="23"/>
      <c r="FI983" s="23"/>
      <c r="FJ983" s="23"/>
      <c r="FK983" s="23"/>
      <c r="FL983" s="23"/>
      <c r="FM983" s="23"/>
      <c r="FN983" s="23"/>
      <c r="FO983" s="23"/>
      <c r="FP983" s="23"/>
      <c r="FQ983" s="23"/>
      <c r="FR983" s="23"/>
      <c r="FS983" s="23"/>
      <c r="FT983" s="23"/>
      <c r="FU983" s="23"/>
      <c r="FV983" s="23"/>
      <c r="FW983" s="23"/>
      <c r="FX983" s="23"/>
      <c r="FY983" s="23"/>
      <c r="FZ983" s="23"/>
      <c r="GA983" s="23"/>
      <c r="GB983" s="23"/>
      <c r="GC983" s="23"/>
      <c r="GD983" s="23"/>
      <c r="GE983" s="23"/>
      <c r="GF983" s="23"/>
      <c r="GG983" s="23"/>
      <c r="GH983" s="23"/>
      <c r="GI983" s="23"/>
      <c r="GJ983" s="23"/>
      <c r="GK983" s="23"/>
      <c r="GL983" s="23"/>
    </row>
    <row r="984" spans="1:194" ht="13">
      <c r="A984" s="23"/>
      <c r="B984" s="23"/>
      <c r="C984" s="23"/>
      <c r="D984" s="23"/>
      <c r="E984" s="23"/>
      <c r="F984" s="23"/>
      <c r="G984" s="23"/>
      <c r="H984" s="401"/>
      <c r="I984" s="401"/>
      <c r="J984" s="401"/>
      <c r="K984" s="401"/>
      <c r="L984" s="401"/>
      <c r="M984" s="438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  <c r="AL984" s="23"/>
      <c r="AM984" s="23"/>
      <c r="AN984" s="23"/>
      <c r="AO984" s="23"/>
      <c r="AP984" s="23"/>
      <c r="AQ984" s="23"/>
      <c r="AR984" s="23"/>
      <c r="AS984" s="23"/>
      <c r="AT984" s="23"/>
      <c r="AU984" s="23"/>
      <c r="AV984" s="23"/>
      <c r="AW984" s="23"/>
      <c r="AX984" s="23"/>
      <c r="AY984" s="23"/>
      <c r="AZ984" s="23"/>
      <c r="BA984" s="23"/>
      <c r="BB984" s="23"/>
      <c r="BC984" s="23"/>
      <c r="BD984" s="23"/>
      <c r="BE984" s="23"/>
      <c r="BF984" s="23"/>
      <c r="BG984" s="23"/>
      <c r="BH984" s="23"/>
      <c r="BI984" s="23"/>
      <c r="BJ984" s="23"/>
      <c r="BK984" s="23"/>
      <c r="BL984" s="23"/>
      <c r="BM984" s="23"/>
      <c r="BN984" s="23"/>
      <c r="BO984" s="23"/>
      <c r="BP984" s="23"/>
      <c r="BQ984" s="23"/>
      <c r="BR984" s="23"/>
      <c r="BS984" s="23"/>
      <c r="BT984" s="23"/>
      <c r="BU984" s="23"/>
      <c r="BV984" s="23"/>
      <c r="BW984" s="23"/>
      <c r="BX984" s="23"/>
      <c r="BY984" s="23"/>
      <c r="BZ984" s="23"/>
      <c r="CA984" s="23"/>
      <c r="CB984" s="23"/>
      <c r="CC984" s="23"/>
      <c r="CD984" s="23"/>
      <c r="CE984" s="23"/>
      <c r="CF984" s="23"/>
      <c r="CG984" s="23"/>
      <c r="CH984" s="23"/>
      <c r="CI984" s="23"/>
      <c r="CJ984" s="23"/>
      <c r="CK984" s="23"/>
      <c r="CL984" s="23"/>
      <c r="CM984" s="23"/>
      <c r="CN984" s="23"/>
      <c r="CO984" s="23"/>
      <c r="CP984" s="23"/>
      <c r="CQ984" s="23"/>
      <c r="CR984" s="23"/>
      <c r="CS984" s="23"/>
      <c r="CT984" s="23"/>
      <c r="CU984" s="23"/>
      <c r="CV984" s="23"/>
      <c r="CW984" s="23"/>
      <c r="CX984" s="23"/>
      <c r="CY984" s="23"/>
      <c r="CZ984" s="23"/>
      <c r="DA984" s="23"/>
      <c r="DB984" s="23"/>
      <c r="DC984" s="23"/>
      <c r="DD984" s="23"/>
      <c r="DE984" s="23"/>
      <c r="DF984" s="23"/>
      <c r="DG984" s="23"/>
      <c r="DH984" s="23"/>
      <c r="DI984" s="23"/>
      <c r="DJ984" s="23"/>
      <c r="DK984" s="23"/>
      <c r="DL984" s="23"/>
      <c r="DM984" s="23"/>
      <c r="DN984" s="23"/>
      <c r="DO984" s="23"/>
      <c r="DP984" s="23"/>
      <c r="DQ984" s="23"/>
      <c r="DR984" s="23"/>
      <c r="DS984" s="23"/>
      <c r="DT984" s="23"/>
      <c r="DU984" s="23"/>
      <c r="DV984" s="23"/>
      <c r="DW984" s="23"/>
      <c r="DX984" s="23"/>
      <c r="DY984" s="23"/>
      <c r="DZ984" s="23"/>
      <c r="EA984" s="23"/>
      <c r="EB984" s="23"/>
      <c r="EC984" s="23"/>
      <c r="ED984" s="23"/>
      <c r="EE984" s="23"/>
      <c r="EF984" s="23"/>
      <c r="EG984" s="23"/>
      <c r="EH984" s="23"/>
      <c r="EI984" s="23"/>
      <c r="EJ984" s="23"/>
      <c r="EK984" s="23"/>
      <c r="EL984" s="23"/>
      <c r="EM984" s="23"/>
      <c r="EN984" s="23"/>
      <c r="EO984" s="23"/>
      <c r="EP984" s="23"/>
      <c r="EQ984" s="23"/>
      <c r="ER984" s="23"/>
      <c r="ES984" s="23"/>
      <c r="ET984" s="23"/>
      <c r="EU984" s="23"/>
      <c r="EV984" s="23"/>
      <c r="EW984" s="23"/>
      <c r="EX984" s="23"/>
      <c r="EY984" s="23"/>
      <c r="EZ984" s="23"/>
      <c r="FA984" s="23"/>
      <c r="FB984" s="23"/>
      <c r="FC984" s="23"/>
      <c r="FD984" s="23"/>
      <c r="FE984" s="23"/>
      <c r="FF984" s="23"/>
      <c r="FG984" s="23"/>
      <c r="FH984" s="23"/>
      <c r="FI984" s="23"/>
      <c r="FJ984" s="23"/>
      <c r="FK984" s="23"/>
      <c r="FL984" s="23"/>
      <c r="FM984" s="23"/>
      <c r="FN984" s="23"/>
      <c r="FO984" s="23"/>
      <c r="FP984" s="23"/>
      <c r="FQ984" s="23"/>
      <c r="FR984" s="23"/>
      <c r="FS984" s="23"/>
      <c r="FT984" s="23"/>
      <c r="FU984" s="23"/>
      <c r="FV984" s="23"/>
      <c r="FW984" s="23"/>
      <c r="FX984" s="23"/>
      <c r="FY984" s="23"/>
      <c r="FZ984" s="23"/>
      <c r="GA984" s="23"/>
      <c r="GB984" s="23"/>
      <c r="GC984" s="23"/>
      <c r="GD984" s="23"/>
      <c r="GE984" s="23"/>
      <c r="GF984" s="23"/>
      <c r="GG984" s="23"/>
      <c r="GH984" s="23"/>
      <c r="GI984" s="23"/>
      <c r="GJ984" s="23"/>
      <c r="GK984" s="23"/>
      <c r="GL984" s="23"/>
    </row>
  </sheetData>
  <mergeCells count="102">
    <mergeCell ref="I7:I9"/>
    <mergeCell ref="J7:J9"/>
    <mergeCell ref="K7:K9"/>
    <mergeCell ref="N7:N9"/>
    <mergeCell ref="O7:O9"/>
    <mergeCell ref="A7:A9"/>
    <mergeCell ref="B7:B9"/>
    <mergeCell ref="C7:C9"/>
    <mergeCell ref="D7:D9"/>
    <mergeCell ref="E7:E9"/>
    <mergeCell ref="F7:F9"/>
    <mergeCell ref="G7:G9"/>
    <mergeCell ref="K15:K18"/>
    <mergeCell ref="N15:N18"/>
    <mergeCell ref="O15:O18"/>
    <mergeCell ref="A21:A22"/>
    <mergeCell ref="B21:B22"/>
    <mergeCell ref="C21:C22"/>
    <mergeCell ref="D21:D22"/>
    <mergeCell ref="E21:E22"/>
    <mergeCell ref="K21:K22"/>
    <mergeCell ref="N21:N22"/>
    <mergeCell ref="O21:O22"/>
    <mergeCell ref="A15:A18"/>
    <mergeCell ref="B15:B18"/>
    <mergeCell ref="C15:C18"/>
    <mergeCell ref="D15:D18"/>
    <mergeCell ref="E15:E18"/>
    <mergeCell ref="A27:A28"/>
    <mergeCell ref="B27:B28"/>
    <mergeCell ref="C27:C28"/>
    <mergeCell ref="D27:D28"/>
    <mergeCell ref="E27:E28"/>
    <mergeCell ref="I27:I28"/>
    <mergeCell ref="J27:J28"/>
    <mergeCell ref="H11:H12"/>
    <mergeCell ref="I15:I18"/>
    <mergeCell ref="J15:J18"/>
    <mergeCell ref="F11:F12"/>
    <mergeCell ref="G11:G12"/>
    <mergeCell ref="L72:L74"/>
    <mergeCell ref="K56:K60"/>
    <mergeCell ref="L56:L60"/>
    <mergeCell ref="N56:N60"/>
    <mergeCell ref="O56:O60"/>
    <mergeCell ref="K61:K66"/>
    <mergeCell ref="L61:L66"/>
    <mergeCell ref="L67:L71"/>
    <mergeCell ref="K27:K28"/>
    <mergeCell ref="L27:L28"/>
    <mergeCell ref="N27:N28"/>
    <mergeCell ref="O37:O39"/>
    <mergeCell ref="J42:J44"/>
    <mergeCell ref="K42:K44"/>
    <mergeCell ref="L42:L44"/>
    <mergeCell ref="N42:N44"/>
    <mergeCell ref="O42:O44"/>
    <mergeCell ref="K46:K48"/>
    <mergeCell ref="N46:N48"/>
    <mergeCell ref="O46:O48"/>
    <mergeCell ref="B42:B44"/>
    <mergeCell ref="C42:C44"/>
    <mergeCell ref="D42:D44"/>
    <mergeCell ref="E42:E44"/>
    <mergeCell ref="F42:F44"/>
    <mergeCell ref="I42:I44"/>
    <mergeCell ref="G43:G44"/>
    <mergeCell ref="A42:A44"/>
    <mergeCell ref="A46:A48"/>
    <mergeCell ref="B46:B48"/>
    <mergeCell ref="D46:D48"/>
    <mergeCell ref="E46:E48"/>
    <mergeCell ref="A49:A53"/>
    <mergeCell ref="B49:B53"/>
    <mergeCell ref="D49:D53"/>
    <mergeCell ref="E49:E53"/>
    <mergeCell ref="I49:I53"/>
    <mergeCell ref="J49:J53"/>
    <mergeCell ref="K49:K53"/>
    <mergeCell ref="N49:N53"/>
    <mergeCell ref="O49:O55"/>
    <mergeCell ref="C46:C48"/>
    <mergeCell ref="C49:C60"/>
    <mergeCell ref="A56:A60"/>
    <mergeCell ref="B56:B60"/>
    <mergeCell ref="D56:D60"/>
    <mergeCell ref="E56:E60"/>
    <mergeCell ref="A61:A66"/>
    <mergeCell ref="E61:E66"/>
    <mergeCell ref="E67:E71"/>
    <mergeCell ref="E72:E74"/>
    <mergeCell ref="I76:K76"/>
    <mergeCell ref="I77:K77"/>
    <mergeCell ref="B61:B66"/>
    <mergeCell ref="C61:C66"/>
    <mergeCell ref="A67:A71"/>
    <mergeCell ref="B67:B71"/>
    <mergeCell ref="C67:C71"/>
    <mergeCell ref="B72:B74"/>
    <mergeCell ref="C72:C74"/>
    <mergeCell ref="K67:K71"/>
    <mergeCell ref="K72:K74"/>
  </mergeCells>
  <phoneticPr fontId="179" type="noConversion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  <outlinePr summaryBelow="0" summaryRight="0"/>
  </sheetPr>
  <dimension ref="A1:AE1012"/>
  <sheetViews>
    <sheetView workbookViewId="0"/>
  </sheetViews>
  <sheetFormatPr baseColWidth="10" defaultColWidth="12.5" defaultRowHeight="15.75" customHeight="1"/>
  <cols>
    <col min="1" max="1" width="11.5" customWidth="1"/>
    <col min="3" max="3" width="12.5" hidden="1"/>
    <col min="4" max="4" width="46.5" customWidth="1"/>
    <col min="5" max="5" width="14.83203125" customWidth="1"/>
    <col min="6" max="6" width="9.6640625" customWidth="1"/>
    <col min="7" max="7" width="14.5" hidden="1" customWidth="1"/>
    <col min="9" max="9" width="11.83203125" customWidth="1"/>
    <col min="10" max="10" width="49" customWidth="1"/>
    <col min="11" max="11" width="18.6640625" customWidth="1"/>
    <col min="12" max="12" width="6.33203125" customWidth="1"/>
    <col min="13" max="13" width="2.33203125" customWidth="1"/>
    <col min="14" max="14" width="7.6640625" customWidth="1"/>
    <col min="15" max="15" width="20.83203125" customWidth="1"/>
    <col min="16" max="16" width="6.33203125" customWidth="1"/>
  </cols>
  <sheetData>
    <row r="1" spans="1:31" ht="18">
      <c r="A1" s="487" t="str">
        <f ca="1">IFERROR(__xludf.DUMMYFUNCTION("IMPORTRANGE(""https://docs.google.com/spreadsheets/d/1uEDRkDSIkPcHsUbJV7YOQClcfxXk4qGhwjRJ7MpfUK0/edit?gid=0#gid=0"",""AR!A1:Q999"")"),"AR")</f>
        <v>AR</v>
      </c>
      <c r="B1" s="488" t="str">
        <f ca="1">IFERROR(__xludf.DUMMYFUNCTION("""COMPUTED_VALUE"""),"2412")</f>
        <v>2412</v>
      </c>
      <c r="C1" s="489" t="str">
        <f ca="1">IFERROR(__xludf.DUMMYFUNCTION("""COMPUTED_VALUE"""),"월")</f>
        <v>월</v>
      </c>
      <c r="D1" s="490"/>
      <c r="E1" s="490"/>
      <c r="F1" s="490"/>
      <c r="G1" s="490"/>
      <c r="H1" s="491"/>
      <c r="I1" s="492"/>
      <c r="J1" s="492"/>
      <c r="K1" s="492"/>
      <c r="L1" s="492"/>
      <c r="M1" s="2"/>
      <c r="N1" s="1149" t="str">
        <f ca="1">IFERROR(__xludf.DUMMYFUNCTION("""COMPUTED_VALUE"""),"TAX")</f>
        <v>TAX</v>
      </c>
      <c r="O1" s="1106"/>
      <c r="P1" s="1150"/>
      <c r="Q1" s="2"/>
      <c r="R1" s="49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</row>
    <row r="2" spans="1:31" ht="13">
      <c r="A2" s="2"/>
      <c r="B2" s="2"/>
      <c r="C2" s="2"/>
      <c r="D2" s="2"/>
      <c r="E2" s="2"/>
      <c r="F2" s="2"/>
      <c r="G2" s="2"/>
      <c r="H2" s="24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spans="1:31" ht="13">
      <c r="A3" s="493" t="str">
        <f ca="1">IFERROR(__xludf.DUMMYFUNCTION("""COMPUTED_VALUE"""),"발행
일자")</f>
        <v>발행
일자</v>
      </c>
      <c r="B3" s="494" t="str">
        <f ca="1">IFERROR(__xludf.DUMMYFUNCTION("""COMPUTED_VALUE"""),"PR")</f>
        <v>PR</v>
      </c>
      <c r="C3" s="494" t="str">
        <f ca="1">IFERROR(__xludf.DUMMYFUNCTION("""COMPUTED_VALUE"""),"PJT Code")</f>
        <v>PJT Code</v>
      </c>
      <c r="D3" s="494" t="str">
        <f ca="1">IFERROR(__xludf.DUMMYFUNCTION("""COMPUTED_VALUE"""),"품목명")</f>
        <v>품목명</v>
      </c>
      <c r="E3" s="494" t="str">
        <f ca="1">IFERROR(__xludf.DUMMYFUNCTION("""COMPUTED_VALUE"""),"고객사")</f>
        <v>고객사</v>
      </c>
      <c r="F3" s="494" t="str">
        <f ca="1">IFERROR(__xludf.DUMMYFUNCTION("""COMPUTED_VALUE"""),"영업 담당자")</f>
        <v>영업 담당자</v>
      </c>
      <c r="G3" s="494" t="str">
        <f ca="1">IFERROR(__xludf.DUMMYFUNCTION("""COMPUTED_VALUE"""),"이메일")</f>
        <v>이메일</v>
      </c>
      <c r="H3" s="495" t="str">
        <f ca="1">IFERROR(__xludf.DUMMYFUNCTION("""COMPUTED_VALUE"""),"당월 금액
(VAT별도)")</f>
        <v>당월 금액
(VAT별도)</v>
      </c>
      <c r="I3" s="495" t="str">
        <f ca="1">IFERROR(__xludf.DUMMYFUNCTION("""COMPUTED_VALUE"""),"당월 금액
(VAT)")</f>
        <v>당월 금액
(VAT)</v>
      </c>
      <c r="J3" s="494" t="str">
        <f ca="1">IFERROR(__xludf.DUMMYFUNCTION("""COMPUTED_VALUE"""),"Code")</f>
        <v>Code</v>
      </c>
      <c r="K3" s="496" t="str">
        <f ca="1">IFERROR(__xludf.DUMMYFUNCTION("""COMPUTED_VALUE"""),"AR 작성")</f>
        <v>AR 작성</v>
      </c>
      <c r="L3" s="497" t="str">
        <f ca="1">IFERROR(__xludf.DUMMYFUNCTION("""COMPUTED_VALUE"""),"완료")</f>
        <v>완료</v>
      </c>
      <c r="M3" s="2"/>
      <c r="N3" s="493" t="str">
        <f ca="1">IFERROR(__xludf.DUMMYFUNCTION("""COMPUTED_VALUE"""),"담당자")</f>
        <v>담당자</v>
      </c>
      <c r="O3" s="496" t="str">
        <f ca="1">IFERROR(__xludf.DUMMYFUNCTION("""COMPUTED_VALUE"""),"이메일")</f>
        <v>이메일</v>
      </c>
      <c r="P3" s="497" t="str">
        <f ca="1">IFERROR(__xludf.DUMMYFUNCTION("""COMPUTED_VALUE"""),"완료")</f>
        <v>완료</v>
      </c>
      <c r="Q3" s="2"/>
      <c r="R3" s="494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</row>
    <row r="4" spans="1:31" ht="13">
      <c r="A4" s="498">
        <f ca="1">IFERROR(__xludf.DUMMYFUNCTION("""COMPUTED_VALUE"""),10)</f>
        <v>10</v>
      </c>
      <c r="B4" s="499"/>
      <c r="C4" s="500"/>
      <c r="D4" s="501" t="str">
        <f ca="1">IFERROR(__xludf.DUMMYFUNCTION("""COMPUTED_VALUE"""),"메시징 별도(10월)")</f>
        <v>메시징 별도(10월)</v>
      </c>
      <c r="E4" s="499"/>
      <c r="F4" s="502" t="str">
        <f ca="1">IFERROR(__xludf.DUMMYFUNCTION("""COMPUTED_VALUE"""),"김영훈 차장")</f>
        <v>김영훈 차장</v>
      </c>
      <c r="G4" s="500"/>
      <c r="H4" s="503"/>
      <c r="I4" s="503"/>
      <c r="J4" s="504" t="str">
        <f ca="1">IFERROR(__xludf.DUMMYFUNCTION("""COMPUTED_VALUE"""),"HX-999-99999-SELSCBP-413131-0000-V170016-000000-00000")</f>
        <v>HX-999-99999-SELSCBP-413131-0000-V170016-000000-00000</v>
      </c>
      <c r="K4" s="505">
        <f ca="1">IFERROR(__xludf.DUMMYFUNCTION("""COMPUTED_VALUE"""),37)</f>
        <v>37</v>
      </c>
      <c r="L4" s="506" t="b">
        <f ca="1">IFERROR(__xludf.DUMMYFUNCTION("""COMPUTED_VALUE"""),FALSE)</f>
        <v>0</v>
      </c>
      <c r="M4" s="2"/>
      <c r="N4" s="1151">
        <f ca="1">IFERROR(__xludf.DUMMYFUNCTION("""COMPUTED_VALUE"""),37)</f>
        <v>37</v>
      </c>
      <c r="O4" s="1152"/>
      <c r="P4" s="507" t="b">
        <f ca="1">IFERROR(__xludf.DUMMYFUNCTION("""COMPUTED_VALUE"""),FALSE)</f>
        <v>0</v>
      </c>
      <c r="Q4" s="2"/>
      <c r="R4" s="508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spans="1:31" ht="14">
      <c r="A5" s="509" t="str">
        <f ca="1">IFERROR(__xludf.DUMMYFUNCTION("""COMPUTED_VALUE"""),"07")</f>
        <v>07</v>
      </c>
      <c r="B5" s="510" t="str">
        <f ca="1">IFERROR(__xludf.DUMMYFUNCTION("""COMPUTED_VALUE"""),"HX-PR-14513")</f>
        <v>HX-PR-14513</v>
      </c>
      <c r="C5" s="505" t="str">
        <f ca="1">IFERROR(__xludf.DUMMYFUNCTION("""COMPUTED_VALUE"""),"R230053")</f>
        <v>R230053</v>
      </c>
      <c r="D5" s="508" t="str">
        <f ca="1">IFERROR(__xludf.DUMMYFUNCTION("""COMPUTED_VALUE"""),"인하대학교 산학협력단 서버시스템 유지보수 24년 10월분")</f>
        <v>인하대학교 산학협력단 서버시스템 유지보수 24년 10월분</v>
      </c>
      <c r="E5" s="505" t="str">
        <f ca="1">IFERROR(__xludf.DUMMYFUNCTION("""COMPUTED_VALUE"""),"인하대학교산학협력단")</f>
        <v>인하대학교산학협력단</v>
      </c>
      <c r="F5" s="508" t="str">
        <f ca="1">IFERROR(__xludf.DUMMYFUNCTION("""COMPUTED_VALUE"""),"원치웅 과장")</f>
        <v>원치웅 과장</v>
      </c>
      <c r="G5" s="508" t="str">
        <f ca="1">IFERROR(__xludf.DUMMYFUNCTION("""COMPUTED_VALUE"""),"cwon@hist.co.kr")</f>
        <v>cwon@hist.co.kr</v>
      </c>
      <c r="H5" s="511">
        <f ca="1">IFERROR(__xludf.DUMMYFUNCTION("""COMPUTED_VALUE"""),235000)</f>
        <v>235000</v>
      </c>
      <c r="I5" s="512">
        <f ca="1">IFERROR(__xludf.DUMMYFUNCTION("""COMPUTED_VALUE"""),23500)</f>
        <v>23500</v>
      </c>
      <c r="J5" s="513" t="str">
        <f ca="1">IFERROR(__xludf.DUMMYFUNCTION("""COMPUTED_VALUE"""),"HX-999-99999-SELSCI-413111-0000-R230053-000000-00000")</f>
        <v>HX-999-99999-SELSCI-413111-0000-R230053-000000-00000</v>
      </c>
      <c r="K5" s="514" t="str">
        <f ca="1">IFERROR(__xludf.DUMMYFUNCTION("""COMPUTED_VALUE"""),"ART241207강이슬4513")</f>
        <v>ART241207강이슬4513</v>
      </c>
      <c r="L5" s="507" t="b">
        <f ca="1">IFERROR(__xludf.DUMMYFUNCTION("""COMPUTED_VALUE"""),TRUE)</f>
        <v>1</v>
      </c>
      <c r="M5" s="2"/>
      <c r="N5" s="515" t="str">
        <f ca="1">IFERROR(__xludf.DUMMYFUNCTION("""COMPUTED_VALUE"""),"이혜연")</f>
        <v>이혜연</v>
      </c>
      <c r="O5" s="514" t="str">
        <f ca="1">IFERROR(__xludf.DUMMYFUNCTION("""COMPUTED_VALUE"""),"hy2@inha.ac.kr")</f>
        <v>hy2@inha.ac.kr</v>
      </c>
      <c r="P5" s="507" t="b">
        <f ca="1">IFERROR(__xludf.DUMMYFUNCTION("""COMPUTED_VALUE"""),TRUE)</f>
        <v>1</v>
      </c>
      <c r="Q5" s="2"/>
      <c r="R5" s="508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 spans="1:31" ht="14">
      <c r="A6" s="516">
        <f ca="1">IFERROR(__xludf.DUMMYFUNCTION("""COMPUTED_VALUE"""),15)</f>
        <v>15</v>
      </c>
      <c r="B6" s="510" t="str">
        <f ca="1">IFERROR(__xludf.DUMMYFUNCTION("""COMPUTED_VALUE"""),"HX-PR-13842")</f>
        <v>HX-PR-13842</v>
      </c>
      <c r="C6" s="505" t="str">
        <f ca="1">IFERROR(__xludf.DUMMYFUNCTION("""COMPUTED_VALUE"""),"P230001")</f>
        <v>P230001</v>
      </c>
      <c r="D6" s="508" t="str">
        <f ca="1">IFERROR(__xludf.DUMMYFUNCTION("""COMPUTED_VALUE"""),"2024.10_ 소노호텔앤리조트 홈페이지 고도화사업")</f>
        <v>2024.10_ 소노호텔앤리조트 홈페이지 고도화사업</v>
      </c>
      <c r="E6" s="505" t="str">
        <f ca="1">IFERROR(__xludf.DUMMYFUNCTION("""COMPUTED_VALUE"""),"디지틀조선일보")</f>
        <v>디지틀조선일보</v>
      </c>
      <c r="F6" s="508" t="str">
        <f ca="1">IFERROR(__xludf.DUMMYFUNCTION("""COMPUTED_VALUE"""),"최윤창 차장")</f>
        <v>최윤창 차장</v>
      </c>
      <c r="G6" s="508" t="str">
        <f ca="1">IFERROR(__xludf.DUMMYFUNCTION("""COMPUTED_VALUE"""),"ycchoi@hist.co.kr")</f>
        <v>ycchoi@hist.co.kr</v>
      </c>
      <c r="H6" s="511">
        <f ca="1">IFERROR(__xludf.DUMMYFUNCTION("""COMPUTED_VALUE"""),200250000)</f>
        <v>200250000</v>
      </c>
      <c r="I6" s="512">
        <f ca="1">IFERROR(__xludf.DUMMYFUNCTION("""COMPUTED_VALUE"""),20025000)</f>
        <v>20025000</v>
      </c>
      <c r="J6" s="513" t="str">
        <f ca="1">IFERROR(__xludf.DUMMYFUNCTION("""COMPUTED_VALUE"""),"HX-999-99999-SELSCB-411121-0000-P230001-000000-00000")</f>
        <v>HX-999-99999-SELSCB-411121-0000-P230001-000000-00000</v>
      </c>
      <c r="K6" s="514" t="str">
        <f ca="1">IFERROR(__xludf.DUMMYFUNCTION("""COMPUTED_VALUE"""),"ART241215강이슬3842")</f>
        <v>ART241215강이슬3842</v>
      </c>
      <c r="L6" s="507" t="b">
        <f ca="1">IFERROR(__xludf.DUMMYFUNCTION("""COMPUTED_VALUE"""),FALSE)</f>
        <v>0</v>
      </c>
      <c r="M6" s="2"/>
      <c r="N6" s="517" t="str">
        <f ca="1">IFERROR(__xludf.DUMMYFUNCTION("""COMPUTED_VALUE"""),"유빛나")</f>
        <v>유빛나</v>
      </c>
      <c r="O6" s="518" t="str">
        <f ca="1">IFERROR(__xludf.DUMMYFUNCTION("""COMPUTED_VALUE"""),"sanayou@chosun.com")</f>
        <v>sanayou@chosun.com</v>
      </c>
      <c r="P6" s="507" t="b">
        <f ca="1">IFERROR(__xludf.DUMMYFUNCTION("""COMPUTED_VALUE"""),FALSE)</f>
        <v>0</v>
      </c>
      <c r="Q6" s="2"/>
      <c r="R6" s="508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 spans="1:31" ht="14">
      <c r="A7" s="516">
        <f ca="1">IFERROR(__xludf.DUMMYFUNCTION("""COMPUTED_VALUE"""),20)</f>
        <v>20</v>
      </c>
      <c r="B7" s="519" t="str">
        <f ca="1">IFERROR(__xludf.DUMMYFUNCTION("""COMPUTED_VALUE"""),"0810")</f>
        <v>0810</v>
      </c>
      <c r="C7" s="505" t="str">
        <f ca="1">IFERROR(__xludf.DUMMYFUNCTION("""COMPUTED_VALUE"""),"R240023")</f>
        <v>R240023</v>
      </c>
      <c r="D7" s="508" t="str">
        <f ca="1">IFERROR(__xludf.DUMMYFUNCTION("""COMPUTED_VALUE"""),"[Google] 한성대 Google Workspace 연동 소프트웨어 유지보수")</f>
        <v>[Google] 한성대 Google Workspace 연동 소프트웨어 유지보수</v>
      </c>
      <c r="E7" s="505" t="str">
        <f ca="1">IFERROR(__xludf.DUMMYFUNCTION("""COMPUTED_VALUE"""),"디에스티인터내셔날")</f>
        <v>디에스티인터내셔날</v>
      </c>
      <c r="F7" s="508" t="str">
        <f ca="1">IFERROR(__xludf.DUMMYFUNCTION("""COMPUTED_VALUE"""),"원치웅 과장")</f>
        <v>원치웅 과장</v>
      </c>
      <c r="G7" s="508" t="str">
        <f ca="1">IFERROR(__xludf.DUMMYFUNCTION("""COMPUTED_VALUE"""),"cwon@hist.co.kr")</f>
        <v>cwon@hist.co.kr</v>
      </c>
      <c r="H7" s="511">
        <f ca="1">IFERROR(__xludf.DUMMYFUNCTION("""COMPUTED_VALUE"""),420000)</f>
        <v>420000</v>
      </c>
      <c r="I7" s="512">
        <f ca="1">IFERROR(__xludf.DUMMYFUNCTION("""COMPUTED_VALUE"""),42000)</f>
        <v>42000</v>
      </c>
      <c r="J7" s="513" t="str">
        <f ca="1">IFERROR(__xludf.DUMMYFUNCTION("""COMPUTED_VALUE"""),"HX-999-99999-SELSCBU-413111-0000-R240023-000000-00000")</f>
        <v>HX-999-99999-SELSCBU-413111-0000-R240023-000000-00000</v>
      </c>
      <c r="K7" s="514" t="str">
        <f ca="1">IFERROR(__xludf.DUMMYFUNCTION("""COMPUTED_VALUE"""),"ART241220강이슬0810")</f>
        <v>ART241220강이슬0810</v>
      </c>
      <c r="L7" s="507" t="b">
        <f ca="1">IFERROR(__xludf.DUMMYFUNCTION("""COMPUTED_VALUE"""),FALSE)</f>
        <v>0</v>
      </c>
      <c r="M7" s="2"/>
      <c r="N7" s="515" t="str">
        <f ca="1">IFERROR(__xludf.DUMMYFUNCTION("""COMPUTED_VALUE"""),"이형주")</f>
        <v>이형주</v>
      </c>
      <c r="O7" s="514" t="str">
        <f ca="1">IFERROR(__xludf.DUMMYFUNCTION("""COMPUTED_VALUE"""),"msbill@dsti.co.kr")</f>
        <v>msbill@dsti.co.kr</v>
      </c>
      <c r="P7" s="507" t="b">
        <f ca="1">IFERROR(__xludf.DUMMYFUNCTION("""COMPUTED_VALUE"""),FALSE)</f>
        <v>0</v>
      </c>
      <c r="Q7" s="2"/>
      <c r="R7" s="508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 spans="1:31" ht="14">
      <c r="A8" s="516">
        <f ca="1">IFERROR(__xludf.DUMMYFUNCTION("""COMPUTED_VALUE"""),20)</f>
        <v>20</v>
      </c>
      <c r="B8" s="519" t="str">
        <f ca="1">IFERROR(__xludf.DUMMYFUNCTION("""COMPUTED_VALUE"""),"0820")</f>
        <v>0820</v>
      </c>
      <c r="C8" s="505" t="str">
        <f ca="1">IFERROR(__xludf.DUMMYFUNCTION("""COMPUTED_VALUE"""),"R240015")</f>
        <v>R240015</v>
      </c>
      <c r="D8" s="508" t="str">
        <f ca="1">IFERROR(__xludf.DUMMYFUNCTION("""COMPUTED_VALUE"""),"Google Workspace 한국외국어대")</f>
        <v>Google Workspace 한국외국어대</v>
      </c>
      <c r="E8" s="505" t="str">
        <f ca="1">IFERROR(__xludf.DUMMYFUNCTION("""COMPUTED_VALUE"""),"한국외국어대학교글로벌캠퍼스")</f>
        <v>한국외국어대학교글로벌캠퍼스</v>
      </c>
      <c r="F8" s="508" t="str">
        <f ca="1">IFERROR(__xludf.DUMMYFUNCTION("""COMPUTED_VALUE"""),"원치웅 과장")</f>
        <v>원치웅 과장</v>
      </c>
      <c r="G8" s="508" t="str">
        <f ca="1">IFERROR(__xludf.DUMMYFUNCTION("""COMPUTED_VALUE"""),"cwon@hist.co.kr")</f>
        <v>cwon@hist.co.kr</v>
      </c>
      <c r="H8" s="511">
        <f ca="1">IFERROR(__xludf.DUMMYFUNCTION("""COMPUTED_VALUE"""),318000)</f>
        <v>318000</v>
      </c>
      <c r="I8" s="512">
        <f ca="1">IFERROR(__xludf.DUMMYFUNCTION("""COMPUTED_VALUE"""),31800)</f>
        <v>31800</v>
      </c>
      <c r="J8" s="513" t="str">
        <f ca="1">IFERROR(__xludf.DUMMYFUNCTION("""COMPUTED_VALUE"""),"HX-999-99999-SELSCBU-413111-0000-R240015-000000-00000")</f>
        <v>HX-999-99999-SELSCBU-413111-0000-R240015-000000-00000</v>
      </c>
      <c r="K8" s="514" t="str">
        <f ca="1">IFERROR(__xludf.DUMMYFUNCTION("""COMPUTED_VALUE"""),"ART241220강이슬0820")</f>
        <v>ART241220강이슬0820</v>
      </c>
      <c r="L8" s="507" t="b">
        <f ca="1">IFERROR(__xludf.DUMMYFUNCTION("""COMPUTED_VALUE"""),FALSE)</f>
        <v>0</v>
      </c>
      <c r="M8" s="2"/>
      <c r="N8" s="515" t="str">
        <f ca="1">IFERROR(__xludf.DUMMYFUNCTION("""COMPUTED_VALUE"""),"박종훈")</f>
        <v>박종훈</v>
      </c>
      <c r="O8" s="514" t="str">
        <f ca="1">IFERROR(__xludf.DUMMYFUNCTION("""COMPUTED_VALUE"""),"jhp2592@hufs.ac.kr")</f>
        <v>jhp2592@hufs.ac.kr</v>
      </c>
      <c r="P8" s="507" t="b">
        <f ca="1">IFERROR(__xludf.DUMMYFUNCTION("""COMPUTED_VALUE"""),FALSE)</f>
        <v>0</v>
      </c>
      <c r="Q8" s="2"/>
      <c r="R8" s="508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 spans="1:31" ht="14">
      <c r="A9" s="516">
        <f ca="1">IFERROR(__xludf.DUMMYFUNCTION("""COMPUTED_VALUE"""),20)</f>
        <v>20</v>
      </c>
      <c r="B9" s="510" t="str">
        <f ca="1">IFERROR(__xludf.DUMMYFUNCTION("""COMPUTED_VALUE"""),"HX-PR-14709")</f>
        <v>HX-PR-14709</v>
      </c>
      <c r="C9" s="505" t="str">
        <f ca="1">IFERROR(__xludf.DUMMYFUNCTION("""COMPUTED_VALUE"""),"R240006")</f>
        <v>R240006</v>
      </c>
      <c r="D9" s="508" t="str">
        <f ca="1">IFERROR(__xludf.DUMMYFUNCTION("""COMPUTED_VALUE"""),"24년 11월 상상인플러스저축은행 IT인프라 통합 유지보수")</f>
        <v>24년 11월 상상인플러스저축은행 IT인프라 통합 유지보수</v>
      </c>
      <c r="E9" s="505" t="str">
        <f ca="1">IFERROR(__xludf.DUMMYFUNCTION("""COMPUTED_VALUE"""),"상상인플러스저축은행")</f>
        <v>상상인플러스저축은행</v>
      </c>
      <c r="F9" s="508" t="str">
        <f ca="1">IFERROR(__xludf.DUMMYFUNCTION("""COMPUTED_VALUE"""),"최윤창 차장")</f>
        <v>최윤창 차장</v>
      </c>
      <c r="G9" s="508" t="str">
        <f ca="1">IFERROR(__xludf.DUMMYFUNCTION("""COMPUTED_VALUE"""),"ycchoi@hist.co.kr")</f>
        <v>ycchoi@hist.co.kr</v>
      </c>
      <c r="H9" s="511">
        <f ca="1">IFERROR(__xludf.DUMMYFUNCTION("""COMPUTED_VALUE"""),6540000)</f>
        <v>6540000</v>
      </c>
      <c r="I9" s="512">
        <f ca="1">IFERROR(__xludf.DUMMYFUNCTION("""COMPUTED_VALUE"""),654000)</f>
        <v>654000</v>
      </c>
      <c r="J9" s="513" t="str">
        <f ca="1">IFERROR(__xludf.DUMMYFUNCTION("""COMPUTED_VALUE"""),"HX-999-99999-SELSCB-413111-0000-R240006-000000-00000")</f>
        <v>HX-999-99999-SELSCB-413111-0000-R240006-000000-00000</v>
      </c>
      <c r="K9" s="514" t="str">
        <f ca="1">IFERROR(__xludf.DUMMYFUNCTION("""COMPUTED_VALUE"""),"ART241220강이슬4709")</f>
        <v>ART241220강이슬4709</v>
      </c>
      <c r="L9" s="507" t="b">
        <f ca="1">IFERROR(__xludf.DUMMYFUNCTION("""COMPUTED_VALUE"""),FALSE)</f>
        <v>0</v>
      </c>
      <c r="M9" s="2"/>
      <c r="N9" s="515" t="str">
        <f ca="1">IFERROR(__xludf.DUMMYFUNCTION("""COMPUTED_VALUE"""),"정유섭")</f>
        <v>정유섭</v>
      </c>
      <c r="O9" s="514" t="str">
        <f ca="1">IFERROR(__xludf.DUMMYFUNCTION("""COMPUTED_VALUE"""),"dc459017@hanmail.net")</f>
        <v>dc459017@hanmail.net</v>
      </c>
      <c r="P9" s="507" t="b">
        <f ca="1">IFERROR(__xludf.DUMMYFUNCTION("""COMPUTED_VALUE"""),FALSE)</f>
        <v>0</v>
      </c>
      <c r="Q9" s="2"/>
      <c r="R9" s="508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 spans="1:31" ht="14">
      <c r="A10" s="516">
        <f ca="1">IFERROR(__xludf.DUMMYFUNCTION("""COMPUTED_VALUE"""),20)</f>
        <v>20</v>
      </c>
      <c r="B10" s="510" t="str">
        <f ca="1">IFERROR(__xludf.DUMMYFUNCTION("""COMPUTED_VALUE"""),"HX-PR-13284")</f>
        <v>HX-PR-13284</v>
      </c>
      <c r="C10" s="505" t="str">
        <f ca="1">IFERROR(__xludf.DUMMYFUNCTION("""COMPUTED_VALUE"""),"R220037")</f>
        <v>R220037</v>
      </c>
      <c r="D10" s="508" t="str">
        <f ca="1">IFERROR(__xludf.DUMMYFUNCTION("""COMPUTED_VALUE"""),"2024.11_상상인저축은행 CMT Eyes 보안관제 서비스 ")</f>
        <v xml:space="preserve">2024.11_상상인저축은행 CMT Eyes 보안관제 서비스 </v>
      </c>
      <c r="E10" s="505" t="str">
        <f ca="1">IFERROR(__xludf.DUMMYFUNCTION("""COMPUTED_VALUE"""),"상상인저축은행")</f>
        <v>상상인저축은행</v>
      </c>
      <c r="F10" s="508" t="str">
        <f ca="1">IFERROR(__xludf.DUMMYFUNCTION("""COMPUTED_VALUE"""),"최윤창 차장")</f>
        <v>최윤창 차장</v>
      </c>
      <c r="G10" s="508" t="str">
        <f ca="1">IFERROR(__xludf.DUMMYFUNCTION("""COMPUTED_VALUE"""),"ycchoi@hist.co.kr")</f>
        <v>ycchoi@hist.co.kr</v>
      </c>
      <c r="H10" s="511">
        <f ca="1">IFERROR(__xludf.DUMMYFUNCTION("""COMPUTED_VALUE"""),1188000)</f>
        <v>1188000</v>
      </c>
      <c r="I10" s="512">
        <f ca="1">IFERROR(__xludf.DUMMYFUNCTION("""COMPUTED_VALUE"""),118800)</f>
        <v>118800</v>
      </c>
      <c r="J10" s="513" t="str">
        <f ca="1">IFERROR(__xludf.DUMMYFUNCTION("""COMPUTED_VALUE"""),"HX-999-99999-SELSCB-413111-0000-R220037-000000-00000")</f>
        <v>HX-999-99999-SELSCB-413111-0000-R220037-000000-00000</v>
      </c>
      <c r="K10" s="514" t="str">
        <f ca="1">IFERROR(__xludf.DUMMYFUNCTION("""COMPUTED_VALUE"""),"ART241220강이슬3284")</f>
        <v>ART241220강이슬3284</v>
      </c>
      <c r="L10" s="507" t="b">
        <f ca="1">IFERROR(__xludf.DUMMYFUNCTION("""COMPUTED_VALUE"""),FALSE)</f>
        <v>0</v>
      </c>
      <c r="M10" s="2"/>
      <c r="N10" s="517" t="str">
        <f ca="1">IFERROR(__xludf.DUMMYFUNCTION("""COMPUTED_VALUE"""),"정일한")</f>
        <v>정일한</v>
      </c>
      <c r="O10" s="518" t="str">
        <f ca="1">IFERROR(__xludf.DUMMYFUNCTION("""COMPUTED_VALUE"""),"ilhwan@sangsanginsb.com")</f>
        <v>ilhwan@sangsanginsb.com</v>
      </c>
      <c r="P10" s="507" t="b">
        <f ca="1">IFERROR(__xludf.DUMMYFUNCTION("""COMPUTED_VALUE"""),FALSE)</f>
        <v>0</v>
      </c>
      <c r="Q10" s="2"/>
      <c r="R10" s="508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 spans="1:31" ht="14">
      <c r="A11" s="516">
        <f ca="1">IFERROR(__xludf.DUMMYFUNCTION("""COMPUTED_VALUE"""),20)</f>
        <v>20</v>
      </c>
      <c r="B11" s="510" t="str">
        <f ca="1">IFERROR(__xludf.DUMMYFUNCTION("""COMPUTED_VALUE"""),"HX-PR-13843")</f>
        <v>HX-PR-13843</v>
      </c>
      <c r="C11" s="505" t="str">
        <f ca="1">IFERROR(__xludf.DUMMYFUNCTION("""COMPUTED_VALUE"""),"P230002")</f>
        <v>P230002</v>
      </c>
      <c r="D11" s="508" t="str">
        <f ca="1">IFERROR(__xludf.DUMMYFUNCTION("""COMPUTED_VALUE"""),"2024.11_정석기업 전사정보시스템 유지보수")</f>
        <v>2024.11_정석기업 전사정보시스템 유지보수</v>
      </c>
      <c r="E11" s="505" t="str">
        <f ca="1">IFERROR(__xludf.DUMMYFUNCTION("""COMPUTED_VALUE"""),"정석기업")</f>
        <v>정석기업</v>
      </c>
      <c r="F11" s="508" t="str">
        <f ca="1">IFERROR(__xludf.DUMMYFUNCTION("""COMPUTED_VALUE"""),"최윤창 차장")</f>
        <v>최윤창 차장</v>
      </c>
      <c r="G11" s="508" t="str">
        <f ca="1">IFERROR(__xludf.DUMMYFUNCTION("""COMPUTED_VALUE"""),"ycchoi@hist.co.kr")</f>
        <v>ycchoi@hist.co.kr</v>
      </c>
      <c r="H11" s="511">
        <f ca="1">IFERROR(__xludf.DUMMYFUNCTION("""COMPUTED_VALUE"""),4100000)</f>
        <v>4100000</v>
      </c>
      <c r="I11" s="512">
        <f ca="1">IFERROR(__xludf.DUMMYFUNCTION("""COMPUTED_VALUE"""),410000)</f>
        <v>410000</v>
      </c>
      <c r="J11" s="513" t="str">
        <f ca="1">IFERROR(__xludf.DUMMYFUNCTION("""COMPUTED_VALUE"""),"HX-999-99999-SELSCB-413111-0000-R240002-000000-00000")</f>
        <v>HX-999-99999-SELSCB-413111-0000-R240002-000000-00000</v>
      </c>
      <c r="K11" s="514" t="str">
        <f ca="1">IFERROR(__xludf.DUMMYFUNCTION("""COMPUTED_VALUE"""),"ART241220강이슬3843")</f>
        <v>ART241220강이슬3843</v>
      </c>
      <c r="L11" s="507" t="b">
        <f ca="1">IFERROR(__xludf.DUMMYFUNCTION("""COMPUTED_VALUE"""),FALSE)</f>
        <v>0</v>
      </c>
      <c r="M11" s="2"/>
      <c r="N11" s="517" t="str">
        <f ca="1">IFERROR(__xludf.DUMMYFUNCTION("""COMPUTED_VALUE"""),"김철수")</f>
        <v>김철수</v>
      </c>
      <c r="O11" s="518" t="str">
        <f ca="1">IFERROR(__xludf.DUMMYFUNCTION("""COMPUTED_VALUE"""),"cskim@jungseck.co.kr")</f>
        <v>cskim@jungseck.co.kr</v>
      </c>
      <c r="P11" s="507" t="b">
        <f ca="1">IFERROR(__xludf.DUMMYFUNCTION("""COMPUTED_VALUE"""),FALSE)</f>
        <v>0</v>
      </c>
      <c r="Q11" s="2"/>
      <c r="R11" s="508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 spans="1:31" ht="14">
      <c r="A12" s="516">
        <f ca="1">IFERROR(__xludf.DUMMYFUNCTION("""COMPUTED_VALUE"""),20)</f>
        <v>20</v>
      </c>
      <c r="B12" s="510" t="str">
        <f ca="1">IFERROR(__xludf.DUMMYFUNCTION("""COMPUTED_VALUE"""),"HX-PR-14281")</f>
        <v>HX-PR-14281</v>
      </c>
      <c r="C12" s="505" t="str">
        <f ca="1">IFERROR(__xludf.DUMMYFUNCTION("""COMPUTED_VALUE"""),"R220035")</f>
        <v>R220035</v>
      </c>
      <c r="D12" s="508" t="str">
        <f ca="1">IFERROR(__xludf.DUMMYFUNCTION("""COMPUTED_VALUE"""),"2024.11_왕산마리나 홈페이지 유지보수 ")</f>
        <v xml:space="preserve">2024.11_왕산마리나 홈페이지 유지보수 </v>
      </c>
      <c r="E12" s="505" t="str">
        <f ca="1">IFERROR(__xludf.DUMMYFUNCTION("""COMPUTED_VALUE"""),"왕산레저개발")</f>
        <v>왕산레저개발</v>
      </c>
      <c r="F12" s="508" t="str">
        <f ca="1">IFERROR(__xludf.DUMMYFUNCTION("""COMPUTED_VALUE"""),"최윤창 차장")</f>
        <v>최윤창 차장</v>
      </c>
      <c r="G12" s="508" t="str">
        <f ca="1">IFERROR(__xludf.DUMMYFUNCTION("""COMPUTED_VALUE"""),"ycchoi@hist.co.kr")</f>
        <v>ycchoi@hist.co.kr</v>
      </c>
      <c r="H12" s="511">
        <f ca="1">IFERROR(__xludf.DUMMYFUNCTION("""COMPUTED_VALUE"""),661500)</f>
        <v>661500</v>
      </c>
      <c r="I12" s="512">
        <f ca="1">IFERROR(__xludf.DUMMYFUNCTION("""COMPUTED_VALUE"""),66150)</f>
        <v>66150</v>
      </c>
      <c r="J12" s="513" t="str">
        <f ca="1">IFERROR(__xludf.DUMMYFUNCTION("""COMPUTED_VALUE"""),"HX-999-99999-SELSCB-413111-0000-R220035-000000-00000")</f>
        <v>HX-999-99999-SELSCB-413111-0000-R220035-000000-00000</v>
      </c>
      <c r="K12" s="514" t="str">
        <f ca="1">IFERROR(__xludf.DUMMYFUNCTION("""COMPUTED_VALUE"""),"ART241220강이슬4281")</f>
        <v>ART241220강이슬4281</v>
      </c>
      <c r="L12" s="507" t="b">
        <f ca="1">IFERROR(__xludf.DUMMYFUNCTION("""COMPUTED_VALUE"""),FALSE)</f>
        <v>0</v>
      </c>
      <c r="M12" s="2"/>
      <c r="N12" s="517" t="str">
        <f ca="1">IFERROR(__xludf.DUMMYFUNCTION("""COMPUTED_VALUE"""),"김현진")</f>
        <v>김현진</v>
      </c>
      <c r="O12" s="518" t="str">
        <f ca="1">IFERROR(__xludf.DUMMYFUNCTION("""COMPUTED_VALUE"""),"hjkim@wsmarina.com")</f>
        <v>hjkim@wsmarina.com</v>
      </c>
      <c r="P12" s="507" t="b">
        <f ca="1">IFERROR(__xludf.DUMMYFUNCTION("""COMPUTED_VALUE"""),FALSE)</f>
        <v>0</v>
      </c>
      <c r="Q12" s="2"/>
      <c r="R12" s="508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 spans="1:31" ht="14">
      <c r="A13" s="516">
        <f ca="1">IFERROR(__xludf.DUMMYFUNCTION("""COMPUTED_VALUE"""),25)</f>
        <v>25</v>
      </c>
      <c r="B13" s="510" t="str">
        <f ca="1">IFERROR(__xludf.DUMMYFUNCTION("""COMPUTED_VALUE"""),"HX-PR-14766")</f>
        <v>HX-PR-14766</v>
      </c>
      <c r="C13" s="505" t="str">
        <f ca="1">IFERROR(__xludf.DUMMYFUNCTION("""COMPUTED_VALUE"""),"R240010")</f>
        <v>R240010</v>
      </c>
      <c r="D13" s="520" t="str">
        <f ca="1">IFERROR(__xludf.DUMMYFUNCTION("""COMPUTED_VALUE"""),"인하대학교 IT인프라 통합유지보수 10회차 (2024.11)")</f>
        <v>인하대학교 IT인프라 통합유지보수 10회차 (2024.11)</v>
      </c>
      <c r="E13" s="505" t="str">
        <f ca="1">IFERROR(__xludf.DUMMYFUNCTION("""COMPUTED_VALUE"""),"인하대학교")</f>
        <v>인하대학교</v>
      </c>
      <c r="F13" s="508" t="str">
        <f ca="1">IFERROR(__xludf.DUMMYFUNCTION("""COMPUTED_VALUE"""),"원치웅 과장")</f>
        <v>원치웅 과장</v>
      </c>
      <c r="G13" s="508" t="str">
        <f ca="1">IFERROR(__xludf.DUMMYFUNCTION("""COMPUTED_VALUE"""),"cwon@hist.co.kr")</f>
        <v>cwon@hist.co.kr</v>
      </c>
      <c r="H13" s="511">
        <f ca="1">IFERROR(__xludf.DUMMYFUNCTION("""COMPUTED_VALUE"""),43420000)</f>
        <v>43420000</v>
      </c>
      <c r="I13" s="512">
        <f ca="1">IFERROR(__xludf.DUMMYFUNCTION("""COMPUTED_VALUE"""),4342000)</f>
        <v>4342000</v>
      </c>
      <c r="J13" s="513" t="str">
        <f ca="1">IFERROR(__xludf.DUMMYFUNCTION("""COMPUTED_VALUE"""),"HX-999-99999-SELSCI-413111-0000-R240010-000000-00000")</f>
        <v>HX-999-99999-SELSCI-413111-0000-R240010-000000-00000</v>
      </c>
      <c r="K13" s="514" t="str">
        <f ca="1">IFERROR(__xludf.DUMMYFUNCTION("""COMPUTED_VALUE"""),"ART241225강이슬4766")</f>
        <v>ART241225강이슬4766</v>
      </c>
      <c r="L13" s="507" t="b">
        <f ca="1">IFERROR(__xludf.DUMMYFUNCTION("""COMPUTED_VALUE"""),FALSE)</f>
        <v>0</v>
      </c>
      <c r="M13" s="2"/>
      <c r="N13" s="515" t="str">
        <f ca="1">IFERROR(__xludf.DUMMYFUNCTION("""COMPUTED_VALUE"""),"송현남")</f>
        <v>송현남</v>
      </c>
      <c r="O13" s="514" t="str">
        <f ca="1">IFERROR(__xludf.DUMMYFUNCTION("""COMPUTED_VALUE"""),"nam@inha.ac.kr")</f>
        <v>nam@inha.ac.kr</v>
      </c>
      <c r="P13" s="507" t="b">
        <f ca="1">IFERROR(__xludf.DUMMYFUNCTION("""COMPUTED_VALUE"""),FALSE)</f>
        <v>0</v>
      </c>
      <c r="Q13" s="2"/>
      <c r="R13" s="508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</row>
    <row r="14" spans="1:31" ht="14">
      <c r="A14" s="516">
        <f ca="1">IFERROR(__xludf.DUMMYFUNCTION("""COMPUTED_VALUE"""),25)</f>
        <v>25</v>
      </c>
      <c r="B14" s="505" t="str">
        <f ca="1">IFERROR(__xludf.DUMMYFUNCTION("""COMPUTED_VALUE"""),"HX-PR-14571")</f>
        <v>HX-PR-14571</v>
      </c>
      <c r="C14" s="505" t="str">
        <f ca="1">IFERROR(__xludf.DUMMYFUNCTION("""COMPUTED_VALUE"""),"R230052")</f>
        <v>R230052</v>
      </c>
      <c r="D14" s="520" t="str">
        <f ca="1">IFERROR(__xludf.DUMMYFUNCTION("""COMPUTED_VALUE"""),"인하대학교 스마트카드시스템 유지보수 11월분")</f>
        <v>인하대학교 스마트카드시스템 유지보수 11월분</v>
      </c>
      <c r="E14" s="505" t="str">
        <f ca="1">IFERROR(__xludf.DUMMYFUNCTION("""COMPUTED_VALUE"""),"엔에스스마트")</f>
        <v>엔에스스마트</v>
      </c>
      <c r="F14" s="508" t="str">
        <f ca="1">IFERROR(__xludf.DUMMYFUNCTION("""COMPUTED_VALUE"""),"원치웅 과장")</f>
        <v>원치웅 과장</v>
      </c>
      <c r="G14" s="508" t="str">
        <f ca="1">IFERROR(__xludf.DUMMYFUNCTION("""COMPUTED_VALUE"""),"cwon@hist.co.kr")</f>
        <v>cwon@hist.co.kr</v>
      </c>
      <c r="H14" s="511">
        <f ca="1">IFERROR(__xludf.DUMMYFUNCTION("""COMPUTED_VALUE"""),600000)</f>
        <v>600000</v>
      </c>
      <c r="I14" s="512">
        <f ca="1">IFERROR(__xludf.DUMMYFUNCTION("""COMPUTED_VALUE"""),60000)</f>
        <v>60000</v>
      </c>
      <c r="J14" s="513" t="str">
        <f ca="1">IFERROR(__xludf.DUMMYFUNCTION("""COMPUTED_VALUE"""),"HX-999-99999-SELSCI-413111-0000-R230052-000000-00000")</f>
        <v>HX-999-99999-SELSCI-413111-0000-R230052-000000-00000</v>
      </c>
      <c r="K14" s="514" t="str">
        <f ca="1">IFERROR(__xludf.DUMMYFUNCTION("""COMPUTED_VALUE"""),"ART241225강이슬4571")</f>
        <v>ART241225강이슬4571</v>
      </c>
      <c r="L14" s="507" t="b">
        <f ca="1">IFERROR(__xludf.DUMMYFUNCTION("""COMPUTED_VALUE"""),FALSE)</f>
        <v>0</v>
      </c>
      <c r="M14" s="2"/>
      <c r="N14" s="515" t="str">
        <f ca="1">IFERROR(__xludf.DUMMYFUNCTION("""COMPUTED_VALUE"""),"윤홍철")</f>
        <v>윤홍철</v>
      </c>
      <c r="O14" s="514" t="str">
        <f ca="1">IFERROR(__xludf.DUMMYFUNCTION("""COMPUTED_VALUE"""),"sky8571@nssmart.kr")</f>
        <v>sky8571@nssmart.kr</v>
      </c>
      <c r="P14" s="507" t="b">
        <f ca="1">IFERROR(__xludf.DUMMYFUNCTION("""COMPUTED_VALUE"""),FALSE)</f>
        <v>0</v>
      </c>
      <c r="Q14" s="2"/>
      <c r="R14" s="508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</row>
    <row r="15" spans="1:31" ht="18.75" customHeight="1">
      <c r="A15" s="521">
        <f ca="1">IFERROR(__xludf.DUMMYFUNCTION("""COMPUTED_VALUE"""),25)</f>
        <v>25</v>
      </c>
      <c r="B15" s="510" t="str">
        <f ca="1">IFERROR(__xludf.DUMMYFUNCTION("""COMPUTED_VALUE"""),"HX-PR-15211")</f>
        <v>HX-PR-15211</v>
      </c>
      <c r="C15" s="522" t="str">
        <f ca="1">IFERROR(__xludf.DUMMYFUNCTION("""COMPUTED_VALUE"""),"R240045")</f>
        <v>R240045</v>
      </c>
      <c r="D15" s="520" t="str">
        <f ca="1">IFERROR(__xludf.DUMMYFUNCTION("""COMPUTED_VALUE"""),"항공대학교 대학 정보통신시스템 통합유지보수 (5회차_2024.11)")</f>
        <v>항공대학교 대학 정보통신시스템 통합유지보수 (5회차_2024.11)</v>
      </c>
      <c r="E15" s="522" t="str">
        <f ca="1">IFERROR(__xludf.DUMMYFUNCTION("""COMPUTED_VALUE"""),"한국항공대학교")</f>
        <v>한국항공대학교</v>
      </c>
      <c r="F15" s="520" t="str">
        <f ca="1">IFERROR(__xludf.DUMMYFUNCTION("""COMPUTED_VALUE"""),"원치웅 과장")</f>
        <v>원치웅 과장</v>
      </c>
      <c r="G15" s="508" t="str">
        <f ca="1">IFERROR(__xludf.DUMMYFUNCTION("""COMPUTED_VALUE"""),"cwon@hist.co.kr")</f>
        <v>cwon@hist.co.kr</v>
      </c>
      <c r="H15" s="523">
        <f ca="1">IFERROR(__xludf.DUMMYFUNCTION("""COMPUTED_VALUE"""),13360000)</f>
        <v>13360000</v>
      </c>
      <c r="I15" s="512">
        <f ca="1">IFERROR(__xludf.DUMMYFUNCTION("""COMPUTED_VALUE"""),1336000)</f>
        <v>1336000</v>
      </c>
      <c r="J15" s="524" t="str">
        <f ca="1">IFERROR(__xludf.DUMMYFUNCTION("""COMPUTED_VALUE"""),"HX-999-99999-SELSCB-413111-0000-R240045-000000-00000")</f>
        <v>HX-999-99999-SELSCB-413111-0000-R240045-000000-00000</v>
      </c>
      <c r="K15" s="525" t="str">
        <f ca="1">IFERROR(__xludf.DUMMYFUNCTION("""COMPUTED_VALUE"""),"ART241225강이슬5211")</f>
        <v>ART241225강이슬5211</v>
      </c>
      <c r="L15" s="507" t="b">
        <f ca="1">IFERROR(__xludf.DUMMYFUNCTION("""COMPUTED_VALUE"""),FALSE)</f>
        <v>0</v>
      </c>
      <c r="M15" s="2"/>
      <c r="N15" s="515" t="str">
        <f ca="1">IFERROR(__xludf.DUMMYFUNCTION("""COMPUTED_VALUE"""),"황의환")</f>
        <v>황의환</v>
      </c>
      <c r="O15" s="514" t="str">
        <f ca="1">IFERROR(__xludf.DUMMYFUNCTION("""COMPUTED_VALUE"""),"comcenter@kau.ac.kr
")</f>
        <v xml:space="preserve">comcenter@kau.ac.kr
</v>
      </c>
      <c r="P15" s="507" t="b">
        <f ca="1">IFERROR(__xludf.DUMMYFUNCTION("""COMPUTED_VALUE"""),FALSE)</f>
        <v>0</v>
      </c>
      <c r="Q15" s="2"/>
      <c r="R15" s="508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</row>
    <row r="16" spans="1:31" ht="14">
      <c r="A16" s="516">
        <f ca="1">IFERROR(__xludf.DUMMYFUNCTION("""COMPUTED_VALUE"""),27)</f>
        <v>27</v>
      </c>
      <c r="B16" s="510" t="str">
        <f ca="1">IFERROR(__xludf.DUMMYFUNCTION("""COMPUTED_VALUE"""),"HX-PR-15111")</f>
        <v>HX-PR-15111</v>
      </c>
      <c r="C16" s="505" t="str">
        <f ca="1">IFERROR(__xludf.DUMMYFUNCTION("""COMPUTED_VALUE"""),"R240037")</f>
        <v>R240037</v>
      </c>
      <c r="D16" s="508" t="str">
        <f ca="1">IFERROR(__xludf.DUMMYFUNCTION("""COMPUTED_VALUE"""),"SK스토아 온라인스토리지 네트워크스위치 보안시스템 유지 보수 사업_2024.11")</f>
        <v>SK스토아 온라인스토리지 네트워크스위치 보안시스템 유지 보수 사업_2024.11</v>
      </c>
      <c r="E16" s="505" t="str">
        <f ca="1">IFERROR(__xludf.DUMMYFUNCTION("""COMPUTED_VALUE"""),"에스케이스토아")</f>
        <v>에스케이스토아</v>
      </c>
      <c r="F16" s="508" t="str">
        <f ca="1">IFERROR(__xludf.DUMMYFUNCTION("""COMPUTED_VALUE"""),"성호준 차장")</f>
        <v>성호준 차장</v>
      </c>
      <c r="G16" s="508" t="str">
        <f ca="1">IFERROR(__xludf.DUMMYFUNCTION("""COMPUTED_VALUE"""),"hsung@hist.co.kr")</f>
        <v>hsung@hist.co.kr</v>
      </c>
      <c r="H16" s="511">
        <f ca="1">IFERROR(__xludf.DUMMYFUNCTION("""COMPUTED_VALUE"""),7833333)</f>
        <v>7833333</v>
      </c>
      <c r="I16" s="512">
        <f ca="1">IFERROR(__xludf.DUMMYFUNCTION("""COMPUTED_VALUE"""),783333.3)</f>
        <v>783333.3</v>
      </c>
      <c r="J16" s="513" t="str">
        <f ca="1">IFERROR(__xludf.DUMMYFUNCTION("""COMPUTED_VALUE"""),"HX-999-99999-SELSCB-413111-0000-R240037-000000-00000")</f>
        <v>HX-999-99999-SELSCB-413111-0000-R240037-000000-00000</v>
      </c>
      <c r="K16" s="514" t="str">
        <f ca="1">IFERROR(__xludf.DUMMYFUNCTION("""COMPUTED_VALUE"""),"ART241227강이슬5111")</f>
        <v>ART241227강이슬5111</v>
      </c>
      <c r="L16" s="507" t="b">
        <f ca="1">IFERROR(__xludf.DUMMYFUNCTION("""COMPUTED_VALUE"""),FALSE)</f>
        <v>0</v>
      </c>
      <c r="M16" s="2"/>
      <c r="N16" s="515" t="str">
        <f ca="1">IFERROR(__xludf.DUMMYFUNCTION("""COMPUTED_VALUE"""),"양진영")</f>
        <v>양진영</v>
      </c>
      <c r="O16" s="514" t="str">
        <f ca="1">IFERROR(__xludf.DUMMYFUNCTION("""COMPUTED_VALUE"""),"yloveis@sk.com")</f>
        <v>yloveis@sk.com</v>
      </c>
      <c r="P16" s="507" t="b">
        <f ca="1">IFERROR(__xludf.DUMMYFUNCTION("""COMPUTED_VALUE"""),FALSE)</f>
        <v>0</v>
      </c>
      <c r="Q16" s="2"/>
      <c r="R16" s="508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</row>
    <row r="17" spans="1:31" ht="17.25" customHeight="1">
      <c r="A17" s="521">
        <f ca="1">IFERROR(__xludf.DUMMYFUNCTION("""COMPUTED_VALUE"""),30)</f>
        <v>30</v>
      </c>
      <c r="B17" s="510" t="str">
        <f ca="1">IFERROR(__xludf.DUMMYFUNCTION("""COMPUTED_VALUE"""),"HX-PR-15225")</f>
        <v>HX-PR-15225</v>
      </c>
      <c r="C17" s="522" t="str">
        <f ca="1">IFERROR(__xludf.DUMMYFUNCTION("""COMPUTED_VALUE"""),"R240046")</f>
        <v>R240046</v>
      </c>
      <c r="D17" s="520" t="str">
        <f ca="1">IFERROR(__xludf.DUMMYFUNCTION("""COMPUTED_VALUE"""),"인하공전 전산장비 통합유지보수 위탁용역")</f>
        <v>인하공전 전산장비 통합유지보수 위탁용역</v>
      </c>
      <c r="E17" s="522" t="str">
        <f ca="1">IFERROR(__xludf.DUMMYFUNCTION("""COMPUTED_VALUE"""),"인하공업전문대학")</f>
        <v>인하공업전문대학</v>
      </c>
      <c r="F17" s="520" t="str">
        <f ca="1">IFERROR(__xludf.DUMMYFUNCTION("""COMPUTED_VALUE"""),"원치웅 과장")</f>
        <v>원치웅 과장</v>
      </c>
      <c r="G17" s="508" t="str">
        <f ca="1">IFERROR(__xludf.DUMMYFUNCTION("""COMPUTED_VALUE"""),"cwon@hist.co.kr")</f>
        <v>cwon@hist.co.kr</v>
      </c>
      <c r="H17" s="523">
        <f ca="1">IFERROR(__xludf.DUMMYFUNCTION("""COMPUTED_VALUE"""),22860000)</f>
        <v>22860000</v>
      </c>
      <c r="I17" s="512">
        <f ca="1">IFERROR(__xludf.DUMMYFUNCTION("""COMPUTED_VALUE"""),2286000)</f>
        <v>2286000</v>
      </c>
      <c r="J17" s="524" t="str">
        <f ca="1">IFERROR(__xludf.DUMMYFUNCTION("""COMPUTED_VALUE"""),"HX-999-99999-SELSCI-413111-0000-R240046-000000-00000")</f>
        <v>HX-999-99999-SELSCI-413111-0000-R240046-000000-00000</v>
      </c>
      <c r="K17" s="525" t="str">
        <f ca="1">IFERROR(__xludf.DUMMYFUNCTION("""COMPUTED_VALUE"""),"ART241230강이슬5225")</f>
        <v>ART241230강이슬5225</v>
      </c>
      <c r="L17" s="507" t="b">
        <f ca="1">IFERROR(__xludf.DUMMYFUNCTION("""COMPUTED_VALUE"""),FALSE)</f>
        <v>0</v>
      </c>
      <c r="M17" s="2"/>
      <c r="N17" s="515" t="str">
        <f ca="1">IFERROR(__xludf.DUMMYFUNCTION("""COMPUTED_VALUE"""),"조성일
서윤철")</f>
        <v>조성일
서윤철</v>
      </c>
      <c r="O17" s="514" t="str">
        <f ca="1">IFERROR(__xludf.DUMMYFUNCTION("""COMPUTED_VALUE"""),"taxic@inhatc.ac.kr
ycseo@inhatc.ac.kr")</f>
        <v>taxic@inhatc.ac.kr
ycseo@inhatc.ac.kr</v>
      </c>
      <c r="P17" s="507" t="b">
        <f ca="1">IFERROR(__xludf.DUMMYFUNCTION("""COMPUTED_VALUE"""),FALSE)</f>
        <v>0</v>
      </c>
      <c r="Q17" s="2"/>
      <c r="R17" s="508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</row>
    <row r="18" spans="1:31" ht="14">
      <c r="A18" s="516">
        <f ca="1">IFERROR(__xludf.DUMMYFUNCTION("""COMPUTED_VALUE"""),30)</f>
        <v>30</v>
      </c>
      <c r="B18" s="519" t="str">
        <f ca="1">IFERROR(__xludf.DUMMYFUNCTION("""COMPUTED_VALUE"""),"0830")</f>
        <v>0830</v>
      </c>
      <c r="C18" s="505" t="str">
        <f ca="1">IFERROR(__xludf.DUMMYFUNCTION("""COMPUTED_VALUE"""),"R230013")</f>
        <v>R230013</v>
      </c>
      <c r="D18" s="508" t="str">
        <f ca="1">IFERROR(__xludf.DUMMYFUNCTION("""COMPUTED_VALUE"""),"[Google] 경희대학교 Google Workspace 연동시스템 유지보수")</f>
        <v>[Google] 경희대학교 Google Workspace 연동시스템 유지보수</v>
      </c>
      <c r="E18" s="505" t="str">
        <f ca="1">IFERROR(__xludf.DUMMYFUNCTION("""COMPUTED_VALUE"""),"리드정보기술")</f>
        <v>리드정보기술</v>
      </c>
      <c r="F18" s="508" t="str">
        <f ca="1">IFERROR(__xludf.DUMMYFUNCTION("""COMPUTED_VALUE"""),"원치웅 과장")</f>
        <v>원치웅 과장</v>
      </c>
      <c r="G18" s="508" t="str">
        <f ca="1">IFERROR(__xludf.DUMMYFUNCTION("""COMPUTED_VALUE"""),"cwon@hist.co.kr")</f>
        <v>cwon@hist.co.kr</v>
      </c>
      <c r="H18" s="511">
        <f ca="1">IFERROR(__xludf.DUMMYFUNCTION("""COMPUTED_VALUE"""),250000)</f>
        <v>250000</v>
      </c>
      <c r="I18" s="512">
        <f ca="1">IFERROR(__xludf.DUMMYFUNCTION("""COMPUTED_VALUE"""),25000)</f>
        <v>25000</v>
      </c>
      <c r="J18" s="513" t="str">
        <f ca="1">IFERROR(__xludf.DUMMYFUNCTION("""COMPUTED_VALUE"""),"HX-999-99999-SELSCBU-413111-0000-R230013-000000-00000")</f>
        <v>HX-999-99999-SELSCBU-413111-0000-R230013-000000-00000</v>
      </c>
      <c r="K18" s="514" t="str">
        <f ca="1">IFERROR(__xludf.DUMMYFUNCTION("""COMPUTED_VALUE"""),"ART241230강이슬0830")</f>
        <v>ART241230강이슬0830</v>
      </c>
      <c r="L18" s="507" t="b">
        <f ca="1">IFERROR(__xludf.DUMMYFUNCTION("""COMPUTED_VALUE"""),FALSE)</f>
        <v>0</v>
      </c>
      <c r="M18" s="2"/>
      <c r="N18" s="515" t="str">
        <f ca="1">IFERROR(__xludf.DUMMYFUNCTION("""COMPUTED_VALUE"""),"원도윤")</f>
        <v>원도윤</v>
      </c>
      <c r="O18" s="514" t="str">
        <f ca="1">IFERROR(__xludf.DUMMYFUNCTION("""COMPUTED_VALUE"""),"leadtax@leadit.co.kr")</f>
        <v>leadtax@leadit.co.kr</v>
      </c>
      <c r="P18" s="507" t="b">
        <f ca="1">IFERROR(__xludf.DUMMYFUNCTION("""COMPUTED_VALUE"""),FALSE)</f>
        <v>0</v>
      </c>
      <c r="Q18" s="2"/>
      <c r="R18" s="508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spans="1:31" ht="14">
      <c r="A19" s="516">
        <f ca="1">IFERROR(__xludf.DUMMYFUNCTION("""COMPUTED_VALUE"""),30)</f>
        <v>30</v>
      </c>
      <c r="B19" s="519" t="str">
        <f ca="1">IFERROR(__xludf.DUMMYFUNCTION("""COMPUTED_VALUE"""),"0840")</f>
        <v>0840</v>
      </c>
      <c r="C19" s="505" t="str">
        <f ca="1">IFERROR(__xludf.DUMMYFUNCTION("""COMPUTED_VALUE"""),"R240017")</f>
        <v>R240017</v>
      </c>
      <c r="D19" s="508" t="str">
        <f ca="1">IFERROR(__xludf.DUMMYFUNCTION("""COMPUTED_VALUE"""),"[Google] 평택대 Google Workspace 연동 소프트웨어 유지보수")</f>
        <v>[Google] 평택대 Google Workspace 연동 소프트웨어 유지보수</v>
      </c>
      <c r="E19" s="505" t="str">
        <f ca="1">IFERROR(__xludf.DUMMYFUNCTION("""COMPUTED_VALUE"""),"우리엔아이에스")</f>
        <v>우리엔아이에스</v>
      </c>
      <c r="F19" s="508" t="str">
        <f ca="1">IFERROR(__xludf.DUMMYFUNCTION("""COMPUTED_VALUE"""),"원치웅 과장")</f>
        <v>원치웅 과장</v>
      </c>
      <c r="G19" s="508" t="str">
        <f ca="1">IFERROR(__xludf.DUMMYFUNCTION("""COMPUTED_VALUE"""),"cwon@hist.co.kr")</f>
        <v>cwon@hist.co.kr</v>
      </c>
      <c r="H19" s="511">
        <f ca="1">IFERROR(__xludf.DUMMYFUNCTION("""COMPUTED_VALUE"""),450000)</f>
        <v>450000</v>
      </c>
      <c r="I19" s="512">
        <f ca="1">IFERROR(__xludf.DUMMYFUNCTION("""COMPUTED_VALUE"""),45000)</f>
        <v>45000</v>
      </c>
      <c r="J19" s="513" t="str">
        <f ca="1">IFERROR(__xludf.DUMMYFUNCTION("""COMPUTED_VALUE"""),"HX-999-99999-SELSCBU-413111-0000-R240017-000000-00000")</f>
        <v>HX-999-99999-SELSCBU-413111-0000-R240017-000000-00000</v>
      </c>
      <c r="K19" s="514" t="str">
        <f ca="1">IFERROR(__xludf.DUMMYFUNCTION("""COMPUTED_VALUE"""),"ART241230강이슬0840")</f>
        <v>ART241230강이슬0840</v>
      </c>
      <c r="L19" s="507" t="b">
        <f ca="1">IFERROR(__xludf.DUMMYFUNCTION("""COMPUTED_VALUE"""),FALSE)</f>
        <v>0</v>
      </c>
      <c r="M19" s="2"/>
      <c r="N19" s="515" t="str">
        <f ca="1">IFERROR(__xludf.DUMMYFUNCTION("""COMPUTED_VALUE"""),"김윤미")</f>
        <v>김윤미</v>
      </c>
      <c r="O19" s="514" t="str">
        <f ca="1">IFERROR(__xludf.DUMMYFUNCTION("""COMPUTED_VALUE"""),"ymkim@woorinis.com")</f>
        <v>ymkim@woorinis.com</v>
      </c>
      <c r="P19" s="507" t="b">
        <f ca="1">IFERROR(__xludf.DUMMYFUNCTION("""COMPUTED_VALUE"""),FALSE)</f>
        <v>0</v>
      </c>
      <c r="Q19" s="2"/>
      <c r="R19" s="508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spans="1:31" ht="14">
      <c r="A20" s="516">
        <f ca="1">IFERROR(__xludf.DUMMYFUNCTION("""COMPUTED_VALUE"""),30)</f>
        <v>30</v>
      </c>
      <c r="B20" s="519">
        <f ca="1">IFERROR(__xludf.DUMMYFUNCTION("""COMPUTED_VALUE"""),1400)</f>
        <v>1400</v>
      </c>
      <c r="C20" s="505" t="str">
        <f ca="1">IFERROR(__xludf.DUMMYFUNCTION("""COMPUTED_VALUE"""),"V190007")</f>
        <v>V190007</v>
      </c>
      <c r="D20" s="508" t="str">
        <f ca="1">IFERROR(__xludf.DUMMYFUNCTION("""COMPUTED_VALUE"""),"한진 국내택배/Agent 사용 SMS 발송 서비스 2024년 11월분")</f>
        <v>한진 국내택배/Agent 사용 SMS 발송 서비스 2024년 11월분</v>
      </c>
      <c r="E20" s="505" t="str">
        <f ca="1">IFERROR(__xludf.DUMMYFUNCTION("""COMPUTED_VALUE"""),"한진
(국내택배/Agent)")</f>
        <v>한진
(국내택배/Agent)</v>
      </c>
      <c r="F20" s="508" t="str">
        <f ca="1">IFERROR(__xludf.DUMMYFUNCTION("""COMPUTED_VALUE"""),"김영훈 차장")</f>
        <v>김영훈 차장</v>
      </c>
      <c r="G20" s="526" t="str">
        <f ca="1">IFERROR(__xludf.DUMMYFUNCTION("""COMPUTED_VALUE"""),"youngkim@hist.co.kr")</f>
        <v>youngkim@hist.co.kr</v>
      </c>
      <c r="H20" s="511">
        <f ca="1">IFERROR(__xludf.DUMMYFUNCTION("""COMPUTED_VALUE"""),26979777)</f>
        <v>26979777</v>
      </c>
      <c r="I20" s="512">
        <f ca="1">IFERROR(__xludf.DUMMYFUNCTION("""COMPUTED_VALUE"""),2697977)</f>
        <v>2697977</v>
      </c>
      <c r="J20" s="513" t="str">
        <f ca="1">IFERROR(__xludf.DUMMYFUNCTION("""COMPUTED_VALUE"""),"HX-999-99999-SELSCBP-413131-0000-V190007-000000-00000")</f>
        <v>HX-999-99999-SELSCBP-413131-0000-V190007-000000-00000</v>
      </c>
      <c r="K20" s="514" t="str">
        <f ca="1">IFERROR(__xludf.DUMMYFUNCTION("""COMPUTED_VALUE"""),"ART241230강이슬1400")</f>
        <v>ART241230강이슬1400</v>
      </c>
      <c r="L20" s="507" t="b">
        <f ca="1">IFERROR(__xludf.DUMMYFUNCTION("""COMPUTED_VALUE"""),FALSE)</f>
        <v>0</v>
      </c>
      <c r="M20" s="2"/>
      <c r="N20" s="515" t="str">
        <f ca="1">IFERROR(__xludf.DUMMYFUNCTION("""COMPUTED_VALUE"""),"김미리")</f>
        <v>김미리</v>
      </c>
      <c r="O20" s="514" t="str">
        <f ca="1">IFERROR(__xludf.DUMMYFUNCTION("""COMPUTED_VALUE"""),"mirkim@hanjin.com")</f>
        <v>mirkim@hanjin.com</v>
      </c>
      <c r="P20" s="507" t="b">
        <f ca="1">IFERROR(__xludf.DUMMYFUNCTION("""COMPUTED_VALUE"""),FALSE)</f>
        <v>0</v>
      </c>
      <c r="Q20" s="2"/>
      <c r="R20" s="508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spans="1:31" ht="14">
      <c r="A21" s="516"/>
      <c r="B21" s="519"/>
      <c r="C21" s="505"/>
      <c r="D21" s="508"/>
      <c r="E21" s="505"/>
      <c r="F21" s="508"/>
      <c r="G21" s="526"/>
      <c r="H21" s="511">
        <f ca="1">IFERROR(__xludf.DUMMYFUNCTION("""COMPUTED_VALUE"""),2245893)</f>
        <v>2245893</v>
      </c>
      <c r="I21" s="511">
        <f ca="1">IFERROR(__xludf.DUMMYFUNCTION("""COMPUTED_VALUE"""),224589)</f>
        <v>224589</v>
      </c>
      <c r="J21" s="513"/>
      <c r="K21" s="514"/>
      <c r="L21" s="507"/>
      <c r="M21" s="2"/>
      <c r="N21" s="515"/>
      <c r="O21" s="514"/>
      <c r="P21" s="507"/>
      <c r="Q21" s="2"/>
      <c r="R21" s="508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</row>
    <row r="22" spans="1:31" ht="14">
      <c r="A22" s="516">
        <f ca="1">IFERROR(__xludf.DUMMYFUNCTION("""COMPUTED_VALUE"""),30)</f>
        <v>30</v>
      </c>
      <c r="B22" s="519">
        <f ca="1">IFERROR(__xludf.DUMMYFUNCTION("""COMPUTED_VALUE"""),1410)</f>
        <v>1410</v>
      </c>
      <c r="C22" s="505" t="str">
        <f ca="1">IFERROR(__xludf.DUMMYFUNCTION("""COMPUTED_VALUE"""),"V190007")</f>
        <v>V190007</v>
      </c>
      <c r="D22" s="508" t="str">
        <f ca="1">IFERROR(__xludf.DUMMYFUNCTION("""COMPUTED_VALUE"""),"한진육운 SMS 발송 서비스 2024년 11월분")</f>
        <v>한진육운 SMS 발송 서비스 2024년 11월분</v>
      </c>
      <c r="E22" s="505" t="str">
        <f ca="1">IFERROR(__xludf.DUMMYFUNCTION("""COMPUTED_VALUE"""),"한진
(한진육운)")</f>
        <v>한진
(한진육운)</v>
      </c>
      <c r="F22" s="508" t="str">
        <f ca="1">IFERROR(__xludf.DUMMYFUNCTION("""COMPUTED_VALUE"""),"김영훈 차장")</f>
        <v>김영훈 차장</v>
      </c>
      <c r="G22" s="526" t="str">
        <f ca="1">IFERROR(__xludf.DUMMYFUNCTION("""COMPUTED_VALUE"""),"youngkim@hist.co.kr")</f>
        <v>youngkim@hist.co.kr</v>
      </c>
      <c r="H22" s="527">
        <f ca="1">IFERROR(__xludf.DUMMYFUNCTION("""COMPUTED_VALUE"""),209300)</f>
        <v>209300</v>
      </c>
      <c r="I22" s="527">
        <f ca="1">IFERROR(__xludf.DUMMYFUNCTION("""COMPUTED_VALUE"""),20930)</f>
        <v>20930</v>
      </c>
      <c r="J22" s="513" t="str">
        <f ca="1">IFERROR(__xludf.DUMMYFUNCTION("""COMPUTED_VALUE"""),"HX-999-99999-SELSCBP-413131-0000-V190007-000000-00000")</f>
        <v>HX-999-99999-SELSCBP-413131-0000-V190007-000000-00000</v>
      </c>
      <c r="K22" s="528" t="str">
        <f ca="1">IFERROR(__xludf.DUMMYFUNCTION("""COMPUTED_VALUE"""),"ART241230강이슬1410")</f>
        <v>ART241230강이슬1410</v>
      </c>
      <c r="L22" s="507" t="b">
        <f ca="1">IFERROR(__xludf.DUMMYFUNCTION("""COMPUTED_VALUE"""),FALSE)</f>
        <v>0</v>
      </c>
      <c r="M22" s="2"/>
      <c r="N22" s="515" t="str">
        <f ca="1">IFERROR(__xludf.DUMMYFUNCTION("""COMPUTED_VALUE"""),"황용태")</f>
        <v>황용태</v>
      </c>
      <c r="O22" s="514" t="str">
        <f ca="1">IFERROR(__xludf.DUMMYFUNCTION("""COMPUTED_VALUE"""),"ythwang@hanjin.com")</f>
        <v>ythwang@hanjin.com</v>
      </c>
      <c r="P22" s="507" t="b">
        <f ca="1">IFERROR(__xludf.DUMMYFUNCTION("""COMPUTED_VALUE"""),FALSE)</f>
        <v>0</v>
      </c>
      <c r="Q22" s="2"/>
      <c r="R22" s="508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 spans="1:31" ht="14">
      <c r="A23" s="516">
        <f ca="1">IFERROR(__xludf.DUMMYFUNCTION("""COMPUTED_VALUE"""),30)</f>
        <v>30</v>
      </c>
      <c r="B23" s="519">
        <f ca="1">IFERROR(__xludf.DUMMYFUNCTION("""COMPUTED_VALUE"""),1420)</f>
        <v>1420</v>
      </c>
      <c r="C23" s="505" t="str">
        <f ca="1">IFERROR(__xludf.DUMMYFUNCTION("""COMPUTED_VALUE"""),"V190007")</f>
        <v>V190007</v>
      </c>
      <c r="D23" s="508" t="str">
        <f ca="1">IFERROR(__xludf.DUMMYFUNCTION("""COMPUTED_VALUE"""),"한진통합장비관리 SMS 발송 서비스 2024년 11월분")</f>
        <v>한진통합장비관리 SMS 발송 서비스 2024년 11월분</v>
      </c>
      <c r="E23" s="505" t="str">
        <f ca="1">IFERROR(__xludf.DUMMYFUNCTION("""COMPUTED_VALUE"""),"한진
(한진통합장비관리)")</f>
        <v>한진
(한진통합장비관리)</v>
      </c>
      <c r="F23" s="508" t="str">
        <f ca="1">IFERROR(__xludf.DUMMYFUNCTION("""COMPUTED_VALUE"""),"김영훈 차장")</f>
        <v>김영훈 차장</v>
      </c>
      <c r="G23" s="526" t="str">
        <f ca="1">IFERROR(__xludf.DUMMYFUNCTION("""COMPUTED_VALUE"""),"youngkim@hist.co.kr")</f>
        <v>youngkim@hist.co.kr</v>
      </c>
      <c r="H23" s="511">
        <f ca="1">IFERROR(__xludf.DUMMYFUNCTION("""COMPUTED_VALUE"""),76700)</f>
        <v>76700</v>
      </c>
      <c r="I23" s="511">
        <f ca="1">IFERROR(__xludf.DUMMYFUNCTION("""COMPUTED_VALUE"""),7670)</f>
        <v>7670</v>
      </c>
      <c r="J23" s="513" t="str">
        <f ca="1">IFERROR(__xludf.DUMMYFUNCTION("""COMPUTED_VALUE"""),"HX-999-99999-SELSCBP-413131-0000-V190007-000000-00000")</f>
        <v>HX-999-99999-SELSCBP-413131-0000-V190007-000000-00000</v>
      </c>
      <c r="K23" s="514" t="str">
        <f ca="1">IFERROR(__xludf.DUMMYFUNCTION("""COMPUTED_VALUE"""),"ART241230강이슬1420")</f>
        <v>ART241230강이슬1420</v>
      </c>
      <c r="L23" s="507" t="b">
        <f ca="1">IFERROR(__xludf.DUMMYFUNCTION("""COMPUTED_VALUE"""),FALSE)</f>
        <v>0</v>
      </c>
      <c r="M23" s="2"/>
      <c r="N23" s="515" t="str">
        <f ca="1">IFERROR(__xludf.DUMMYFUNCTION("""COMPUTED_VALUE"""),"이명진")</f>
        <v>이명진</v>
      </c>
      <c r="O23" s="514" t="str">
        <f ca="1">IFERROR(__xludf.DUMMYFUNCTION("""COMPUTED_VALUE"""),"myungjlee@hanjin.co.kr")</f>
        <v>myungjlee@hanjin.co.kr</v>
      </c>
      <c r="P23" s="507" t="b">
        <f ca="1">IFERROR(__xludf.DUMMYFUNCTION("""COMPUTED_VALUE"""),FALSE)</f>
        <v>0</v>
      </c>
      <c r="Q23" s="2"/>
      <c r="R23" s="508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</row>
    <row r="24" spans="1:31" ht="14">
      <c r="A24" s="516">
        <f ca="1">IFERROR(__xludf.DUMMYFUNCTION("""COMPUTED_VALUE"""),30)</f>
        <v>30</v>
      </c>
      <c r="B24" s="519">
        <f ca="1">IFERROR(__xludf.DUMMYFUNCTION("""COMPUTED_VALUE"""),1430)</f>
        <v>1430</v>
      </c>
      <c r="C24" s="505" t="str">
        <f ca="1">IFERROR(__xludf.DUMMYFUNCTION("""COMPUTED_VALUE"""),"V190007")</f>
        <v>V190007</v>
      </c>
      <c r="D24" s="508" t="str">
        <f ca="1">IFERROR(__xludf.DUMMYFUNCTION("""COMPUTED_VALUE"""),"한진 훗타운 SMS 발송 서비스 2024년 11월분")</f>
        <v>한진 훗타운 SMS 발송 서비스 2024년 11월분</v>
      </c>
      <c r="E24" s="505" t="str">
        <f ca="1">IFERROR(__xludf.DUMMYFUNCTION("""COMPUTED_VALUE"""),"한진
(훗타운/이하넥스)")</f>
        <v>한진
(훗타운/이하넥스)</v>
      </c>
      <c r="F24" s="508" t="str">
        <f ca="1">IFERROR(__xludf.DUMMYFUNCTION("""COMPUTED_VALUE"""),"김영훈 차장")</f>
        <v>김영훈 차장</v>
      </c>
      <c r="G24" s="526" t="str">
        <f ca="1">IFERROR(__xludf.DUMMYFUNCTION("""COMPUTED_VALUE"""),"youngkim@hist.co.kr")</f>
        <v>youngkim@hist.co.kr</v>
      </c>
      <c r="H24" s="511">
        <f ca="1">IFERROR(__xludf.DUMMYFUNCTION("""COMPUTED_VALUE"""),488922)</f>
        <v>488922</v>
      </c>
      <c r="I24" s="511">
        <f ca="1">IFERROR(__xludf.DUMMYFUNCTION("""COMPUTED_VALUE"""),48892)</f>
        <v>48892</v>
      </c>
      <c r="J24" s="513" t="str">
        <f ca="1">IFERROR(__xludf.DUMMYFUNCTION("""COMPUTED_VALUE"""),"HX-999-99999-SELSCBP-413131-0000-V190007-000000-00000")</f>
        <v>HX-999-99999-SELSCBP-413131-0000-V190007-000000-00000</v>
      </c>
      <c r="K24" s="514" t="str">
        <f ca="1">IFERROR(__xludf.DUMMYFUNCTION("""COMPUTED_VALUE"""),"ART241230강이슬1430")</f>
        <v>ART241230강이슬1430</v>
      </c>
      <c r="L24" s="507" t="b">
        <f ca="1">IFERROR(__xludf.DUMMYFUNCTION("""COMPUTED_VALUE"""),FALSE)</f>
        <v>0</v>
      </c>
      <c r="M24" s="2"/>
      <c r="N24" s="529" t="str">
        <f ca="1">IFERROR(__xludf.DUMMYFUNCTION("""COMPUTED_VALUE"""),"박수지
중개솔루션팀")</f>
        <v>박수지
중개솔루션팀</v>
      </c>
      <c r="O24" s="530" t="str">
        <f ca="1">IFERROR(__xludf.DUMMYFUNCTION("""COMPUTED_VALUE"""),"sjipark@hanjin.com
seldpm@hanjin.com")</f>
        <v>sjipark@hanjin.com
seldpm@hanjin.com</v>
      </c>
      <c r="P24" s="507" t="b">
        <f ca="1">IFERROR(__xludf.DUMMYFUNCTION("""COMPUTED_VALUE"""),FALSE)</f>
        <v>0</v>
      </c>
      <c r="Q24" s="2"/>
      <c r="R24" s="508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 spans="1:31" ht="14">
      <c r="A25" s="516">
        <f ca="1">IFERROR(__xludf.DUMMYFUNCTION("""COMPUTED_VALUE"""),30)</f>
        <v>30</v>
      </c>
      <c r="B25" s="519">
        <f ca="1">IFERROR(__xludf.DUMMYFUNCTION("""COMPUTED_VALUE"""),1440)</f>
        <v>1440</v>
      </c>
      <c r="C25" s="505" t="str">
        <f ca="1">IFERROR(__xludf.DUMMYFUNCTION("""COMPUTED_VALUE"""),"V190007")</f>
        <v>V190007</v>
      </c>
      <c r="D25" s="508" t="str">
        <f ca="1">IFERROR(__xludf.DUMMYFUNCTION("""COMPUTED_VALUE"""),"한진국제택배 SMS 서비스 2024년 11월분")</f>
        <v>한진국제택배 SMS 서비스 2024년 11월분</v>
      </c>
      <c r="E25" s="505" t="str">
        <f ca="1">IFERROR(__xludf.DUMMYFUNCTION("""COMPUTED_VALUE"""),"한진
(국제택배)")</f>
        <v>한진
(국제택배)</v>
      </c>
      <c r="F25" s="508" t="str">
        <f ca="1">IFERROR(__xludf.DUMMYFUNCTION("""COMPUTED_VALUE"""),"김영훈 차장")</f>
        <v>김영훈 차장</v>
      </c>
      <c r="G25" s="526" t="str">
        <f ca="1">IFERROR(__xludf.DUMMYFUNCTION("""COMPUTED_VALUE"""),"youngkim@hist.co.kr")</f>
        <v>youngkim@hist.co.kr</v>
      </c>
      <c r="H25" s="527">
        <f ca="1">IFERROR(__xludf.DUMMYFUNCTION("""COMPUTED_VALUE"""),8254282)</f>
        <v>8254282</v>
      </c>
      <c r="I25" s="527">
        <f ca="1">IFERROR(__xludf.DUMMYFUNCTION("""COMPUTED_VALUE"""),825428)</f>
        <v>825428</v>
      </c>
      <c r="J25" s="513" t="str">
        <f ca="1">IFERROR(__xludf.DUMMYFUNCTION("""COMPUTED_VALUE"""),"HX-999-99999-SELSCBP-413131-0000-V190007-000000-00000")</f>
        <v>HX-999-99999-SELSCBP-413131-0000-V190007-000000-00000</v>
      </c>
      <c r="K25" s="528" t="str">
        <f ca="1">IFERROR(__xludf.DUMMYFUNCTION("""COMPUTED_VALUE"""),"ART241230강이슬1440")</f>
        <v>ART241230강이슬1440</v>
      </c>
      <c r="L25" s="507" t="b">
        <f ca="1">IFERROR(__xludf.DUMMYFUNCTION("""COMPUTED_VALUE"""),FALSE)</f>
        <v>0</v>
      </c>
      <c r="M25" s="2"/>
      <c r="N25" s="515" t="str">
        <f ca="1">IFERROR(__xludf.DUMMYFUNCTION("""COMPUTED_VALUE"""),"박수지
김기린")</f>
        <v>박수지
김기린</v>
      </c>
      <c r="O25" s="514" t="str">
        <f ca="1">IFERROR(__xludf.DUMMYFUNCTION("""COMPUTED_VALUE"""),"sjipark@hanjin.com
")</f>
        <v xml:space="preserve">sjipark@hanjin.com
</v>
      </c>
      <c r="P25" s="507" t="b">
        <f ca="1">IFERROR(__xludf.DUMMYFUNCTION("""COMPUTED_VALUE"""),FALSE)</f>
        <v>0</v>
      </c>
      <c r="Q25" s="2"/>
      <c r="R25" s="508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</row>
    <row r="26" spans="1:31" ht="14">
      <c r="A26" s="531">
        <f ca="1">IFERROR(__xludf.DUMMYFUNCTION("""COMPUTED_VALUE"""),30)</f>
        <v>30</v>
      </c>
      <c r="B26" s="532">
        <f ca="1">IFERROR(__xludf.DUMMYFUNCTION("""COMPUTED_VALUE"""),1450)</f>
        <v>1450</v>
      </c>
      <c r="C26" s="532" t="str">
        <f ca="1">IFERROR(__xludf.DUMMYFUNCTION("""COMPUTED_VALUE"""),"V190007")</f>
        <v>V190007</v>
      </c>
      <c r="D26" s="533" t="str">
        <f ca="1">IFERROR(__xludf.DUMMYFUNCTION("""COMPUTED_VALUE"""),"한진공유플랫폼 SMS 발송 서비스 2024년 11월분")</f>
        <v>한진공유플랫폼 SMS 발송 서비스 2024년 11월분</v>
      </c>
      <c r="E26" s="532" t="str">
        <f ca="1">IFERROR(__xludf.DUMMYFUNCTION("""COMPUTED_VALUE"""),"한진
(한진공유플랫폼)")</f>
        <v>한진
(한진공유플랫폼)</v>
      </c>
      <c r="F26" s="533" t="str">
        <f ca="1">IFERROR(__xludf.DUMMYFUNCTION("""COMPUTED_VALUE"""),"김영훈 차장")</f>
        <v>김영훈 차장</v>
      </c>
      <c r="G26" s="534" t="str">
        <f ca="1">IFERROR(__xludf.DUMMYFUNCTION("""COMPUTED_VALUE"""),"youngkim@hist.co.kr")</f>
        <v>youngkim@hist.co.kr</v>
      </c>
      <c r="H26" s="535">
        <f ca="1">IFERROR(__xludf.DUMMYFUNCTION("""COMPUTED_VALUE"""),46)</f>
        <v>46</v>
      </c>
      <c r="I26" s="535">
        <f ca="1">IFERROR(__xludf.DUMMYFUNCTION("""COMPUTED_VALUE"""),4)</f>
        <v>4</v>
      </c>
      <c r="J26" s="536" t="str">
        <f ca="1">IFERROR(__xludf.DUMMYFUNCTION("""COMPUTED_VALUE"""),"HX-999-99999-SELSCBP-413131-0000-V190007-000000-00000")</f>
        <v>HX-999-99999-SELSCBP-413131-0000-V190007-000000-00000</v>
      </c>
      <c r="K26" s="537" t="str">
        <f ca="1">IFERROR(__xludf.DUMMYFUNCTION("""COMPUTED_VALUE"""),"ART241230강이슬1450")</f>
        <v>ART241230강이슬1450</v>
      </c>
      <c r="L26" s="538" t="b">
        <f ca="1">IFERROR(__xludf.DUMMYFUNCTION("""COMPUTED_VALUE"""),FALSE)</f>
        <v>0</v>
      </c>
      <c r="M26" s="539"/>
      <c r="N26" s="540" t="str">
        <f ca="1">IFERROR(__xludf.DUMMYFUNCTION("""COMPUTED_VALUE"""),"유진현")</f>
        <v>유진현</v>
      </c>
      <c r="O26" s="537" t="str">
        <f ca="1">IFERROR(__xludf.DUMMYFUNCTION("""COMPUTED_VALUE"""),"jjhyoo@hanjin.com")</f>
        <v>jjhyoo@hanjin.com</v>
      </c>
      <c r="P26" s="538" t="b">
        <f ca="1">IFERROR(__xludf.DUMMYFUNCTION("""COMPUTED_VALUE"""),FALSE)</f>
        <v>0</v>
      </c>
      <c r="Q26" s="539"/>
      <c r="R26" s="541"/>
      <c r="S26" s="539"/>
      <c r="T26" s="539"/>
      <c r="U26" s="539"/>
      <c r="V26" s="539"/>
      <c r="W26" s="539"/>
      <c r="X26" s="539"/>
      <c r="Y26" s="539"/>
      <c r="Z26" s="539"/>
      <c r="AA26" s="539"/>
      <c r="AB26" s="539"/>
      <c r="AC26" s="539"/>
      <c r="AD26" s="539"/>
      <c r="AE26" s="539"/>
    </row>
    <row r="27" spans="1:31" ht="14">
      <c r="A27" s="516">
        <f ca="1">IFERROR(__xludf.DUMMYFUNCTION("""COMPUTED_VALUE"""),30)</f>
        <v>30</v>
      </c>
      <c r="B27" s="519">
        <f ca="1">IFERROR(__xludf.DUMMYFUNCTION("""COMPUTED_VALUE"""),1460)</f>
        <v>1460</v>
      </c>
      <c r="C27" s="505" t="str">
        <f ca="1">IFERROR(__xludf.DUMMYFUNCTION("""COMPUTED_VALUE"""),"V190008")</f>
        <v>V190008</v>
      </c>
      <c r="D27" s="508" t="str">
        <f ca="1">IFERROR(__xludf.DUMMYFUNCTION("""COMPUTED_VALUE"""),"싸이버스카이 SMS 발송 서비스 2024년 8월분")</f>
        <v>싸이버스카이 SMS 발송 서비스 2024년 8월분</v>
      </c>
      <c r="E27" s="505" t="str">
        <f ca="1">IFERROR(__xludf.DUMMYFUNCTION("""COMPUTED_VALUE"""),"싸이버스카이")</f>
        <v>싸이버스카이</v>
      </c>
      <c r="F27" s="508" t="str">
        <f ca="1">IFERROR(__xludf.DUMMYFUNCTION("""COMPUTED_VALUE"""),"김영훈 차장")</f>
        <v>김영훈 차장</v>
      </c>
      <c r="G27" s="526" t="str">
        <f ca="1">IFERROR(__xludf.DUMMYFUNCTION("""COMPUTED_VALUE"""),"youngkim@hist.co.kr")</f>
        <v>youngkim@hist.co.kr</v>
      </c>
      <c r="H27" s="511" t="str">
        <f ca="1">IFERROR(__xludf.DUMMYFUNCTION("""COMPUTED_VALUE"""),"변동")</f>
        <v>변동</v>
      </c>
      <c r="I27" s="511" t="str">
        <f ca="1">IFERROR(__xludf.DUMMYFUNCTION("""COMPUTED_VALUE"""),"변동")</f>
        <v>변동</v>
      </c>
      <c r="J27" s="513" t="str">
        <f ca="1">IFERROR(__xludf.DUMMYFUNCTION("""COMPUTED_VALUE"""),"HX-999-99999-SELSCBP-413131-0000-V190008-000000-00000")</f>
        <v>HX-999-99999-SELSCBP-413131-0000-V190008-000000-00000</v>
      </c>
      <c r="K27" s="514" t="str">
        <f ca="1">IFERROR(__xludf.DUMMYFUNCTION("""COMPUTED_VALUE"""),"ART241230강이슬1460")</f>
        <v>ART241230강이슬1460</v>
      </c>
      <c r="L27" s="507" t="b">
        <f ca="1">IFERROR(__xludf.DUMMYFUNCTION("""COMPUTED_VALUE"""),FALSE)</f>
        <v>0</v>
      </c>
      <c r="M27" s="2"/>
      <c r="N27" s="515" t="str">
        <f ca="1">IFERROR(__xludf.DUMMYFUNCTION("""COMPUTED_VALUE"""),"이응우")</f>
        <v>이응우</v>
      </c>
      <c r="O27" s="514" t="str">
        <f ca="1">IFERROR(__xludf.DUMMYFUNCTION("""COMPUTED_VALUE"""),"ewlee@cyberskyshop.com")</f>
        <v>ewlee@cyberskyshop.com</v>
      </c>
      <c r="P27" s="507" t="b">
        <f ca="1">IFERROR(__xludf.DUMMYFUNCTION("""COMPUTED_VALUE"""),FALSE)</f>
        <v>0</v>
      </c>
      <c r="Q27" s="2"/>
      <c r="R27" s="508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</row>
    <row r="28" spans="1:31" ht="14">
      <c r="A28" s="516">
        <f ca="1">IFERROR(__xludf.DUMMYFUNCTION("""COMPUTED_VALUE"""),30)</f>
        <v>30</v>
      </c>
      <c r="B28" s="519">
        <f ca="1">IFERROR(__xludf.DUMMYFUNCTION("""COMPUTED_VALUE"""),1470)</f>
        <v>1470</v>
      </c>
      <c r="C28" s="505" t="str">
        <f ca="1">IFERROR(__xludf.DUMMYFUNCTION("""COMPUTED_VALUE"""),"V170016")</f>
        <v>V170016</v>
      </c>
      <c r="D28" s="508" t="str">
        <f ca="1">IFERROR(__xludf.DUMMYFUNCTION("""COMPUTED_VALUE"""),"UniSMS 24년 11월 메시징 사용료")</f>
        <v>UniSMS 24년 11월 메시징 사용료</v>
      </c>
      <c r="E28" s="505" t="str">
        <f ca="1">IFERROR(__xludf.DUMMYFUNCTION("""COMPUTED_VALUE"""),"버킷스튜디오")</f>
        <v>버킷스튜디오</v>
      </c>
      <c r="F28" s="508" t="str">
        <f ca="1">IFERROR(__xludf.DUMMYFUNCTION("""COMPUTED_VALUE"""),"김영훈 차장")</f>
        <v>김영훈 차장</v>
      </c>
      <c r="G28" s="526" t="str">
        <f ca="1">IFERROR(__xludf.DUMMYFUNCTION("""COMPUTED_VALUE"""),"youngkim@hist.co.kr")</f>
        <v>youngkim@hist.co.kr</v>
      </c>
      <c r="H28" s="511">
        <f ca="1">IFERROR(__xludf.DUMMYFUNCTION("""COMPUTED_VALUE"""),79669100)</f>
        <v>79669100</v>
      </c>
      <c r="I28" s="511">
        <f ca="1">IFERROR(__xludf.DUMMYFUNCTION("""COMPUTED_VALUE"""),7966910)</f>
        <v>7966910</v>
      </c>
      <c r="J28" s="513" t="str">
        <f ca="1">IFERROR(__xludf.DUMMYFUNCTION("""COMPUTED_VALUE"""),"HX-999-99999-SELSCBP-413131-0000-V170016-000000-00000")</f>
        <v>HX-999-99999-SELSCBP-413131-0000-V170016-000000-00000</v>
      </c>
      <c r="K28" s="514" t="str">
        <f ca="1">IFERROR(__xludf.DUMMYFUNCTION("""COMPUTED_VALUE"""),"ART241230강이슬1470")</f>
        <v>ART241230강이슬1470</v>
      </c>
      <c r="L28" s="507" t="b">
        <f ca="1">IFERROR(__xludf.DUMMYFUNCTION("""COMPUTED_VALUE"""),FALSE)</f>
        <v>0</v>
      </c>
      <c r="M28" s="2"/>
      <c r="N28" s="515" t="str">
        <f ca="1">IFERROR(__xludf.DUMMYFUNCTION("""COMPUTED_VALUE"""),"조선표 차장")</f>
        <v>조선표 차장</v>
      </c>
      <c r="O28" s="514" t="str">
        <f ca="1">IFERROR(__xludf.DUMMYFUNCTION("""COMPUTED_VALUE"""),"jspcdp1004@bucketstudio.co.kr")</f>
        <v>jspcdp1004@bucketstudio.co.kr</v>
      </c>
      <c r="P28" s="507" t="b">
        <f ca="1">IFERROR(__xludf.DUMMYFUNCTION("""COMPUTED_VALUE"""),FALSE)</f>
        <v>0</v>
      </c>
      <c r="Q28" s="2"/>
      <c r="R28" s="508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</row>
    <row r="29" spans="1:31" ht="14">
      <c r="A29" s="516">
        <f ca="1">IFERROR(__xludf.DUMMYFUNCTION("""COMPUTED_VALUE"""),30)</f>
        <v>30</v>
      </c>
      <c r="B29" s="519">
        <f ca="1">IFERROR(__xludf.DUMMYFUNCTION("""COMPUTED_VALUE"""),1480)</f>
        <v>1480</v>
      </c>
      <c r="C29" s="505" t="str">
        <f ca="1">IFERROR(__xludf.DUMMYFUNCTION("""COMPUTED_VALUE"""),"V120012")</f>
        <v>V120012</v>
      </c>
      <c r="D29" s="508" t="str">
        <f ca="1">IFERROR(__xludf.DUMMYFUNCTION("""COMPUTED_VALUE"""),"전자세금 계산서 수집대사 (한진, 24년 11월분)")</f>
        <v>전자세금 계산서 수집대사 (한진, 24년 11월분)</v>
      </c>
      <c r="E29" s="505" t="str">
        <f ca="1">IFERROR(__xludf.DUMMYFUNCTION("""COMPUTED_VALUE"""),"한진
(수집대사)")</f>
        <v>한진
(수집대사)</v>
      </c>
      <c r="F29" s="508" t="str">
        <f ca="1">IFERROR(__xludf.DUMMYFUNCTION("""COMPUTED_VALUE"""),"김영훈 차장")</f>
        <v>김영훈 차장</v>
      </c>
      <c r="G29" s="526" t="str">
        <f ca="1">IFERROR(__xludf.DUMMYFUNCTION("""COMPUTED_VALUE"""),"youngkim@hist.co.kr")</f>
        <v>youngkim@hist.co.kr</v>
      </c>
      <c r="H29" s="511">
        <f ca="1">IFERROR(__xludf.DUMMYFUNCTION("""COMPUTED_VALUE"""),520000)</f>
        <v>520000</v>
      </c>
      <c r="I29" s="511">
        <f ca="1">IFERROR(__xludf.DUMMYFUNCTION("""COMPUTED_VALUE"""),52000)</f>
        <v>52000</v>
      </c>
      <c r="J29" s="513" t="str">
        <f ca="1">IFERROR(__xludf.DUMMYFUNCTION("""COMPUTED_VALUE"""),"HX-999-99999-SELSCBP-413163-0000-V120012-000000-00000")</f>
        <v>HX-999-99999-SELSCBP-413163-0000-V120012-000000-00000</v>
      </c>
      <c r="K29" s="514" t="str">
        <f ca="1">IFERROR(__xludf.DUMMYFUNCTION("""COMPUTED_VALUE"""),"ART241230강이슬1480")</f>
        <v>ART241230강이슬1480</v>
      </c>
      <c r="L29" s="507" t="b">
        <f ca="1">IFERROR(__xludf.DUMMYFUNCTION("""COMPUTED_VALUE"""),FALSE)</f>
        <v>0</v>
      </c>
      <c r="M29" s="2"/>
      <c r="N29" s="515" t="str">
        <f ca="1">IFERROR(__xludf.DUMMYFUNCTION("""COMPUTED_VALUE"""),"정예서")</f>
        <v>정예서</v>
      </c>
      <c r="O29" s="514" t="str">
        <f ca="1">IFERROR(__xludf.DUMMYFUNCTION("""COMPUTED_VALUE"""),"ys0614@hanjin.com")</f>
        <v>ys0614@hanjin.com</v>
      </c>
      <c r="P29" s="507" t="b">
        <f ca="1">IFERROR(__xludf.DUMMYFUNCTION("""COMPUTED_VALUE"""),FALSE)</f>
        <v>0</v>
      </c>
      <c r="Q29" s="2"/>
      <c r="R29" s="508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 spans="1:31" ht="14">
      <c r="A30" s="516">
        <f ca="1">IFERROR(__xludf.DUMMYFUNCTION("""COMPUTED_VALUE"""),30)</f>
        <v>30</v>
      </c>
      <c r="B30" s="519">
        <f ca="1">IFERROR(__xludf.DUMMYFUNCTION("""COMPUTED_VALUE"""),1490)</f>
        <v>1490</v>
      </c>
      <c r="C30" s="505" t="str">
        <f ca="1">IFERROR(__xludf.DUMMYFUNCTION("""COMPUTED_VALUE"""),"V140008")</f>
        <v>V140008</v>
      </c>
      <c r="D30" s="508" t="str">
        <f ca="1">IFERROR(__xludf.DUMMYFUNCTION("""COMPUTED_VALUE"""),"전자세금 계산서 수집대사 (인하대 산학, 24년 11월분)")</f>
        <v>전자세금 계산서 수집대사 (인하대 산학, 24년 11월분)</v>
      </c>
      <c r="E30" s="505" t="str">
        <f ca="1">IFERROR(__xludf.DUMMYFUNCTION("""COMPUTED_VALUE"""),"인하대학교
산학협력단")</f>
        <v>인하대학교
산학협력단</v>
      </c>
      <c r="F30" s="508" t="str">
        <f ca="1">IFERROR(__xludf.DUMMYFUNCTION("""COMPUTED_VALUE"""),"김영훈 차장")</f>
        <v>김영훈 차장</v>
      </c>
      <c r="G30" s="526" t="str">
        <f ca="1">IFERROR(__xludf.DUMMYFUNCTION("""COMPUTED_VALUE"""),"youngkim@hist.co.kr")</f>
        <v>youngkim@hist.co.kr</v>
      </c>
      <c r="H30" s="511">
        <f ca="1">IFERROR(__xludf.DUMMYFUNCTION("""COMPUTED_VALUE"""),530000)</f>
        <v>530000</v>
      </c>
      <c r="I30" s="511">
        <f ca="1">IFERROR(__xludf.DUMMYFUNCTION("""COMPUTED_VALUE"""),53000)</f>
        <v>53000</v>
      </c>
      <c r="J30" s="513" t="str">
        <f ca="1">IFERROR(__xludf.DUMMYFUNCTION("""COMPUTED_VALUE"""),"HX-999-99999-SELSCBP-413163-0000-V140008-000000-00000")</f>
        <v>HX-999-99999-SELSCBP-413163-0000-V140008-000000-00000</v>
      </c>
      <c r="K30" s="514" t="str">
        <f ca="1">IFERROR(__xludf.DUMMYFUNCTION("""COMPUTED_VALUE"""),"ART241230강이슬1490")</f>
        <v>ART241230강이슬1490</v>
      </c>
      <c r="L30" s="507" t="b">
        <f ca="1">IFERROR(__xludf.DUMMYFUNCTION("""COMPUTED_VALUE"""),FALSE)</f>
        <v>0</v>
      </c>
      <c r="M30" s="2"/>
      <c r="N30" s="515" t="str">
        <f ca="1">IFERROR(__xludf.DUMMYFUNCTION("""COMPUTED_VALUE"""),"이태훈")</f>
        <v>이태훈</v>
      </c>
      <c r="O30" s="514" t="str">
        <f ca="1">IFERROR(__xludf.DUMMYFUNCTION("""COMPUTED_VALUE"""),"th.lee@inha.ac.kr")</f>
        <v>th.lee@inha.ac.kr</v>
      </c>
      <c r="P30" s="507" t="b">
        <f ca="1">IFERROR(__xludf.DUMMYFUNCTION("""COMPUTED_VALUE"""),FALSE)</f>
        <v>0</v>
      </c>
      <c r="Q30" s="2"/>
      <c r="R30" s="508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</row>
    <row r="31" spans="1:31" ht="14">
      <c r="A31" s="516">
        <f ca="1">IFERROR(__xludf.DUMMYFUNCTION("""COMPUTED_VALUE"""),30)</f>
        <v>30</v>
      </c>
      <c r="B31" s="519">
        <f ca="1">IFERROR(__xludf.DUMMYFUNCTION("""COMPUTED_VALUE"""),1500)</f>
        <v>1500</v>
      </c>
      <c r="C31" s="505" t="str">
        <f ca="1">IFERROR(__xludf.DUMMYFUNCTION("""COMPUTED_VALUE"""),"V150006")</f>
        <v>V150006</v>
      </c>
      <c r="D31" s="508" t="str">
        <f ca="1">IFERROR(__xludf.DUMMYFUNCTION("""COMPUTED_VALUE"""),"무증빙 전표시스템 (한진, 24년 11월분)")</f>
        <v>무증빙 전표시스템 (한진, 24년 11월분)</v>
      </c>
      <c r="E31" s="505" t="str">
        <f ca="1">IFERROR(__xludf.DUMMYFUNCTION("""COMPUTED_VALUE"""),"한진
(무증빙 전표)")</f>
        <v>한진
(무증빙 전표)</v>
      </c>
      <c r="F31" s="508" t="str">
        <f ca="1">IFERROR(__xludf.DUMMYFUNCTION("""COMPUTED_VALUE"""),"김영훈 차장")</f>
        <v>김영훈 차장</v>
      </c>
      <c r="G31" s="526" t="str">
        <f ca="1">IFERROR(__xludf.DUMMYFUNCTION("""COMPUTED_VALUE"""),"youngkim@hist.co.kr")</f>
        <v>youngkim@hist.co.kr</v>
      </c>
      <c r="H31" s="511">
        <f ca="1">IFERROR(__xludf.DUMMYFUNCTION("""COMPUTED_VALUE"""),320000)</f>
        <v>320000</v>
      </c>
      <c r="I31" s="511">
        <f ca="1">IFERROR(__xludf.DUMMYFUNCTION("""COMPUTED_VALUE"""),32000)</f>
        <v>32000</v>
      </c>
      <c r="J31" s="513" t="str">
        <f ca="1">IFERROR(__xludf.DUMMYFUNCTION("""COMPUTED_VALUE"""),"HX-999-99999-SELSCBP-413163-0000-V150006-000000-00000")</f>
        <v>HX-999-99999-SELSCBP-413163-0000-V150006-000000-00000</v>
      </c>
      <c r="K31" s="514" t="str">
        <f ca="1">IFERROR(__xludf.DUMMYFUNCTION("""COMPUTED_VALUE"""),"ART241230강이슬1500")</f>
        <v>ART241230강이슬1500</v>
      </c>
      <c r="L31" s="507" t="b">
        <f ca="1">IFERROR(__xludf.DUMMYFUNCTION("""COMPUTED_VALUE"""),FALSE)</f>
        <v>0</v>
      </c>
      <c r="M31" s="2"/>
      <c r="N31" s="515" t="str">
        <f ca="1">IFERROR(__xludf.DUMMYFUNCTION("""COMPUTED_VALUE"""),"세금계산서
담당자")</f>
        <v>세금계산서
담당자</v>
      </c>
      <c r="O31" s="514" t="str">
        <f ca="1">IFERROR(__xludf.DUMMYFUNCTION("""COMPUTED_VALUE"""),"selabi@hanjin.com")</f>
        <v>selabi@hanjin.com</v>
      </c>
      <c r="P31" s="507" t="b">
        <f ca="1">IFERROR(__xludf.DUMMYFUNCTION("""COMPUTED_VALUE"""),FALSE)</f>
        <v>0</v>
      </c>
      <c r="Q31" s="2"/>
      <c r="R31" s="508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 spans="1:31" ht="14">
      <c r="A32" s="516">
        <f ca="1">IFERROR(__xludf.DUMMYFUNCTION("""COMPUTED_VALUE"""),30)</f>
        <v>30</v>
      </c>
      <c r="B32" s="519">
        <f ca="1">IFERROR(__xludf.DUMMYFUNCTION("""COMPUTED_VALUE"""),1510)</f>
        <v>1510</v>
      </c>
      <c r="C32" s="505" t="str">
        <f ca="1">IFERROR(__xludf.DUMMYFUNCTION("""COMPUTED_VALUE"""),"V080043")</f>
        <v>V080043</v>
      </c>
      <c r="D32" s="508" t="str">
        <f ca="1">IFERROR(__xludf.DUMMYFUNCTION("""COMPUTED_VALUE"""),"한진국내택배  B2B EDI서비스 (24년 11월분)")</f>
        <v>한진국내택배  B2B EDI서비스 (24년 11월분)</v>
      </c>
      <c r="E32" s="505" t="str">
        <f ca="1">IFERROR(__xludf.DUMMYFUNCTION("""COMPUTED_VALUE"""),"한진
(국내택배 EDI)")</f>
        <v>한진
(국내택배 EDI)</v>
      </c>
      <c r="F32" s="508" t="str">
        <f ca="1">IFERROR(__xludf.DUMMYFUNCTION("""COMPUTED_VALUE"""),"김영훈 차장")</f>
        <v>김영훈 차장</v>
      </c>
      <c r="G32" s="526" t="str">
        <f ca="1">IFERROR(__xludf.DUMMYFUNCTION("""COMPUTED_VALUE"""),"youngkim@hist.co.kr")</f>
        <v>youngkim@hist.co.kr</v>
      </c>
      <c r="H32" s="511">
        <f ca="1">IFERROR(__xludf.DUMMYFUNCTION("""COMPUTED_VALUE"""),11906100)</f>
        <v>11906100</v>
      </c>
      <c r="I32" s="511">
        <f ca="1">IFERROR(__xludf.DUMMYFUNCTION("""COMPUTED_VALUE"""),1190610)</f>
        <v>1190610</v>
      </c>
      <c r="J32" s="513" t="str">
        <f ca="1">IFERROR(__xludf.DUMMYFUNCTION("""COMPUTED_VALUE"""),"HX-999-99999-SELSCBP-413163-0000-V080043-000000-00000")</f>
        <v>HX-999-99999-SELSCBP-413163-0000-V080043-000000-00000</v>
      </c>
      <c r="K32" s="514" t="str">
        <f ca="1">IFERROR(__xludf.DUMMYFUNCTION("""COMPUTED_VALUE"""),"ART241230강이슬1510")</f>
        <v>ART241230강이슬1510</v>
      </c>
      <c r="L32" s="507" t="b">
        <f ca="1">IFERROR(__xludf.DUMMYFUNCTION("""COMPUTED_VALUE"""),FALSE)</f>
        <v>0</v>
      </c>
      <c r="M32" s="2"/>
      <c r="N32" s="515" t="str">
        <f ca="1">IFERROR(__xludf.DUMMYFUNCTION("""COMPUTED_VALUE"""),"윤지영")</f>
        <v>윤지영</v>
      </c>
      <c r="O32" s="514" t="str">
        <f ca="1">IFERROR(__xludf.DUMMYFUNCTION("""COMPUTED_VALUE"""),"jyyun@hanjin.com")</f>
        <v>jyyun@hanjin.com</v>
      </c>
      <c r="P32" s="507" t="b">
        <f ca="1">IFERROR(__xludf.DUMMYFUNCTION("""COMPUTED_VALUE"""),FALSE)</f>
        <v>0</v>
      </c>
      <c r="Q32" s="2"/>
      <c r="R32" s="508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</row>
    <row r="33" spans="1:31" ht="14">
      <c r="A33" s="516">
        <f ca="1">IFERROR(__xludf.DUMMYFUNCTION("""COMPUTED_VALUE"""),30)</f>
        <v>30</v>
      </c>
      <c r="B33" s="519">
        <f ca="1">IFERROR(__xludf.DUMMYFUNCTION("""COMPUTED_VALUE"""),1520)</f>
        <v>1520</v>
      </c>
      <c r="C33" s="505" t="str">
        <f ca="1">IFERROR(__xludf.DUMMYFUNCTION("""COMPUTED_VALUE"""),"V080043")</f>
        <v>V080043</v>
      </c>
      <c r="D33" s="508" t="str">
        <f ca="1">IFERROR(__xludf.DUMMYFUNCTION("""COMPUTED_VALUE"""),"한진국제택배 B2B EDI서비스 (24년 11월분)")</f>
        <v>한진국제택배 B2B EDI서비스 (24년 11월분)</v>
      </c>
      <c r="E33" s="505" t="str">
        <f ca="1">IFERROR(__xludf.DUMMYFUNCTION("""COMPUTED_VALUE"""),"한진
(국제택배 EDI)")</f>
        <v>한진
(국제택배 EDI)</v>
      </c>
      <c r="F33" s="508" t="str">
        <f ca="1">IFERROR(__xludf.DUMMYFUNCTION("""COMPUTED_VALUE"""),"김영훈 차장")</f>
        <v>김영훈 차장</v>
      </c>
      <c r="G33" s="526" t="str">
        <f ca="1">IFERROR(__xludf.DUMMYFUNCTION("""COMPUTED_VALUE"""),"youngkim@hist.co.kr")</f>
        <v>youngkim@hist.co.kr</v>
      </c>
      <c r="H33" s="511">
        <f ca="1">IFERROR(__xludf.DUMMYFUNCTION("""COMPUTED_VALUE"""),105300)</f>
        <v>105300</v>
      </c>
      <c r="I33" s="511">
        <f ca="1">IFERROR(__xludf.DUMMYFUNCTION("""COMPUTED_VALUE"""),10530)</f>
        <v>10530</v>
      </c>
      <c r="J33" s="513" t="str">
        <f ca="1">IFERROR(__xludf.DUMMYFUNCTION("""COMPUTED_VALUE"""),"HX-999-99999-SELSCBP-413163-0000-V080043-000000-00000")</f>
        <v>HX-999-99999-SELSCBP-413163-0000-V080043-000000-00000</v>
      </c>
      <c r="K33" s="514" t="str">
        <f ca="1">IFERROR(__xludf.DUMMYFUNCTION("""COMPUTED_VALUE"""),"ART241230강이슬1520")</f>
        <v>ART241230강이슬1520</v>
      </c>
      <c r="L33" s="507" t="b">
        <f ca="1">IFERROR(__xludf.DUMMYFUNCTION("""COMPUTED_VALUE"""),FALSE)</f>
        <v>0</v>
      </c>
      <c r="M33" s="2"/>
      <c r="N33" s="515" t="str">
        <f ca="1">IFERROR(__xludf.DUMMYFUNCTION("""COMPUTED_VALUE"""),"중개솔루션팀")</f>
        <v>중개솔루션팀</v>
      </c>
      <c r="O33" s="514" t="str">
        <f ca="1">IFERROR(__xludf.DUMMYFUNCTION("""COMPUTED_VALUE"""),"seldpm@hanjin.com")</f>
        <v>seldpm@hanjin.com</v>
      </c>
      <c r="P33" s="507" t="b">
        <f ca="1">IFERROR(__xludf.DUMMYFUNCTION("""COMPUTED_VALUE"""),FALSE)</f>
        <v>0</v>
      </c>
      <c r="Q33" s="2"/>
      <c r="R33" s="508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spans="1:31" ht="14">
      <c r="A34" s="516">
        <f ca="1">IFERROR(__xludf.DUMMYFUNCTION("""COMPUTED_VALUE"""),30)</f>
        <v>30</v>
      </c>
      <c r="B34" s="519">
        <f ca="1">IFERROR(__xludf.DUMMYFUNCTION("""COMPUTED_VALUE"""),1530)</f>
        <v>1530</v>
      </c>
      <c r="C34" s="505" t="str">
        <f ca="1">IFERROR(__xludf.DUMMYFUNCTION("""COMPUTED_VALUE"""),"V080043")</f>
        <v>V080043</v>
      </c>
      <c r="D34" s="508" t="str">
        <f ca="1">IFERROR(__xludf.DUMMYFUNCTION("""COMPUTED_VALUE"""),"한진주유소 EDI 서비스 (24년 11월분)")</f>
        <v>한진주유소 EDI 서비스 (24년 11월분)</v>
      </c>
      <c r="E34" s="505" t="str">
        <f ca="1">IFERROR(__xludf.DUMMYFUNCTION("""COMPUTED_VALUE"""),"한진
(주유소 EDI)")</f>
        <v>한진
(주유소 EDI)</v>
      </c>
      <c r="F34" s="508" t="str">
        <f ca="1">IFERROR(__xludf.DUMMYFUNCTION("""COMPUTED_VALUE"""),"김영훈 차장")</f>
        <v>김영훈 차장</v>
      </c>
      <c r="G34" s="526" t="str">
        <f ca="1">IFERROR(__xludf.DUMMYFUNCTION("""COMPUTED_VALUE"""),"youngkim@hist.co.kr")</f>
        <v>youngkim@hist.co.kr</v>
      </c>
      <c r="H34" s="511">
        <f ca="1">IFERROR(__xludf.DUMMYFUNCTION("""COMPUTED_VALUE"""),210000)</f>
        <v>210000</v>
      </c>
      <c r="I34" s="511">
        <f ca="1">IFERROR(__xludf.DUMMYFUNCTION("""COMPUTED_VALUE"""),21000)</f>
        <v>21000</v>
      </c>
      <c r="J34" s="513" t="str">
        <f ca="1">IFERROR(__xludf.DUMMYFUNCTION("""COMPUTED_VALUE"""),"HX-999-99999-SELSCBP-413163-0000-V080043-000000-00000")</f>
        <v>HX-999-99999-SELSCBP-413163-0000-V080043-000000-00000</v>
      </c>
      <c r="K34" s="514" t="str">
        <f ca="1">IFERROR(__xludf.DUMMYFUNCTION("""COMPUTED_VALUE"""),"ART241230강이슬1530")</f>
        <v>ART241230강이슬1530</v>
      </c>
      <c r="L34" s="507" t="b">
        <f ca="1">IFERROR(__xludf.DUMMYFUNCTION("""COMPUTED_VALUE"""),FALSE)</f>
        <v>0</v>
      </c>
      <c r="M34" s="2"/>
      <c r="N34" s="515" t="str">
        <f ca="1">IFERROR(__xludf.DUMMYFUNCTION("""COMPUTED_VALUE"""),"전현주")</f>
        <v>전현주</v>
      </c>
      <c r="O34" s="514" t="str">
        <f ca="1">IFERROR(__xludf.DUMMYFUNCTION("""COMPUTED_VALUE"""),"hjjeon@hanjin.co.kr")</f>
        <v>hjjeon@hanjin.co.kr</v>
      </c>
      <c r="P34" s="507" t="b">
        <f ca="1">IFERROR(__xludf.DUMMYFUNCTION("""COMPUTED_VALUE"""),FALSE)</f>
        <v>0</v>
      </c>
      <c r="Q34" s="2"/>
      <c r="R34" s="508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</row>
    <row r="35" spans="1:31" ht="14">
      <c r="A35" s="516">
        <f ca="1">IFERROR(__xludf.DUMMYFUNCTION("""COMPUTED_VALUE"""),30)</f>
        <v>30</v>
      </c>
      <c r="B35" s="519">
        <f ca="1">IFERROR(__xludf.DUMMYFUNCTION("""COMPUTED_VALUE"""),1540)</f>
        <v>1540</v>
      </c>
      <c r="C35" s="505" t="str">
        <f ca="1">IFERROR(__xludf.DUMMYFUNCTION("""COMPUTED_VALUE"""),"V090068")</f>
        <v>V090068</v>
      </c>
      <c r="D35" s="508" t="str">
        <f ca="1">IFERROR(__xludf.DUMMYFUNCTION("""COMPUTED_VALUE"""),"넷매니아 샌드빌 수익 분배 (24년 11월분)")</f>
        <v>넷매니아 샌드빌 수익 분배 (24년 11월분)</v>
      </c>
      <c r="E35" s="505" t="str">
        <f ca="1">IFERROR(__xludf.DUMMYFUNCTION("""COMPUTED_VALUE"""),"넷매니아")</f>
        <v>넷매니아</v>
      </c>
      <c r="F35" s="508" t="str">
        <f ca="1">IFERROR(__xludf.DUMMYFUNCTION("""COMPUTED_VALUE"""),"김영훈 차장")</f>
        <v>김영훈 차장</v>
      </c>
      <c r="G35" s="508" t="str">
        <f ca="1">IFERROR(__xludf.DUMMYFUNCTION("""COMPUTED_VALUE"""),"youngkim@hist.co.kr")</f>
        <v>youngkim@hist.co.kr</v>
      </c>
      <c r="H35" s="511">
        <f ca="1">IFERROR(__xludf.DUMMYFUNCTION("""COMPUTED_VALUE"""),656326)</f>
        <v>656326</v>
      </c>
      <c r="I35" s="511" t="str">
        <f ca="1">IFERROR(__xludf.DUMMYFUNCTION("""COMPUTED_VALUE"""),"656,33")</f>
        <v>656,33</v>
      </c>
      <c r="J35" s="513" t="str">
        <f ca="1">IFERROR(__xludf.DUMMYFUNCTION("""COMPUTED_VALUE"""),"HX-999-99999-SELSCBP-413163-0000-V090068-000000-00000")</f>
        <v>HX-999-99999-SELSCBP-413163-0000-V090068-000000-00000</v>
      </c>
      <c r="K35" s="514" t="str">
        <f ca="1">IFERROR(__xludf.DUMMYFUNCTION("""COMPUTED_VALUE"""),"ART241230강이슬1540")</f>
        <v>ART241230강이슬1540</v>
      </c>
      <c r="L35" s="507" t="b">
        <f ca="1">IFERROR(__xludf.DUMMYFUNCTION("""COMPUTED_VALUE"""),FALSE)</f>
        <v>0</v>
      </c>
      <c r="M35" s="2"/>
      <c r="N35" s="515" t="str">
        <f ca="1">IFERROR(__xludf.DUMMYFUNCTION("""COMPUTED_VALUE"""),"조명관")</f>
        <v>조명관</v>
      </c>
      <c r="O35" s="514" t="str">
        <f ca="1">IFERROR(__xludf.DUMMYFUNCTION("""COMPUTED_VALUE"""),"mgjo@netmania.co.kr")</f>
        <v>mgjo@netmania.co.kr</v>
      </c>
      <c r="P35" s="507" t="b">
        <f ca="1">IFERROR(__xludf.DUMMYFUNCTION("""COMPUTED_VALUE"""),FALSE)</f>
        <v>0</v>
      </c>
      <c r="Q35" s="2"/>
      <c r="R35" s="508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 spans="1:31" ht="14">
      <c r="A36" s="516">
        <f ca="1">IFERROR(__xludf.DUMMYFUNCTION("""COMPUTED_VALUE"""),30)</f>
        <v>30</v>
      </c>
      <c r="B36" s="519">
        <f ca="1">IFERROR(__xludf.DUMMYFUNCTION("""COMPUTED_VALUE"""),1550)</f>
        <v>1550</v>
      </c>
      <c r="C36" s="505" t="str">
        <f ca="1">IFERROR(__xludf.DUMMYFUNCTION("""COMPUTED_VALUE"""),"V210021")</f>
        <v>V210021</v>
      </c>
      <c r="D36" s="508" t="str">
        <f ca="1">IFERROR(__xludf.DUMMYFUNCTION("""COMPUTED_VALUE"""),"(주)한진 RPA 구축 및 운영서비스 11월 청구")</f>
        <v>(주)한진 RPA 구축 및 운영서비스 11월 청구</v>
      </c>
      <c r="E36" s="505" t="str">
        <f ca="1">IFERROR(__xludf.DUMMYFUNCTION("""COMPUTED_VALUE"""),"한진")</f>
        <v>한진</v>
      </c>
      <c r="F36" s="508" t="str">
        <f ca="1">IFERROR(__xludf.DUMMYFUNCTION("""COMPUTED_VALUE"""),"박진수 대리")</f>
        <v>박진수 대리</v>
      </c>
      <c r="G36" s="526"/>
      <c r="H36" s="511">
        <f ca="1">IFERROR(__xludf.DUMMYFUNCTION("""COMPUTED_VALUE"""),11334000)</f>
        <v>11334000</v>
      </c>
      <c r="I36" s="511">
        <f ca="1">IFERROR(__xludf.DUMMYFUNCTION("""COMPUTED_VALUE"""),1133400)</f>
        <v>1133400</v>
      </c>
      <c r="J36" s="513" t="str">
        <f ca="1">IFERROR(__xludf.DUMMYFUNCTION("""COMPUTED_VALUE"""),"HX-999-99999-SELSCBU-413111-0000-V210021-000000-00000")</f>
        <v>HX-999-99999-SELSCBU-413111-0000-V210021-000000-00000</v>
      </c>
      <c r="K36" s="514" t="str">
        <f ca="1">IFERROR(__xludf.DUMMYFUNCTION("""COMPUTED_VALUE"""),"ART241230강이슬1550")</f>
        <v>ART241230강이슬1550</v>
      </c>
      <c r="L36" s="507" t="b">
        <f ca="1">IFERROR(__xludf.DUMMYFUNCTION("""COMPUTED_VALUE"""),FALSE)</f>
        <v>0</v>
      </c>
      <c r="M36" s="2"/>
      <c r="N36" s="515" t="str">
        <f ca="1">IFERROR(__xludf.DUMMYFUNCTION("""COMPUTED_VALUE"""),"박혜린")</f>
        <v>박혜린</v>
      </c>
      <c r="O36" s="514" t="str">
        <f ca="1">IFERROR(__xludf.DUMMYFUNCTION("""COMPUTED_VALUE"""),"hyerin@hanjin.com")</f>
        <v>hyerin@hanjin.com</v>
      </c>
      <c r="P36" s="507" t="b">
        <f ca="1">IFERROR(__xludf.DUMMYFUNCTION("""COMPUTED_VALUE"""),FALSE)</f>
        <v>0</v>
      </c>
      <c r="Q36" s="2"/>
      <c r="R36" s="508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</row>
    <row r="37" spans="1:31" ht="14">
      <c r="A37" s="516">
        <f ca="1">IFERROR(__xludf.DUMMYFUNCTION("""COMPUTED_VALUE"""),30)</f>
        <v>30</v>
      </c>
      <c r="B37" s="542" t="str">
        <f ca="1">IFERROR(__xludf.DUMMYFUNCTION("""COMPUTED_VALUE"""),"HX-PR-15272")</f>
        <v>HX-PR-15272</v>
      </c>
      <c r="C37" s="505" t="str">
        <f ca="1">IFERROR(__xludf.DUMMYFUNCTION("""COMPUTED_VALUE"""),"R240054")</f>
        <v>R240054</v>
      </c>
      <c r="D37" s="508" t="str">
        <f ca="1">IFERROR(__xludf.DUMMYFUNCTION("""COMPUTED_VALUE"""),"대한항공 AICC 사업")</f>
        <v>대한항공 AICC 사업</v>
      </c>
      <c r="E37" s="505" t="str">
        <f ca="1">IFERROR(__xludf.DUMMYFUNCTION("""COMPUTED_VALUE"""),"대한항공")</f>
        <v>대한항공</v>
      </c>
      <c r="F37" s="508" t="str">
        <f ca="1">IFERROR(__xludf.DUMMYFUNCTION("""COMPUTED_VALUE"""),"김충식 부장")</f>
        <v>김충식 부장</v>
      </c>
      <c r="G37" s="526"/>
      <c r="H37" s="511">
        <f ca="1">IFERROR(__xludf.DUMMYFUNCTION("""COMPUTED_VALUE"""),93436000)</f>
        <v>93436000</v>
      </c>
      <c r="I37" s="511">
        <f ca="1">IFERROR(__xludf.DUMMYFUNCTION("""COMPUTED_VALUE"""),102779600)</f>
        <v>102779600</v>
      </c>
      <c r="J37" s="513" t="str">
        <f ca="1">IFERROR(__xludf.DUMMYFUNCTION("""COMPUTED_VALUE"""),"HX-999-99999-SELSLIN-413111-0000-R240054-000000-00000")</f>
        <v>HX-999-99999-SELSLIN-413111-0000-R240054-000000-00000</v>
      </c>
      <c r="K37" s="514" t="str">
        <f ca="1">IFERROR(__xludf.DUMMYFUNCTION("""COMPUTED_VALUE"""),"ART241230강이슬5272")</f>
        <v>ART241230강이슬5272</v>
      </c>
      <c r="L37" s="507" t="b">
        <f ca="1">IFERROR(__xludf.DUMMYFUNCTION("""COMPUTED_VALUE"""),FALSE)</f>
        <v>0</v>
      </c>
      <c r="M37" s="2"/>
      <c r="N37" s="515" t="str">
        <f ca="1">IFERROR(__xludf.DUMMYFUNCTION("""COMPUTED_VALUE"""),"임종화 대리")</f>
        <v>임종화 대리</v>
      </c>
      <c r="O37" s="514" t="str">
        <f ca="1">IFERROR(__xludf.DUMMYFUNCTION("""COMPUTED_VALUE"""),"jhwalim@koreanair.com")</f>
        <v>jhwalim@koreanair.com</v>
      </c>
      <c r="P37" s="507" t="b">
        <f ca="1">IFERROR(__xludf.DUMMYFUNCTION("""COMPUTED_VALUE"""),FALSE)</f>
        <v>0</v>
      </c>
      <c r="Q37" s="2"/>
      <c r="R37" s="508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 spans="1:31" ht="18">
      <c r="A38" s="325"/>
      <c r="B38" s="2"/>
      <c r="C38" s="2"/>
      <c r="D38" s="2"/>
      <c r="E38" s="2"/>
      <c r="F38" s="2"/>
      <c r="G38" s="2"/>
      <c r="H38" s="241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 spans="1:31" ht="13">
      <c r="A39" s="2" t="str">
        <f ca="1">IFERROR(__xludf.DUMMYFUNCTION("""COMPUTED_VALUE"""),"※ 판매건 별도")</f>
        <v>※ 판매건 별도</v>
      </c>
      <c r="B39" s="2"/>
      <c r="C39" s="2"/>
      <c r="D39" s="2"/>
      <c r="E39" s="2"/>
      <c r="F39" s="2"/>
      <c r="G39" s="2"/>
      <c r="H39" s="241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 spans="1:31" ht="13">
      <c r="A40" s="543"/>
      <c r="B40" s="543"/>
      <c r="C40" s="543"/>
      <c r="D40" s="543"/>
      <c r="E40" s="543"/>
      <c r="F40" s="543"/>
      <c r="G40" s="543"/>
      <c r="H40" s="544"/>
      <c r="I40" s="545"/>
      <c r="J40" s="543"/>
      <c r="K40" s="543"/>
      <c r="L40" s="543"/>
      <c r="M40" s="2"/>
      <c r="N40" s="494"/>
      <c r="O40" s="494"/>
      <c r="P40" s="546"/>
      <c r="Q40" s="2"/>
      <c r="R40" s="543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 spans="1:31" ht="13">
      <c r="A41" s="505" t="str">
        <f ca="1">IFERROR(__xludf.DUMMYFUNCTION("""COMPUTED_VALUE"""),"발행
일자")</f>
        <v>발행
일자</v>
      </c>
      <c r="B41" s="505" t="str">
        <f ca="1">IFERROR(__xludf.DUMMYFUNCTION("""COMPUTED_VALUE"""),"PR")</f>
        <v>PR</v>
      </c>
      <c r="C41" s="505" t="str">
        <f ca="1">IFERROR(__xludf.DUMMYFUNCTION("""COMPUTED_VALUE"""),"PJT Code")</f>
        <v>PJT Code</v>
      </c>
      <c r="D41" s="508" t="str">
        <f ca="1">IFERROR(__xludf.DUMMYFUNCTION("""COMPUTED_VALUE"""),"품목명")</f>
        <v>품목명</v>
      </c>
      <c r="E41" s="505" t="str">
        <f ca="1">IFERROR(__xludf.DUMMYFUNCTION("""COMPUTED_VALUE"""),"고객사")</f>
        <v>고객사</v>
      </c>
      <c r="F41" s="508" t="str">
        <f ca="1">IFERROR(__xludf.DUMMYFUNCTION("""COMPUTED_VALUE"""),"영업 담당자")</f>
        <v>영업 담당자</v>
      </c>
      <c r="G41" s="508" t="str">
        <f ca="1">IFERROR(__xludf.DUMMYFUNCTION("""COMPUTED_VALUE"""),"이메일")</f>
        <v>이메일</v>
      </c>
      <c r="H41" s="547" t="str">
        <f ca="1">IFERROR(__xludf.DUMMYFUNCTION("""COMPUTED_VALUE"""),"발행 금액
(VAT별도)")</f>
        <v>발행 금액
(VAT별도)</v>
      </c>
      <c r="I41" s="508"/>
      <c r="J41" s="513" t="str">
        <f ca="1">IFERROR(__xludf.DUMMYFUNCTION("""COMPUTED_VALUE"""),"Code")</f>
        <v>Code</v>
      </c>
      <c r="K41" s="513" t="str">
        <f ca="1">IFERROR(__xludf.DUMMYFUNCTION("""COMPUTED_VALUE"""),"AR 작성")</f>
        <v>AR 작성</v>
      </c>
      <c r="L41" s="505" t="str">
        <f ca="1">IFERROR(__xludf.DUMMYFUNCTION("""COMPUTED_VALUE"""),"완료")</f>
        <v>완료</v>
      </c>
      <c r="M41" s="2"/>
      <c r="N41" s="513" t="str">
        <f ca="1">IFERROR(__xludf.DUMMYFUNCTION("""COMPUTED_VALUE"""),"담당자")</f>
        <v>담당자</v>
      </c>
      <c r="O41" s="513" t="str">
        <f ca="1">IFERROR(__xludf.DUMMYFUNCTION("""COMPUTED_VALUE"""),"이메일")</f>
        <v>이메일</v>
      </c>
      <c r="P41" s="548" t="str">
        <f ca="1">IFERROR(__xludf.DUMMYFUNCTION("""COMPUTED_VALUE"""),"완료")</f>
        <v>완료</v>
      </c>
      <c r="Q41" s="2"/>
      <c r="R41" s="510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 spans="1:31" ht="13">
      <c r="A42" s="505" t="str">
        <f ca="1">IFERROR(__xludf.DUMMYFUNCTION("""COMPUTED_VALUE"""),"07")</f>
        <v>07</v>
      </c>
      <c r="B42" s="505" t="str">
        <f ca="1">IFERROR(__xludf.DUMMYFUNCTION("""COMPUTED_VALUE"""),"HX-PR-15227")</f>
        <v>HX-PR-15227</v>
      </c>
      <c r="C42" s="508" t="str">
        <f ca="1">IFERROR(__xludf.DUMMYFUNCTION("""COMPUTED_VALUE"""),"S240155")</f>
        <v>S240155</v>
      </c>
      <c r="D42" s="1153" t="str">
        <f ca="1">IFERROR(__xludf.DUMMYFUNCTION("""COMPUTED_VALUE"""),"한국자산관리공사 차세대 조세 정리시스템 서버 판매(1차 임대서버 판매)
")</f>
        <v xml:space="preserve">한국자산관리공사 차세대 조세 정리시스템 서버 판매(1차 임대서버 판매)
</v>
      </c>
      <c r="E42" s="1155" t="str">
        <f ca="1">IFERROR(__xludf.DUMMYFUNCTION("""COMPUTED_VALUE"""),"(주)씨아이피시스템")</f>
        <v>(주)씨아이피시스템</v>
      </c>
      <c r="F42" s="1153" t="str">
        <f ca="1">IFERROR(__xludf.DUMMYFUNCTION("""COMPUTED_VALUE"""),"손주원 대리")</f>
        <v>손주원 대리</v>
      </c>
      <c r="G42" s="508" t="str">
        <f ca="1">IFERROR(__xludf.DUMMYFUNCTION("""COMPUTED_VALUE"""),"json@hist.co.kr")</f>
        <v>json@hist.co.kr</v>
      </c>
      <c r="H42" s="551">
        <f ca="1">IFERROR(__xludf.DUMMYFUNCTION("""COMPUTED_VALUE"""),12000000)</f>
        <v>12000000</v>
      </c>
      <c r="I42" s="549"/>
      <c r="J42" s="505" t="str">
        <f ca="1">IFERROR(__xludf.DUMMYFUNCTION("""COMPUTED_VALUE"""),"HX-999-SELSC-SELSCI-412111-0000-S240155-000000-00000")</f>
        <v>HX-999-SELSC-SELSCI-412111-0000-S240155-000000-00000</v>
      </c>
      <c r="K42" s="1156" t="str">
        <f ca="1">IFERROR(__xludf.DUMMYFUNCTION("""COMPUTED_VALUE"""),"ART240807강이슬5228")</f>
        <v>ART240807강이슬5228</v>
      </c>
      <c r="L42" s="505" t="b">
        <f ca="1">IFERROR(__xludf.DUMMYFUNCTION("""COMPUTED_VALUE"""),TRUE)</f>
        <v>1</v>
      </c>
      <c r="M42" s="2"/>
      <c r="N42" s="513" t="str">
        <f ca="1">IFERROR(__xludf.DUMMYFUNCTION("""COMPUTED_VALUE"""),"김종철 상무")</f>
        <v>김종철 상무</v>
      </c>
      <c r="O42" s="513" t="str">
        <f ca="1">IFERROR(__xludf.DUMMYFUNCTION("""COMPUTED_VALUE"""),"kjcpeter@gmail.com")</f>
        <v>kjcpeter@gmail.com</v>
      </c>
      <c r="P42" s="548" t="b">
        <f ca="1">IFERROR(__xludf.DUMMYFUNCTION("""COMPUTED_VALUE"""),TRUE)</f>
        <v>1</v>
      </c>
      <c r="Q42" s="2"/>
      <c r="R42" s="510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 spans="1:31" ht="13">
      <c r="A43" s="505">
        <f ca="1">IFERROR(__xludf.DUMMYFUNCTION("""COMPUTED_VALUE"""),8)</f>
        <v>8</v>
      </c>
      <c r="B43" s="505" t="str">
        <f ca="1">IFERROR(__xludf.DUMMYFUNCTION("""COMPUTED_VALUE"""),"충남보건환경연구원")</f>
        <v>충남보건환경연구원</v>
      </c>
      <c r="C43" s="508"/>
      <c r="D43" s="1154"/>
      <c r="E43" s="1154"/>
      <c r="F43" s="1154"/>
      <c r="G43" s="508"/>
      <c r="H43" s="552">
        <f ca="1">IFERROR(__xludf.DUMMYFUNCTION("""COMPUTED_VALUE"""),6494000)</f>
        <v>6494000</v>
      </c>
      <c r="I43" s="502"/>
      <c r="J43" s="505" t="str">
        <f ca="1">IFERROR(__xludf.DUMMYFUNCTION("""COMPUTED_VALUE"""),"HX-999-99999-SELSCI-412111-0000-S240096-000000-00000")</f>
        <v>HX-999-99999-SELSCI-412111-0000-S240096-000000-00000</v>
      </c>
      <c r="K43" s="1154"/>
      <c r="L43" s="505" t="b">
        <f ca="1">IFERROR(__xludf.DUMMYFUNCTION("""COMPUTED_VALUE"""),TRUE)</f>
        <v>1</v>
      </c>
      <c r="M43" s="2"/>
      <c r="N43" s="513" t="str">
        <f ca="1">IFERROR(__xludf.DUMMYFUNCTION("""COMPUTED_VALUE"""),"최지승 과장")</f>
        <v>최지승 과장</v>
      </c>
      <c r="O43" s="513" t="str">
        <f ca="1">IFERROR(__xludf.DUMMYFUNCTION("""COMPUTED_VALUE"""),"cgs1870@etevers.com")</f>
        <v>cgs1870@etevers.com</v>
      </c>
      <c r="P43" s="548" t="b">
        <f ca="1">IFERROR(__xludf.DUMMYFUNCTION("""COMPUTED_VALUE"""),TRUE)</f>
        <v>1</v>
      </c>
      <c r="Q43" s="2"/>
      <c r="R43" s="510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 spans="1:31" ht="13">
      <c r="A44" s="508">
        <f ca="1">IFERROR(__xludf.DUMMYFUNCTION("""COMPUTED_VALUE"""),8)</f>
        <v>8</v>
      </c>
      <c r="B44" s="508" t="str">
        <f ca="1">IFERROR(__xludf.DUMMYFUNCTION("""COMPUTED_VALUE"""),"㈜글로벌리서치")</f>
        <v>㈜글로벌리서치</v>
      </c>
      <c r="C44" s="508"/>
      <c r="D44" s="508"/>
      <c r="E44" s="508"/>
      <c r="F44" s="508"/>
      <c r="G44" s="508"/>
      <c r="H44" s="553">
        <f ca="1">IFERROR(__xludf.DUMMYFUNCTION("""COMPUTED_VALUE"""),3247000)</f>
        <v>3247000</v>
      </c>
      <c r="I44" s="508"/>
      <c r="J44" s="508" t="str">
        <f ca="1">IFERROR(__xludf.DUMMYFUNCTION("""COMPUTED_VALUE"""),"HX-999-99999-SELSCI-412111-0000-S240122-000000-00000")</f>
        <v>HX-999-99999-SELSCI-412111-0000-S240122-000000-00000</v>
      </c>
      <c r="K44" s="508"/>
      <c r="L44" s="505" t="b">
        <f ca="1">IFERROR(__xludf.DUMMYFUNCTION("""COMPUTED_VALUE"""),TRUE)</f>
        <v>1</v>
      </c>
      <c r="M44" s="2"/>
      <c r="N44" s="554" t="str">
        <f ca="1">IFERROR(__xludf.DUMMYFUNCTION("""COMPUTED_VALUE"""),"최지승 과장")</f>
        <v>최지승 과장</v>
      </c>
      <c r="O44" s="554" t="str">
        <f ca="1">IFERROR(__xludf.DUMMYFUNCTION("""COMPUTED_VALUE"""),"cgs1870@etevers.com")</f>
        <v>cgs1870@etevers.com</v>
      </c>
      <c r="P44" s="548" t="b">
        <f ca="1">IFERROR(__xludf.DUMMYFUNCTION("""COMPUTED_VALUE"""),TRUE)</f>
        <v>1</v>
      </c>
      <c r="Q44" s="2"/>
      <c r="R44" s="508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 spans="1:31" ht="13">
      <c r="A45" s="508" t="str">
        <f ca="1">IFERROR(__xludf.DUMMYFUNCTION("""COMPUTED_VALUE"""),"&lt;9월&gt;")</f>
        <v>&lt;9월&gt;</v>
      </c>
      <c r="B45" s="508"/>
      <c r="C45" s="508"/>
      <c r="D45" s="508"/>
      <c r="E45" s="508"/>
      <c r="F45" s="508"/>
      <c r="G45" s="508"/>
      <c r="H45" s="553"/>
      <c r="I45" s="508"/>
      <c r="J45" s="508"/>
      <c r="K45" s="508"/>
      <c r="L45" s="505" t="b">
        <f ca="1">IFERROR(__xludf.DUMMYFUNCTION("""COMPUTED_VALUE"""),FALSE)</f>
        <v>0</v>
      </c>
      <c r="M45" s="2"/>
      <c r="N45" s="554"/>
      <c r="O45" s="554"/>
      <c r="P45" s="548" t="b">
        <f ca="1">IFERROR(__xludf.DUMMYFUNCTION("""COMPUTED_VALUE"""),FALSE)</f>
        <v>0</v>
      </c>
      <c r="Q45" s="2"/>
      <c r="R45" s="508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spans="1:31" ht="13">
      <c r="A46" s="508">
        <f ca="1">IFERROR(__xludf.DUMMYFUNCTION("""COMPUTED_VALUE"""),30)</f>
        <v>30</v>
      </c>
      <c r="B46" s="508" t="str">
        <f ca="1">IFERROR(__xludf.DUMMYFUNCTION("""COMPUTED_VALUE"""),"HX-PR-15290")</f>
        <v>HX-PR-15290</v>
      </c>
      <c r="C46" s="508" t="str">
        <f ca="1">IFERROR(__xludf.DUMMYFUNCTION("""COMPUTED_VALUE"""),"S240165")</f>
        <v>S240165</v>
      </c>
      <c r="D46" s="508" t="str">
        <f ca="1">IFERROR(__xludf.DUMMYFUNCTION("""COMPUTED_VALUE"""),"매일경제신문사 외 Axgate RMA 사업")</f>
        <v>매일경제신문사 외 Axgate RMA 사업</v>
      </c>
      <c r="E46" s="508" t="str">
        <f ca="1">IFERROR(__xludf.DUMMYFUNCTION("""COMPUTED_VALUE"""),"에이치포넷")</f>
        <v>에이치포넷</v>
      </c>
      <c r="F46" s="508"/>
      <c r="G46" s="508"/>
      <c r="H46" s="553">
        <f ca="1">IFERROR(__xludf.DUMMYFUNCTION("""COMPUTED_VALUE"""),57231000)</f>
        <v>57231000</v>
      </c>
      <c r="I46" s="508"/>
      <c r="J46" s="508" t="str">
        <f ca="1">IFERROR(__xludf.DUMMYFUNCTION("""COMPUTED_VALUE"""),"HX-999-99999-SELSCI-412111-0000-S240165-000000-00000")</f>
        <v>HX-999-99999-SELSCI-412111-0000-S240165-000000-00000</v>
      </c>
      <c r="K46" s="508" t="str">
        <f ca="1">IFERROR(__xludf.DUMMYFUNCTION("""COMPUTED_VALUE"""),"ART240930강이슬5290")</f>
        <v>ART240930강이슬5290</v>
      </c>
      <c r="L46" s="505" t="b">
        <f ca="1">IFERROR(__xludf.DUMMYFUNCTION("""COMPUTED_VALUE"""),TRUE)</f>
        <v>1</v>
      </c>
      <c r="M46" s="2"/>
      <c r="N46" s="554" t="str">
        <f ca="1">IFERROR(__xludf.DUMMYFUNCTION("""COMPUTED_VALUE"""),"황규선 이사")</f>
        <v>황규선 이사</v>
      </c>
      <c r="O46" s="554" t="str">
        <f ca="1">IFERROR(__xludf.DUMMYFUNCTION("""COMPUTED_VALUE"""),"hgs@h4net.co.kr")</f>
        <v>hgs@h4net.co.kr</v>
      </c>
      <c r="P46" s="548" t="b">
        <f ca="1">IFERROR(__xludf.DUMMYFUNCTION("""COMPUTED_VALUE"""),TRUE)</f>
        <v>1</v>
      </c>
      <c r="Q46" s="2"/>
      <c r="R46" s="508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spans="1:31" ht="13">
      <c r="A47" s="508">
        <f ca="1">IFERROR(__xludf.DUMMYFUNCTION("""COMPUTED_VALUE"""),30)</f>
        <v>30</v>
      </c>
      <c r="B47" s="508" t="str">
        <f ca="1">IFERROR(__xludf.DUMMYFUNCTION("""COMPUTED_VALUE"""),"HX-PR-15293")</f>
        <v>HX-PR-15293</v>
      </c>
      <c r="C47" s="508" t="str">
        <f ca="1">IFERROR(__xludf.DUMMYFUNCTION("""COMPUTED_VALUE"""),"S240168")</f>
        <v>S240168</v>
      </c>
      <c r="D47" s="508" t="str">
        <f ca="1">IFERROR(__xludf.DUMMYFUNCTION("""COMPUTED_VALUE"""),"롯데웰푸드 외 Axgate RMA 사업")</f>
        <v>롯데웰푸드 외 Axgate RMA 사업</v>
      </c>
      <c r="E47" s="508" t="str">
        <f ca="1">IFERROR(__xludf.DUMMYFUNCTION("""COMPUTED_VALUE"""),"에이치포넷")</f>
        <v>에이치포넷</v>
      </c>
      <c r="F47" s="508"/>
      <c r="G47" s="508"/>
      <c r="H47" s="553">
        <f ca="1">IFERROR(__xludf.DUMMYFUNCTION("""COMPUTED_VALUE"""),80989000)</f>
        <v>80989000</v>
      </c>
      <c r="I47" s="508"/>
      <c r="J47" s="508" t="str">
        <f ca="1">IFERROR(__xludf.DUMMYFUNCTION("""COMPUTED_VALUE"""),"HX-999-99999-SELSCI-412111-0000-S240168-000000-00000")</f>
        <v>HX-999-99999-SELSCI-412111-0000-S240168-000000-00000</v>
      </c>
      <c r="K47" s="508" t="str">
        <f ca="1">IFERROR(__xludf.DUMMYFUNCTION("""COMPUTED_VALUE"""),"ART240930강이슬5293")</f>
        <v>ART240930강이슬5293</v>
      </c>
      <c r="L47" s="505" t="b">
        <f ca="1">IFERROR(__xludf.DUMMYFUNCTION("""COMPUTED_VALUE"""),TRUE)</f>
        <v>1</v>
      </c>
      <c r="M47" s="2"/>
      <c r="N47" s="554" t="str">
        <f ca="1">IFERROR(__xludf.DUMMYFUNCTION("""COMPUTED_VALUE"""),"황규선 이사")</f>
        <v>황규선 이사</v>
      </c>
      <c r="O47" s="554" t="str">
        <f ca="1">IFERROR(__xludf.DUMMYFUNCTION("""COMPUTED_VALUE"""),"hgs@h4net.co.kr")</f>
        <v>hgs@h4net.co.kr</v>
      </c>
      <c r="P47" s="548" t="b">
        <f ca="1">IFERROR(__xludf.DUMMYFUNCTION("""COMPUTED_VALUE"""),TRUE)</f>
        <v>1</v>
      </c>
      <c r="Q47" s="2"/>
      <c r="R47" s="508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spans="1:31" ht="13">
      <c r="A48" s="508">
        <f ca="1">IFERROR(__xludf.DUMMYFUNCTION("""COMPUTED_VALUE"""),30)</f>
        <v>30</v>
      </c>
      <c r="B48" s="508" t="str">
        <f ca="1">IFERROR(__xludf.DUMMYFUNCTION("""COMPUTED_VALUE"""),"HX-PR-15291")</f>
        <v>HX-PR-15291</v>
      </c>
      <c r="C48" s="508" t="str">
        <f ca="1">IFERROR(__xludf.DUMMYFUNCTION("""COMPUTED_VALUE"""),"S240166")</f>
        <v>S240166</v>
      </c>
      <c r="D48" s="508" t="str">
        <f ca="1">IFERROR(__xludf.DUMMYFUNCTION("""COMPUTED_VALUE"""),"NHN두레이 외 Axgate RMA 사업")</f>
        <v>NHN두레이 외 Axgate RMA 사업</v>
      </c>
      <c r="E48" s="508" t="str">
        <f ca="1">IFERROR(__xludf.DUMMYFUNCTION("""COMPUTED_VALUE"""),"에이치포넷")</f>
        <v>에이치포넷</v>
      </c>
      <c r="F48" s="508"/>
      <c r="G48" s="508"/>
      <c r="H48" s="553">
        <f ca="1">IFERROR(__xludf.DUMMYFUNCTION("""COMPUTED_VALUE"""),77174000)</f>
        <v>77174000</v>
      </c>
      <c r="I48" s="508"/>
      <c r="J48" s="508" t="str">
        <f ca="1">IFERROR(__xludf.DUMMYFUNCTION("""COMPUTED_VALUE"""),"HX-999-99999-SELSCI-412111-0000-S240166-000000-00000")</f>
        <v>HX-999-99999-SELSCI-412111-0000-S240166-000000-00000</v>
      </c>
      <c r="K48" s="508" t="str">
        <f ca="1">IFERROR(__xludf.DUMMYFUNCTION("""COMPUTED_VALUE"""),"ART240930강이슬5291")</f>
        <v>ART240930강이슬5291</v>
      </c>
      <c r="L48" s="505" t="b">
        <f ca="1">IFERROR(__xludf.DUMMYFUNCTION("""COMPUTED_VALUE"""),TRUE)</f>
        <v>1</v>
      </c>
      <c r="M48" s="2"/>
      <c r="N48" s="554" t="str">
        <f ca="1">IFERROR(__xludf.DUMMYFUNCTION("""COMPUTED_VALUE"""),"황규선 이사")</f>
        <v>황규선 이사</v>
      </c>
      <c r="O48" s="554" t="str">
        <f ca="1">IFERROR(__xludf.DUMMYFUNCTION("""COMPUTED_VALUE"""),"hgs@h4net.co.kr")</f>
        <v>hgs@h4net.co.kr</v>
      </c>
      <c r="P48" s="548" t="b">
        <f ca="1">IFERROR(__xludf.DUMMYFUNCTION("""COMPUTED_VALUE"""),TRUE)</f>
        <v>1</v>
      </c>
      <c r="Q48" s="2"/>
      <c r="R48" s="508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spans="1:31" ht="13">
      <c r="A49" s="508">
        <f ca="1">IFERROR(__xludf.DUMMYFUNCTION("""COMPUTED_VALUE"""),30)</f>
        <v>30</v>
      </c>
      <c r="B49" s="508" t="str">
        <f ca="1">IFERROR(__xludf.DUMMYFUNCTION("""COMPUTED_VALUE"""),"HX-PR-15292")</f>
        <v>HX-PR-15292</v>
      </c>
      <c r="C49" s="508" t="str">
        <f ca="1">IFERROR(__xludf.DUMMYFUNCTION("""COMPUTED_VALUE"""),"S240167")</f>
        <v>S240167</v>
      </c>
      <c r="D49" s="508" t="str">
        <f ca="1">IFERROR(__xludf.DUMMYFUNCTION("""COMPUTED_VALUE"""),"광주광역시교육청 외 Axgate RMA 사업")</f>
        <v>광주광역시교육청 외 Axgate RMA 사업</v>
      </c>
      <c r="E49" s="508" t="str">
        <f ca="1">IFERROR(__xludf.DUMMYFUNCTION("""COMPUTED_VALUE"""),"에이치포넷")</f>
        <v>에이치포넷</v>
      </c>
      <c r="F49" s="508"/>
      <c r="G49" s="508"/>
      <c r="H49" s="553">
        <f ca="1">IFERROR(__xludf.DUMMYFUNCTION("""COMPUTED_VALUE"""),90573000)</f>
        <v>90573000</v>
      </c>
      <c r="I49" s="508"/>
      <c r="J49" s="508" t="str">
        <f ca="1">IFERROR(__xludf.DUMMYFUNCTION("""COMPUTED_VALUE"""),"HX-999-99999-SELSCI-412111-0000-S240167-000000-00000")</f>
        <v>HX-999-99999-SELSCI-412111-0000-S240167-000000-00000</v>
      </c>
      <c r="K49" s="508" t="str">
        <f ca="1">IFERROR(__xludf.DUMMYFUNCTION("""COMPUTED_VALUE"""),"ART240930강이슬5292")</f>
        <v>ART240930강이슬5292</v>
      </c>
      <c r="L49" s="505" t="b">
        <f ca="1">IFERROR(__xludf.DUMMYFUNCTION("""COMPUTED_VALUE"""),TRUE)</f>
        <v>1</v>
      </c>
      <c r="M49" s="2"/>
      <c r="N49" s="554" t="str">
        <f ca="1">IFERROR(__xludf.DUMMYFUNCTION("""COMPUTED_VALUE"""),"황규선 이사")</f>
        <v>황규선 이사</v>
      </c>
      <c r="O49" s="554" t="str">
        <f ca="1">IFERROR(__xludf.DUMMYFUNCTION("""COMPUTED_VALUE"""),"hgs@h4net.co.kr")</f>
        <v>hgs@h4net.co.kr</v>
      </c>
      <c r="P49" s="548" t="b">
        <f ca="1">IFERROR(__xludf.DUMMYFUNCTION("""COMPUTED_VALUE"""),TRUE)</f>
        <v>1</v>
      </c>
      <c r="Q49" s="2"/>
      <c r="R49" s="508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spans="1:31" ht="13">
      <c r="A50" s="508" t="str">
        <f ca="1">IFERROR(__xludf.DUMMYFUNCTION("""COMPUTED_VALUE"""),"&lt;10월&gt;")</f>
        <v>&lt;10월&gt;</v>
      </c>
      <c r="B50" s="508"/>
      <c r="C50" s="508"/>
      <c r="D50" s="508"/>
      <c r="E50" s="508"/>
      <c r="F50" s="508"/>
      <c r="G50" s="508"/>
      <c r="H50" s="553"/>
      <c r="I50" s="508"/>
      <c r="J50" s="508"/>
      <c r="K50" s="508"/>
      <c r="L50" s="505" t="b">
        <f ca="1">IFERROR(__xludf.DUMMYFUNCTION("""COMPUTED_VALUE"""),FALSE)</f>
        <v>0</v>
      </c>
      <c r="M50" s="2"/>
      <c r="N50" s="554"/>
      <c r="O50" s="554"/>
      <c r="P50" s="548" t="b">
        <f ca="1">IFERROR(__xludf.DUMMYFUNCTION("""COMPUTED_VALUE"""),FALSE)</f>
        <v>0</v>
      </c>
      <c r="Q50" s="2"/>
      <c r="R50" s="508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spans="1:31" ht="13">
      <c r="A51" s="508">
        <f ca="1">IFERROR(__xludf.DUMMYFUNCTION("""COMPUTED_VALUE"""),16)</f>
        <v>16</v>
      </c>
      <c r="B51" s="508"/>
      <c r="C51" s="508" t="str">
        <f ca="1">IFERROR(__xludf.DUMMYFUNCTION("""COMPUTED_VALUE"""),"S240121")</f>
        <v>S240121</v>
      </c>
      <c r="D51" s="508" t="str">
        <f ca="1">IFERROR(__xludf.DUMMYFUNCTION("""COMPUTED_VALUE"""),"한진정보통신-KT 정보보안 임대형(24년 7월, 8월 준공)_에티버스")</f>
        <v>한진정보통신-KT 정보보안 임대형(24년 7월, 8월 준공)_에티버스</v>
      </c>
      <c r="E51" s="508" t="str">
        <f ca="1">IFERROR(__xludf.DUMMYFUNCTION("""COMPUTED_VALUE"""),"에티버스")</f>
        <v>에티버스</v>
      </c>
      <c r="F51" s="508"/>
      <c r="G51" s="508"/>
      <c r="H51" s="553">
        <f ca="1">IFERROR(__xludf.DUMMYFUNCTION("""COMPUTED_VALUE"""),722000)</f>
        <v>722000</v>
      </c>
      <c r="I51" s="508"/>
      <c r="J51" s="508" t="str">
        <f ca="1">IFERROR(__xludf.DUMMYFUNCTION("""COMPUTED_VALUE"""),"HX-999-99999-SELSCI-412111-0000-S240121-000000-00000")</f>
        <v>HX-999-99999-SELSCI-412111-0000-S240121-000000-00000</v>
      </c>
      <c r="K51" s="508" t="str">
        <f ca="1">IFERROR(__xludf.DUMMYFUNCTION("""COMPUTED_VALUE"""),"ART241016강이슬1423")</f>
        <v>ART241016강이슬1423</v>
      </c>
      <c r="L51" s="505" t="b">
        <f ca="1">IFERROR(__xludf.DUMMYFUNCTION("""COMPUTED_VALUE"""),TRUE)</f>
        <v>1</v>
      </c>
      <c r="M51" s="2"/>
      <c r="N51" s="554" t="str">
        <f ca="1">IFERROR(__xludf.DUMMYFUNCTION("""COMPUTED_VALUE"""),"최지승 과장")</f>
        <v>최지승 과장</v>
      </c>
      <c r="O51" s="554" t="str">
        <f ca="1">IFERROR(__xludf.DUMMYFUNCTION("""COMPUTED_VALUE"""),"cgs1870@etevers.com")</f>
        <v>cgs1870@etevers.com</v>
      </c>
      <c r="P51" s="548" t="b">
        <f ca="1">IFERROR(__xludf.DUMMYFUNCTION("""COMPUTED_VALUE"""),TRUE)</f>
        <v>1</v>
      </c>
      <c r="Q51" s="2"/>
      <c r="R51" s="508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spans="1:31" ht="13">
      <c r="A52" s="508"/>
      <c r="B52" s="508"/>
      <c r="C52" s="508" t="str">
        <f ca="1">IFERROR(__xludf.DUMMYFUNCTION("""COMPUTED_VALUE"""),"S240128")</f>
        <v>S240128</v>
      </c>
      <c r="D52" s="508"/>
      <c r="E52" s="508"/>
      <c r="F52" s="508"/>
      <c r="G52" s="508"/>
      <c r="H52" s="553">
        <f ca="1">IFERROR(__xludf.DUMMYFUNCTION("""COMPUTED_VALUE"""),1096000)</f>
        <v>1096000</v>
      </c>
      <c r="I52" s="508"/>
      <c r="J52" s="508" t="str">
        <f ca="1">IFERROR(__xludf.DUMMYFUNCTION("""COMPUTED_VALUE"""),"HX-999-99999-SELSCI-412111-0000-S240128-000000-00000")</f>
        <v>HX-999-99999-SELSCI-412111-0000-S240128-000000-00000</v>
      </c>
      <c r="K52" s="508"/>
      <c r="L52" s="505" t="b">
        <f ca="1">IFERROR(__xludf.DUMMYFUNCTION("""COMPUTED_VALUE"""),TRUE)</f>
        <v>1</v>
      </c>
      <c r="M52" s="2"/>
      <c r="N52" s="554"/>
      <c r="O52" s="554"/>
      <c r="P52" s="548" t="b">
        <f ca="1">IFERROR(__xludf.DUMMYFUNCTION("""COMPUTED_VALUE"""),TRUE)</f>
        <v>1</v>
      </c>
      <c r="Q52" s="2"/>
      <c r="R52" s="508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spans="1:31" ht="13">
      <c r="A53" s="508"/>
      <c r="B53" s="508"/>
      <c r="C53" s="508" t="str">
        <f ca="1">IFERROR(__xludf.DUMMYFUNCTION("""COMPUTED_VALUE"""),"S240132")</f>
        <v>S240132</v>
      </c>
      <c r="D53" s="508"/>
      <c r="E53" s="508"/>
      <c r="F53" s="508"/>
      <c r="G53" s="508"/>
      <c r="H53" s="553">
        <f ca="1">IFERROR(__xludf.DUMMYFUNCTION("""COMPUTED_VALUE"""),3247000)</f>
        <v>3247000</v>
      </c>
      <c r="I53" s="508"/>
      <c r="J53" s="508" t="str">
        <f ca="1">IFERROR(__xludf.DUMMYFUNCTION("""COMPUTED_VALUE"""),"HX-999-99999-SELSCI-412111-0000-S240132-000000-00000")</f>
        <v>HX-999-99999-SELSCI-412111-0000-S240132-000000-00000</v>
      </c>
      <c r="K53" s="508"/>
      <c r="L53" s="505" t="b">
        <f ca="1">IFERROR(__xludf.DUMMYFUNCTION("""COMPUTED_VALUE"""),TRUE)</f>
        <v>1</v>
      </c>
      <c r="M53" s="2"/>
      <c r="N53" s="554"/>
      <c r="O53" s="554"/>
      <c r="P53" s="548" t="b">
        <f ca="1">IFERROR(__xludf.DUMMYFUNCTION("""COMPUTED_VALUE"""),TRUE)</f>
        <v>1</v>
      </c>
      <c r="Q53" s="2"/>
      <c r="R53" s="508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 spans="1:31" ht="13">
      <c r="A54" s="508"/>
      <c r="B54" s="508"/>
      <c r="C54" s="508" t="str">
        <f ca="1">IFERROR(__xludf.DUMMYFUNCTION("""COMPUTED_VALUE"""),"S240136")</f>
        <v>S240136</v>
      </c>
      <c r="D54" s="508"/>
      <c r="E54" s="508"/>
      <c r="F54" s="508"/>
      <c r="G54" s="508"/>
      <c r="H54" s="553">
        <f ca="1">IFERROR(__xludf.DUMMYFUNCTION("""COMPUTED_VALUE"""),1096000)</f>
        <v>1096000</v>
      </c>
      <c r="I54" s="508"/>
      <c r="J54" s="508" t="str">
        <f ca="1">IFERROR(__xludf.DUMMYFUNCTION("""COMPUTED_VALUE"""),"HX-999-99999-SELSCI-412111-0000-S240136-000000-00000")</f>
        <v>HX-999-99999-SELSCI-412111-0000-S240136-000000-00000</v>
      </c>
      <c r="K54" s="508"/>
      <c r="L54" s="505" t="b">
        <f ca="1">IFERROR(__xludf.DUMMYFUNCTION("""COMPUTED_VALUE"""),TRUE)</f>
        <v>1</v>
      </c>
      <c r="M54" s="2"/>
      <c r="N54" s="554"/>
      <c r="O54" s="554"/>
      <c r="P54" s="548" t="b">
        <f ca="1">IFERROR(__xludf.DUMMYFUNCTION("""COMPUTED_VALUE"""),TRUE)</f>
        <v>1</v>
      </c>
      <c r="Q54" s="2"/>
      <c r="R54" s="508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</row>
    <row r="55" spans="1:31" ht="13">
      <c r="A55" s="508">
        <f ca="1">IFERROR(__xludf.DUMMYFUNCTION("""COMPUTED_VALUE"""),31)</f>
        <v>31</v>
      </c>
      <c r="B55" s="508"/>
      <c r="C55" s="508" t="str">
        <f ca="1">IFERROR(__xludf.DUMMYFUNCTION("""COMPUTED_VALUE"""),"S240190")</f>
        <v>S240190</v>
      </c>
      <c r="D55" s="508" t="str">
        <f ca="1">IFERROR(__xludf.DUMMYFUNCTION("""COMPUTED_VALUE"""),"김앤장 법률사무소, 랜섬웨어 대응 백업 솔루션 판매(Veritas)  ")</f>
        <v xml:space="preserve">김앤장 법률사무소, 랜섬웨어 대응 백업 솔루션 판매(Veritas)  </v>
      </c>
      <c r="E55" s="508" t="str">
        <f ca="1">IFERROR(__xludf.DUMMYFUNCTION("""COMPUTED_VALUE"""),"디에스티인터내셔날")</f>
        <v>디에스티인터내셔날</v>
      </c>
      <c r="F55" s="508"/>
      <c r="G55" s="508"/>
      <c r="H55" s="553">
        <f ca="1">IFERROR(__xludf.DUMMYFUNCTION("""COMPUTED_VALUE"""),405000000)</f>
        <v>405000000</v>
      </c>
      <c r="I55" s="508"/>
      <c r="J55" s="508" t="str">
        <f ca="1">IFERROR(__xludf.DUMMYFUNCTION("""COMPUTED_VALUE"""),"HX-999-99999-SELSCBU-412111-0000-S240190-000000-00000")</f>
        <v>HX-999-99999-SELSCBU-412111-0000-S240190-000000-00000</v>
      </c>
      <c r="K55" s="508" t="str">
        <f ca="1">IFERROR(__xludf.DUMMYFUNCTION("""COMPUTED_VALUE"""),"ART241031강이슬1705")</f>
        <v>ART241031강이슬1705</v>
      </c>
      <c r="L55" s="508" t="b">
        <f ca="1">IFERROR(__xludf.DUMMYFUNCTION("""COMPUTED_VALUE"""),TRUE)</f>
        <v>1</v>
      </c>
      <c r="M55" s="2"/>
      <c r="N55" s="2" t="str">
        <f ca="1">IFERROR(__xludf.DUMMYFUNCTION("""COMPUTED_VALUE"""),"김재천이사")</f>
        <v>김재천이사</v>
      </c>
      <c r="O55" s="555" t="str">
        <f ca="1">IFERROR(__xludf.DUMMYFUNCTION("""COMPUTED_VALUE"""),"jckim@dsti.co.kr")</f>
        <v>jckim@dsti.co.kr</v>
      </c>
      <c r="P55" s="2" t="b">
        <f ca="1">IFERROR(__xludf.DUMMYFUNCTION("""COMPUTED_VALUE"""),TRUE)</f>
        <v>1</v>
      </c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</row>
    <row r="56" spans="1:31" ht="13">
      <c r="A56" s="508"/>
      <c r="B56" s="508"/>
      <c r="C56" s="508"/>
      <c r="D56" s="508"/>
      <c r="E56" s="508"/>
      <c r="F56" s="508"/>
      <c r="G56" s="508"/>
      <c r="H56" s="553"/>
      <c r="I56" s="508"/>
      <c r="J56" s="508"/>
      <c r="K56" s="508"/>
      <c r="L56" s="508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</row>
    <row r="57" spans="1:31" ht="13">
      <c r="A57" s="508"/>
      <c r="B57" s="508"/>
      <c r="C57" s="508"/>
      <c r="D57" s="508"/>
      <c r="E57" s="508"/>
      <c r="F57" s="508"/>
      <c r="G57" s="508"/>
      <c r="H57" s="553"/>
      <c r="I57" s="508"/>
      <c r="J57" s="508"/>
      <c r="K57" s="508"/>
      <c r="L57" s="508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</row>
    <row r="58" spans="1:31" ht="13">
      <c r="A58" s="508"/>
      <c r="B58" s="508"/>
      <c r="C58" s="508"/>
      <c r="D58" s="508"/>
      <c r="E58" s="508"/>
      <c r="F58" s="508"/>
      <c r="G58" s="508"/>
      <c r="H58" s="553"/>
      <c r="I58" s="508"/>
      <c r="J58" s="508"/>
      <c r="K58" s="508"/>
      <c r="L58" s="508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</row>
    <row r="59" spans="1:31" ht="13">
      <c r="A59" s="508"/>
      <c r="B59" s="508"/>
      <c r="C59" s="508"/>
      <c r="D59" s="508"/>
      <c r="E59" s="508"/>
      <c r="F59" s="508"/>
      <c r="G59" s="508"/>
      <c r="H59" s="553"/>
      <c r="I59" s="508"/>
      <c r="J59" s="508"/>
      <c r="K59" s="508"/>
      <c r="L59" s="508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</row>
    <row r="60" spans="1:31" ht="13">
      <c r="A60" s="508"/>
      <c r="B60" s="508"/>
      <c r="C60" s="508"/>
      <c r="D60" s="508"/>
      <c r="E60" s="508"/>
      <c r="F60" s="508"/>
      <c r="G60" s="508"/>
      <c r="H60" s="553"/>
      <c r="I60" s="508"/>
      <c r="J60" s="508"/>
      <c r="K60" s="508"/>
      <c r="L60" s="508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</row>
    <row r="61" spans="1:31" ht="13">
      <c r="A61" s="508"/>
      <c r="B61" s="508"/>
      <c r="C61" s="508"/>
      <c r="D61" s="508"/>
      <c r="E61" s="508"/>
      <c r="F61" s="508"/>
      <c r="G61" s="508"/>
      <c r="H61" s="553"/>
      <c r="I61" s="508"/>
      <c r="J61" s="508"/>
      <c r="K61" s="508"/>
      <c r="L61" s="508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</row>
    <row r="62" spans="1:31" ht="13">
      <c r="A62" s="508"/>
      <c r="B62" s="508"/>
      <c r="C62" s="508"/>
      <c r="D62" s="508"/>
      <c r="E62" s="508"/>
      <c r="F62" s="508"/>
      <c r="G62" s="508"/>
      <c r="H62" s="553"/>
      <c r="I62" s="508"/>
      <c r="J62" s="508"/>
      <c r="K62" s="508"/>
      <c r="L62" s="508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</row>
    <row r="63" spans="1:31" ht="13">
      <c r="A63" s="508"/>
      <c r="B63" s="508"/>
      <c r="C63" s="508"/>
      <c r="D63" s="508"/>
      <c r="E63" s="508"/>
      <c r="F63" s="508"/>
      <c r="G63" s="508"/>
      <c r="H63" s="553"/>
      <c r="I63" s="508"/>
      <c r="J63" s="508"/>
      <c r="K63" s="508"/>
      <c r="L63" s="508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</row>
    <row r="64" spans="1:31" ht="13">
      <c r="A64" s="508"/>
      <c r="B64" s="508"/>
      <c r="C64" s="508"/>
      <c r="D64" s="508"/>
      <c r="E64" s="508"/>
      <c r="F64" s="508"/>
      <c r="G64" s="508"/>
      <c r="H64" s="553"/>
      <c r="I64" s="508"/>
      <c r="J64" s="508"/>
      <c r="K64" s="508"/>
      <c r="L64" s="508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</row>
    <row r="65" spans="1:31" ht="13">
      <c r="A65" s="508"/>
      <c r="B65" s="508"/>
      <c r="C65" s="508"/>
      <c r="D65" s="508"/>
      <c r="E65" s="508"/>
      <c r="F65" s="508"/>
      <c r="G65" s="508"/>
      <c r="H65" s="553"/>
      <c r="I65" s="508"/>
      <c r="J65" s="508"/>
      <c r="K65" s="508"/>
      <c r="L65" s="508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</row>
    <row r="66" spans="1:31" ht="13">
      <c r="A66" s="508"/>
      <c r="B66" s="508"/>
      <c r="C66" s="508"/>
      <c r="D66" s="508"/>
      <c r="E66" s="508"/>
      <c r="F66" s="508"/>
      <c r="G66" s="508"/>
      <c r="H66" s="553"/>
      <c r="I66" s="508"/>
      <c r="J66" s="508"/>
      <c r="K66" s="508"/>
      <c r="L66" s="508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</row>
    <row r="67" spans="1:31" ht="13">
      <c r="A67" s="508"/>
      <c r="B67" s="508"/>
      <c r="C67" s="508"/>
      <c r="D67" s="508"/>
      <c r="E67" s="508"/>
      <c r="F67" s="508"/>
      <c r="G67" s="508"/>
      <c r="H67" s="553"/>
      <c r="I67" s="508"/>
      <c r="J67" s="508"/>
      <c r="K67" s="508"/>
      <c r="L67" s="508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 spans="1:31" ht="13">
      <c r="A68" s="508"/>
      <c r="B68" s="508"/>
      <c r="C68" s="508"/>
      <c r="D68" s="508"/>
      <c r="E68" s="508"/>
      <c r="F68" s="508"/>
      <c r="G68" s="508"/>
      <c r="H68" s="553"/>
      <c r="I68" s="508"/>
      <c r="J68" s="508"/>
      <c r="K68" s="508"/>
      <c r="L68" s="508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 spans="1:31" ht="13">
      <c r="A69" s="508"/>
      <c r="B69" s="508"/>
      <c r="C69" s="508"/>
      <c r="D69" s="508"/>
      <c r="E69" s="508"/>
      <c r="F69" s="508"/>
      <c r="G69" s="508"/>
      <c r="H69" s="553"/>
      <c r="I69" s="508"/>
      <c r="J69" s="508"/>
      <c r="K69" s="508"/>
      <c r="L69" s="508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 spans="1:31" ht="13">
      <c r="A70" s="508"/>
      <c r="B70" s="508"/>
      <c r="C70" s="508"/>
      <c r="D70" s="508"/>
      <c r="E70" s="508"/>
      <c r="F70" s="508"/>
      <c r="G70" s="508"/>
      <c r="H70" s="553"/>
      <c r="I70" s="508"/>
      <c r="J70" s="508"/>
      <c r="K70" s="508"/>
      <c r="L70" s="508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 spans="1:31" ht="13">
      <c r="A71" s="508"/>
      <c r="B71" s="508"/>
      <c r="C71" s="508"/>
      <c r="D71" s="508"/>
      <c r="E71" s="508"/>
      <c r="F71" s="508"/>
      <c r="G71" s="508"/>
      <c r="H71" s="553"/>
      <c r="I71" s="508"/>
      <c r="J71" s="508"/>
      <c r="K71" s="508"/>
      <c r="L71" s="508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 spans="1:31" ht="13">
      <c r="A72" s="508"/>
      <c r="B72" s="508"/>
      <c r="C72" s="508"/>
      <c r="D72" s="508"/>
      <c r="E72" s="508"/>
      <c r="F72" s="508"/>
      <c r="G72" s="508"/>
      <c r="H72" s="553"/>
      <c r="I72" s="508"/>
      <c r="J72" s="508"/>
      <c r="K72" s="508"/>
      <c r="L72" s="508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 spans="1:31" ht="13">
      <c r="A73" s="508"/>
      <c r="B73" s="508"/>
      <c r="C73" s="508"/>
      <c r="D73" s="508"/>
      <c r="E73" s="508"/>
      <c r="F73" s="508"/>
      <c r="G73" s="508"/>
      <c r="H73" s="553"/>
      <c r="I73" s="508"/>
      <c r="J73" s="508"/>
      <c r="K73" s="508"/>
      <c r="L73" s="508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 spans="1:31" ht="13">
      <c r="A74" s="508"/>
      <c r="B74" s="508"/>
      <c r="C74" s="508"/>
      <c r="D74" s="508"/>
      <c r="E74" s="508"/>
      <c r="F74" s="508"/>
      <c r="G74" s="508"/>
      <c r="H74" s="553"/>
      <c r="I74" s="508"/>
      <c r="J74" s="508"/>
      <c r="K74" s="508"/>
      <c r="L74" s="508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 spans="1:31" ht="13">
      <c r="A75" s="508"/>
      <c r="B75" s="508"/>
      <c r="C75" s="508"/>
      <c r="D75" s="508"/>
      <c r="E75" s="508"/>
      <c r="F75" s="508"/>
      <c r="G75" s="508"/>
      <c r="H75" s="553"/>
      <c r="I75" s="508"/>
      <c r="J75" s="508"/>
      <c r="K75" s="508"/>
      <c r="L75" s="508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</row>
    <row r="76" spans="1:31" ht="13">
      <c r="A76" s="508"/>
      <c r="B76" s="508"/>
      <c r="C76" s="508"/>
      <c r="D76" s="508"/>
      <c r="E76" s="508"/>
      <c r="F76" s="508"/>
      <c r="G76" s="508"/>
      <c r="H76" s="553"/>
      <c r="I76" s="508"/>
      <c r="J76" s="508"/>
      <c r="K76" s="508"/>
      <c r="L76" s="508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 spans="1:31" ht="13">
      <c r="A77" s="508"/>
      <c r="B77" s="508"/>
      <c r="C77" s="508"/>
      <c r="D77" s="508"/>
      <c r="E77" s="508"/>
      <c r="F77" s="508"/>
      <c r="G77" s="508"/>
      <c r="H77" s="553"/>
      <c r="I77" s="508"/>
      <c r="J77" s="508"/>
      <c r="K77" s="508"/>
      <c r="L77" s="508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 spans="1:31" ht="13">
      <c r="A78" s="508"/>
      <c r="B78" s="508"/>
      <c r="C78" s="508"/>
      <c r="D78" s="508"/>
      <c r="E78" s="508"/>
      <c r="F78" s="508"/>
      <c r="G78" s="508"/>
      <c r="H78" s="553"/>
      <c r="I78" s="508"/>
      <c r="J78" s="508"/>
      <c r="K78" s="508"/>
      <c r="L78" s="508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 spans="1:31" ht="13">
      <c r="A79" s="508"/>
      <c r="B79" s="508"/>
      <c r="C79" s="508"/>
      <c r="D79" s="508"/>
      <c r="E79" s="508"/>
      <c r="F79" s="508"/>
      <c r="G79" s="508"/>
      <c r="H79" s="553"/>
      <c r="I79" s="508"/>
      <c r="J79" s="508"/>
      <c r="K79" s="508"/>
      <c r="L79" s="508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 spans="1:31" ht="13">
      <c r="A80" s="508"/>
      <c r="B80" s="508"/>
      <c r="C80" s="508"/>
      <c r="D80" s="508"/>
      <c r="E80" s="508"/>
      <c r="F80" s="508"/>
      <c r="G80" s="508"/>
      <c r="H80" s="553"/>
      <c r="I80" s="508"/>
      <c r="J80" s="508"/>
      <c r="K80" s="508"/>
      <c r="L80" s="508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 spans="1:31" ht="13">
      <c r="A81" s="508"/>
      <c r="B81" s="508"/>
      <c r="C81" s="508"/>
      <c r="D81" s="508"/>
      <c r="E81" s="508"/>
      <c r="F81" s="508"/>
      <c r="G81" s="508"/>
      <c r="H81" s="553"/>
      <c r="I81" s="508"/>
      <c r="J81" s="508"/>
      <c r="K81" s="508"/>
      <c r="L81" s="508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 spans="1:31" ht="13">
      <c r="A82" s="508"/>
      <c r="B82" s="508"/>
      <c r="C82" s="508"/>
      <c r="D82" s="508"/>
      <c r="E82" s="508"/>
      <c r="F82" s="508"/>
      <c r="G82" s="508"/>
      <c r="H82" s="553"/>
      <c r="I82" s="508"/>
      <c r="J82" s="508"/>
      <c r="K82" s="508"/>
      <c r="L82" s="508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 spans="1:31" ht="13">
      <c r="A83" s="508"/>
      <c r="B83" s="508"/>
      <c r="C83" s="508"/>
      <c r="D83" s="508"/>
      <c r="E83" s="508"/>
      <c r="F83" s="508"/>
      <c r="G83" s="508"/>
      <c r="H83" s="553"/>
      <c r="I83" s="508"/>
      <c r="J83" s="508"/>
      <c r="K83" s="508"/>
      <c r="L83" s="508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 spans="1:31" ht="13">
      <c r="A84" s="508"/>
      <c r="B84" s="508"/>
      <c r="C84" s="508"/>
      <c r="D84" s="508"/>
      <c r="E84" s="508"/>
      <c r="F84" s="508"/>
      <c r="G84" s="508"/>
      <c r="H84" s="553"/>
      <c r="I84" s="508"/>
      <c r="J84" s="508"/>
      <c r="K84" s="508"/>
      <c r="L84" s="508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 spans="1:31" ht="13">
      <c r="A85" s="508"/>
      <c r="B85" s="508"/>
      <c r="C85" s="508"/>
      <c r="D85" s="508"/>
      <c r="E85" s="508"/>
      <c r="F85" s="508"/>
      <c r="G85" s="508"/>
      <c r="H85" s="553"/>
      <c r="I85" s="508"/>
      <c r="J85" s="508"/>
      <c r="K85" s="508"/>
      <c r="L85" s="508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 spans="1:31" ht="13">
      <c r="A86" s="508"/>
      <c r="B86" s="508"/>
      <c r="C86" s="508"/>
      <c r="D86" s="508"/>
      <c r="E86" s="508"/>
      <c r="F86" s="508"/>
      <c r="G86" s="508"/>
      <c r="H86" s="553"/>
      <c r="I86" s="508"/>
      <c r="J86" s="508"/>
      <c r="K86" s="508"/>
      <c r="L86" s="508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 spans="1:31" ht="13">
      <c r="A87" s="508"/>
      <c r="B87" s="508"/>
      <c r="C87" s="508"/>
      <c r="D87" s="508"/>
      <c r="E87" s="508"/>
      <c r="F87" s="508"/>
      <c r="G87" s="508"/>
      <c r="H87" s="553"/>
      <c r="I87" s="508"/>
      <c r="J87" s="508"/>
      <c r="K87" s="508"/>
      <c r="L87" s="508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 spans="1:31" ht="13">
      <c r="A88" s="508"/>
      <c r="B88" s="508"/>
      <c r="C88" s="508"/>
      <c r="D88" s="508"/>
      <c r="E88" s="508"/>
      <c r="F88" s="508"/>
      <c r="G88" s="508"/>
      <c r="H88" s="553"/>
      <c r="I88" s="508"/>
      <c r="J88" s="508"/>
      <c r="K88" s="508"/>
      <c r="L88" s="508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 spans="1:31" ht="13">
      <c r="A89" s="508"/>
      <c r="B89" s="508"/>
      <c r="C89" s="508"/>
      <c r="D89" s="508"/>
      <c r="E89" s="508"/>
      <c r="F89" s="508"/>
      <c r="G89" s="508"/>
      <c r="H89" s="553"/>
      <c r="I89" s="508"/>
      <c r="J89" s="508"/>
      <c r="K89" s="508"/>
      <c r="L89" s="508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 spans="1:31" ht="13">
      <c r="A90" s="508"/>
      <c r="B90" s="508"/>
      <c r="C90" s="508"/>
      <c r="D90" s="508"/>
      <c r="E90" s="508"/>
      <c r="F90" s="508"/>
      <c r="G90" s="508"/>
      <c r="H90" s="553"/>
      <c r="I90" s="508"/>
      <c r="J90" s="508"/>
      <c r="K90" s="508"/>
      <c r="L90" s="508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 spans="1:31" ht="13">
      <c r="A91" s="508"/>
      <c r="B91" s="508"/>
      <c r="C91" s="508"/>
      <c r="D91" s="508"/>
      <c r="E91" s="508"/>
      <c r="F91" s="508"/>
      <c r="G91" s="508"/>
      <c r="H91" s="553"/>
      <c r="I91" s="508"/>
      <c r="J91" s="508"/>
      <c r="K91" s="508"/>
      <c r="L91" s="508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 spans="1:31" ht="13">
      <c r="A92" s="508"/>
      <c r="B92" s="508"/>
      <c r="C92" s="508"/>
      <c r="D92" s="508"/>
      <c r="E92" s="508"/>
      <c r="F92" s="508"/>
      <c r="G92" s="508"/>
      <c r="H92" s="553"/>
      <c r="I92" s="508"/>
      <c r="J92" s="508"/>
      <c r="K92" s="508"/>
      <c r="L92" s="508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 spans="1:31" ht="13">
      <c r="A93" s="508"/>
      <c r="B93" s="508"/>
      <c r="C93" s="508"/>
      <c r="D93" s="508"/>
      <c r="E93" s="508"/>
      <c r="F93" s="508"/>
      <c r="G93" s="508"/>
      <c r="H93" s="553"/>
      <c r="I93" s="508"/>
      <c r="J93" s="508"/>
      <c r="K93" s="508"/>
      <c r="L93" s="508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 spans="1:31" ht="13">
      <c r="A94" s="508"/>
      <c r="B94" s="508"/>
      <c r="C94" s="508"/>
      <c r="D94" s="508"/>
      <c r="E94" s="508"/>
      <c r="F94" s="508"/>
      <c r="G94" s="508"/>
      <c r="H94" s="553"/>
      <c r="I94" s="508"/>
      <c r="J94" s="508"/>
      <c r="K94" s="508"/>
      <c r="L94" s="508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 spans="1:31" ht="13">
      <c r="A95" s="508"/>
      <c r="B95" s="508"/>
      <c r="C95" s="508"/>
      <c r="D95" s="508"/>
      <c r="E95" s="508"/>
      <c r="F95" s="508"/>
      <c r="G95" s="508"/>
      <c r="H95" s="553"/>
      <c r="I95" s="508"/>
      <c r="J95" s="508"/>
      <c r="K95" s="508"/>
      <c r="L95" s="508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 spans="1:31" ht="13">
      <c r="A96" s="508"/>
      <c r="B96" s="508"/>
      <c r="C96" s="508"/>
      <c r="D96" s="508"/>
      <c r="E96" s="508"/>
      <c r="F96" s="508"/>
      <c r="G96" s="508"/>
      <c r="H96" s="553"/>
      <c r="I96" s="508"/>
      <c r="J96" s="508"/>
      <c r="K96" s="508"/>
      <c r="L96" s="508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</row>
    <row r="97" spans="1:31" ht="13">
      <c r="A97" s="508"/>
      <c r="B97" s="508"/>
      <c r="C97" s="508"/>
      <c r="D97" s="508"/>
      <c r="E97" s="508"/>
      <c r="F97" s="508"/>
      <c r="G97" s="508"/>
      <c r="H97" s="553"/>
      <c r="I97" s="508"/>
      <c r="J97" s="508"/>
      <c r="K97" s="508"/>
      <c r="L97" s="508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spans="1:31" ht="13">
      <c r="A98" s="508"/>
      <c r="B98" s="508"/>
      <c r="C98" s="508"/>
      <c r="D98" s="508"/>
      <c r="E98" s="508"/>
      <c r="F98" s="508"/>
      <c r="G98" s="508"/>
      <c r="H98" s="553"/>
      <c r="I98" s="508"/>
      <c r="J98" s="508"/>
      <c r="K98" s="508"/>
      <c r="L98" s="508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spans="1:31" ht="13">
      <c r="A99" s="508"/>
      <c r="B99" s="508"/>
      <c r="C99" s="508"/>
      <c r="D99" s="508"/>
      <c r="E99" s="508"/>
      <c r="F99" s="508"/>
      <c r="G99" s="508"/>
      <c r="H99" s="553"/>
      <c r="I99" s="508"/>
      <c r="J99" s="508"/>
      <c r="K99" s="508"/>
      <c r="L99" s="508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spans="1:31" ht="13">
      <c r="A100" s="508"/>
      <c r="B100" s="508"/>
      <c r="C100" s="508"/>
      <c r="D100" s="508"/>
      <c r="E100" s="508"/>
      <c r="F100" s="508"/>
      <c r="G100" s="508"/>
      <c r="H100" s="553"/>
      <c r="I100" s="508"/>
      <c r="J100" s="508"/>
      <c r="K100" s="508"/>
      <c r="L100" s="508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spans="1:31" ht="13">
      <c r="A101" s="508"/>
      <c r="B101" s="508"/>
      <c r="C101" s="508"/>
      <c r="D101" s="508"/>
      <c r="E101" s="508"/>
      <c r="F101" s="508"/>
      <c r="G101" s="508"/>
      <c r="H101" s="553"/>
      <c r="I101" s="508"/>
      <c r="J101" s="508"/>
      <c r="K101" s="508"/>
      <c r="L101" s="508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spans="1:31" ht="13">
      <c r="A102" s="508"/>
      <c r="B102" s="508"/>
      <c r="C102" s="508"/>
      <c r="D102" s="508"/>
      <c r="E102" s="508"/>
      <c r="F102" s="508"/>
      <c r="G102" s="508"/>
      <c r="H102" s="553"/>
      <c r="I102" s="508"/>
      <c r="J102" s="508"/>
      <c r="K102" s="508"/>
      <c r="L102" s="508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spans="1:31" ht="13">
      <c r="A103" s="2"/>
      <c r="B103" s="2"/>
      <c r="C103" s="2"/>
      <c r="D103" s="2"/>
      <c r="E103" s="2"/>
      <c r="F103" s="2"/>
      <c r="G103" s="2"/>
      <c r="H103" s="241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spans="1:31" ht="13">
      <c r="A104" s="2"/>
      <c r="B104" s="2"/>
      <c r="C104" s="2"/>
      <c r="D104" s="2"/>
      <c r="E104" s="2"/>
      <c r="F104" s="2"/>
      <c r="G104" s="2"/>
      <c r="H104" s="241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spans="1:31" ht="13">
      <c r="A105" s="2"/>
      <c r="B105" s="2"/>
      <c r="C105" s="2"/>
      <c r="D105" s="2"/>
      <c r="E105" s="2"/>
      <c r="F105" s="2"/>
      <c r="G105" s="2"/>
      <c r="H105" s="241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spans="1:31" ht="13">
      <c r="A106" s="2"/>
      <c r="B106" s="2"/>
      <c r="C106" s="2"/>
      <c r="D106" s="2"/>
      <c r="E106" s="2"/>
      <c r="F106" s="2"/>
      <c r="G106" s="2"/>
      <c r="H106" s="241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spans="1:31" ht="13">
      <c r="A107" s="2"/>
      <c r="B107" s="2"/>
      <c r="C107" s="2"/>
      <c r="D107" s="2"/>
      <c r="E107" s="2"/>
      <c r="F107" s="2"/>
      <c r="G107" s="2"/>
      <c r="H107" s="241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spans="1:31" ht="13">
      <c r="A108" s="2"/>
      <c r="B108" s="2"/>
      <c r="C108" s="2"/>
      <c r="D108" s="2"/>
      <c r="E108" s="2"/>
      <c r="F108" s="2"/>
      <c r="G108" s="2"/>
      <c r="H108" s="241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spans="1:31" ht="13">
      <c r="A109" s="2"/>
      <c r="B109" s="2"/>
      <c r="C109" s="2"/>
      <c r="D109" s="2"/>
      <c r="E109" s="2"/>
      <c r="F109" s="2"/>
      <c r="G109" s="2"/>
      <c r="H109" s="241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spans="1:31" ht="13">
      <c r="A110" s="2"/>
      <c r="B110" s="2"/>
      <c r="C110" s="2"/>
      <c r="D110" s="2"/>
      <c r="E110" s="2"/>
      <c r="F110" s="2"/>
      <c r="G110" s="2"/>
      <c r="H110" s="241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spans="1:31" ht="13">
      <c r="A111" s="2"/>
      <c r="B111" s="2"/>
      <c r="C111" s="2"/>
      <c r="D111" s="2"/>
      <c r="E111" s="2"/>
      <c r="F111" s="2"/>
      <c r="G111" s="2"/>
      <c r="H111" s="241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spans="1:31" ht="13">
      <c r="A112" s="2"/>
      <c r="B112" s="2"/>
      <c r="C112" s="2"/>
      <c r="D112" s="2"/>
      <c r="E112" s="2"/>
      <c r="F112" s="2"/>
      <c r="G112" s="2"/>
      <c r="H112" s="241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spans="1:31" ht="13">
      <c r="A113" s="2"/>
      <c r="B113" s="2"/>
      <c r="C113" s="2"/>
      <c r="D113" s="2"/>
      <c r="E113" s="2"/>
      <c r="F113" s="2"/>
      <c r="G113" s="2"/>
      <c r="H113" s="241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spans="1:31" ht="13">
      <c r="A114" s="2"/>
      <c r="B114" s="2"/>
      <c r="C114" s="2"/>
      <c r="D114" s="2"/>
      <c r="E114" s="2"/>
      <c r="F114" s="2"/>
      <c r="G114" s="2"/>
      <c r="H114" s="241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spans="1:31" ht="13">
      <c r="A115" s="2"/>
      <c r="B115" s="2"/>
      <c r="C115" s="2"/>
      <c r="D115" s="2"/>
      <c r="E115" s="2"/>
      <c r="F115" s="2"/>
      <c r="G115" s="2"/>
      <c r="H115" s="241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spans="1:31" ht="13">
      <c r="A116" s="2"/>
      <c r="B116" s="2"/>
      <c r="C116" s="2"/>
      <c r="D116" s="2"/>
      <c r="E116" s="2"/>
      <c r="F116" s="2"/>
      <c r="G116" s="2"/>
      <c r="H116" s="241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spans="1:31" ht="13">
      <c r="A117" s="2"/>
      <c r="B117" s="2"/>
      <c r="C117" s="2"/>
      <c r="D117" s="2"/>
      <c r="E117" s="2"/>
      <c r="F117" s="2"/>
      <c r="G117" s="2"/>
      <c r="H117" s="241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spans="1:31" ht="13">
      <c r="A118" s="2"/>
      <c r="B118" s="2"/>
      <c r="C118" s="2"/>
      <c r="D118" s="2"/>
      <c r="E118" s="2"/>
      <c r="F118" s="2"/>
      <c r="G118" s="2"/>
      <c r="H118" s="241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spans="1:31" ht="13">
      <c r="A119" s="2"/>
      <c r="B119" s="2"/>
      <c r="C119" s="2"/>
      <c r="D119" s="2"/>
      <c r="E119" s="2"/>
      <c r="F119" s="2"/>
      <c r="G119" s="2"/>
      <c r="H119" s="241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spans="1:31" ht="13">
      <c r="A120" s="2"/>
      <c r="B120" s="2"/>
      <c r="C120" s="2"/>
      <c r="D120" s="2"/>
      <c r="E120" s="2"/>
      <c r="F120" s="2"/>
      <c r="G120" s="2"/>
      <c r="H120" s="241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spans="1:31" ht="13">
      <c r="A121" s="2"/>
      <c r="B121" s="2"/>
      <c r="C121" s="2"/>
      <c r="D121" s="2"/>
      <c r="E121" s="2"/>
      <c r="F121" s="2"/>
      <c r="G121" s="2"/>
      <c r="H121" s="241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spans="1:31" ht="13">
      <c r="A122" s="2"/>
      <c r="B122" s="2"/>
      <c r="C122" s="2"/>
      <c r="D122" s="2"/>
      <c r="E122" s="2"/>
      <c r="F122" s="2"/>
      <c r="G122" s="2"/>
      <c r="H122" s="241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spans="1:31" ht="13">
      <c r="A123" s="2"/>
      <c r="B123" s="2"/>
      <c r="C123" s="2"/>
      <c r="D123" s="2"/>
      <c r="E123" s="2"/>
      <c r="F123" s="2"/>
      <c r="G123" s="2"/>
      <c r="H123" s="241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spans="1:31" ht="13">
      <c r="A124" s="2"/>
      <c r="B124" s="2"/>
      <c r="C124" s="2"/>
      <c r="D124" s="2"/>
      <c r="E124" s="2"/>
      <c r="F124" s="2"/>
      <c r="G124" s="2"/>
      <c r="H124" s="241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spans="1:31" ht="13">
      <c r="A125" s="2"/>
      <c r="B125" s="2"/>
      <c r="C125" s="2"/>
      <c r="D125" s="2"/>
      <c r="E125" s="2"/>
      <c r="F125" s="2"/>
      <c r="G125" s="2"/>
      <c r="H125" s="241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spans="1:31" ht="13">
      <c r="A126" s="2"/>
      <c r="B126" s="2"/>
      <c r="C126" s="2"/>
      <c r="D126" s="2"/>
      <c r="E126" s="2"/>
      <c r="F126" s="2"/>
      <c r="G126" s="2"/>
      <c r="H126" s="241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spans="1:31" ht="13">
      <c r="A127" s="2"/>
      <c r="B127" s="2"/>
      <c r="C127" s="2"/>
      <c r="D127" s="2"/>
      <c r="E127" s="2"/>
      <c r="F127" s="2"/>
      <c r="G127" s="2"/>
      <c r="H127" s="241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spans="1:31" ht="13">
      <c r="A128" s="2"/>
      <c r="B128" s="2"/>
      <c r="C128" s="2"/>
      <c r="D128" s="2"/>
      <c r="E128" s="2"/>
      <c r="F128" s="2"/>
      <c r="G128" s="2"/>
      <c r="H128" s="241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spans="1:31" ht="13">
      <c r="A129" s="2"/>
      <c r="B129" s="2"/>
      <c r="C129" s="2"/>
      <c r="D129" s="2"/>
      <c r="E129" s="2"/>
      <c r="F129" s="2"/>
      <c r="G129" s="2"/>
      <c r="H129" s="241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spans="1:31" ht="13">
      <c r="A130" s="2"/>
      <c r="B130" s="2"/>
      <c r="C130" s="2"/>
      <c r="D130" s="2"/>
      <c r="E130" s="2"/>
      <c r="F130" s="2"/>
      <c r="G130" s="2"/>
      <c r="H130" s="241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spans="1:31" ht="13">
      <c r="A131" s="2"/>
      <c r="B131" s="2"/>
      <c r="C131" s="2"/>
      <c r="D131" s="2"/>
      <c r="E131" s="2"/>
      <c r="F131" s="2"/>
      <c r="G131" s="2"/>
      <c r="H131" s="241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spans="1:31" ht="13">
      <c r="A132" s="2"/>
      <c r="B132" s="2"/>
      <c r="C132" s="2"/>
      <c r="D132" s="2"/>
      <c r="E132" s="2"/>
      <c r="F132" s="2"/>
      <c r="G132" s="2"/>
      <c r="H132" s="241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spans="1:31" ht="13">
      <c r="A133" s="2"/>
      <c r="B133" s="2"/>
      <c r="C133" s="2"/>
      <c r="D133" s="2"/>
      <c r="E133" s="2"/>
      <c r="F133" s="2"/>
      <c r="G133" s="2"/>
      <c r="H133" s="241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spans="1:31" ht="13">
      <c r="A134" s="2"/>
      <c r="B134" s="2"/>
      <c r="C134" s="2"/>
      <c r="D134" s="2"/>
      <c r="E134" s="2"/>
      <c r="F134" s="2"/>
      <c r="G134" s="2"/>
      <c r="H134" s="241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spans="1:31" ht="13">
      <c r="A135" s="2"/>
      <c r="B135" s="2"/>
      <c r="C135" s="2"/>
      <c r="D135" s="2"/>
      <c r="E135" s="2"/>
      <c r="F135" s="2"/>
      <c r="G135" s="2"/>
      <c r="H135" s="241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spans="1:31" ht="13">
      <c r="A136" s="2"/>
      <c r="B136" s="2"/>
      <c r="C136" s="2"/>
      <c r="D136" s="2"/>
      <c r="E136" s="2"/>
      <c r="F136" s="2"/>
      <c r="G136" s="2"/>
      <c r="H136" s="241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spans="1:31" ht="13">
      <c r="A137" s="2"/>
      <c r="B137" s="2"/>
      <c r="C137" s="2"/>
      <c r="D137" s="2"/>
      <c r="E137" s="2"/>
      <c r="F137" s="2"/>
      <c r="G137" s="2"/>
      <c r="H137" s="241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spans="1:31" ht="13">
      <c r="A138" s="2"/>
      <c r="B138" s="2"/>
      <c r="C138" s="2"/>
      <c r="D138" s="2"/>
      <c r="E138" s="2"/>
      <c r="F138" s="2"/>
      <c r="G138" s="2"/>
      <c r="H138" s="241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spans="1:31" ht="13">
      <c r="A139" s="2"/>
      <c r="B139" s="2"/>
      <c r="C139" s="2"/>
      <c r="D139" s="2"/>
      <c r="E139" s="2"/>
      <c r="F139" s="2"/>
      <c r="G139" s="2"/>
      <c r="H139" s="241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spans="1:31" ht="13">
      <c r="A140" s="2"/>
      <c r="B140" s="2"/>
      <c r="C140" s="2"/>
      <c r="D140" s="2"/>
      <c r="E140" s="2"/>
      <c r="F140" s="2"/>
      <c r="G140" s="2"/>
      <c r="H140" s="241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spans="1:31" ht="13">
      <c r="A141" s="2"/>
      <c r="B141" s="2"/>
      <c r="C141" s="2"/>
      <c r="D141" s="2"/>
      <c r="E141" s="2"/>
      <c r="F141" s="2"/>
      <c r="G141" s="2"/>
      <c r="H141" s="241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spans="1:31" ht="13">
      <c r="A142" s="2"/>
      <c r="B142" s="2"/>
      <c r="C142" s="2"/>
      <c r="D142" s="2"/>
      <c r="E142" s="2"/>
      <c r="F142" s="2"/>
      <c r="G142" s="2"/>
      <c r="H142" s="241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spans="1:31" ht="13">
      <c r="A143" s="2"/>
      <c r="B143" s="2"/>
      <c r="C143" s="2"/>
      <c r="D143" s="2"/>
      <c r="E143" s="2"/>
      <c r="F143" s="2"/>
      <c r="G143" s="2"/>
      <c r="H143" s="241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spans="1:31" ht="13">
      <c r="A144" s="2"/>
      <c r="B144" s="2"/>
      <c r="C144" s="2"/>
      <c r="D144" s="2"/>
      <c r="E144" s="2"/>
      <c r="F144" s="2"/>
      <c r="G144" s="2"/>
      <c r="H144" s="241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spans="1:31" ht="13">
      <c r="A145" s="2"/>
      <c r="B145" s="2"/>
      <c r="C145" s="2"/>
      <c r="D145" s="2"/>
      <c r="E145" s="2"/>
      <c r="F145" s="2"/>
      <c r="G145" s="2"/>
      <c r="H145" s="241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spans="1:31" ht="13">
      <c r="A146" s="2"/>
      <c r="B146" s="2"/>
      <c r="C146" s="2"/>
      <c r="D146" s="2"/>
      <c r="E146" s="2"/>
      <c r="F146" s="2"/>
      <c r="G146" s="2"/>
      <c r="H146" s="241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spans="1:31" ht="13">
      <c r="A147" s="2"/>
      <c r="B147" s="2"/>
      <c r="C147" s="2"/>
      <c r="D147" s="2"/>
      <c r="E147" s="2"/>
      <c r="F147" s="2"/>
      <c r="G147" s="2"/>
      <c r="H147" s="241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spans="1:31" ht="13">
      <c r="A148" s="2"/>
      <c r="B148" s="2"/>
      <c r="C148" s="2"/>
      <c r="D148" s="2"/>
      <c r="E148" s="2"/>
      <c r="F148" s="2"/>
      <c r="G148" s="2"/>
      <c r="H148" s="241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spans="1:31" ht="13">
      <c r="A149" s="2"/>
      <c r="B149" s="2"/>
      <c r="C149" s="2"/>
      <c r="D149" s="2"/>
      <c r="E149" s="2"/>
      <c r="F149" s="2"/>
      <c r="G149" s="2"/>
      <c r="H149" s="241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spans="1:31" ht="13">
      <c r="A150" s="2"/>
      <c r="B150" s="2"/>
      <c r="C150" s="2"/>
      <c r="D150" s="2"/>
      <c r="E150" s="2"/>
      <c r="F150" s="2"/>
      <c r="G150" s="2"/>
      <c r="H150" s="241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spans="1:31" ht="13">
      <c r="A151" s="2"/>
      <c r="B151" s="2"/>
      <c r="C151" s="2"/>
      <c r="D151" s="2"/>
      <c r="E151" s="2"/>
      <c r="F151" s="2"/>
      <c r="G151" s="2"/>
      <c r="H151" s="241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spans="1:31" ht="13">
      <c r="A152" s="2"/>
      <c r="B152" s="2"/>
      <c r="C152" s="2"/>
      <c r="D152" s="2"/>
      <c r="E152" s="2"/>
      <c r="F152" s="2"/>
      <c r="G152" s="2"/>
      <c r="H152" s="241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spans="1:31" ht="13">
      <c r="A153" s="2"/>
      <c r="B153" s="2"/>
      <c r="C153" s="2"/>
      <c r="D153" s="2"/>
      <c r="E153" s="2"/>
      <c r="F153" s="2"/>
      <c r="G153" s="2"/>
      <c r="H153" s="241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spans="1:31" ht="13">
      <c r="A154" s="2"/>
      <c r="B154" s="2"/>
      <c r="C154" s="2"/>
      <c r="D154" s="2"/>
      <c r="E154" s="2"/>
      <c r="F154" s="2"/>
      <c r="G154" s="2"/>
      <c r="H154" s="241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spans="1:31" ht="13">
      <c r="A155" s="2"/>
      <c r="B155" s="2"/>
      <c r="C155" s="2"/>
      <c r="D155" s="2"/>
      <c r="E155" s="2"/>
      <c r="F155" s="2"/>
      <c r="G155" s="2"/>
      <c r="H155" s="241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spans="1:31" ht="13">
      <c r="A156" s="2"/>
      <c r="B156" s="2"/>
      <c r="C156" s="2"/>
      <c r="D156" s="2"/>
      <c r="E156" s="2"/>
      <c r="F156" s="2"/>
      <c r="G156" s="2"/>
      <c r="H156" s="241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spans="1:31" ht="13">
      <c r="A157" s="2"/>
      <c r="B157" s="2"/>
      <c r="C157" s="2"/>
      <c r="D157" s="2"/>
      <c r="E157" s="2"/>
      <c r="F157" s="2"/>
      <c r="G157" s="2"/>
      <c r="H157" s="241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spans="1:31" ht="13">
      <c r="A158" s="2"/>
      <c r="B158" s="2"/>
      <c r="C158" s="2"/>
      <c r="D158" s="2"/>
      <c r="E158" s="2"/>
      <c r="F158" s="2"/>
      <c r="G158" s="2"/>
      <c r="H158" s="241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spans="1:31" ht="13">
      <c r="A159" s="2"/>
      <c r="B159" s="2"/>
      <c r="C159" s="2"/>
      <c r="D159" s="2"/>
      <c r="E159" s="2"/>
      <c r="F159" s="2"/>
      <c r="G159" s="2"/>
      <c r="H159" s="241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spans="1:31" ht="13">
      <c r="A160" s="2"/>
      <c r="B160" s="2"/>
      <c r="C160" s="2"/>
      <c r="D160" s="2"/>
      <c r="E160" s="2"/>
      <c r="F160" s="2"/>
      <c r="G160" s="2"/>
      <c r="H160" s="241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spans="1:31" ht="13">
      <c r="A161" s="2"/>
      <c r="B161" s="2"/>
      <c r="C161" s="2"/>
      <c r="D161" s="2"/>
      <c r="E161" s="2"/>
      <c r="F161" s="2"/>
      <c r="G161" s="2"/>
      <c r="H161" s="241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spans="1:31" ht="13">
      <c r="A162" s="2"/>
      <c r="B162" s="2"/>
      <c r="C162" s="2"/>
      <c r="D162" s="2"/>
      <c r="E162" s="2"/>
      <c r="F162" s="2"/>
      <c r="G162" s="2"/>
      <c r="H162" s="241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spans="1:31" ht="13">
      <c r="A163" s="2"/>
      <c r="B163" s="2"/>
      <c r="C163" s="2"/>
      <c r="D163" s="2"/>
      <c r="E163" s="2"/>
      <c r="F163" s="2"/>
      <c r="G163" s="2"/>
      <c r="H163" s="241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spans="1:31" ht="13">
      <c r="A164" s="2"/>
      <c r="B164" s="2"/>
      <c r="C164" s="2"/>
      <c r="D164" s="2"/>
      <c r="E164" s="2"/>
      <c r="F164" s="2"/>
      <c r="G164" s="2"/>
      <c r="H164" s="241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spans="1:31" ht="13">
      <c r="A165" s="2"/>
      <c r="B165" s="2"/>
      <c r="C165" s="2"/>
      <c r="D165" s="2"/>
      <c r="E165" s="2"/>
      <c r="F165" s="2"/>
      <c r="G165" s="2"/>
      <c r="H165" s="241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spans="1:31" ht="13">
      <c r="A166" s="2"/>
      <c r="B166" s="2"/>
      <c r="C166" s="2"/>
      <c r="D166" s="2"/>
      <c r="E166" s="2"/>
      <c r="F166" s="2"/>
      <c r="G166" s="2"/>
      <c r="H166" s="241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spans="1:31" ht="13">
      <c r="A167" s="2"/>
      <c r="B167" s="2"/>
      <c r="C167" s="2"/>
      <c r="D167" s="2"/>
      <c r="E167" s="2"/>
      <c r="F167" s="2"/>
      <c r="G167" s="2"/>
      <c r="H167" s="241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spans="1:31" ht="13">
      <c r="A168" s="2"/>
      <c r="B168" s="2"/>
      <c r="C168" s="2"/>
      <c r="D168" s="2"/>
      <c r="E168" s="2"/>
      <c r="F168" s="2"/>
      <c r="G168" s="2"/>
      <c r="H168" s="241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spans="1:31" ht="13">
      <c r="A169" s="2"/>
      <c r="B169" s="2"/>
      <c r="C169" s="2"/>
      <c r="D169" s="2"/>
      <c r="E169" s="2"/>
      <c r="F169" s="2"/>
      <c r="G169" s="2"/>
      <c r="H169" s="241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spans="1:31" ht="13">
      <c r="A170" s="2"/>
      <c r="B170" s="2"/>
      <c r="C170" s="2"/>
      <c r="D170" s="2"/>
      <c r="E170" s="2"/>
      <c r="F170" s="2"/>
      <c r="G170" s="2"/>
      <c r="H170" s="241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spans="1:31" ht="13">
      <c r="A171" s="2"/>
      <c r="B171" s="2"/>
      <c r="C171" s="2"/>
      <c r="D171" s="2"/>
      <c r="E171" s="2"/>
      <c r="F171" s="2"/>
      <c r="G171" s="2"/>
      <c r="H171" s="241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spans="1:31" ht="13">
      <c r="A172" s="2"/>
      <c r="B172" s="2"/>
      <c r="C172" s="2"/>
      <c r="D172" s="2"/>
      <c r="E172" s="2"/>
      <c r="F172" s="2"/>
      <c r="G172" s="2"/>
      <c r="H172" s="241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spans="1:31" ht="13">
      <c r="A173" s="2"/>
      <c r="B173" s="2"/>
      <c r="C173" s="2"/>
      <c r="D173" s="2"/>
      <c r="E173" s="2"/>
      <c r="F173" s="2"/>
      <c r="G173" s="2"/>
      <c r="H173" s="241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spans="1:31" ht="13">
      <c r="A174" s="2"/>
      <c r="B174" s="2"/>
      <c r="C174" s="2"/>
      <c r="D174" s="2"/>
      <c r="E174" s="2"/>
      <c r="F174" s="2"/>
      <c r="G174" s="2"/>
      <c r="H174" s="241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spans="1:31" ht="13">
      <c r="A175" s="2"/>
      <c r="B175" s="2"/>
      <c r="C175" s="2"/>
      <c r="D175" s="2"/>
      <c r="E175" s="2"/>
      <c r="F175" s="2"/>
      <c r="G175" s="2"/>
      <c r="H175" s="241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spans="1:31" ht="13">
      <c r="A176" s="2"/>
      <c r="B176" s="2"/>
      <c r="C176" s="2"/>
      <c r="D176" s="2"/>
      <c r="E176" s="2"/>
      <c r="F176" s="2"/>
      <c r="G176" s="2"/>
      <c r="H176" s="241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spans="1:31" ht="13">
      <c r="A177" s="2"/>
      <c r="B177" s="2"/>
      <c r="C177" s="2"/>
      <c r="D177" s="2"/>
      <c r="E177" s="2"/>
      <c r="F177" s="2"/>
      <c r="G177" s="2"/>
      <c r="H177" s="241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spans="1:31" ht="13">
      <c r="A178" s="2"/>
      <c r="B178" s="2"/>
      <c r="C178" s="2"/>
      <c r="D178" s="2"/>
      <c r="E178" s="2"/>
      <c r="F178" s="2"/>
      <c r="G178" s="2"/>
      <c r="H178" s="241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spans="1:31" ht="13">
      <c r="A179" s="2"/>
      <c r="B179" s="2"/>
      <c r="C179" s="2"/>
      <c r="D179" s="2"/>
      <c r="E179" s="2"/>
      <c r="F179" s="2"/>
      <c r="G179" s="2"/>
      <c r="H179" s="241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spans="1:31" ht="13">
      <c r="A180" s="2"/>
      <c r="B180" s="2"/>
      <c r="C180" s="2"/>
      <c r="D180" s="2"/>
      <c r="E180" s="2"/>
      <c r="F180" s="2"/>
      <c r="G180" s="2"/>
      <c r="H180" s="241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spans="1:31" ht="13">
      <c r="A181" s="2"/>
      <c r="B181" s="2"/>
      <c r="C181" s="2"/>
      <c r="D181" s="2"/>
      <c r="E181" s="2"/>
      <c r="F181" s="2"/>
      <c r="G181" s="2"/>
      <c r="H181" s="241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spans="1:31" ht="13">
      <c r="A182" s="2"/>
      <c r="B182" s="2"/>
      <c r="C182" s="2"/>
      <c r="D182" s="2"/>
      <c r="E182" s="2"/>
      <c r="F182" s="2"/>
      <c r="G182" s="2"/>
      <c r="H182" s="241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spans="1:31" ht="13">
      <c r="A183" s="2"/>
      <c r="B183" s="2"/>
      <c r="C183" s="2"/>
      <c r="D183" s="2"/>
      <c r="E183" s="2"/>
      <c r="F183" s="2"/>
      <c r="G183" s="2"/>
      <c r="H183" s="241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spans="1:31" ht="13">
      <c r="A184" s="2"/>
      <c r="B184" s="2"/>
      <c r="C184" s="2"/>
      <c r="D184" s="2"/>
      <c r="E184" s="2"/>
      <c r="F184" s="2"/>
      <c r="G184" s="2"/>
      <c r="H184" s="241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spans="1:31" ht="13">
      <c r="A185" s="2"/>
      <c r="B185" s="2"/>
      <c r="C185" s="2"/>
      <c r="D185" s="2"/>
      <c r="E185" s="2"/>
      <c r="F185" s="2"/>
      <c r="G185" s="2"/>
      <c r="H185" s="241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spans="1:31" ht="13">
      <c r="A186" s="2"/>
      <c r="B186" s="2"/>
      <c r="C186" s="2"/>
      <c r="D186" s="2"/>
      <c r="E186" s="2"/>
      <c r="F186" s="2"/>
      <c r="G186" s="2"/>
      <c r="H186" s="241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spans="1:31" ht="13">
      <c r="A187" s="2"/>
      <c r="B187" s="2"/>
      <c r="C187" s="2"/>
      <c r="D187" s="2"/>
      <c r="E187" s="2"/>
      <c r="F187" s="2"/>
      <c r="G187" s="2"/>
      <c r="H187" s="241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spans="1:31" ht="13">
      <c r="A188" s="2"/>
      <c r="B188" s="2"/>
      <c r="C188" s="2"/>
      <c r="D188" s="2"/>
      <c r="E188" s="2"/>
      <c r="F188" s="2"/>
      <c r="G188" s="2"/>
      <c r="H188" s="241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spans="1:31" ht="13">
      <c r="A189" s="2"/>
      <c r="B189" s="2"/>
      <c r="C189" s="2"/>
      <c r="D189" s="2"/>
      <c r="E189" s="2"/>
      <c r="F189" s="2"/>
      <c r="G189" s="2"/>
      <c r="H189" s="241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spans="1:31" ht="13">
      <c r="A190" s="2"/>
      <c r="B190" s="2"/>
      <c r="C190" s="2"/>
      <c r="D190" s="2"/>
      <c r="E190" s="2"/>
      <c r="F190" s="2"/>
      <c r="G190" s="2"/>
      <c r="H190" s="241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spans="1:31" ht="13">
      <c r="A191" s="2"/>
      <c r="B191" s="2"/>
      <c r="C191" s="2"/>
      <c r="D191" s="2"/>
      <c r="E191" s="2"/>
      <c r="F191" s="2"/>
      <c r="G191" s="2"/>
      <c r="H191" s="241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spans="1:31" ht="13">
      <c r="A192" s="2"/>
      <c r="B192" s="2"/>
      <c r="C192" s="2"/>
      <c r="D192" s="2"/>
      <c r="E192" s="2"/>
      <c r="F192" s="2"/>
      <c r="G192" s="2"/>
      <c r="H192" s="241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spans="1:31" ht="13">
      <c r="A193" s="2"/>
      <c r="B193" s="2"/>
      <c r="C193" s="2"/>
      <c r="D193" s="2"/>
      <c r="E193" s="2"/>
      <c r="F193" s="2"/>
      <c r="G193" s="2"/>
      <c r="H193" s="241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spans="1:31" ht="13">
      <c r="A194" s="2"/>
      <c r="B194" s="2"/>
      <c r="C194" s="2"/>
      <c r="D194" s="2"/>
      <c r="E194" s="2"/>
      <c r="F194" s="2"/>
      <c r="G194" s="2"/>
      <c r="H194" s="241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spans="1:31" ht="13">
      <c r="A195" s="2"/>
      <c r="B195" s="2"/>
      <c r="C195" s="2"/>
      <c r="D195" s="2"/>
      <c r="E195" s="2"/>
      <c r="F195" s="2"/>
      <c r="G195" s="2"/>
      <c r="H195" s="241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spans="1:31" ht="13">
      <c r="A196" s="2"/>
      <c r="B196" s="2"/>
      <c r="C196" s="2"/>
      <c r="D196" s="2"/>
      <c r="E196" s="2"/>
      <c r="F196" s="2"/>
      <c r="G196" s="2"/>
      <c r="H196" s="241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spans="1:31" ht="13">
      <c r="A197" s="2"/>
      <c r="B197" s="2"/>
      <c r="C197" s="2"/>
      <c r="D197" s="2"/>
      <c r="E197" s="2"/>
      <c r="F197" s="2"/>
      <c r="G197" s="2"/>
      <c r="H197" s="241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spans="1:31" ht="13">
      <c r="A198" s="2"/>
      <c r="B198" s="2"/>
      <c r="C198" s="2"/>
      <c r="D198" s="2"/>
      <c r="E198" s="2"/>
      <c r="F198" s="2"/>
      <c r="G198" s="2"/>
      <c r="H198" s="241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spans="1:31" ht="13">
      <c r="A199" s="2"/>
      <c r="B199" s="2"/>
      <c r="C199" s="2"/>
      <c r="D199" s="2"/>
      <c r="E199" s="2"/>
      <c r="F199" s="2"/>
      <c r="G199" s="2"/>
      <c r="H199" s="241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spans="1:31" ht="13">
      <c r="A200" s="2"/>
      <c r="B200" s="2"/>
      <c r="C200" s="2"/>
      <c r="D200" s="2"/>
      <c r="E200" s="2"/>
      <c r="F200" s="2"/>
      <c r="G200" s="2"/>
      <c r="H200" s="241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spans="1:31" ht="13">
      <c r="A201" s="2"/>
      <c r="B201" s="2"/>
      <c r="C201" s="2"/>
      <c r="D201" s="2"/>
      <c r="E201" s="2"/>
      <c r="F201" s="2"/>
      <c r="G201" s="2"/>
      <c r="H201" s="241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spans="1:31" ht="13">
      <c r="A202" s="2"/>
      <c r="B202" s="2"/>
      <c r="C202" s="2"/>
      <c r="D202" s="2"/>
      <c r="E202" s="2"/>
      <c r="F202" s="2"/>
      <c r="G202" s="2"/>
      <c r="H202" s="241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spans="1:31" ht="13">
      <c r="A203" s="2"/>
      <c r="B203" s="2"/>
      <c r="C203" s="2"/>
      <c r="D203" s="2"/>
      <c r="E203" s="2"/>
      <c r="F203" s="2"/>
      <c r="G203" s="2"/>
      <c r="H203" s="241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spans="1:31" ht="13">
      <c r="A204" s="2"/>
      <c r="B204" s="2"/>
      <c r="C204" s="2"/>
      <c r="D204" s="2"/>
      <c r="E204" s="2"/>
      <c r="F204" s="2"/>
      <c r="G204" s="2"/>
      <c r="H204" s="241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spans="1:31" ht="13">
      <c r="A205" s="2"/>
      <c r="B205" s="2"/>
      <c r="C205" s="2"/>
      <c r="D205" s="2"/>
      <c r="E205" s="2"/>
      <c r="F205" s="2"/>
      <c r="G205" s="2"/>
      <c r="H205" s="241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spans="1:31" ht="13">
      <c r="A206" s="2"/>
      <c r="B206" s="2"/>
      <c r="C206" s="2"/>
      <c r="D206" s="2"/>
      <c r="E206" s="2"/>
      <c r="F206" s="2"/>
      <c r="G206" s="2"/>
      <c r="H206" s="241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spans="1:31" ht="13">
      <c r="A207" s="2"/>
      <c r="B207" s="2"/>
      <c r="C207" s="2"/>
      <c r="D207" s="2"/>
      <c r="E207" s="2"/>
      <c r="F207" s="2"/>
      <c r="G207" s="2"/>
      <c r="H207" s="241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spans="1:31" ht="13">
      <c r="A208" s="2"/>
      <c r="B208" s="2"/>
      <c r="C208" s="2"/>
      <c r="D208" s="2"/>
      <c r="E208" s="2"/>
      <c r="F208" s="2"/>
      <c r="G208" s="2"/>
      <c r="H208" s="241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spans="1:31" ht="13">
      <c r="A209" s="2"/>
      <c r="B209" s="2"/>
      <c r="C209" s="2"/>
      <c r="D209" s="2"/>
      <c r="E209" s="2"/>
      <c r="F209" s="2"/>
      <c r="G209" s="2"/>
      <c r="H209" s="241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spans="1:31" ht="13">
      <c r="A210" s="2"/>
      <c r="B210" s="2"/>
      <c r="C210" s="2"/>
      <c r="D210" s="2"/>
      <c r="E210" s="2"/>
      <c r="F210" s="2"/>
      <c r="G210" s="2"/>
      <c r="H210" s="241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spans="1:31" ht="13">
      <c r="A211" s="2"/>
      <c r="B211" s="2"/>
      <c r="C211" s="2"/>
      <c r="D211" s="2"/>
      <c r="E211" s="2"/>
      <c r="F211" s="2"/>
      <c r="G211" s="2"/>
      <c r="H211" s="241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spans="1:31" ht="13">
      <c r="A212" s="2"/>
      <c r="B212" s="2"/>
      <c r="C212" s="2"/>
      <c r="D212" s="2"/>
      <c r="E212" s="2"/>
      <c r="F212" s="2"/>
      <c r="G212" s="2"/>
      <c r="H212" s="241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spans="1:31" ht="13">
      <c r="A213" s="2"/>
      <c r="B213" s="2"/>
      <c r="C213" s="2"/>
      <c r="D213" s="2"/>
      <c r="E213" s="2"/>
      <c r="F213" s="2"/>
      <c r="G213" s="2"/>
      <c r="H213" s="241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spans="1:31" ht="13">
      <c r="A214" s="2"/>
      <c r="B214" s="2"/>
      <c r="C214" s="2"/>
      <c r="D214" s="2"/>
      <c r="E214" s="2"/>
      <c r="F214" s="2"/>
      <c r="G214" s="2"/>
      <c r="H214" s="241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spans="1:31" ht="13">
      <c r="A215" s="2"/>
      <c r="B215" s="2"/>
      <c r="C215" s="2"/>
      <c r="D215" s="2"/>
      <c r="E215" s="2"/>
      <c r="F215" s="2"/>
      <c r="G215" s="2"/>
      <c r="H215" s="241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spans="1:31" ht="13">
      <c r="A216" s="2"/>
      <c r="B216" s="2"/>
      <c r="C216" s="2"/>
      <c r="D216" s="2"/>
      <c r="E216" s="2"/>
      <c r="F216" s="2"/>
      <c r="G216" s="2"/>
      <c r="H216" s="241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spans="1:31" ht="13">
      <c r="A217" s="2"/>
      <c r="B217" s="2"/>
      <c r="C217" s="2"/>
      <c r="D217" s="2"/>
      <c r="E217" s="2"/>
      <c r="F217" s="2"/>
      <c r="G217" s="2"/>
      <c r="H217" s="241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spans="1:31" ht="13">
      <c r="A218" s="2"/>
      <c r="B218" s="2"/>
      <c r="C218" s="2"/>
      <c r="D218" s="2"/>
      <c r="E218" s="2"/>
      <c r="F218" s="2"/>
      <c r="G218" s="2"/>
      <c r="H218" s="241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spans="1:31" ht="13">
      <c r="A219" s="2"/>
      <c r="B219" s="2"/>
      <c r="C219" s="2"/>
      <c r="D219" s="2"/>
      <c r="E219" s="2"/>
      <c r="F219" s="2"/>
      <c r="G219" s="2"/>
      <c r="H219" s="241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spans="1:31" ht="13">
      <c r="A220" s="2"/>
      <c r="B220" s="2"/>
      <c r="C220" s="2"/>
      <c r="D220" s="2"/>
      <c r="E220" s="2"/>
      <c r="F220" s="2"/>
      <c r="G220" s="2"/>
      <c r="H220" s="241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spans="1:31" ht="13">
      <c r="A221" s="2"/>
      <c r="B221" s="2"/>
      <c r="C221" s="2"/>
      <c r="D221" s="2"/>
      <c r="E221" s="2"/>
      <c r="F221" s="2"/>
      <c r="G221" s="2"/>
      <c r="H221" s="241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spans="1:31" ht="13">
      <c r="A222" s="2"/>
      <c r="B222" s="2"/>
      <c r="C222" s="2"/>
      <c r="D222" s="2"/>
      <c r="E222" s="2"/>
      <c r="F222" s="2"/>
      <c r="G222" s="2"/>
      <c r="H222" s="241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spans="1:31" ht="13">
      <c r="A223" s="2"/>
      <c r="B223" s="2"/>
      <c r="C223" s="2"/>
      <c r="D223" s="2"/>
      <c r="E223" s="2"/>
      <c r="F223" s="2"/>
      <c r="G223" s="2"/>
      <c r="H223" s="241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spans="1:31" ht="13">
      <c r="A224" s="2"/>
      <c r="B224" s="2"/>
      <c r="C224" s="2"/>
      <c r="D224" s="2"/>
      <c r="E224" s="2"/>
      <c r="F224" s="2"/>
      <c r="G224" s="2"/>
      <c r="H224" s="241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spans="1:31" ht="13">
      <c r="A225" s="2"/>
      <c r="B225" s="2"/>
      <c r="C225" s="2"/>
      <c r="D225" s="2"/>
      <c r="E225" s="2"/>
      <c r="F225" s="2"/>
      <c r="G225" s="2"/>
      <c r="H225" s="241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spans="1:31" ht="13">
      <c r="A226" s="2"/>
      <c r="B226" s="2"/>
      <c r="C226" s="2"/>
      <c r="D226" s="2"/>
      <c r="E226" s="2"/>
      <c r="F226" s="2"/>
      <c r="G226" s="2"/>
      <c r="H226" s="241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spans="1:31" ht="13">
      <c r="A227" s="2"/>
      <c r="B227" s="2"/>
      <c r="C227" s="2"/>
      <c r="D227" s="2"/>
      <c r="E227" s="2"/>
      <c r="F227" s="2"/>
      <c r="G227" s="2"/>
      <c r="H227" s="241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spans="1:31" ht="13">
      <c r="A228" s="2"/>
      <c r="B228" s="2"/>
      <c r="C228" s="2"/>
      <c r="D228" s="2"/>
      <c r="E228" s="2"/>
      <c r="F228" s="2"/>
      <c r="G228" s="2"/>
      <c r="H228" s="241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spans="1:31" ht="13">
      <c r="A229" s="2"/>
      <c r="B229" s="2"/>
      <c r="C229" s="2"/>
      <c r="D229" s="2"/>
      <c r="E229" s="2"/>
      <c r="F229" s="2"/>
      <c r="G229" s="2"/>
      <c r="H229" s="241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spans="1:31" ht="13">
      <c r="A230" s="2"/>
      <c r="B230" s="2"/>
      <c r="C230" s="2"/>
      <c r="D230" s="2"/>
      <c r="E230" s="2"/>
      <c r="F230" s="2"/>
      <c r="G230" s="2"/>
      <c r="H230" s="241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spans="1:31" ht="13">
      <c r="A231" s="2"/>
      <c r="B231" s="2"/>
      <c r="C231" s="2"/>
      <c r="D231" s="2"/>
      <c r="E231" s="2"/>
      <c r="F231" s="2"/>
      <c r="G231" s="2"/>
      <c r="H231" s="241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spans="1:31" ht="13">
      <c r="A232" s="2"/>
      <c r="B232" s="2"/>
      <c r="C232" s="2"/>
      <c r="D232" s="2"/>
      <c r="E232" s="2"/>
      <c r="F232" s="2"/>
      <c r="G232" s="2"/>
      <c r="H232" s="241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spans="1:31" ht="13">
      <c r="A233" s="2"/>
      <c r="B233" s="2"/>
      <c r="C233" s="2"/>
      <c r="D233" s="2"/>
      <c r="E233" s="2"/>
      <c r="F233" s="2"/>
      <c r="G233" s="2"/>
      <c r="H233" s="241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spans="1:31" ht="13">
      <c r="A234" s="2"/>
      <c r="B234" s="2"/>
      <c r="C234" s="2"/>
      <c r="D234" s="2"/>
      <c r="E234" s="2"/>
      <c r="F234" s="2"/>
      <c r="G234" s="2"/>
      <c r="H234" s="241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spans="1:31" ht="13">
      <c r="A235" s="2"/>
      <c r="B235" s="2"/>
      <c r="C235" s="2"/>
      <c r="D235" s="2"/>
      <c r="E235" s="2"/>
      <c r="F235" s="2"/>
      <c r="G235" s="2"/>
      <c r="H235" s="241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spans="1:31" ht="13">
      <c r="A236" s="2"/>
      <c r="B236" s="2"/>
      <c r="C236" s="2"/>
      <c r="D236" s="2"/>
      <c r="E236" s="2"/>
      <c r="F236" s="2"/>
      <c r="G236" s="2"/>
      <c r="H236" s="241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spans="1:31" ht="13">
      <c r="A237" s="2"/>
      <c r="B237" s="2"/>
      <c r="C237" s="2"/>
      <c r="D237" s="2"/>
      <c r="E237" s="2"/>
      <c r="F237" s="2"/>
      <c r="G237" s="2"/>
      <c r="H237" s="241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spans="1:31" ht="13">
      <c r="A238" s="2"/>
      <c r="B238" s="2"/>
      <c r="C238" s="2"/>
      <c r="D238" s="2"/>
      <c r="E238" s="2"/>
      <c r="F238" s="2"/>
      <c r="G238" s="2"/>
      <c r="H238" s="241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spans="1:31" ht="13">
      <c r="A239" s="2"/>
      <c r="B239" s="2"/>
      <c r="C239" s="2"/>
      <c r="D239" s="2"/>
      <c r="E239" s="2"/>
      <c r="F239" s="2"/>
      <c r="G239" s="2"/>
      <c r="H239" s="241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spans="1:31" ht="13">
      <c r="A240" s="2"/>
      <c r="B240" s="2"/>
      <c r="C240" s="2"/>
      <c r="D240" s="2"/>
      <c r="E240" s="2"/>
      <c r="F240" s="2"/>
      <c r="G240" s="2"/>
      <c r="H240" s="241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spans="1:31" ht="13">
      <c r="A241" s="2"/>
      <c r="B241" s="2"/>
      <c r="C241" s="2"/>
      <c r="D241" s="2"/>
      <c r="E241" s="2"/>
      <c r="F241" s="2"/>
      <c r="G241" s="2"/>
      <c r="H241" s="241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spans="1:31" ht="13">
      <c r="A242" s="2"/>
      <c r="B242" s="2"/>
      <c r="C242" s="2"/>
      <c r="D242" s="2"/>
      <c r="E242" s="2"/>
      <c r="F242" s="2"/>
      <c r="G242" s="2"/>
      <c r="H242" s="241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spans="1:31" ht="13">
      <c r="A243" s="2"/>
      <c r="B243" s="2"/>
      <c r="C243" s="2"/>
      <c r="D243" s="2"/>
      <c r="E243" s="2"/>
      <c r="F243" s="2"/>
      <c r="G243" s="2"/>
      <c r="H243" s="241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spans="1:31" ht="13">
      <c r="A244" s="2"/>
      <c r="B244" s="2"/>
      <c r="C244" s="2"/>
      <c r="D244" s="2"/>
      <c r="E244" s="2"/>
      <c r="F244" s="2"/>
      <c r="G244" s="2"/>
      <c r="H244" s="241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spans="1:31" ht="13">
      <c r="A245" s="2"/>
      <c r="B245" s="2"/>
      <c r="C245" s="2"/>
      <c r="D245" s="2"/>
      <c r="E245" s="2"/>
      <c r="F245" s="2"/>
      <c r="G245" s="2"/>
      <c r="H245" s="241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spans="1:31" ht="13">
      <c r="A246" s="2"/>
      <c r="B246" s="2"/>
      <c r="C246" s="2"/>
      <c r="D246" s="2"/>
      <c r="E246" s="2"/>
      <c r="F246" s="2"/>
      <c r="G246" s="2"/>
      <c r="H246" s="241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spans="1:31" ht="13">
      <c r="A247" s="2"/>
      <c r="B247" s="2"/>
      <c r="C247" s="2"/>
      <c r="D247" s="2"/>
      <c r="E247" s="2"/>
      <c r="F247" s="2"/>
      <c r="G247" s="2"/>
      <c r="H247" s="241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spans="1:31" ht="13">
      <c r="A248" s="2"/>
      <c r="B248" s="2"/>
      <c r="C248" s="2"/>
      <c r="D248" s="2"/>
      <c r="E248" s="2"/>
      <c r="F248" s="2"/>
      <c r="G248" s="2"/>
      <c r="H248" s="241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spans="1:31" ht="13">
      <c r="A249" s="2"/>
      <c r="B249" s="2"/>
      <c r="C249" s="2"/>
      <c r="D249" s="2"/>
      <c r="E249" s="2"/>
      <c r="F249" s="2"/>
      <c r="G249" s="2"/>
      <c r="H249" s="241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spans="1:31" ht="13">
      <c r="A250" s="2"/>
      <c r="B250" s="2"/>
      <c r="C250" s="2"/>
      <c r="D250" s="2"/>
      <c r="E250" s="2"/>
      <c r="F250" s="2"/>
      <c r="G250" s="2"/>
      <c r="H250" s="241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spans="1:31" ht="13">
      <c r="A251" s="2"/>
      <c r="B251" s="2"/>
      <c r="C251" s="2"/>
      <c r="D251" s="2"/>
      <c r="E251" s="2"/>
      <c r="F251" s="2"/>
      <c r="G251" s="2"/>
      <c r="H251" s="241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spans="1:31" ht="13">
      <c r="A252" s="2"/>
      <c r="B252" s="2"/>
      <c r="C252" s="2"/>
      <c r="D252" s="2"/>
      <c r="E252" s="2"/>
      <c r="F252" s="2"/>
      <c r="G252" s="2"/>
      <c r="H252" s="241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spans="1:31" ht="13">
      <c r="A253" s="2"/>
      <c r="B253" s="2"/>
      <c r="C253" s="2"/>
      <c r="D253" s="2"/>
      <c r="E253" s="2"/>
      <c r="F253" s="2"/>
      <c r="G253" s="2"/>
      <c r="H253" s="241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spans="1:31" ht="13">
      <c r="A254" s="2"/>
      <c r="B254" s="2"/>
      <c r="C254" s="2"/>
      <c r="D254" s="2"/>
      <c r="E254" s="2"/>
      <c r="F254" s="2"/>
      <c r="G254" s="2"/>
      <c r="H254" s="241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spans="1:31" ht="13">
      <c r="A255" s="2"/>
      <c r="B255" s="2"/>
      <c r="C255" s="2"/>
      <c r="D255" s="2"/>
      <c r="E255" s="2"/>
      <c r="F255" s="2"/>
      <c r="G255" s="2"/>
      <c r="H255" s="241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spans="1:31" ht="13">
      <c r="A256" s="2"/>
      <c r="B256" s="2"/>
      <c r="C256" s="2"/>
      <c r="D256" s="2"/>
      <c r="E256" s="2"/>
      <c r="F256" s="2"/>
      <c r="G256" s="2"/>
      <c r="H256" s="241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spans="1:31" ht="13">
      <c r="A257" s="2"/>
      <c r="B257" s="2"/>
      <c r="C257" s="2"/>
      <c r="D257" s="2"/>
      <c r="E257" s="2"/>
      <c r="F257" s="2"/>
      <c r="G257" s="2"/>
      <c r="H257" s="241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spans="1:31" ht="13">
      <c r="A258" s="2"/>
      <c r="B258" s="2"/>
      <c r="C258" s="2"/>
      <c r="D258" s="2"/>
      <c r="E258" s="2"/>
      <c r="F258" s="2"/>
      <c r="G258" s="2"/>
      <c r="H258" s="241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spans="1:31" ht="13">
      <c r="A259" s="2"/>
      <c r="B259" s="2"/>
      <c r="C259" s="2"/>
      <c r="D259" s="2"/>
      <c r="E259" s="2"/>
      <c r="F259" s="2"/>
      <c r="G259" s="2"/>
      <c r="H259" s="241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spans="1:31" ht="13">
      <c r="A260" s="2"/>
      <c r="B260" s="2"/>
      <c r="C260" s="2"/>
      <c r="D260" s="2"/>
      <c r="E260" s="2"/>
      <c r="F260" s="2"/>
      <c r="G260" s="2"/>
      <c r="H260" s="241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spans="1:31" ht="13">
      <c r="A261" s="2"/>
      <c r="B261" s="2"/>
      <c r="C261" s="2"/>
      <c r="D261" s="2"/>
      <c r="E261" s="2"/>
      <c r="F261" s="2"/>
      <c r="G261" s="2"/>
      <c r="H261" s="241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spans="1:31" ht="13">
      <c r="A262" s="2"/>
      <c r="B262" s="2"/>
      <c r="C262" s="2"/>
      <c r="D262" s="2"/>
      <c r="E262" s="2"/>
      <c r="F262" s="2"/>
      <c r="G262" s="2"/>
      <c r="H262" s="241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spans="1:31" ht="13">
      <c r="A263" s="2"/>
      <c r="B263" s="2"/>
      <c r="C263" s="2"/>
      <c r="D263" s="2"/>
      <c r="E263" s="2"/>
      <c r="F263" s="2"/>
      <c r="G263" s="2"/>
      <c r="H263" s="241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spans="1:31" ht="13">
      <c r="A264" s="2"/>
      <c r="B264" s="2"/>
      <c r="C264" s="2"/>
      <c r="D264" s="2"/>
      <c r="E264" s="2"/>
      <c r="F264" s="2"/>
      <c r="G264" s="2"/>
      <c r="H264" s="241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spans="1:31" ht="13">
      <c r="A265" s="2"/>
      <c r="B265" s="2"/>
      <c r="C265" s="2"/>
      <c r="D265" s="2"/>
      <c r="E265" s="2"/>
      <c r="F265" s="2"/>
      <c r="G265" s="2"/>
      <c r="H265" s="241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spans="1:31" ht="13">
      <c r="A266" s="2"/>
      <c r="B266" s="2"/>
      <c r="C266" s="2"/>
      <c r="D266" s="2"/>
      <c r="E266" s="2"/>
      <c r="F266" s="2"/>
      <c r="G266" s="2"/>
      <c r="H266" s="241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spans="1:31" ht="13">
      <c r="A267" s="2"/>
      <c r="B267" s="2"/>
      <c r="C267" s="2"/>
      <c r="D267" s="2"/>
      <c r="E267" s="2"/>
      <c r="F267" s="2"/>
      <c r="G267" s="2"/>
      <c r="H267" s="241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spans="1:31" ht="13">
      <c r="A268" s="2"/>
      <c r="B268" s="2"/>
      <c r="C268" s="2"/>
      <c r="D268" s="2"/>
      <c r="E268" s="2"/>
      <c r="F268" s="2"/>
      <c r="G268" s="2"/>
      <c r="H268" s="241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spans="1:31" ht="13">
      <c r="A269" s="2"/>
      <c r="B269" s="2"/>
      <c r="C269" s="2"/>
      <c r="D269" s="2"/>
      <c r="E269" s="2"/>
      <c r="F269" s="2"/>
      <c r="G269" s="2"/>
      <c r="H269" s="241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spans="1:31" ht="13">
      <c r="A270" s="2"/>
      <c r="B270" s="2"/>
      <c r="C270" s="2"/>
      <c r="D270" s="2"/>
      <c r="E270" s="2"/>
      <c r="F270" s="2"/>
      <c r="G270" s="2"/>
      <c r="H270" s="241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spans="1:31" ht="13">
      <c r="A271" s="2"/>
      <c r="B271" s="2"/>
      <c r="C271" s="2"/>
      <c r="D271" s="2"/>
      <c r="E271" s="2"/>
      <c r="F271" s="2"/>
      <c r="G271" s="2"/>
      <c r="H271" s="241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spans="1:31" ht="13">
      <c r="A272" s="2"/>
      <c r="B272" s="2"/>
      <c r="C272" s="2"/>
      <c r="D272" s="2"/>
      <c r="E272" s="2"/>
      <c r="F272" s="2"/>
      <c r="G272" s="2"/>
      <c r="H272" s="241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spans="1:31" ht="13">
      <c r="A273" s="2"/>
      <c r="B273" s="2"/>
      <c r="C273" s="2"/>
      <c r="D273" s="2"/>
      <c r="E273" s="2"/>
      <c r="F273" s="2"/>
      <c r="G273" s="2"/>
      <c r="H273" s="241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spans="1:31" ht="13">
      <c r="A274" s="2"/>
      <c r="B274" s="2"/>
      <c r="C274" s="2"/>
      <c r="D274" s="2"/>
      <c r="E274" s="2"/>
      <c r="F274" s="2"/>
      <c r="G274" s="2"/>
      <c r="H274" s="241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spans="1:31" ht="13">
      <c r="A275" s="2"/>
      <c r="B275" s="2"/>
      <c r="C275" s="2"/>
      <c r="D275" s="2"/>
      <c r="E275" s="2"/>
      <c r="F275" s="2"/>
      <c r="G275" s="2"/>
      <c r="H275" s="241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spans="1:31" ht="13">
      <c r="A276" s="2"/>
      <c r="B276" s="2"/>
      <c r="C276" s="2"/>
      <c r="D276" s="2"/>
      <c r="E276" s="2"/>
      <c r="F276" s="2"/>
      <c r="G276" s="2"/>
      <c r="H276" s="241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spans="1:31" ht="13">
      <c r="A277" s="2"/>
      <c r="B277" s="2"/>
      <c r="C277" s="2"/>
      <c r="D277" s="2"/>
      <c r="E277" s="2"/>
      <c r="F277" s="2"/>
      <c r="G277" s="2"/>
      <c r="H277" s="241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spans="1:31" ht="13">
      <c r="A278" s="2"/>
      <c r="B278" s="2"/>
      <c r="C278" s="2"/>
      <c r="D278" s="2"/>
      <c r="E278" s="2"/>
      <c r="F278" s="2"/>
      <c r="G278" s="2"/>
      <c r="H278" s="241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spans="1:31" ht="13">
      <c r="A279" s="2"/>
      <c r="B279" s="2"/>
      <c r="C279" s="2"/>
      <c r="D279" s="2"/>
      <c r="E279" s="2"/>
      <c r="F279" s="2"/>
      <c r="G279" s="2"/>
      <c r="H279" s="241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spans="1:31" ht="13">
      <c r="A280" s="2"/>
      <c r="B280" s="2"/>
      <c r="C280" s="2"/>
      <c r="D280" s="2"/>
      <c r="E280" s="2"/>
      <c r="F280" s="2"/>
      <c r="G280" s="2"/>
      <c r="H280" s="241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spans="1:31" ht="13">
      <c r="A281" s="2"/>
      <c r="B281" s="2"/>
      <c r="C281" s="2"/>
      <c r="D281" s="2"/>
      <c r="E281" s="2"/>
      <c r="F281" s="2"/>
      <c r="G281" s="2"/>
      <c r="H281" s="241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spans="1:31" ht="13">
      <c r="A282" s="2"/>
      <c r="B282" s="2"/>
      <c r="C282" s="2"/>
      <c r="D282" s="2"/>
      <c r="E282" s="2"/>
      <c r="F282" s="2"/>
      <c r="G282" s="2"/>
      <c r="H282" s="241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spans="1:31" ht="13">
      <c r="A283" s="2"/>
      <c r="B283" s="2"/>
      <c r="C283" s="2"/>
      <c r="D283" s="2"/>
      <c r="E283" s="2"/>
      <c r="F283" s="2"/>
      <c r="G283" s="2"/>
      <c r="H283" s="241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spans="1:31" ht="13">
      <c r="A284" s="2"/>
      <c r="B284" s="2"/>
      <c r="C284" s="2"/>
      <c r="D284" s="2"/>
      <c r="E284" s="2"/>
      <c r="F284" s="2"/>
      <c r="G284" s="2"/>
      <c r="H284" s="241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spans="1:31" ht="13">
      <c r="A285" s="2"/>
      <c r="B285" s="2"/>
      <c r="C285" s="2"/>
      <c r="D285" s="2"/>
      <c r="E285" s="2"/>
      <c r="F285" s="2"/>
      <c r="G285" s="2"/>
      <c r="H285" s="241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spans="1:31" ht="13">
      <c r="A286" s="2"/>
      <c r="B286" s="2"/>
      <c r="C286" s="2"/>
      <c r="D286" s="2"/>
      <c r="E286" s="2"/>
      <c r="F286" s="2"/>
      <c r="G286" s="2"/>
      <c r="H286" s="241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spans="1:31" ht="13">
      <c r="A287" s="2"/>
      <c r="B287" s="2"/>
      <c r="C287" s="2"/>
      <c r="D287" s="2"/>
      <c r="E287" s="2"/>
      <c r="F287" s="2"/>
      <c r="G287" s="2"/>
      <c r="H287" s="241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spans="1:31" ht="13">
      <c r="A288" s="2"/>
      <c r="B288" s="2"/>
      <c r="C288" s="2"/>
      <c r="D288" s="2"/>
      <c r="E288" s="2"/>
      <c r="F288" s="2"/>
      <c r="G288" s="2"/>
      <c r="H288" s="241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spans="1:31" ht="13">
      <c r="A289" s="2"/>
      <c r="B289" s="2"/>
      <c r="C289" s="2"/>
      <c r="D289" s="2"/>
      <c r="E289" s="2"/>
      <c r="F289" s="2"/>
      <c r="G289" s="2"/>
      <c r="H289" s="241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spans="1:31" ht="13">
      <c r="A290" s="2"/>
      <c r="B290" s="2"/>
      <c r="C290" s="2"/>
      <c r="D290" s="2"/>
      <c r="E290" s="2"/>
      <c r="F290" s="2"/>
      <c r="G290" s="2"/>
      <c r="H290" s="241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spans="1:31" ht="13">
      <c r="A291" s="2"/>
      <c r="B291" s="2"/>
      <c r="C291" s="2"/>
      <c r="D291" s="2"/>
      <c r="E291" s="2"/>
      <c r="F291" s="2"/>
      <c r="G291" s="2"/>
      <c r="H291" s="241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spans="1:31" ht="13">
      <c r="A292" s="2"/>
      <c r="B292" s="2"/>
      <c r="C292" s="2"/>
      <c r="D292" s="2"/>
      <c r="E292" s="2"/>
      <c r="F292" s="2"/>
      <c r="G292" s="2"/>
      <c r="H292" s="241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spans="1:31" ht="13">
      <c r="A293" s="2"/>
      <c r="B293" s="2"/>
      <c r="C293" s="2"/>
      <c r="D293" s="2"/>
      <c r="E293" s="2"/>
      <c r="F293" s="2"/>
      <c r="G293" s="2"/>
      <c r="H293" s="241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spans="1:31" ht="13">
      <c r="A294" s="2"/>
      <c r="B294" s="2"/>
      <c r="C294" s="2"/>
      <c r="D294" s="2"/>
      <c r="E294" s="2"/>
      <c r="F294" s="2"/>
      <c r="G294" s="2"/>
      <c r="H294" s="241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spans="1:31" ht="13">
      <c r="A295" s="2"/>
      <c r="B295" s="2"/>
      <c r="C295" s="2"/>
      <c r="D295" s="2"/>
      <c r="E295" s="2"/>
      <c r="F295" s="2"/>
      <c r="G295" s="2"/>
      <c r="H295" s="241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spans="1:31" ht="13">
      <c r="A296" s="2"/>
      <c r="B296" s="2"/>
      <c r="C296" s="2"/>
      <c r="D296" s="2"/>
      <c r="E296" s="2"/>
      <c r="F296" s="2"/>
      <c r="G296" s="2"/>
      <c r="H296" s="241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spans="1:31" ht="13">
      <c r="A297" s="2"/>
      <c r="B297" s="2"/>
      <c r="C297" s="2"/>
      <c r="D297" s="2"/>
      <c r="E297" s="2"/>
      <c r="F297" s="2"/>
      <c r="G297" s="2"/>
      <c r="H297" s="241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spans="1:31" ht="13">
      <c r="A298" s="2"/>
      <c r="B298" s="2"/>
      <c r="C298" s="2"/>
      <c r="D298" s="2"/>
      <c r="E298" s="2"/>
      <c r="F298" s="2"/>
      <c r="G298" s="2"/>
      <c r="H298" s="241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spans="1:31" ht="13">
      <c r="A299" s="2"/>
      <c r="B299" s="2"/>
      <c r="C299" s="2"/>
      <c r="D299" s="2"/>
      <c r="E299" s="2"/>
      <c r="F299" s="2"/>
      <c r="G299" s="2"/>
      <c r="H299" s="241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spans="1:31" ht="13">
      <c r="A300" s="2"/>
      <c r="B300" s="2"/>
      <c r="C300" s="2"/>
      <c r="D300" s="2"/>
      <c r="E300" s="2"/>
      <c r="F300" s="2"/>
      <c r="G300" s="2"/>
      <c r="H300" s="241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spans="1:31" ht="13">
      <c r="A301" s="2"/>
      <c r="B301" s="2"/>
      <c r="C301" s="2"/>
      <c r="D301" s="2"/>
      <c r="E301" s="2"/>
      <c r="F301" s="2"/>
      <c r="G301" s="2"/>
      <c r="H301" s="241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spans="1:31" ht="13">
      <c r="A302" s="2"/>
      <c r="B302" s="2"/>
      <c r="C302" s="2"/>
      <c r="D302" s="2"/>
      <c r="E302" s="2"/>
      <c r="F302" s="2"/>
      <c r="G302" s="2"/>
      <c r="H302" s="241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spans="1:31" ht="13">
      <c r="A303" s="2"/>
      <c r="B303" s="2"/>
      <c r="C303" s="2"/>
      <c r="D303" s="2"/>
      <c r="E303" s="2"/>
      <c r="F303" s="2"/>
      <c r="G303" s="2"/>
      <c r="H303" s="241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spans="1:31" ht="13">
      <c r="A304" s="2"/>
      <c r="B304" s="2"/>
      <c r="C304" s="2"/>
      <c r="D304" s="2"/>
      <c r="E304" s="2"/>
      <c r="F304" s="2"/>
      <c r="G304" s="2"/>
      <c r="H304" s="241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spans="1:31" ht="13">
      <c r="A305" s="2"/>
      <c r="B305" s="2"/>
      <c r="C305" s="2"/>
      <c r="D305" s="2"/>
      <c r="E305" s="2"/>
      <c r="F305" s="2"/>
      <c r="G305" s="2"/>
      <c r="H305" s="241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spans="1:31" ht="13">
      <c r="A306" s="2"/>
      <c r="B306" s="2"/>
      <c r="C306" s="2"/>
      <c r="D306" s="2"/>
      <c r="E306" s="2"/>
      <c r="F306" s="2"/>
      <c r="G306" s="2"/>
      <c r="H306" s="241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spans="1:31" ht="13">
      <c r="A307" s="2"/>
      <c r="B307" s="2"/>
      <c r="C307" s="2"/>
      <c r="D307" s="2"/>
      <c r="E307" s="2"/>
      <c r="F307" s="2"/>
      <c r="G307" s="2"/>
      <c r="H307" s="241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spans="1:31" ht="13">
      <c r="A308" s="2"/>
      <c r="B308" s="2"/>
      <c r="C308" s="2"/>
      <c r="D308" s="2"/>
      <c r="E308" s="2"/>
      <c r="F308" s="2"/>
      <c r="G308" s="2"/>
      <c r="H308" s="241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spans="1:31" ht="13">
      <c r="A309" s="2"/>
      <c r="B309" s="2"/>
      <c r="C309" s="2"/>
      <c r="D309" s="2"/>
      <c r="E309" s="2"/>
      <c r="F309" s="2"/>
      <c r="G309" s="2"/>
      <c r="H309" s="241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spans="1:31" ht="13">
      <c r="A310" s="2"/>
      <c r="B310" s="2"/>
      <c r="C310" s="2"/>
      <c r="D310" s="2"/>
      <c r="E310" s="2"/>
      <c r="F310" s="2"/>
      <c r="G310" s="2"/>
      <c r="H310" s="241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spans="1:31" ht="13">
      <c r="A311" s="2"/>
      <c r="B311" s="2"/>
      <c r="C311" s="2"/>
      <c r="D311" s="2"/>
      <c r="E311" s="2"/>
      <c r="F311" s="2"/>
      <c r="G311" s="2"/>
      <c r="H311" s="241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spans="1:31" ht="13">
      <c r="A312" s="2"/>
      <c r="B312" s="2"/>
      <c r="C312" s="2"/>
      <c r="D312" s="2"/>
      <c r="E312" s="2"/>
      <c r="F312" s="2"/>
      <c r="G312" s="2"/>
      <c r="H312" s="241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spans="1:31" ht="13">
      <c r="A313" s="2"/>
      <c r="B313" s="2"/>
      <c r="C313" s="2"/>
      <c r="D313" s="2"/>
      <c r="E313" s="2"/>
      <c r="F313" s="2"/>
      <c r="G313" s="2"/>
      <c r="H313" s="241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spans="1:31" ht="13">
      <c r="A314" s="2"/>
      <c r="B314" s="2"/>
      <c r="C314" s="2"/>
      <c r="D314" s="2"/>
      <c r="E314" s="2"/>
      <c r="F314" s="2"/>
      <c r="G314" s="2"/>
      <c r="H314" s="241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spans="1:31" ht="13">
      <c r="A315" s="2"/>
      <c r="B315" s="2"/>
      <c r="C315" s="2"/>
      <c r="D315" s="2"/>
      <c r="E315" s="2"/>
      <c r="F315" s="2"/>
      <c r="G315" s="2"/>
      <c r="H315" s="241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spans="1:31" ht="13">
      <c r="A316" s="2"/>
      <c r="B316" s="2"/>
      <c r="C316" s="2"/>
      <c r="D316" s="2"/>
      <c r="E316" s="2"/>
      <c r="F316" s="2"/>
      <c r="G316" s="2"/>
      <c r="H316" s="241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spans="1:31" ht="13">
      <c r="A317" s="2"/>
      <c r="B317" s="2"/>
      <c r="C317" s="2"/>
      <c r="D317" s="2"/>
      <c r="E317" s="2"/>
      <c r="F317" s="2"/>
      <c r="G317" s="2"/>
      <c r="H317" s="241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spans="1:31" ht="13">
      <c r="A318" s="2"/>
      <c r="B318" s="2"/>
      <c r="C318" s="2"/>
      <c r="D318" s="2"/>
      <c r="E318" s="2"/>
      <c r="F318" s="2"/>
      <c r="G318" s="2"/>
      <c r="H318" s="241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spans="1:31" ht="13">
      <c r="A319" s="2"/>
      <c r="B319" s="2"/>
      <c r="C319" s="2"/>
      <c r="D319" s="2"/>
      <c r="E319" s="2"/>
      <c r="F319" s="2"/>
      <c r="G319" s="2"/>
      <c r="H319" s="241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spans="1:31" ht="13">
      <c r="A320" s="2"/>
      <c r="B320" s="2"/>
      <c r="C320" s="2"/>
      <c r="D320" s="2"/>
      <c r="E320" s="2"/>
      <c r="F320" s="2"/>
      <c r="G320" s="2"/>
      <c r="H320" s="241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spans="1:31" ht="13">
      <c r="A321" s="2"/>
      <c r="B321" s="2"/>
      <c r="C321" s="2"/>
      <c r="D321" s="2"/>
      <c r="E321" s="2"/>
      <c r="F321" s="2"/>
      <c r="G321" s="2"/>
      <c r="H321" s="241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spans="1:31" ht="13">
      <c r="A322" s="2"/>
      <c r="B322" s="2"/>
      <c r="C322" s="2"/>
      <c r="D322" s="2"/>
      <c r="E322" s="2"/>
      <c r="F322" s="2"/>
      <c r="G322" s="2"/>
      <c r="H322" s="241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spans="1:31" ht="13">
      <c r="A323" s="2"/>
      <c r="B323" s="2"/>
      <c r="C323" s="2"/>
      <c r="D323" s="2"/>
      <c r="E323" s="2"/>
      <c r="F323" s="2"/>
      <c r="G323" s="2"/>
      <c r="H323" s="241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spans="1:31" ht="13">
      <c r="A324" s="2"/>
      <c r="B324" s="2"/>
      <c r="C324" s="2"/>
      <c r="D324" s="2"/>
      <c r="E324" s="2"/>
      <c r="F324" s="2"/>
      <c r="G324" s="2"/>
      <c r="H324" s="241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spans="1:31" ht="13">
      <c r="A325" s="2"/>
      <c r="B325" s="2"/>
      <c r="C325" s="2"/>
      <c r="D325" s="2"/>
      <c r="E325" s="2"/>
      <c r="F325" s="2"/>
      <c r="G325" s="2"/>
      <c r="H325" s="241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spans="1:31" ht="13">
      <c r="A326" s="2"/>
      <c r="B326" s="2"/>
      <c r="C326" s="2"/>
      <c r="D326" s="2"/>
      <c r="E326" s="2"/>
      <c r="F326" s="2"/>
      <c r="G326" s="2"/>
      <c r="H326" s="241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spans="1:31" ht="13">
      <c r="A327" s="2"/>
      <c r="B327" s="2"/>
      <c r="C327" s="2"/>
      <c r="D327" s="2"/>
      <c r="E327" s="2"/>
      <c r="F327" s="2"/>
      <c r="G327" s="2"/>
      <c r="H327" s="241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spans="1:31" ht="13">
      <c r="A328" s="2"/>
      <c r="B328" s="2"/>
      <c r="C328" s="2"/>
      <c r="D328" s="2"/>
      <c r="E328" s="2"/>
      <c r="F328" s="2"/>
      <c r="G328" s="2"/>
      <c r="H328" s="241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spans="1:31" ht="13">
      <c r="A329" s="2"/>
      <c r="B329" s="2"/>
      <c r="C329" s="2"/>
      <c r="D329" s="2"/>
      <c r="E329" s="2"/>
      <c r="F329" s="2"/>
      <c r="G329" s="2"/>
      <c r="H329" s="241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spans="1:31" ht="13">
      <c r="A330" s="2"/>
      <c r="B330" s="2"/>
      <c r="C330" s="2"/>
      <c r="D330" s="2"/>
      <c r="E330" s="2"/>
      <c r="F330" s="2"/>
      <c r="G330" s="2"/>
      <c r="H330" s="241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spans="1:31" ht="13">
      <c r="A331" s="2"/>
      <c r="B331" s="2"/>
      <c r="C331" s="2"/>
      <c r="D331" s="2"/>
      <c r="E331" s="2"/>
      <c r="F331" s="2"/>
      <c r="G331" s="2"/>
      <c r="H331" s="241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spans="1:31" ht="13">
      <c r="A332" s="2"/>
      <c r="B332" s="2"/>
      <c r="C332" s="2"/>
      <c r="D332" s="2"/>
      <c r="E332" s="2"/>
      <c r="F332" s="2"/>
      <c r="G332" s="2"/>
      <c r="H332" s="241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spans="1:31" ht="13">
      <c r="A333" s="2"/>
      <c r="B333" s="2"/>
      <c r="C333" s="2"/>
      <c r="D333" s="2"/>
      <c r="E333" s="2"/>
      <c r="F333" s="2"/>
      <c r="G333" s="2"/>
      <c r="H333" s="241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spans="1:31" ht="13">
      <c r="A334" s="2"/>
      <c r="B334" s="2"/>
      <c r="C334" s="2"/>
      <c r="D334" s="2"/>
      <c r="E334" s="2"/>
      <c r="F334" s="2"/>
      <c r="G334" s="2"/>
      <c r="H334" s="241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spans="1:31" ht="13">
      <c r="A335" s="2"/>
      <c r="B335" s="2"/>
      <c r="C335" s="2"/>
      <c r="D335" s="2"/>
      <c r="E335" s="2"/>
      <c r="F335" s="2"/>
      <c r="G335" s="2"/>
      <c r="H335" s="241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spans="1:31" ht="13">
      <c r="A336" s="2"/>
      <c r="B336" s="2"/>
      <c r="C336" s="2"/>
      <c r="D336" s="2"/>
      <c r="E336" s="2"/>
      <c r="F336" s="2"/>
      <c r="G336" s="2"/>
      <c r="H336" s="241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spans="1:31" ht="13">
      <c r="A337" s="2"/>
      <c r="B337" s="2"/>
      <c r="C337" s="2"/>
      <c r="D337" s="2"/>
      <c r="E337" s="2"/>
      <c r="F337" s="2"/>
      <c r="G337" s="2"/>
      <c r="H337" s="241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spans="1:31" ht="13">
      <c r="A338" s="2"/>
      <c r="B338" s="2"/>
      <c r="C338" s="2"/>
      <c r="D338" s="2"/>
      <c r="E338" s="2"/>
      <c r="F338" s="2"/>
      <c r="G338" s="2"/>
      <c r="H338" s="241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spans="1:31" ht="13">
      <c r="A339" s="2"/>
      <c r="B339" s="2"/>
      <c r="C339" s="2"/>
      <c r="D339" s="2"/>
      <c r="E339" s="2"/>
      <c r="F339" s="2"/>
      <c r="G339" s="2"/>
      <c r="H339" s="241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spans="1:31" ht="13">
      <c r="A340" s="2"/>
      <c r="B340" s="2"/>
      <c r="C340" s="2"/>
      <c r="D340" s="2"/>
      <c r="E340" s="2"/>
      <c r="F340" s="2"/>
      <c r="G340" s="2"/>
      <c r="H340" s="241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spans="1:31" ht="13">
      <c r="A341" s="2"/>
      <c r="B341" s="2"/>
      <c r="C341" s="2"/>
      <c r="D341" s="2"/>
      <c r="E341" s="2"/>
      <c r="F341" s="2"/>
      <c r="G341" s="2"/>
      <c r="H341" s="241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spans="1:31" ht="13">
      <c r="A342" s="2"/>
      <c r="B342" s="2"/>
      <c r="C342" s="2"/>
      <c r="D342" s="2"/>
      <c r="E342" s="2"/>
      <c r="F342" s="2"/>
      <c r="G342" s="2"/>
      <c r="H342" s="241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spans="1:31" ht="13">
      <c r="A343" s="2"/>
      <c r="B343" s="2"/>
      <c r="C343" s="2"/>
      <c r="D343" s="2"/>
      <c r="E343" s="2"/>
      <c r="F343" s="2"/>
      <c r="G343" s="2"/>
      <c r="H343" s="241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spans="1:31" ht="13">
      <c r="A344" s="2"/>
      <c r="B344" s="2"/>
      <c r="C344" s="2"/>
      <c r="D344" s="2"/>
      <c r="E344" s="2"/>
      <c r="F344" s="2"/>
      <c r="G344" s="2"/>
      <c r="H344" s="241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spans="1:31" ht="13">
      <c r="A345" s="2"/>
      <c r="B345" s="2"/>
      <c r="C345" s="2"/>
      <c r="D345" s="2"/>
      <c r="E345" s="2"/>
      <c r="F345" s="2"/>
      <c r="G345" s="2"/>
      <c r="H345" s="241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spans="1:31" ht="13">
      <c r="A346" s="2"/>
      <c r="B346" s="2"/>
      <c r="C346" s="2"/>
      <c r="D346" s="2"/>
      <c r="E346" s="2"/>
      <c r="F346" s="2"/>
      <c r="G346" s="2"/>
      <c r="H346" s="241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spans="1:31" ht="13">
      <c r="A347" s="2"/>
      <c r="B347" s="2"/>
      <c r="C347" s="2"/>
      <c r="D347" s="2"/>
      <c r="E347" s="2"/>
      <c r="F347" s="2"/>
      <c r="G347" s="2"/>
      <c r="H347" s="241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spans="1:31" ht="13">
      <c r="A348" s="2"/>
      <c r="B348" s="2"/>
      <c r="C348" s="2"/>
      <c r="D348" s="2"/>
      <c r="E348" s="2"/>
      <c r="F348" s="2"/>
      <c r="G348" s="2"/>
      <c r="H348" s="241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spans="1:31" ht="13">
      <c r="A349" s="2"/>
      <c r="B349" s="2"/>
      <c r="C349" s="2"/>
      <c r="D349" s="2"/>
      <c r="E349" s="2"/>
      <c r="F349" s="2"/>
      <c r="G349" s="2"/>
      <c r="H349" s="241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spans="1:31" ht="13">
      <c r="A350" s="2"/>
      <c r="B350" s="2"/>
      <c r="C350" s="2"/>
      <c r="D350" s="2"/>
      <c r="E350" s="2"/>
      <c r="F350" s="2"/>
      <c r="G350" s="2"/>
      <c r="H350" s="241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spans="1:31" ht="13">
      <c r="A351" s="2"/>
      <c r="B351" s="2"/>
      <c r="C351" s="2"/>
      <c r="D351" s="2"/>
      <c r="E351" s="2"/>
      <c r="F351" s="2"/>
      <c r="G351" s="2"/>
      <c r="H351" s="241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spans="1:31" ht="13">
      <c r="A352" s="2"/>
      <c r="B352" s="2"/>
      <c r="C352" s="2"/>
      <c r="D352" s="2"/>
      <c r="E352" s="2"/>
      <c r="F352" s="2"/>
      <c r="G352" s="2"/>
      <c r="H352" s="241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spans="1:31" ht="13">
      <c r="A353" s="2"/>
      <c r="B353" s="2"/>
      <c r="C353" s="2"/>
      <c r="D353" s="2"/>
      <c r="E353" s="2"/>
      <c r="F353" s="2"/>
      <c r="G353" s="2"/>
      <c r="H353" s="241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spans="1:31" ht="13">
      <c r="A354" s="2"/>
      <c r="B354" s="2"/>
      <c r="C354" s="2"/>
      <c r="D354" s="2"/>
      <c r="E354" s="2"/>
      <c r="F354" s="2"/>
      <c r="G354" s="2"/>
      <c r="H354" s="241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spans="1:31" ht="13">
      <c r="A355" s="2"/>
      <c r="B355" s="2"/>
      <c r="C355" s="2"/>
      <c r="D355" s="2"/>
      <c r="E355" s="2"/>
      <c r="F355" s="2"/>
      <c r="G355" s="2"/>
      <c r="H355" s="241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spans="1:31" ht="13">
      <c r="A356" s="2"/>
      <c r="B356" s="2"/>
      <c r="C356" s="2"/>
      <c r="D356" s="2"/>
      <c r="E356" s="2"/>
      <c r="F356" s="2"/>
      <c r="G356" s="2"/>
      <c r="H356" s="241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spans="1:31" ht="13">
      <c r="A357" s="2"/>
      <c r="B357" s="2"/>
      <c r="C357" s="2"/>
      <c r="D357" s="2"/>
      <c r="E357" s="2"/>
      <c r="F357" s="2"/>
      <c r="G357" s="2"/>
      <c r="H357" s="241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spans="1:31" ht="13">
      <c r="A358" s="2"/>
      <c r="B358" s="2"/>
      <c r="C358" s="2"/>
      <c r="D358" s="2"/>
      <c r="E358" s="2"/>
      <c r="F358" s="2"/>
      <c r="G358" s="2"/>
      <c r="H358" s="241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spans="1:31" ht="13">
      <c r="A359" s="2"/>
      <c r="B359" s="2"/>
      <c r="C359" s="2"/>
      <c r="D359" s="2"/>
      <c r="E359" s="2"/>
      <c r="F359" s="2"/>
      <c r="G359" s="2"/>
      <c r="H359" s="241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spans="1:31" ht="13">
      <c r="A360" s="2"/>
      <c r="B360" s="2"/>
      <c r="C360" s="2"/>
      <c r="D360" s="2"/>
      <c r="E360" s="2"/>
      <c r="F360" s="2"/>
      <c r="G360" s="2"/>
      <c r="H360" s="241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spans="1:31" ht="13">
      <c r="A361" s="2"/>
      <c r="B361" s="2"/>
      <c r="C361" s="2"/>
      <c r="D361" s="2"/>
      <c r="E361" s="2"/>
      <c r="F361" s="2"/>
      <c r="G361" s="2"/>
      <c r="H361" s="241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spans="1:31" ht="13">
      <c r="A362" s="2"/>
      <c r="B362" s="2"/>
      <c r="C362" s="2"/>
      <c r="D362" s="2"/>
      <c r="E362" s="2"/>
      <c r="F362" s="2"/>
      <c r="G362" s="2"/>
      <c r="H362" s="241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spans="1:31" ht="13">
      <c r="A363" s="2"/>
      <c r="B363" s="2"/>
      <c r="C363" s="2"/>
      <c r="D363" s="2"/>
      <c r="E363" s="2"/>
      <c r="F363" s="2"/>
      <c r="G363" s="2"/>
      <c r="H363" s="241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spans="1:31" ht="13">
      <c r="A364" s="2"/>
      <c r="B364" s="2"/>
      <c r="C364" s="2"/>
      <c r="D364" s="2"/>
      <c r="E364" s="2"/>
      <c r="F364" s="2"/>
      <c r="G364" s="2"/>
      <c r="H364" s="241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spans="1:31" ht="13">
      <c r="A365" s="2"/>
      <c r="B365" s="2"/>
      <c r="C365" s="2"/>
      <c r="D365" s="2"/>
      <c r="E365" s="2"/>
      <c r="F365" s="2"/>
      <c r="G365" s="2"/>
      <c r="H365" s="241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spans="1:31" ht="13">
      <c r="A366" s="2"/>
      <c r="B366" s="2"/>
      <c r="C366" s="2"/>
      <c r="D366" s="2"/>
      <c r="E366" s="2"/>
      <c r="F366" s="2"/>
      <c r="G366" s="2"/>
      <c r="H366" s="241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spans="1:31" ht="13">
      <c r="A367" s="2"/>
      <c r="B367" s="2"/>
      <c r="C367" s="2"/>
      <c r="D367" s="2"/>
      <c r="E367" s="2"/>
      <c r="F367" s="2"/>
      <c r="G367" s="2"/>
      <c r="H367" s="241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spans="1:31" ht="13">
      <c r="A368" s="2"/>
      <c r="B368" s="2"/>
      <c r="C368" s="2"/>
      <c r="D368" s="2"/>
      <c r="E368" s="2"/>
      <c r="F368" s="2"/>
      <c r="G368" s="2"/>
      <c r="H368" s="241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spans="1:31" ht="13">
      <c r="A369" s="2"/>
      <c r="B369" s="2"/>
      <c r="C369" s="2"/>
      <c r="D369" s="2"/>
      <c r="E369" s="2"/>
      <c r="F369" s="2"/>
      <c r="G369" s="2"/>
      <c r="H369" s="241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spans="1:31" ht="13">
      <c r="A370" s="2"/>
      <c r="B370" s="2"/>
      <c r="C370" s="2"/>
      <c r="D370" s="2"/>
      <c r="E370" s="2"/>
      <c r="F370" s="2"/>
      <c r="G370" s="2"/>
      <c r="H370" s="241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spans="1:31" ht="13">
      <c r="A371" s="2"/>
      <c r="B371" s="2"/>
      <c r="C371" s="2"/>
      <c r="D371" s="2"/>
      <c r="E371" s="2"/>
      <c r="F371" s="2"/>
      <c r="G371" s="2"/>
      <c r="H371" s="241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spans="1:31" ht="13">
      <c r="A372" s="2"/>
      <c r="B372" s="2"/>
      <c r="C372" s="2"/>
      <c r="D372" s="2"/>
      <c r="E372" s="2"/>
      <c r="F372" s="2"/>
      <c r="G372" s="2"/>
      <c r="H372" s="241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spans="1:31" ht="13">
      <c r="A373" s="2"/>
      <c r="B373" s="2"/>
      <c r="C373" s="2"/>
      <c r="D373" s="2"/>
      <c r="E373" s="2"/>
      <c r="F373" s="2"/>
      <c r="G373" s="2"/>
      <c r="H373" s="241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spans="1:31" ht="13">
      <c r="A374" s="2"/>
      <c r="B374" s="2"/>
      <c r="C374" s="2"/>
      <c r="D374" s="2"/>
      <c r="E374" s="2"/>
      <c r="F374" s="2"/>
      <c r="G374" s="2"/>
      <c r="H374" s="241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spans="1:31" ht="13">
      <c r="A375" s="2"/>
      <c r="B375" s="2"/>
      <c r="C375" s="2"/>
      <c r="D375" s="2"/>
      <c r="E375" s="2"/>
      <c r="F375" s="2"/>
      <c r="G375" s="2"/>
      <c r="H375" s="241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spans="1:31" ht="13">
      <c r="A376" s="2"/>
      <c r="B376" s="2"/>
      <c r="C376" s="2"/>
      <c r="D376" s="2"/>
      <c r="E376" s="2"/>
      <c r="F376" s="2"/>
      <c r="G376" s="2"/>
      <c r="H376" s="241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spans="1:31" ht="13">
      <c r="A377" s="2"/>
      <c r="B377" s="2"/>
      <c r="C377" s="2"/>
      <c r="D377" s="2"/>
      <c r="E377" s="2"/>
      <c r="F377" s="2"/>
      <c r="G377" s="2"/>
      <c r="H377" s="241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spans="1:31" ht="13">
      <c r="A378" s="2"/>
      <c r="B378" s="2"/>
      <c r="C378" s="2"/>
      <c r="D378" s="2"/>
      <c r="E378" s="2"/>
      <c r="F378" s="2"/>
      <c r="G378" s="2"/>
      <c r="H378" s="241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spans="1:31" ht="13">
      <c r="A379" s="2"/>
      <c r="B379" s="2"/>
      <c r="C379" s="2"/>
      <c r="D379" s="2"/>
      <c r="E379" s="2"/>
      <c r="F379" s="2"/>
      <c r="G379" s="2"/>
      <c r="H379" s="241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spans="1:31" ht="13">
      <c r="A380" s="2"/>
      <c r="B380" s="2"/>
      <c r="C380" s="2"/>
      <c r="D380" s="2"/>
      <c r="E380" s="2"/>
      <c r="F380" s="2"/>
      <c r="G380" s="2"/>
      <c r="H380" s="241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spans="1:31" ht="13">
      <c r="A381" s="2"/>
      <c r="B381" s="2"/>
      <c r="C381" s="2"/>
      <c r="D381" s="2"/>
      <c r="E381" s="2"/>
      <c r="F381" s="2"/>
      <c r="G381" s="2"/>
      <c r="H381" s="241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spans="1:31" ht="13">
      <c r="A382" s="2"/>
      <c r="B382" s="2"/>
      <c r="C382" s="2"/>
      <c r="D382" s="2"/>
      <c r="E382" s="2"/>
      <c r="F382" s="2"/>
      <c r="G382" s="2"/>
      <c r="H382" s="241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spans="1:31" ht="13">
      <c r="A383" s="2"/>
      <c r="B383" s="2"/>
      <c r="C383" s="2"/>
      <c r="D383" s="2"/>
      <c r="E383" s="2"/>
      <c r="F383" s="2"/>
      <c r="G383" s="2"/>
      <c r="H383" s="241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spans="1:31" ht="13">
      <c r="A384" s="2"/>
      <c r="B384" s="2"/>
      <c r="C384" s="2"/>
      <c r="D384" s="2"/>
      <c r="E384" s="2"/>
      <c r="F384" s="2"/>
      <c r="G384" s="2"/>
      <c r="H384" s="241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spans="1:31" ht="13">
      <c r="A385" s="2"/>
      <c r="B385" s="2"/>
      <c r="C385" s="2"/>
      <c r="D385" s="2"/>
      <c r="E385" s="2"/>
      <c r="F385" s="2"/>
      <c r="G385" s="2"/>
      <c r="H385" s="241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spans="1:31" ht="13">
      <c r="A386" s="2"/>
      <c r="B386" s="2"/>
      <c r="C386" s="2"/>
      <c r="D386" s="2"/>
      <c r="E386" s="2"/>
      <c r="F386" s="2"/>
      <c r="G386" s="2"/>
      <c r="H386" s="241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spans="1:31" ht="13">
      <c r="A387" s="2"/>
      <c r="B387" s="2"/>
      <c r="C387" s="2"/>
      <c r="D387" s="2"/>
      <c r="E387" s="2"/>
      <c r="F387" s="2"/>
      <c r="G387" s="2"/>
      <c r="H387" s="241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spans="1:31" ht="13">
      <c r="A388" s="2"/>
      <c r="B388" s="2"/>
      <c r="C388" s="2"/>
      <c r="D388" s="2"/>
      <c r="E388" s="2"/>
      <c r="F388" s="2"/>
      <c r="G388" s="2"/>
      <c r="H388" s="241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spans="1:31" ht="13">
      <c r="A389" s="2"/>
      <c r="B389" s="2"/>
      <c r="C389" s="2"/>
      <c r="D389" s="2"/>
      <c r="E389" s="2"/>
      <c r="F389" s="2"/>
      <c r="G389" s="2"/>
      <c r="H389" s="241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spans="1:31" ht="13">
      <c r="A390" s="2"/>
      <c r="B390" s="2"/>
      <c r="C390" s="2"/>
      <c r="D390" s="2"/>
      <c r="E390" s="2"/>
      <c r="F390" s="2"/>
      <c r="G390" s="2"/>
      <c r="H390" s="241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spans="1:31" ht="13">
      <c r="A391" s="2"/>
      <c r="B391" s="2"/>
      <c r="C391" s="2"/>
      <c r="D391" s="2"/>
      <c r="E391" s="2"/>
      <c r="F391" s="2"/>
      <c r="G391" s="2"/>
      <c r="H391" s="241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spans="1:31" ht="13">
      <c r="A392" s="2"/>
      <c r="B392" s="2"/>
      <c r="C392" s="2"/>
      <c r="D392" s="2"/>
      <c r="E392" s="2"/>
      <c r="F392" s="2"/>
      <c r="G392" s="2"/>
      <c r="H392" s="241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spans="1:31" ht="13">
      <c r="A393" s="2"/>
      <c r="B393" s="2"/>
      <c r="C393" s="2"/>
      <c r="D393" s="2"/>
      <c r="E393" s="2"/>
      <c r="F393" s="2"/>
      <c r="G393" s="2"/>
      <c r="H393" s="241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spans="1:31" ht="13">
      <c r="A394" s="2"/>
      <c r="B394" s="2"/>
      <c r="C394" s="2"/>
      <c r="D394" s="2"/>
      <c r="E394" s="2"/>
      <c r="F394" s="2"/>
      <c r="G394" s="2"/>
      <c r="H394" s="241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spans="1:31" ht="13">
      <c r="A395" s="2"/>
      <c r="B395" s="2"/>
      <c r="C395" s="2"/>
      <c r="D395" s="2"/>
      <c r="E395" s="2"/>
      <c r="F395" s="2"/>
      <c r="G395" s="2"/>
      <c r="H395" s="241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spans="1:31" ht="13">
      <c r="A396" s="2"/>
      <c r="B396" s="2"/>
      <c r="C396" s="2"/>
      <c r="D396" s="2"/>
      <c r="E396" s="2"/>
      <c r="F396" s="2"/>
      <c r="G396" s="2"/>
      <c r="H396" s="241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spans="1:31" ht="13">
      <c r="A397" s="2"/>
      <c r="B397" s="2"/>
      <c r="C397" s="2"/>
      <c r="D397" s="2"/>
      <c r="E397" s="2"/>
      <c r="F397" s="2"/>
      <c r="G397" s="2"/>
      <c r="H397" s="241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spans="1:31" ht="13">
      <c r="A398" s="2"/>
      <c r="B398" s="2"/>
      <c r="C398" s="2"/>
      <c r="D398" s="2"/>
      <c r="E398" s="2"/>
      <c r="F398" s="2"/>
      <c r="G398" s="2"/>
      <c r="H398" s="241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spans="1:31" ht="13">
      <c r="A399" s="2"/>
      <c r="B399" s="2"/>
      <c r="C399" s="2"/>
      <c r="D399" s="2"/>
      <c r="E399" s="2"/>
      <c r="F399" s="2"/>
      <c r="G399" s="2"/>
      <c r="H399" s="241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spans="1:31" ht="13">
      <c r="A400" s="2"/>
      <c r="B400" s="2"/>
      <c r="C400" s="2"/>
      <c r="D400" s="2"/>
      <c r="E400" s="2"/>
      <c r="F400" s="2"/>
      <c r="G400" s="2"/>
      <c r="H400" s="241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spans="1:31" ht="13">
      <c r="A401" s="2"/>
      <c r="B401" s="2"/>
      <c r="C401" s="2"/>
      <c r="D401" s="2"/>
      <c r="E401" s="2"/>
      <c r="F401" s="2"/>
      <c r="G401" s="2"/>
      <c r="H401" s="241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spans="1:31" ht="13">
      <c r="A402" s="2"/>
      <c r="B402" s="2"/>
      <c r="C402" s="2"/>
      <c r="D402" s="2"/>
      <c r="E402" s="2"/>
      <c r="F402" s="2"/>
      <c r="G402" s="2"/>
      <c r="H402" s="241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spans="1:31" ht="13">
      <c r="A403" s="2"/>
      <c r="B403" s="2"/>
      <c r="C403" s="2"/>
      <c r="D403" s="2"/>
      <c r="E403" s="2"/>
      <c r="F403" s="2"/>
      <c r="G403" s="2"/>
      <c r="H403" s="241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spans="1:31" ht="13">
      <c r="A404" s="2"/>
      <c r="B404" s="2"/>
      <c r="C404" s="2"/>
      <c r="D404" s="2"/>
      <c r="E404" s="2"/>
      <c r="F404" s="2"/>
      <c r="G404" s="2"/>
      <c r="H404" s="241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spans="1:31" ht="13">
      <c r="A405" s="2"/>
      <c r="B405" s="2"/>
      <c r="C405" s="2"/>
      <c r="D405" s="2"/>
      <c r="E405" s="2"/>
      <c r="F405" s="2"/>
      <c r="G405" s="2"/>
      <c r="H405" s="241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spans="1:31" ht="13">
      <c r="A406" s="2"/>
      <c r="B406" s="2"/>
      <c r="C406" s="2"/>
      <c r="D406" s="2"/>
      <c r="E406" s="2"/>
      <c r="F406" s="2"/>
      <c r="G406" s="2"/>
      <c r="H406" s="241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spans="1:31" ht="13">
      <c r="A407" s="2"/>
      <c r="B407" s="2"/>
      <c r="C407" s="2"/>
      <c r="D407" s="2"/>
      <c r="E407" s="2"/>
      <c r="F407" s="2"/>
      <c r="G407" s="2"/>
      <c r="H407" s="241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spans="1:31" ht="13">
      <c r="A408" s="2"/>
      <c r="B408" s="2"/>
      <c r="C408" s="2"/>
      <c r="D408" s="2"/>
      <c r="E408" s="2"/>
      <c r="F408" s="2"/>
      <c r="G408" s="2"/>
      <c r="H408" s="241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spans="1:31" ht="13">
      <c r="A409" s="2"/>
      <c r="B409" s="2"/>
      <c r="C409" s="2"/>
      <c r="D409" s="2"/>
      <c r="E409" s="2"/>
      <c r="F409" s="2"/>
      <c r="G409" s="2"/>
      <c r="H409" s="241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spans="1:31" ht="13">
      <c r="A410" s="2"/>
      <c r="B410" s="2"/>
      <c r="C410" s="2"/>
      <c r="D410" s="2"/>
      <c r="E410" s="2"/>
      <c r="F410" s="2"/>
      <c r="G410" s="2"/>
      <c r="H410" s="241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spans="1:31" ht="13">
      <c r="A411" s="2"/>
      <c r="B411" s="2"/>
      <c r="C411" s="2"/>
      <c r="D411" s="2"/>
      <c r="E411" s="2"/>
      <c r="F411" s="2"/>
      <c r="G411" s="2"/>
      <c r="H411" s="241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spans="1:31" ht="13">
      <c r="A412" s="2"/>
      <c r="B412" s="2"/>
      <c r="C412" s="2"/>
      <c r="D412" s="2"/>
      <c r="E412" s="2"/>
      <c r="F412" s="2"/>
      <c r="G412" s="2"/>
      <c r="H412" s="241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spans="1:31" ht="13">
      <c r="A413" s="2"/>
      <c r="B413" s="2"/>
      <c r="C413" s="2"/>
      <c r="D413" s="2"/>
      <c r="E413" s="2"/>
      <c r="F413" s="2"/>
      <c r="G413" s="2"/>
      <c r="H413" s="241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spans="1:31" ht="13">
      <c r="A414" s="2"/>
      <c r="B414" s="2"/>
      <c r="C414" s="2"/>
      <c r="D414" s="2"/>
      <c r="E414" s="2"/>
      <c r="F414" s="2"/>
      <c r="G414" s="2"/>
      <c r="H414" s="241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spans="1:31" ht="13">
      <c r="A415" s="2"/>
      <c r="B415" s="2"/>
      <c r="C415" s="2"/>
      <c r="D415" s="2"/>
      <c r="E415" s="2"/>
      <c r="F415" s="2"/>
      <c r="G415" s="2"/>
      <c r="H415" s="241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spans="1:31" ht="13">
      <c r="A416" s="2"/>
      <c r="B416" s="2"/>
      <c r="C416" s="2"/>
      <c r="D416" s="2"/>
      <c r="E416" s="2"/>
      <c r="F416" s="2"/>
      <c r="G416" s="2"/>
      <c r="H416" s="241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spans="1:31" ht="13">
      <c r="A417" s="2"/>
      <c r="B417" s="2"/>
      <c r="C417" s="2"/>
      <c r="D417" s="2"/>
      <c r="E417" s="2"/>
      <c r="F417" s="2"/>
      <c r="G417" s="2"/>
      <c r="H417" s="241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spans="1:31" ht="13">
      <c r="A418" s="2"/>
      <c r="B418" s="2"/>
      <c r="C418" s="2"/>
      <c r="D418" s="2"/>
      <c r="E418" s="2"/>
      <c r="F418" s="2"/>
      <c r="G418" s="2"/>
      <c r="H418" s="241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spans="1:31" ht="13">
      <c r="A419" s="2"/>
      <c r="B419" s="2"/>
      <c r="C419" s="2"/>
      <c r="D419" s="2"/>
      <c r="E419" s="2"/>
      <c r="F419" s="2"/>
      <c r="G419" s="2"/>
      <c r="H419" s="241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spans="1:31" ht="13">
      <c r="A420" s="2"/>
      <c r="B420" s="2"/>
      <c r="C420" s="2"/>
      <c r="D420" s="2"/>
      <c r="E420" s="2"/>
      <c r="F420" s="2"/>
      <c r="G420" s="2"/>
      <c r="H420" s="241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spans="1:31" ht="13">
      <c r="A421" s="2"/>
      <c r="B421" s="2"/>
      <c r="C421" s="2"/>
      <c r="D421" s="2"/>
      <c r="E421" s="2"/>
      <c r="F421" s="2"/>
      <c r="G421" s="2"/>
      <c r="H421" s="241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spans="1:31" ht="13">
      <c r="A422" s="2"/>
      <c r="B422" s="2"/>
      <c r="C422" s="2"/>
      <c r="D422" s="2"/>
      <c r="E422" s="2"/>
      <c r="F422" s="2"/>
      <c r="G422" s="2"/>
      <c r="H422" s="241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spans="1:31" ht="13">
      <c r="A423" s="2"/>
      <c r="B423" s="2"/>
      <c r="C423" s="2"/>
      <c r="D423" s="2"/>
      <c r="E423" s="2"/>
      <c r="F423" s="2"/>
      <c r="G423" s="2"/>
      <c r="H423" s="241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spans="1:31" ht="13">
      <c r="A424" s="2"/>
      <c r="B424" s="2"/>
      <c r="C424" s="2"/>
      <c r="D424" s="2"/>
      <c r="E424" s="2"/>
      <c r="F424" s="2"/>
      <c r="G424" s="2"/>
      <c r="H424" s="241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spans="1:31" ht="13">
      <c r="A425" s="2"/>
      <c r="B425" s="2"/>
      <c r="C425" s="2"/>
      <c r="D425" s="2"/>
      <c r="E425" s="2"/>
      <c r="F425" s="2"/>
      <c r="G425" s="2"/>
      <c r="H425" s="241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spans="1:31" ht="13">
      <c r="A426" s="2"/>
      <c r="B426" s="2"/>
      <c r="C426" s="2"/>
      <c r="D426" s="2"/>
      <c r="E426" s="2"/>
      <c r="F426" s="2"/>
      <c r="G426" s="2"/>
      <c r="H426" s="241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spans="1:31" ht="13">
      <c r="A427" s="2"/>
      <c r="B427" s="2"/>
      <c r="C427" s="2"/>
      <c r="D427" s="2"/>
      <c r="E427" s="2"/>
      <c r="F427" s="2"/>
      <c r="G427" s="2"/>
      <c r="H427" s="241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spans="1:31" ht="13">
      <c r="A428" s="2"/>
      <c r="B428" s="2"/>
      <c r="C428" s="2"/>
      <c r="D428" s="2"/>
      <c r="E428" s="2"/>
      <c r="F428" s="2"/>
      <c r="G428" s="2"/>
      <c r="H428" s="241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spans="1:31" ht="13">
      <c r="A429" s="2"/>
      <c r="B429" s="2"/>
      <c r="C429" s="2"/>
      <c r="D429" s="2"/>
      <c r="E429" s="2"/>
      <c r="F429" s="2"/>
      <c r="G429" s="2"/>
      <c r="H429" s="241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spans="1:31" ht="13">
      <c r="A430" s="2"/>
      <c r="B430" s="2"/>
      <c r="C430" s="2"/>
      <c r="D430" s="2"/>
      <c r="E430" s="2"/>
      <c r="F430" s="2"/>
      <c r="G430" s="2"/>
      <c r="H430" s="241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spans="1:31" ht="13">
      <c r="A431" s="2"/>
      <c r="B431" s="2"/>
      <c r="C431" s="2"/>
      <c r="D431" s="2"/>
      <c r="E431" s="2"/>
      <c r="F431" s="2"/>
      <c r="G431" s="2"/>
      <c r="H431" s="241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spans="1:31" ht="13">
      <c r="A432" s="2"/>
      <c r="B432" s="2"/>
      <c r="C432" s="2"/>
      <c r="D432" s="2"/>
      <c r="E432" s="2"/>
      <c r="F432" s="2"/>
      <c r="G432" s="2"/>
      <c r="H432" s="241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spans="1:31" ht="13">
      <c r="A433" s="2"/>
      <c r="B433" s="2"/>
      <c r="C433" s="2"/>
      <c r="D433" s="2"/>
      <c r="E433" s="2"/>
      <c r="F433" s="2"/>
      <c r="G433" s="2"/>
      <c r="H433" s="241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spans="1:31" ht="13">
      <c r="A434" s="2"/>
      <c r="B434" s="2"/>
      <c r="C434" s="2"/>
      <c r="D434" s="2"/>
      <c r="E434" s="2"/>
      <c r="F434" s="2"/>
      <c r="G434" s="2"/>
      <c r="H434" s="241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spans="1:31" ht="13">
      <c r="A435" s="2"/>
      <c r="B435" s="2"/>
      <c r="C435" s="2"/>
      <c r="D435" s="2"/>
      <c r="E435" s="2"/>
      <c r="F435" s="2"/>
      <c r="G435" s="2"/>
      <c r="H435" s="241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spans="1:31" ht="13">
      <c r="A436" s="2"/>
      <c r="B436" s="2"/>
      <c r="C436" s="2"/>
      <c r="D436" s="2"/>
      <c r="E436" s="2"/>
      <c r="F436" s="2"/>
      <c r="G436" s="2"/>
      <c r="H436" s="241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spans="1:31" ht="13">
      <c r="A437" s="2"/>
      <c r="B437" s="2"/>
      <c r="C437" s="2"/>
      <c r="D437" s="2"/>
      <c r="E437" s="2"/>
      <c r="F437" s="2"/>
      <c r="G437" s="2"/>
      <c r="H437" s="241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spans="1:31" ht="13">
      <c r="A438" s="2"/>
      <c r="B438" s="2"/>
      <c r="C438" s="2"/>
      <c r="D438" s="2"/>
      <c r="E438" s="2"/>
      <c r="F438" s="2"/>
      <c r="G438" s="2"/>
      <c r="H438" s="241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spans="1:31" ht="13">
      <c r="A439" s="2"/>
      <c r="B439" s="2"/>
      <c r="C439" s="2"/>
      <c r="D439" s="2"/>
      <c r="E439" s="2"/>
      <c r="F439" s="2"/>
      <c r="G439" s="2"/>
      <c r="H439" s="241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spans="1:31" ht="13">
      <c r="A440" s="2"/>
      <c r="B440" s="2"/>
      <c r="C440" s="2"/>
      <c r="D440" s="2"/>
      <c r="E440" s="2"/>
      <c r="F440" s="2"/>
      <c r="G440" s="2"/>
      <c r="H440" s="241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spans="1:31" ht="13">
      <c r="A441" s="2"/>
      <c r="B441" s="2"/>
      <c r="C441" s="2"/>
      <c r="D441" s="2"/>
      <c r="E441" s="2"/>
      <c r="F441" s="2"/>
      <c r="G441" s="2"/>
      <c r="H441" s="241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spans="1:31" ht="13">
      <c r="A442" s="2"/>
      <c r="B442" s="2"/>
      <c r="C442" s="2"/>
      <c r="D442" s="2"/>
      <c r="E442" s="2"/>
      <c r="F442" s="2"/>
      <c r="G442" s="2"/>
      <c r="H442" s="241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spans="1:31" ht="13">
      <c r="A443" s="2"/>
      <c r="B443" s="2"/>
      <c r="C443" s="2"/>
      <c r="D443" s="2"/>
      <c r="E443" s="2"/>
      <c r="F443" s="2"/>
      <c r="G443" s="2"/>
      <c r="H443" s="241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spans="1:31" ht="13">
      <c r="A444" s="2"/>
      <c r="B444" s="2"/>
      <c r="C444" s="2"/>
      <c r="D444" s="2"/>
      <c r="E444" s="2"/>
      <c r="F444" s="2"/>
      <c r="G444" s="2"/>
      <c r="H444" s="241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spans="1:31" ht="13">
      <c r="A445" s="2"/>
      <c r="B445" s="2"/>
      <c r="C445" s="2"/>
      <c r="D445" s="2"/>
      <c r="E445" s="2"/>
      <c r="F445" s="2"/>
      <c r="G445" s="2"/>
      <c r="H445" s="241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spans="1:31" ht="13">
      <c r="A446" s="2"/>
      <c r="B446" s="2"/>
      <c r="C446" s="2"/>
      <c r="D446" s="2"/>
      <c r="E446" s="2"/>
      <c r="F446" s="2"/>
      <c r="G446" s="2"/>
      <c r="H446" s="241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spans="1:31" ht="13">
      <c r="A447" s="2"/>
      <c r="B447" s="2"/>
      <c r="C447" s="2"/>
      <c r="D447" s="2"/>
      <c r="E447" s="2"/>
      <c r="F447" s="2"/>
      <c r="G447" s="2"/>
      <c r="H447" s="241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spans="1:31" ht="13">
      <c r="A448" s="2"/>
      <c r="B448" s="2"/>
      <c r="C448" s="2"/>
      <c r="D448" s="2"/>
      <c r="E448" s="2"/>
      <c r="F448" s="2"/>
      <c r="G448" s="2"/>
      <c r="H448" s="241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spans="1:31" ht="13">
      <c r="A449" s="2"/>
      <c r="B449" s="2"/>
      <c r="C449" s="2"/>
      <c r="D449" s="2"/>
      <c r="E449" s="2"/>
      <c r="F449" s="2"/>
      <c r="G449" s="2"/>
      <c r="H449" s="241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spans="1:31" ht="13">
      <c r="A450" s="2"/>
      <c r="B450" s="2"/>
      <c r="C450" s="2"/>
      <c r="D450" s="2"/>
      <c r="E450" s="2"/>
      <c r="F450" s="2"/>
      <c r="G450" s="2"/>
      <c r="H450" s="241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spans="1:31" ht="13">
      <c r="A451" s="2"/>
      <c r="B451" s="2"/>
      <c r="C451" s="2"/>
      <c r="D451" s="2"/>
      <c r="E451" s="2"/>
      <c r="F451" s="2"/>
      <c r="G451" s="2"/>
      <c r="H451" s="241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spans="1:31" ht="13">
      <c r="A452" s="2"/>
      <c r="B452" s="2"/>
      <c r="C452" s="2"/>
      <c r="D452" s="2"/>
      <c r="E452" s="2"/>
      <c r="F452" s="2"/>
      <c r="G452" s="2"/>
      <c r="H452" s="241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spans="1:31" ht="13">
      <c r="A453" s="2"/>
      <c r="B453" s="2"/>
      <c r="C453" s="2"/>
      <c r="D453" s="2"/>
      <c r="E453" s="2"/>
      <c r="F453" s="2"/>
      <c r="G453" s="2"/>
      <c r="H453" s="241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spans="1:31" ht="13">
      <c r="A454" s="2"/>
      <c r="B454" s="2"/>
      <c r="C454" s="2"/>
      <c r="D454" s="2"/>
      <c r="E454" s="2"/>
      <c r="F454" s="2"/>
      <c r="G454" s="2"/>
      <c r="H454" s="241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spans="1:31" ht="13">
      <c r="A455" s="2"/>
      <c r="B455" s="2"/>
      <c r="C455" s="2"/>
      <c r="D455" s="2"/>
      <c r="E455" s="2"/>
      <c r="F455" s="2"/>
      <c r="G455" s="2"/>
      <c r="H455" s="241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spans="1:31" ht="13">
      <c r="A456" s="2"/>
      <c r="B456" s="2"/>
      <c r="C456" s="2"/>
      <c r="D456" s="2"/>
      <c r="E456" s="2"/>
      <c r="F456" s="2"/>
      <c r="G456" s="2"/>
      <c r="H456" s="241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spans="1:31" ht="13">
      <c r="A457" s="2"/>
      <c r="B457" s="2"/>
      <c r="C457" s="2"/>
      <c r="D457" s="2"/>
      <c r="E457" s="2"/>
      <c r="F457" s="2"/>
      <c r="G457" s="2"/>
      <c r="H457" s="241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spans="1:31" ht="13">
      <c r="A458" s="2"/>
      <c r="B458" s="2"/>
      <c r="C458" s="2"/>
      <c r="D458" s="2"/>
      <c r="E458" s="2"/>
      <c r="F458" s="2"/>
      <c r="G458" s="2"/>
      <c r="H458" s="241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spans="1:31" ht="13">
      <c r="A459" s="2"/>
      <c r="B459" s="2"/>
      <c r="C459" s="2"/>
      <c r="D459" s="2"/>
      <c r="E459" s="2"/>
      <c r="F459" s="2"/>
      <c r="G459" s="2"/>
      <c r="H459" s="241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spans="1:31" ht="13">
      <c r="A460" s="2"/>
      <c r="B460" s="2"/>
      <c r="C460" s="2"/>
      <c r="D460" s="2"/>
      <c r="E460" s="2"/>
      <c r="F460" s="2"/>
      <c r="G460" s="2"/>
      <c r="H460" s="241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spans="1:31" ht="13">
      <c r="A461" s="2"/>
      <c r="B461" s="2"/>
      <c r="C461" s="2"/>
      <c r="D461" s="2"/>
      <c r="E461" s="2"/>
      <c r="F461" s="2"/>
      <c r="G461" s="2"/>
      <c r="H461" s="241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spans="1:31" ht="13">
      <c r="A462" s="2"/>
      <c r="B462" s="2"/>
      <c r="C462" s="2"/>
      <c r="D462" s="2"/>
      <c r="E462" s="2"/>
      <c r="F462" s="2"/>
      <c r="G462" s="2"/>
      <c r="H462" s="241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spans="1:31" ht="13">
      <c r="A463" s="2"/>
      <c r="B463" s="2"/>
      <c r="C463" s="2"/>
      <c r="D463" s="2"/>
      <c r="E463" s="2"/>
      <c r="F463" s="2"/>
      <c r="G463" s="2"/>
      <c r="H463" s="241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spans="1:31" ht="13">
      <c r="A464" s="2"/>
      <c r="B464" s="2"/>
      <c r="C464" s="2"/>
      <c r="D464" s="2"/>
      <c r="E464" s="2"/>
      <c r="F464" s="2"/>
      <c r="G464" s="2"/>
      <c r="H464" s="241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spans="1:31" ht="13">
      <c r="A465" s="2"/>
      <c r="B465" s="2"/>
      <c r="C465" s="2"/>
      <c r="D465" s="2"/>
      <c r="E465" s="2"/>
      <c r="F465" s="2"/>
      <c r="G465" s="2"/>
      <c r="H465" s="241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spans="1:31" ht="13">
      <c r="A466" s="2"/>
      <c r="B466" s="2"/>
      <c r="C466" s="2"/>
      <c r="D466" s="2"/>
      <c r="E466" s="2"/>
      <c r="F466" s="2"/>
      <c r="G466" s="2"/>
      <c r="H466" s="241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spans="1:31" ht="13">
      <c r="A467" s="2"/>
      <c r="B467" s="2"/>
      <c r="C467" s="2"/>
      <c r="D467" s="2"/>
      <c r="E467" s="2"/>
      <c r="F467" s="2"/>
      <c r="G467" s="2"/>
      <c r="H467" s="241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spans="1:31" ht="13">
      <c r="A468" s="2"/>
      <c r="B468" s="2"/>
      <c r="C468" s="2"/>
      <c r="D468" s="2"/>
      <c r="E468" s="2"/>
      <c r="F468" s="2"/>
      <c r="G468" s="2"/>
      <c r="H468" s="241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spans="1:31" ht="13">
      <c r="A469" s="2"/>
      <c r="B469" s="2"/>
      <c r="C469" s="2"/>
      <c r="D469" s="2"/>
      <c r="E469" s="2"/>
      <c r="F469" s="2"/>
      <c r="G469" s="2"/>
      <c r="H469" s="241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spans="1:31" ht="13">
      <c r="A470" s="2"/>
      <c r="B470" s="2"/>
      <c r="C470" s="2"/>
      <c r="D470" s="2"/>
      <c r="E470" s="2"/>
      <c r="F470" s="2"/>
      <c r="G470" s="2"/>
      <c r="H470" s="241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spans="1:31" ht="13">
      <c r="A471" s="2"/>
      <c r="B471" s="2"/>
      <c r="C471" s="2"/>
      <c r="D471" s="2"/>
      <c r="E471" s="2"/>
      <c r="F471" s="2"/>
      <c r="G471" s="2"/>
      <c r="H471" s="241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spans="1:31" ht="13">
      <c r="A472" s="2"/>
      <c r="B472" s="2"/>
      <c r="C472" s="2"/>
      <c r="D472" s="2"/>
      <c r="E472" s="2"/>
      <c r="F472" s="2"/>
      <c r="G472" s="2"/>
      <c r="H472" s="241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spans="1:31" ht="13">
      <c r="A473" s="2"/>
      <c r="B473" s="2"/>
      <c r="C473" s="2"/>
      <c r="D473" s="2"/>
      <c r="E473" s="2"/>
      <c r="F473" s="2"/>
      <c r="G473" s="2"/>
      <c r="H473" s="241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spans="1:31" ht="13">
      <c r="A474" s="2"/>
      <c r="B474" s="2"/>
      <c r="C474" s="2"/>
      <c r="D474" s="2"/>
      <c r="E474" s="2"/>
      <c r="F474" s="2"/>
      <c r="G474" s="2"/>
      <c r="H474" s="241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spans="1:31" ht="13">
      <c r="A475" s="2"/>
      <c r="B475" s="2"/>
      <c r="C475" s="2"/>
      <c r="D475" s="2"/>
      <c r="E475" s="2"/>
      <c r="F475" s="2"/>
      <c r="G475" s="2"/>
      <c r="H475" s="241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spans="1:31" ht="13">
      <c r="A476" s="2"/>
      <c r="B476" s="2"/>
      <c r="C476" s="2"/>
      <c r="D476" s="2"/>
      <c r="E476" s="2"/>
      <c r="F476" s="2"/>
      <c r="G476" s="2"/>
      <c r="H476" s="241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spans="1:31" ht="13">
      <c r="A477" s="2"/>
      <c r="B477" s="2"/>
      <c r="C477" s="2"/>
      <c r="D477" s="2"/>
      <c r="E477" s="2"/>
      <c r="F477" s="2"/>
      <c r="G477" s="2"/>
      <c r="H477" s="241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spans="1:31" ht="13">
      <c r="A478" s="2"/>
      <c r="B478" s="2"/>
      <c r="C478" s="2"/>
      <c r="D478" s="2"/>
      <c r="E478" s="2"/>
      <c r="F478" s="2"/>
      <c r="G478" s="2"/>
      <c r="H478" s="241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spans="1:31" ht="13">
      <c r="A479" s="2"/>
      <c r="B479" s="2"/>
      <c r="C479" s="2"/>
      <c r="D479" s="2"/>
      <c r="E479" s="2"/>
      <c r="F479" s="2"/>
      <c r="G479" s="2"/>
      <c r="H479" s="241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spans="1:31" ht="13">
      <c r="A480" s="2"/>
      <c r="B480" s="2"/>
      <c r="C480" s="2"/>
      <c r="D480" s="2"/>
      <c r="E480" s="2"/>
      <c r="F480" s="2"/>
      <c r="G480" s="2"/>
      <c r="H480" s="241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spans="1:31" ht="13">
      <c r="A481" s="2"/>
      <c r="B481" s="2"/>
      <c r="C481" s="2"/>
      <c r="D481" s="2"/>
      <c r="E481" s="2"/>
      <c r="F481" s="2"/>
      <c r="G481" s="2"/>
      <c r="H481" s="241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spans="1:31" ht="13">
      <c r="A482" s="2"/>
      <c r="B482" s="2"/>
      <c r="C482" s="2"/>
      <c r="D482" s="2"/>
      <c r="E482" s="2"/>
      <c r="F482" s="2"/>
      <c r="G482" s="2"/>
      <c r="H482" s="241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spans="1:31" ht="13">
      <c r="A483" s="2"/>
      <c r="B483" s="2"/>
      <c r="C483" s="2"/>
      <c r="D483" s="2"/>
      <c r="E483" s="2"/>
      <c r="F483" s="2"/>
      <c r="G483" s="2"/>
      <c r="H483" s="241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spans="1:31" ht="13">
      <c r="A484" s="2"/>
      <c r="B484" s="2"/>
      <c r="C484" s="2"/>
      <c r="D484" s="2"/>
      <c r="E484" s="2"/>
      <c r="F484" s="2"/>
      <c r="G484" s="2"/>
      <c r="H484" s="241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spans="1:31" ht="13">
      <c r="A485" s="2"/>
      <c r="B485" s="2"/>
      <c r="C485" s="2"/>
      <c r="D485" s="2"/>
      <c r="E485" s="2"/>
      <c r="F485" s="2"/>
      <c r="G485" s="2"/>
      <c r="H485" s="241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spans="1:31" ht="13">
      <c r="A486" s="2"/>
      <c r="B486" s="2"/>
      <c r="C486" s="2"/>
      <c r="D486" s="2"/>
      <c r="E486" s="2"/>
      <c r="F486" s="2"/>
      <c r="G486" s="2"/>
      <c r="H486" s="241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spans="1:31" ht="13">
      <c r="A487" s="2"/>
      <c r="B487" s="2"/>
      <c r="C487" s="2"/>
      <c r="D487" s="2"/>
      <c r="E487" s="2"/>
      <c r="F487" s="2"/>
      <c r="G487" s="2"/>
      <c r="H487" s="241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spans="1:31" ht="13">
      <c r="A488" s="2"/>
      <c r="B488" s="2"/>
      <c r="C488" s="2"/>
      <c r="D488" s="2"/>
      <c r="E488" s="2"/>
      <c r="F488" s="2"/>
      <c r="G488" s="2"/>
      <c r="H488" s="241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spans="1:31" ht="13">
      <c r="A489" s="2"/>
      <c r="B489" s="2"/>
      <c r="C489" s="2"/>
      <c r="D489" s="2"/>
      <c r="E489" s="2"/>
      <c r="F489" s="2"/>
      <c r="G489" s="2"/>
      <c r="H489" s="241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spans="1:31" ht="13">
      <c r="A490" s="2"/>
      <c r="B490" s="2"/>
      <c r="C490" s="2"/>
      <c r="D490" s="2"/>
      <c r="E490" s="2"/>
      <c r="F490" s="2"/>
      <c r="G490" s="2"/>
      <c r="H490" s="241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spans="1:31" ht="13">
      <c r="A491" s="2"/>
      <c r="B491" s="2"/>
      <c r="C491" s="2"/>
      <c r="D491" s="2"/>
      <c r="E491" s="2"/>
      <c r="F491" s="2"/>
      <c r="G491" s="2"/>
      <c r="H491" s="241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spans="1:31" ht="13">
      <c r="A492" s="2"/>
      <c r="B492" s="2"/>
      <c r="C492" s="2"/>
      <c r="D492" s="2"/>
      <c r="E492" s="2"/>
      <c r="F492" s="2"/>
      <c r="G492" s="2"/>
      <c r="H492" s="241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spans="1:31" ht="13">
      <c r="A493" s="2"/>
      <c r="B493" s="2"/>
      <c r="C493" s="2"/>
      <c r="D493" s="2"/>
      <c r="E493" s="2"/>
      <c r="F493" s="2"/>
      <c r="G493" s="2"/>
      <c r="H493" s="241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spans="1:31" ht="13">
      <c r="A494" s="2"/>
      <c r="B494" s="2"/>
      <c r="C494" s="2"/>
      <c r="D494" s="2"/>
      <c r="E494" s="2"/>
      <c r="F494" s="2"/>
      <c r="G494" s="2"/>
      <c r="H494" s="241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spans="1:31" ht="13">
      <c r="A495" s="2"/>
      <c r="B495" s="2"/>
      <c r="C495" s="2"/>
      <c r="D495" s="2"/>
      <c r="E495" s="2"/>
      <c r="F495" s="2"/>
      <c r="G495" s="2"/>
      <c r="H495" s="241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spans="1:31" ht="13">
      <c r="A496" s="2"/>
      <c r="B496" s="2"/>
      <c r="C496" s="2"/>
      <c r="D496" s="2"/>
      <c r="E496" s="2"/>
      <c r="F496" s="2"/>
      <c r="G496" s="2"/>
      <c r="H496" s="241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spans="1:31" ht="13">
      <c r="A497" s="2"/>
      <c r="B497" s="2"/>
      <c r="C497" s="2"/>
      <c r="D497" s="2"/>
      <c r="E497" s="2"/>
      <c r="F497" s="2"/>
      <c r="G497" s="2"/>
      <c r="H497" s="241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spans="1:31" ht="13">
      <c r="A498" s="2"/>
      <c r="B498" s="2"/>
      <c r="C498" s="2"/>
      <c r="D498" s="2"/>
      <c r="E498" s="2"/>
      <c r="F498" s="2"/>
      <c r="G498" s="2"/>
      <c r="H498" s="241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spans="1:31" ht="13">
      <c r="A499" s="2"/>
      <c r="B499" s="2"/>
      <c r="C499" s="2"/>
      <c r="D499" s="2"/>
      <c r="E499" s="2"/>
      <c r="F499" s="2"/>
      <c r="G499" s="2"/>
      <c r="H499" s="241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spans="1:31" ht="13">
      <c r="A500" s="2"/>
      <c r="B500" s="2"/>
      <c r="C500" s="2"/>
      <c r="D500" s="2"/>
      <c r="E500" s="2"/>
      <c r="F500" s="2"/>
      <c r="G500" s="2"/>
      <c r="H500" s="241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spans="1:31" ht="13">
      <c r="A501" s="2"/>
      <c r="B501" s="2"/>
      <c r="C501" s="2"/>
      <c r="D501" s="2"/>
      <c r="E501" s="2"/>
      <c r="F501" s="2"/>
      <c r="G501" s="2"/>
      <c r="H501" s="241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spans="1:31" ht="13">
      <c r="A502" s="2"/>
      <c r="B502" s="2"/>
      <c r="C502" s="2"/>
      <c r="D502" s="2"/>
      <c r="E502" s="2"/>
      <c r="F502" s="2"/>
      <c r="G502" s="2"/>
      <c r="H502" s="241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spans="1:31" ht="13">
      <c r="A503" s="2"/>
      <c r="B503" s="2"/>
      <c r="C503" s="2"/>
      <c r="D503" s="2"/>
      <c r="E503" s="2"/>
      <c r="F503" s="2"/>
      <c r="G503" s="2"/>
      <c r="H503" s="241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spans="1:31" ht="13">
      <c r="A504" s="2"/>
      <c r="B504" s="2"/>
      <c r="C504" s="2"/>
      <c r="D504" s="2"/>
      <c r="E504" s="2"/>
      <c r="F504" s="2"/>
      <c r="G504" s="2"/>
      <c r="H504" s="241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spans="1:31" ht="13">
      <c r="A505" s="2"/>
      <c r="B505" s="2"/>
      <c r="C505" s="2"/>
      <c r="D505" s="2"/>
      <c r="E505" s="2"/>
      <c r="F505" s="2"/>
      <c r="G505" s="2"/>
      <c r="H505" s="241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spans="1:31" ht="13">
      <c r="A506" s="2"/>
      <c r="B506" s="2"/>
      <c r="C506" s="2"/>
      <c r="D506" s="2"/>
      <c r="E506" s="2"/>
      <c r="F506" s="2"/>
      <c r="G506" s="2"/>
      <c r="H506" s="241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spans="1:31" ht="13">
      <c r="A507" s="2"/>
      <c r="B507" s="2"/>
      <c r="C507" s="2"/>
      <c r="D507" s="2"/>
      <c r="E507" s="2"/>
      <c r="F507" s="2"/>
      <c r="G507" s="2"/>
      <c r="H507" s="241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spans="1:31" ht="13">
      <c r="A508" s="2"/>
      <c r="B508" s="2"/>
      <c r="C508" s="2"/>
      <c r="D508" s="2"/>
      <c r="E508" s="2"/>
      <c r="F508" s="2"/>
      <c r="G508" s="2"/>
      <c r="H508" s="241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spans="1:31" ht="13">
      <c r="A509" s="2"/>
      <c r="B509" s="2"/>
      <c r="C509" s="2"/>
      <c r="D509" s="2"/>
      <c r="E509" s="2"/>
      <c r="F509" s="2"/>
      <c r="G509" s="2"/>
      <c r="H509" s="241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spans="1:31" ht="13">
      <c r="A510" s="2"/>
      <c r="B510" s="2"/>
      <c r="C510" s="2"/>
      <c r="D510" s="2"/>
      <c r="E510" s="2"/>
      <c r="F510" s="2"/>
      <c r="G510" s="2"/>
      <c r="H510" s="241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spans="1:31" ht="13">
      <c r="A511" s="2"/>
      <c r="B511" s="2"/>
      <c r="C511" s="2"/>
      <c r="D511" s="2"/>
      <c r="E511" s="2"/>
      <c r="F511" s="2"/>
      <c r="G511" s="2"/>
      <c r="H511" s="241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spans="1:31" ht="13">
      <c r="A512" s="2"/>
      <c r="B512" s="2"/>
      <c r="C512" s="2"/>
      <c r="D512" s="2"/>
      <c r="E512" s="2"/>
      <c r="F512" s="2"/>
      <c r="G512" s="2"/>
      <c r="H512" s="241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spans="1:31" ht="13">
      <c r="A513" s="2"/>
      <c r="B513" s="2"/>
      <c r="C513" s="2"/>
      <c r="D513" s="2"/>
      <c r="E513" s="2"/>
      <c r="F513" s="2"/>
      <c r="G513" s="2"/>
      <c r="H513" s="241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spans="1:31" ht="13">
      <c r="A514" s="2"/>
      <c r="B514" s="2"/>
      <c r="C514" s="2"/>
      <c r="D514" s="2"/>
      <c r="E514" s="2"/>
      <c r="F514" s="2"/>
      <c r="G514" s="2"/>
      <c r="H514" s="241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spans="1:31" ht="13">
      <c r="A515" s="2"/>
      <c r="B515" s="2"/>
      <c r="C515" s="2"/>
      <c r="D515" s="2"/>
      <c r="E515" s="2"/>
      <c r="F515" s="2"/>
      <c r="G515" s="2"/>
      <c r="H515" s="241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spans="1:31" ht="13">
      <c r="A516" s="2"/>
      <c r="B516" s="2"/>
      <c r="C516" s="2"/>
      <c r="D516" s="2"/>
      <c r="E516" s="2"/>
      <c r="F516" s="2"/>
      <c r="G516" s="2"/>
      <c r="H516" s="241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spans="1:31" ht="13">
      <c r="A517" s="2"/>
      <c r="B517" s="2"/>
      <c r="C517" s="2"/>
      <c r="D517" s="2"/>
      <c r="E517" s="2"/>
      <c r="F517" s="2"/>
      <c r="G517" s="2"/>
      <c r="H517" s="241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spans="1:31" ht="13">
      <c r="A518" s="2"/>
      <c r="B518" s="2"/>
      <c r="C518" s="2"/>
      <c r="D518" s="2"/>
      <c r="E518" s="2"/>
      <c r="F518" s="2"/>
      <c r="G518" s="2"/>
      <c r="H518" s="241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spans="1:31" ht="13">
      <c r="A519" s="2"/>
      <c r="B519" s="2"/>
      <c r="C519" s="2"/>
      <c r="D519" s="2"/>
      <c r="E519" s="2"/>
      <c r="F519" s="2"/>
      <c r="G519" s="2"/>
      <c r="H519" s="241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spans="1:31" ht="13">
      <c r="A520" s="2"/>
      <c r="B520" s="2"/>
      <c r="C520" s="2"/>
      <c r="D520" s="2"/>
      <c r="E520" s="2"/>
      <c r="F520" s="2"/>
      <c r="G520" s="2"/>
      <c r="H520" s="241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spans="1:31" ht="13">
      <c r="A521" s="2"/>
      <c r="B521" s="2"/>
      <c r="C521" s="2"/>
      <c r="D521" s="2"/>
      <c r="E521" s="2"/>
      <c r="F521" s="2"/>
      <c r="G521" s="2"/>
      <c r="H521" s="241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spans="1:31" ht="13">
      <c r="A522" s="2"/>
      <c r="B522" s="2"/>
      <c r="C522" s="2"/>
      <c r="D522" s="2"/>
      <c r="E522" s="2"/>
      <c r="F522" s="2"/>
      <c r="G522" s="2"/>
      <c r="H522" s="241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spans="1:31" ht="13">
      <c r="A523" s="2"/>
      <c r="B523" s="2"/>
      <c r="C523" s="2"/>
      <c r="D523" s="2"/>
      <c r="E523" s="2"/>
      <c r="F523" s="2"/>
      <c r="G523" s="2"/>
      <c r="H523" s="241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spans="1:31" ht="13">
      <c r="A524" s="2"/>
      <c r="B524" s="2"/>
      <c r="C524" s="2"/>
      <c r="D524" s="2"/>
      <c r="E524" s="2"/>
      <c r="F524" s="2"/>
      <c r="G524" s="2"/>
      <c r="H524" s="241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spans="1:31" ht="13">
      <c r="A525" s="2"/>
      <c r="B525" s="2"/>
      <c r="C525" s="2"/>
      <c r="D525" s="2"/>
      <c r="E525" s="2"/>
      <c r="F525" s="2"/>
      <c r="G525" s="2"/>
      <c r="H525" s="241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spans="1:31" ht="13">
      <c r="A526" s="2"/>
      <c r="B526" s="2"/>
      <c r="C526" s="2"/>
      <c r="D526" s="2"/>
      <c r="E526" s="2"/>
      <c r="F526" s="2"/>
      <c r="G526" s="2"/>
      <c r="H526" s="241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spans="1:31" ht="13">
      <c r="A527" s="2"/>
      <c r="B527" s="2"/>
      <c r="C527" s="2"/>
      <c r="D527" s="2"/>
      <c r="E527" s="2"/>
      <c r="F527" s="2"/>
      <c r="G527" s="2"/>
      <c r="H527" s="241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spans="1:31" ht="13">
      <c r="A528" s="2"/>
      <c r="B528" s="2"/>
      <c r="C528" s="2"/>
      <c r="D528" s="2"/>
      <c r="E528" s="2"/>
      <c r="F528" s="2"/>
      <c r="G528" s="2"/>
      <c r="H528" s="241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spans="1:31" ht="13">
      <c r="A529" s="2"/>
      <c r="B529" s="2"/>
      <c r="C529" s="2"/>
      <c r="D529" s="2"/>
      <c r="E529" s="2"/>
      <c r="F529" s="2"/>
      <c r="G529" s="2"/>
      <c r="H529" s="241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spans="1:31" ht="13">
      <c r="A530" s="2"/>
      <c r="B530" s="2"/>
      <c r="C530" s="2"/>
      <c r="D530" s="2"/>
      <c r="E530" s="2"/>
      <c r="F530" s="2"/>
      <c r="G530" s="2"/>
      <c r="H530" s="241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spans="1:31" ht="13">
      <c r="A531" s="2"/>
      <c r="B531" s="2"/>
      <c r="C531" s="2"/>
      <c r="D531" s="2"/>
      <c r="E531" s="2"/>
      <c r="F531" s="2"/>
      <c r="G531" s="2"/>
      <c r="H531" s="241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spans="1:31" ht="13">
      <c r="A532" s="2"/>
      <c r="B532" s="2"/>
      <c r="C532" s="2"/>
      <c r="D532" s="2"/>
      <c r="E532" s="2"/>
      <c r="F532" s="2"/>
      <c r="G532" s="2"/>
      <c r="H532" s="241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spans="1:31" ht="13">
      <c r="A533" s="2"/>
      <c r="B533" s="2"/>
      <c r="C533" s="2"/>
      <c r="D533" s="2"/>
      <c r="E533" s="2"/>
      <c r="F533" s="2"/>
      <c r="G533" s="2"/>
      <c r="H533" s="241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spans="1:31" ht="13">
      <c r="A534" s="2"/>
      <c r="B534" s="2"/>
      <c r="C534" s="2"/>
      <c r="D534" s="2"/>
      <c r="E534" s="2"/>
      <c r="F534" s="2"/>
      <c r="G534" s="2"/>
      <c r="H534" s="241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spans="1:31" ht="13">
      <c r="A535" s="2"/>
      <c r="B535" s="2"/>
      <c r="C535" s="2"/>
      <c r="D535" s="2"/>
      <c r="E535" s="2"/>
      <c r="F535" s="2"/>
      <c r="G535" s="2"/>
      <c r="H535" s="241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spans="1:31" ht="13">
      <c r="A536" s="2"/>
      <c r="B536" s="2"/>
      <c r="C536" s="2"/>
      <c r="D536" s="2"/>
      <c r="E536" s="2"/>
      <c r="F536" s="2"/>
      <c r="G536" s="2"/>
      <c r="H536" s="241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spans="1:31" ht="13">
      <c r="A537" s="2"/>
      <c r="B537" s="2"/>
      <c r="C537" s="2"/>
      <c r="D537" s="2"/>
      <c r="E537" s="2"/>
      <c r="F537" s="2"/>
      <c r="G537" s="2"/>
      <c r="H537" s="241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spans="1:31" ht="13">
      <c r="A538" s="2"/>
      <c r="B538" s="2"/>
      <c r="C538" s="2"/>
      <c r="D538" s="2"/>
      <c r="E538" s="2"/>
      <c r="F538" s="2"/>
      <c r="G538" s="2"/>
      <c r="H538" s="241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spans="1:31" ht="13">
      <c r="A539" s="2"/>
      <c r="B539" s="2"/>
      <c r="C539" s="2"/>
      <c r="D539" s="2"/>
      <c r="E539" s="2"/>
      <c r="F539" s="2"/>
      <c r="G539" s="2"/>
      <c r="H539" s="241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spans="1:31" ht="13">
      <c r="A540" s="2"/>
      <c r="B540" s="2"/>
      <c r="C540" s="2"/>
      <c r="D540" s="2"/>
      <c r="E540" s="2"/>
      <c r="F540" s="2"/>
      <c r="G540" s="2"/>
      <c r="H540" s="241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spans="1:31" ht="13">
      <c r="A541" s="2"/>
      <c r="B541" s="2"/>
      <c r="C541" s="2"/>
      <c r="D541" s="2"/>
      <c r="E541" s="2"/>
      <c r="F541" s="2"/>
      <c r="G541" s="2"/>
      <c r="H541" s="241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spans="1:31" ht="13">
      <c r="A542" s="2"/>
      <c r="B542" s="2"/>
      <c r="C542" s="2"/>
      <c r="D542" s="2"/>
      <c r="E542" s="2"/>
      <c r="F542" s="2"/>
      <c r="G542" s="2"/>
      <c r="H542" s="241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spans="1:31" ht="13">
      <c r="A543" s="2"/>
      <c r="B543" s="2"/>
      <c r="C543" s="2"/>
      <c r="D543" s="2"/>
      <c r="E543" s="2"/>
      <c r="F543" s="2"/>
      <c r="G543" s="2"/>
      <c r="H543" s="241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spans="1:31" ht="13">
      <c r="A544" s="2"/>
      <c r="B544" s="2"/>
      <c r="C544" s="2"/>
      <c r="D544" s="2"/>
      <c r="E544" s="2"/>
      <c r="F544" s="2"/>
      <c r="G544" s="2"/>
      <c r="H544" s="241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spans="1:31" ht="13">
      <c r="A545" s="2"/>
      <c r="B545" s="2"/>
      <c r="C545" s="2"/>
      <c r="D545" s="2"/>
      <c r="E545" s="2"/>
      <c r="F545" s="2"/>
      <c r="G545" s="2"/>
      <c r="H545" s="241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spans="1:31" ht="13">
      <c r="A546" s="2"/>
      <c r="B546" s="2"/>
      <c r="C546" s="2"/>
      <c r="D546" s="2"/>
      <c r="E546" s="2"/>
      <c r="F546" s="2"/>
      <c r="G546" s="2"/>
      <c r="H546" s="241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spans="1:31" ht="13">
      <c r="A547" s="2"/>
      <c r="B547" s="2"/>
      <c r="C547" s="2"/>
      <c r="D547" s="2"/>
      <c r="E547" s="2"/>
      <c r="F547" s="2"/>
      <c r="G547" s="2"/>
      <c r="H547" s="241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spans="1:31" ht="13">
      <c r="A548" s="2"/>
      <c r="B548" s="2"/>
      <c r="C548" s="2"/>
      <c r="D548" s="2"/>
      <c r="E548" s="2"/>
      <c r="F548" s="2"/>
      <c r="G548" s="2"/>
      <c r="H548" s="241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spans="1:31" ht="13">
      <c r="A549" s="2"/>
      <c r="B549" s="2"/>
      <c r="C549" s="2"/>
      <c r="D549" s="2"/>
      <c r="E549" s="2"/>
      <c r="F549" s="2"/>
      <c r="G549" s="2"/>
      <c r="H549" s="241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spans="1:31" ht="13">
      <c r="A550" s="2"/>
      <c r="B550" s="2"/>
      <c r="C550" s="2"/>
      <c r="D550" s="2"/>
      <c r="E550" s="2"/>
      <c r="F550" s="2"/>
      <c r="G550" s="2"/>
      <c r="H550" s="241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spans="1:31" ht="13">
      <c r="A551" s="2"/>
      <c r="B551" s="2"/>
      <c r="C551" s="2"/>
      <c r="D551" s="2"/>
      <c r="E551" s="2"/>
      <c r="F551" s="2"/>
      <c r="G551" s="2"/>
      <c r="H551" s="241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spans="1:31" ht="13">
      <c r="A552" s="2"/>
      <c r="B552" s="2"/>
      <c r="C552" s="2"/>
      <c r="D552" s="2"/>
      <c r="E552" s="2"/>
      <c r="F552" s="2"/>
      <c r="G552" s="2"/>
      <c r="H552" s="241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spans="1:31" ht="13">
      <c r="A553" s="2"/>
      <c r="B553" s="2"/>
      <c r="C553" s="2"/>
      <c r="D553" s="2"/>
      <c r="E553" s="2"/>
      <c r="F553" s="2"/>
      <c r="G553" s="2"/>
      <c r="H553" s="241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spans="1:31" ht="13">
      <c r="A554" s="2"/>
      <c r="B554" s="2"/>
      <c r="C554" s="2"/>
      <c r="D554" s="2"/>
      <c r="E554" s="2"/>
      <c r="F554" s="2"/>
      <c r="G554" s="2"/>
      <c r="H554" s="241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spans="1:31" ht="13">
      <c r="A555" s="2"/>
      <c r="B555" s="2"/>
      <c r="C555" s="2"/>
      <c r="D555" s="2"/>
      <c r="E555" s="2"/>
      <c r="F555" s="2"/>
      <c r="G555" s="2"/>
      <c r="H555" s="241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spans="1:31" ht="13">
      <c r="A556" s="2"/>
      <c r="B556" s="2"/>
      <c r="C556" s="2"/>
      <c r="D556" s="2"/>
      <c r="E556" s="2"/>
      <c r="F556" s="2"/>
      <c r="G556" s="2"/>
      <c r="H556" s="241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spans="1:31" ht="13">
      <c r="A557" s="2"/>
      <c r="B557" s="2"/>
      <c r="C557" s="2"/>
      <c r="D557" s="2"/>
      <c r="E557" s="2"/>
      <c r="F557" s="2"/>
      <c r="G557" s="2"/>
      <c r="H557" s="241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spans="1:31" ht="13">
      <c r="A558" s="2"/>
      <c r="B558" s="2"/>
      <c r="C558" s="2"/>
      <c r="D558" s="2"/>
      <c r="E558" s="2"/>
      <c r="F558" s="2"/>
      <c r="G558" s="2"/>
      <c r="H558" s="241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spans="1:31" ht="13">
      <c r="A559" s="2"/>
      <c r="B559" s="2"/>
      <c r="C559" s="2"/>
      <c r="D559" s="2"/>
      <c r="E559" s="2"/>
      <c r="F559" s="2"/>
      <c r="G559" s="2"/>
      <c r="H559" s="241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spans="1:31" ht="13">
      <c r="A560" s="2"/>
      <c r="B560" s="2"/>
      <c r="C560" s="2"/>
      <c r="D560" s="2"/>
      <c r="E560" s="2"/>
      <c r="F560" s="2"/>
      <c r="G560" s="2"/>
      <c r="H560" s="241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spans="1:31" ht="13">
      <c r="A561" s="2"/>
      <c r="B561" s="2"/>
      <c r="C561" s="2"/>
      <c r="D561" s="2"/>
      <c r="E561" s="2"/>
      <c r="F561" s="2"/>
      <c r="G561" s="2"/>
      <c r="H561" s="241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spans="1:31" ht="13">
      <c r="A562" s="2"/>
      <c r="B562" s="2"/>
      <c r="C562" s="2"/>
      <c r="D562" s="2"/>
      <c r="E562" s="2"/>
      <c r="F562" s="2"/>
      <c r="G562" s="2"/>
      <c r="H562" s="241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spans="1:31" ht="13">
      <c r="A563" s="2"/>
      <c r="B563" s="2"/>
      <c r="C563" s="2"/>
      <c r="D563" s="2"/>
      <c r="E563" s="2"/>
      <c r="F563" s="2"/>
      <c r="G563" s="2"/>
      <c r="H563" s="241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spans="1:31" ht="13">
      <c r="A564" s="2"/>
      <c r="B564" s="2"/>
      <c r="C564" s="2"/>
      <c r="D564" s="2"/>
      <c r="E564" s="2"/>
      <c r="F564" s="2"/>
      <c r="G564" s="2"/>
      <c r="H564" s="241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spans="1:31" ht="13">
      <c r="A565" s="2"/>
      <c r="B565" s="2"/>
      <c r="C565" s="2"/>
      <c r="D565" s="2"/>
      <c r="E565" s="2"/>
      <c r="F565" s="2"/>
      <c r="G565" s="2"/>
      <c r="H565" s="241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spans="1:31" ht="13">
      <c r="A566" s="2"/>
      <c r="B566" s="2"/>
      <c r="C566" s="2"/>
      <c r="D566" s="2"/>
      <c r="E566" s="2"/>
      <c r="F566" s="2"/>
      <c r="G566" s="2"/>
      <c r="H566" s="241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spans="1:31" ht="13">
      <c r="A567" s="2"/>
      <c r="B567" s="2"/>
      <c r="C567" s="2"/>
      <c r="D567" s="2"/>
      <c r="E567" s="2"/>
      <c r="F567" s="2"/>
      <c r="G567" s="2"/>
      <c r="H567" s="241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spans="1:31" ht="13">
      <c r="A568" s="2"/>
      <c r="B568" s="2"/>
      <c r="C568" s="2"/>
      <c r="D568" s="2"/>
      <c r="E568" s="2"/>
      <c r="F568" s="2"/>
      <c r="G568" s="2"/>
      <c r="H568" s="241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spans="1:31" ht="13">
      <c r="A569" s="2"/>
      <c r="B569" s="2"/>
      <c r="C569" s="2"/>
      <c r="D569" s="2"/>
      <c r="E569" s="2"/>
      <c r="F569" s="2"/>
      <c r="G569" s="2"/>
      <c r="H569" s="241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spans="1:31" ht="13">
      <c r="A570" s="2"/>
      <c r="B570" s="2"/>
      <c r="C570" s="2"/>
      <c r="D570" s="2"/>
      <c r="E570" s="2"/>
      <c r="F570" s="2"/>
      <c r="G570" s="2"/>
      <c r="H570" s="241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spans="1:31" ht="13">
      <c r="A571" s="2"/>
      <c r="B571" s="2"/>
      <c r="C571" s="2"/>
      <c r="D571" s="2"/>
      <c r="E571" s="2"/>
      <c r="F571" s="2"/>
      <c r="G571" s="2"/>
      <c r="H571" s="241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spans="1:31" ht="13">
      <c r="A572" s="2"/>
      <c r="B572" s="2"/>
      <c r="C572" s="2"/>
      <c r="D572" s="2"/>
      <c r="E572" s="2"/>
      <c r="F572" s="2"/>
      <c r="G572" s="2"/>
      <c r="H572" s="241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spans="1:31" ht="13">
      <c r="A573" s="2"/>
      <c r="B573" s="2"/>
      <c r="C573" s="2"/>
      <c r="D573" s="2"/>
      <c r="E573" s="2"/>
      <c r="F573" s="2"/>
      <c r="G573" s="2"/>
      <c r="H573" s="241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spans="1:31" ht="13">
      <c r="A574" s="2"/>
      <c r="B574" s="2"/>
      <c r="C574" s="2"/>
      <c r="D574" s="2"/>
      <c r="E574" s="2"/>
      <c r="F574" s="2"/>
      <c r="G574" s="2"/>
      <c r="H574" s="241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spans="1:31" ht="13">
      <c r="A575" s="2"/>
      <c r="B575" s="2"/>
      <c r="C575" s="2"/>
      <c r="D575" s="2"/>
      <c r="E575" s="2"/>
      <c r="F575" s="2"/>
      <c r="G575" s="2"/>
      <c r="H575" s="241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spans="1:31" ht="13">
      <c r="A576" s="2"/>
      <c r="B576" s="2"/>
      <c r="C576" s="2"/>
      <c r="D576" s="2"/>
      <c r="E576" s="2"/>
      <c r="F576" s="2"/>
      <c r="G576" s="2"/>
      <c r="H576" s="241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spans="1:31" ht="13">
      <c r="A577" s="2"/>
      <c r="B577" s="2"/>
      <c r="C577" s="2"/>
      <c r="D577" s="2"/>
      <c r="E577" s="2"/>
      <c r="F577" s="2"/>
      <c r="G577" s="2"/>
      <c r="H577" s="241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spans="1:31" ht="13">
      <c r="A578" s="2"/>
      <c r="B578" s="2"/>
      <c r="C578" s="2"/>
      <c r="D578" s="2"/>
      <c r="E578" s="2"/>
      <c r="F578" s="2"/>
      <c r="G578" s="2"/>
      <c r="H578" s="241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spans="1:31" ht="13">
      <c r="A579" s="2"/>
      <c r="B579" s="2"/>
      <c r="C579" s="2"/>
      <c r="D579" s="2"/>
      <c r="E579" s="2"/>
      <c r="F579" s="2"/>
      <c r="G579" s="2"/>
      <c r="H579" s="241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spans="1:31" ht="13">
      <c r="A580" s="2"/>
      <c r="B580" s="2"/>
      <c r="C580" s="2"/>
      <c r="D580" s="2"/>
      <c r="E580" s="2"/>
      <c r="F580" s="2"/>
      <c r="G580" s="2"/>
      <c r="H580" s="241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spans="1:31" ht="13">
      <c r="A581" s="2"/>
      <c r="B581" s="2"/>
      <c r="C581" s="2"/>
      <c r="D581" s="2"/>
      <c r="E581" s="2"/>
      <c r="F581" s="2"/>
      <c r="G581" s="2"/>
      <c r="H581" s="241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spans="1:31" ht="13">
      <c r="A582" s="2"/>
      <c r="B582" s="2"/>
      <c r="C582" s="2"/>
      <c r="D582" s="2"/>
      <c r="E582" s="2"/>
      <c r="F582" s="2"/>
      <c r="G582" s="2"/>
      <c r="H582" s="241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spans="1:31" ht="13">
      <c r="A583" s="2"/>
      <c r="B583" s="2"/>
      <c r="C583" s="2"/>
      <c r="D583" s="2"/>
      <c r="E583" s="2"/>
      <c r="F583" s="2"/>
      <c r="G583" s="2"/>
      <c r="H583" s="241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spans="1:31" ht="13">
      <c r="A584" s="2"/>
      <c r="B584" s="2"/>
      <c r="C584" s="2"/>
      <c r="D584" s="2"/>
      <c r="E584" s="2"/>
      <c r="F584" s="2"/>
      <c r="G584" s="2"/>
      <c r="H584" s="241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spans="1:31" ht="13">
      <c r="A585" s="2"/>
      <c r="B585" s="2"/>
      <c r="C585" s="2"/>
      <c r="D585" s="2"/>
      <c r="E585" s="2"/>
      <c r="F585" s="2"/>
      <c r="G585" s="2"/>
      <c r="H585" s="241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spans="1:31" ht="13">
      <c r="A586" s="2"/>
      <c r="B586" s="2"/>
      <c r="C586" s="2"/>
      <c r="D586" s="2"/>
      <c r="E586" s="2"/>
      <c r="F586" s="2"/>
      <c r="G586" s="2"/>
      <c r="H586" s="241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spans="1:31" ht="13">
      <c r="A587" s="2"/>
      <c r="B587" s="2"/>
      <c r="C587" s="2"/>
      <c r="D587" s="2"/>
      <c r="E587" s="2"/>
      <c r="F587" s="2"/>
      <c r="G587" s="2"/>
      <c r="H587" s="241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spans="1:31" ht="13">
      <c r="A588" s="2"/>
      <c r="B588" s="2"/>
      <c r="C588" s="2"/>
      <c r="D588" s="2"/>
      <c r="E588" s="2"/>
      <c r="F588" s="2"/>
      <c r="G588" s="2"/>
      <c r="H588" s="241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spans="1:31" ht="13">
      <c r="A589" s="2"/>
      <c r="B589" s="2"/>
      <c r="C589" s="2"/>
      <c r="D589" s="2"/>
      <c r="E589" s="2"/>
      <c r="F589" s="2"/>
      <c r="G589" s="2"/>
      <c r="H589" s="241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spans="1:31" ht="13">
      <c r="A590" s="2"/>
      <c r="B590" s="2"/>
      <c r="C590" s="2"/>
      <c r="D590" s="2"/>
      <c r="E590" s="2"/>
      <c r="F590" s="2"/>
      <c r="G590" s="2"/>
      <c r="H590" s="241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spans="1:31" ht="13">
      <c r="A591" s="2"/>
      <c r="B591" s="2"/>
      <c r="C591" s="2"/>
      <c r="D591" s="2"/>
      <c r="E591" s="2"/>
      <c r="F591" s="2"/>
      <c r="G591" s="2"/>
      <c r="H591" s="241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spans="1:31" ht="13">
      <c r="A592" s="2"/>
      <c r="B592" s="2"/>
      <c r="C592" s="2"/>
      <c r="D592" s="2"/>
      <c r="E592" s="2"/>
      <c r="F592" s="2"/>
      <c r="G592" s="2"/>
      <c r="H592" s="241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spans="1:31" ht="13">
      <c r="A593" s="2"/>
      <c r="B593" s="2"/>
      <c r="C593" s="2"/>
      <c r="D593" s="2"/>
      <c r="E593" s="2"/>
      <c r="F593" s="2"/>
      <c r="G593" s="2"/>
      <c r="H593" s="241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spans="1:31" ht="13">
      <c r="A594" s="2"/>
      <c r="B594" s="2"/>
      <c r="C594" s="2"/>
      <c r="D594" s="2"/>
      <c r="E594" s="2"/>
      <c r="F594" s="2"/>
      <c r="G594" s="2"/>
      <c r="H594" s="241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spans="1:31" ht="13">
      <c r="A595" s="2"/>
      <c r="B595" s="2"/>
      <c r="C595" s="2"/>
      <c r="D595" s="2"/>
      <c r="E595" s="2"/>
      <c r="F595" s="2"/>
      <c r="G595" s="2"/>
      <c r="H595" s="241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spans="1:31" ht="13">
      <c r="A596" s="2"/>
      <c r="B596" s="2"/>
      <c r="C596" s="2"/>
      <c r="D596" s="2"/>
      <c r="E596" s="2"/>
      <c r="F596" s="2"/>
      <c r="G596" s="2"/>
      <c r="H596" s="241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spans="1:31" ht="13">
      <c r="A597" s="2"/>
      <c r="B597" s="2"/>
      <c r="C597" s="2"/>
      <c r="D597" s="2"/>
      <c r="E597" s="2"/>
      <c r="F597" s="2"/>
      <c r="G597" s="2"/>
      <c r="H597" s="241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spans="1:31" ht="13">
      <c r="A598" s="2"/>
      <c r="B598" s="2"/>
      <c r="C598" s="2"/>
      <c r="D598" s="2"/>
      <c r="E598" s="2"/>
      <c r="F598" s="2"/>
      <c r="G598" s="2"/>
      <c r="H598" s="241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spans="1:31" ht="13">
      <c r="A599" s="2"/>
      <c r="B599" s="2"/>
      <c r="C599" s="2"/>
      <c r="D599" s="2"/>
      <c r="E599" s="2"/>
      <c r="F599" s="2"/>
      <c r="G599" s="2"/>
      <c r="H599" s="241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spans="1:31" ht="13">
      <c r="A600" s="2"/>
      <c r="B600" s="2"/>
      <c r="C600" s="2"/>
      <c r="D600" s="2"/>
      <c r="E600" s="2"/>
      <c r="F600" s="2"/>
      <c r="G600" s="2"/>
      <c r="H600" s="241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spans="1:31" ht="13">
      <c r="A601" s="2"/>
      <c r="B601" s="2"/>
      <c r="C601" s="2"/>
      <c r="D601" s="2"/>
      <c r="E601" s="2"/>
      <c r="F601" s="2"/>
      <c r="G601" s="2"/>
      <c r="H601" s="241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spans="1:31" ht="13">
      <c r="A602" s="2"/>
      <c r="B602" s="2"/>
      <c r="C602" s="2"/>
      <c r="D602" s="2"/>
      <c r="E602" s="2"/>
      <c r="F602" s="2"/>
      <c r="G602" s="2"/>
      <c r="H602" s="241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spans="1:31" ht="13">
      <c r="A603" s="2"/>
      <c r="B603" s="2"/>
      <c r="C603" s="2"/>
      <c r="D603" s="2"/>
      <c r="E603" s="2"/>
      <c r="F603" s="2"/>
      <c r="G603" s="2"/>
      <c r="H603" s="241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spans="1:31" ht="13">
      <c r="A604" s="2"/>
      <c r="B604" s="2"/>
      <c r="C604" s="2"/>
      <c r="D604" s="2"/>
      <c r="E604" s="2"/>
      <c r="F604" s="2"/>
      <c r="G604" s="2"/>
      <c r="H604" s="241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spans="1:31" ht="13">
      <c r="A605" s="2"/>
      <c r="B605" s="2"/>
      <c r="C605" s="2"/>
      <c r="D605" s="2"/>
      <c r="E605" s="2"/>
      <c r="F605" s="2"/>
      <c r="G605" s="2"/>
      <c r="H605" s="241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spans="1:31" ht="13">
      <c r="A606" s="2"/>
      <c r="B606" s="2"/>
      <c r="C606" s="2"/>
      <c r="D606" s="2"/>
      <c r="E606" s="2"/>
      <c r="F606" s="2"/>
      <c r="G606" s="2"/>
      <c r="H606" s="241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spans="1:31" ht="13">
      <c r="A607" s="2"/>
      <c r="B607" s="2"/>
      <c r="C607" s="2"/>
      <c r="D607" s="2"/>
      <c r="E607" s="2"/>
      <c r="F607" s="2"/>
      <c r="G607" s="2"/>
      <c r="H607" s="241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spans="1:31" ht="13">
      <c r="A608" s="2"/>
      <c r="B608" s="2"/>
      <c r="C608" s="2"/>
      <c r="D608" s="2"/>
      <c r="E608" s="2"/>
      <c r="F608" s="2"/>
      <c r="G608" s="2"/>
      <c r="H608" s="241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spans="1:31" ht="13">
      <c r="A609" s="2"/>
      <c r="B609" s="2"/>
      <c r="C609" s="2"/>
      <c r="D609" s="2"/>
      <c r="E609" s="2"/>
      <c r="F609" s="2"/>
      <c r="G609" s="2"/>
      <c r="H609" s="241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spans="1:31" ht="13">
      <c r="A610" s="2"/>
      <c r="B610" s="2"/>
      <c r="C610" s="2"/>
      <c r="D610" s="2"/>
      <c r="E610" s="2"/>
      <c r="F610" s="2"/>
      <c r="G610" s="2"/>
      <c r="H610" s="241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spans="1:31" ht="13">
      <c r="A611" s="2"/>
      <c r="B611" s="2"/>
      <c r="C611" s="2"/>
      <c r="D611" s="2"/>
      <c r="E611" s="2"/>
      <c r="F611" s="2"/>
      <c r="G611" s="2"/>
      <c r="H611" s="241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spans="1:31" ht="13">
      <c r="A612" s="2"/>
      <c r="B612" s="2"/>
      <c r="C612" s="2"/>
      <c r="D612" s="2"/>
      <c r="E612" s="2"/>
      <c r="F612" s="2"/>
      <c r="G612" s="2"/>
      <c r="H612" s="241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spans="1:31" ht="13">
      <c r="A613" s="2"/>
      <c r="B613" s="2"/>
      <c r="C613" s="2"/>
      <c r="D613" s="2"/>
      <c r="E613" s="2"/>
      <c r="F613" s="2"/>
      <c r="G613" s="2"/>
      <c r="H613" s="241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spans="1:31" ht="13">
      <c r="A614" s="2"/>
      <c r="B614" s="2"/>
      <c r="C614" s="2"/>
      <c r="D614" s="2"/>
      <c r="E614" s="2"/>
      <c r="F614" s="2"/>
      <c r="G614" s="2"/>
      <c r="H614" s="241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spans="1:31" ht="13">
      <c r="A615" s="2"/>
      <c r="B615" s="2"/>
      <c r="C615" s="2"/>
      <c r="D615" s="2"/>
      <c r="E615" s="2"/>
      <c r="F615" s="2"/>
      <c r="G615" s="2"/>
      <c r="H615" s="241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spans="1:31" ht="13">
      <c r="A616" s="2"/>
      <c r="B616" s="2"/>
      <c r="C616" s="2"/>
      <c r="D616" s="2"/>
      <c r="E616" s="2"/>
      <c r="F616" s="2"/>
      <c r="G616" s="2"/>
      <c r="H616" s="241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spans="1:31" ht="13">
      <c r="A617" s="2"/>
      <c r="B617" s="2"/>
      <c r="C617" s="2"/>
      <c r="D617" s="2"/>
      <c r="E617" s="2"/>
      <c r="F617" s="2"/>
      <c r="G617" s="2"/>
      <c r="H617" s="241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spans="1:31" ht="13">
      <c r="A618" s="2"/>
      <c r="B618" s="2"/>
      <c r="C618" s="2"/>
      <c r="D618" s="2"/>
      <c r="E618" s="2"/>
      <c r="F618" s="2"/>
      <c r="G618" s="2"/>
      <c r="H618" s="241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spans="1:31" ht="13">
      <c r="A619" s="2"/>
      <c r="B619" s="2"/>
      <c r="C619" s="2"/>
      <c r="D619" s="2"/>
      <c r="E619" s="2"/>
      <c r="F619" s="2"/>
      <c r="G619" s="2"/>
      <c r="H619" s="241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spans="1:31" ht="13">
      <c r="A620" s="2"/>
      <c r="B620" s="2"/>
      <c r="C620" s="2"/>
      <c r="D620" s="2"/>
      <c r="E620" s="2"/>
      <c r="F620" s="2"/>
      <c r="G620" s="2"/>
      <c r="H620" s="241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spans="1:31" ht="13">
      <c r="A621" s="2"/>
      <c r="B621" s="2"/>
      <c r="C621" s="2"/>
      <c r="D621" s="2"/>
      <c r="E621" s="2"/>
      <c r="F621" s="2"/>
      <c r="G621" s="2"/>
      <c r="H621" s="241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spans="1:31" ht="13">
      <c r="A622" s="2"/>
      <c r="B622" s="2"/>
      <c r="C622" s="2"/>
      <c r="D622" s="2"/>
      <c r="E622" s="2"/>
      <c r="F622" s="2"/>
      <c r="G622" s="2"/>
      <c r="H622" s="241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spans="1:31" ht="13">
      <c r="A623" s="2"/>
      <c r="B623" s="2"/>
      <c r="C623" s="2"/>
      <c r="D623" s="2"/>
      <c r="E623" s="2"/>
      <c r="F623" s="2"/>
      <c r="G623" s="2"/>
      <c r="H623" s="241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spans="1:31" ht="13">
      <c r="A624" s="2"/>
      <c r="B624" s="2"/>
      <c r="C624" s="2"/>
      <c r="D624" s="2"/>
      <c r="E624" s="2"/>
      <c r="F624" s="2"/>
      <c r="G624" s="2"/>
      <c r="H624" s="241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spans="1:31" ht="13">
      <c r="A625" s="2"/>
      <c r="B625" s="2"/>
      <c r="C625" s="2"/>
      <c r="D625" s="2"/>
      <c r="E625" s="2"/>
      <c r="F625" s="2"/>
      <c r="G625" s="2"/>
      <c r="H625" s="241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spans="1:31" ht="13">
      <c r="A626" s="2"/>
      <c r="B626" s="2"/>
      <c r="C626" s="2"/>
      <c r="D626" s="2"/>
      <c r="E626" s="2"/>
      <c r="F626" s="2"/>
      <c r="G626" s="2"/>
      <c r="H626" s="241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spans="1:31" ht="13">
      <c r="A627" s="2"/>
      <c r="B627" s="2"/>
      <c r="C627" s="2"/>
      <c r="D627" s="2"/>
      <c r="E627" s="2"/>
      <c r="F627" s="2"/>
      <c r="G627" s="2"/>
      <c r="H627" s="241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spans="1:31" ht="13">
      <c r="A628" s="2"/>
      <c r="B628" s="2"/>
      <c r="C628" s="2"/>
      <c r="D628" s="2"/>
      <c r="E628" s="2"/>
      <c r="F628" s="2"/>
      <c r="G628" s="2"/>
      <c r="H628" s="241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spans="1:31" ht="13">
      <c r="A629" s="2"/>
      <c r="B629" s="2"/>
      <c r="C629" s="2"/>
      <c r="D629" s="2"/>
      <c r="E629" s="2"/>
      <c r="F629" s="2"/>
      <c r="G629" s="2"/>
      <c r="H629" s="241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spans="1:31" ht="13">
      <c r="A630" s="2"/>
      <c r="B630" s="2"/>
      <c r="C630" s="2"/>
      <c r="D630" s="2"/>
      <c r="E630" s="2"/>
      <c r="F630" s="2"/>
      <c r="G630" s="2"/>
      <c r="H630" s="241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spans="1:31" ht="13">
      <c r="A631" s="2"/>
      <c r="B631" s="2"/>
      <c r="C631" s="2"/>
      <c r="D631" s="2"/>
      <c r="E631" s="2"/>
      <c r="F631" s="2"/>
      <c r="G631" s="2"/>
      <c r="H631" s="241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spans="1:31" ht="13">
      <c r="A632" s="2"/>
      <c r="B632" s="2"/>
      <c r="C632" s="2"/>
      <c r="D632" s="2"/>
      <c r="E632" s="2"/>
      <c r="F632" s="2"/>
      <c r="G632" s="2"/>
      <c r="H632" s="241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spans="1:31" ht="13">
      <c r="A633" s="2"/>
      <c r="B633" s="2"/>
      <c r="C633" s="2"/>
      <c r="D633" s="2"/>
      <c r="E633" s="2"/>
      <c r="F633" s="2"/>
      <c r="G633" s="2"/>
      <c r="H633" s="241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spans="1:31" ht="13">
      <c r="A634" s="2"/>
      <c r="B634" s="2"/>
      <c r="C634" s="2"/>
      <c r="D634" s="2"/>
      <c r="E634" s="2"/>
      <c r="F634" s="2"/>
      <c r="G634" s="2"/>
      <c r="H634" s="241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spans="1:31" ht="13">
      <c r="A635" s="2"/>
      <c r="B635" s="2"/>
      <c r="C635" s="2"/>
      <c r="D635" s="2"/>
      <c r="E635" s="2"/>
      <c r="F635" s="2"/>
      <c r="G635" s="2"/>
      <c r="H635" s="241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spans="1:31" ht="13">
      <c r="A636" s="2"/>
      <c r="B636" s="2"/>
      <c r="C636" s="2"/>
      <c r="D636" s="2"/>
      <c r="E636" s="2"/>
      <c r="F636" s="2"/>
      <c r="G636" s="2"/>
      <c r="H636" s="241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spans="1:31" ht="13">
      <c r="A637" s="2"/>
      <c r="B637" s="2"/>
      <c r="C637" s="2"/>
      <c r="D637" s="2"/>
      <c r="E637" s="2"/>
      <c r="F637" s="2"/>
      <c r="G637" s="2"/>
      <c r="H637" s="241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spans="1:31" ht="13">
      <c r="A638" s="2"/>
      <c r="B638" s="2"/>
      <c r="C638" s="2"/>
      <c r="D638" s="2"/>
      <c r="E638" s="2"/>
      <c r="F638" s="2"/>
      <c r="G638" s="2"/>
      <c r="H638" s="241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spans="1:31" ht="13">
      <c r="A639" s="2"/>
      <c r="B639" s="2"/>
      <c r="C639" s="2"/>
      <c r="D639" s="2"/>
      <c r="E639" s="2"/>
      <c r="F639" s="2"/>
      <c r="G639" s="2"/>
      <c r="H639" s="241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spans="1:31" ht="13">
      <c r="A640" s="2"/>
      <c r="B640" s="2"/>
      <c r="C640" s="2"/>
      <c r="D640" s="2"/>
      <c r="E640" s="2"/>
      <c r="F640" s="2"/>
      <c r="G640" s="2"/>
      <c r="H640" s="241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spans="1:31" ht="13">
      <c r="A641" s="2"/>
      <c r="B641" s="2"/>
      <c r="C641" s="2"/>
      <c r="D641" s="2"/>
      <c r="E641" s="2"/>
      <c r="F641" s="2"/>
      <c r="G641" s="2"/>
      <c r="H641" s="241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spans="1:31" ht="13">
      <c r="A642" s="2"/>
      <c r="B642" s="2"/>
      <c r="C642" s="2"/>
      <c r="D642" s="2"/>
      <c r="E642" s="2"/>
      <c r="F642" s="2"/>
      <c r="G642" s="2"/>
      <c r="H642" s="241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spans="1:31" ht="13">
      <c r="A643" s="2"/>
      <c r="B643" s="2"/>
      <c r="C643" s="2"/>
      <c r="D643" s="2"/>
      <c r="E643" s="2"/>
      <c r="F643" s="2"/>
      <c r="G643" s="2"/>
      <c r="H643" s="241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spans="1:31" ht="13">
      <c r="A644" s="2"/>
      <c r="B644" s="2"/>
      <c r="C644" s="2"/>
      <c r="D644" s="2"/>
      <c r="E644" s="2"/>
      <c r="F644" s="2"/>
      <c r="G644" s="2"/>
      <c r="H644" s="241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spans="1:31" ht="13">
      <c r="A645" s="2"/>
      <c r="B645" s="2"/>
      <c r="C645" s="2"/>
      <c r="D645" s="2"/>
      <c r="E645" s="2"/>
      <c r="F645" s="2"/>
      <c r="G645" s="2"/>
      <c r="H645" s="241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spans="1:31" ht="13">
      <c r="A646" s="2"/>
      <c r="B646" s="2"/>
      <c r="C646" s="2"/>
      <c r="D646" s="2"/>
      <c r="E646" s="2"/>
      <c r="F646" s="2"/>
      <c r="G646" s="2"/>
      <c r="H646" s="241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spans="1:31" ht="13">
      <c r="A647" s="2"/>
      <c r="B647" s="2"/>
      <c r="C647" s="2"/>
      <c r="D647" s="2"/>
      <c r="E647" s="2"/>
      <c r="F647" s="2"/>
      <c r="G647" s="2"/>
      <c r="H647" s="241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spans="1:31" ht="13">
      <c r="A648" s="2"/>
      <c r="B648" s="2"/>
      <c r="C648" s="2"/>
      <c r="D648" s="2"/>
      <c r="E648" s="2"/>
      <c r="F648" s="2"/>
      <c r="G648" s="2"/>
      <c r="H648" s="241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spans="1:31" ht="13">
      <c r="A649" s="2"/>
      <c r="B649" s="2"/>
      <c r="C649" s="2"/>
      <c r="D649" s="2"/>
      <c r="E649" s="2"/>
      <c r="F649" s="2"/>
      <c r="G649" s="2"/>
      <c r="H649" s="241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spans="1:31" ht="13">
      <c r="A650" s="2"/>
      <c r="B650" s="2"/>
      <c r="C650" s="2"/>
      <c r="D650" s="2"/>
      <c r="E650" s="2"/>
      <c r="F650" s="2"/>
      <c r="G650" s="2"/>
      <c r="H650" s="241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spans="1:31" ht="13">
      <c r="A651" s="2"/>
      <c r="B651" s="2"/>
      <c r="C651" s="2"/>
      <c r="D651" s="2"/>
      <c r="E651" s="2"/>
      <c r="F651" s="2"/>
      <c r="G651" s="2"/>
      <c r="H651" s="241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spans="1:31" ht="13">
      <c r="A652" s="2"/>
      <c r="B652" s="2"/>
      <c r="C652" s="2"/>
      <c r="D652" s="2"/>
      <c r="E652" s="2"/>
      <c r="F652" s="2"/>
      <c r="G652" s="2"/>
      <c r="H652" s="241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spans="1:31" ht="13">
      <c r="A653" s="2"/>
      <c r="B653" s="2"/>
      <c r="C653" s="2"/>
      <c r="D653" s="2"/>
      <c r="E653" s="2"/>
      <c r="F653" s="2"/>
      <c r="G653" s="2"/>
      <c r="H653" s="241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spans="1:31" ht="13">
      <c r="A654" s="2"/>
      <c r="B654" s="2"/>
      <c r="C654" s="2"/>
      <c r="D654" s="2"/>
      <c r="E654" s="2"/>
      <c r="F654" s="2"/>
      <c r="G654" s="2"/>
      <c r="H654" s="241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spans="1:31" ht="13">
      <c r="A655" s="2"/>
      <c r="B655" s="2"/>
      <c r="C655" s="2"/>
      <c r="D655" s="2"/>
      <c r="E655" s="2"/>
      <c r="F655" s="2"/>
      <c r="G655" s="2"/>
      <c r="H655" s="241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spans="1:31" ht="13">
      <c r="A656" s="2"/>
      <c r="B656" s="2"/>
      <c r="C656" s="2"/>
      <c r="D656" s="2"/>
      <c r="E656" s="2"/>
      <c r="F656" s="2"/>
      <c r="G656" s="2"/>
      <c r="H656" s="241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spans="1:31" ht="13">
      <c r="A657" s="2"/>
      <c r="B657" s="2"/>
      <c r="C657" s="2"/>
      <c r="D657" s="2"/>
      <c r="E657" s="2"/>
      <c r="F657" s="2"/>
      <c r="G657" s="2"/>
      <c r="H657" s="241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spans="1:31" ht="13">
      <c r="A658" s="2"/>
      <c r="B658" s="2"/>
      <c r="C658" s="2"/>
      <c r="D658" s="2"/>
      <c r="E658" s="2"/>
      <c r="F658" s="2"/>
      <c r="G658" s="2"/>
      <c r="H658" s="241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spans="1:31" ht="13">
      <c r="A659" s="2"/>
      <c r="B659" s="2"/>
      <c r="C659" s="2"/>
      <c r="D659" s="2"/>
      <c r="E659" s="2"/>
      <c r="F659" s="2"/>
      <c r="G659" s="2"/>
      <c r="H659" s="241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spans="1:31" ht="13">
      <c r="A660" s="2"/>
      <c r="B660" s="2"/>
      <c r="C660" s="2"/>
      <c r="D660" s="2"/>
      <c r="E660" s="2"/>
      <c r="F660" s="2"/>
      <c r="G660" s="2"/>
      <c r="H660" s="241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spans="1:31" ht="13">
      <c r="A661" s="2"/>
      <c r="B661" s="2"/>
      <c r="C661" s="2"/>
      <c r="D661" s="2"/>
      <c r="E661" s="2"/>
      <c r="F661" s="2"/>
      <c r="G661" s="2"/>
      <c r="H661" s="241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spans="1:31" ht="13">
      <c r="A662" s="2"/>
      <c r="B662" s="2"/>
      <c r="C662" s="2"/>
      <c r="D662" s="2"/>
      <c r="E662" s="2"/>
      <c r="F662" s="2"/>
      <c r="G662" s="2"/>
      <c r="H662" s="241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spans="1:31" ht="13">
      <c r="A663" s="2"/>
      <c r="B663" s="2"/>
      <c r="C663" s="2"/>
      <c r="D663" s="2"/>
      <c r="E663" s="2"/>
      <c r="F663" s="2"/>
      <c r="G663" s="2"/>
      <c r="H663" s="241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spans="1:31" ht="13">
      <c r="A664" s="2"/>
      <c r="B664" s="2"/>
      <c r="C664" s="2"/>
      <c r="D664" s="2"/>
      <c r="E664" s="2"/>
      <c r="F664" s="2"/>
      <c r="G664" s="2"/>
      <c r="H664" s="241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spans="1:31" ht="13">
      <c r="A665" s="2"/>
      <c r="B665" s="2"/>
      <c r="C665" s="2"/>
      <c r="D665" s="2"/>
      <c r="E665" s="2"/>
      <c r="F665" s="2"/>
      <c r="G665" s="2"/>
      <c r="H665" s="241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spans="1:31" ht="13">
      <c r="A666" s="2"/>
      <c r="B666" s="2"/>
      <c r="C666" s="2"/>
      <c r="D666" s="2"/>
      <c r="E666" s="2"/>
      <c r="F666" s="2"/>
      <c r="G666" s="2"/>
      <c r="H666" s="241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spans="1:31" ht="13">
      <c r="A667" s="2"/>
      <c r="B667" s="2"/>
      <c r="C667" s="2"/>
      <c r="D667" s="2"/>
      <c r="E667" s="2"/>
      <c r="F667" s="2"/>
      <c r="G667" s="2"/>
      <c r="H667" s="241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spans="1:31" ht="13">
      <c r="A668" s="2"/>
      <c r="B668" s="2"/>
      <c r="C668" s="2"/>
      <c r="D668" s="2"/>
      <c r="E668" s="2"/>
      <c r="F668" s="2"/>
      <c r="G668" s="2"/>
      <c r="H668" s="241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spans="1:31" ht="13">
      <c r="A669" s="2"/>
      <c r="B669" s="2"/>
      <c r="C669" s="2"/>
      <c r="D669" s="2"/>
      <c r="E669" s="2"/>
      <c r="F669" s="2"/>
      <c r="G669" s="2"/>
      <c r="H669" s="241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spans="1:31" ht="13">
      <c r="A670" s="2"/>
      <c r="B670" s="2"/>
      <c r="C670" s="2"/>
      <c r="D670" s="2"/>
      <c r="E670" s="2"/>
      <c r="F670" s="2"/>
      <c r="G670" s="2"/>
      <c r="H670" s="241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spans="1:31" ht="13">
      <c r="A671" s="2"/>
      <c r="B671" s="2"/>
      <c r="C671" s="2"/>
      <c r="D671" s="2"/>
      <c r="E671" s="2"/>
      <c r="F671" s="2"/>
      <c r="G671" s="2"/>
      <c r="H671" s="241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spans="1:31" ht="13">
      <c r="A672" s="2"/>
      <c r="B672" s="2"/>
      <c r="C672" s="2"/>
      <c r="D672" s="2"/>
      <c r="E672" s="2"/>
      <c r="F672" s="2"/>
      <c r="G672" s="2"/>
      <c r="H672" s="241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spans="1:31" ht="13">
      <c r="A673" s="2"/>
      <c r="B673" s="2"/>
      <c r="C673" s="2"/>
      <c r="D673" s="2"/>
      <c r="E673" s="2"/>
      <c r="F673" s="2"/>
      <c r="G673" s="2"/>
      <c r="H673" s="241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spans="1:31" ht="13">
      <c r="A674" s="2"/>
      <c r="B674" s="2"/>
      <c r="C674" s="2"/>
      <c r="D674" s="2"/>
      <c r="E674" s="2"/>
      <c r="F674" s="2"/>
      <c r="G674" s="2"/>
      <c r="H674" s="241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spans="1:31" ht="13">
      <c r="A675" s="2"/>
      <c r="B675" s="2"/>
      <c r="C675" s="2"/>
      <c r="D675" s="2"/>
      <c r="E675" s="2"/>
      <c r="F675" s="2"/>
      <c r="G675" s="2"/>
      <c r="H675" s="241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spans="1:31" ht="13">
      <c r="A676" s="2"/>
      <c r="B676" s="2"/>
      <c r="C676" s="2"/>
      <c r="D676" s="2"/>
      <c r="E676" s="2"/>
      <c r="F676" s="2"/>
      <c r="G676" s="2"/>
      <c r="H676" s="241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spans="1:31" ht="13">
      <c r="A677" s="2"/>
      <c r="B677" s="2"/>
      <c r="C677" s="2"/>
      <c r="D677" s="2"/>
      <c r="E677" s="2"/>
      <c r="F677" s="2"/>
      <c r="G677" s="2"/>
      <c r="H677" s="241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spans="1:31" ht="13">
      <c r="A678" s="2"/>
      <c r="B678" s="2"/>
      <c r="C678" s="2"/>
      <c r="D678" s="2"/>
      <c r="E678" s="2"/>
      <c r="F678" s="2"/>
      <c r="G678" s="2"/>
      <c r="H678" s="241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spans="1:31" ht="13">
      <c r="A679" s="2"/>
      <c r="B679" s="2"/>
      <c r="C679" s="2"/>
      <c r="D679" s="2"/>
      <c r="E679" s="2"/>
      <c r="F679" s="2"/>
      <c r="G679" s="2"/>
      <c r="H679" s="241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spans="1:31" ht="13">
      <c r="A680" s="2"/>
      <c r="B680" s="2"/>
      <c r="C680" s="2"/>
      <c r="D680" s="2"/>
      <c r="E680" s="2"/>
      <c r="F680" s="2"/>
      <c r="G680" s="2"/>
      <c r="H680" s="241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spans="1:31" ht="13">
      <c r="A681" s="2"/>
      <c r="B681" s="2"/>
      <c r="C681" s="2"/>
      <c r="D681" s="2"/>
      <c r="E681" s="2"/>
      <c r="F681" s="2"/>
      <c r="G681" s="2"/>
      <c r="H681" s="241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spans="1:31" ht="13">
      <c r="A682" s="2"/>
      <c r="B682" s="2"/>
      <c r="C682" s="2"/>
      <c r="D682" s="2"/>
      <c r="E682" s="2"/>
      <c r="F682" s="2"/>
      <c r="G682" s="2"/>
      <c r="H682" s="241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spans="1:31" ht="13">
      <c r="A683" s="2"/>
      <c r="B683" s="2"/>
      <c r="C683" s="2"/>
      <c r="D683" s="2"/>
      <c r="E683" s="2"/>
      <c r="F683" s="2"/>
      <c r="G683" s="2"/>
      <c r="H683" s="241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spans="1:31" ht="13">
      <c r="A684" s="2"/>
      <c r="B684" s="2"/>
      <c r="C684" s="2"/>
      <c r="D684" s="2"/>
      <c r="E684" s="2"/>
      <c r="F684" s="2"/>
      <c r="G684" s="2"/>
      <c r="H684" s="241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spans="1:31" ht="13">
      <c r="A685" s="2"/>
      <c r="B685" s="2"/>
      <c r="C685" s="2"/>
      <c r="D685" s="2"/>
      <c r="E685" s="2"/>
      <c r="F685" s="2"/>
      <c r="G685" s="2"/>
      <c r="H685" s="241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spans="1:31" ht="13">
      <c r="A686" s="2"/>
      <c r="B686" s="2"/>
      <c r="C686" s="2"/>
      <c r="D686" s="2"/>
      <c r="E686" s="2"/>
      <c r="F686" s="2"/>
      <c r="G686" s="2"/>
      <c r="H686" s="241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spans="1:31" ht="13">
      <c r="A687" s="2"/>
      <c r="B687" s="2"/>
      <c r="C687" s="2"/>
      <c r="D687" s="2"/>
      <c r="E687" s="2"/>
      <c r="F687" s="2"/>
      <c r="G687" s="2"/>
      <c r="H687" s="241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spans="1:31" ht="13">
      <c r="A688" s="2"/>
      <c r="B688" s="2"/>
      <c r="C688" s="2"/>
      <c r="D688" s="2"/>
      <c r="E688" s="2"/>
      <c r="F688" s="2"/>
      <c r="G688" s="2"/>
      <c r="H688" s="241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spans="1:31" ht="13">
      <c r="A689" s="2"/>
      <c r="B689" s="2"/>
      <c r="C689" s="2"/>
      <c r="D689" s="2"/>
      <c r="E689" s="2"/>
      <c r="F689" s="2"/>
      <c r="G689" s="2"/>
      <c r="H689" s="241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spans="1:31" ht="13">
      <c r="A690" s="2"/>
      <c r="B690" s="2"/>
      <c r="C690" s="2"/>
      <c r="D690" s="2"/>
      <c r="E690" s="2"/>
      <c r="F690" s="2"/>
      <c r="G690" s="2"/>
      <c r="H690" s="241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spans="1:31" ht="13">
      <c r="A691" s="2"/>
      <c r="B691" s="2"/>
      <c r="C691" s="2"/>
      <c r="D691" s="2"/>
      <c r="E691" s="2"/>
      <c r="F691" s="2"/>
      <c r="G691" s="2"/>
      <c r="H691" s="241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spans="1:31" ht="13">
      <c r="A692" s="2"/>
      <c r="B692" s="2"/>
      <c r="C692" s="2"/>
      <c r="D692" s="2"/>
      <c r="E692" s="2"/>
      <c r="F692" s="2"/>
      <c r="G692" s="2"/>
      <c r="H692" s="241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spans="1:31" ht="13">
      <c r="A693" s="2"/>
      <c r="B693" s="2"/>
      <c r="C693" s="2"/>
      <c r="D693" s="2"/>
      <c r="E693" s="2"/>
      <c r="F693" s="2"/>
      <c r="G693" s="2"/>
      <c r="H693" s="241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spans="1:31" ht="13">
      <c r="A694" s="2"/>
      <c r="B694" s="2"/>
      <c r="C694" s="2"/>
      <c r="D694" s="2"/>
      <c r="E694" s="2"/>
      <c r="F694" s="2"/>
      <c r="G694" s="2"/>
      <c r="H694" s="241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spans="1:31" ht="13">
      <c r="A695" s="2"/>
      <c r="B695" s="2"/>
      <c r="C695" s="2"/>
      <c r="D695" s="2"/>
      <c r="E695" s="2"/>
      <c r="F695" s="2"/>
      <c r="G695" s="2"/>
      <c r="H695" s="241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spans="1:31" ht="13">
      <c r="A696" s="2"/>
      <c r="B696" s="2"/>
      <c r="C696" s="2"/>
      <c r="D696" s="2"/>
      <c r="E696" s="2"/>
      <c r="F696" s="2"/>
      <c r="G696" s="2"/>
      <c r="H696" s="241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spans="1:31" ht="13">
      <c r="A697" s="2"/>
      <c r="B697" s="2"/>
      <c r="C697" s="2"/>
      <c r="D697" s="2"/>
      <c r="E697" s="2"/>
      <c r="F697" s="2"/>
      <c r="G697" s="2"/>
      <c r="H697" s="241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spans="1:31" ht="13">
      <c r="A698" s="2"/>
      <c r="B698" s="2"/>
      <c r="C698" s="2"/>
      <c r="D698" s="2"/>
      <c r="E698" s="2"/>
      <c r="F698" s="2"/>
      <c r="G698" s="2"/>
      <c r="H698" s="241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spans="1:31" ht="13">
      <c r="A699" s="2"/>
      <c r="B699" s="2"/>
      <c r="C699" s="2"/>
      <c r="D699" s="2"/>
      <c r="E699" s="2"/>
      <c r="F699" s="2"/>
      <c r="G699" s="2"/>
      <c r="H699" s="241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spans="1:31" ht="13">
      <c r="A700" s="2"/>
      <c r="B700" s="2"/>
      <c r="C700" s="2"/>
      <c r="D700" s="2"/>
      <c r="E700" s="2"/>
      <c r="F700" s="2"/>
      <c r="G700" s="2"/>
      <c r="H700" s="241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spans="1:31" ht="13">
      <c r="A701" s="2"/>
      <c r="B701" s="2"/>
      <c r="C701" s="2"/>
      <c r="D701" s="2"/>
      <c r="E701" s="2"/>
      <c r="F701" s="2"/>
      <c r="G701" s="2"/>
      <c r="H701" s="241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spans="1:31" ht="13">
      <c r="A702" s="2"/>
      <c r="B702" s="2"/>
      <c r="C702" s="2"/>
      <c r="D702" s="2"/>
      <c r="E702" s="2"/>
      <c r="F702" s="2"/>
      <c r="G702" s="2"/>
      <c r="H702" s="241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spans="1:31" ht="13">
      <c r="A703" s="2"/>
      <c r="B703" s="2"/>
      <c r="C703" s="2"/>
      <c r="D703" s="2"/>
      <c r="E703" s="2"/>
      <c r="F703" s="2"/>
      <c r="G703" s="2"/>
      <c r="H703" s="241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spans="1:31" ht="13">
      <c r="A704" s="2"/>
      <c r="B704" s="2"/>
      <c r="C704" s="2"/>
      <c r="D704" s="2"/>
      <c r="E704" s="2"/>
      <c r="F704" s="2"/>
      <c r="G704" s="2"/>
      <c r="H704" s="241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spans="1:31" ht="13">
      <c r="A705" s="2"/>
      <c r="B705" s="2"/>
      <c r="C705" s="2"/>
      <c r="D705" s="2"/>
      <c r="E705" s="2"/>
      <c r="F705" s="2"/>
      <c r="G705" s="2"/>
      <c r="H705" s="241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spans="1:31" ht="13">
      <c r="A706" s="2"/>
      <c r="B706" s="2"/>
      <c r="C706" s="2"/>
      <c r="D706" s="2"/>
      <c r="E706" s="2"/>
      <c r="F706" s="2"/>
      <c r="G706" s="2"/>
      <c r="H706" s="241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spans="1:31" ht="13">
      <c r="A707" s="2"/>
      <c r="B707" s="2"/>
      <c r="C707" s="2"/>
      <c r="D707" s="2"/>
      <c r="E707" s="2"/>
      <c r="F707" s="2"/>
      <c r="G707" s="2"/>
      <c r="H707" s="241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spans="1:31" ht="13">
      <c r="A708" s="2"/>
      <c r="B708" s="2"/>
      <c r="C708" s="2"/>
      <c r="D708" s="2"/>
      <c r="E708" s="2"/>
      <c r="F708" s="2"/>
      <c r="G708" s="2"/>
      <c r="H708" s="241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spans="1:31" ht="13">
      <c r="A709" s="2"/>
      <c r="B709" s="2"/>
      <c r="C709" s="2"/>
      <c r="D709" s="2"/>
      <c r="E709" s="2"/>
      <c r="F709" s="2"/>
      <c r="G709" s="2"/>
      <c r="H709" s="241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spans="1:31" ht="13">
      <c r="A710" s="2"/>
      <c r="B710" s="2"/>
      <c r="C710" s="2"/>
      <c r="D710" s="2"/>
      <c r="E710" s="2"/>
      <c r="F710" s="2"/>
      <c r="G710" s="2"/>
      <c r="H710" s="241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spans="1:31" ht="13">
      <c r="A711" s="2"/>
      <c r="B711" s="2"/>
      <c r="C711" s="2"/>
      <c r="D711" s="2"/>
      <c r="E711" s="2"/>
      <c r="F711" s="2"/>
      <c r="G711" s="2"/>
      <c r="H711" s="241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spans="1:31" ht="13">
      <c r="A712" s="2"/>
      <c r="B712" s="2"/>
      <c r="C712" s="2"/>
      <c r="D712" s="2"/>
      <c r="E712" s="2"/>
      <c r="F712" s="2"/>
      <c r="G712" s="2"/>
      <c r="H712" s="241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spans="1:31" ht="13">
      <c r="A713" s="2"/>
      <c r="B713" s="2"/>
      <c r="C713" s="2"/>
      <c r="D713" s="2"/>
      <c r="E713" s="2"/>
      <c r="F713" s="2"/>
      <c r="G713" s="2"/>
      <c r="H713" s="241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spans="1:31" ht="13">
      <c r="A714" s="2"/>
      <c r="B714" s="2"/>
      <c r="C714" s="2"/>
      <c r="D714" s="2"/>
      <c r="E714" s="2"/>
      <c r="F714" s="2"/>
      <c r="G714" s="2"/>
      <c r="H714" s="241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spans="1:31" ht="13">
      <c r="A715" s="2"/>
      <c r="B715" s="2"/>
      <c r="C715" s="2"/>
      <c r="D715" s="2"/>
      <c r="E715" s="2"/>
      <c r="F715" s="2"/>
      <c r="G715" s="2"/>
      <c r="H715" s="241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spans="1:31" ht="13">
      <c r="A716" s="2"/>
      <c r="B716" s="2"/>
      <c r="C716" s="2"/>
      <c r="D716" s="2"/>
      <c r="E716" s="2"/>
      <c r="F716" s="2"/>
      <c r="G716" s="2"/>
      <c r="H716" s="241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spans="1:31" ht="13">
      <c r="A717" s="2"/>
      <c r="B717" s="2"/>
      <c r="C717" s="2"/>
      <c r="D717" s="2"/>
      <c r="E717" s="2"/>
      <c r="F717" s="2"/>
      <c r="G717" s="2"/>
      <c r="H717" s="241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spans="1:31" ht="13">
      <c r="A718" s="2"/>
      <c r="B718" s="2"/>
      <c r="C718" s="2"/>
      <c r="D718" s="2"/>
      <c r="E718" s="2"/>
      <c r="F718" s="2"/>
      <c r="G718" s="2"/>
      <c r="H718" s="241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spans="1:31" ht="13">
      <c r="A719" s="2"/>
      <c r="B719" s="2"/>
      <c r="C719" s="2"/>
      <c r="D719" s="2"/>
      <c r="E719" s="2"/>
      <c r="F719" s="2"/>
      <c r="G719" s="2"/>
      <c r="H719" s="241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spans="1:31" ht="13">
      <c r="A720" s="2"/>
      <c r="B720" s="2"/>
      <c r="C720" s="2"/>
      <c r="D720" s="2"/>
      <c r="E720" s="2"/>
      <c r="F720" s="2"/>
      <c r="G720" s="2"/>
      <c r="H720" s="241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spans="1:31" ht="13">
      <c r="A721" s="2"/>
      <c r="B721" s="2"/>
      <c r="C721" s="2"/>
      <c r="D721" s="2"/>
      <c r="E721" s="2"/>
      <c r="F721" s="2"/>
      <c r="G721" s="2"/>
      <c r="H721" s="241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spans="1:31" ht="13">
      <c r="A722" s="2"/>
      <c r="B722" s="2"/>
      <c r="C722" s="2"/>
      <c r="D722" s="2"/>
      <c r="E722" s="2"/>
      <c r="F722" s="2"/>
      <c r="G722" s="2"/>
      <c r="H722" s="241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spans="1:31" ht="13">
      <c r="A723" s="2"/>
      <c r="B723" s="2"/>
      <c r="C723" s="2"/>
      <c r="D723" s="2"/>
      <c r="E723" s="2"/>
      <c r="F723" s="2"/>
      <c r="G723" s="2"/>
      <c r="H723" s="241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spans="1:31" ht="13">
      <c r="A724" s="2"/>
      <c r="B724" s="2"/>
      <c r="C724" s="2"/>
      <c r="D724" s="2"/>
      <c r="E724" s="2"/>
      <c r="F724" s="2"/>
      <c r="G724" s="2"/>
      <c r="H724" s="241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spans="1:31" ht="13">
      <c r="A725" s="2"/>
      <c r="B725" s="2"/>
      <c r="C725" s="2"/>
      <c r="D725" s="2"/>
      <c r="E725" s="2"/>
      <c r="F725" s="2"/>
      <c r="G725" s="2"/>
      <c r="H725" s="241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spans="1:31" ht="13">
      <c r="A726" s="2"/>
      <c r="B726" s="2"/>
      <c r="C726" s="2"/>
      <c r="D726" s="2"/>
      <c r="E726" s="2"/>
      <c r="F726" s="2"/>
      <c r="G726" s="2"/>
      <c r="H726" s="241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spans="1:31" ht="13">
      <c r="A727" s="2"/>
      <c r="B727" s="2"/>
      <c r="C727" s="2"/>
      <c r="D727" s="2"/>
      <c r="E727" s="2"/>
      <c r="F727" s="2"/>
      <c r="G727" s="2"/>
      <c r="H727" s="241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spans="1:31" ht="13">
      <c r="A728" s="2"/>
      <c r="B728" s="2"/>
      <c r="C728" s="2"/>
      <c r="D728" s="2"/>
      <c r="E728" s="2"/>
      <c r="F728" s="2"/>
      <c r="G728" s="2"/>
      <c r="H728" s="241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spans="1:31" ht="13">
      <c r="A729" s="2"/>
      <c r="B729" s="2"/>
      <c r="C729" s="2"/>
      <c r="D729" s="2"/>
      <c r="E729" s="2"/>
      <c r="F729" s="2"/>
      <c r="G729" s="2"/>
      <c r="H729" s="241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spans="1:31" ht="13">
      <c r="A730" s="2"/>
      <c r="B730" s="2"/>
      <c r="C730" s="2"/>
      <c r="D730" s="2"/>
      <c r="E730" s="2"/>
      <c r="F730" s="2"/>
      <c r="G730" s="2"/>
      <c r="H730" s="241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spans="1:31" ht="13">
      <c r="A731" s="2"/>
      <c r="B731" s="2"/>
      <c r="C731" s="2"/>
      <c r="D731" s="2"/>
      <c r="E731" s="2"/>
      <c r="F731" s="2"/>
      <c r="G731" s="2"/>
      <c r="H731" s="241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spans="1:31" ht="13">
      <c r="A732" s="2"/>
      <c r="B732" s="2"/>
      <c r="C732" s="2"/>
      <c r="D732" s="2"/>
      <c r="E732" s="2"/>
      <c r="F732" s="2"/>
      <c r="G732" s="2"/>
      <c r="H732" s="241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spans="1:31" ht="13">
      <c r="A733" s="2"/>
      <c r="B733" s="2"/>
      <c r="C733" s="2"/>
      <c r="D733" s="2"/>
      <c r="E733" s="2"/>
      <c r="F733" s="2"/>
      <c r="G733" s="2"/>
      <c r="H733" s="241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spans="1:31" ht="13">
      <c r="A734" s="2"/>
      <c r="B734" s="2"/>
      <c r="C734" s="2"/>
      <c r="D734" s="2"/>
      <c r="E734" s="2"/>
      <c r="F734" s="2"/>
      <c r="G734" s="2"/>
      <c r="H734" s="241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spans="1:31" ht="13">
      <c r="A735" s="2"/>
      <c r="B735" s="2"/>
      <c r="C735" s="2"/>
      <c r="D735" s="2"/>
      <c r="E735" s="2"/>
      <c r="F735" s="2"/>
      <c r="G735" s="2"/>
      <c r="H735" s="241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spans="1:31" ht="13">
      <c r="A736" s="2"/>
      <c r="B736" s="2"/>
      <c r="C736" s="2"/>
      <c r="D736" s="2"/>
      <c r="E736" s="2"/>
      <c r="F736" s="2"/>
      <c r="G736" s="2"/>
      <c r="H736" s="241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spans="1:31" ht="13">
      <c r="A737" s="2"/>
      <c r="B737" s="2"/>
      <c r="C737" s="2"/>
      <c r="D737" s="2"/>
      <c r="E737" s="2"/>
      <c r="F737" s="2"/>
      <c r="G737" s="2"/>
      <c r="H737" s="241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spans="1:31" ht="13">
      <c r="A738" s="2"/>
      <c r="B738" s="2"/>
      <c r="C738" s="2"/>
      <c r="D738" s="2"/>
      <c r="E738" s="2"/>
      <c r="F738" s="2"/>
      <c r="G738" s="2"/>
      <c r="H738" s="241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spans="1:31" ht="13">
      <c r="A739" s="2"/>
      <c r="B739" s="2"/>
      <c r="C739" s="2"/>
      <c r="D739" s="2"/>
      <c r="E739" s="2"/>
      <c r="F739" s="2"/>
      <c r="G739" s="2"/>
      <c r="H739" s="241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spans="1:31" ht="13">
      <c r="A740" s="2"/>
      <c r="B740" s="2"/>
      <c r="C740" s="2"/>
      <c r="D740" s="2"/>
      <c r="E740" s="2"/>
      <c r="F740" s="2"/>
      <c r="G740" s="2"/>
      <c r="H740" s="241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spans="1:31" ht="13">
      <c r="A741" s="2"/>
      <c r="B741" s="2"/>
      <c r="C741" s="2"/>
      <c r="D741" s="2"/>
      <c r="E741" s="2"/>
      <c r="F741" s="2"/>
      <c r="G741" s="2"/>
      <c r="H741" s="241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spans="1:31" ht="13">
      <c r="A742" s="2"/>
      <c r="B742" s="2"/>
      <c r="C742" s="2"/>
      <c r="D742" s="2"/>
      <c r="E742" s="2"/>
      <c r="F742" s="2"/>
      <c r="G742" s="2"/>
      <c r="H742" s="241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spans="1:31" ht="13">
      <c r="A743" s="2"/>
      <c r="B743" s="2"/>
      <c r="C743" s="2"/>
      <c r="D743" s="2"/>
      <c r="E743" s="2"/>
      <c r="F743" s="2"/>
      <c r="G743" s="2"/>
      <c r="H743" s="241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spans="1:31" ht="13">
      <c r="A744" s="2"/>
      <c r="B744" s="2"/>
      <c r="C744" s="2"/>
      <c r="D744" s="2"/>
      <c r="E744" s="2"/>
      <c r="F744" s="2"/>
      <c r="G744" s="2"/>
      <c r="H744" s="241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spans="1:31" ht="13">
      <c r="A745" s="2"/>
      <c r="B745" s="2"/>
      <c r="C745" s="2"/>
      <c r="D745" s="2"/>
      <c r="E745" s="2"/>
      <c r="F745" s="2"/>
      <c r="G745" s="2"/>
      <c r="H745" s="241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spans="1:31" ht="13">
      <c r="A746" s="2"/>
      <c r="B746" s="2"/>
      <c r="C746" s="2"/>
      <c r="D746" s="2"/>
      <c r="E746" s="2"/>
      <c r="F746" s="2"/>
      <c r="G746" s="2"/>
      <c r="H746" s="241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spans="1:31" ht="13">
      <c r="A747" s="2"/>
      <c r="B747" s="2"/>
      <c r="C747" s="2"/>
      <c r="D747" s="2"/>
      <c r="E747" s="2"/>
      <c r="F747" s="2"/>
      <c r="G747" s="2"/>
      <c r="H747" s="241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spans="1:31" ht="13">
      <c r="A748" s="2"/>
      <c r="B748" s="2"/>
      <c r="C748" s="2"/>
      <c r="D748" s="2"/>
      <c r="E748" s="2"/>
      <c r="F748" s="2"/>
      <c r="G748" s="2"/>
      <c r="H748" s="241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spans="1:31" ht="13">
      <c r="A749" s="2"/>
      <c r="B749" s="2"/>
      <c r="C749" s="2"/>
      <c r="D749" s="2"/>
      <c r="E749" s="2"/>
      <c r="F749" s="2"/>
      <c r="G749" s="2"/>
      <c r="H749" s="241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spans="1:31" ht="13">
      <c r="A750" s="2"/>
      <c r="B750" s="2"/>
      <c r="C750" s="2"/>
      <c r="D750" s="2"/>
      <c r="E750" s="2"/>
      <c r="F750" s="2"/>
      <c r="G750" s="2"/>
      <c r="H750" s="241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spans="1:31" ht="13">
      <c r="A751" s="2"/>
      <c r="B751" s="2"/>
      <c r="C751" s="2"/>
      <c r="D751" s="2"/>
      <c r="E751" s="2"/>
      <c r="F751" s="2"/>
      <c r="G751" s="2"/>
      <c r="H751" s="241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spans="1:31" ht="13">
      <c r="A752" s="2"/>
      <c r="B752" s="2"/>
      <c r="C752" s="2"/>
      <c r="D752" s="2"/>
      <c r="E752" s="2"/>
      <c r="F752" s="2"/>
      <c r="G752" s="2"/>
      <c r="H752" s="241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spans="1:31" ht="13">
      <c r="A753" s="2"/>
      <c r="B753" s="2"/>
      <c r="C753" s="2"/>
      <c r="D753" s="2"/>
      <c r="E753" s="2"/>
      <c r="F753" s="2"/>
      <c r="G753" s="2"/>
      <c r="H753" s="241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spans="1:31" ht="13">
      <c r="A754" s="2"/>
      <c r="B754" s="2"/>
      <c r="C754" s="2"/>
      <c r="D754" s="2"/>
      <c r="E754" s="2"/>
      <c r="F754" s="2"/>
      <c r="G754" s="2"/>
      <c r="H754" s="241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spans="1:31" ht="13">
      <c r="A755" s="2"/>
      <c r="B755" s="2"/>
      <c r="C755" s="2"/>
      <c r="D755" s="2"/>
      <c r="E755" s="2"/>
      <c r="F755" s="2"/>
      <c r="G755" s="2"/>
      <c r="H755" s="241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spans="1:31" ht="13">
      <c r="A756" s="2"/>
      <c r="B756" s="2"/>
      <c r="C756" s="2"/>
      <c r="D756" s="2"/>
      <c r="E756" s="2"/>
      <c r="F756" s="2"/>
      <c r="G756" s="2"/>
      <c r="H756" s="241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spans="1:31" ht="13">
      <c r="A757" s="2"/>
      <c r="B757" s="2"/>
      <c r="C757" s="2"/>
      <c r="D757" s="2"/>
      <c r="E757" s="2"/>
      <c r="F757" s="2"/>
      <c r="G757" s="2"/>
      <c r="H757" s="241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spans="1:31" ht="13">
      <c r="A758" s="2"/>
      <c r="B758" s="2"/>
      <c r="C758" s="2"/>
      <c r="D758" s="2"/>
      <c r="E758" s="2"/>
      <c r="F758" s="2"/>
      <c r="G758" s="2"/>
      <c r="H758" s="241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spans="1:31" ht="13">
      <c r="A759" s="2"/>
      <c r="B759" s="2"/>
      <c r="C759" s="2"/>
      <c r="D759" s="2"/>
      <c r="E759" s="2"/>
      <c r="F759" s="2"/>
      <c r="G759" s="2"/>
      <c r="H759" s="241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spans="1:31" ht="13">
      <c r="A760" s="2"/>
      <c r="B760" s="2"/>
      <c r="C760" s="2"/>
      <c r="D760" s="2"/>
      <c r="E760" s="2"/>
      <c r="F760" s="2"/>
      <c r="G760" s="2"/>
      <c r="H760" s="241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spans="1:31" ht="13">
      <c r="A761" s="2"/>
      <c r="B761" s="2"/>
      <c r="C761" s="2"/>
      <c r="D761" s="2"/>
      <c r="E761" s="2"/>
      <c r="F761" s="2"/>
      <c r="G761" s="2"/>
      <c r="H761" s="241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spans="1:31" ht="13">
      <c r="A762" s="2"/>
      <c r="B762" s="2"/>
      <c r="C762" s="2"/>
      <c r="D762" s="2"/>
      <c r="E762" s="2"/>
      <c r="F762" s="2"/>
      <c r="G762" s="2"/>
      <c r="H762" s="241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spans="1:31" ht="13">
      <c r="A763" s="2"/>
      <c r="B763" s="2"/>
      <c r="C763" s="2"/>
      <c r="D763" s="2"/>
      <c r="E763" s="2"/>
      <c r="F763" s="2"/>
      <c r="G763" s="2"/>
      <c r="H763" s="241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spans="1:31" ht="13">
      <c r="A764" s="2"/>
      <c r="B764" s="2"/>
      <c r="C764" s="2"/>
      <c r="D764" s="2"/>
      <c r="E764" s="2"/>
      <c r="F764" s="2"/>
      <c r="G764" s="2"/>
      <c r="H764" s="241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spans="1:31" ht="13">
      <c r="A765" s="2"/>
      <c r="B765" s="2"/>
      <c r="C765" s="2"/>
      <c r="D765" s="2"/>
      <c r="E765" s="2"/>
      <c r="F765" s="2"/>
      <c r="G765" s="2"/>
      <c r="H765" s="241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spans="1:31" ht="13">
      <c r="A766" s="2"/>
      <c r="B766" s="2"/>
      <c r="C766" s="2"/>
      <c r="D766" s="2"/>
      <c r="E766" s="2"/>
      <c r="F766" s="2"/>
      <c r="G766" s="2"/>
      <c r="H766" s="241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spans="1:31" ht="13">
      <c r="A767" s="2"/>
      <c r="B767" s="2"/>
      <c r="C767" s="2"/>
      <c r="D767" s="2"/>
      <c r="E767" s="2"/>
      <c r="F767" s="2"/>
      <c r="G767" s="2"/>
      <c r="H767" s="241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spans="1:31" ht="13">
      <c r="A768" s="2"/>
      <c r="B768" s="2"/>
      <c r="C768" s="2"/>
      <c r="D768" s="2"/>
      <c r="E768" s="2"/>
      <c r="F768" s="2"/>
      <c r="G768" s="2"/>
      <c r="H768" s="241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spans="1:31" ht="13">
      <c r="A769" s="2"/>
      <c r="B769" s="2"/>
      <c r="C769" s="2"/>
      <c r="D769" s="2"/>
      <c r="E769" s="2"/>
      <c r="F769" s="2"/>
      <c r="G769" s="2"/>
      <c r="H769" s="241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spans="1:31" ht="13">
      <c r="A770" s="2"/>
      <c r="B770" s="2"/>
      <c r="C770" s="2"/>
      <c r="D770" s="2"/>
      <c r="E770" s="2"/>
      <c r="F770" s="2"/>
      <c r="G770" s="2"/>
      <c r="H770" s="241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spans="1:31" ht="13">
      <c r="A771" s="2"/>
      <c r="B771" s="2"/>
      <c r="C771" s="2"/>
      <c r="D771" s="2"/>
      <c r="E771" s="2"/>
      <c r="F771" s="2"/>
      <c r="G771" s="2"/>
      <c r="H771" s="241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spans="1:31" ht="13">
      <c r="A772" s="2"/>
      <c r="B772" s="2"/>
      <c r="C772" s="2"/>
      <c r="D772" s="2"/>
      <c r="E772" s="2"/>
      <c r="F772" s="2"/>
      <c r="G772" s="2"/>
      <c r="H772" s="241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spans="1:31" ht="13">
      <c r="A773" s="2"/>
      <c r="B773" s="2"/>
      <c r="C773" s="2"/>
      <c r="D773" s="2"/>
      <c r="E773" s="2"/>
      <c r="F773" s="2"/>
      <c r="G773" s="2"/>
      <c r="H773" s="241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spans="1:31" ht="13">
      <c r="A774" s="2"/>
      <c r="B774" s="2"/>
      <c r="C774" s="2"/>
      <c r="D774" s="2"/>
      <c r="E774" s="2"/>
      <c r="F774" s="2"/>
      <c r="G774" s="2"/>
      <c r="H774" s="241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spans="1:31" ht="13">
      <c r="A775" s="2"/>
      <c r="B775" s="2"/>
      <c r="C775" s="2"/>
      <c r="D775" s="2"/>
      <c r="E775" s="2"/>
      <c r="F775" s="2"/>
      <c r="G775" s="2"/>
      <c r="H775" s="241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spans="1:31" ht="13">
      <c r="A776" s="2"/>
      <c r="B776" s="2"/>
      <c r="C776" s="2"/>
      <c r="D776" s="2"/>
      <c r="E776" s="2"/>
      <c r="F776" s="2"/>
      <c r="G776" s="2"/>
      <c r="H776" s="241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spans="1:31" ht="13">
      <c r="A777" s="2"/>
      <c r="B777" s="2"/>
      <c r="C777" s="2"/>
      <c r="D777" s="2"/>
      <c r="E777" s="2"/>
      <c r="F777" s="2"/>
      <c r="G777" s="2"/>
      <c r="H777" s="241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spans="1:31" ht="13">
      <c r="A778" s="2"/>
      <c r="B778" s="2"/>
      <c r="C778" s="2"/>
      <c r="D778" s="2"/>
      <c r="E778" s="2"/>
      <c r="F778" s="2"/>
      <c r="G778" s="2"/>
      <c r="H778" s="241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spans="1:31" ht="13">
      <c r="A779" s="2"/>
      <c r="B779" s="2"/>
      <c r="C779" s="2"/>
      <c r="D779" s="2"/>
      <c r="E779" s="2"/>
      <c r="F779" s="2"/>
      <c r="G779" s="2"/>
      <c r="H779" s="241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spans="1:31" ht="13">
      <c r="A780" s="2"/>
      <c r="B780" s="2"/>
      <c r="C780" s="2"/>
      <c r="D780" s="2"/>
      <c r="E780" s="2"/>
      <c r="F780" s="2"/>
      <c r="G780" s="2"/>
      <c r="H780" s="241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spans="1:31" ht="13">
      <c r="A781" s="2"/>
      <c r="B781" s="2"/>
      <c r="C781" s="2"/>
      <c r="D781" s="2"/>
      <c r="E781" s="2"/>
      <c r="F781" s="2"/>
      <c r="G781" s="2"/>
      <c r="H781" s="241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spans="1:31" ht="13">
      <c r="A782" s="2"/>
      <c r="B782" s="2"/>
      <c r="C782" s="2"/>
      <c r="D782" s="2"/>
      <c r="E782" s="2"/>
      <c r="F782" s="2"/>
      <c r="G782" s="2"/>
      <c r="H782" s="241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spans="1:31" ht="13">
      <c r="A783" s="2"/>
      <c r="B783" s="2"/>
      <c r="C783" s="2"/>
      <c r="D783" s="2"/>
      <c r="E783" s="2"/>
      <c r="F783" s="2"/>
      <c r="G783" s="2"/>
      <c r="H783" s="241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spans="1:31" ht="13">
      <c r="A784" s="2"/>
      <c r="B784" s="2"/>
      <c r="C784" s="2"/>
      <c r="D784" s="2"/>
      <c r="E784" s="2"/>
      <c r="F784" s="2"/>
      <c r="G784" s="2"/>
      <c r="H784" s="241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spans="1:31" ht="13">
      <c r="A785" s="2"/>
      <c r="B785" s="2"/>
      <c r="C785" s="2"/>
      <c r="D785" s="2"/>
      <c r="E785" s="2"/>
      <c r="F785" s="2"/>
      <c r="G785" s="2"/>
      <c r="H785" s="241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spans="1:31" ht="13">
      <c r="A786" s="2"/>
      <c r="B786" s="2"/>
      <c r="C786" s="2"/>
      <c r="D786" s="2"/>
      <c r="E786" s="2"/>
      <c r="F786" s="2"/>
      <c r="G786" s="2"/>
      <c r="H786" s="241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spans="1:31" ht="13">
      <c r="A787" s="2"/>
      <c r="B787" s="2"/>
      <c r="C787" s="2"/>
      <c r="D787" s="2"/>
      <c r="E787" s="2"/>
      <c r="F787" s="2"/>
      <c r="G787" s="2"/>
      <c r="H787" s="241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spans="1:31" ht="13">
      <c r="A788" s="2"/>
      <c r="B788" s="2"/>
      <c r="C788" s="2"/>
      <c r="D788" s="2"/>
      <c r="E788" s="2"/>
      <c r="F788" s="2"/>
      <c r="G788" s="2"/>
      <c r="H788" s="241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spans="1:31" ht="13">
      <c r="A789" s="2"/>
      <c r="B789" s="2"/>
      <c r="C789" s="2"/>
      <c r="D789" s="2"/>
      <c r="E789" s="2"/>
      <c r="F789" s="2"/>
      <c r="G789" s="2"/>
      <c r="H789" s="241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spans="1:31" ht="13">
      <c r="A790" s="2"/>
      <c r="B790" s="2"/>
      <c r="C790" s="2"/>
      <c r="D790" s="2"/>
      <c r="E790" s="2"/>
      <c r="F790" s="2"/>
      <c r="G790" s="2"/>
      <c r="H790" s="241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spans="1:31" ht="13">
      <c r="A791" s="2"/>
      <c r="B791" s="2"/>
      <c r="C791" s="2"/>
      <c r="D791" s="2"/>
      <c r="E791" s="2"/>
      <c r="F791" s="2"/>
      <c r="G791" s="2"/>
      <c r="H791" s="241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spans="1:31" ht="13">
      <c r="A792" s="2"/>
      <c r="B792" s="2"/>
      <c r="C792" s="2"/>
      <c r="D792" s="2"/>
      <c r="E792" s="2"/>
      <c r="F792" s="2"/>
      <c r="G792" s="2"/>
      <c r="H792" s="241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spans="1:31" ht="13">
      <c r="A793" s="2"/>
      <c r="B793" s="2"/>
      <c r="C793" s="2"/>
      <c r="D793" s="2"/>
      <c r="E793" s="2"/>
      <c r="F793" s="2"/>
      <c r="G793" s="2"/>
      <c r="H793" s="241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spans="1:31" ht="13">
      <c r="A794" s="2"/>
      <c r="B794" s="2"/>
      <c r="C794" s="2"/>
      <c r="D794" s="2"/>
      <c r="E794" s="2"/>
      <c r="F794" s="2"/>
      <c r="G794" s="2"/>
      <c r="H794" s="241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spans="1:31" ht="13">
      <c r="A795" s="2"/>
      <c r="B795" s="2"/>
      <c r="C795" s="2"/>
      <c r="D795" s="2"/>
      <c r="E795" s="2"/>
      <c r="F795" s="2"/>
      <c r="G795" s="2"/>
      <c r="H795" s="241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spans="1:31" ht="13">
      <c r="A796" s="2"/>
      <c r="B796" s="2"/>
      <c r="C796" s="2"/>
      <c r="D796" s="2"/>
      <c r="E796" s="2"/>
      <c r="F796" s="2"/>
      <c r="G796" s="2"/>
      <c r="H796" s="241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spans="1:31" ht="13">
      <c r="A797" s="2"/>
      <c r="B797" s="2"/>
      <c r="C797" s="2"/>
      <c r="D797" s="2"/>
      <c r="E797" s="2"/>
      <c r="F797" s="2"/>
      <c r="G797" s="2"/>
      <c r="H797" s="241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spans="1:31" ht="13">
      <c r="A798" s="2"/>
      <c r="B798" s="2"/>
      <c r="C798" s="2"/>
      <c r="D798" s="2"/>
      <c r="E798" s="2"/>
      <c r="F798" s="2"/>
      <c r="G798" s="2"/>
      <c r="H798" s="241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spans="1:31" ht="13">
      <c r="A799" s="2"/>
      <c r="B799" s="2"/>
      <c r="C799" s="2"/>
      <c r="D799" s="2"/>
      <c r="E799" s="2"/>
      <c r="F799" s="2"/>
      <c r="G799" s="2"/>
      <c r="H799" s="241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spans="1:31" ht="13">
      <c r="A800" s="2"/>
      <c r="B800" s="2"/>
      <c r="C800" s="2"/>
      <c r="D800" s="2"/>
      <c r="E800" s="2"/>
      <c r="F800" s="2"/>
      <c r="G800" s="2"/>
      <c r="H800" s="241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spans="1:31" ht="13">
      <c r="A801" s="2"/>
      <c r="B801" s="2"/>
      <c r="C801" s="2"/>
      <c r="D801" s="2"/>
      <c r="E801" s="2"/>
      <c r="F801" s="2"/>
      <c r="G801" s="2"/>
      <c r="H801" s="241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spans="1:31" ht="13">
      <c r="A802" s="2"/>
      <c r="B802" s="2"/>
      <c r="C802" s="2"/>
      <c r="D802" s="2"/>
      <c r="E802" s="2"/>
      <c r="F802" s="2"/>
      <c r="G802" s="2"/>
      <c r="H802" s="241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spans="1:31" ht="13">
      <c r="A803" s="2"/>
      <c r="B803" s="2"/>
      <c r="C803" s="2"/>
      <c r="D803" s="2"/>
      <c r="E803" s="2"/>
      <c r="F803" s="2"/>
      <c r="G803" s="2"/>
      <c r="H803" s="241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spans="1:31" ht="13">
      <c r="A804" s="2"/>
      <c r="B804" s="2"/>
      <c r="C804" s="2"/>
      <c r="D804" s="2"/>
      <c r="E804" s="2"/>
      <c r="F804" s="2"/>
      <c r="G804" s="2"/>
      <c r="H804" s="241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spans="1:31" ht="13">
      <c r="A805" s="2"/>
      <c r="B805" s="2"/>
      <c r="C805" s="2"/>
      <c r="D805" s="2"/>
      <c r="E805" s="2"/>
      <c r="F805" s="2"/>
      <c r="G805" s="2"/>
      <c r="H805" s="241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spans="1:31" ht="13">
      <c r="A806" s="2"/>
      <c r="B806" s="2"/>
      <c r="C806" s="2"/>
      <c r="D806" s="2"/>
      <c r="E806" s="2"/>
      <c r="F806" s="2"/>
      <c r="G806" s="2"/>
      <c r="H806" s="241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spans="1:31" ht="13">
      <c r="A807" s="2"/>
      <c r="B807" s="2"/>
      <c r="C807" s="2"/>
      <c r="D807" s="2"/>
      <c r="E807" s="2"/>
      <c r="F807" s="2"/>
      <c r="G807" s="2"/>
      <c r="H807" s="241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spans="1:31" ht="13">
      <c r="A808" s="2"/>
      <c r="B808" s="2"/>
      <c r="C808" s="2"/>
      <c r="D808" s="2"/>
      <c r="E808" s="2"/>
      <c r="F808" s="2"/>
      <c r="G808" s="2"/>
      <c r="H808" s="241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spans="1:31" ht="13">
      <c r="A809" s="2"/>
      <c r="B809" s="2"/>
      <c r="C809" s="2"/>
      <c r="D809" s="2"/>
      <c r="E809" s="2"/>
      <c r="F809" s="2"/>
      <c r="G809" s="2"/>
      <c r="H809" s="241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spans="1:31" ht="13">
      <c r="A810" s="2"/>
      <c r="B810" s="2"/>
      <c r="C810" s="2"/>
      <c r="D810" s="2"/>
      <c r="E810" s="2"/>
      <c r="F810" s="2"/>
      <c r="G810" s="2"/>
      <c r="H810" s="241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spans="1:31" ht="13">
      <c r="A811" s="2"/>
      <c r="B811" s="2"/>
      <c r="C811" s="2"/>
      <c r="D811" s="2"/>
      <c r="E811" s="2"/>
      <c r="F811" s="2"/>
      <c r="G811" s="2"/>
      <c r="H811" s="241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spans="1:31" ht="13">
      <c r="A812" s="2"/>
      <c r="B812" s="2"/>
      <c r="C812" s="2"/>
      <c r="D812" s="2"/>
      <c r="E812" s="2"/>
      <c r="F812" s="2"/>
      <c r="G812" s="2"/>
      <c r="H812" s="241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spans="1:31" ht="13">
      <c r="A813" s="2"/>
      <c r="B813" s="2"/>
      <c r="C813" s="2"/>
      <c r="D813" s="2"/>
      <c r="E813" s="2"/>
      <c r="F813" s="2"/>
      <c r="G813" s="2"/>
      <c r="H813" s="241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spans="1:31" ht="13">
      <c r="A814" s="2"/>
      <c r="B814" s="2"/>
      <c r="C814" s="2"/>
      <c r="D814" s="2"/>
      <c r="E814" s="2"/>
      <c r="F814" s="2"/>
      <c r="G814" s="2"/>
      <c r="H814" s="241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spans="1:31" ht="13">
      <c r="A815" s="2"/>
      <c r="B815" s="2"/>
      <c r="C815" s="2"/>
      <c r="D815" s="2"/>
      <c r="E815" s="2"/>
      <c r="F815" s="2"/>
      <c r="G815" s="2"/>
      <c r="H815" s="241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spans="1:31" ht="13">
      <c r="A816" s="2"/>
      <c r="B816" s="2"/>
      <c r="C816" s="2"/>
      <c r="D816" s="2"/>
      <c r="E816" s="2"/>
      <c r="F816" s="2"/>
      <c r="G816" s="2"/>
      <c r="H816" s="241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spans="1:31" ht="13">
      <c r="A817" s="2"/>
      <c r="B817" s="2"/>
      <c r="C817" s="2"/>
      <c r="D817" s="2"/>
      <c r="E817" s="2"/>
      <c r="F817" s="2"/>
      <c r="G817" s="2"/>
      <c r="H817" s="241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spans="1:31" ht="13">
      <c r="A818" s="2"/>
      <c r="B818" s="2"/>
      <c r="C818" s="2"/>
      <c r="D818" s="2"/>
      <c r="E818" s="2"/>
      <c r="F818" s="2"/>
      <c r="G818" s="2"/>
      <c r="H818" s="241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spans="1:31" ht="13">
      <c r="A819" s="2"/>
      <c r="B819" s="2"/>
      <c r="C819" s="2"/>
      <c r="D819" s="2"/>
      <c r="E819" s="2"/>
      <c r="F819" s="2"/>
      <c r="G819" s="2"/>
      <c r="H819" s="241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spans="1:31" ht="13">
      <c r="A820" s="2"/>
      <c r="B820" s="2"/>
      <c r="C820" s="2"/>
      <c r="D820" s="2"/>
      <c r="E820" s="2"/>
      <c r="F820" s="2"/>
      <c r="G820" s="2"/>
      <c r="H820" s="241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spans="1:31" ht="13">
      <c r="A821" s="2"/>
      <c r="B821" s="2"/>
      <c r="C821" s="2"/>
      <c r="D821" s="2"/>
      <c r="E821" s="2"/>
      <c r="F821" s="2"/>
      <c r="G821" s="2"/>
      <c r="H821" s="241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spans="1:31" ht="13">
      <c r="A822" s="2"/>
      <c r="B822" s="2"/>
      <c r="C822" s="2"/>
      <c r="D822" s="2"/>
      <c r="E822" s="2"/>
      <c r="F822" s="2"/>
      <c r="G822" s="2"/>
      <c r="H822" s="241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spans="1:31" ht="13">
      <c r="A823" s="2"/>
      <c r="B823" s="2"/>
      <c r="C823" s="2"/>
      <c r="D823" s="2"/>
      <c r="E823" s="2"/>
      <c r="F823" s="2"/>
      <c r="G823" s="2"/>
      <c r="H823" s="241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spans="1:31" ht="13">
      <c r="A824" s="2"/>
      <c r="B824" s="2"/>
      <c r="C824" s="2"/>
      <c r="D824" s="2"/>
      <c r="E824" s="2"/>
      <c r="F824" s="2"/>
      <c r="G824" s="2"/>
      <c r="H824" s="241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spans="1:31" ht="13">
      <c r="A825" s="2"/>
      <c r="B825" s="2"/>
      <c r="C825" s="2"/>
      <c r="D825" s="2"/>
      <c r="E825" s="2"/>
      <c r="F825" s="2"/>
      <c r="G825" s="2"/>
      <c r="H825" s="241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spans="1:31" ht="13">
      <c r="A826" s="2"/>
      <c r="B826" s="2"/>
      <c r="C826" s="2"/>
      <c r="D826" s="2"/>
      <c r="E826" s="2"/>
      <c r="F826" s="2"/>
      <c r="G826" s="2"/>
      <c r="H826" s="241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spans="1:31" ht="13">
      <c r="A827" s="2"/>
      <c r="B827" s="2"/>
      <c r="C827" s="2"/>
      <c r="D827" s="2"/>
      <c r="E827" s="2"/>
      <c r="F827" s="2"/>
      <c r="G827" s="2"/>
      <c r="H827" s="241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spans="1:31" ht="13">
      <c r="A828" s="2"/>
      <c r="B828" s="2"/>
      <c r="C828" s="2"/>
      <c r="D828" s="2"/>
      <c r="E828" s="2"/>
      <c r="F828" s="2"/>
      <c r="G828" s="2"/>
      <c r="H828" s="241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spans="1:31" ht="13">
      <c r="A829" s="2"/>
      <c r="B829" s="2"/>
      <c r="C829" s="2"/>
      <c r="D829" s="2"/>
      <c r="E829" s="2"/>
      <c r="F829" s="2"/>
      <c r="G829" s="2"/>
      <c r="H829" s="241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spans="1:31" ht="13">
      <c r="A830" s="2"/>
      <c r="B830" s="2"/>
      <c r="C830" s="2"/>
      <c r="D830" s="2"/>
      <c r="E830" s="2"/>
      <c r="F830" s="2"/>
      <c r="G830" s="2"/>
      <c r="H830" s="241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spans="1:31" ht="13">
      <c r="A831" s="2"/>
      <c r="B831" s="2"/>
      <c r="C831" s="2"/>
      <c r="D831" s="2"/>
      <c r="E831" s="2"/>
      <c r="F831" s="2"/>
      <c r="G831" s="2"/>
      <c r="H831" s="241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spans="1:31" ht="13">
      <c r="A832" s="2"/>
      <c r="B832" s="2"/>
      <c r="C832" s="2"/>
      <c r="D832" s="2"/>
      <c r="E832" s="2"/>
      <c r="F832" s="2"/>
      <c r="G832" s="2"/>
      <c r="H832" s="241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spans="1:31" ht="13">
      <c r="A833" s="2"/>
      <c r="B833" s="2"/>
      <c r="C833" s="2"/>
      <c r="D833" s="2"/>
      <c r="E833" s="2"/>
      <c r="F833" s="2"/>
      <c r="G833" s="2"/>
      <c r="H833" s="241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spans="1:31" ht="13">
      <c r="A834" s="2"/>
      <c r="B834" s="2"/>
      <c r="C834" s="2"/>
      <c r="D834" s="2"/>
      <c r="E834" s="2"/>
      <c r="F834" s="2"/>
      <c r="G834" s="2"/>
      <c r="H834" s="241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spans="1:31" ht="13">
      <c r="A835" s="2"/>
      <c r="B835" s="2"/>
      <c r="C835" s="2"/>
      <c r="D835" s="2"/>
      <c r="E835" s="2"/>
      <c r="F835" s="2"/>
      <c r="G835" s="2"/>
      <c r="H835" s="241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spans="1:31" ht="13">
      <c r="A836" s="2"/>
      <c r="B836" s="2"/>
      <c r="C836" s="2"/>
      <c r="D836" s="2"/>
      <c r="E836" s="2"/>
      <c r="F836" s="2"/>
      <c r="G836" s="2"/>
      <c r="H836" s="241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spans="1:31" ht="13">
      <c r="A837" s="2"/>
      <c r="B837" s="2"/>
      <c r="C837" s="2"/>
      <c r="D837" s="2"/>
      <c r="E837" s="2"/>
      <c r="F837" s="2"/>
      <c r="G837" s="2"/>
      <c r="H837" s="241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spans="1:31" ht="13">
      <c r="A838" s="2"/>
      <c r="B838" s="2"/>
      <c r="C838" s="2"/>
      <c r="D838" s="2"/>
      <c r="E838" s="2"/>
      <c r="F838" s="2"/>
      <c r="G838" s="2"/>
      <c r="H838" s="241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spans="1:31" ht="13">
      <c r="A839" s="2"/>
      <c r="B839" s="2"/>
      <c r="C839" s="2"/>
      <c r="D839" s="2"/>
      <c r="E839" s="2"/>
      <c r="F839" s="2"/>
      <c r="G839" s="2"/>
      <c r="H839" s="241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spans="1:31" ht="13">
      <c r="A840" s="2"/>
      <c r="B840" s="2"/>
      <c r="C840" s="2"/>
      <c r="D840" s="2"/>
      <c r="E840" s="2"/>
      <c r="F840" s="2"/>
      <c r="G840" s="2"/>
      <c r="H840" s="241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spans="1:31" ht="13">
      <c r="A841" s="2"/>
      <c r="B841" s="2"/>
      <c r="C841" s="2"/>
      <c r="D841" s="2"/>
      <c r="E841" s="2"/>
      <c r="F841" s="2"/>
      <c r="G841" s="2"/>
      <c r="H841" s="241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spans="1:31" ht="13">
      <c r="A842" s="2"/>
      <c r="B842" s="2"/>
      <c r="C842" s="2"/>
      <c r="D842" s="2"/>
      <c r="E842" s="2"/>
      <c r="F842" s="2"/>
      <c r="G842" s="2"/>
      <c r="H842" s="241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spans="1:31" ht="13">
      <c r="A843" s="2"/>
      <c r="B843" s="2"/>
      <c r="C843" s="2"/>
      <c r="D843" s="2"/>
      <c r="E843" s="2"/>
      <c r="F843" s="2"/>
      <c r="G843" s="2"/>
      <c r="H843" s="241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spans="1:31" ht="13">
      <c r="A844" s="2"/>
      <c r="B844" s="2"/>
      <c r="C844" s="2"/>
      <c r="D844" s="2"/>
      <c r="E844" s="2"/>
      <c r="F844" s="2"/>
      <c r="G844" s="2"/>
      <c r="H844" s="241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spans="1:31" ht="13">
      <c r="A845" s="2"/>
      <c r="B845" s="2"/>
      <c r="C845" s="2"/>
      <c r="D845" s="2"/>
      <c r="E845" s="2"/>
      <c r="F845" s="2"/>
      <c r="G845" s="2"/>
      <c r="H845" s="241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spans="1:31" ht="13">
      <c r="A846" s="2"/>
      <c r="B846" s="2"/>
      <c r="C846" s="2"/>
      <c r="D846" s="2"/>
      <c r="E846" s="2"/>
      <c r="F846" s="2"/>
      <c r="G846" s="2"/>
      <c r="H846" s="241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spans="1:31" ht="13">
      <c r="A847" s="2"/>
      <c r="B847" s="2"/>
      <c r="C847" s="2"/>
      <c r="D847" s="2"/>
      <c r="E847" s="2"/>
      <c r="F847" s="2"/>
      <c r="G847" s="2"/>
      <c r="H847" s="241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spans="1:31" ht="13">
      <c r="A848" s="2"/>
      <c r="B848" s="2"/>
      <c r="C848" s="2"/>
      <c r="D848" s="2"/>
      <c r="E848" s="2"/>
      <c r="F848" s="2"/>
      <c r="G848" s="2"/>
      <c r="H848" s="241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spans="1:31" ht="13">
      <c r="A849" s="2"/>
      <c r="B849" s="2"/>
      <c r="C849" s="2"/>
      <c r="D849" s="2"/>
      <c r="E849" s="2"/>
      <c r="F849" s="2"/>
      <c r="G849" s="2"/>
      <c r="H849" s="241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spans="1:31" ht="13">
      <c r="A850" s="2"/>
      <c r="B850" s="2"/>
      <c r="C850" s="2"/>
      <c r="D850" s="2"/>
      <c r="E850" s="2"/>
      <c r="F850" s="2"/>
      <c r="G850" s="2"/>
      <c r="H850" s="241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spans="1:31" ht="13">
      <c r="A851" s="2"/>
      <c r="B851" s="2"/>
      <c r="C851" s="2"/>
      <c r="D851" s="2"/>
      <c r="E851" s="2"/>
      <c r="F851" s="2"/>
      <c r="G851" s="2"/>
      <c r="H851" s="241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spans="1:31" ht="13">
      <c r="A852" s="2"/>
      <c r="B852" s="2"/>
      <c r="C852" s="2"/>
      <c r="D852" s="2"/>
      <c r="E852" s="2"/>
      <c r="F852" s="2"/>
      <c r="G852" s="2"/>
      <c r="H852" s="241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spans="1:31" ht="13">
      <c r="A853" s="2"/>
      <c r="B853" s="2"/>
      <c r="C853" s="2"/>
      <c r="D853" s="2"/>
      <c r="E853" s="2"/>
      <c r="F853" s="2"/>
      <c r="G853" s="2"/>
      <c r="H853" s="241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spans="1:31" ht="13">
      <c r="A854" s="2"/>
      <c r="B854" s="2"/>
      <c r="C854" s="2"/>
      <c r="D854" s="2"/>
      <c r="E854" s="2"/>
      <c r="F854" s="2"/>
      <c r="G854" s="2"/>
      <c r="H854" s="241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spans="1:31" ht="13">
      <c r="A855" s="2"/>
      <c r="B855" s="2"/>
      <c r="C855" s="2"/>
      <c r="D855" s="2"/>
      <c r="E855" s="2"/>
      <c r="F855" s="2"/>
      <c r="G855" s="2"/>
      <c r="H855" s="241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spans="1:31" ht="13">
      <c r="A856" s="2"/>
      <c r="B856" s="2"/>
      <c r="C856" s="2"/>
      <c r="D856" s="2"/>
      <c r="E856" s="2"/>
      <c r="F856" s="2"/>
      <c r="G856" s="2"/>
      <c r="H856" s="241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spans="1:31" ht="13">
      <c r="A857" s="2"/>
      <c r="B857" s="2"/>
      <c r="C857" s="2"/>
      <c r="D857" s="2"/>
      <c r="E857" s="2"/>
      <c r="F857" s="2"/>
      <c r="G857" s="2"/>
      <c r="H857" s="241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spans="1:31" ht="13">
      <c r="A858" s="2"/>
      <c r="B858" s="2"/>
      <c r="C858" s="2"/>
      <c r="D858" s="2"/>
      <c r="E858" s="2"/>
      <c r="F858" s="2"/>
      <c r="G858" s="2"/>
      <c r="H858" s="241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spans="1:31" ht="13">
      <c r="A859" s="2"/>
      <c r="B859" s="2"/>
      <c r="C859" s="2"/>
      <c r="D859" s="2"/>
      <c r="E859" s="2"/>
      <c r="F859" s="2"/>
      <c r="G859" s="2"/>
      <c r="H859" s="241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spans="1:31" ht="13">
      <c r="A860" s="2"/>
      <c r="B860" s="2"/>
      <c r="C860" s="2"/>
      <c r="D860" s="2"/>
      <c r="E860" s="2"/>
      <c r="F860" s="2"/>
      <c r="G860" s="2"/>
      <c r="H860" s="241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spans="1:31" ht="13">
      <c r="A861" s="2"/>
      <c r="B861" s="2"/>
      <c r="C861" s="2"/>
      <c r="D861" s="2"/>
      <c r="E861" s="2"/>
      <c r="F861" s="2"/>
      <c r="G861" s="2"/>
      <c r="H861" s="241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spans="1:31" ht="13">
      <c r="A862" s="2"/>
      <c r="B862" s="2"/>
      <c r="C862" s="2"/>
      <c r="D862" s="2"/>
      <c r="E862" s="2"/>
      <c r="F862" s="2"/>
      <c r="G862" s="2"/>
      <c r="H862" s="241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spans="1:31" ht="13">
      <c r="A863" s="2"/>
      <c r="B863" s="2"/>
      <c r="C863" s="2"/>
      <c r="D863" s="2"/>
      <c r="E863" s="2"/>
      <c r="F863" s="2"/>
      <c r="G863" s="2"/>
      <c r="H863" s="241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spans="1:31" ht="13">
      <c r="A864" s="2"/>
      <c r="B864" s="2"/>
      <c r="C864" s="2"/>
      <c r="D864" s="2"/>
      <c r="E864" s="2"/>
      <c r="F864" s="2"/>
      <c r="G864" s="2"/>
      <c r="H864" s="241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spans="1:31" ht="13">
      <c r="A865" s="2"/>
      <c r="B865" s="2"/>
      <c r="C865" s="2"/>
      <c r="D865" s="2"/>
      <c r="E865" s="2"/>
      <c r="F865" s="2"/>
      <c r="G865" s="2"/>
      <c r="H865" s="241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spans="1:31" ht="13">
      <c r="A866" s="2"/>
      <c r="B866" s="2"/>
      <c r="C866" s="2"/>
      <c r="D866" s="2"/>
      <c r="E866" s="2"/>
      <c r="F866" s="2"/>
      <c r="G866" s="2"/>
      <c r="H866" s="241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spans="1:31" ht="13">
      <c r="A867" s="2"/>
      <c r="B867" s="2"/>
      <c r="C867" s="2"/>
      <c r="D867" s="2"/>
      <c r="E867" s="2"/>
      <c r="F867" s="2"/>
      <c r="G867" s="2"/>
      <c r="H867" s="241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spans="1:31" ht="13">
      <c r="A868" s="2"/>
      <c r="B868" s="2"/>
      <c r="C868" s="2"/>
      <c r="D868" s="2"/>
      <c r="E868" s="2"/>
      <c r="F868" s="2"/>
      <c r="G868" s="2"/>
      <c r="H868" s="241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spans="1:31" ht="13">
      <c r="A869" s="2"/>
      <c r="B869" s="2"/>
      <c r="C869" s="2"/>
      <c r="D869" s="2"/>
      <c r="E869" s="2"/>
      <c r="F869" s="2"/>
      <c r="G869" s="2"/>
      <c r="H869" s="241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spans="1:31" ht="13">
      <c r="A870" s="2"/>
      <c r="B870" s="2"/>
      <c r="C870" s="2"/>
      <c r="D870" s="2"/>
      <c r="E870" s="2"/>
      <c r="F870" s="2"/>
      <c r="G870" s="2"/>
      <c r="H870" s="241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spans="1:31" ht="13">
      <c r="A871" s="2"/>
      <c r="B871" s="2"/>
      <c r="C871" s="2"/>
      <c r="D871" s="2"/>
      <c r="E871" s="2"/>
      <c r="F871" s="2"/>
      <c r="G871" s="2"/>
      <c r="H871" s="241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spans="1:31" ht="13">
      <c r="A872" s="2"/>
      <c r="B872" s="2"/>
      <c r="C872" s="2"/>
      <c r="D872" s="2"/>
      <c r="E872" s="2"/>
      <c r="F872" s="2"/>
      <c r="G872" s="2"/>
      <c r="H872" s="241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spans="1:31" ht="13">
      <c r="A873" s="2"/>
      <c r="B873" s="2"/>
      <c r="C873" s="2"/>
      <c r="D873" s="2"/>
      <c r="E873" s="2"/>
      <c r="F873" s="2"/>
      <c r="G873" s="2"/>
      <c r="H873" s="241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spans="1:31" ht="13">
      <c r="A874" s="2"/>
      <c r="B874" s="2"/>
      <c r="C874" s="2"/>
      <c r="D874" s="2"/>
      <c r="E874" s="2"/>
      <c r="F874" s="2"/>
      <c r="G874" s="2"/>
      <c r="H874" s="241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spans="1:31" ht="13">
      <c r="A875" s="2"/>
      <c r="B875" s="2"/>
      <c r="C875" s="2"/>
      <c r="D875" s="2"/>
      <c r="E875" s="2"/>
      <c r="F875" s="2"/>
      <c r="G875" s="2"/>
      <c r="H875" s="241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spans="1:31" ht="13">
      <c r="A876" s="2"/>
      <c r="B876" s="2"/>
      <c r="C876" s="2"/>
      <c r="D876" s="2"/>
      <c r="E876" s="2"/>
      <c r="F876" s="2"/>
      <c r="G876" s="2"/>
      <c r="H876" s="241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spans="1:31" ht="13">
      <c r="A877" s="2"/>
      <c r="B877" s="2"/>
      <c r="C877" s="2"/>
      <c r="D877" s="2"/>
      <c r="E877" s="2"/>
      <c r="F877" s="2"/>
      <c r="G877" s="2"/>
      <c r="H877" s="241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spans="1:31" ht="13">
      <c r="A878" s="2"/>
      <c r="B878" s="2"/>
      <c r="C878" s="2"/>
      <c r="D878" s="2"/>
      <c r="E878" s="2"/>
      <c r="F878" s="2"/>
      <c r="G878" s="2"/>
      <c r="H878" s="241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spans="1:31" ht="13">
      <c r="A879" s="2"/>
      <c r="B879" s="2"/>
      <c r="C879" s="2"/>
      <c r="D879" s="2"/>
      <c r="E879" s="2"/>
      <c r="F879" s="2"/>
      <c r="G879" s="2"/>
      <c r="H879" s="241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spans="1:31" ht="13">
      <c r="A880" s="2"/>
      <c r="B880" s="2"/>
      <c r="C880" s="2"/>
      <c r="D880" s="2"/>
      <c r="E880" s="2"/>
      <c r="F880" s="2"/>
      <c r="G880" s="2"/>
      <c r="H880" s="241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spans="1:31" ht="13">
      <c r="A881" s="2"/>
      <c r="B881" s="2"/>
      <c r="C881" s="2"/>
      <c r="D881" s="2"/>
      <c r="E881" s="2"/>
      <c r="F881" s="2"/>
      <c r="G881" s="2"/>
      <c r="H881" s="241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spans="1:31" ht="13">
      <c r="A882" s="2"/>
      <c r="B882" s="2"/>
      <c r="C882" s="2"/>
      <c r="D882" s="2"/>
      <c r="E882" s="2"/>
      <c r="F882" s="2"/>
      <c r="G882" s="2"/>
      <c r="H882" s="241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spans="1:31" ht="13">
      <c r="A883" s="2"/>
      <c r="B883" s="2"/>
      <c r="C883" s="2"/>
      <c r="D883" s="2"/>
      <c r="E883" s="2"/>
      <c r="F883" s="2"/>
      <c r="G883" s="2"/>
      <c r="H883" s="241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spans="1:31" ht="13">
      <c r="A884" s="2"/>
      <c r="B884" s="2"/>
      <c r="C884" s="2"/>
      <c r="D884" s="2"/>
      <c r="E884" s="2"/>
      <c r="F884" s="2"/>
      <c r="G884" s="2"/>
      <c r="H884" s="241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spans="1:31" ht="13">
      <c r="A885" s="2"/>
      <c r="B885" s="2"/>
      <c r="C885" s="2"/>
      <c r="D885" s="2"/>
      <c r="E885" s="2"/>
      <c r="F885" s="2"/>
      <c r="G885" s="2"/>
      <c r="H885" s="241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spans="1:31" ht="13">
      <c r="A886" s="2"/>
      <c r="B886" s="2"/>
      <c r="C886" s="2"/>
      <c r="D886" s="2"/>
      <c r="E886" s="2"/>
      <c r="F886" s="2"/>
      <c r="G886" s="2"/>
      <c r="H886" s="241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spans="1:31" ht="13">
      <c r="A887" s="2"/>
      <c r="B887" s="2"/>
      <c r="C887" s="2"/>
      <c r="D887" s="2"/>
      <c r="E887" s="2"/>
      <c r="F887" s="2"/>
      <c r="G887" s="2"/>
      <c r="H887" s="241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spans="1:31" ht="13">
      <c r="A888" s="2"/>
      <c r="B888" s="2"/>
      <c r="C888" s="2"/>
      <c r="D888" s="2"/>
      <c r="E888" s="2"/>
      <c r="F888" s="2"/>
      <c r="G888" s="2"/>
      <c r="H888" s="241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spans="1:31" ht="13">
      <c r="A889" s="2"/>
      <c r="B889" s="2"/>
      <c r="C889" s="2"/>
      <c r="D889" s="2"/>
      <c r="E889" s="2"/>
      <c r="F889" s="2"/>
      <c r="G889" s="2"/>
      <c r="H889" s="241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spans="1:31" ht="13">
      <c r="A890" s="2"/>
      <c r="B890" s="2"/>
      <c r="C890" s="2"/>
      <c r="D890" s="2"/>
      <c r="E890" s="2"/>
      <c r="F890" s="2"/>
      <c r="G890" s="2"/>
      <c r="H890" s="241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spans="1:31" ht="13">
      <c r="A891" s="2"/>
      <c r="B891" s="2"/>
      <c r="C891" s="2"/>
      <c r="D891" s="2"/>
      <c r="E891" s="2"/>
      <c r="F891" s="2"/>
      <c r="G891" s="2"/>
      <c r="H891" s="241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spans="1:31" ht="13">
      <c r="A892" s="2"/>
      <c r="B892" s="2"/>
      <c r="C892" s="2"/>
      <c r="D892" s="2"/>
      <c r="E892" s="2"/>
      <c r="F892" s="2"/>
      <c r="G892" s="2"/>
      <c r="H892" s="241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spans="1:31" ht="13">
      <c r="A893" s="2"/>
      <c r="B893" s="2"/>
      <c r="C893" s="2"/>
      <c r="D893" s="2"/>
      <c r="E893" s="2"/>
      <c r="F893" s="2"/>
      <c r="G893" s="2"/>
      <c r="H893" s="241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spans="1:31" ht="13">
      <c r="A894" s="2"/>
      <c r="B894" s="2"/>
      <c r="C894" s="2"/>
      <c r="D894" s="2"/>
      <c r="E894" s="2"/>
      <c r="F894" s="2"/>
      <c r="G894" s="2"/>
      <c r="H894" s="241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spans="1:31" ht="13">
      <c r="A895" s="2"/>
      <c r="B895" s="2"/>
      <c r="C895" s="2"/>
      <c r="D895" s="2"/>
      <c r="E895" s="2"/>
      <c r="F895" s="2"/>
      <c r="G895" s="2"/>
      <c r="H895" s="241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spans="1:31" ht="13">
      <c r="A896" s="2"/>
      <c r="B896" s="2"/>
      <c r="C896" s="2"/>
      <c r="D896" s="2"/>
      <c r="E896" s="2"/>
      <c r="F896" s="2"/>
      <c r="G896" s="2"/>
      <c r="H896" s="241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spans="1:31" ht="13">
      <c r="A897" s="2"/>
      <c r="B897" s="2"/>
      <c r="C897" s="2"/>
      <c r="D897" s="2"/>
      <c r="E897" s="2"/>
      <c r="F897" s="2"/>
      <c r="G897" s="2"/>
      <c r="H897" s="241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spans="1:31" ht="13">
      <c r="A898" s="2"/>
      <c r="B898" s="2"/>
      <c r="C898" s="2"/>
      <c r="D898" s="2"/>
      <c r="E898" s="2"/>
      <c r="F898" s="2"/>
      <c r="G898" s="2"/>
      <c r="H898" s="241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spans="1:31" ht="13">
      <c r="A899" s="2"/>
      <c r="B899" s="2"/>
      <c r="C899" s="2"/>
      <c r="D899" s="2"/>
      <c r="E899" s="2"/>
      <c r="F899" s="2"/>
      <c r="G899" s="2"/>
      <c r="H899" s="241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spans="1:31" ht="13">
      <c r="A900" s="2"/>
      <c r="B900" s="2"/>
      <c r="C900" s="2"/>
      <c r="D900" s="2"/>
      <c r="E900" s="2"/>
      <c r="F900" s="2"/>
      <c r="G900" s="2"/>
      <c r="H900" s="241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spans="1:31" ht="13">
      <c r="A901" s="2"/>
      <c r="B901" s="2"/>
      <c r="C901" s="2"/>
      <c r="D901" s="2"/>
      <c r="E901" s="2"/>
      <c r="F901" s="2"/>
      <c r="G901" s="2"/>
      <c r="H901" s="241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spans="1:31" ht="13">
      <c r="A902" s="2"/>
      <c r="B902" s="2"/>
      <c r="C902" s="2"/>
      <c r="D902" s="2"/>
      <c r="E902" s="2"/>
      <c r="F902" s="2"/>
      <c r="G902" s="2"/>
      <c r="H902" s="241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spans="1:31" ht="13">
      <c r="A903" s="2"/>
      <c r="B903" s="2"/>
      <c r="C903" s="2"/>
      <c r="D903" s="2"/>
      <c r="E903" s="2"/>
      <c r="F903" s="2"/>
      <c r="G903" s="2"/>
      <c r="H903" s="241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spans="1:31" ht="13">
      <c r="A904" s="2"/>
      <c r="B904" s="2"/>
      <c r="C904" s="2"/>
      <c r="D904" s="2"/>
      <c r="E904" s="2"/>
      <c r="F904" s="2"/>
      <c r="G904" s="2"/>
      <c r="H904" s="241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spans="1:31" ht="13">
      <c r="A905" s="2"/>
      <c r="B905" s="2"/>
      <c r="C905" s="2"/>
      <c r="D905" s="2"/>
      <c r="E905" s="2"/>
      <c r="F905" s="2"/>
      <c r="G905" s="2"/>
      <c r="H905" s="241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spans="1:31" ht="13">
      <c r="A906" s="2"/>
      <c r="B906" s="2"/>
      <c r="C906" s="2"/>
      <c r="D906" s="2"/>
      <c r="E906" s="2"/>
      <c r="F906" s="2"/>
      <c r="G906" s="2"/>
      <c r="H906" s="241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spans="1:31" ht="13">
      <c r="A907" s="2"/>
      <c r="B907" s="2"/>
      <c r="C907" s="2"/>
      <c r="D907" s="2"/>
      <c r="E907" s="2"/>
      <c r="F907" s="2"/>
      <c r="G907" s="2"/>
      <c r="H907" s="241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spans="1:31" ht="13">
      <c r="A908" s="2"/>
      <c r="B908" s="2"/>
      <c r="C908" s="2"/>
      <c r="D908" s="2"/>
      <c r="E908" s="2"/>
      <c r="F908" s="2"/>
      <c r="G908" s="2"/>
      <c r="H908" s="241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spans="1:31" ht="13">
      <c r="A909" s="2"/>
      <c r="B909" s="2"/>
      <c r="C909" s="2"/>
      <c r="D909" s="2"/>
      <c r="E909" s="2"/>
      <c r="F909" s="2"/>
      <c r="G909" s="2"/>
      <c r="H909" s="241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spans="1:31" ht="13">
      <c r="A910" s="2"/>
      <c r="B910" s="2"/>
      <c r="C910" s="2"/>
      <c r="D910" s="2"/>
      <c r="E910" s="2"/>
      <c r="F910" s="2"/>
      <c r="G910" s="2"/>
      <c r="H910" s="241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spans="1:31" ht="13">
      <c r="A911" s="2"/>
      <c r="B911" s="2"/>
      <c r="C911" s="2"/>
      <c r="D911" s="2"/>
      <c r="E911" s="2"/>
      <c r="F911" s="2"/>
      <c r="G911" s="2"/>
      <c r="H911" s="241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spans="1:31" ht="13">
      <c r="A912" s="2"/>
      <c r="B912" s="2"/>
      <c r="C912" s="2"/>
      <c r="D912" s="2"/>
      <c r="E912" s="2"/>
      <c r="F912" s="2"/>
      <c r="G912" s="2"/>
      <c r="H912" s="241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spans="1:31" ht="13">
      <c r="A913" s="2"/>
      <c r="B913" s="2"/>
      <c r="C913" s="2"/>
      <c r="D913" s="2"/>
      <c r="E913" s="2"/>
      <c r="F913" s="2"/>
      <c r="G913" s="2"/>
      <c r="H913" s="241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spans="1:31" ht="13">
      <c r="A914" s="2"/>
      <c r="B914" s="2"/>
      <c r="C914" s="2"/>
      <c r="D914" s="2"/>
      <c r="E914" s="2"/>
      <c r="F914" s="2"/>
      <c r="G914" s="2"/>
      <c r="H914" s="241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spans="1:31" ht="13">
      <c r="A915" s="2"/>
      <c r="B915" s="2"/>
      <c r="C915" s="2"/>
      <c r="D915" s="2"/>
      <c r="E915" s="2"/>
      <c r="F915" s="2"/>
      <c r="G915" s="2"/>
      <c r="H915" s="241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spans="1:31" ht="13">
      <c r="A916" s="2"/>
      <c r="B916" s="2"/>
      <c r="C916" s="2"/>
      <c r="D916" s="2"/>
      <c r="E916" s="2"/>
      <c r="F916" s="2"/>
      <c r="G916" s="2"/>
      <c r="H916" s="241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spans="1:31" ht="13">
      <c r="A917" s="2"/>
      <c r="B917" s="2"/>
      <c r="C917" s="2"/>
      <c r="D917" s="2"/>
      <c r="E917" s="2"/>
      <c r="F917" s="2"/>
      <c r="G917" s="2"/>
      <c r="H917" s="241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spans="1:31" ht="13">
      <c r="A918" s="2"/>
      <c r="B918" s="2"/>
      <c r="C918" s="2"/>
      <c r="D918" s="2"/>
      <c r="E918" s="2"/>
      <c r="F918" s="2"/>
      <c r="G918" s="2"/>
      <c r="H918" s="241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spans="1:31" ht="13">
      <c r="A919" s="2"/>
      <c r="B919" s="2"/>
      <c r="C919" s="2"/>
      <c r="D919" s="2"/>
      <c r="E919" s="2"/>
      <c r="F919" s="2"/>
      <c r="G919" s="2"/>
      <c r="H919" s="241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spans="1:31" ht="13">
      <c r="A920" s="2"/>
      <c r="B920" s="2"/>
      <c r="C920" s="2"/>
      <c r="D920" s="2"/>
      <c r="E920" s="2"/>
      <c r="F920" s="2"/>
      <c r="G920" s="2"/>
      <c r="H920" s="241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spans="1:31" ht="13">
      <c r="A921" s="2"/>
      <c r="B921" s="2"/>
      <c r="C921" s="2"/>
      <c r="D921" s="2"/>
      <c r="E921" s="2"/>
      <c r="F921" s="2"/>
      <c r="G921" s="2"/>
      <c r="H921" s="241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spans="1:31" ht="13">
      <c r="A922" s="2"/>
      <c r="B922" s="2"/>
      <c r="C922" s="2"/>
      <c r="D922" s="2"/>
      <c r="E922" s="2"/>
      <c r="F922" s="2"/>
      <c r="G922" s="2"/>
      <c r="H922" s="241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spans="1:31" ht="13">
      <c r="A923" s="2"/>
      <c r="B923" s="2"/>
      <c r="C923" s="2"/>
      <c r="D923" s="2"/>
      <c r="E923" s="2"/>
      <c r="F923" s="2"/>
      <c r="G923" s="2"/>
      <c r="H923" s="241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spans="1:31" ht="13">
      <c r="A924" s="2"/>
      <c r="B924" s="2"/>
      <c r="C924" s="2"/>
      <c r="D924" s="2"/>
      <c r="E924" s="2"/>
      <c r="F924" s="2"/>
      <c r="G924" s="2"/>
      <c r="H924" s="241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spans="1:31" ht="13">
      <c r="A925" s="2"/>
      <c r="B925" s="2"/>
      <c r="C925" s="2"/>
      <c r="D925" s="2"/>
      <c r="E925" s="2"/>
      <c r="F925" s="2"/>
      <c r="G925" s="2"/>
      <c r="H925" s="241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spans="1:31" ht="13">
      <c r="A926" s="2"/>
      <c r="B926" s="2"/>
      <c r="C926" s="2"/>
      <c r="D926" s="2"/>
      <c r="E926" s="2"/>
      <c r="F926" s="2"/>
      <c r="G926" s="2"/>
      <c r="H926" s="241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spans="1:31" ht="13">
      <c r="A927" s="2"/>
      <c r="B927" s="2"/>
      <c r="C927" s="2"/>
      <c r="D927" s="2"/>
      <c r="E927" s="2"/>
      <c r="F927" s="2"/>
      <c r="G927" s="2"/>
      <c r="H927" s="241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spans="1:31" ht="13">
      <c r="A928" s="2"/>
      <c r="B928" s="2"/>
      <c r="C928" s="2"/>
      <c r="D928" s="2"/>
      <c r="E928" s="2"/>
      <c r="F928" s="2"/>
      <c r="G928" s="2"/>
      <c r="H928" s="241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spans="1:31" ht="13">
      <c r="A929" s="2"/>
      <c r="B929" s="2"/>
      <c r="C929" s="2"/>
      <c r="D929" s="2"/>
      <c r="E929" s="2"/>
      <c r="F929" s="2"/>
      <c r="G929" s="2"/>
      <c r="H929" s="241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spans="1:31" ht="13">
      <c r="A930" s="2"/>
      <c r="B930" s="2"/>
      <c r="C930" s="2"/>
      <c r="D930" s="2"/>
      <c r="E930" s="2"/>
      <c r="F930" s="2"/>
      <c r="G930" s="2"/>
      <c r="H930" s="241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spans="1:31" ht="13">
      <c r="A931" s="2"/>
      <c r="B931" s="2"/>
      <c r="C931" s="2"/>
      <c r="D931" s="2"/>
      <c r="E931" s="2"/>
      <c r="F931" s="2"/>
      <c r="G931" s="2"/>
      <c r="H931" s="241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spans="1:31" ht="13">
      <c r="A932" s="2"/>
      <c r="B932" s="2"/>
      <c r="C932" s="2"/>
      <c r="D932" s="2"/>
      <c r="E932" s="2"/>
      <c r="F932" s="2"/>
      <c r="G932" s="2"/>
      <c r="H932" s="241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spans="1:31" ht="13">
      <c r="A933" s="2"/>
      <c r="B933" s="2"/>
      <c r="C933" s="2"/>
      <c r="D933" s="2"/>
      <c r="E933" s="2"/>
      <c r="F933" s="2"/>
      <c r="G933" s="2"/>
      <c r="H933" s="241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spans="1:31" ht="13">
      <c r="A934" s="2"/>
      <c r="B934" s="2"/>
      <c r="C934" s="2"/>
      <c r="D934" s="2"/>
      <c r="E934" s="2"/>
      <c r="F934" s="2"/>
      <c r="G934" s="2"/>
      <c r="H934" s="241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spans="1:31" ht="13">
      <c r="A935" s="2"/>
      <c r="B935" s="2"/>
      <c r="C935" s="2"/>
      <c r="D935" s="2"/>
      <c r="E935" s="2"/>
      <c r="F935" s="2"/>
      <c r="G935" s="2"/>
      <c r="H935" s="241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spans="1:31" ht="13">
      <c r="A936" s="2"/>
      <c r="B936" s="2"/>
      <c r="C936" s="2"/>
      <c r="D936" s="2"/>
      <c r="E936" s="2"/>
      <c r="F936" s="2"/>
      <c r="G936" s="2"/>
      <c r="H936" s="241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spans="1:31" ht="13">
      <c r="A937" s="2"/>
      <c r="B937" s="2"/>
      <c r="C937" s="2"/>
      <c r="D937" s="2"/>
      <c r="E937" s="2"/>
      <c r="F937" s="2"/>
      <c r="G937" s="2"/>
      <c r="H937" s="241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spans="1:31" ht="13">
      <c r="A938" s="2"/>
      <c r="B938" s="2"/>
      <c r="C938" s="2"/>
      <c r="D938" s="2"/>
      <c r="E938" s="2"/>
      <c r="F938" s="2"/>
      <c r="G938" s="2"/>
      <c r="H938" s="241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spans="1:31" ht="13">
      <c r="A939" s="2"/>
      <c r="B939" s="2"/>
      <c r="C939" s="2"/>
      <c r="D939" s="2"/>
      <c r="E939" s="2"/>
      <c r="F939" s="2"/>
      <c r="G939" s="2"/>
      <c r="H939" s="241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spans="1:31" ht="13">
      <c r="A940" s="2"/>
      <c r="B940" s="2"/>
      <c r="C940" s="2"/>
      <c r="D940" s="2"/>
      <c r="E940" s="2"/>
      <c r="F940" s="2"/>
      <c r="G940" s="2"/>
      <c r="H940" s="241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spans="1:31" ht="13">
      <c r="A941" s="2"/>
      <c r="B941" s="2"/>
      <c r="C941" s="2"/>
      <c r="D941" s="2"/>
      <c r="E941" s="2"/>
      <c r="F941" s="2"/>
      <c r="G941" s="2"/>
      <c r="H941" s="241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spans="1:31" ht="13">
      <c r="A942" s="2"/>
      <c r="B942" s="2"/>
      <c r="C942" s="2"/>
      <c r="D942" s="2"/>
      <c r="E942" s="2"/>
      <c r="F942" s="2"/>
      <c r="G942" s="2"/>
      <c r="H942" s="241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spans="1:31" ht="13">
      <c r="A943" s="2"/>
      <c r="B943" s="2"/>
      <c r="C943" s="2"/>
      <c r="D943" s="2"/>
      <c r="E943" s="2"/>
      <c r="F943" s="2"/>
      <c r="G943" s="2"/>
      <c r="H943" s="241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spans="1:31" ht="13">
      <c r="A944" s="2"/>
      <c r="B944" s="2"/>
      <c r="C944" s="2"/>
      <c r="D944" s="2"/>
      <c r="E944" s="2"/>
      <c r="F944" s="2"/>
      <c r="G944" s="2"/>
      <c r="H944" s="241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spans="1:31" ht="13">
      <c r="A945" s="2"/>
      <c r="B945" s="2"/>
      <c r="C945" s="2"/>
      <c r="D945" s="2"/>
      <c r="E945" s="2"/>
      <c r="F945" s="2"/>
      <c r="G945" s="2"/>
      <c r="H945" s="241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spans="1:31" ht="13">
      <c r="A946" s="2"/>
      <c r="B946" s="2"/>
      <c r="C946" s="2"/>
      <c r="D946" s="2"/>
      <c r="E946" s="2"/>
      <c r="F946" s="2"/>
      <c r="G946" s="2"/>
      <c r="H946" s="241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spans="1:31" ht="13">
      <c r="A947" s="2"/>
      <c r="B947" s="2"/>
      <c r="C947" s="2"/>
      <c r="D947" s="2"/>
      <c r="E947" s="2"/>
      <c r="F947" s="2"/>
      <c r="G947" s="2"/>
      <c r="H947" s="241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spans="1:31" ht="13">
      <c r="A948" s="2"/>
      <c r="B948" s="2"/>
      <c r="C948" s="2"/>
      <c r="D948" s="2"/>
      <c r="E948" s="2"/>
      <c r="F948" s="2"/>
      <c r="G948" s="2"/>
      <c r="H948" s="241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spans="1:31" ht="13">
      <c r="A949" s="2"/>
      <c r="B949" s="2"/>
      <c r="C949" s="2"/>
      <c r="D949" s="2"/>
      <c r="E949" s="2"/>
      <c r="F949" s="2"/>
      <c r="G949" s="2"/>
      <c r="H949" s="241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spans="1:31" ht="13">
      <c r="A950" s="2"/>
      <c r="B950" s="2"/>
      <c r="C950" s="2"/>
      <c r="D950" s="2"/>
      <c r="E950" s="2"/>
      <c r="F950" s="2"/>
      <c r="G950" s="2"/>
      <c r="H950" s="241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spans="1:31" ht="13">
      <c r="A951" s="2"/>
      <c r="B951" s="2"/>
      <c r="C951" s="2"/>
      <c r="D951" s="2"/>
      <c r="E951" s="2"/>
      <c r="F951" s="2"/>
      <c r="G951" s="2"/>
      <c r="H951" s="241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spans="1:31" ht="13">
      <c r="A952" s="2"/>
      <c r="B952" s="2"/>
      <c r="C952" s="2"/>
      <c r="D952" s="2"/>
      <c r="E952" s="2"/>
      <c r="F952" s="2"/>
      <c r="G952" s="2"/>
      <c r="H952" s="241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spans="1:31" ht="13">
      <c r="A953" s="2"/>
      <c r="B953" s="2"/>
      <c r="C953" s="2"/>
      <c r="D953" s="2"/>
      <c r="E953" s="2"/>
      <c r="F953" s="2"/>
      <c r="G953" s="2"/>
      <c r="H953" s="241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spans="1:31" ht="13">
      <c r="A954" s="2"/>
      <c r="B954" s="2"/>
      <c r="C954" s="2"/>
      <c r="D954" s="2"/>
      <c r="E954" s="2"/>
      <c r="F954" s="2"/>
      <c r="G954" s="2"/>
      <c r="H954" s="241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spans="1:31" ht="13">
      <c r="A955" s="2"/>
      <c r="B955" s="2"/>
      <c r="C955" s="2"/>
      <c r="D955" s="2"/>
      <c r="E955" s="2"/>
      <c r="F955" s="2"/>
      <c r="G955" s="2"/>
      <c r="H955" s="241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spans="1:31" ht="13">
      <c r="A956" s="2"/>
      <c r="B956" s="2"/>
      <c r="C956" s="2"/>
      <c r="D956" s="2"/>
      <c r="E956" s="2"/>
      <c r="F956" s="2"/>
      <c r="G956" s="2"/>
      <c r="H956" s="241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spans="1:31" ht="13">
      <c r="A957" s="2"/>
      <c r="B957" s="2"/>
      <c r="C957" s="2"/>
      <c r="D957" s="2"/>
      <c r="E957" s="2"/>
      <c r="F957" s="2"/>
      <c r="G957" s="2"/>
      <c r="H957" s="241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spans="1:31" ht="13">
      <c r="A958" s="2"/>
      <c r="B958" s="2"/>
      <c r="C958" s="2"/>
      <c r="D958" s="2"/>
      <c r="E958" s="2"/>
      <c r="F958" s="2"/>
      <c r="G958" s="2"/>
      <c r="H958" s="241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spans="1:31" ht="13">
      <c r="A959" s="2"/>
      <c r="B959" s="2"/>
      <c r="C959" s="2"/>
      <c r="D959" s="2"/>
      <c r="E959" s="2"/>
      <c r="F959" s="2"/>
      <c r="G959" s="2"/>
      <c r="H959" s="241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spans="1:31" ht="13">
      <c r="A960" s="2"/>
      <c r="B960" s="2"/>
      <c r="C960" s="2"/>
      <c r="D960" s="2"/>
      <c r="E960" s="2"/>
      <c r="F960" s="2"/>
      <c r="G960" s="2"/>
      <c r="H960" s="241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spans="1:31" ht="13">
      <c r="A961" s="2"/>
      <c r="B961" s="2"/>
      <c r="C961" s="2"/>
      <c r="D961" s="2"/>
      <c r="E961" s="2"/>
      <c r="F961" s="2"/>
      <c r="G961" s="2"/>
      <c r="H961" s="241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spans="1:31" ht="13">
      <c r="A962" s="2"/>
      <c r="B962" s="2"/>
      <c r="C962" s="2"/>
      <c r="D962" s="2"/>
      <c r="E962" s="2"/>
      <c r="F962" s="2"/>
      <c r="G962" s="2"/>
      <c r="H962" s="241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spans="1:31" ht="13">
      <c r="A963" s="2"/>
      <c r="B963" s="2"/>
      <c r="C963" s="2"/>
      <c r="D963" s="2"/>
      <c r="E963" s="2"/>
      <c r="F963" s="2"/>
      <c r="G963" s="2"/>
      <c r="H963" s="241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spans="1:31" ht="13">
      <c r="A964" s="2"/>
      <c r="B964" s="2"/>
      <c r="C964" s="2"/>
      <c r="D964" s="2"/>
      <c r="E964" s="2"/>
      <c r="F964" s="2"/>
      <c r="G964" s="2"/>
      <c r="H964" s="241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spans="1:31" ht="13">
      <c r="A965" s="2"/>
      <c r="B965" s="2"/>
      <c r="C965" s="2"/>
      <c r="D965" s="2"/>
      <c r="E965" s="2"/>
      <c r="F965" s="2"/>
      <c r="G965" s="2"/>
      <c r="H965" s="241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spans="1:31" ht="13">
      <c r="A966" s="2"/>
      <c r="B966" s="2"/>
      <c r="C966" s="2"/>
      <c r="D966" s="2"/>
      <c r="E966" s="2"/>
      <c r="F966" s="2"/>
      <c r="G966" s="2"/>
      <c r="H966" s="241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spans="1:31" ht="13">
      <c r="A967" s="2"/>
      <c r="B967" s="2"/>
      <c r="C967" s="2"/>
      <c r="D967" s="2"/>
      <c r="E967" s="2"/>
      <c r="F967" s="2"/>
      <c r="G967" s="2"/>
      <c r="H967" s="241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spans="1:31" ht="13">
      <c r="A968" s="2"/>
      <c r="B968" s="2"/>
      <c r="C968" s="2"/>
      <c r="D968" s="2"/>
      <c r="E968" s="2"/>
      <c r="F968" s="2"/>
      <c r="G968" s="2"/>
      <c r="H968" s="241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spans="1:31" ht="13">
      <c r="A969" s="2"/>
      <c r="B969" s="2"/>
      <c r="C969" s="2"/>
      <c r="D969" s="2"/>
      <c r="E969" s="2"/>
      <c r="F969" s="2"/>
      <c r="G969" s="2"/>
      <c r="H969" s="241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spans="1:31" ht="13">
      <c r="A970" s="2"/>
      <c r="B970" s="2"/>
      <c r="C970" s="2"/>
      <c r="D970" s="2"/>
      <c r="E970" s="2"/>
      <c r="F970" s="2"/>
      <c r="G970" s="2"/>
      <c r="H970" s="241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spans="1:31" ht="13">
      <c r="A971" s="2"/>
      <c r="B971" s="2"/>
      <c r="C971" s="2"/>
      <c r="D971" s="2"/>
      <c r="E971" s="2"/>
      <c r="F971" s="2"/>
      <c r="G971" s="2"/>
      <c r="H971" s="241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spans="1:31" ht="13">
      <c r="A972" s="2"/>
      <c r="B972" s="2"/>
      <c r="C972" s="2"/>
      <c r="D972" s="2"/>
      <c r="E972" s="2"/>
      <c r="F972" s="2"/>
      <c r="G972" s="2"/>
      <c r="H972" s="241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spans="1:31" ht="13">
      <c r="A973" s="2"/>
      <c r="B973" s="2"/>
      <c r="C973" s="2"/>
      <c r="D973" s="2"/>
      <c r="E973" s="2"/>
      <c r="F973" s="2"/>
      <c r="G973" s="2"/>
      <c r="H973" s="241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spans="1:31" ht="13">
      <c r="A974" s="2"/>
      <c r="B974" s="2"/>
      <c r="C974" s="2"/>
      <c r="D974" s="2"/>
      <c r="E974" s="2"/>
      <c r="F974" s="2"/>
      <c r="G974" s="2"/>
      <c r="H974" s="241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spans="1:31" ht="13">
      <c r="A975" s="2"/>
      <c r="B975" s="2"/>
      <c r="C975" s="2"/>
      <c r="D975" s="2"/>
      <c r="E975" s="2"/>
      <c r="F975" s="2"/>
      <c r="G975" s="2"/>
      <c r="H975" s="241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spans="1:31" ht="13">
      <c r="A976" s="2"/>
      <c r="B976" s="2"/>
      <c r="C976" s="2"/>
      <c r="D976" s="2"/>
      <c r="E976" s="2"/>
      <c r="F976" s="2"/>
      <c r="G976" s="2"/>
      <c r="H976" s="241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spans="1:31" ht="13">
      <c r="A977" s="2"/>
      <c r="B977" s="2"/>
      <c r="C977" s="2"/>
      <c r="D977" s="2"/>
      <c r="E977" s="2"/>
      <c r="F977" s="2"/>
      <c r="G977" s="2"/>
      <c r="H977" s="241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spans="1:31" ht="13">
      <c r="A978" s="2"/>
      <c r="B978" s="2"/>
      <c r="C978" s="2"/>
      <c r="D978" s="2"/>
      <c r="E978" s="2"/>
      <c r="F978" s="2"/>
      <c r="G978" s="2"/>
      <c r="H978" s="241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spans="1:31" ht="13">
      <c r="A979" s="2"/>
      <c r="B979" s="2"/>
      <c r="C979" s="2"/>
      <c r="D979" s="2"/>
      <c r="E979" s="2"/>
      <c r="F979" s="2"/>
      <c r="G979" s="2"/>
      <c r="H979" s="241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spans="1:31" ht="13">
      <c r="A980" s="2"/>
      <c r="B980" s="2"/>
      <c r="C980" s="2"/>
      <c r="D980" s="2"/>
      <c r="E980" s="2"/>
      <c r="F980" s="2"/>
      <c r="G980" s="2"/>
      <c r="H980" s="241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spans="1:31" ht="13">
      <c r="A981" s="2"/>
      <c r="B981" s="2"/>
      <c r="C981" s="2"/>
      <c r="D981" s="2"/>
      <c r="E981" s="2"/>
      <c r="F981" s="2"/>
      <c r="G981" s="2"/>
      <c r="H981" s="241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spans="1:31" ht="13">
      <c r="A982" s="2"/>
      <c r="B982" s="2"/>
      <c r="C982" s="2"/>
      <c r="D982" s="2"/>
      <c r="E982" s="2"/>
      <c r="F982" s="2"/>
      <c r="G982" s="2"/>
      <c r="H982" s="241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spans="1:31" ht="13">
      <c r="A983" s="2"/>
      <c r="B983" s="2"/>
      <c r="C983" s="2"/>
      <c r="D983" s="2"/>
      <c r="E983" s="2"/>
      <c r="F983" s="2"/>
      <c r="G983" s="2"/>
      <c r="H983" s="241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spans="1:31" ht="13">
      <c r="A984" s="2"/>
      <c r="B984" s="2"/>
      <c r="C984" s="2"/>
      <c r="D984" s="2"/>
      <c r="E984" s="2"/>
      <c r="F984" s="2"/>
      <c r="G984" s="2"/>
      <c r="H984" s="241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spans="1:31" ht="13">
      <c r="A985" s="2"/>
      <c r="B985" s="2"/>
      <c r="C985" s="2"/>
      <c r="D985" s="2"/>
      <c r="E985" s="2"/>
      <c r="F985" s="2"/>
      <c r="G985" s="2"/>
      <c r="H985" s="241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spans="1:31" ht="13">
      <c r="A986" s="2"/>
      <c r="B986" s="2"/>
      <c r="C986" s="2"/>
      <c r="D986" s="2"/>
      <c r="E986" s="2"/>
      <c r="F986" s="2"/>
      <c r="G986" s="2"/>
      <c r="H986" s="241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spans="1:31" ht="13">
      <c r="A987" s="2"/>
      <c r="B987" s="2"/>
      <c r="C987" s="2"/>
      <c r="D987" s="2"/>
      <c r="E987" s="2"/>
      <c r="F987" s="2"/>
      <c r="G987" s="2"/>
      <c r="H987" s="241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spans="1:31" ht="13">
      <c r="A988" s="2"/>
      <c r="B988" s="2"/>
      <c r="C988" s="2"/>
      <c r="D988" s="2"/>
      <c r="E988" s="2"/>
      <c r="F988" s="2"/>
      <c r="G988" s="2"/>
      <c r="H988" s="241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spans="1:31" ht="13">
      <c r="A989" s="2"/>
      <c r="B989" s="2"/>
      <c r="C989" s="2"/>
      <c r="D989" s="2"/>
      <c r="E989" s="2"/>
      <c r="F989" s="2"/>
      <c r="G989" s="2"/>
      <c r="H989" s="241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spans="1:31" ht="13">
      <c r="A990" s="2"/>
      <c r="B990" s="2"/>
      <c r="C990" s="2"/>
      <c r="D990" s="2"/>
      <c r="E990" s="2"/>
      <c r="F990" s="2"/>
      <c r="G990" s="2"/>
      <c r="H990" s="241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spans="1:31" ht="13">
      <c r="A991" s="2"/>
      <c r="B991" s="2"/>
      <c r="C991" s="2"/>
      <c r="D991" s="2"/>
      <c r="E991" s="2"/>
      <c r="F991" s="2"/>
      <c r="G991" s="2"/>
      <c r="H991" s="241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spans="1:31" ht="13">
      <c r="A992" s="2"/>
      <c r="B992" s="2"/>
      <c r="C992" s="2"/>
      <c r="D992" s="2"/>
      <c r="E992" s="2"/>
      <c r="F992" s="2"/>
      <c r="G992" s="2"/>
      <c r="H992" s="241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spans="1:31" ht="13">
      <c r="A993" s="2"/>
      <c r="B993" s="2"/>
      <c r="C993" s="2"/>
      <c r="D993" s="2"/>
      <c r="E993" s="2"/>
      <c r="F993" s="2"/>
      <c r="G993" s="2"/>
      <c r="H993" s="241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spans="1:31" ht="13">
      <c r="A994" s="2"/>
      <c r="B994" s="2"/>
      <c r="C994" s="2"/>
      <c r="D994" s="2"/>
      <c r="E994" s="2"/>
      <c r="F994" s="2"/>
      <c r="G994" s="2"/>
      <c r="H994" s="241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spans="1:31" ht="13">
      <c r="A995" s="2"/>
      <c r="B995" s="2"/>
      <c r="C995" s="2"/>
      <c r="D995" s="2"/>
      <c r="E995" s="2"/>
      <c r="F995" s="2"/>
      <c r="G995" s="2"/>
      <c r="H995" s="241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spans="1:31" ht="13">
      <c r="A996" s="2"/>
      <c r="B996" s="2"/>
      <c r="C996" s="2"/>
      <c r="D996" s="2"/>
      <c r="E996" s="2"/>
      <c r="F996" s="2"/>
      <c r="G996" s="2"/>
      <c r="H996" s="241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spans="1:31" ht="13">
      <c r="A997" s="2"/>
      <c r="B997" s="2"/>
      <c r="C997" s="2"/>
      <c r="D997" s="2"/>
      <c r="E997" s="2"/>
      <c r="F997" s="2"/>
      <c r="G997" s="2"/>
      <c r="H997" s="241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spans="1:31" ht="13">
      <c r="A998" s="2"/>
      <c r="B998" s="2"/>
      <c r="C998" s="2"/>
      <c r="D998" s="2"/>
      <c r="E998" s="2"/>
      <c r="F998" s="2"/>
      <c r="G998" s="2"/>
      <c r="H998" s="241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spans="1:31" ht="13">
      <c r="A999" s="2"/>
      <c r="B999" s="2"/>
      <c r="C999" s="2"/>
      <c r="D999" s="2"/>
      <c r="E999" s="2"/>
      <c r="F999" s="2"/>
      <c r="G999" s="2"/>
      <c r="H999" s="241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spans="1:31" ht="13">
      <c r="A1000" s="2"/>
      <c r="B1000" s="2"/>
      <c r="C1000" s="2"/>
      <c r="D1000" s="2"/>
      <c r="E1000" s="2"/>
      <c r="F1000" s="2"/>
      <c r="G1000" s="2"/>
      <c r="H1000" s="241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  <row r="1001" spans="1:31" ht="13">
      <c r="A1001" s="2"/>
      <c r="B1001" s="2"/>
      <c r="C1001" s="2"/>
      <c r="D1001" s="2"/>
      <c r="E1001" s="2"/>
      <c r="F1001" s="2"/>
      <c r="G1001" s="2"/>
      <c r="H1001" s="241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</row>
    <row r="1002" spans="1:31" ht="13">
      <c r="A1002" s="2"/>
      <c r="B1002" s="2"/>
      <c r="C1002" s="2"/>
      <c r="D1002" s="2"/>
      <c r="E1002" s="2"/>
      <c r="F1002" s="2"/>
      <c r="G1002" s="2"/>
      <c r="H1002" s="241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</row>
    <row r="1003" spans="1:31" ht="13">
      <c r="A1003" s="2"/>
      <c r="B1003" s="2"/>
      <c r="C1003" s="2"/>
      <c r="D1003" s="2"/>
      <c r="E1003" s="2"/>
      <c r="F1003" s="2"/>
      <c r="G1003" s="2"/>
      <c r="H1003" s="241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</row>
    <row r="1004" spans="1:31" ht="13">
      <c r="A1004" s="2"/>
      <c r="B1004" s="2"/>
      <c r="C1004" s="2"/>
      <c r="D1004" s="2"/>
      <c r="E1004" s="2"/>
      <c r="F1004" s="2"/>
      <c r="G1004" s="2"/>
      <c r="H1004" s="241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</row>
    <row r="1005" spans="1:31" ht="13">
      <c r="A1005" s="2"/>
      <c r="B1005" s="2"/>
      <c r="C1005" s="2"/>
      <c r="D1005" s="2"/>
      <c r="E1005" s="2"/>
      <c r="F1005" s="2"/>
      <c r="G1005" s="2"/>
      <c r="H1005" s="241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</row>
    <row r="1006" spans="1:31" ht="13">
      <c r="A1006" s="2"/>
      <c r="B1006" s="2"/>
      <c r="C1006" s="2"/>
      <c r="D1006" s="2"/>
      <c r="E1006" s="2"/>
      <c r="F1006" s="2"/>
      <c r="G1006" s="2"/>
      <c r="H1006" s="241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</row>
    <row r="1007" spans="1:31" ht="13">
      <c r="A1007" s="2"/>
      <c r="B1007" s="2"/>
      <c r="C1007" s="2"/>
      <c r="D1007" s="2"/>
      <c r="E1007" s="2"/>
      <c r="F1007" s="2"/>
      <c r="G1007" s="2"/>
      <c r="H1007" s="241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</row>
    <row r="1008" spans="1:31" ht="13">
      <c r="A1008" s="2"/>
      <c r="B1008" s="2"/>
      <c r="C1008" s="2"/>
      <c r="D1008" s="2"/>
      <c r="E1008" s="2"/>
      <c r="F1008" s="2"/>
      <c r="G1008" s="2"/>
      <c r="H1008" s="241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</row>
    <row r="1009" spans="1:31" ht="13">
      <c r="A1009" s="2"/>
      <c r="B1009" s="2"/>
      <c r="C1009" s="2"/>
      <c r="D1009" s="2"/>
      <c r="E1009" s="2"/>
      <c r="F1009" s="2"/>
      <c r="G1009" s="2"/>
      <c r="H1009" s="241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</row>
    <row r="1010" spans="1:31" ht="13">
      <c r="A1010" s="2"/>
      <c r="B1010" s="2"/>
      <c r="C1010" s="2"/>
      <c r="D1010" s="2"/>
      <c r="E1010" s="2"/>
      <c r="F1010" s="2"/>
      <c r="G1010" s="2"/>
      <c r="H1010" s="241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</row>
    <row r="1011" spans="1:31" ht="13">
      <c r="A1011" s="2"/>
      <c r="B1011" s="2"/>
      <c r="C1011" s="2"/>
      <c r="D1011" s="2"/>
      <c r="E1011" s="2"/>
      <c r="F1011" s="2"/>
      <c r="G1011" s="2"/>
      <c r="H1011" s="241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</row>
    <row r="1012" spans="1:31" ht="13">
      <c r="A1012" s="2"/>
      <c r="B1012" s="2"/>
      <c r="C1012" s="2"/>
      <c r="D1012" s="2"/>
      <c r="E1012" s="2"/>
      <c r="F1012" s="2"/>
      <c r="G1012" s="2"/>
      <c r="H1012" s="241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</row>
  </sheetData>
  <mergeCells count="6">
    <mergeCell ref="N1:P1"/>
    <mergeCell ref="N4:O4"/>
    <mergeCell ref="D42:D43"/>
    <mergeCell ref="E42:E43"/>
    <mergeCell ref="F42:F43"/>
    <mergeCell ref="K42:K43"/>
  </mergeCells>
  <phoneticPr fontId="179" type="noConversion"/>
  <hyperlinks>
    <hyperlink ref="D4" r:id="rId1" location="gid=633161824" display="https://docs.google.com/spreadsheets/d/1YFtAk0BEbJZuR6BLzVMbhoSIOK-P2t1I6cLaoT8akQ8/edit?gid=633161824 - gid=633161824" xr:uid="{00000000-0004-0000-0700-000000000000}"/>
    <hyperlink ref="B5" location="null!A1" display="HX-PR-14513" xr:uid="{00000000-0004-0000-0700-000001000000}"/>
    <hyperlink ref="B6" location="null!A1" display="HX-PR-13842" xr:uid="{00000000-0004-0000-0700-000002000000}"/>
    <hyperlink ref="B9" location="null!A1" display="HX-PR-14709" xr:uid="{00000000-0004-0000-0700-000003000000}"/>
    <hyperlink ref="B10" location="null!A1" display="HX-PR-13284" xr:uid="{00000000-0004-0000-0700-000004000000}"/>
    <hyperlink ref="B11" location="null!A1" display="HX-PR-13843" xr:uid="{00000000-0004-0000-0700-000005000000}"/>
    <hyperlink ref="B12" location="null!A1" display="HX-PR-14281" xr:uid="{00000000-0004-0000-0700-000006000000}"/>
    <hyperlink ref="B13" location="null!A1" display="HX-PR-14766" xr:uid="{00000000-0004-0000-0700-000007000000}"/>
    <hyperlink ref="B15" location="null!A1" display="HX-PR-15211" xr:uid="{00000000-0004-0000-0700-000008000000}"/>
    <hyperlink ref="B16" location="null!A1" display="HX-PR-15111" xr:uid="{00000000-0004-0000-0700-000009000000}"/>
    <hyperlink ref="B17" location="null!A1" display="HX-PR-15225" xr:uid="{00000000-0004-0000-0700-00000A000000}"/>
    <hyperlink ref="B37" location="null!A1" display="HX-PR-15272" xr:uid="{00000000-0004-0000-0700-00000B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9900"/>
    <outlinePr summaryBelow="0" summaryRight="0"/>
  </sheetPr>
  <dimension ref="A1:Z6773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" defaultRowHeight="15.75" customHeight="1"/>
  <cols>
    <col min="1" max="1" width="10.5" customWidth="1"/>
    <col min="2" max="2" width="54.5" customWidth="1"/>
    <col min="4" max="5" width="8.5" customWidth="1"/>
  </cols>
  <sheetData>
    <row r="1" spans="1:26" ht="24.75" customHeight="1">
      <c r="A1" s="1157" t="s">
        <v>1049</v>
      </c>
      <c r="B1" s="1106"/>
      <c r="C1" s="556"/>
      <c r="D1" s="556"/>
      <c r="E1" s="556"/>
      <c r="F1" s="557"/>
      <c r="G1" s="556"/>
      <c r="H1" s="556"/>
      <c r="I1" s="556"/>
      <c r="J1" s="556"/>
      <c r="K1" s="556"/>
      <c r="L1" s="556"/>
      <c r="M1" s="556"/>
      <c r="N1" s="556"/>
      <c r="O1" s="556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spans="1:26" ht="13">
      <c r="A2" s="558" t="s">
        <v>356</v>
      </c>
      <c r="B2" s="559" t="s">
        <v>1050</v>
      </c>
      <c r="C2" s="560" t="s">
        <v>1051</v>
      </c>
      <c r="D2" s="561" t="s">
        <v>1052</v>
      </c>
      <c r="E2" s="561" t="s">
        <v>1053</v>
      </c>
      <c r="F2" s="560" t="s">
        <v>1054</v>
      </c>
      <c r="G2" s="560" t="s">
        <v>1055</v>
      </c>
      <c r="H2" s="560" t="s">
        <v>1056</v>
      </c>
      <c r="I2" s="560" t="s">
        <v>1057</v>
      </c>
      <c r="J2" s="560" t="s">
        <v>1058</v>
      </c>
      <c r="K2" s="560" t="s">
        <v>1059</v>
      </c>
      <c r="L2" s="560" t="s">
        <v>1060</v>
      </c>
      <c r="M2" s="560" t="s">
        <v>1061</v>
      </c>
      <c r="N2" s="560" t="s">
        <v>1062</v>
      </c>
      <c r="O2" s="560" t="s">
        <v>1063</v>
      </c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spans="1:26" ht="13">
      <c r="A3" s="562" t="s">
        <v>1064</v>
      </c>
      <c r="B3" s="563" t="s">
        <v>1065</v>
      </c>
      <c r="C3" s="564" t="s">
        <v>1066</v>
      </c>
      <c r="D3" s="565">
        <v>39173</v>
      </c>
      <c r="E3" s="565">
        <v>39173</v>
      </c>
      <c r="F3" s="566">
        <v>991740000</v>
      </c>
      <c r="G3" s="564" t="s">
        <v>1067</v>
      </c>
      <c r="H3" s="564"/>
      <c r="I3" s="564" t="s">
        <v>1068</v>
      </c>
      <c r="J3" s="564" t="s">
        <v>1069</v>
      </c>
      <c r="K3" s="564" t="s">
        <v>1070</v>
      </c>
      <c r="L3" s="564" t="s">
        <v>1071</v>
      </c>
      <c r="M3" s="564" t="s">
        <v>1072</v>
      </c>
      <c r="N3" s="564" t="s">
        <v>1073</v>
      </c>
      <c r="O3" s="564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3">
      <c r="A4" s="562" t="s">
        <v>1074</v>
      </c>
      <c r="B4" s="563" t="s">
        <v>1075</v>
      </c>
      <c r="C4" s="564" t="s">
        <v>1076</v>
      </c>
      <c r="D4" s="565">
        <v>45536</v>
      </c>
      <c r="E4" s="565">
        <v>45747</v>
      </c>
      <c r="F4" s="566">
        <v>25519600</v>
      </c>
      <c r="G4" s="564" t="s">
        <v>1029</v>
      </c>
      <c r="H4" s="564" t="s">
        <v>1077</v>
      </c>
      <c r="I4" s="564" t="s">
        <v>1078</v>
      </c>
      <c r="J4" s="564" t="s">
        <v>1079</v>
      </c>
      <c r="K4" s="564" t="s">
        <v>1070</v>
      </c>
      <c r="L4" s="564" t="s">
        <v>1080</v>
      </c>
      <c r="M4" s="564" t="s">
        <v>1081</v>
      </c>
      <c r="N4" s="564" t="s">
        <v>1082</v>
      </c>
      <c r="O4" s="564" t="s">
        <v>1081</v>
      </c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</row>
    <row r="5" spans="1:26" ht="13">
      <c r="A5" s="562" t="s">
        <v>1083</v>
      </c>
      <c r="B5" s="563" t="s">
        <v>1084</v>
      </c>
      <c r="C5" s="564" t="s">
        <v>1076</v>
      </c>
      <c r="D5" s="565">
        <v>45536</v>
      </c>
      <c r="E5" s="565">
        <v>45747</v>
      </c>
      <c r="F5" s="566">
        <v>102078400</v>
      </c>
      <c r="G5" s="564" t="s">
        <v>1085</v>
      </c>
      <c r="H5" s="564" t="s">
        <v>1077</v>
      </c>
      <c r="I5" s="564" t="s">
        <v>1078</v>
      </c>
      <c r="J5" s="564" t="s">
        <v>1079</v>
      </c>
      <c r="K5" s="564" t="s">
        <v>1070</v>
      </c>
      <c r="L5" s="564" t="s">
        <v>1080</v>
      </c>
      <c r="M5" s="564" t="s">
        <v>1081</v>
      </c>
      <c r="N5" s="564" t="s">
        <v>1082</v>
      </c>
      <c r="O5" s="564" t="s">
        <v>1081</v>
      </c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spans="1:26" ht="13">
      <c r="A6" s="562" t="s">
        <v>1086</v>
      </c>
      <c r="B6" s="563" t="s">
        <v>1087</v>
      </c>
      <c r="C6" s="564" t="s">
        <v>1088</v>
      </c>
      <c r="D6" s="565">
        <v>45566</v>
      </c>
      <c r="E6" s="565">
        <v>46660</v>
      </c>
      <c r="F6" s="566">
        <v>13639000000</v>
      </c>
      <c r="G6" s="564" t="s">
        <v>1089</v>
      </c>
      <c r="H6" s="564" t="s">
        <v>297</v>
      </c>
      <c r="I6" s="564" t="s">
        <v>45</v>
      </c>
      <c r="J6" s="564" t="s">
        <v>1079</v>
      </c>
      <c r="K6" s="564" t="s">
        <v>1090</v>
      </c>
      <c r="L6" s="564" t="s">
        <v>1071</v>
      </c>
      <c r="M6" s="564" t="s">
        <v>1091</v>
      </c>
      <c r="N6" s="564" t="s">
        <v>45</v>
      </c>
      <c r="O6" s="564" t="s">
        <v>1092</v>
      </c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 spans="1:26" ht="13">
      <c r="A7" s="562" t="s">
        <v>1093</v>
      </c>
      <c r="B7" s="563" t="s">
        <v>1094</v>
      </c>
      <c r="C7" s="564" t="s">
        <v>1088</v>
      </c>
      <c r="D7" s="565">
        <v>45566</v>
      </c>
      <c r="E7" s="565">
        <v>46660</v>
      </c>
      <c r="F7" s="566">
        <v>994165884</v>
      </c>
      <c r="G7" s="564" t="s">
        <v>1036</v>
      </c>
      <c r="H7" s="564" t="s">
        <v>803</v>
      </c>
      <c r="I7" s="564" t="s">
        <v>125</v>
      </c>
      <c r="J7" s="564" t="s">
        <v>1079</v>
      </c>
      <c r="K7" s="564" t="s">
        <v>1070</v>
      </c>
      <c r="L7" s="564" t="s">
        <v>1080</v>
      </c>
      <c r="M7" s="564" t="s">
        <v>1081</v>
      </c>
      <c r="N7" s="564" t="s">
        <v>1073</v>
      </c>
      <c r="O7" s="564" t="s">
        <v>1081</v>
      </c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</row>
    <row r="8" spans="1:26" ht="13">
      <c r="A8" s="562" t="s">
        <v>1095</v>
      </c>
      <c r="B8" s="563" t="s">
        <v>1096</v>
      </c>
      <c r="C8" s="564" t="s">
        <v>1088</v>
      </c>
      <c r="D8" s="565">
        <v>45566</v>
      </c>
      <c r="E8" s="565">
        <v>46660</v>
      </c>
      <c r="F8" s="566">
        <v>45788036</v>
      </c>
      <c r="G8" s="564" t="s">
        <v>1097</v>
      </c>
      <c r="H8" s="564" t="s">
        <v>803</v>
      </c>
      <c r="I8" s="564" t="s">
        <v>125</v>
      </c>
      <c r="J8" s="564" t="s">
        <v>1079</v>
      </c>
      <c r="K8" s="564" t="s">
        <v>1070</v>
      </c>
      <c r="L8" s="564" t="s">
        <v>1080</v>
      </c>
      <c r="M8" s="564" t="s">
        <v>1081</v>
      </c>
      <c r="N8" s="564" t="s">
        <v>1073</v>
      </c>
      <c r="O8" s="564" t="s">
        <v>1081</v>
      </c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 spans="1:26" ht="13">
      <c r="A9" s="562" t="s">
        <v>1098</v>
      </c>
      <c r="B9" s="563" t="s">
        <v>1099</v>
      </c>
      <c r="C9" s="564" t="s">
        <v>1076</v>
      </c>
      <c r="D9" s="565">
        <v>45566</v>
      </c>
      <c r="E9" s="565">
        <v>46660</v>
      </c>
      <c r="F9" s="566">
        <v>55598080</v>
      </c>
      <c r="G9" s="564" t="s">
        <v>1100</v>
      </c>
      <c r="H9" s="564" t="s">
        <v>803</v>
      </c>
      <c r="I9" s="564" t="s">
        <v>125</v>
      </c>
      <c r="J9" s="564" t="s">
        <v>1079</v>
      </c>
      <c r="K9" s="564" t="s">
        <v>1070</v>
      </c>
      <c r="L9" s="564" t="s">
        <v>1080</v>
      </c>
      <c r="M9" s="564" t="s">
        <v>1081</v>
      </c>
      <c r="N9" s="564" t="s">
        <v>1073</v>
      </c>
      <c r="O9" s="564" t="s">
        <v>1081</v>
      </c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</row>
    <row r="10" spans="1:26" ht="13">
      <c r="A10" s="562" t="s">
        <v>1101</v>
      </c>
      <c r="B10" s="563" t="s">
        <v>1102</v>
      </c>
      <c r="C10" s="564" t="s">
        <v>1103</v>
      </c>
      <c r="D10" s="565">
        <v>45481</v>
      </c>
      <c r="E10" s="565">
        <v>47641</v>
      </c>
      <c r="F10" s="566">
        <v>149610000</v>
      </c>
      <c r="G10" s="564" t="s">
        <v>1104</v>
      </c>
      <c r="H10" s="564" t="s">
        <v>1077</v>
      </c>
      <c r="I10" s="564" t="s">
        <v>170</v>
      </c>
      <c r="J10" s="564" t="s">
        <v>1079</v>
      </c>
      <c r="K10" s="564" t="s">
        <v>1105</v>
      </c>
      <c r="L10" s="564" t="s">
        <v>1080</v>
      </c>
      <c r="M10" s="564" t="s">
        <v>1081</v>
      </c>
      <c r="N10" s="564" t="s">
        <v>170</v>
      </c>
      <c r="O10" s="564" t="s">
        <v>1081</v>
      </c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1" spans="1:26" ht="13">
      <c r="A11" s="562" t="s">
        <v>1106</v>
      </c>
      <c r="B11" s="563" t="s">
        <v>1107</v>
      </c>
      <c r="C11" s="564" t="s">
        <v>1088</v>
      </c>
      <c r="D11" s="565">
        <v>45481</v>
      </c>
      <c r="E11" s="565">
        <v>47641</v>
      </c>
      <c r="F11" s="566">
        <v>144646060</v>
      </c>
      <c r="G11" s="564" t="s">
        <v>1108</v>
      </c>
      <c r="H11" s="564" t="s">
        <v>1077</v>
      </c>
      <c r="I11" s="564" t="s">
        <v>170</v>
      </c>
      <c r="J11" s="564" t="s">
        <v>1079</v>
      </c>
      <c r="K11" s="564" t="s">
        <v>1105</v>
      </c>
      <c r="L11" s="564" t="s">
        <v>1080</v>
      </c>
      <c r="M11" s="564" t="s">
        <v>1081</v>
      </c>
      <c r="N11" s="564" t="s">
        <v>170</v>
      </c>
      <c r="O11" s="564" t="s">
        <v>1081</v>
      </c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</row>
    <row r="12" spans="1:26" ht="13">
      <c r="A12" s="562" t="s">
        <v>1109</v>
      </c>
      <c r="B12" s="563" t="s">
        <v>1110</v>
      </c>
      <c r="C12" s="564" t="s">
        <v>1076</v>
      </c>
      <c r="D12" s="565">
        <v>45481</v>
      </c>
      <c r="E12" s="565">
        <v>47641</v>
      </c>
      <c r="F12" s="566">
        <v>578584239</v>
      </c>
      <c r="G12" s="564" t="s">
        <v>1111</v>
      </c>
      <c r="H12" s="564" t="s">
        <v>1077</v>
      </c>
      <c r="I12" s="564" t="s">
        <v>170</v>
      </c>
      <c r="J12" s="564" t="s">
        <v>1079</v>
      </c>
      <c r="K12" s="564" t="s">
        <v>1105</v>
      </c>
      <c r="L12" s="564" t="s">
        <v>1080</v>
      </c>
      <c r="M12" s="564" t="s">
        <v>1081</v>
      </c>
      <c r="N12" s="564" t="s">
        <v>170</v>
      </c>
      <c r="O12" s="564" t="s">
        <v>1081</v>
      </c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 spans="1:26" ht="13">
      <c r="A13" s="562" t="s">
        <v>1112</v>
      </c>
      <c r="B13" s="563" t="s">
        <v>1113</v>
      </c>
      <c r="C13" s="564" t="s">
        <v>1114</v>
      </c>
      <c r="D13" s="565">
        <v>45413</v>
      </c>
      <c r="E13" s="565">
        <v>45777</v>
      </c>
      <c r="F13" s="566">
        <v>78000000</v>
      </c>
      <c r="G13" s="564" t="s">
        <v>1115</v>
      </c>
      <c r="H13" s="564" t="s">
        <v>1116</v>
      </c>
      <c r="I13" s="564" t="s">
        <v>45</v>
      </c>
      <c r="J13" s="564" t="s">
        <v>1079</v>
      </c>
      <c r="K13" s="564" t="s">
        <v>1090</v>
      </c>
      <c r="L13" s="564" t="s">
        <v>1117</v>
      </c>
      <c r="M13" s="564" t="s">
        <v>1118</v>
      </c>
      <c r="N13" s="564" t="s">
        <v>45</v>
      </c>
      <c r="O13" s="564" t="s">
        <v>1081</v>
      </c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 spans="1:26" ht="13">
      <c r="A14" s="562" t="s">
        <v>81</v>
      </c>
      <c r="B14" s="563" t="s">
        <v>1119</v>
      </c>
      <c r="C14" s="564" t="s">
        <v>1088</v>
      </c>
      <c r="D14" s="565">
        <v>45385</v>
      </c>
      <c r="E14" s="565">
        <v>47575</v>
      </c>
      <c r="F14" s="566">
        <v>114480000</v>
      </c>
      <c r="G14" s="564" t="s">
        <v>674</v>
      </c>
      <c r="H14" s="564" t="s">
        <v>674</v>
      </c>
      <c r="I14" s="564" t="s">
        <v>70</v>
      </c>
      <c r="J14" s="564" t="s">
        <v>1079</v>
      </c>
      <c r="K14" s="564" t="s">
        <v>1120</v>
      </c>
      <c r="L14" s="564" t="s">
        <v>1071</v>
      </c>
      <c r="M14" s="564" t="s">
        <v>1091</v>
      </c>
      <c r="N14" s="564" t="s">
        <v>70</v>
      </c>
      <c r="O14" s="564" t="s">
        <v>241</v>
      </c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spans="1:26" ht="13">
      <c r="A15" s="562" t="s">
        <v>870</v>
      </c>
      <c r="B15" s="563" t="s">
        <v>1121</v>
      </c>
      <c r="C15" s="564" t="s">
        <v>1088</v>
      </c>
      <c r="D15" s="565">
        <v>45383</v>
      </c>
      <c r="E15" s="565">
        <v>47208</v>
      </c>
      <c r="F15" s="566">
        <v>18090801</v>
      </c>
      <c r="G15" s="564" t="s">
        <v>1122</v>
      </c>
      <c r="H15" s="564" t="s">
        <v>1123</v>
      </c>
      <c r="I15" s="564" t="s">
        <v>146</v>
      </c>
      <c r="J15" s="564" t="s">
        <v>1079</v>
      </c>
      <c r="K15" s="564" t="s">
        <v>1070</v>
      </c>
      <c r="L15" s="564" t="s">
        <v>1071</v>
      </c>
      <c r="M15" s="564" t="s">
        <v>1124</v>
      </c>
      <c r="N15" s="564" t="s">
        <v>1073</v>
      </c>
      <c r="O15" s="564" t="s">
        <v>197</v>
      </c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 spans="1:26" ht="13">
      <c r="A16" s="562" t="s">
        <v>1125</v>
      </c>
      <c r="B16" s="563" t="s">
        <v>1126</v>
      </c>
      <c r="C16" s="564" t="s">
        <v>1076</v>
      </c>
      <c r="D16" s="565">
        <v>45413</v>
      </c>
      <c r="E16" s="565">
        <v>47238</v>
      </c>
      <c r="F16" s="566">
        <v>350700000</v>
      </c>
      <c r="G16" s="564" t="s">
        <v>1127</v>
      </c>
      <c r="H16" s="564" t="s">
        <v>1128</v>
      </c>
      <c r="I16" s="564" t="s">
        <v>45</v>
      </c>
      <c r="J16" s="564" t="s">
        <v>1079</v>
      </c>
      <c r="K16" s="564" t="s">
        <v>1090</v>
      </c>
      <c r="L16" s="564" t="s">
        <v>1071</v>
      </c>
      <c r="M16" s="564" t="s">
        <v>1091</v>
      </c>
      <c r="N16" s="564" t="s">
        <v>45</v>
      </c>
      <c r="O16" s="564" t="s">
        <v>241</v>
      </c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spans="1:26" ht="13">
      <c r="A17" s="562" t="s">
        <v>1129</v>
      </c>
      <c r="B17" s="563" t="s">
        <v>1130</v>
      </c>
      <c r="C17" s="564" t="s">
        <v>1076</v>
      </c>
      <c r="D17" s="565">
        <v>45428</v>
      </c>
      <c r="E17" s="565">
        <v>47253</v>
      </c>
      <c r="F17" s="566">
        <v>793380000</v>
      </c>
      <c r="G17" s="564" t="s">
        <v>1131</v>
      </c>
      <c r="H17" s="564" t="s">
        <v>1128</v>
      </c>
      <c r="I17" s="564" t="s">
        <v>45</v>
      </c>
      <c r="J17" s="564" t="s">
        <v>1079</v>
      </c>
      <c r="K17" s="564" t="s">
        <v>1090</v>
      </c>
      <c r="L17" s="564" t="s">
        <v>1071</v>
      </c>
      <c r="M17" s="564" t="s">
        <v>1091</v>
      </c>
      <c r="N17" s="564" t="s">
        <v>45</v>
      </c>
      <c r="O17" s="564" t="s">
        <v>241</v>
      </c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spans="1:26" ht="13">
      <c r="A18" s="562" t="s">
        <v>1132</v>
      </c>
      <c r="B18" s="563" t="s">
        <v>1133</v>
      </c>
      <c r="C18" s="564" t="s">
        <v>1088</v>
      </c>
      <c r="D18" s="565">
        <v>45428</v>
      </c>
      <c r="E18" s="565">
        <v>47253</v>
      </c>
      <c r="F18" s="566">
        <v>1634742000</v>
      </c>
      <c r="G18" s="564" t="s">
        <v>1131</v>
      </c>
      <c r="H18" s="564" t="s">
        <v>1128</v>
      </c>
      <c r="I18" s="564" t="s">
        <v>45</v>
      </c>
      <c r="J18" s="564" t="s">
        <v>1079</v>
      </c>
      <c r="K18" s="564" t="s">
        <v>1090</v>
      </c>
      <c r="L18" s="564" t="s">
        <v>1071</v>
      </c>
      <c r="M18" s="564" t="s">
        <v>1091</v>
      </c>
      <c r="N18" s="564" t="s">
        <v>45</v>
      </c>
      <c r="O18" s="564" t="s">
        <v>241</v>
      </c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spans="1:26" ht="13">
      <c r="A19" s="562" t="s">
        <v>1134</v>
      </c>
      <c r="B19" s="563" t="s">
        <v>1135</v>
      </c>
      <c r="C19" s="564" t="s">
        <v>1136</v>
      </c>
      <c r="D19" s="565">
        <v>45292</v>
      </c>
      <c r="E19" s="565">
        <v>47118</v>
      </c>
      <c r="F19" s="566">
        <v>1908400000</v>
      </c>
      <c r="G19" s="564" t="s">
        <v>1137</v>
      </c>
      <c r="H19" s="564" t="s">
        <v>1138</v>
      </c>
      <c r="I19" s="564" t="s">
        <v>125</v>
      </c>
      <c r="J19" s="564" t="s">
        <v>1079</v>
      </c>
      <c r="K19" s="564" t="s">
        <v>1070</v>
      </c>
      <c r="L19" s="564" t="s">
        <v>1071</v>
      </c>
      <c r="M19" s="564" t="s">
        <v>1091</v>
      </c>
      <c r="N19" s="564" t="s">
        <v>1073</v>
      </c>
      <c r="O19" s="564" t="s">
        <v>241</v>
      </c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spans="1:26" ht="13">
      <c r="A20" s="562" t="s">
        <v>1139</v>
      </c>
      <c r="B20" s="563" t="s">
        <v>1140</v>
      </c>
      <c r="C20" s="564" t="s">
        <v>1076</v>
      </c>
      <c r="D20" s="565">
        <v>45261</v>
      </c>
      <c r="E20" s="565">
        <v>45626</v>
      </c>
      <c r="F20" s="566">
        <v>121800000</v>
      </c>
      <c r="G20" s="564" t="s">
        <v>1141</v>
      </c>
      <c r="H20" s="564" t="s">
        <v>1141</v>
      </c>
      <c r="I20" s="564" t="s">
        <v>125</v>
      </c>
      <c r="J20" s="564" t="s">
        <v>1079</v>
      </c>
      <c r="K20" s="564" t="s">
        <v>1070</v>
      </c>
      <c r="L20" s="564" t="s">
        <v>1080</v>
      </c>
      <c r="M20" s="564" t="s">
        <v>1081</v>
      </c>
      <c r="N20" s="564" t="s">
        <v>1073</v>
      </c>
      <c r="O20" s="564" t="s">
        <v>1081</v>
      </c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spans="1:26" ht="13">
      <c r="A21" s="562" t="s">
        <v>1142</v>
      </c>
      <c r="B21" s="563" t="s">
        <v>1143</v>
      </c>
      <c r="C21" s="564" t="s">
        <v>1114</v>
      </c>
      <c r="D21" s="565">
        <v>45260</v>
      </c>
      <c r="E21" s="565">
        <v>45657</v>
      </c>
      <c r="F21" s="566">
        <v>56368000</v>
      </c>
      <c r="G21" s="564" t="s">
        <v>1144</v>
      </c>
      <c r="H21" s="564" t="s">
        <v>1145</v>
      </c>
      <c r="I21" s="564" t="s">
        <v>257</v>
      </c>
      <c r="J21" s="564" t="s">
        <v>1079</v>
      </c>
      <c r="K21" s="564" t="s">
        <v>1120</v>
      </c>
      <c r="L21" s="564" t="s">
        <v>1117</v>
      </c>
      <c r="M21" s="564" t="s">
        <v>1118</v>
      </c>
      <c r="N21" s="564" t="s">
        <v>257</v>
      </c>
      <c r="O21" s="564" t="s">
        <v>241</v>
      </c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spans="1:26" ht="13">
      <c r="A22" s="562" t="s">
        <v>1146</v>
      </c>
      <c r="B22" s="563" t="s">
        <v>1147</v>
      </c>
      <c r="C22" s="564" t="s">
        <v>1103</v>
      </c>
      <c r="D22" s="565">
        <v>45200</v>
      </c>
      <c r="E22" s="565">
        <v>46326</v>
      </c>
      <c r="F22" s="566">
        <v>9675500</v>
      </c>
      <c r="G22" s="564" t="s">
        <v>1148</v>
      </c>
      <c r="H22" s="564" t="s">
        <v>1077</v>
      </c>
      <c r="I22" s="564" t="s">
        <v>1149</v>
      </c>
      <c r="J22" s="564" t="s">
        <v>1079</v>
      </c>
      <c r="K22" s="564" t="s">
        <v>1070</v>
      </c>
      <c r="L22" s="564" t="s">
        <v>1080</v>
      </c>
      <c r="M22" s="564" t="s">
        <v>1081</v>
      </c>
      <c r="N22" s="564" t="s">
        <v>1073</v>
      </c>
      <c r="O22" s="564" t="s">
        <v>1081</v>
      </c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spans="1:26" ht="13">
      <c r="A23" s="562" t="s">
        <v>1150</v>
      </c>
      <c r="B23" s="563" t="s">
        <v>1151</v>
      </c>
      <c r="C23" s="564" t="s">
        <v>1088</v>
      </c>
      <c r="D23" s="565">
        <v>45200</v>
      </c>
      <c r="E23" s="565">
        <v>46326</v>
      </c>
      <c r="F23" s="566">
        <v>12661137</v>
      </c>
      <c r="G23" s="564" t="s">
        <v>1108</v>
      </c>
      <c r="H23" s="564" t="s">
        <v>1077</v>
      </c>
      <c r="I23" s="564" t="s">
        <v>1149</v>
      </c>
      <c r="J23" s="564" t="s">
        <v>1079</v>
      </c>
      <c r="K23" s="564" t="s">
        <v>1070</v>
      </c>
      <c r="L23" s="564" t="s">
        <v>1080</v>
      </c>
      <c r="M23" s="564" t="s">
        <v>1081</v>
      </c>
      <c r="N23" s="564" t="s">
        <v>1073</v>
      </c>
      <c r="O23" s="564" t="s">
        <v>1081</v>
      </c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spans="1:26" ht="13">
      <c r="A24" s="562" t="s">
        <v>1152</v>
      </c>
      <c r="B24" s="563" t="s">
        <v>1153</v>
      </c>
      <c r="C24" s="564" t="s">
        <v>1076</v>
      </c>
      <c r="D24" s="565">
        <v>45200</v>
      </c>
      <c r="E24" s="565">
        <v>46326</v>
      </c>
      <c r="F24" s="566">
        <v>28341486</v>
      </c>
      <c r="G24" s="564" t="s">
        <v>1111</v>
      </c>
      <c r="H24" s="564" t="s">
        <v>1077</v>
      </c>
      <c r="I24" s="564" t="s">
        <v>1149</v>
      </c>
      <c r="J24" s="564" t="s">
        <v>1079</v>
      </c>
      <c r="K24" s="564" t="s">
        <v>1070</v>
      </c>
      <c r="L24" s="564" t="s">
        <v>1080</v>
      </c>
      <c r="M24" s="564" t="s">
        <v>1081</v>
      </c>
      <c r="N24" s="564" t="s">
        <v>1073</v>
      </c>
      <c r="O24" s="564" t="s">
        <v>1081</v>
      </c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spans="1:26" ht="13">
      <c r="A25" s="562" t="s">
        <v>1154</v>
      </c>
      <c r="B25" s="563" t="s">
        <v>1155</v>
      </c>
      <c r="C25" s="564" t="s">
        <v>1156</v>
      </c>
      <c r="D25" s="565">
        <v>45292</v>
      </c>
      <c r="E25" s="565">
        <v>45504</v>
      </c>
      <c r="F25" s="566">
        <v>46379200</v>
      </c>
      <c r="G25" s="564" t="s">
        <v>1157</v>
      </c>
      <c r="H25" s="564" t="s">
        <v>1157</v>
      </c>
      <c r="I25" s="564" t="s">
        <v>1158</v>
      </c>
      <c r="J25" s="564" t="s">
        <v>1079</v>
      </c>
      <c r="K25" s="564" t="s">
        <v>1120</v>
      </c>
      <c r="L25" s="564" t="s">
        <v>1080</v>
      </c>
      <c r="M25" s="564" t="s">
        <v>1081</v>
      </c>
      <c r="N25" s="564" t="s">
        <v>70</v>
      </c>
      <c r="O25" s="564" t="s">
        <v>1081</v>
      </c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spans="1:26" ht="13">
      <c r="A26" s="562" t="s">
        <v>1159</v>
      </c>
      <c r="B26" s="563" t="s">
        <v>1160</v>
      </c>
      <c r="C26" s="564" t="s">
        <v>1103</v>
      </c>
      <c r="D26" s="565">
        <v>45139</v>
      </c>
      <c r="E26" s="565">
        <v>46507</v>
      </c>
      <c r="F26" s="566">
        <v>185715000</v>
      </c>
      <c r="G26" s="564" t="s">
        <v>1148</v>
      </c>
      <c r="H26" s="564" t="s">
        <v>1077</v>
      </c>
      <c r="I26" s="564" t="s">
        <v>1161</v>
      </c>
      <c r="J26" s="564" t="s">
        <v>1079</v>
      </c>
      <c r="K26" s="564" t="s">
        <v>1090</v>
      </c>
      <c r="L26" s="564" t="s">
        <v>1080</v>
      </c>
      <c r="M26" s="564" t="s">
        <v>1081</v>
      </c>
      <c r="N26" s="564" t="s">
        <v>1073</v>
      </c>
      <c r="O26" s="564" t="s">
        <v>1081</v>
      </c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spans="1:26" ht="13">
      <c r="A27" s="562" t="s">
        <v>1162</v>
      </c>
      <c r="B27" s="563" t="s">
        <v>1163</v>
      </c>
      <c r="C27" s="564" t="s">
        <v>1088</v>
      </c>
      <c r="D27" s="565">
        <v>45139</v>
      </c>
      <c r="E27" s="565">
        <v>46507</v>
      </c>
      <c r="F27" s="566">
        <v>215689910</v>
      </c>
      <c r="G27" s="564" t="s">
        <v>1164</v>
      </c>
      <c r="H27" s="564" t="s">
        <v>1077</v>
      </c>
      <c r="I27" s="564" t="s">
        <v>1161</v>
      </c>
      <c r="J27" s="564" t="s">
        <v>1079</v>
      </c>
      <c r="K27" s="564" t="s">
        <v>1090</v>
      </c>
      <c r="L27" s="564" t="s">
        <v>1080</v>
      </c>
      <c r="M27" s="564" t="s">
        <v>1081</v>
      </c>
      <c r="N27" s="564" t="s">
        <v>1073</v>
      </c>
      <c r="O27" s="564" t="s">
        <v>1081</v>
      </c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spans="1:26" ht="13">
      <c r="A28" s="562" t="s">
        <v>1165</v>
      </c>
      <c r="B28" s="563" t="s">
        <v>1166</v>
      </c>
      <c r="C28" s="564" t="s">
        <v>1076</v>
      </c>
      <c r="D28" s="565">
        <v>45139</v>
      </c>
      <c r="E28" s="565">
        <v>46507</v>
      </c>
      <c r="F28" s="566">
        <v>422236448</v>
      </c>
      <c r="G28" s="564" t="s">
        <v>1167</v>
      </c>
      <c r="H28" s="564" t="s">
        <v>1077</v>
      </c>
      <c r="I28" s="564" t="s">
        <v>1161</v>
      </c>
      <c r="J28" s="564" t="s">
        <v>1079</v>
      </c>
      <c r="K28" s="564" t="s">
        <v>1090</v>
      </c>
      <c r="L28" s="564" t="s">
        <v>1080</v>
      </c>
      <c r="M28" s="564" t="s">
        <v>1081</v>
      </c>
      <c r="N28" s="564" t="s">
        <v>1073</v>
      </c>
      <c r="O28" s="564" t="s">
        <v>1081</v>
      </c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spans="1:26" ht="13">
      <c r="A29" s="562" t="s">
        <v>1168</v>
      </c>
      <c r="B29" s="563" t="s">
        <v>1169</v>
      </c>
      <c r="C29" s="564" t="s">
        <v>1103</v>
      </c>
      <c r="D29" s="565">
        <v>45108</v>
      </c>
      <c r="E29" s="565">
        <v>46203</v>
      </c>
      <c r="F29" s="566">
        <v>12780000</v>
      </c>
      <c r="G29" s="564" t="s">
        <v>1148</v>
      </c>
      <c r="H29" s="564" t="s">
        <v>1077</v>
      </c>
      <c r="I29" s="564" t="s">
        <v>203</v>
      </c>
      <c r="J29" s="564" t="s">
        <v>1079</v>
      </c>
      <c r="K29" s="564" t="s">
        <v>1090</v>
      </c>
      <c r="L29" s="564" t="s">
        <v>1080</v>
      </c>
      <c r="M29" s="564" t="s">
        <v>1081</v>
      </c>
      <c r="N29" s="564" t="s">
        <v>1073</v>
      </c>
      <c r="O29" s="564" t="s">
        <v>1081</v>
      </c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spans="1:26" ht="13">
      <c r="A30" s="562" t="s">
        <v>1170</v>
      </c>
      <c r="B30" s="563" t="s">
        <v>1171</v>
      </c>
      <c r="C30" s="564" t="s">
        <v>1088</v>
      </c>
      <c r="D30" s="565">
        <v>45108</v>
      </c>
      <c r="E30" s="565">
        <v>46203</v>
      </c>
      <c r="F30" s="566">
        <v>43024554</v>
      </c>
      <c r="G30" s="564" t="s">
        <v>1164</v>
      </c>
      <c r="H30" s="564" t="s">
        <v>1077</v>
      </c>
      <c r="I30" s="564" t="s">
        <v>203</v>
      </c>
      <c r="J30" s="564" t="s">
        <v>1079</v>
      </c>
      <c r="K30" s="564" t="s">
        <v>1090</v>
      </c>
      <c r="L30" s="564" t="s">
        <v>1080</v>
      </c>
      <c r="M30" s="564" t="s">
        <v>1081</v>
      </c>
      <c r="N30" s="564" t="s">
        <v>1073</v>
      </c>
      <c r="O30" s="564" t="s">
        <v>1081</v>
      </c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spans="1:26" ht="13">
      <c r="A31" s="562" t="s">
        <v>1172</v>
      </c>
      <c r="B31" s="563" t="s">
        <v>1173</v>
      </c>
      <c r="C31" s="564" t="s">
        <v>1076</v>
      </c>
      <c r="D31" s="565">
        <v>45108</v>
      </c>
      <c r="E31" s="565">
        <v>46203</v>
      </c>
      <c r="F31" s="566">
        <v>147946626</v>
      </c>
      <c r="G31" s="564" t="s">
        <v>1111</v>
      </c>
      <c r="H31" s="564" t="s">
        <v>1077</v>
      </c>
      <c r="I31" s="564" t="s">
        <v>203</v>
      </c>
      <c r="J31" s="564" t="s">
        <v>1079</v>
      </c>
      <c r="K31" s="564" t="s">
        <v>1090</v>
      </c>
      <c r="L31" s="564" t="s">
        <v>1080</v>
      </c>
      <c r="M31" s="564" t="s">
        <v>1081</v>
      </c>
      <c r="N31" s="564" t="s">
        <v>1073</v>
      </c>
      <c r="O31" s="564" t="s">
        <v>1081</v>
      </c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spans="1:26" ht="13">
      <c r="A32" s="562" t="s">
        <v>1174</v>
      </c>
      <c r="B32" s="563" t="s">
        <v>1175</v>
      </c>
      <c r="C32" s="564" t="s">
        <v>1076</v>
      </c>
      <c r="D32" s="565">
        <v>45017</v>
      </c>
      <c r="E32" s="565">
        <v>47026</v>
      </c>
      <c r="F32" s="566">
        <v>118848000</v>
      </c>
      <c r="G32" s="564" t="s">
        <v>1127</v>
      </c>
      <c r="H32" s="564" t="s">
        <v>1127</v>
      </c>
      <c r="I32" s="564" t="s">
        <v>45</v>
      </c>
      <c r="J32" s="564" t="s">
        <v>1079</v>
      </c>
      <c r="K32" s="564" t="s">
        <v>1090</v>
      </c>
      <c r="L32" s="564" t="s">
        <v>1071</v>
      </c>
      <c r="M32" s="564" t="s">
        <v>1072</v>
      </c>
      <c r="N32" s="564" t="s">
        <v>45</v>
      </c>
      <c r="O32" s="564" t="s">
        <v>1176</v>
      </c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spans="1:26" ht="13">
      <c r="A33" s="562" t="s">
        <v>1177</v>
      </c>
      <c r="B33" s="563" t="s">
        <v>1178</v>
      </c>
      <c r="C33" s="564" t="s">
        <v>1114</v>
      </c>
      <c r="D33" s="565">
        <v>45070</v>
      </c>
      <c r="E33" s="565">
        <v>48357</v>
      </c>
      <c r="F33" s="566">
        <v>6280900</v>
      </c>
      <c r="G33" s="564" t="s">
        <v>1116</v>
      </c>
      <c r="H33" s="564" t="s">
        <v>1116</v>
      </c>
      <c r="I33" s="564" t="s">
        <v>1179</v>
      </c>
      <c r="J33" s="564" t="s">
        <v>1079</v>
      </c>
      <c r="K33" s="564" t="s">
        <v>1070</v>
      </c>
      <c r="L33" s="564" t="s">
        <v>1117</v>
      </c>
      <c r="M33" s="564" t="s">
        <v>1118</v>
      </c>
      <c r="N33" s="564" t="s">
        <v>1082</v>
      </c>
      <c r="O33" s="564" t="s">
        <v>1081</v>
      </c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spans="1:26" ht="13">
      <c r="A34" s="562" t="s">
        <v>1180</v>
      </c>
      <c r="B34" s="563" t="s">
        <v>1181</v>
      </c>
      <c r="C34" s="564" t="s">
        <v>1088</v>
      </c>
      <c r="D34" s="565">
        <v>45017</v>
      </c>
      <c r="E34" s="565">
        <v>46477</v>
      </c>
      <c r="F34" s="566">
        <v>14361600</v>
      </c>
      <c r="G34" s="564" t="s">
        <v>1032</v>
      </c>
      <c r="H34" s="564" t="s">
        <v>1182</v>
      </c>
      <c r="I34" s="564" t="s">
        <v>203</v>
      </c>
      <c r="J34" s="564" t="s">
        <v>1079</v>
      </c>
      <c r="K34" s="564" t="s">
        <v>1090</v>
      </c>
      <c r="L34" s="564" t="s">
        <v>1071</v>
      </c>
      <c r="M34" s="564" t="s">
        <v>1183</v>
      </c>
      <c r="N34" s="564" t="s">
        <v>1073</v>
      </c>
      <c r="O34" s="564" t="s">
        <v>1184</v>
      </c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spans="1:26" ht="13">
      <c r="A35" s="562" t="s">
        <v>44</v>
      </c>
      <c r="B35" s="563" t="s">
        <v>1185</v>
      </c>
      <c r="C35" s="564" t="s">
        <v>1186</v>
      </c>
      <c r="D35" s="565">
        <v>44944</v>
      </c>
      <c r="E35" s="565">
        <v>46812</v>
      </c>
      <c r="F35" s="566">
        <v>4386624000</v>
      </c>
      <c r="G35" s="564" t="s">
        <v>311</v>
      </c>
      <c r="H35" s="564" t="s">
        <v>1187</v>
      </c>
      <c r="I35" s="564" t="s">
        <v>1188</v>
      </c>
      <c r="J35" s="564" t="s">
        <v>1079</v>
      </c>
      <c r="K35" s="564" t="s">
        <v>1090</v>
      </c>
      <c r="L35" s="564" t="s">
        <v>1189</v>
      </c>
      <c r="M35" s="564" t="s">
        <v>1189</v>
      </c>
      <c r="N35" s="564" t="s">
        <v>45</v>
      </c>
      <c r="O35" s="564" t="s">
        <v>1190</v>
      </c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spans="1:26" ht="13">
      <c r="A36" s="562" t="s">
        <v>1191</v>
      </c>
      <c r="B36" s="563" t="s">
        <v>1192</v>
      </c>
      <c r="C36" s="564" t="s">
        <v>278</v>
      </c>
      <c r="D36" s="565">
        <v>44927</v>
      </c>
      <c r="E36" s="565">
        <v>46752</v>
      </c>
      <c r="F36" s="566">
        <v>2938933200</v>
      </c>
      <c r="G36" s="564" t="s">
        <v>291</v>
      </c>
      <c r="H36" s="564" t="s">
        <v>1187</v>
      </c>
      <c r="I36" s="564" t="s">
        <v>850</v>
      </c>
      <c r="J36" s="564" t="s">
        <v>1079</v>
      </c>
      <c r="K36" s="564" t="s">
        <v>1090</v>
      </c>
      <c r="L36" s="564" t="s">
        <v>1189</v>
      </c>
      <c r="M36" s="564" t="s">
        <v>1189</v>
      </c>
      <c r="N36" s="564" t="s">
        <v>45</v>
      </c>
      <c r="O36" s="564" t="s">
        <v>1193</v>
      </c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spans="1:26" ht="13">
      <c r="A37" s="562" t="s">
        <v>33</v>
      </c>
      <c r="B37" s="563" t="s">
        <v>1194</v>
      </c>
      <c r="C37" s="564" t="s">
        <v>1186</v>
      </c>
      <c r="D37" s="565">
        <v>44927</v>
      </c>
      <c r="E37" s="565">
        <v>46752</v>
      </c>
      <c r="F37" s="566">
        <v>13063370260</v>
      </c>
      <c r="G37" s="564" t="s">
        <v>311</v>
      </c>
      <c r="H37" s="564" t="s">
        <v>1187</v>
      </c>
      <c r="I37" s="564" t="s">
        <v>850</v>
      </c>
      <c r="J37" s="564" t="s">
        <v>1079</v>
      </c>
      <c r="K37" s="564" t="s">
        <v>1090</v>
      </c>
      <c r="L37" s="564" t="s">
        <v>1189</v>
      </c>
      <c r="M37" s="564" t="s">
        <v>1189</v>
      </c>
      <c r="N37" s="564" t="s">
        <v>45</v>
      </c>
      <c r="O37" s="564" t="s">
        <v>1190</v>
      </c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spans="1:26" ht="13">
      <c r="A38" s="562" t="s">
        <v>1195</v>
      </c>
      <c r="B38" s="563" t="s">
        <v>1196</v>
      </c>
      <c r="C38" s="564" t="s">
        <v>1114</v>
      </c>
      <c r="D38" s="565">
        <v>44960</v>
      </c>
      <c r="E38" s="565">
        <v>46055</v>
      </c>
      <c r="F38" s="566">
        <v>5579280</v>
      </c>
      <c r="G38" s="564" t="s">
        <v>1197</v>
      </c>
      <c r="H38" s="564" t="s">
        <v>1116</v>
      </c>
      <c r="I38" s="564" t="s">
        <v>802</v>
      </c>
      <c r="J38" s="564" t="s">
        <v>1079</v>
      </c>
      <c r="K38" s="564" t="s">
        <v>1198</v>
      </c>
      <c r="L38" s="564" t="s">
        <v>1117</v>
      </c>
      <c r="M38" s="564" t="s">
        <v>1199</v>
      </c>
      <c r="N38" s="564" t="s">
        <v>132</v>
      </c>
      <c r="O38" s="564" t="s">
        <v>1081</v>
      </c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spans="1:26" ht="13">
      <c r="A39" s="562" t="s">
        <v>139</v>
      </c>
      <c r="B39" s="563" t="s">
        <v>1200</v>
      </c>
      <c r="C39" s="564" t="s">
        <v>1103</v>
      </c>
      <c r="D39" s="565">
        <v>45010</v>
      </c>
      <c r="E39" s="565">
        <v>46836</v>
      </c>
      <c r="F39" s="566">
        <v>85200000</v>
      </c>
      <c r="G39" s="564" t="s">
        <v>1148</v>
      </c>
      <c r="H39" s="564" t="s">
        <v>1077</v>
      </c>
      <c r="I39" s="564" t="s">
        <v>802</v>
      </c>
      <c r="J39" s="564" t="s">
        <v>1079</v>
      </c>
      <c r="K39" s="564" t="s">
        <v>1198</v>
      </c>
      <c r="L39" s="564" t="s">
        <v>1080</v>
      </c>
      <c r="M39" s="564" t="s">
        <v>1081</v>
      </c>
      <c r="N39" s="564" t="s">
        <v>132</v>
      </c>
      <c r="O39" s="564" t="s">
        <v>1081</v>
      </c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spans="1:26" ht="13">
      <c r="A40" s="562" t="s">
        <v>137</v>
      </c>
      <c r="B40" s="563" t="s">
        <v>1201</v>
      </c>
      <c r="C40" s="564" t="s">
        <v>1088</v>
      </c>
      <c r="D40" s="565">
        <v>45010</v>
      </c>
      <c r="E40" s="565">
        <v>46836</v>
      </c>
      <c r="F40" s="566">
        <v>223095317</v>
      </c>
      <c r="G40" s="564" t="s">
        <v>1122</v>
      </c>
      <c r="H40" s="564" t="s">
        <v>1077</v>
      </c>
      <c r="I40" s="564" t="s">
        <v>802</v>
      </c>
      <c r="J40" s="564" t="s">
        <v>1079</v>
      </c>
      <c r="K40" s="564" t="s">
        <v>1198</v>
      </c>
      <c r="L40" s="564" t="s">
        <v>1080</v>
      </c>
      <c r="M40" s="564" t="s">
        <v>1081</v>
      </c>
      <c r="N40" s="564" t="s">
        <v>132</v>
      </c>
      <c r="O40" s="564" t="s">
        <v>1081</v>
      </c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spans="1:26" ht="13">
      <c r="A41" s="562" t="s">
        <v>136</v>
      </c>
      <c r="B41" s="563" t="s">
        <v>1202</v>
      </c>
      <c r="C41" s="564" t="s">
        <v>1076</v>
      </c>
      <c r="D41" s="565">
        <v>45010</v>
      </c>
      <c r="E41" s="565">
        <v>46836</v>
      </c>
      <c r="F41" s="566">
        <v>464555731</v>
      </c>
      <c r="G41" s="564" t="s">
        <v>1100</v>
      </c>
      <c r="H41" s="564" t="s">
        <v>1077</v>
      </c>
      <c r="I41" s="564" t="s">
        <v>802</v>
      </c>
      <c r="J41" s="564" t="s">
        <v>1079</v>
      </c>
      <c r="K41" s="564" t="s">
        <v>1198</v>
      </c>
      <c r="L41" s="564" t="s">
        <v>1080</v>
      </c>
      <c r="M41" s="564" t="s">
        <v>1081</v>
      </c>
      <c r="N41" s="564" t="s">
        <v>132</v>
      </c>
      <c r="O41" s="564" t="s">
        <v>1081</v>
      </c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spans="1:26" ht="13">
      <c r="A42" s="562" t="s">
        <v>135</v>
      </c>
      <c r="B42" s="563" t="s">
        <v>1203</v>
      </c>
      <c r="C42" s="564" t="s">
        <v>1204</v>
      </c>
      <c r="D42" s="565">
        <v>45045</v>
      </c>
      <c r="E42" s="565">
        <v>46871</v>
      </c>
      <c r="F42" s="566">
        <v>1177408800</v>
      </c>
      <c r="G42" s="564" t="s">
        <v>754</v>
      </c>
      <c r="H42" s="564" t="s">
        <v>1116</v>
      </c>
      <c r="I42" s="564" t="s">
        <v>141</v>
      </c>
      <c r="J42" s="564" t="s">
        <v>1079</v>
      </c>
      <c r="K42" s="564" t="s">
        <v>1205</v>
      </c>
      <c r="L42" s="564" t="s">
        <v>1189</v>
      </c>
      <c r="M42" s="564" t="s">
        <v>1206</v>
      </c>
      <c r="N42" s="564" t="s">
        <v>1073</v>
      </c>
      <c r="O42" s="564" t="s">
        <v>1207</v>
      </c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spans="1:26" ht="13">
      <c r="A43" s="562" t="s">
        <v>268</v>
      </c>
      <c r="B43" s="563" t="s">
        <v>1208</v>
      </c>
      <c r="C43" s="564" t="s">
        <v>1103</v>
      </c>
      <c r="D43" s="565">
        <v>44866</v>
      </c>
      <c r="E43" s="565">
        <v>46295</v>
      </c>
      <c r="F43" s="566">
        <v>239972600</v>
      </c>
      <c r="G43" s="564" t="s">
        <v>1148</v>
      </c>
      <c r="H43" s="564" t="s">
        <v>1077</v>
      </c>
      <c r="I43" s="564" t="s">
        <v>257</v>
      </c>
      <c r="J43" s="564" t="s">
        <v>1079</v>
      </c>
      <c r="K43" s="564" t="s">
        <v>1209</v>
      </c>
      <c r="L43" s="564" t="s">
        <v>1080</v>
      </c>
      <c r="M43" s="564" t="s">
        <v>1081</v>
      </c>
      <c r="N43" s="564" t="s">
        <v>257</v>
      </c>
      <c r="O43" s="564" t="s">
        <v>1081</v>
      </c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spans="1:26" ht="13">
      <c r="A44" s="562" t="s">
        <v>269</v>
      </c>
      <c r="B44" s="563" t="s">
        <v>1210</v>
      </c>
      <c r="C44" s="564" t="s">
        <v>1088</v>
      </c>
      <c r="D44" s="565">
        <v>44866</v>
      </c>
      <c r="E44" s="565">
        <v>46295</v>
      </c>
      <c r="F44" s="566">
        <v>338645300</v>
      </c>
      <c r="G44" s="564" t="s">
        <v>1211</v>
      </c>
      <c r="H44" s="564" t="s">
        <v>1077</v>
      </c>
      <c r="I44" s="564" t="s">
        <v>257</v>
      </c>
      <c r="J44" s="564" t="s">
        <v>1079</v>
      </c>
      <c r="K44" s="564" t="s">
        <v>1209</v>
      </c>
      <c r="L44" s="564" t="s">
        <v>1080</v>
      </c>
      <c r="M44" s="564" t="s">
        <v>1081</v>
      </c>
      <c r="N44" s="564" t="s">
        <v>257</v>
      </c>
      <c r="O44" s="564" t="s">
        <v>1081</v>
      </c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spans="1:26" ht="13">
      <c r="A45" s="562" t="s">
        <v>1212</v>
      </c>
      <c r="B45" s="563" t="s">
        <v>1213</v>
      </c>
      <c r="C45" s="564" t="s">
        <v>1076</v>
      </c>
      <c r="D45" s="565">
        <v>44866</v>
      </c>
      <c r="E45" s="565">
        <v>46295</v>
      </c>
      <c r="F45" s="566">
        <v>644282795</v>
      </c>
      <c r="G45" s="564" t="s">
        <v>1127</v>
      </c>
      <c r="H45" s="564" t="s">
        <v>1077</v>
      </c>
      <c r="I45" s="564" t="s">
        <v>257</v>
      </c>
      <c r="J45" s="564" t="s">
        <v>1079</v>
      </c>
      <c r="K45" s="564" t="s">
        <v>1209</v>
      </c>
      <c r="L45" s="564" t="s">
        <v>1080</v>
      </c>
      <c r="M45" s="564" t="s">
        <v>1081</v>
      </c>
      <c r="N45" s="564" t="s">
        <v>257</v>
      </c>
      <c r="O45" s="564" t="s">
        <v>1081</v>
      </c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spans="1:26" ht="13">
      <c r="A46" s="562" t="s">
        <v>1214</v>
      </c>
      <c r="B46" s="563" t="s">
        <v>1215</v>
      </c>
      <c r="C46" s="564" t="s">
        <v>1114</v>
      </c>
      <c r="D46" s="565">
        <v>45474</v>
      </c>
      <c r="E46" s="565">
        <v>45900</v>
      </c>
      <c r="F46" s="566">
        <v>14200000</v>
      </c>
      <c r="G46" s="564" t="s">
        <v>1216</v>
      </c>
      <c r="H46" s="564" t="s">
        <v>1141</v>
      </c>
      <c r="I46" s="564" t="s">
        <v>802</v>
      </c>
      <c r="J46" s="564" t="s">
        <v>1079</v>
      </c>
      <c r="K46" s="564" t="s">
        <v>1198</v>
      </c>
      <c r="L46" s="564" t="s">
        <v>1117</v>
      </c>
      <c r="M46" s="564" t="s">
        <v>1118</v>
      </c>
      <c r="N46" s="564" t="s">
        <v>132</v>
      </c>
      <c r="O46" s="564" t="s">
        <v>241</v>
      </c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spans="1:26" ht="13">
      <c r="A47" s="562" t="s">
        <v>206</v>
      </c>
      <c r="B47" s="563" t="s">
        <v>1217</v>
      </c>
      <c r="C47" s="564" t="s">
        <v>1088</v>
      </c>
      <c r="D47" s="565">
        <v>44835</v>
      </c>
      <c r="E47" s="565">
        <v>46660</v>
      </c>
      <c r="F47" s="566">
        <v>48936000</v>
      </c>
      <c r="G47" s="564" t="s">
        <v>1164</v>
      </c>
      <c r="H47" s="564" t="s">
        <v>1182</v>
      </c>
      <c r="I47" s="564" t="s">
        <v>203</v>
      </c>
      <c r="J47" s="564" t="s">
        <v>1079</v>
      </c>
      <c r="K47" s="564" t="s">
        <v>1090</v>
      </c>
      <c r="L47" s="564" t="s">
        <v>1071</v>
      </c>
      <c r="M47" s="564" t="s">
        <v>1124</v>
      </c>
      <c r="N47" s="564" t="s">
        <v>1073</v>
      </c>
      <c r="O47" s="564" t="s">
        <v>197</v>
      </c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13">
      <c r="A48" s="562" t="s">
        <v>1218</v>
      </c>
      <c r="B48" s="563" t="s">
        <v>1219</v>
      </c>
      <c r="C48" s="564" t="s">
        <v>1156</v>
      </c>
      <c r="D48" s="565">
        <v>45292</v>
      </c>
      <c r="E48" s="565">
        <v>45657</v>
      </c>
      <c r="F48" s="566">
        <v>18000000</v>
      </c>
      <c r="G48" s="564" t="s">
        <v>1220</v>
      </c>
      <c r="H48" s="564" t="s">
        <v>1157</v>
      </c>
      <c r="I48" s="564" t="s">
        <v>70</v>
      </c>
      <c r="J48" s="564" t="s">
        <v>1079</v>
      </c>
      <c r="K48" s="564" t="s">
        <v>1120</v>
      </c>
      <c r="L48" s="564" t="s">
        <v>1071</v>
      </c>
      <c r="M48" s="564" t="s">
        <v>1091</v>
      </c>
      <c r="N48" s="564" t="s">
        <v>70</v>
      </c>
      <c r="O48" s="564" t="s">
        <v>241</v>
      </c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spans="1:26" ht="13">
      <c r="A49" s="562" t="s">
        <v>1221</v>
      </c>
      <c r="B49" s="563" t="s">
        <v>1222</v>
      </c>
      <c r="C49" s="564" t="s">
        <v>1103</v>
      </c>
      <c r="D49" s="565">
        <v>44725</v>
      </c>
      <c r="E49" s="565">
        <v>45820</v>
      </c>
      <c r="F49" s="566">
        <v>51120000</v>
      </c>
      <c r="G49" s="564" t="s">
        <v>1148</v>
      </c>
      <c r="H49" s="564" t="s">
        <v>1077</v>
      </c>
      <c r="I49" s="564" t="s">
        <v>1223</v>
      </c>
      <c r="J49" s="564" t="s">
        <v>1079</v>
      </c>
      <c r="K49" s="564" t="s">
        <v>1120</v>
      </c>
      <c r="L49" s="564" t="s">
        <v>1080</v>
      </c>
      <c r="M49" s="564" t="s">
        <v>1081</v>
      </c>
      <c r="N49" s="564" t="s">
        <v>1073</v>
      </c>
      <c r="O49" s="564" t="s">
        <v>251</v>
      </c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spans="1:26" ht="13">
      <c r="A50" s="562" t="s">
        <v>1224</v>
      </c>
      <c r="B50" s="563" t="s">
        <v>1225</v>
      </c>
      <c r="C50" s="564" t="s">
        <v>1088</v>
      </c>
      <c r="D50" s="565">
        <v>44725</v>
      </c>
      <c r="E50" s="565">
        <v>45820</v>
      </c>
      <c r="F50" s="566">
        <v>91713242</v>
      </c>
      <c r="G50" s="564" t="s">
        <v>1097</v>
      </c>
      <c r="H50" s="564" t="s">
        <v>1077</v>
      </c>
      <c r="I50" s="564" t="s">
        <v>1223</v>
      </c>
      <c r="J50" s="564" t="s">
        <v>1069</v>
      </c>
      <c r="K50" s="564" t="s">
        <v>1120</v>
      </c>
      <c r="L50" s="564" t="s">
        <v>1080</v>
      </c>
      <c r="M50" s="564" t="s">
        <v>1081</v>
      </c>
      <c r="N50" s="564" t="s">
        <v>1073</v>
      </c>
      <c r="O50" s="564" t="s">
        <v>197</v>
      </c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spans="1:26" ht="13">
      <c r="A51" s="562" t="s">
        <v>1226</v>
      </c>
      <c r="B51" s="563" t="s">
        <v>1227</v>
      </c>
      <c r="C51" s="564" t="s">
        <v>1076</v>
      </c>
      <c r="D51" s="565">
        <v>44725</v>
      </c>
      <c r="E51" s="565">
        <v>45820</v>
      </c>
      <c r="F51" s="566">
        <v>180397546</v>
      </c>
      <c r="G51" s="564" t="s">
        <v>1127</v>
      </c>
      <c r="H51" s="564" t="s">
        <v>1077</v>
      </c>
      <c r="I51" s="564" t="s">
        <v>1223</v>
      </c>
      <c r="J51" s="564" t="s">
        <v>1069</v>
      </c>
      <c r="K51" s="564" t="s">
        <v>1120</v>
      </c>
      <c r="L51" s="564" t="s">
        <v>1080</v>
      </c>
      <c r="M51" s="564" t="s">
        <v>1081</v>
      </c>
      <c r="N51" s="564" t="s">
        <v>1073</v>
      </c>
      <c r="O51" s="564" t="s">
        <v>1081</v>
      </c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spans="1:26" ht="13">
      <c r="A52" s="562" t="s">
        <v>1228</v>
      </c>
      <c r="B52" s="563" t="s">
        <v>1229</v>
      </c>
      <c r="C52" s="564" t="s">
        <v>1103</v>
      </c>
      <c r="D52" s="565">
        <v>44713</v>
      </c>
      <c r="E52" s="565">
        <v>45808</v>
      </c>
      <c r="F52" s="566">
        <v>7218000</v>
      </c>
      <c r="G52" s="564" t="s">
        <v>1148</v>
      </c>
      <c r="H52" s="564" t="s">
        <v>1077</v>
      </c>
      <c r="I52" s="564" t="s">
        <v>1230</v>
      </c>
      <c r="J52" s="564" t="s">
        <v>1079</v>
      </c>
      <c r="K52" s="564" t="s">
        <v>1090</v>
      </c>
      <c r="L52" s="564" t="s">
        <v>1080</v>
      </c>
      <c r="M52" s="564" t="s">
        <v>1081</v>
      </c>
      <c r="N52" s="564" t="s">
        <v>1073</v>
      </c>
      <c r="O52" s="564" t="s">
        <v>1081</v>
      </c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spans="1:26" ht="13">
      <c r="A53" s="562" t="s">
        <v>1231</v>
      </c>
      <c r="B53" s="563" t="s">
        <v>1232</v>
      </c>
      <c r="C53" s="564" t="s">
        <v>1088</v>
      </c>
      <c r="D53" s="565">
        <v>44713</v>
      </c>
      <c r="E53" s="565">
        <v>45808</v>
      </c>
      <c r="F53" s="566">
        <v>11160302</v>
      </c>
      <c r="G53" s="564" t="s">
        <v>1164</v>
      </c>
      <c r="H53" s="564" t="s">
        <v>1077</v>
      </c>
      <c r="I53" s="564" t="s">
        <v>1230</v>
      </c>
      <c r="J53" s="564" t="s">
        <v>1079</v>
      </c>
      <c r="K53" s="564" t="s">
        <v>1090</v>
      </c>
      <c r="L53" s="564" t="s">
        <v>1080</v>
      </c>
      <c r="M53" s="564" t="s">
        <v>1081</v>
      </c>
      <c r="N53" s="564" t="s">
        <v>1073</v>
      </c>
      <c r="O53" s="564" t="s">
        <v>1081</v>
      </c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spans="1:26" ht="13">
      <c r="A54" s="562" t="s">
        <v>1233</v>
      </c>
      <c r="B54" s="563" t="s">
        <v>1234</v>
      </c>
      <c r="C54" s="564" t="s">
        <v>1076</v>
      </c>
      <c r="D54" s="565">
        <v>44755</v>
      </c>
      <c r="E54" s="565">
        <v>45850</v>
      </c>
      <c r="F54" s="566">
        <v>17640706</v>
      </c>
      <c r="G54" s="564" t="s">
        <v>1235</v>
      </c>
      <c r="H54" s="564" t="s">
        <v>1077</v>
      </c>
      <c r="I54" s="564" t="s">
        <v>1230</v>
      </c>
      <c r="J54" s="564" t="s">
        <v>1079</v>
      </c>
      <c r="K54" s="564" t="s">
        <v>1090</v>
      </c>
      <c r="L54" s="564" t="s">
        <v>1080</v>
      </c>
      <c r="M54" s="564" t="s">
        <v>1081</v>
      </c>
      <c r="N54" s="564" t="s">
        <v>1073</v>
      </c>
      <c r="O54" s="564" t="s">
        <v>1081</v>
      </c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spans="1:26" ht="13">
      <c r="A55" s="562" t="s">
        <v>1236</v>
      </c>
      <c r="B55" s="563" t="s">
        <v>1237</v>
      </c>
      <c r="C55" s="564" t="s">
        <v>1103</v>
      </c>
      <c r="D55" s="565">
        <v>45017</v>
      </c>
      <c r="E55" s="565">
        <v>46418</v>
      </c>
      <c r="F55" s="566">
        <v>174487200</v>
      </c>
      <c r="G55" s="564" t="s">
        <v>1148</v>
      </c>
      <c r="H55" s="564" t="s">
        <v>1077</v>
      </c>
      <c r="I55" s="564" t="s">
        <v>225</v>
      </c>
      <c r="J55" s="564" t="s">
        <v>1079</v>
      </c>
      <c r="K55" s="564" t="s">
        <v>1105</v>
      </c>
      <c r="L55" s="564" t="s">
        <v>1080</v>
      </c>
      <c r="M55" s="564" t="s">
        <v>1081</v>
      </c>
      <c r="N55" s="564" t="s">
        <v>225</v>
      </c>
      <c r="O55" s="564" t="s">
        <v>1081</v>
      </c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spans="1:26" ht="13">
      <c r="A56" s="562" t="s">
        <v>1238</v>
      </c>
      <c r="B56" s="563" t="s">
        <v>1239</v>
      </c>
      <c r="C56" s="564" t="s">
        <v>1088</v>
      </c>
      <c r="D56" s="565">
        <v>45017</v>
      </c>
      <c r="E56" s="565">
        <v>46418</v>
      </c>
      <c r="F56" s="566">
        <v>297631635</v>
      </c>
      <c r="G56" s="564" t="s">
        <v>1211</v>
      </c>
      <c r="H56" s="564" t="s">
        <v>1077</v>
      </c>
      <c r="I56" s="564" t="s">
        <v>225</v>
      </c>
      <c r="J56" s="564" t="s">
        <v>1079</v>
      </c>
      <c r="K56" s="564" t="s">
        <v>1105</v>
      </c>
      <c r="L56" s="564" t="s">
        <v>1080</v>
      </c>
      <c r="M56" s="564" t="s">
        <v>1081</v>
      </c>
      <c r="N56" s="564" t="s">
        <v>225</v>
      </c>
      <c r="O56" s="564" t="s">
        <v>1081</v>
      </c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spans="1:26" ht="13">
      <c r="A57" s="562" t="s">
        <v>1240</v>
      </c>
      <c r="B57" s="563" t="s">
        <v>1241</v>
      </c>
      <c r="C57" s="564" t="s">
        <v>1076</v>
      </c>
      <c r="D57" s="565">
        <v>45017</v>
      </c>
      <c r="E57" s="565">
        <v>46418</v>
      </c>
      <c r="F57" s="566">
        <v>604604013</v>
      </c>
      <c r="G57" s="564" t="s">
        <v>1242</v>
      </c>
      <c r="H57" s="564" t="s">
        <v>1077</v>
      </c>
      <c r="I57" s="564" t="s">
        <v>225</v>
      </c>
      <c r="J57" s="564" t="s">
        <v>1079</v>
      </c>
      <c r="K57" s="564" t="s">
        <v>1105</v>
      </c>
      <c r="L57" s="564" t="s">
        <v>1080</v>
      </c>
      <c r="M57" s="564" t="s">
        <v>1081</v>
      </c>
      <c r="N57" s="564" t="s">
        <v>225</v>
      </c>
      <c r="O57" s="564" t="s">
        <v>1081</v>
      </c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spans="1:26" ht="13">
      <c r="A58" s="562" t="s">
        <v>111</v>
      </c>
      <c r="B58" s="563" t="s">
        <v>1243</v>
      </c>
      <c r="C58" s="564" t="s">
        <v>1076</v>
      </c>
      <c r="D58" s="565">
        <v>44621</v>
      </c>
      <c r="E58" s="565">
        <v>46446</v>
      </c>
      <c r="F58" s="566">
        <v>2066160</v>
      </c>
      <c r="G58" s="564" t="s">
        <v>1100</v>
      </c>
      <c r="H58" s="564" t="s">
        <v>1077</v>
      </c>
      <c r="I58" s="564" t="s">
        <v>107</v>
      </c>
      <c r="J58" s="564" t="s">
        <v>1079</v>
      </c>
      <c r="K58" s="564" t="s">
        <v>1120</v>
      </c>
      <c r="L58" s="564" t="s">
        <v>1080</v>
      </c>
      <c r="M58" s="564" t="s">
        <v>1081</v>
      </c>
      <c r="N58" s="564" t="s">
        <v>1073</v>
      </c>
      <c r="O58" s="564" t="s">
        <v>1081</v>
      </c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spans="1:26" ht="13">
      <c r="A59" s="562" t="s">
        <v>124</v>
      </c>
      <c r="B59" s="563" t="s">
        <v>1244</v>
      </c>
      <c r="C59" s="564" t="s">
        <v>1076</v>
      </c>
      <c r="D59" s="565">
        <v>44621</v>
      </c>
      <c r="E59" s="565">
        <v>46446</v>
      </c>
      <c r="F59" s="566">
        <v>2066160</v>
      </c>
      <c r="G59" s="564" t="s">
        <v>1100</v>
      </c>
      <c r="H59" s="564" t="s">
        <v>1077</v>
      </c>
      <c r="I59" s="564" t="s">
        <v>121</v>
      </c>
      <c r="J59" s="564" t="s">
        <v>1079</v>
      </c>
      <c r="K59" s="564" t="s">
        <v>1105</v>
      </c>
      <c r="L59" s="564" t="s">
        <v>1080</v>
      </c>
      <c r="M59" s="564" t="s">
        <v>1081</v>
      </c>
      <c r="N59" s="564" t="s">
        <v>1073</v>
      </c>
      <c r="O59" s="564" t="s">
        <v>1081</v>
      </c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spans="1:26" ht="13">
      <c r="A60" s="562" t="s">
        <v>120</v>
      </c>
      <c r="B60" s="563" t="s">
        <v>1245</v>
      </c>
      <c r="C60" s="564" t="s">
        <v>1076</v>
      </c>
      <c r="D60" s="565">
        <v>44621</v>
      </c>
      <c r="E60" s="565">
        <v>46446</v>
      </c>
      <c r="F60" s="566">
        <v>7226940</v>
      </c>
      <c r="G60" s="564" t="s">
        <v>1100</v>
      </c>
      <c r="H60" s="564" t="s">
        <v>1077</v>
      </c>
      <c r="I60" s="564" t="s">
        <v>64</v>
      </c>
      <c r="J60" s="564" t="s">
        <v>1079</v>
      </c>
      <c r="K60" s="564" t="s">
        <v>1090</v>
      </c>
      <c r="L60" s="564" t="s">
        <v>1080</v>
      </c>
      <c r="M60" s="564" t="s">
        <v>1081</v>
      </c>
      <c r="N60" s="564" t="s">
        <v>64</v>
      </c>
      <c r="O60" s="564" t="s">
        <v>1081</v>
      </c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spans="1:26" ht="13">
      <c r="A61" s="562" t="s">
        <v>116</v>
      </c>
      <c r="B61" s="563" t="s">
        <v>1246</v>
      </c>
      <c r="C61" s="564" t="s">
        <v>1076</v>
      </c>
      <c r="D61" s="565">
        <v>44621</v>
      </c>
      <c r="E61" s="565">
        <v>46446</v>
      </c>
      <c r="F61" s="566">
        <v>7226940</v>
      </c>
      <c r="G61" s="564" t="s">
        <v>1100</v>
      </c>
      <c r="H61" s="564" t="s">
        <v>1077</v>
      </c>
      <c r="I61" s="564" t="s">
        <v>1247</v>
      </c>
      <c r="J61" s="564" t="s">
        <v>1079</v>
      </c>
      <c r="K61" s="564" t="s">
        <v>1070</v>
      </c>
      <c r="L61" s="564" t="s">
        <v>1080</v>
      </c>
      <c r="M61" s="564" t="s">
        <v>1081</v>
      </c>
      <c r="N61" s="564" t="s">
        <v>1073</v>
      </c>
      <c r="O61" s="564" t="s">
        <v>1081</v>
      </c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spans="1:26" ht="13">
      <c r="A62" s="562" t="s">
        <v>104</v>
      </c>
      <c r="B62" s="563" t="s">
        <v>1248</v>
      </c>
      <c r="C62" s="564" t="s">
        <v>1076</v>
      </c>
      <c r="D62" s="565">
        <v>44621</v>
      </c>
      <c r="E62" s="565">
        <v>46446</v>
      </c>
      <c r="F62" s="566">
        <v>123860460</v>
      </c>
      <c r="G62" s="564" t="s">
        <v>1100</v>
      </c>
      <c r="H62" s="564" t="s">
        <v>1077</v>
      </c>
      <c r="I62" s="564" t="s">
        <v>70</v>
      </c>
      <c r="J62" s="564" t="s">
        <v>1079</v>
      </c>
      <c r="K62" s="564" t="s">
        <v>1120</v>
      </c>
      <c r="L62" s="564" t="s">
        <v>1080</v>
      </c>
      <c r="M62" s="564" t="s">
        <v>1081</v>
      </c>
      <c r="N62" s="564" t="s">
        <v>70</v>
      </c>
      <c r="O62" s="564" t="s">
        <v>1081</v>
      </c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spans="1:26" ht="13">
      <c r="A63" s="562" t="s">
        <v>131</v>
      </c>
      <c r="B63" s="563" t="s">
        <v>1249</v>
      </c>
      <c r="C63" s="564" t="s">
        <v>1076</v>
      </c>
      <c r="D63" s="565">
        <v>44621</v>
      </c>
      <c r="E63" s="565">
        <v>46446</v>
      </c>
      <c r="F63" s="566">
        <v>2066160</v>
      </c>
      <c r="G63" s="564" t="s">
        <v>1100</v>
      </c>
      <c r="H63" s="564" t="s">
        <v>1077</v>
      </c>
      <c r="I63" s="564" t="s">
        <v>170</v>
      </c>
      <c r="J63" s="564" t="s">
        <v>1079</v>
      </c>
      <c r="K63" s="564" t="s">
        <v>1105</v>
      </c>
      <c r="L63" s="564" t="s">
        <v>1080</v>
      </c>
      <c r="M63" s="564" t="s">
        <v>1081</v>
      </c>
      <c r="N63" s="564" t="s">
        <v>170</v>
      </c>
      <c r="O63" s="564" t="s">
        <v>1081</v>
      </c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spans="1:26" ht="13">
      <c r="A64" s="562" t="s">
        <v>198</v>
      </c>
      <c r="B64" s="563" t="s">
        <v>1250</v>
      </c>
      <c r="C64" s="564" t="s">
        <v>1088</v>
      </c>
      <c r="D64" s="565">
        <v>44621</v>
      </c>
      <c r="E64" s="565">
        <v>45716</v>
      </c>
      <c r="F64" s="566">
        <v>5904000</v>
      </c>
      <c r="G64" s="564" t="s">
        <v>1097</v>
      </c>
      <c r="H64" s="564" t="s">
        <v>1097</v>
      </c>
      <c r="I64" s="564" t="s">
        <v>195</v>
      </c>
      <c r="J64" s="564" t="s">
        <v>1079</v>
      </c>
      <c r="K64" s="564" t="s">
        <v>1120</v>
      </c>
      <c r="L64" s="564" t="s">
        <v>1071</v>
      </c>
      <c r="M64" s="564" t="s">
        <v>1124</v>
      </c>
      <c r="N64" s="564" t="s">
        <v>1073</v>
      </c>
      <c r="O64" s="564" t="s">
        <v>197</v>
      </c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spans="1:26" ht="13">
      <c r="A65" s="562" t="s">
        <v>1251</v>
      </c>
      <c r="B65" s="563" t="s">
        <v>1252</v>
      </c>
      <c r="C65" s="564" t="s">
        <v>1103</v>
      </c>
      <c r="D65" s="565">
        <v>44621</v>
      </c>
      <c r="E65" s="565">
        <v>46446</v>
      </c>
      <c r="F65" s="566"/>
      <c r="G65" s="564" t="s">
        <v>1148</v>
      </c>
      <c r="H65" s="564" t="s">
        <v>1077</v>
      </c>
      <c r="I65" s="564" t="s">
        <v>107</v>
      </c>
      <c r="J65" s="564" t="s">
        <v>1069</v>
      </c>
      <c r="K65" s="564" t="s">
        <v>1120</v>
      </c>
      <c r="L65" s="564" t="s">
        <v>1080</v>
      </c>
      <c r="M65" s="564" t="s">
        <v>1081</v>
      </c>
      <c r="N65" s="564" t="s">
        <v>1073</v>
      </c>
      <c r="O65" s="564" t="s">
        <v>1081</v>
      </c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spans="1:26" ht="13">
      <c r="A66" s="562" t="s">
        <v>1253</v>
      </c>
      <c r="B66" s="563" t="s">
        <v>1254</v>
      </c>
      <c r="C66" s="564" t="s">
        <v>1255</v>
      </c>
      <c r="D66" s="565">
        <v>44621</v>
      </c>
      <c r="E66" s="565">
        <v>46446</v>
      </c>
      <c r="F66" s="566"/>
      <c r="G66" s="564" t="s">
        <v>1211</v>
      </c>
      <c r="H66" s="564" t="s">
        <v>1077</v>
      </c>
      <c r="I66" s="564" t="s">
        <v>107</v>
      </c>
      <c r="J66" s="564" t="s">
        <v>1069</v>
      </c>
      <c r="K66" s="564" t="s">
        <v>1120</v>
      </c>
      <c r="L66" s="564" t="s">
        <v>1080</v>
      </c>
      <c r="M66" s="564" t="s">
        <v>1081</v>
      </c>
      <c r="N66" s="564" t="s">
        <v>1073</v>
      </c>
      <c r="O66" s="564" t="s">
        <v>1081</v>
      </c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spans="1:26" ht="13">
      <c r="A67" s="562" t="s">
        <v>1256</v>
      </c>
      <c r="B67" s="563" t="s">
        <v>1257</v>
      </c>
      <c r="C67" s="564" t="s">
        <v>1076</v>
      </c>
      <c r="D67" s="565">
        <v>44621</v>
      </c>
      <c r="E67" s="565">
        <v>46446</v>
      </c>
      <c r="F67" s="566"/>
      <c r="G67" s="564" t="s">
        <v>1100</v>
      </c>
      <c r="H67" s="564" t="s">
        <v>1077</v>
      </c>
      <c r="I67" s="564" t="s">
        <v>107</v>
      </c>
      <c r="J67" s="564" t="s">
        <v>1079</v>
      </c>
      <c r="K67" s="564" t="s">
        <v>1120</v>
      </c>
      <c r="L67" s="564" t="s">
        <v>1080</v>
      </c>
      <c r="M67" s="564" t="s">
        <v>1081</v>
      </c>
      <c r="N67" s="564" t="s">
        <v>1073</v>
      </c>
      <c r="O67" s="564" t="s">
        <v>1081</v>
      </c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spans="1:26" ht="13">
      <c r="A68" s="562" t="s">
        <v>1258</v>
      </c>
      <c r="B68" s="563" t="s">
        <v>1259</v>
      </c>
      <c r="C68" s="564" t="s">
        <v>1076</v>
      </c>
      <c r="D68" s="565">
        <v>45017</v>
      </c>
      <c r="E68" s="565">
        <v>45747</v>
      </c>
      <c r="F68" s="566">
        <v>11160000</v>
      </c>
      <c r="G68" s="564" t="s">
        <v>1260</v>
      </c>
      <c r="H68" s="564" t="s">
        <v>1261</v>
      </c>
      <c r="I68" s="564" t="s">
        <v>45</v>
      </c>
      <c r="J68" s="564" t="s">
        <v>1079</v>
      </c>
      <c r="K68" s="564" t="s">
        <v>1090</v>
      </c>
      <c r="L68" s="564" t="s">
        <v>1262</v>
      </c>
      <c r="M68" s="564" t="s">
        <v>1263</v>
      </c>
      <c r="N68" s="564" t="s">
        <v>45</v>
      </c>
      <c r="O68" s="564" t="s">
        <v>1264</v>
      </c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spans="1:26" ht="13">
      <c r="A69" s="562" t="s">
        <v>127</v>
      </c>
      <c r="B69" s="563" t="s">
        <v>1265</v>
      </c>
      <c r="C69" s="564" t="s">
        <v>1204</v>
      </c>
      <c r="D69" s="565">
        <v>44621</v>
      </c>
      <c r="E69" s="565">
        <v>46387</v>
      </c>
      <c r="F69" s="566">
        <v>1160000000</v>
      </c>
      <c r="G69" s="564" t="s">
        <v>1266</v>
      </c>
      <c r="H69" s="564" t="s">
        <v>1116</v>
      </c>
      <c r="I69" s="564" t="s">
        <v>125</v>
      </c>
      <c r="J69" s="564" t="s">
        <v>1079</v>
      </c>
      <c r="K69" s="564" t="s">
        <v>1070</v>
      </c>
      <c r="L69" s="564" t="s">
        <v>1189</v>
      </c>
      <c r="M69" s="564" t="s">
        <v>1206</v>
      </c>
      <c r="N69" s="564" t="s">
        <v>1073</v>
      </c>
      <c r="O69" s="564" t="s">
        <v>1207</v>
      </c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spans="1:26" ht="13">
      <c r="A70" s="562" t="s">
        <v>106</v>
      </c>
      <c r="B70" s="563" t="s">
        <v>1267</v>
      </c>
      <c r="C70" s="564" t="s">
        <v>1204</v>
      </c>
      <c r="D70" s="565">
        <v>44621</v>
      </c>
      <c r="E70" s="565">
        <v>46446</v>
      </c>
      <c r="F70" s="566">
        <v>113981000</v>
      </c>
      <c r="G70" s="564" t="s">
        <v>1268</v>
      </c>
      <c r="H70" s="564" t="s">
        <v>1116</v>
      </c>
      <c r="I70" s="564" t="s">
        <v>257</v>
      </c>
      <c r="J70" s="564" t="s">
        <v>1079</v>
      </c>
      <c r="K70" s="564" t="s">
        <v>1209</v>
      </c>
      <c r="L70" s="564" t="s">
        <v>1189</v>
      </c>
      <c r="M70" s="564" t="s">
        <v>1206</v>
      </c>
      <c r="N70" s="564" t="s">
        <v>1073</v>
      </c>
      <c r="O70" s="564" t="s">
        <v>1207</v>
      </c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spans="1:26" ht="13">
      <c r="A71" s="562" t="s">
        <v>1269</v>
      </c>
      <c r="B71" s="563" t="s">
        <v>1270</v>
      </c>
      <c r="C71" s="564" t="s">
        <v>1271</v>
      </c>
      <c r="D71" s="565">
        <v>44562</v>
      </c>
      <c r="E71" s="565">
        <v>44562</v>
      </c>
      <c r="F71" s="566">
        <v>100000000</v>
      </c>
      <c r="G71" s="564" t="s">
        <v>1272</v>
      </c>
      <c r="H71" s="564" t="s">
        <v>1273</v>
      </c>
      <c r="I71" s="564" t="s">
        <v>170</v>
      </c>
      <c r="J71" s="564" t="s">
        <v>1069</v>
      </c>
      <c r="K71" s="564" t="s">
        <v>1105</v>
      </c>
      <c r="L71" s="564" t="s">
        <v>1274</v>
      </c>
      <c r="M71" s="564" t="s">
        <v>1275</v>
      </c>
      <c r="N71" s="564" t="s">
        <v>170</v>
      </c>
      <c r="O71" s="564" t="s">
        <v>1274</v>
      </c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spans="1:26" ht="13">
      <c r="A72" s="562" t="s">
        <v>1276</v>
      </c>
      <c r="B72" s="563" t="s">
        <v>1277</v>
      </c>
      <c r="C72" s="564" t="s">
        <v>1271</v>
      </c>
      <c r="D72" s="565">
        <v>44562</v>
      </c>
      <c r="E72" s="565">
        <v>44562</v>
      </c>
      <c r="F72" s="566">
        <v>100000000</v>
      </c>
      <c r="G72" s="564" t="s">
        <v>1272</v>
      </c>
      <c r="H72" s="564" t="s">
        <v>1273</v>
      </c>
      <c r="I72" s="564" t="s">
        <v>1278</v>
      </c>
      <c r="J72" s="564" t="s">
        <v>1069</v>
      </c>
      <c r="K72" s="564" t="s">
        <v>1070</v>
      </c>
      <c r="L72" s="564" t="s">
        <v>1274</v>
      </c>
      <c r="M72" s="564" t="s">
        <v>1275</v>
      </c>
      <c r="N72" s="564" t="s">
        <v>1082</v>
      </c>
      <c r="O72" s="564" t="s">
        <v>1274</v>
      </c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spans="1:26" ht="13">
      <c r="A73" s="562" t="s">
        <v>1279</v>
      </c>
      <c r="B73" s="563" t="s">
        <v>1280</v>
      </c>
      <c r="C73" s="564" t="s">
        <v>1204</v>
      </c>
      <c r="D73" s="565">
        <v>44621</v>
      </c>
      <c r="E73" s="565">
        <v>46446</v>
      </c>
      <c r="F73" s="566">
        <v>61984747</v>
      </c>
      <c r="G73" s="564" t="s">
        <v>754</v>
      </c>
      <c r="H73" s="564" t="s">
        <v>1116</v>
      </c>
      <c r="I73" s="564" t="s">
        <v>1281</v>
      </c>
      <c r="J73" s="564" t="s">
        <v>1069</v>
      </c>
      <c r="K73" s="564" t="s">
        <v>1120</v>
      </c>
      <c r="L73" s="564" t="s">
        <v>1189</v>
      </c>
      <c r="M73" s="564" t="s">
        <v>1206</v>
      </c>
      <c r="N73" s="564" t="s">
        <v>1073</v>
      </c>
      <c r="O73" s="564" t="s">
        <v>1207</v>
      </c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spans="1:26" ht="13">
      <c r="A74" s="562" t="s">
        <v>109</v>
      </c>
      <c r="B74" s="563" t="s">
        <v>1282</v>
      </c>
      <c r="C74" s="564" t="s">
        <v>1204</v>
      </c>
      <c r="D74" s="565">
        <v>44621</v>
      </c>
      <c r="E74" s="565">
        <v>46446</v>
      </c>
      <c r="F74" s="566">
        <v>20156000</v>
      </c>
      <c r="G74" s="564" t="s">
        <v>754</v>
      </c>
      <c r="H74" s="564" t="s">
        <v>1116</v>
      </c>
      <c r="I74" s="564" t="s">
        <v>107</v>
      </c>
      <c r="J74" s="564" t="s">
        <v>1079</v>
      </c>
      <c r="K74" s="564" t="s">
        <v>1120</v>
      </c>
      <c r="L74" s="564" t="s">
        <v>1189</v>
      </c>
      <c r="M74" s="564" t="s">
        <v>1206</v>
      </c>
      <c r="N74" s="564" t="s">
        <v>1073</v>
      </c>
      <c r="O74" s="564" t="s">
        <v>1207</v>
      </c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spans="1:26" ht="13">
      <c r="A75" s="562" t="s">
        <v>123</v>
      </c>
      <c r="B75" s="563" t="s">
        <v>1283</v>
      </c>
      <c r="C75" s="564" t="s">
        <v>1204</v>
      </c>
      <c r="D75" s="565">
        <v>44621</v>
      </c>
      <c r="E75" s="565">
        <v>46446</v>
      </c>
      <c r="F75" s="566">
        <v>20156000</v>
      </c>
      <c r="G75" s="564" t="s">
        <v>754</v>
      </c>
      <c r="H75" s="564" t="s">
        <v>1116</v>
      </c>
      <c r="I75" s="564" t="s">
        <v>121</v>
      </c>
      <c r="J75" s="564" t="s">
        <v>1079</v>
      </c>
      <c r="K75" s="564" t="s">
        <v>1105</v>
      </c>
      <c r="L75" s="564" t="s">
        <v>1189</v>
      </c>
      <c r="M75" s="564" t="s">
        <v>1206</v>
      </c>
      <c r="N75" s="564" t="s">
        <v>1073</v>
      </c>
      <c r="O75" s="564" t="s">
        <v>1207</v>
      </c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spans="1:26" ht="13">
      <c r="A76" s="562" t="s">
        <v>119</v>
      </c>
      <c r="B76" s="563" t="s">
        <v>1284</v>
      </c>
      <c r="C76" s="564" t="s">
        <v>1204</v>
      </c>
      <c r="D76" s="565">
        <v>44621</v>
      </c>
      <c r="E76" s="565">
        <v>46446</v>
      </c>
      <c r="F76" s="566">
        <v>70501000</v>
      </c>
      <c r="G76" s="564" t="s">
        <v>754</v>
      </c>
      <c r="H76" s="564" t="s">
        <v>1116</v>
      </c>
      <c r="I76" s="564" t="s">
        <v>64</v>
      </c>
      <c r="J76" s="564" t="s">
        <v>1079</v>
      </c>
      <c r="K76" s="564" t="s">
        <v>1090</v>
      </c>
      <c r="L76" s="564" t="s">
        <v>1189</v>
      </c>
      <c r="M76" s="564" t="s">
        <v>1206</v>
      </c>
      <c r="N76" s="564" t="s">
        <v>64</v>
      </c>
      <c r="O76" s="564" t="s">
        <v>1207</v>
      </c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 spans="1:26" ht="13">
      <c r="A77" s="562" t="s">
        <v>115</v>
      </c>
      <c r="B77" s="563" t="s">
        <v>1285</v>
      </c>
      <c r="C77" s="564" t="s">
        <v>1204</v>
      </c>
      <c r="D77" s="565">
        <v>44621</v>
      </c>
      <c r="E77" s="565">
        <v>46446</v>
      </c>
      <c r="F77" s="566">
        <v>70501000</v>
      </c>
      <c r="G77" s="564" t="s">
        <v>754</v>
      </c>
      <c r="H77" s="564" t="s">
        <v>1116</v>
      </c>
      <c r="I77" s="564" t="s">
        <v>1247</v>
      </c>
      <c r="J77" s="564" t="s">
        <v>1079</v>
      </c>
      <c r="K77" s="564" t="s">
        <v>1070</v>
      </c>
      <c r="L77" s="564" t="s">
        <v>1189</v>
      </c>
      <c r="M77" s="564" t="s">
        <v>1206</v>
      </c>
      <c r="N77" s="564" t="s">
        <v>1073</v>
      </c>
      <c r="O77" s="564" t="s">
        <v>1207</v>
      </c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 spans="1:26" ht="13">
      <c r="A78" s="562" t="s">
        <v>102</v>
      </c>
      <c r="B78" s="563" t="s">
        <v>1286</v>
      </c>
      <c r="C78" s="564" t="s">
        <v>1204</v>
      </c>
      <c r="D78" s="565">
        <v>45292</v>
      </c>
      <c r="E78" s="565">
        <v>45657</v>
      </c>
      <c r="F78" s="566">
        <v>168408000</v>
      </c>
      <c r="G78" s="564" t="s">
        <v>754</v>
      </c>
      <c r="H78" s="564" t="s">
        <v>1116</v>
      </c>
      <c r="I78" s="564" t="s">
        <v>70</v>
      </c>
      <c r="J78" s="564" t="s">
        <v>1079</v>
      </c>
      <c r="K78" s="564" t="s">
        <v>1120</v>
      </c>
      <c r="L78" s="564" t="s">
        <v>1189</v>
      </c>
      <c r="M78" s="564" t="s">
        <v>1206</v>
      </c>
      <c r="N78" s="564" t="s">
        <v>70</v>
      </c>
      <c r="O78" s="564" t="s">
        <v>1207</v>
      </c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spans="1:26" ht="13">
      <c r="A79" s="562" t="s">
        <v>1287</v>
      </c>
      <c r="B79" s="563" t="s">
        <v>1288</v>
      </c>
      <c r="C79" s="564" t="s">
        <v>1204</v>
      </c>
      <c r="D79" s="565">
        <v>44621</v>
      </c>
      <c r="E79" s="565">
        <v>46446</v>
      </c>
      <c r="F79" s="566">
        <v>53037627</v>
      </c>
      <c r="G79" s="564" t="s">
        <v>754</v>
      </c>
      <c r="H79" s="564" t="s">
        <v>1116</v>
      </c>
      <c r="I79" s="564" t="s">
        <v>225</v>
      </c>
      <c r="J79" s="564" t="s">
        <v>1069</v>
      </c>
      <c r="K79" s="564" t="s">
        <v>1105</v>
      </c>
      <c r="L79" s="564" t="s">
        <v>1189</v>
      </c>
      <c r="M79" s="564" t="s">
        <v>1206</v>
      </c>
      <c r="N79" s="564" t="s">
        <v>225</v>
      </c>
      <c r="O79" s="564" t="s">
        <v>1207</v>
      </c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spans="1:26" ht="13">
      <c r="A80" s="562" t="s">
        <v>130</v>
      </c>
      <c r="B80" s="563" t="s">
        <v>1289</v>
      </c>
      <c r="C80" s="564" t="s">
        <v>1204</v>
      </c>
      <c r="D80" s="565">
        <v>44621</v>
      </c>
      <c r="E80" s="565">
        <v>46446</v>
      </c>
      <c r="F80" s="566">
        <v>20156000</v>
      </c>
      <c r="G80" s="564" t="s">
        <v>754</v>
      </c>
      <c r="H80" s="564" t="s">
        <v>1116</v>
      </c>
      <c r="I80" s="564" t="s">
        <v>170</v>
      </c>
      <c r="J80" s="564" t="s">
        <v>1079</v>
      </c>
      <c r="K80" s="564" t="s">
        <v>1105</v>
      </c>
      <c r="L80" s="564" t="s">
        <v>1189</v>
      </c>
      <c r="M80" s="564" t="s">
        <v>1206</v>
      </c>
      <c r="N80" s="564" t="s">
        <v>170</v>
      </c>
      <c r="O80" s="564" t="s">
        <v>1207</v>
      </c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spans="1:26" ht="13">
      <c r="A81" s="562" t="s">
        <v>1290</v>
      </c>
      <c r="B81" s="563" t="s">
        <v>1291</v>
      </c>
      <c r="C81" s="564" t="s">
        <v>1186</v>
      </c>
      <c r="D81" s="565">
        <v>44927</v>
      </c>
      <c r="E81" s="565">
        <v>45412</v>
      </c>
      <c r="F81" s="566">
        <v>146800000</v>
      </c>
      <c r="G81" s="564" t="s">
        <v>1292</v>
      </c>
      <c r="H81" s="564" t="s">
        <v>1293</v>
      </c>
      <c r="I81" s="564" t="s">
        <v>1294</v>
      </c>
      <c r="J81" s="564" t="s">
        <v>1079</v>
      </c>
      <c r="K81" s="564" t="s">
        <v>1090</v>
      </c>
      <c r="L81" s="564" t="s">
        <v>1071</v>
      </c>
      <c r="M81" s="564" t="s">
        <v>1091</v>
      </c>
      <c r="N81" s="564" t="s">
        <v>1082</v>
      </c>
      <c r="O81" s="564" t="s">
        <v>241</v>
      </c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spans="1:26" ht="13">
      <c r="A82" s="562" t="s">
        <v>1295</v>
      </c>
      <c r="B82" s="563" t="s">
        <v>1296</v>
      </c>
      <c r="C82" s="564" t="s">
        <v>1076</v>
      </c>
      <c r="D82" s="565">
        <v>44256</v>
      </c>
      <c r="E82" s="565">
        <v>44561</v>
      </c>
      <c r="F82" s="566">
        <v>42300000</v>
      </c>
      <c r="G82" s="564" t="s">
        <v>1297</v>
      </c>
      <c r="H82" s="564" t="s">
        <v>1298</v>
      </c>
      <c r="I82" s="564" t="s">
        <v>45</v>
      </c>
      <c r="J82" s="564" t="s">
        <v>1069</v>
      </c>
      <c r="K82" s="564" t="s">
        <v>1090</v>
      </c>
      <c r="L82" s="564" t="s">
        <v>1071</v>
      </c>
      <c r="M82" s="564" t="s">
        <v>1072</v>
      </c>
      <c r="N82" s="564" t="s">
        <v>45</v>
      </c>
      <c r="O82" s="564" t="s">
        <v>1176</v>
      </c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spans="1:26" ht="13">
      <c r="A83" s="562" t="s">
        <v>1299</v>
      </c>
      <c r="B83" s="563" t="s">
        <v>1300</v>
      </c>
      <c r="C83" s="564" t="s">
        <v>1204</v>
      </c>
      <c r="D83" s="565">
        <v>44197</v>
      </c>
      <c r="E83" s="565">
        <v>44926</v>
      </c>
      <c r="F83" s="566">
        <v>50000000</v>
      </c>
      <c r="G83" s="564" t="s">
        <v>674</v>
      </c>
      <c r="H83" s="564" t="s">
        <v>674</v>
      </c>
      <c r="I83" s="564" t="s">
        <v>1301</v>
      </c>
      <c r="J83" s="564" t="s">
        <v>1069</v>
      </c>
      <c r="K83" s="564" t="s">
        <v>1070</v>
      </c>
      <c r="L83" s="564" t="s">
        <v>1117</v>
      </c>
      <c r="M83" s="564" t="s">
        <v>1199</v>
      </c>
      <c r="N83" s="564" t="s">
        <v>1082</v>
      </c>
      <c r="O83" s="564" t="s">
        <v>1081</v>
      </c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spans="1:26" ht="13">
      <c r="A84" s="562" t="s">
        <v>1302</v>
      </c>
      <c r="B84" s="563" t="s">
        <v>1303</v>
      </c>
      <c r="C84" s="564" t="s">
        <v>1103</v>
      </c>
      <c r="D84" s="565">
        <v>44396</v>
      </c>
      <c r="E84" s="565">
        <v>46295</v>
      </c>
      <c r="F84" s="566">
        <v>42600000</v>
      </c>
      <c r="G84" s="564" t="s">
        <v>1148</v>
      </c>
      <c r="H84" s="564" t="s">
        <v>997</v>
      </c>
      <c r="I84" s="564" t="s">
        <v>45</v>
      </c>
      <c r="J84" s="564" t="s">
        <v>1079</v>
      </c>
      <c r="K84" s="564" t="s">
        <v>1090</v>
      </c>
      <c r="L84" s="564" t="s">
        <v>1071</v>
      </c>
      <c r="M84" s="564" t="s">
        <v>1124</v>
      </c>
      <c r="N84" s="564" t="s">
        <v>45</v>
      </c>
      <c r="O84" s="564" t="s">
        <v>251</v>
      </c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spans="1:26" ht="13">
      <c r="A85" s="562" t="s">
        <v>1304</v>
      </c>
      <c r="B85" s="563" t="s">
        <v>1305</v>
      </c>
      <c r="C85" s="564" t="s">
        <v>1088</v>
      </c>
      <c r="D85" s="565">
        <v>44396</v>
      </c>
      <c r="E85" s="565">
        <v>46295</v>
      </c>
      <c r="F85" s="566">
        <v>6000000</v>
      </c>
      <c r="G85" s="564" t="s">
        <v>1211</v>
      </c>
      <c r="H85" s="564" t="s">
        <v>997</v>
      </c>
      <c r="I85" s="564" t="s">
        <v>45</v>
      </c>
      <c r="J85" s="564" t="s">
        <v>1079</v>
      </c>
      <c r="K85" s="564" t="s">
        <v>1090</v>
      </c>
      <c r="L85" s="564" t="s">
        <v>1071</v>
      </c>
      <c r="M85" s="564" t="s">
        <v>1124</v>
      </c>
      <c r="N85" s="564" t="s">
        <v>45</v>
      </c>
      <c r="O85" s="564" t="s">
        <v>197</v>
      </c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 spans="1:26" ht="13">
      <c r="A86" s="562" t="s">
        <v>1306</v>
      </c>
      <c r="B86" s="563" t="s">
        <v>1307</v>
      </c>
      <c r="C86" s="564" t="s">
        <v>1204</v>
      </c>
      <c r="D86" s="565">
        <v>44396</v>
      </c>
      <c r="E86" s="565">
        <v>46295</v>
      </c>
      <c r="F86" s="566">
        <v>81976800</v>
      </c>
      <c r="G86" s="564" t="s">
        <v>1268</v>
      </c>
      <c r="H86" s="564" t="s">
        <v>997</v>
      </c>
      <c r="I86" s="564" t="s">
        <v>45</v>
      </c>
      <c r="J86" s="564" t="s">
        <v>1079</v>
      </c>
      <c r="K86" s="564" t="s">
        <v>1090</v>
      </c>
      <c r="L86" s="564" t="s">
        <v>1071</v>
      </c>
      <c r="M86" s="564" t="s">
        <v>1124</v>
      </c>
      <c r="N86" s="564" t="s">
        <v>45</v>
      </c>
      <c r="O86" s="564" t="s">
        <v>1081</v>
      </c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 spans="1:26" ht="13">
      <c r="A87" s="562" t="s">
        <v>1308</v>
      </c>
      <c r="B87" s="563" t="s">
        <v>1309</v>
      </c>
      <c r="C87" s="564" t="s">
        <v>1076</v>
      </c>
      <c r="D87" s="565">
        <v>44396</v>
      </c>
      <c r="E87" s="565">
        <v>46295</v>
      </c>
      <c r="F87" s="566">
        <v>56665620</v>
      </c>
      <c r="G87" s="564" t="s">
        <v>1297</v>
      </c>
      <c r="H87" s="564" t="s">
        <v>997</v>
      </c>
      <c r="I87" s="564" t="s">
        <v>45</v>
      </c>
      <c r="J87" s="564" t="s">
        <v>1079</v>
      </c>
      <c r="K87" s="564" t="s">
        <v>1090</v>
      </c>
      <c r="L87" s="564" t="s">
        <v>1071</v>
      </c>
      <c r="M87" s="564" t="s">
        <v>1124</v>
      </c>
      <c r="N87" s="564" t="s">
        <v>45</v>
      </c>
      <c r="O87" s="564" t="s">
        <v>1081</v>
      </c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 spans="1:26" ht="13">
      <c r="A88" s="562" t="s">
        <v>1310</v>
      </c>
      <c r="B88" s="563" t="s">
        <v>1311</v>
      </c>
      <c r="C88" s="564" t="s">
        <v>1076</v>
      </c>
      <c r="D88" s="565">
        <v>44298</v>
      </c>
      <c r="E88" s="565">
        <v>44926</v>
      </c>
      <c r="F88" s="566">
        <v>143750000</v>
      </c>
      <c r="G88" s="564" t="s">
        <v>1312</v>
      </c>
      <c r="H88" s="564" t="s">
        <v>1077</v>
      </c>
      <c r="I88" s="564" t="s">
        <v>70</v>
      </c>
      <c r="J88" s="564" t="s">
        <v>1069</v>
      </c>
      <c r="K88" s="564" t="s">
        <v>1120</v>
      </c>
      <c r="L88" s="564" t="s">
        <v>1071</v>
      </c>
      <c r="M88" s="564" t="s">
        <v>1091</v>
      </c>
      <c r="N88" s="564" t="s">
        <v>70</v>
      </c>
      <c r="O88" s="564" t="s">
        <v>241</v>
      </c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 spans="1:26" ht="13">
      <c r="A89" s="562" t="s">
        <v>1313</v>
      </c>
      <c r="B89" s="563" t="s">
        <v>1314</v>
      </c>
      <c r="C89" s="564" t="s">
        <v>1103</v>
      </c>
      <c r="D89" s="565">
        <v>44409</v>
      </c>
      <c r="E89" s="565">
        <v>45747</v>
      </c>
      <c r="F89" s="566">
        <v>1000000</v>
      </c>
      <c r="G89" s="564" t="s">
        <v>1148</v>
      </c>
      <c r="H89" s="564" t="s">
        <v>1077</v>
      </c>
      <c r="I89" s="564" t="s">
        <v>802</v>
      </c>
      <c r="J89" s="564" t="s">
        <v>1079</v>
      </c>
      <c r="K89" s="564" t="s">
        <v>1198</v>
      </c>
      <c r="L89" s="564" t="s">
        <v>1080</v>
      </c>
      <c r="M89" s="564" t="s">
        <v>1081</v>
      </c>
      <c r="N89" s="564" t="s">
        <v>132</v>
      </c>
      <c r="O89" s="564" t="s">
        <v>1081</v>
      </c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 spans="1:26" ht="13">
      <c r="A90" s="562" t="s">
        <v>1315</v>
      </c>
      <c r="B90" s="563" t="s">
        <v>1316</v>
      </c>
      <c r="C90" s="564" t="s">
        <v>1088</v>
      </c>
      <c r="D90" s="565">
        <v>44409</v>
      </c>
      <c r="E90" s="565">
        <v>45747</v>
      </c>
      <c r="F90" s="566">
        <v>90079148</v>
      </c>
      <c r="G90" s="564" t="s">
        <v>1122</v>
      </c>
      <c r="H90" s="564" t="s">
        <v>1077</v>
      </c>
      <c r="I90" s="564" t="s">
        <v>802</v>
      </c>
      <c r="J90" s="564" t="s">
        <v>1079</v>
      </c>
      <c r="K90" s="564" t="s">
        <v>1198</v>
      </c>
      <c r="L90" s="564" t="s">
        <v>1080</v>
      </c>
      <c r="M90" s="564" t="s">
        <v>1081</v>
      </c>
      <c r="N90" s="564" t="s">
        <v>132</v>
      </c>
      <c r="O90" s="564" t="s">
        <v>1081</v>
      </c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 spans="1:26" ht="13">
      <c r="A91" s="562" t="s">
        <v>1317</v>
      </c>
      <c r="B91" s="563" t="s">
        <v>1318</v>
      </c>
      <c r="C91" s="564" t="s">
        <v>1076</v>
      </c>
      <c r="D91" s="565">
        <v>44409</v>
      </c>
      <c r="E91" s="565">
        <v>45747</v>
      </c>
      <c r="F91" s="566">
        <v>199918012</v>
      </c>
      <c r="G91" s="564" t="s">
        <v>1100</v>
      </c>
      <c r="H91" s="564" t="s">
        <v>1077</v>
      </c>
      <c r="I91" s="564" t="s">
        <v>802</v>
      </c>
      <c r="J91" s="564" t="s">
        <v>1079</v>
      </c>
      <c r="K91" s="564" t="s">
        <v>1198</v>
      </c>
      <c r="L91" s="564" t="s">
        <v>1080</v>
      </c>
      <c r="M91" s="564" t="s">
        <v>1081</v>
      </c>
      <c r="N91" s="564" t="s">
        <v>132</v>
      </c>
      <c r="O91" s="564" t="s">
        <v>1081</v>
      </c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spans="1:26" ht="13">
      <c r="A92" s="562" t="s">
        <v>1319</v>
      </c>
      <c r="B92" s="563" t="s">
        <v>1320</v>
      </c>
      <c r="C92" s="564" t="s">
        <v>1103</v>
      </c>
      <c r="D92" s="565">
        <v>45444</v>
      </c>
      <c r="E92" s="565">
        <v>46538</v>
      </c>
      <c r="F92" s="566">
        <v>32212800</v>
      </c>
      <c r="G92" s="564" t="s">
        <v>1148</v>
      </c>
      <c r="H92" s="564" t="s">
        <v>1077</v>
      </c>
      <c r="I92" s="564" t="s">
        <v>1247</v>
      </c>
      <c r="J92" s="564" t="s">
        <v>1079</v>
      </c>
      <c r="K92" s="564" t="s">
        <v>1070</v>
      </c>
      <c r="L92" s="564" t="s">
        <v>1080</v>
      </c>
      <c r="M92" s="564" t="s">
        <v>1081</v>
      </c>
      <c r="N92" s="564" t="s">
        <v>1073</v>
      </c>
      <c r="O92" s="564" t="s">
        <v>1081</v>
      </c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 spans="1:26" ht="13">
      <c r="A93" s="562" t="s">
        <v>1321</v>
      </c>
      <c r="B93" s="563" t="s">
        <v>1322</v>
      </c>
      <c r="C93" s="564" t="s">
        <v>1088</v>
      </c>
      <c r="D93" s="565">
        <v>45444</v>
      </c>
      <c r="E93" s="565">
        <v>46538</v>
      </c>
      <c r="F93" s="566">
        <v>72160006</v>
      </c>
      <c r="G93" s="564" t="s">
        <v>1211</v>
      </c>
      <c r="H93" s="564" t="s">
        <v>1077</v>
      </c>
      <c r="I93" s="564" t="s">
        <v>1247</v>
      </c>
      <c r="J93" s="564" t="s">
        <v>1079</v>
      </c>
      <c r="K93" s="564" t="s">
        <v>1070</v>
      </c>
      <c r="L93" s="564" t="s">
        <v>1080</v>
      </c>
      <c r="M93" s="564" t="s">
        <v>1081</v>
      </c>
      <c r="N93" s="564" t="s">
        <v>1073</v>
      </c>
      <c r="O93" s="564" t="s">
        <v>1081</v>
      </c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 spans="1:26" ht="13">
      <c r="A94" s="562" t="s">
        <v>1323</v>
      </c>
      <c r="B94" s="563" t="s">
        <v>1324</v>
      </c>
      <c r="C94" s="564" t="s">
        <v>1076</v>
      </c>
      <c r="D94" s="565">
        <v>45444</v>
      </c>
      <c r="E94" s="565">
        <v>46538</v>
      </c>
      <c r="F94" s="566">
        <v>54397058</v>
      </c>
      <c r="G94" s="564" t="s">
        <v>1100</v>
      </c>
      <c r="H94" s="564" t="s">
        <v>1077</v>
      </c>
      <c r="I94" s="564" t="s">
        <v>1247</v>
      </c>
      <c r="J94" s="564" t="s">
        <v>1079</v>
      </c>
      <c r="K94" s="564" t="s">
        <v>1070</v>
      </c>
      <c r="L94" s="564" t="s">
        <v>1080</v>
      </c>
      <c r="M94" s="564" t="s">
        <v>1081</v>
      </c>
      <c r="N94" s="564" t="s">
        <v>1073</v>
      </c>
      <c r="O94" s="564" t="s">
        <v>1081</v>
      </c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 spans="1:26" ht="13">
      <c r="A95" s="562" t="s">
        <v>1325</v>
      </c>
      <c r="B95" s="563" t="s">
        <v>1326</v>
      </c>
      <c r="C95" s="564" t="s">
        <v>1114</v>
      </c>
      <c r="D95" s="565">
        <v>45292</v>
      </c>
      <c r="E95" s="565">
        <v>45657</v>
      </c>
      <c r="F95" s="566">
        <v>256603536</v>
      </c>
      <c r="G95" s="564" t="s">
        <v>1216</v>
      </c>
      <c r="H95" s="564" t="s">
        <v>1141</v>
      </c>
      <c r="I95" s="564" t="s">
        <v>70</v>
      </c>
      <c r="J95" s="564" t="s">
        <v>1079</v>
      </c>
      <c r="K95" s="564" t="s">
        <v>1120</v>
      </c>
      <c r="L95" s="564" t="s">
        <v>1117</v>
      </c>
      <c r="M95" s="564" t="s">
        <v>1118</v>
      </c>
      <c r="N95" s="564" t="s">
        <v>70</v>
      </c>
      <c r="O95" s="564" t="s">
        <v>241</v>
      </c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 spans="1:26" ht="13">
      <c r="A96" s="562" t="s">
        <v>256</v>
      </c>
      <c r="B96" s="563" t="s">
        <v>1327</v>
      </c>
      <c r="C96" s="564" t="s">
        <v>1088</v>
      </c>
      <c r="D96" s="565">
        <v>45292</v>
      </c>
      <c r="E96" s="565">
        <v>45657</v>
      </c>
      <c r="F96" s="566">
        <v>3600000</v>
      </c>
      <c r="G96" s="564" t="s">
        <v>1097</v>
      </c>
      <c r="H96" s="564" t="s">
        <v>297</v>
      </c>
      <c r="I96" s="564" t="s">
        <v>70</v>
      </c>
      <c r="J96" s="564" t="s">
        <v>1079</v>
      </c>
      <c r="K96" s="564" t="s">
        <v>1120</v>
      </c>
      <c r="L96" s="564" t="s">
        <v>1189</v>
      </c>
      <c r="M96" s="564" t="s">
        <v>249</v>
      </c>
      <c r="N96" s="564" t="s">
        <v>70</v>
      </c>
      <c r="O96" s="564" t="s">
        <v>197</v>
      </c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 spans="1:26" ht="13">
      <c r="A97" s="562" t="s">
        <v>252</v>
      </c>
      <c r="B97" s="563" t="s">
        <v>1328</v>
      </c>
      <c r="C97" s="564" t="s">
        <v>1103</v>
      </c>
      <c r="D97" s="565">
        <v>45292</v>
      </c>
      <c r="E97" s="565">
        <v>45657</v>
      </c>
      <c r="F97" s="566">
        <v>11592000</v>
      </c>
      <c r="G97" s="564" t="s">
        <v>1148</v>
      </c>
      <c r="H97" s="564" t="s">
        <v>297</v>
      </c>
      <c r="I97" s="564" t="s">
        <v>70</v>
      </c>
      <c r="J97" s="564" t="s">
        <v>1079</v>
      </c>
      <c r="K97" s="564" t="s">
        <v>1120</v>
      </c>
      <c r="L97" s="564" t="s">
        <v>1189</v>
      </c>
      <c r="M97" s="564" t="s">
        <v>249</v>
      </c>
      <c r="N97" s="564" t="s">
        <v>70</v>
      </c>
      <c r="O97" s="564" t="s">
        <v>251</v>
      </c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spans="1:26" ht="13">
      <c r="A98" s="562" t="s">
        <v>255</v>
      </c>
      <c r="B98" s="563" t="s">
        <v>1329</v>
      </c>
      <c r="C98" s="564" t="s">
        <v>1076</v>
      </c>
      <c r="D98" s="565">
        <v>45292</v>
      </c>
      <c r="E98" s="565">
        <v>45657</v>
      </c>
      <c r="F98" s="566">
        <v>32040000</v>
      </c>
      <c r="G98" s="564" t="s">
        <v>1330</v>
      </c>
      <c r="H98" s="564" t="s">
        <v>297</v>
      </c>
      <c r="I98" s="564" t="s">
        <v>70</v>
      </c>
      <c r="J98" s="564" t="s">
        <v>1079</v>
      </c>
      <c r="K98" s="564" t="s">
        <v>1120</v>
      </c>
      <c r="L98" s="564" t="s">
        <v>1189</v>
      </c>
      <c r="M98" s="564" t="s">
        <v>249</v>
      </c>
      <c r="N98" s="564" t="s">
        <v>70</v>
      </c>
      <c r="O98" s="564" t="s">
        <v>1331</v>
      </c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 spans="1:26" ht="13">
      <c r="A99" s="562" t="s">
        <v>250</v>
      </c>
      <c r="B99" s="563" t="s">
        <v>1332</v>
      </c>
      <c r="C99" s="564" t="s">
        <v>1136</v>
      </c>
      <c r="D99" s="565">
        <v>45292</v>
      </c>
      <c r="E99" s="565">
        <v>45657</v>
      </c>
      <c r="F99" s="566">
        <v>194745216</v>
      </c>
      <c r="G99" s="564" t="s">
        <v>1333</v>
      </c>
      <c r="H99" s="564" t="s">
        <v>297</v>
      </c>
      <c r="I99" s="564" t="s">
        <v>70</v>
      </c>
      <c r="J99" s="564" t="s">
        <v>1079</v>
      </c>
      <c r="K99" s="564" t="s">
        <v>1120</v>
      </c>
      <c r="L99" s="564" t="s">
        <v>1189</v>
      </c>
      <c r="M99" s="564" t="s">
        <v>249</v>
      </c>
      <c r="N99" s="564" t="s">
        <v>70</v>
      </c>
      <c r="O99" s="564" t="s">
        <v>249</v>
      </c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spans="1:26" ht="13">
      <c r="A100" s="562" t="s">
        <v>191</v>
      </c>
      <c r="B100" s="563" t="s">
        <v>1334</v>
      </c>
      <c r="C100" s="564" t="s">
        <v>1088</v>
      </c>
      <c r="D100" s="565">
        <v>44287</v>
      </c>
      <c r="E100" s="565">
        <v>46112</v>
      </c>
      <c r="F100" s="566">
        <v>125400000</v>
      </c>
      <c r="G100" s="564" t="s">
        <v>1122</v>
      </c>
      <c r="H100" s="564" t="s">
        <v>297</v>
      </c>
      <c r="I100" s="564" t="s">
        <v>1294</v>
      </c>
      <c r="J100" s="564" t="s">
        <v>1079</v>
      </c>
      <c r="K100" s="564" t="s">
        <v>1090</v>
      </c>
      <c r="L100" s="564" t="s">
        <v>1071</v>
      </c>
      <c r="M100" s="564" t="s">
        <v>251</v>
      </c>
      <c r="N100" s="564" t="s">
        <v>1082</v>
      </c>
      <c r="O100" s="564" t="s">
        <v>197</v>
      </c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spans="1:26" ht="13">
      <c r="A101" s="562" t="s">
        <v>1335</v>
      </c>
      <c r="B101" s="563" t="s">
        <v>1336</v>
      </c>
      <c r="C101" s="564" t="s">
        <v>1088</v>
      </c>
      <c r="D101" s="565">
        <v>44958</v>
      </c>
      <c r="E101" s="565">
        <v>45322</v>
      </c>
      <c r="F101" s="566">
        <v>2598000</v>
      </c>
      <c r="G101" s="564" t="s">
        <v>1164</v>
      </c>
      <c r="H101" s="564" t="s">
        <v>1164</v>
      </c>
      <c r="I101" s="564" t="s">
        <v>121</v>
      </c>
      <c r="J101" s="564" t="s">
        <v>1079</v>
      </c>
      <c r="K101" s="564" t="s">
        <v>1105</v>
      </c>
      <c r="L101" s="564" t="s">
        <v>1071</v>
      </c>
      <c r="M101" s="564" t="s">
        <v>1124</v>
      </c>
      <c r="N101" s="564" t="s">
        <v>1073</v>
      </c>
      <c r="O101" s="564" t="s">
        <v>197</v>
      </c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 spans="1:26" ht="13">
      <c r="A102" s="562" t="s">
        <v>1337</v>
      </c>
      <c r="B102" s="563" t="s">
        <v>1338</v>
      </c>
      <c r="C102" s="564" t="s">
        <v>1103</v>
      </c>
      <c r="D102" s="565">
        <v>45566</v>
      </c>
      <c r="E102" s="565">
        <v>46752</v>
      </c>
      <c r="F102" s="566"/>
      <c r="G102" s="564" t="s">
        <v>1148</v>
      </c>
      <c r="H102" s="564" t="s">
        <v>1077</v>
      </c>
      <c r="I102" s="564" t="s">
        <v>121</v>
      </c>
      <c r="J102" s="564" t="s">
        <v>1079</v>
      </c>
      <c r="K102" s="564" t="s">
        <v>1105</v>
      </c>
      <c r="L102" s="564" t="s">
        <v>1080</v>
      </c>
      <c r="M102" s="564" t="s">
        <v>1081</v>
      </c>
      <c r="N102" s="564" t="s">
        <v>1073</v>
      </c>
      <c r="O102" s="564" t="s">
        <v>1081</v>
      </c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 spans="1:26" ht="13">
      <c r="A103" s="562" t="s">
        <v>1339</v>
      </c>
      <c r="B103" s="563" t="s">
        <v>1340</v>
      </c>
      <c r="C103" s="564" t="s">
        <v>1088</v>
      </c>
      <c r="D103" s="565">
        <v>45566</v>
      </c>
      <c r="E103" s="565">
        <v>46752</v>
      </c>
      <c r="F103" s="566">
        <v>4092852</v>
      </c>
      <c r="G103" s="564" t="s">
        <v>1164</v>
      </c>
      <c r="H103" s="564" t="s">
        <v>1077</v>
      </c>
      <c r="I103" s="564" t="s">
        <v>121</v>
      </c>
      <c r="J103" s="564" t="s">
        <v>1079</v>
      </c>
      <c r="K103" s="564" t="s">
        <v>1105</v>
      </c>
      <c r="L103" s="564" t="s">
        <v>1080</v>
      </c>
      <c r="M103" s="564" t="s">
        <v>1081</v>
      </c>
      <c r="N103" s="564" t="s">
        <v>1073</v>
      </c>
      <c r="O103" s="564" t="s">
        <v>1081</v>
      </c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 spans="1:26" ht="13">
      <c r="A104" s="562" t="s">
        <v>1341</v>
      </c>
      <c r="B104" s="563" t="s">
        <v>1342</v>
      </c>
      <c r="C104" s="564" t="s">
        <v>1076</v>
      </c>
      <c r="D104" s="565">
        <v>45566</v>
      </c>
      <c r="E104" s="565">
        <v>46752</v>
      </c>
      <c r="F104" s="566">
        <v>11014008</v>
      </c>
      <c r="G104" s="564" t="s">
        <v>1297</v>
      </c>
      <c r="H104" s="564" t="s">
        <v>1077</v>
      </c>
      <c r="I104" s="564" t="s">
        <v>121</v>
      </c>
      <c r="J104" s="564" t="s">
        <v>1079</v>
      </c>
      <c r="K104" s="564" t="s">
        <v>1105</v>
      </c>
      <c r="L104" s="564" t="s">
        <v>1080</v>
      </c>
      <c r="M104" s="564" t="s">
        <v>1081</v>
      </c>
      <c r="N104" s="564" t="s">
        <v>1073</v>
      </c>
      <c r="O104" s="564" t="s">
        <v>1081</v>
      </c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 spans="1:26" ht="13">
      <c r="A105" s="562" t="s">
        <v>1343</v>
      </c>
      <c r="B105" s="563" t="s">
        <v>1344</v>
      </c>
      <c r="C105" s="564" t="s">
        <v>1088</v>
      </c>
      <c r="D105" s="565">
        <v>44228</v>
      </c>
      <c r="E105" s="565">
        <v>46053</v>
      </c>
      <c r="F105" s="566">
        <v>22876000</v>
      </c>
      <c r="G105" s="564" t="s">
        <v>1345</v>
      </c>
      <c r="H105" s="564" t="s">
        <v>1128</v>
      </c>
      <c r="I105" s="564" t="s">
        <v>45</v>
      </c>
      <c r="J105" s="564" t="s">
        <v>1079</v>
      </c>
      <c r="K105" s="564" t="s">
        <v>1090</v>
      </c>
      <c r="L105" s="564" t="s">
        <v>1071</v>
      </c>
      <c r="M105" s="564" t="s">
        <v>1072</v>
      </c>
      <c r="N105" s="564" t="s">
        <v>45</v>
      </c>
      <c r="O105" s="564" t="s">
        <v>197</v>
      </c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 spans="1:26" ht="13">
      <c r="A106" s="562" t="s">
        <v>1346</v>
      </c>
      <c r="B106" s="563" t="s">
        <v>1347</v>
      </c>
      <c r="C106" s="564" t="s">
        <v>1076</v>
      </c>
      <c r="D106" s="565">
        <v>44228</v>
      </c>
      <c r="E106" s="565">
        <v>46053</v>
      </c>
      <c r="F106" s="566">
        <v>212312000</v>
      </c>
      <c r="G106" s="564" t="s">
        <v>1235</v>
      </c>
      <c r="H106" s="564" t="s">
        <v>1128</v>
      </c>
      <c r="I106" s="564" t="s">
        <v>45</v>
      </c>
      <c r="J106" s="564" t="s">
        <v>1079</v>
      </c>
      <c r="K106" s="564" t="s">
        <v>1090</v>
      </c>
      <c r="L106" s="564" t="s">
        <v>1071</v>
      </c>
      <c r="M106" s="564" t="s">
        <v>1072</v>
      </c>
      <c r="N106" s="564" t="s">
        <v>45</v>
      </c>
      <c r="O106" s="564" t="s">
        <v>1176</v>
      </c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 spans="1:26" ht="13">
      <c r="A107" s="562" t="s">
        <v>1348</v>
      </c>
      <c r="B107" s="563" t="s">
        <v>1349</v>
      </c>
      <c r="C107" s="564" t="s">
        <v>1088</v>
      </c>
      <c r="D107" s="565">
        <v>45323</v>
      </c>
      <c r="E107" s="565">
        <v>46418</v>
      </c>
      <c r="F107" s="566">
        <v>46472400</v>
      </c>
      <c r="G107" s="564" t="s">
        <v>1032</v>
      </c>
      <c r="H107" s="564" t="s">
        <v>1123</v>
      </c>
      <c r="I107" s="564" t="s">
        <v>1350</v>
      </c>
      <c r="J107" s="564" t="s">
        <v>1079</v>
      </c>
      <c r="K107" s="564" t="s">
        <v>1070</v>
      </c>
      <c r="L107" s="564" t="s">
        <v>1071</v>
      </c>
      <c r="M107" s="564" t="s">
        <v>1183</v>
      </c>
      <c r="N107" s="564" t="s">
        <v>1082</v>
      </c>
      <c r="O107" s="564" t="s">
        <v>1184</v>
      </c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 spans="1:26" ht="13">
      <c r="A108" s="562" t="s">
        <v>1351</v>
      </c>
      <c r="B108" s="563" t="s">
        <v>1352</v>
      </c>
      <c r="C108" s="564" t="s">
        <v>1103</v>
      </c>
      <c r="D108" s="565">
        <v>45505</v>
      </c>
      <c r="E108" s="565">
        <v>45869</v>
      </c>
      <c r="F108" s="566">
        <v>636820800</v>
      </c>
      <c r="G108" s="564" t="s">
        <v>1148</v>
      </c>
      <c r="H108" s="564" t="s">
        <v>1077</v>
      </c>
      <c r="I108" s="564" t="s">
        <v>70</v>
      </c>
      <c r="J108" s="564" t="s">
        <v>1079</v>
      </c>
      <c r="K108" s="564" t="s">
        <v>1120</v>
      </c>
      <c r="L108" s="564" t="s">
        <v>1080</v>
      </c>
      <c r="M108" s="564" t="s">
        <v>1081</v>
      </c>
      <c r="N108" s="564" t="s">
        <v>70</v>
      </c>
      <c r="O108" s="564" t="s">
        <v>1081</v>
      </c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 spans="1:26" ht="13">
      <c r="A109" s="562" t="s">
        <v>1353</v>
      </c>
      <c r="B109" s="563" t="s">
        <v>1354</v>
      </c>
      <c r="C109" s="564" t="s">
        <v>1088</v>
      </c>
      <c r="D109" s="565">
        <v>45505</v>
      </c>
      <c r="E109" s="565">
        <v>46599</v>
      </c>
      <c r="F109" s="566">
        <v>2357395092</v>
      </c>
      <c r="G109" s="564" t="s">
        <v>1097</v>
      </c>
      <c r="H109" s="564" t="s">
        <v>1077</v>
      </c>
      <c r="I109" s="564" t="s">
        <v>70</v>
      </c>
      <c r="J109" s="564" t="s">
        <v>1079</v>
      </c>
      <c r="K109" s="564" t="s">
        <v>1120</v>
      </c>
      <c r="L109" s="564" t="s">
        <v>1080</v>
      </c>
      <c r="M109" s="564" t="s">
        <v>1081</v>
      </c>
      <c r="N109" s="564" t="s">
        <v>70</v>
      </c>
      <c r="O109" s="564" t="s">
        <v>1081</v>
      </c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 spans="1:26" ht="13">
      <c r="A110" s="562" t="s">
        <v>1355</v>
      </c>
      <c r="B110" s="563" t="s">
        <v>1356</v>
      </c>
      <c r="C110" s="564" t="s">
        <v>1076</v>
      </c>
      <c r="D110" s="565">
        <v>45505</v>
      </c>
      <c r="E110" s="565">
        <v>46599</v>
      </c>
      <c r="F110" s="566">
        <v>11463516908</v>
      </c>
      <c r="G110" s="564" t="s">
        <v>1297</v>
      </c>
      <c r="H110" s="564" t="s">
        <v>1077</v>
      </c>
      <c r="I110" s="564" t="s">
        <v>70</v>
      </c>
      <c r="J110" s="564" t="s">
        <v>1079</v>
      </c>
      <c r="K110" s="564" t="s">
        <v>1120</v>
      </c>
      <c r="L110" s="564" t="s">
        <v>1080</v>
      </c>
      <c r="M110" s="564" t="s">
        <v>1081</v>
      </c>
      <c r="N110" s="564" t="s">
        <v>70</v>
      </c>
      <c r="O110" s="564" t="s">
        <v>1081</v>
      </c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 spans="1:26" ht="13">
      <c r="A111" s="562" t="s">
        <v>1357</v>
      </c>
      <c r="B111" s="563" t="s">
        <v>1358</v>
      </c>
      <c r="C111" s="564" t="s">
        <v>1103</v>
      </c>
      <c r="D111" s="565">
        <v>45295</v>
      </c>
      <c r="E111" s="565">
        <v>45476</v>
      </c>
      <c r="F111" s="566">
        <v>7227000</v>
      </c>
      <c r="G111" s="564" t="s">
        <v>1148</v>
      </c>
      <c r="H111" s="564" t="s">
        <v>1077</v>
      </c>
      <c r="I111" s="564" t="s">
        <v>1294</v>
      </c>
      <c r="J111" s="564" t="s">
        <v>1079</v>
      </c>
      <c r="K111" s="564" t="s">
        <v>1090</v>
      </c>
      <c r="L111" s="564" t="s">
        <v>1080</v>
      </c>
      <c r="M111" s="564" t="s">
        <v>1081</v>
      </c>
      <c r="N111" s="564" t="s">
        <v>1082</v>
      </c>
      <c r="O111" s="564" t="s">
        <v>1081</v>
      </c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spans="1:26" ht="13">
      <c r="A112" s="562" t="s">
        <v>1359</v>
      </c>
      <c r="B112" s="563" t="s">
        <v>1360</v>
      </c>
      <c r="C112" s="564" t="s">
        <v>1088</v>
      </c>
      <c r="D112" s="565">
        <v>45295</v>
      </c>
      <c r="E112" s="565">
        <v>45476</v>
      </c>
      <c r="F112" s="566">
        <v>10281007</v>
      </c>
      <c r="G112" s="564" t="s">
        <v>1122</v>
      </c>
      <c r="H112" s="564" t="s">
        <v>1077</v>
      </c>
      <c r="I112" s="564" t="s">
        <v>1294</v>
      </c>
      <c r="J112" s="564" t="s">
        <v>1079</v>
      </c>
      <c r="K112" s="564" t="s">
        <v>1090</v>
      </c>
      <c r="L112" s="564" t="s">
        <v>1080</v>
      </c>
      <c r="M112" s="564" t="s">
        <v>1081</v>
      </c>
      <c r="N112" s="564" t="s">
        <v>1082</v>
      </c>
      <c r="O112" s="564" t="s">
        <v>1081</v>
      </c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 spans="1:26" ht="13">
      <c r="A113" s="562" t="s">
        <v>1361</v>
      </c>
      <c r="B113" s="563" t="s">
        <v>1362</v>
      </c>
      <c r="C113" s="564" t="s">
        <v>1076</v>
      </c>
      <c r="D113" s="565">
        <v>45295</v>
      </c>
      <c r="E113" s="565">
        <v>45476</v>
      </c>
      <c r="F113" s="566">
        <v>21189029</v>
      </c>
      <c r="G113" s="564" t="s">
        <v>1297</v>
      </c>
      <c r="H113" s="564" t="s">
        <v>1077</v>
      </c>
      <c r="I113" s="564" t="s">
        <v>1294</v>
      </c>
      <c r="J113" s="564" t="s">
        <v>1079</v>
      </c>
      <c r="K113" s="564" t="s">
        <v>1090</v>
      </c>
      <c r="L113" s="564" t="s">
        <v>1080</v>
      </c>
      <c r="M113" s="564" t="s">
        <v>1081</v>
      </c>
      <c r="N113" s="564" t="s">
        <v>1082</v>
      </c>
      <c r="O113" s="564" t="s">
        <v>1081</v>
      </c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 spans="1:26" ht="13">
      <c r="A114" s="562" t="s">
        <v>1363</v>
      </c>
      <c r="B114" s="563" t="s">
        <v>1364</v>
      </c>
      <c r="C114" s="564" t="s">
        <v>1114</v>
      </c>
      <c r="D114" s="565">
        <v>44197</v>
      </c>
      <c r="E114" s="565">
        <v>47848</v>
      </c>
      <c r="F114" s="566">
        <v>15211000</v>
      </c>
      <c r="G114" s="564" t="s">
        <v>1365</v>
      </c>
      <c r="H114" s="564" t="s">
        <v>1366</v>
      </c>
      <c r="I114" s="564" t="s">
        <v>1367</v>
      </c>
      <c r="J114" s="564" t="s">
        <v>1079</v>
      </c>
      <c r="K114" s="564" t="s">
        <v>1205</v>
      </c>
      <c r="L114" s="564" t="s">
        <v>1117</v>
      </c>
      <c r="M114" s="564" t="s">
        <v>1199</v>
      </c>
      <c r="N114" s="564" t="s">
        <v>1368</v>
      </c>
      <c r="O114" s="564" t="s">
        <v>1081</v>
      </c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 spans="1:26" ht="13">
      <c r="A115" s="562" t="s">
        <v>817</v>
      </c>
      <c r="B115" s="563" t="s">
        <v>1369</v>
      </c>
      <c r="C115" s="564" t="s">
        <v>1370</v>
      </c>
      <c r="D115" s="565">
        <v>44197</v>
      </c>
      <c r="E115" s="565">
        <v>46387</v>
      </c>
      <c r="F115" s="566">
        <v>174444982</v>
      </c>
      <c r="G115" s="564" t="s">
        <v>1157</v>
      </c>
      <c r="H115" s="564" t="s">
        <v>1157</v>
      </c>
      <c r="I115" s="564" t="s">
        <v>1371</v>
      </c>
      <c r="J115" s="564" t="s">
        <v>1372</v>
      </c>
      <c r="K115" s="564" t="s">
        <v>1198</v>
      </c>
      <c r="L115" s="564" t="s">
        <v>1071</v>
      </c>
      <c r="M115" s="564" t="s">
        <v>1091</v>
      </c>
      <c r="N115" s="564" t="s">
        <v>1073</v>
      </c>
      <c r="O115" s="564" t="s">
        <v>241</v>
      </c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 spans="1:26" ht="13">
      <c r="A116" s="562" t="s">
        <v>1373</v>
      </c>
      <c r="B116" s="563" t="s">
        <v>1374</v>
      </c>
      <c r="C116" s="564" t="s">
        <v>1088</v>
      </c>
      <c r="D116" s="565">
        <v>44378</v>
      </c>
      <c r="E116" s="565">
        <v>46203</v>
      </c>
      <c r="F116" s="566">
        <v>20400000</v>
      </c>
      <c r="G116" s="564" t="s">
        <v>1375</v>
      </c>
      <c r="H116" s="564" t="s">
        <v>1123</v>
      </c>
      <c r="I116" s="564" t="s">
        <v>45</v>
      </c>
      <c r="J116" s="564" t="s">
        <v>1079</v>
      </c>
      <c r="K116" s="564" t="s">
        <v>1090</v>
      </c>
      <c r="L116" s="564" t="s">
        <v>1071</v>
      </c>
      <c r="M116" s="564" t="s">
        <v>1124</v>
      </c>
      <c r="N116" s="564" t="s">
        <v>45</v>
      </c>
      <c r="O116" s="564" t="s">
        <v>197</v>
      </c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 spans="1:26" ht="13">
      <c r="A117" s="562" t="s">
        <v>1376</v>
      </c>
      <c r="B117" s="563" t="s">
        <v>1377</v>
      </c>
      <c r="C117" s="564" t="s">
        <v>1076</v>
      </c>
      <c r="D117" s="565">
        <v>44378</v>
      </c>
      <c r="E117" s="565">
        <v>46203</v>
      </c>
      <c r="F117" s="566">
        <v>24000000</v>
      </c>
      <c r="G117" s="564" t="s">
        <v>1025</v>
      </c>
      <c r="H117" s="564" t="s">
        <v>1123</v>
      </c>
      <c r="I117" s="564" t="s">
        <v>45</v>
      </c>
      <c r="J117" s="564" t="s">
        <v>1079</v>
      </c>
      <c r="K117" s="564" t="s">
        <v>1090</v>
      </c>
      <c r="L117" s="564" t="s">
        <v>1071</v>
      </c>
      <c r="M117" s="564" t="s">
        <v>1072</v>
      </c>
      <c r="N117" s="564" t="s">
        <v>45</v>
      </c>
      <c r="O117" s="564" t="s">
        <v>1331</v>
      </c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 spans="1:26" ht="13">
      <c r="A118" s="562" t="s">
        <v>1378</v>
      </c>
      <c r="B118" s="563" t="s">
        <v>1379</v>
      </c>
      <c r="C118" s="564" t="s">
        <v>1088</v>
      </c>
      <c r="D118" s="565">
        <v>44166</v>
      </c>
      <c r="E118" s="565">
        <v>45565</v>
      </c>
      <c r="F118" s="566">
        <v>29025000</v>
      </c>
      <c r="G118" s="564" t="s">
        <v>1380</v>
      </c>
      <c r="H118" s="564" t="s">
        <v>1128</v>
      </c>
      <c r="I118" s="564" t="s">
        <v>45</v>
      </c>
      <c r="J118" s="564" t="s">
        <v>1372</v>
      </c>
      <c r="K118" s="564" t="s">
        <v>1090</v>
      </c>
      <c r="L118" s="564" t="s">
        <v>1071</v>
      </c>
      <c r="M118" s="564" t="s">
        <v>1124</v>
      </c>
      <c r="N118" s="564" t="s">
        <v>45</v>
      </c>
      <c r="O118" s="564" t="s">
        <v>197</v>
      </c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 spans="1:26" ht="13">
      <c r="A119" s="562" t="s">
        <v>189</v>
      </c>
      <c r="B119" s="563" t="s">
        <v>1381</v>
      </c>
      <c r="C119" s="564" t="s">
        <v>1088</v>
      </c>
      <c r="D119" s="565">
        <v>45108</v>
      </c>
      <c r="E119" s="565">
        <v>46934</v>
      </c>
      <c r="F119" s="566">
        <v>2461120000</v>
      </c>
      <c r="G119" s="564" t="s">
        <v>1122</v>
      </c>
      <c r="H119" s="564" t="s">
        <v>297</v>
      </c>
      <c r="I119" s="564" t="s">
        <v>1294</v>
      </c>
      <c r="J119" s="564" t="s">
        <v>1079</v>
      </c>
      <c r="K119" s="564" t="s">
        <v>1090</v>
      </c>
      <c r="L119" s="564" t="s">
        <v>1071</v>
      </c>
      <c r="M119" s="564" t="s">
        <v>1124</v>
      </c>
      <c r="N119" s="564" t="s">
        <v>1082</v>
      </c>
      <c r="O119" s="564" t="s">
        <v>197</v>
      </c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 spans="1:26" ht="13">
      <c r="A120" s="562" t="s">
        <v>1382</v>
      </c>
      <c r="B120" s="563" t="s">
        <v>1383</v>
      </c>
      <c r="C120" s="564" t="s">
        <v>1076</v>
      </c>
      <c r="D120" s="565">
        <v>44835</v>
      </c>
      <c r="E120" s="565">
        <v>45199</v>
      </c>
      <c r="F120" s="566">
        <v>15045000</v>
      </c>
      <c r="G120" s="564" t="s">
        <v>1297</v>
      </c>
      <c r="H120" s="564" t="s">
        <v>1025</v>
      </c>
      <c r="I120" s="564" t="s">
        <v>1149</v>
      </c>
      <c r="J120" s="564" t="s">
        <v>1372</v>
      </c>
      <c r="K120" s="564" t="s">
        <v>1070</v>
      </c>
      <c r="L120" s="564" t="s">
        <v>1071</v>
      </c>
      <c r="M120" s="564" t="s">
        <v>1072</v>
      </c>
      <c r="N120" s="564" t="s">
        <v>1073</v>
      </c>
      <c r="O120" s="564" t="s">
        <v>1176</v>
      </c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 spans="1:26" ht="13">
      <c r="A121" s="562" t="s">
        <v>1384</v>
      </c>
      <c r="B121" s="563" t="s">
        <v>1385</v>
      </c>
      <c r="C121" s="564" t="s">
        <v>1088</v>
      </c>
      <c r="D121" s="565">
        <v>44050</v>
      </c>
      <c r="E121" s="565">
        <v>45144</v>
      </c>
      <c r="F121" s="566">
        <v>80208000</v>
      </c>
      <c r="G121" s="564" t="s">
        <v>1164</v>
      </c>
      <c r="H121" s="564" t="s">
        <v>297</v>
      </c>
      <c r="I121" s="564" t="s">
        <v>192</v>
      </c>
      <c r="J121" s="564" t="s">
        <v>1069</v>
      </c>
      <c r="K121" s="564" t="s">
        <v>1090</v>
      </c>
      <c r="L121" s="564" t="s">
        <v>1071</v>
      </c>
      <c r="M121" s="564" t="s">
        <v>1091</v>
      </c>
      <c r="N121" s="564" t="s">
        <v>1073</v>
      </c>
      <c r="O121" s="564" t="s">
        <v>241</v>
      </c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 spans="1:26" ht="13">
      <c r="A122" s="562" t="s">
        <v>1386</v>
      </c>
      <c r="B122" s="563" t="s">
        <v>1387</v>
      </c>
      <c r="C122" s="564" t="s">
        <v>1388</v>
      </c>
      <c r="D122" s="565">
        <v>44652</v>
      </c>
      <c r="E122" s="565">
        <v>45016</v>
      </c>
      <c r="F122" s="566">
        <v>235663350</v>
      </c>
      <c r="G122" s="564" t="s">
        <v>1389</v>
      </c>
      <c r="H122" s="564" t="s">
        <v>1389</v>
      </c>
      <c r="I122" s="564" t="s">
        <v>64</v>
      </c>
      <c r="J122" s="564" t="s">
        <v>1079</v>
      </c>
      <c r="K122" s="564" t="s">
        <v>1090</v>
      </c>
      <c r="L122" s="564" t="s">
        <v>1390</v>
      </c>
      <c r="M122" s="564" t="s">
        <v>1390</v>
      </c>
      <c r="N122" s="564" t="s">
        <v>64</v>
      </c>
      <c r="O122" s="564" t="s">
        <v>38</v>
      </c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 spans="1:26" ht="13">
      <c r="A123" s="562" t="s">
        <v>1391</v>
      </c>
      <c r="B123" s="563" t="s">
        <v>1392</v>
      </c>
      <c r="C123" s="564" t="s">
        <v>1114</v>
      </c>
      <c r="D123" s="565">
        <v>45536</v>
      </c>
      <c r="E123" s="565">
        <v>45900</v>
      </c>
      <c r="F123" s="566">
        <v>56540640</v>
      </c>
      <c r="G123" s="564" t="s">
        <v>1216</v>
      </c>
      <c r="H123" s="564" t="s">
        <v>1141</v>
      </c>
      <c r="I123" s="564" t="s">
        <v>125</v>
      </c>
      <c r="J123" s="564" t="s">
        <v>1079</v>
      </c>
      <c r="K123" s="564" t="s">
        <v>1070</v>
      </c>
      <c r="L123" s="564" t="s">
        <v>1117</v>
      </c>
      <c r="M123" s="564" t="s">
        <v>1118</v>
      </c>
      <c r="N123" s="564" t="s">
        <v>1073</v>
      </c>
      <c r="O123" s="564" t="s">
        <v>38</v>
      </c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 spans="1:26" ht="13">
      <c r="A124" s="562" t="s">
        <v>1393</v>
      </c>
      <c r="B124" s="563" t="s">
        <v>1394</v>
      </c>
      <c r="C124" s="564" t="s">
        <v>1204</v>
      </c>
      <c r="D124" s="565">
        <v>44166</v>
      </c>
      <c r="E124" s="565">
        <v>45991</v>
      </c>
      <c r="F124" s="566">
        <v>464085088</v>
      </c>
      <c r="G124" s="564" t="s">
        <v>1266</v>
      </c>
      <c r="H124" s="564" t="s">
        <v>674</v>
      </c>
      <c r="I124" s="564" t="s">
        <v>45</v>
      </c>
      <c r="J124" s="564" t="s">
        <v>1079</v>
      </c>
      <c r="K124" s="564" t="s">
        <v>1090</v>
      </c>
      <c r="L124" s="564" t="s">
        <v>1189</v>
      </c>
      <c r="M124" s="564" t="s">
        <v>1206</v>
      </c>
      <c r="N124" s="564" t="s">
        <v>45</v>
      </c>
      <c r="O124" s="564" t="s">
        <v>1207</v>
      </c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 spans="1:26" ht="13">
      <c r="A125" s="562" t="s">
        <v>87</v>
      </c>
      <c r="B125" s="563" t="s">
        <v>1395</v>
      </c>
      <c r="C125" s="564" t="s">
        <v>1204</v>
      </c>
      <c r="D125" s="565">
        <v>44263</v>
      </c>
      <c r="E125" s="565">
        <v>46088</v>
      </c>
      <c r="F125" s="566">
        <v>2683140240</v>
      </c>
      <c r="G125" s="564" t="s">
        <v>1266</v>
      </c>
      <c r="H125" s="564" t="s">
        <v>674</v>
      </c>
      <c r="I125" s="564" t="s">
        <v>45</v>
      </c>
      <c r="J125" s="564" t="s">
        <v>1372</v>
      </c>
      <c r="K125" s="564" t="s">
        <v>1090</v>
      </c>
      <c r="L125" s="564" t="s">
        <v>1189</v>
      </c>
      <c r="M125" s="564" t="s">
        <v>1206</v>
      </c>
      <c r="N125" s="564" t="s">
        <v>45</v>
      </c>
      <c r="O125" s="564" t="s">
        <v>1207</v>
      </c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 spans="1:26" ht="13">
      <c r="A126" s="562" t="s">
        <v>202</v>
      </c>
      <c r="B126" s="563" t="s">
        <v>1396</v>
      </c>
      <c r="C126" s="564" t="s">
        <v>1076</v>
      </c>
      <c r="D126" s="565">
        <v>45292</v>
      </c>
      <c r="E126" s="565">
        <v>45657</v>
      </c>
      <c r="F126" s="566">
        <v>199325856</v>
      </c>
      <c r="G126" s="564" t="s">
        <v>1375</v>
      </c>
      <c r="H126" s="564" t="s">
        <v>1375</v>
      </c>
      <c r="I126" s="564" t="s">
        <v>70</v>
      </c>
      <c r="J126" s="564" t="s">
        <v>1079</v>
      </c>
      <c r="K126" s="564" t="s">
        <v>1120</v>
      </c>
      <c r="L126" s="564" t="s">
        <v>1071</v>
      </c>
      <c r="M126" s="564" t="s">
        <v>1124</v>
      </c>
      <c r="N126" s="564" t="s">
        <v>70</v>
      </c>
      <c r="O126" s="564" t="s">
        <v>1081</v>
      </c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 spans="1:26" ht="13">
      <c r="A127" s="562" t="s">
        <v>200</v>
      </c>
      <c r="B127" s="563" t="s">
        <v>1397</v>
      </c>
      <c r="C127" s="564" t="s">
        <v>1088</v>
      </c>
      <c r="D127" s="565">
        <v>45292</v>
      </c>
      <c r="E127" s="565">
        <v>45657</v>
      </c>
      <c r="F127" s="566">
        <v>345410403</v>
      </c>
      <c r="G127" s="564" t="s">
        <v>1375</v>
      </c>
      <c r="H127" s="564" t="s">
        <v>1375</v>
      </c>
      <c r="I127" s="564" t="s">
        <v>70</v>
      </c>
      <c r="J127" s="564" t="s">
        <v>1079</v>
      </c>
      <c r="K127" s="564" t="s">
        <v>1120</v>
      </c>
      <c r="L127" s="564" t="s">
        <v>1071</v>
      </c>
      <c r="M127" s="564" t="s">
        <v>1124</v>
      </c>
      <c r="N127" s="564" t="s">
        <v>70</v>
      </c>
      <c r="O127" s="564" t="s">
        <v>197</v>
      </c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 spans="1:26" ht="13">
      <c r="A128" s="562" t="s">
        <v>1398</v>
      </c>
      <c r="B128" s="563" t="s">
        <v>1399</v>
      </c>
      <c r="C128" s="564" t="s">
        <v>1088</v>
      </c>
      <c r="D128" s="565">
        <v>43971</v>
      </c>
      <c r="E128" s="565">
        <v>44335</v>
      </c>
      <c r="F128" s="566">
        <v>4180340</v>
      </c>
      <c r="G128" s="564" t="s">
        <v>1097</v>
      </c>
      <c r="H128" s="564" t="s">
        <v>1400</v>
      </c>
      <c r="I128" s="564" t="s">
        <v>70</v>
      </c>
      <c r="J128" s="564" t="s">
        <v>1069</v>
      </c>
      <c r="K128" s="564" t="s">
        <v>1120</v>
      </c>
      <c r="L128" s="564" t="s">
        <v>1080</v>
      </c>
      <c r="M128" s="564" t="s">
        <v>1081</v>
      </c>
      <c r="N128" s="564" t="s">
        <v>70</v>
      </c>
      <c r="O128" s="564" t="s">
        <v>197</v>
      </c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 spans="1:26" ht="13">
      <c r="A129" s="562" t="s">
        <v>1401</v>
      </c>
      <c r="B129" s="563" t="s">
        <v>1402</v>
      </c>
      <c r="C129" s="564" t="s">
        <v>1076</v>
      </c>
      <c r="D129" s="565">
        <v>43971</v>
      </c>
      <c r="E129" s="565">
        <v>44335</v>
      </c>
      <c r="F129" s="566">
        <v>8052128</v>
      </c>
      <c r="G129" s="564" t="s">
        <v>1297</v>
      </c>
      <c r="H129" s="564" t="s">
        <v>1400</v>
      </c>
      <c r="I129" s="564" t="s">
        <v>70</v>
      </c>
      <c r="J129" s="564" t="s">
        <v>1069</v>
      </c>
      <c r="K129" s="564" t="s">
        <v>1120</v>
      </c>
      <c r="L129" s="564" t="s">
        <v>1080</v>
      </c>
      <c r="M129" s="564" t="s">
        <v>1081</v>
      </c>
      <c r="N129" s="564" t="s">
        <v>70</v>
      </c>
      <c r="O129" s="564" t="s">
        <v>1081</v>
      </c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 spans="1:26" ht="13">
      <c r="A130" s="562" t="s">
        <v>1403</v>
      </c>
      <c r="B130" s="563" t="s">
        <v>1404</v>
      </c>
      <c r="C130" s="564" t="s">
        <v>1076</v>
      </c>
      <c r="D130" s="565">
        <v>43962</v>
      </c>
      <c r="E130" s="565">
        <v>43973</v>
      </c>
      <c r="F130" s="566">
        <v>11540000</v>
      </c>
      <c r="G130" s="564" t="s">
        <v>1405</v>
      </c>
      <c r="H130" s="564" t="s">
        <v>1405</v>
      </c>
      <c r="I130" s="564" t="s">
        <v>1406</v>
      </c>
      <c r="J130" s="564" t="s">
        <v>1069</v>
      </c>
      <c r="K130" s="564" t="s">
        <v>1120</v>
      </c>
      <c r="L130" s="564" t="s">
        <v>1080</v>
      </c>
      <c r="M130" s="564" t="s">
        <v>1081</v>
      </c>
      <c r="N130" s="564" t="s">
        <v>1073</v>
      </c>
      <c r="O130" s="564" t="s">
        <v>1081</v>
      </c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 spans="1:26" ht="13">
      <c r="A131" s="562" t="s">
        <v>1407</v>
      </c>
      <c r="B131" s="563" t="s">
        <v>1408</v>
      </c>
      <c r="C131" s="564" t="s">
        <v>1103</v>
      </c>
      <c r="D131" s="565">
        <v>43973</v>
      </c>
      <c r="E131" s="565">
        <v>45798</v>
      </c>
      <c r="F131" s="566">
        <v>46944000</v>
      </c>
      <c r="G131" s="564" t="s">
        <v>1405</v>
      </c>
      <c r="H131" s="564" t="s">
        <v>1405</v>
      </c>
      <c r="I131" s="564" t="s">
        <v>1406</v>
      </c>
      <c r="J131" s="564" t="s">
        <v>1079</v>
      </c>
      <c r="K131" s="564" t="s">
        <v>1120</v>
      </c>
      <c r="L131" s="564" t="s">
        <v>1080</v>
      </c>
      <c r="M131" s="564" t="s">
        <v>1081</v>
      </c>
      <c r="N131" s="564" t="s">
        <v>1073</v>
      </c>
      <c r="O131" s="564" t="s">
        <v>1081</v>
      </c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 spans="1:26" ht="13">
      <c r="A132" s="562" t="s">
        <v>1409</v>
      </c>
      <c r="B132" s="563" t="s">
        <v>1410</v>
      </c>
      <c r="C132" s="564" t="s">
        <v>1088</v>
      </c>
      <c r="D132" s="565">
        <v>43973</v>
      </c>
      <c r="E132" s="565">
        <v>45798</v>
      </c>
      <c r="F132" s="566">
        <v>87206334</v>
      </c>
      <c r="G132" s="564" t="s">
        <v>1405</v>
      </c>
      <c r="H132" s="564" t="s">
        <v>1405</v>
      </c>
      <c r="I132" s="564" t="s">
        <v>1406</v>
      </c>
      <c r="J132" s="564" t="s">
        <v>1079</v>
      </c>
      <c r="K132" s="564" t="s">
        <v>1120</v>
      </c>
      <c r="L132" s="564" t="s">
        <v>1080</v>
      </c>
      <c r="M132" s="564" t="s">
        <v>1081</v>
      </c>
      <c r="N132" s="564" t="s">
        <v>1073</v>
      </c>
      <c r="O132" s="564" t="s">
        <v>1081</v>
      </c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 spans="1:26" ht="13">
      <c r="A133" s="562" t="s">
        <v>1411</v>
      </c>
      <c r="B133" s="563" t="s">
        <v>1412</v>
      </c>
      <c r="C133" s="564" t="s">
        <v>1076</v>
      </c>
      <c r="D133" s="565">
        <v>43973</v>
      </c>
      <c r="E133" s="565">
        <v>45798</v>
      </c>
      <c r="F133" s="566">
        <v>255781446</v>
      </c>
      <c r="G133" s="564" t="s">
        <v>1405</v>
      </c>
      <c r="H133" s="564" t="s">
        <v>1405</v>
      </c>
      <c r="I133" s="564" t="s">
        <v>1406</v>
      </c>
      <c r="J133" s="564" t="s">
        <v>1079</v>
      </c>
      <c r="K133" s="564" t="s">
        <v>1120</v>
      </c>
      <c r="L133" s="564" t="s">
        <v>1080</v>
      </c>
      <c r="M133" s="564" t="s">
        <v>1081</v>
      </c>
      <c r="N133" s="564" t="s">
        <v>1073</v>
      </c>
      <c r="O133" s="564" t="s">
        <v>1081</v>
      </c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 spans="1:26" ht="13">
      <c r="A134" s="562" t="s">
        <v>1413</v>
      </c>
      <c r="B134" s="563" t="s">
        <v>1414</v>
      </c>
      <c r="C134" s="564" t="s">
        <v>1114</v>
      </c>
      <c r="D134" s="565">
        <v>44765</v>
      </c>
      <c r="E134" s="565">
        <v>45860</v>
      </c>
      <c r="F134" s="566">
        <v>127188000</v>
      </c>
      <c r="G134" s="564" t="s">
        <v>1197</v>
      </c>
      <c r="H134" s="564" t="s">
        <v>1116</v>
      </c>
      <c r="I134" s="564" t="s">
        <v>257</v>
      </c>
      <c r="J134" s="564" t="s">
        <v>1079</v>
      </c>
      <c r="K134" s="564" t="s">
        <v>1209</v>
      </c>
      <c r="L134" s="564" t="s">
        <v>1117</v>
      </c>
      <c r="M134" s="564" t="s">
        <v>1199</v>
      </c>
      <c r="N134" s="564" t="s">
        <v>257</v>
      </c>
      <c r="O134" s="564" t="s">
        <v>1081</v>
      </c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 spans="1:26" ht="13">
      <c r="A135" s="562" t="s">
        <v>1415</v>
      </c>
      <c r="B135" s="563" t="s">
        <v>1416</v>
      </c>
      <c r="C135" s="564" t="s">
        <v>1088</v>
      </c>
      <c r="D135" s="565">
        <v>45017</v>
      </c>
      <c r="E135" s="565">
        <v>46112</v>
      </c>
      <c r="F135" s="566">
        <v>41238000</v>
      </c>
      <c r="G135" s="564" t="s">
        <v>1032</v>
      </c>
      <c r="H135" s="564" t="s">
        <v>1123</v>
      </c>
      <c r="I135" s="564" t="s">
        <v>1417</v>
      </c>
      <c r="J135" s="564" t="s">
        <v>1079</v>
      </c>
      <c r="K135" s="564" t="s">
        <v>1070</v>
      </c>
      <c r="L135" s="564" t="s">
        <v>1071</v>
      </c>
      <c r="M135" s="564" t="s">
        <v>1183</v>
      </c>
      <c r="N135" s="564" t="s">
        <v>1082</v>
      </c>
      <c r="O135" s="564" t="s">
        <v>1184</v>
      </c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 spans="1:26" ht="13">
      <c r="A136" s="562" t="s">
        <v>1418</v>
      </c>
      <c r="B136" s="563" t="s">
        <v>1419</v>
      </c>
      <c r="C136" s="564" t="s">
        <v>1114</v>
      </c>
      <c r="D136" s="565">
        <v>43709</v>
      </c>
      <c r="E136" s="565">
        <v>44074</v>
      </c>
      <c r="F136" s="566">
        <v>23413344</v>
      </c>
      <c r="G136" s="564" t="s">
        <v>1420</v>
      </c>
      <c r="H136" s="564" t="s">
        <v>674</v>
      </c>
      <c r="I136" s="564" t="s">
        <v>45</v>
      </c>
      <c r="J136" s="564" t="s">
        <v>1069</v>
      </c>
      <c r="K136" s="564" t="s">
        <v>1090</v>
      </c>
      <c r="L136" s="564" t="s">
        <v>1117</v>
      </c>
      <c r="M136" s="564" t="s">
        <v>1199</v>
      </c>
      <c r="N136" s="564" t="s">
        <v>45</v>
      </c>
      <c r="O136" s="564" t="s">
        <v>1081</v>
      </c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 spans="1:26" ht="13">
      <c r="A137" s="562" t="s">
        <v>1421</v>
      </c>
      <c r="B137" s="563" t="s">
        <v>1422</v>
      </c>
      <c r="C137" s="564" t="s">
        <v>1271</v>
      </c>
      <c r="D137" s="565">
        <v>43862</v>
      </c>
      <c r="E137" s="565">
        <v>44926</v>
      </c>
      <c r="F137" s="566">
        <v>18200000</v>
      </c>
      <c r="G137" s="564" t="s">
        <v>1423</v>
      </c>
      <c r="H137" s="564" t="s">
        <v>1424</v>
      </c>
      <c r="I137" s="564" t="s">
        <v>64</v>
      </c>
      <c r="J137" s="564" t="s">
        <v>1069</v>
      </c>
      <c r="K137" s="564" t="s">
        <v>1090</v>
      </c>
      <c r="L137" s="564" t="s">
        <v>1071</v>
      </c>
      <c r="M137" s="564" t="s">
        <v>1124</v>
      </c>
      <c r="N137" s="564" t="s">
        <v>64</v>
      </c>
      <c r="O137" s="564" t="s">
        <v>1425</v>
      </c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 spans="1:26" ht="13">
      <c r="A138" s="562" t="s">
        <v>97</v>
      </c>
      <c r="B138" s="563" t="s">
        <v>1426</v>
      </c>
      <c r="C138" s="564" t="s">
        <v>1114</v>
      </c>
      <c r="D138" s="565">
        <v>45536</v>
      </c>
      <c r="E138" s="565">
        <v>45900</v>
      </c>
      <c r="F138" s="566">
        <v>67200000</v>
      </c>
      <c r="G138" s="564" t="s">
        <v>1266</v>
      </c>
      <c r="H138" s="564" t="s">
        <v>1116</v>
      </c>
      <c r="I138" s="564" t="s">
        <v>45</v>
      </c>
      <c r="J138" s="564" t="s">
        <v>1079</v>
      </c>
      <c r="K138" s="564" t="s">
        <v>1090</v>
      </c>
      <c r="L138" s="564" t="s">
        <v>1117</v>
      </c>
      <c r="M138" s="564" t="s">
        <v>1199</v>
      </c>
      <c r="N138" s="564" t="s">
        <v>45</v>
      </c>
      <c r="O138" s="564" t="s">
        <v>1081</v>
      </c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 spans="1:26" ht="13">
      <c r="A139" s="562" t="s">
        <v>1427</v>
      </c>
      <c r="B139" s="563" t="s">
        <v>1428</v>
      </c>
      <c r="C139" s="564" t="s">
        <v>1114</v>
      </c>
      <c r="D139" s="565">
        <v>44765</v>
      </c>
      <c r="E139" s="565">
        <v>45860</v>
      </c>
      <c r="F139" s="566">
        <v>2264039331</v>
      </c>
      <c r="G139" s="564" t="s">
        <v>1197</v>
      </c>
      <c r="H139" s="564" t="s">
        <v>1116</v>
      </c>
      <c r="I139" s="564" t="s">
        <v>125</v>
      </c>
      <c r="J139" s="564" t="s">
        <v>1079</v>
      </c>
      <c r="K139" s="564" t="s">
        <v>1070</v>
      </c>
      <c r="L139" s="564" t="s">
        <v>1117</v>
      </c>
      <c r="M139" s="564" t="s">
        <v>1199</v>
      </c>
      <c r="N139" s="564" t="s">
        <v>1073</v>
      </c>
      <c r="O139" s="564" t="s">
        <v>1081</v>
      </c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 spans="1:26" ht="13">
      <c r="A140" s="562" t="s">
        <v>1429</v>
      </c>
      <c r="B140" s="563" t="s">
        <v>1430</v>
      </c>
      <c r="C140" s="564" t="s">
        <v>1103</v>
      </c>
      <c r="D140" s="565">
        <v>43819</v>
      </c>
      <c r="E140" s="565">
        <v>45645</v>
      </c>
      <c r="F140" s="566">
        <v>53416500</v>
      </c>
      <c r="G140" s="564" t="s">
        <v>1431</v>
      </c>
      <c r="H140" s="564" t="s">
        <v>1157</v>
      </c>
      <c r="I140" s="564" t="s">
        <v>170</v>
      </c>
      <c r="J140" s="564" t="s">
        <v>1079</v>
      </c>
      <c r="K140" s="564" t="s">
        <v>1105</v>
      </c>
      <c r="L140" s="564" t="s">
        <v>1071</v>
      </c>
      <c r="M140" s="564" t="s">
        <v>251</v>
      </c>
      <c r="N140" s="564" t="s">
        <v>170</v>
      </c>
      <c r="O140" s="564" t="s">
        <v>251</v>
      </c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 spans="1:26" ht="13">
      <c r="A141" s="562" t="s">
        <v>224</v>
      </c>
      <c r="B141" s="563" t="s">
        <v>1432</v>
      </c>
      <c r="C141" s="564" t="s">
        <v>1088</v>
      </c>
      <c r="D141" s="565">
        <v>45505</v>
      </c>
      <c r="E141" s="565">
        <v>46387</v>
      </c>
      <c r="F141" s="566">
        <v>11426000</v>
      </c>
      <c r="G141" s="564" t="s">
        <v>1032</v>
      </c>
      <c r="H141" s="564" t="s">
        <v>1032</v>
      </c>
      <c r="I141" s="564" t="s">
        <v>802</v>
      </c>
      <c r="J141" s="564" t="s">
        <v>1079</v>
      </c>
      <c r="K141" s="564" t="s">
        <v>1198</v>
      </c>
      <c r="L141" s="564" t="s">
        <v>1071</v>
      </c>
      <c r="M141" s="564" t="s">
        <v>1183</v>
      </c>
      <c r="N141" s="564" t="s">
        <v>132</v>
      </c>
      <c r="O141" s="564" t="s">
        <v>1184</v>
      </c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 spans="1:26" ht="13">
      <c r="A142" s="562" t="s">
        <v>1433</v>
      </c>
      <c r="B142" s="563" t="s">
        <v>1434</v>
      </c>
      <c r="C142" s="564" t="s">
        <v>1088</v>
      </c>
      <c r="D142" s="565">
        <v>43800</v>
      </c>
      <c r="E142" s="565">
        <v>45626</v>
      </c>
      <c r="F142" s="566">
        <v>31165000000</v>
      </c>
      <c r="G142" s="564" t="s">
        <v>1345</v>
      </c>
      <c r="H142" s="564" t="s">
        <v>1345</v>
      </c>
      <c r="I142" s="564" t="s">
        <v>45</v>
      </c>
      <c r="J142" s="564" t="s">
        <v>1079</v>
      </c>
      <c r="K142" s="564" t="s">
        <v>1090</v>
      </c>
      <c r="L142" s="564" t="s">
        <v>1071</v>
      </c>
      <c r="M142" s="564" t="s">
        <v>1183</v>
      </c>
      <c r="N142" s="564" t="s">
        <v>45</v>
      </c>
      <c r="O142" s="564" t="s">
        <v>1184</v>
      </c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 spans="1:26" ht="13">
      <c r="A143" s="562" t="s">
        <v>1435</v>
      </c>
      <c r="B143" s="563" t="s">
        <v>1436</v>
      </c>
      <c r="C143" s="564" t="s">
        <v>1088</v>
      </c>
      <c r="D143" s="565">
        <v>43770</v>
      </c>
      <c r="E143" s="565">
        <v>45596</v>
      </c>
      <c r="F143" s="566">
        <v>59445000</v>
      </c>
      <c r="G143" s="564" t="s">
        <v>1375</v>
      </c>
      <c r="H143" s="564" t="s">
        <v>1157</v>
      </c>
      <c r="I143" s="564" t="s">
        <v>170</v>
      </c>
      <c r="J143" s="564" t="s">
        <v>1079</v>
      </c>
      <c r="K143" s="564" t="s">
        <v>1105</v>
      </c>
      <c r="L143" s="564" t="s">
        <v>1262</v>
      </c>
      <c r="M143" s="564" t="s">
        <v>1263</v>
      </c>
      <c r="N143" s="564" t="s">
        <v>170</v>
      </c>
      <c r="O143" s="564" t="s">
        <v>1264</v>
      </c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 spans="1:26" ht="13">
      <c r="A144" s="562" t="s">
        <v>1437</v>
      </c>
      <c r="B144" s="563" t="s">
        <v>1438</v>
      </c>
      <c r="C144" s="564" t="s">
        <v>1103</v>
      </c>
      <c r="D144" s="565">
        <v>43749</v>
      </c>
      <c r="E144" s="565">
        <v>47766</v>
      </c>
      <c r="F144" s="566">
        <v>3324000</v>
      </c>
      <c r="G144" s="564" t="s">
        <v>1148</v>
      </c>
      <c r="H144" s="564" t="s">
        <v>1400</v>
      </c>
      <c r="I144" s="564" t="s">
        <v>1439</v>
      </c>
      <c r="J144" s="564" t="s">
        <v>1079</v>
      </c>
      <c r="K144" s="564" t="s">
        <v>1105</v>
      </c>
      <c r="L144" s="564" t="s">
        <v>1080</v>
      </c>
      <c r="M144" s="564" t="s">
        <v>1081</v>
      </c>
      <c r="N144" s="564" t="s">
        <v>1082</v>
      </c>
      <c r="O144" s="564" t="s">
        <v>1081</v>
      </c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 spans="1:26" ht="13">
      <c r="A145" s="562" t="s">
        <v>1440</v>
      </c>
      <c r="B145" s="563" t="s">
        <v>1441</v>
      </c>
      <c r="C145" s="564" t="s">
        <v>1088</v>
      </c>
      <c r="D145" s="565">
        <v>43749</v>
      </c>
      <c r="E145" s="565">
        <v>47766</v>
      </c>
      <c r="F145" s="566">
        <v>17746403</v>
      </c>
      <c r="G145" s="564" t="s">
        <v>1442</v>
      </c>
      <c r="H145" s="564" t="s">
        <v>1400</v>
      </c>
      <c r="I145" s="564" t="s">
        <v>1439</v>
      </c>
      <c r="J145" s="564" t="s">
        <v>1372</v>
      </c>
      <c r="K145" s="564" t="s">
        <v>1105</v>
      </c>
      <c r="L145" s="564" t="s">
        <v>1080</v>
      </c>
      <c r="M145" s="564" t="s">
        <v>1081</v>
      </c>
      <c r="N145" s="564" t="s">
        <v>1082</v>
      </c>
      <c r="O145" s="564" t="s">
        <v>1081</v>
      </c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 spans="1:26" ht="13">
      <c r="A146" s="562" t="s">
        <v>1443</v>
      </c>
      <c r="B146" s="563" t="s">
        <v>1444</v>
      </c>
      <c r="C146" s="564" t="s">
        <v>1076</v>
      </c>
      <c r="D146" s="565">
        <v>43749</v>
      </c>
      <c r="E146" s="565">
        <v>47766</v>
      </c>
      <c r="F146" s="566">
        <v>44842273</v>
      </c>
      <c r="G146" s="564" t="s">
        <v>1297</v>
      </c>
      <c r="H146" s="564" t="s">
        <v>1077</v>
      </c>
      <c r="I146" s="564" t="s">
        <v>1439</v>
      </c>
      <c r="J146" s="564" t="s">
        <v>1079</v>
      </c>
      <c r="K146" s="564" t="s">
        <v>1105</v>
      </c>
      <c r="L146" s="564" t="s">
        <v>1080</v>
      </c>
      <c r="M146" s="564" t="s">
        <v>1081</v>
      </c>
      <c r="N146" s="564" t="s">
        <v>1082</v>
      </c>
      <c r="O146" s="564" t="s">
        <v>1081</v>
      </c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 spans="1:26" ht="13">
      <c r="A147" s="562" t="s">
        <v>1445</v>
      </c>
      <c r="B147" s="563" t="s">
        <v>1446</v>
      </c>
      <c r="C147" s="564" t="s">
        <v>1103</v>
      </c>
      <c r="D147" s="565">
        <v>45292</v>
      </c>
      <c r="E147" s="565">
        <v>45657</v>
      </c>
      <c r="F147" s="566">
        <v>13032000</v>
      </c>
      <c r="G147" s="564" t="s">
        <v>1148</v>
      </c>
      <c r="H147" s="564" t="s">
        <v>1148</v>
      </c>
      <c r="I147" s="564" t="s">
        <v>70</v>
      </c>
      <c r="J147" s="564" t="s">
        <v>1079</v>
      </c>
      <c r="K147" s="564" t="s">
        <v>1120</v>
      </c>
      <c r="L147" s="564" t="s">
        <v>1071</v>
      </c>
      <c r="M147" s="564" t="s">
        <v>251</v>
      </c>
      <c r="N147" s="564" t="s">
        <v>70</v>
      </c>
      <c r="O147" s="564" t="s">
        <v>251</v>
      </c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 spans="1:26" ht="13">
      <c r="A148" s="562" t="s">
        <v>174</v>
      </c>
      <c r="B148" s="563" t="s">
        <v>1447</v>
      </c>
      <c r="C148" s="564" t="s">
        <v>1103</v>
      </c>
      <c r="D148" s="565">
        <v>45292</v>
      </c>
      <c r="E148" s="565">
        <v>45657</v>
      </c>
      <c r="F148" s="566">
        <v>78260000</v>
      </c>
      <c r="G148" s="564" t="s">
        <v>1148</v>
      </c>
      <c r="H148" s="564" t="s">
        <v>1148</v>
      </c>
      <c r="I148" s="564" t="s">
        <v>170</v>
      </c>
      <c r="J148" s="564" t="s">
        <v>1079</v>
      </c>
      <c r="K148" s="564" t="s">
        <v>1105</v>
      </c>
      <c r="L148" s="564" t="s">
        <v>1071</v>
      </c>
      <c r="M148" s="564" t="s">
        <v>251</v>
      </c>
      <c r="N148" s="564" t="s">
        <v>170</v>
      </c>
      <c r="O148" s="564" t="s">
        <v>251</v>
      </c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 spans="1:26" ht="13">
      <c r="A149" s="562" t="s">
        <v>272</v>
      </c>
      <c r="B149" s="563" t="s">
        <v>1448</v>
      </c>
      <c r="C149" s="564" t="s">
        <v>1136</v>
      </c>
      <c r="D149" s="565">
        <v>45292</v>
      </c>
      <c r="E149" s="565">
        <v>45657</v>
      </c>
      <c r="F149" s="566">
        <v>254580000</v>
      </c>
      <c r="G149" s="564" t="s">
        <v>1138</v>
      </c>
      <c r="H149" s="564" t="s">
        <v>297</v>
      </c>
      <c r="I149" s="564" t="s">
        <v>257</v>
      </c>
      <c r="J149" s="564" t="s">
        <v>1079</v>
      </c>
      <c r="K149" s="564" t="s">
        <v>1209</v>
      </c>
      <c r="L149" s="564" t="s">
        <v>1189</v>
      </c>
      <c r="M149" s="564" t="s">
        <v>249</v>
      </c>
      <c r="N149" s="564" t="s">
        <v>257</v>
      </c>
      <c r="O149" s="564" t="s">
        <v>249</v>
      </c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 spans="1:26" ht="13">
      <c r="A150" s="562" t="s">
        <v>1449</v>
      </c>
      <c r="B150" s="563" t="s">
        <v>1450</v>
      </c>
      <c r="C150" s="564" t="s">
        <v>1114</v>
      </c>
      <c r="D150" s="565">
        <v>44765</v>
      </c>
      <c r="E150" s="565">
        <v>45860</v>
      </c>
      <c r="F150" s="566">
        <v>4148955233</v>
      </c>
      <c r="G150" s="564" t="s">
        <v>1451</v>
      </c>
      <c r="H150" s="564" t="s">
        <v>1116</v>
      </c>
      <c r="I150" s="564" t="s">
        <v>45</v>
      </c>
      <c r="J150" s="564" t="s">
        <v>1372</v>
      </c>
      <c r="K150" s="564" t="s">
        <v>1090</v>
      </c>
      <c r="L150" s="564" t="s">
        <v>1117</v>
      </c>
      <c r="M150" s="564" t="s">
        <v>1199</v>
      </c>
      <c r="N150" s="564" t="s">
        <v>45</v>
      </c>
      <c r="O150" s="564" t="s">
        <v>1081</v>
      </c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 spans="1:26" ht="13">
      <c r="A151" s="562" t="s">
        <v>49</v>
      </c>
      <c r="B151" s="563" t="s">
        <v>1452</v>
      </c>
      <c r="C151" s="564" t="s">
        <v>278</v>
      </c>
      <c r="D151" s="565">
        <v>45292</v>
      </c>
      <c r="E151" s="565">
        <v>45657</v>
      </c>
      <c r="F151" s="566">
        <v>2007000000</v>
      </c>
      <c r="G151" s="564" t="s">
        <v>291</v>
      </c>
      <c r="H151" s="564" t="s">
        <v>291</v>
      </c>
      <c r="I151" s="564" t="s">
        <v>45</v>
      </c>
      <c r="J151" s="564" t="s">
        <v>1079</v>
      </c>
      <c r="K151" s="564" t="s">
        <v>1090</v>
      </c>
      <c r="L151" s="564" t="s">
        <v>1189</v>
      </c>
      <c r="M151" s="564" t="s">
        <v>1189</v>
      </c>
      <c r="N151" s="564" t="s">
        <v>45</v>
      </c>
      <c r="O151" s="564" t="s">
        <v>1193</v>
      </c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 spans="1:26" ht="13">
      <c r="A152" s="562" t="s">
        <v>1453</v>
      </c>
      <c r="B152" s="563" t="s">
        <v>1454</v>
      </c>
      <c r="C152" s="564" t="s">
        <v>1455</v>
      </c>
      <c r="D152" s="565">
        <v>43466</v>
      </c>
      <c r="E152" s="565">
        <v>43830</v>
      </c>
      <c r="F152" s="566"/>
      <c r="G152" s="564" t="s">
        <v>1312</v>
      </c>
      <c r="H152" s="564" t="s">
        <v>1216</v>
      </c>
      <c r="I152" s="564" t="s">
        <v>121</v>
      </c>
      <c r="J152" s="564" t="s">
        <v>1069</v>
      </c>
      <c r="K152" s="564" t="s">
        <v>1105</v>
      </c>
      <c r="L152" s="564" t="s">
        <v>1071</v>
      </c>
      <c r="M152" s="564" t="s">
        <v>1091</v>
      </c>
      <c r="N152" s="564" t="s">
        <v>1073</v>
      </c>
      <c r="O152" s="564" t="s">
        <v>241</v>
      </c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 spans="1:26" ht="13">
      <c r="A153" s="562" t="s">
        <v>1456</v>
      </c>
      <c r="B153" s="563" t="s">
        <v>1457</v>
      </c>
      <c r="C153" s="564" t="s">
        <v>1103</v>
      </c>
      <c r="D153" s="565">
        <v>44811</v>
      </c>
      <c r="E153" s="565">
        <v>46636</v>
      </c>
      <c r="F153" s="566">
        <v>34320000</v>
      </c>
      <c r="G153" s="564" t="s">
        <v>1148</v>
      </c>
      <c r="H153" s="564" t="s">
        <v>1458</v>
      </c>
      <c r="I153" s="564" t="s">
        <v>225</v>
      </c>
      <c r="J153" s="564" t="s">
        <v>1079</v>
      </c>
      <c r="K153" s="564" t="s">
        <v>1105</v>
      </c>
      <c r="L153" s="564" t="s">
        <v>1071</v>
      </c>
      <c r="M153" s="564" t="s">
        <v>251</v>
      </c>
      <c r="N153" s="564" t="s">
        <v>225</v>
      </c>
      <c r="O153" s="564" t="s">
        <v>251</v>
      </c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 spans="1:26" ht="13">
      <c r="A154" s="562" t="s">
        <v>1459</v>
      </c>
      <c r="B154" s="563" t="s">
        <v>1460</v>
      </c>
      <c r="C154" s="564" t="s">
        <v>1271</v>
      </c>
      <c r="D154" s="565">
        <v>44866</v>
      </c>
      <c r="E154" s="565">
        <v>45230</v>
      </c>
      <c r="F154" s="566">
        <v>19440000</v>
      </c>
      <c r="G154" s="564" t="s">
        <v>1312</v>
      </c>
      <c r="H154" s="564" t="s">
        <v>1273</v>
      </c>
      <c r="I154" s="564" t="s">
        <v>121</v>
      </c>
      <c r="J154" s="564" t="s">
        <v>1079</v>
      </c>
      <c r="K154" s="564" t="s">
        <v>1105</v>
      </c>
      <c r="L154" s="564" t="s">
        <v>1274</v>
      </c>
      <c r="M154" s="564" t="s">
        <v>1275</v>
      </c>
      <c r="N154" s="564" t="s">
        <v>1073</v>
      </c>
      <c r="O154" s="564" t="s">
        <v>1274</v>
      </c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 spans="1:26" ht="13">
      <c r="A155" s="562" t="s">
        <v>1461</v>
      </c>
      <c r="B155" s="563" t="s">
        <v>1462</v>
      </c>
      <c r="C155" s="564" t="s">
        <v>1271</v>
      </c>
      <c r="D155" s="565">
        <v>44995</v>
      </c>
      <c r="E155" s="565">
        <v>48647</v>
      </c>
      <c r="F155" s="566">
        <v>168840000</v>
      </c>
      <c r="G155" s="564" t="s">
        <v>1312</v>
      </c>
      <c r="H155" s="564" t="s">
        <v>1273</v>
      </c>
      <c r="I155" s="564" t="s">
        <v>70</v>
      </c>
      <c r="J155" s="564" t="s">
        <v>1079</v>
      </c>
      <c r="K155" s="564" t="s">
        <v>1120</v>
      </c>
      <c r="L155" s="564" t="s">
        <v>1274</v>
      </c>
      <c r="M155" s="564" t="s">
        <v>1275</v>
      </c>
      <c r="N155" s="564" t="s">
        <v>70</v>
      </c>
      <c r="O155" s="564" t="s">
        <v>1274</v>
      </c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 spans="1:26" ht="13">
      <c r="A156" s="562" t="s">
        <v>1463</v>
      </c>
      <c r="B156" s="563" t="s">
        <v>1464</v>
      </c>
      <c r="C156" s="564" t="s">
        <v>1271</v>
      </c>
      <c r="D156" s="565">
        <v>44562</v>
      </c>
      <c r="E156" s="565">
        <v>44926</v>
      </c>
      <c r="F156" s="566">
        <v>31020000</v>
      </c>
      <c r="G156" s="564" t="s">
        <v>1312</v>
      </c>
      <c r="H156" s="564" t="s">
        <v>1273</v>
      </c>
      <c r="I156" s="564" t="s">
        <v>225</v>
      </c>
      <c r="J156" s="564" t="s">
        <v>1079</v>
      </c>
      <c r="K156" s="564" t="s">
        <v>1105</v>
      </c>
      <c r="L156" s="564" t="s">
        <v>1274</v>
      </c>
      <c r="M156" s="564" t="s">
        <v>1275</v>
      </c>
      <c r="N156" s="564" t="s">
        <v>225</v>
      </c>
      <c r="O156" s="564" t="s">
        <v>1274</v>
      </c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 spans="1:26" ht="13">
      <c r="A157" s="562" t="s">
        <v>1465</v>
      </c>
      <c r="B157" s="563" t="s">
        <v>1466</v>
      </c>
      <c r="C157" s="564" t="s">
        <v>1271</v>
      </c>
      <c r="D157" s="565">
        <v>44682</v>
      </c>
      <c r="E157" s="565">
        <v>45046</v>
      </c>
      <c r="F157" s="566">
        <v>600000</v>
      </c>
      <c r="G157" s="564" t="s">
        <v>1312</v>
      </c>
      <c r="H157" s="564" t="s">
        <v>1273</v>
      </c>
      <c r="I157" s="564" t="s">
        <v>146</v>
      </c>
      <c r="J157" s="564" t="s">
        <v>1079</v>
      </c>
      <c r="K157" s="564" t="s">
        <v>1070</v>
      </c>
      <c r="L157" s="564" t="s">
        <v>1274</v>
      </c>
      <c r="M157" s="564" t="s">
        <v>1275</v>
      </c>
      <c r="N157" s="564" t="s">
        <v>1073</v>
      </c>
      <c r="O157" s="564" t="s">
        <v>1274</v>
      </c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 spans="1:26" ht="13">
      <c r="A158" s="562" t="s">
        <v>1467</v>
      </c>
      <c r="B158" s="563" t="s">
        <v>1468</v>
      </c>
      <c r="C158" s="564" t="s">
        <v>1271</v>
      </c>
      <c r="D158" s="565">
        <v>44562</v>
      </c>
      <c r="E158" s="565">
        <v>44926</v>
      </c>
      <c r="F158" s="566">
        <v>20400000</v>
      </c>
      <c r="G158" s="564" t="s">
        <v>1312</v>
      </c>
      <c r="H158" s="564" t="s">
        <v>1273</v>
      </c>
      <c r="I158" s="564" t="s">
        <v>170</v>
      </c>
      <c r="J158" s="564" t="s">
        <v>1079</v>
      </c>
      <c r="K158" s="564" t="s">
        <v>1105</v>
      </c>
      <c r="L158" s="564" t="s">
        <v>1274</v>
      </c>
      <c r="M158" s="564" t="s">
        <v>1275</v>
      </c>
      <c r="N158" s="564" t="s">
        <v>170</v>
      </c>
      <c r="O158" s="564" t="s">
        <v>1274</v>
      </c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 spans="1:26" ht="13">
      <c r="A159" s="562" t="s">
        <v>1469</v>
      </c>
      <c r="B159" s="563" t="s">
        <v>1470</v>
      </c>
      <c r="C159" s="564" t="s">
        <v>1114</v>
      </c>
      <c r="D159" s="565">
        <v>43831</v>
      </c>
      <c r="E159" s="565">
        <v>44561</v>
      </c>
      <c r="F159" s="566">
        <v>25000000</v>
      </c>
      <c r="G159" s="564" t="s">
        <v>1366</v>
      </c>
      <c r="H159" s="564" t="s">
        <v>1366</v>
      </c>
      <c r="I159" s="564" t="s">
        <v>1471</v>
      </c>
      <c r="J159" s="564" t="s">
        <v>1069</v>
      </c>
      <c r="K159" s="564" t="s">
        <v>1070</v>
      </c>
      <c r="L159" s="564" t="s">
        <v>1071</v>
      </c>
      <c r="M159" s="564" t="s">
        <v>1183</v>
      </c>
      <c r="N159" s="564" t="s">
        <v>1082</v>
      </c>
      <c r="O159" s="564" t="s">
        <v>1472</v>
      </c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 spans="1:26" ht="13">
      <c r="A160" s="562" t="s">
        <v>1473</v>
      </c>
      <c r="B160" s="563" t="s">
        <v>1474</v>
      </c>
      <c r="C160" s="564" t="s">
        <v>1475</v>
      </c>
      <c r="D160" s="565">
        <v>43831</v>
      </c>
      <c r="E160" s="565">
        <v>44561</v>
      </c>
      <c r="F160" s="566">
        <v>450671</v>
      </c>
      <c r="G160" s="564" t="s">
        <v>1366</v>
      </c>
      <c r="H160" s="564" t="s">
        <v>1366</v>
      </c>
      <c r="I160" s="564" t="s">
        <v>146</v>
      </c>
      <c r="J160" s="564" t="s">
        <v>1069</v>
      </c>
      <c r="K160" s="564" t="s">
        <v>1070</v>
      </c>
      <c r="L160" s="564" t="s">
        <v>1071</v>
      </c>
      <c r="M160" s="564" t="s">
        <v>1183</v>
      </c>
      <c r="N160" s="564" t="s">
        <v>1073</v>
      </c>
      <c r="O160" s="564" t="s">
        <v>1472</v>
      </c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 spans="1:26" ht="13">
      <c r="A161" s="562" t="s">
        <v>1476</v>
      </c>
      <c r="B161" s="563" t="s">
        <v>1477</v>
      </c>
      <c r="C161" s="564" t="s">
        <v>353</v>
      </c>
      <c r="D161" s="565">
        <v>43831</v>
      </c>
      <c r="E161" s="565">
        <v>44561</v>
      </c>
      <c r="F161" s="566">
        <v>236270000</v>
      </c>
      <c r="G161" s="564" t="s">
        <v>1366</v>
      </c>
      <c r="H161" s="564" t="s">
        <v>1366</v>
      </c>
      <c r="I161" s="564" t="s">
        <v>45</v>
      </c>
      <c r="J161" s="564" t="s">
        <v>1069</v>
      </c>
      <c r="K161" s="564" t="s">
        <v>1090</v>
      </c>
      <c r="L161" s="564" t="s">
        <v>1071</v>
      </c>
      <c r="M161" s="564" t="s">
        <v>1183</v>
      </c>
      <c r="N161" s="564" t="s">
        <v>45</v>
      </c>
      <c r="O161" s="564" t="s">
        <v>1472</v>
      </c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 spans="1:26" ht="13">
      <c r="A162" s="562" t="s">
        <v>1478</v>
      </c>
      <c r="B162" s="563" t="s">
        <v>1479</v>
      </c>
      <c r="C162" s="564" t="s">
        <v>1088</v>
      </c>
      <c r="D162" s="565">
        <v>43705</v>
      </c>
      <c r="E162" s="565">
        <v>44800</v>
      </c>
      <c r="F162" s="566">
        <v>117454250</v>
      </c>
      <c r="G162" s="564" t="s">
        <v>1400</v>
      </c>
      <c r="H162" s="564" t="s">
        <v>1400</v>
      </c>
      <c r="I162" s="564" t="s">
        <v>1480</v>
      </c>
      <c r="J162" s="564" t="s">
        <v>1079</v>
      </c>
      <c r="K162" s="564" t="s">
        <v>1120</v>
      </c>
      <c r="L162" s="564" t="s">
        <v>1117</v>
      </c>
      <c r="M162" s="564" t="s">
        <v>1118</v>
      </c>
      <c r="N162" s="564" t="s">
        <v>1082</v>
      </c>
      <c r="O162" s="564" t="s">
        <v>1081</v>
      </c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 spans="1:26" ht="13">
      <c r="A163" s="562" t="s">
        <v>89</v>
      </c>
      <c r="B163" s="563" t="s">
        <v>1481</v>
      </c>
      <c r="C163" s="564" t="s">
        <v>1204</v>
      </c>
      <c r="D163" s="565">
        <v>43374</v>
      </c>
      <c r="E163" s="565">
        <v>45565</v>
      </c>
      <c r="F163" s="566">
        <v>456863976</v>
      </c>
      <c r="G163" s="564" t="s">
        <v>1420</v>
      </c>
      <c r="H163" s="564" t="s">
        <v>1420</v>
      </c>
      <c r="I163" s="564" t="s">
        <v>45</v>
      </c>
      <c r="J163" s="564" t="s">
        <v>1079</v>
      </c>
      <c r="K163" s="564" t="s">
        <v>1090</v>
      </c>
      <c r="L163" s="564" t="s">
        <v>1189</v>
      </c>
      <c r="M163" s="564" t="s">
        <v>1206</v>
      </c>
      <c r="N163" s="564" t="s">
        <v>45</v>
      </c>
      <c r="O163" s="564" t="s">
        <v>1207</v>
      </c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spans="1:26" ht="13">
      <c r="A164" s="562" t="s">
        <v>1482</v>
      </c>
      <c r="B164" s="563" t="s">
        <v>1483</v>
      </c>
      <c r="C164" s="564" t="s">
        <v>1114</v>
      </c>
      <c r="D164" s="565">
        <v>44072</v>
      </c>
      <c r="E164" s="565">
        <v>44436</v>
      </c>
      <c r="F164" s="566">
        <v>12204000</v>
      </c>
      <c r="G164" s="564" t="s">
        <v>1268</v>
      </c>
      <c r="H164" s="564" t="s">
        <v>1366</v>
      </c>
      <c r="I164" s="564" t="s">
        <v>1484</v>
      </c>
      <c r="J164" s="564" t="s">
        <v>1079</v>
      </c>
      <c r="K164" s="564" t="s">
        <v>1070</v>
      </c>
      <c r="L164" s="564" t="s">
        <v>1117</v>
      </c>
      <c r="M164" s="564" t="s">
        <v>1118</v>
      </c>
      <c r="N164" s="564" t="s">
        <v>1082</v>
      </c>
      <c r="O164" s="564" t="s">
        <v>1081</v>
      </c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 spans="1:26" ht="13">
      <c r="A165" s="562" t="s">
        <v>1485</v>
      </c>
      <c r="B165" s="563" t="s">
        <v>1486</v>
      </c>
      <c r="C165" s="564" t="s">
        <v>1076</v>
      </c>
      <c r="D165" s="565">
        <v>43705</v>
      </c>
      <c r="E165" s="565">
        <v>44800</v>
      </c>
      <c r="F165" s="566">
        <v>117454250</v>
      </c>
      <c r="G165" s="564" t="s">
        <v>1297</v>
      </c>
      <c r="H165" s="564" t="s">
        <v>1400</v>
      </c>
      <c r="I165" s="564" t="s">
        <v>1480</v>
      </c>
      <c r="J165" s="564" t="s">
        <v>1079</v>
      </c>
      <c r="K165" s="564" t="s">
        <v>1120</v>
      </c>
      <c r="L165" s="564" t="s">
        <v>1117</v>
      </c>
      <c r="M165" s="564" t="s">
        <v>1118</v>
      </c>
      <c r="N165" s="564" t="s">
        <v>1082</v>
      </c>
      <c r="O165" s="564" t="s">
        <v>1081</v>
      </c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 spans="1:26" ht="13">
      <c r="A166" s="562" t="s">
        <v>1487</v>
      </c>
      <c r="B166" s="563" t="s">
        <v>1488</v>
      </c>
      <c r="C166" s="564" t="s">
        <v>1088</v>
      </c>
      <c r="D166" s="565">
        <v>43374</v>
      </c>
      <c r="E166" s="565">
        <v>45657</v>
      </c>
      <c r="F166" s="566">
        <v>289008000</v>
      </c>
      <c r="G166" s="564" t="s">
        <v>1122</v>
      </c>
      <c r="H166" s="564" t="s">
        <v>1489</v>
      </c>
      <c r="I166" s="564" t="s">
        <v>45</v>
      </c>
      <c r="J166" s="564" t="s">
        <v>1079</v>
      </c>
      <c r="K166" s="564" t="s">
        <v>1090</v>
      </c>
      <c r="L166" s="564" t="s">
        <v>1071</v>
      </c>
      <c r="M166" s="564" t="s">
        <v>1091</v>
      </c>
      <c r="N166" s="564" t="s">
        <v>45</v>
      </c>
      <c r="O166" s="564" t="s">
        <v>1092</v>
      </c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 spans="1:26" ht="13">
      <c r="A167" s="562" t="s">
        <v>1490</v>
      </c>
      <c r="B167" s="563" t="s">
        <v>1491</v>
      </c>
      <c r="C167" s="564" t="s">
        <v>1076</v>
      </c>
      <c r="D167" s="565">
        <v>43466</v>
      </c>
      <c r="E167" s="565">
        <v>44561</v>
      </c>
      <c r="F167" s="566">
        <v>144486610</v>
      </c>
      <c r="G167" s="564" t="s">
        <v>1077</v>
      </c>
      <c r="H167" s="564" t="s">
        <v>1077</v>
      </c>
      <c r="I167" s="564" t="s">
        <v>1492</v>
      </c>
      <c r="J167" s="564" t="s">
        <v>1069</v>
      </c>
      <c r="K167" s="564" t="s">
        <v>1070</v>
      </c>
      <c r="L167" s="564" t="s">
        <v>1117</v>
      </c>
      <c r="M167" s="564" t="s">
        <v>1199</v>
      </c>
      <c r="N167" s="564" t="s">
        <v>1368</v>
      </c>
      <c r="O167" s="564" t="s">
        <v>1081</v>
      </c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 spans="1:26" ht="13">
      <c r="A168" s="562" t="s">
        <v>1493</v>
      </c>
      <c r="B168" s="563" t="s">
        <v>1494</v>
      </c>
      <c r="C168" s="564" t="s">
        <v>1103</v>
      </c>
      <c r="D168" s="565">
        <v>43272</v>
      </c>
      <c r="E168" s="565">
        <v>43465</v>
      </c>
      <c r="F168" s="566">
        <v>59000000</v>
      </c>
      <c r="G168" s="564" t="s">
        <v>1148</v>
      </c>
      <c r="H168" s="564" t="s">
        <v>1157</v>
      </c>
      <c r="I168" s="564" t="s">
        <v>170</v>
      </c>
      <c r="J168" s="564" t="s">
        <v>1495</v>
      </c>
      <c r="K168" s="564" t="s">
        <v>1105</v>
      </c>
      <c r="L168" s="564" t="s">
        <v>1071</v>
      </c>
      <c r="M168" s="564" t="s">
        <v>251</v>
      </c>
      <c r="N168" s="564" t="s">
        <v>170</v>
      </c>
      <c r="O168" s="564" t="s">
        <v>251</v>
      </c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 spans="1:26" ht="13">
      <c r="A169" s="562" t="s">
        <v>1496</v>
      </c>
      <c r="B169" s="563" t="s">
        <v>1497</v>
      </c>
      <c r="C169" s="564" t="s">
        <v>353</v>
      </c>
      <c r="D169" s="565">
        <v>43405</v>
      </c>
      <c r="E169" s="565">
        <v>44500</v>
      </c>
      <c r="F169" s="566">
        <v>10476000</v>
      </c>
      <c r="G169" s="564" t="s">
        <v>1498</v>
      </c>
      <c r="H169" s="564" t="s">
        <v>1498</v>
      </c>
      <c r="I169" s="564" t="s">
        <v>64</v>
      </c>
      <c r="J169" s="564" t="s">
        <v>1069</v>
      </c>
      <c r="K169" s="564" t="s">
        <v>1090</v>
      </c>
      <c r="L169" s="564" t="s">
        <v>1071</v>
      </c>
      <c r="M169" s="564" t="s">
        <v>1183</v>
      </c>
      <c r="N169" s="564" t="s">
        <v>64</v>
      </c>
      <c r="O169" s="564" t="s">
        <v>1472</v>
      </c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 spans="1:26" ht="13">
      <c r="A170" s="562" t="s">
        <v>1499</v>
      </c>
      <c r="B170" s="563" t="s">
        <v>1500</v>
      </c>
      <c r="C170" s="564" t="s">
        <v>1103</v>
      </c>
      <c r="D170" s="565">
        <v>45292</v>
      </c>
      <c r="E170" s="565">
        <v>45657</v>
      </c>
      <c r="F170" s="566">
        <v>78076800</v>
      </c>
      <c r="G170" s="564" t="s">
        <v>1148</v>
      </c>
      <c r="H170" s="564" t="s">
        <v>1077</v>
      </c>
      <c r="I170" s="564" t="s">
        <v>125</v>
      </c>
      <c r="J170" s="564" t="s">
        <v>1079</v>
      </c>
      <c r="K170" s="564" t="s">
        <v>1070</v>
      </c>
      <c r="L170" s="564" t="s">
        <v>1080</v>
      </c>
      <c r="M170" s="564" t="s">
        <v>1081</v>
      </c>
      <c r="N170" s="564" t="s">
        <v>1073</v>
      </c>
      <c r="O170" s="564" t="s">
        <v>1081</v>
      </c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 spans="1:26" ht="13">
      <c r="A171" s="562" t="s">
        <v>1501</v>
      </c>
      <c r="B171" s="563" t="s">
        <v>1502</v>
      </c>
      <c r="C171" s="564" t="s">
        <v>1088</v>
      </c>
      <c r="D171" s="565">
        <v>45292</v>
      </c>
      <c r="E171" s="565">
        <v>45657</v>
      </c>
      <c r="F171" s="566">
        <v>84542758</v>
      </c>
      <c r="G171" s="564" t="s">
        <v>1164</v>
      </c>
      <c r="H171" s="564" t="s">
        <v>1077</v>
      </c>
      <c r="I171" s="564" t="s">
        <v>125</v>
      </c>
      <c r="J171" s="564" t="s">
        <v>1079</v>
      </c>
      <c r="K171" s="564" t="s">
        <v>1070</v>
      </c>
      <c r="L171" s="564" t="s">
        <v>1080</v>
      </c>
      <c r="M171" s="564" t="s">
        <v>1081</v>
      </c>
      <c r="N171" s="564" t="s">
        <v>1073</v>
      </c>
      <c r="O171" s="564" t="s">
        <v>1081</v>
      </c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 spans="1:26" ht="13">
      <c r="A172" s="562" t="s">
        <v>1503</v>
      </c>
      <c r="B172" s="563" t="s">
        <v>1504</v>
      </c>
      <c r="C172" s="564" t="s">
        <v>1076</v>
      </c>
      <c r="D172" s="565">
        <v>45292</v>
      </c>
      <c r="E172" s="565">
        <v>45657</v>
      </c>
      <c r="F172" s="566">
        <v>189202434</v>
      </c>
      <c r="G172" s="564" t="s">
        <v>1505</v>
      </c>
      <c r="H172" s="564" t="s">
        <v>1077</v>
      </c>
      <c r="I172" s="564" t="s">
        <v>125</v>
      </c>
      <c r="J172" s="564" t="s">
        <v>1079</v>
      </c>
      <c r="K172" s="564" t="s">
        <v>1070</v>
      </c>
      <c r="L172" s="564" t="s">
        <v>1080</v>
      </c>
      <c r="M172" s="564" t="s">
        <v>1081</v>
      </c>
      <c r="N172" s="564" t="s">
        <v>1073</v>
      </c>
      <c r="O172" s="564" t="s">
        <v>1081</v>
      </c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 spans="1:26" ht="13">
      <c r="A173" s="562" t="s">
        <v>1506</v>
      </c>
      <c r="B173" s="563" t="s">
        <v>1507</v>
      </c>
      <c r="C173" s="564" t="s">
        <v>1103</v>
      </c>
      <c r="D173" s="565">
        <v>44312</v>
      </c>
      <c r="E173" s="565">
        <v>45772</v>
      </c>
      <c r="F173" s="566">
        <v>781803120</v>
      </c>
      <c r="G173" s="564" t="s">
        <v>1148</v>
      </c>
      <c r="H173" s="564" t="s">
        <v>1077</v>
      </c>
      <c r="I173" s="564" t="s">
        <v>170</v>
      </c>
      <c r="J173" s="564" t="s">
        <v>1079</v>
      </c>
      <c r="K173" s="564" t="s">
        <v>1105</v>
      </c>
      <c r="L173" s="564" t="s">
        <v>1080</v>
      </c>
      <c r="M173" s="564" t="s">
        <v>1081</v>
      </c>
      <c r="N173" s="564" t="s">
        <v>170</v>
      </c>
      <c r="O173" s="564" t="s">
        <v>1081</v>
      </c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 spans="1:26" ht="13">
      <c r="A174" s="562" t="s">
        <v>1508</v>
      </c>
      <c r="B174" s="563" t="s">
        <v>1509</v>
      </c>
      <c r="C174" s="564" t="s">
        <v>1088</v>
      </c>
      <c r="D174" s="565">
        <v>44312</v>
      </c>
      <c r="E174" s="565">
        <v>45772</v>
      </c>
      <c r="F174" s="566">
        <v>1787912166</v>
      </c>
      <c r="G174" s="564" t="s">
        <v>1108</v>
      </c>
      <c r="H174" s="564" t="s">
        <v>1077</v>
      </c>
      <c r="I174" s="564" t="s">
        <v>170</v>
      </c>
      <c r="J174" s="564" t="s">
        <v>1079</v>
      </c>
      <c r="K174" s="564" t="s">
        <v>1105</v>
      </c>
      <c r="L174" s="564" t="s">
        <v>1080</v>
      </c>
      <c r="M174" s="564" t="s">
        <v>1081</v>
      </c>
      <c r="N174" s="564" t="s">
        <v>170</v>
      </c>
      <c r="O174" s="564" t="s">
        <v>1081</v>
      </c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 spans="1:26" ht="13">
      <c r="A175" s="562" t="s">
        <v>1510</v>
      </c>
      <c r="B175" s="563" t="s">
        <v>1511</v>
      </c>
      <c r="C175" s="564" t="s">
        <v>1076</v>
      </c>
      <c r="D175" s="565">
        <v>44312</v>
      </c>
      <c r="E175" s="565">
        <v>45772</v>
      </c>
      <c r="F175" s="566">
        <v>1670950944</v>
      </c>
      <c r="G175" s="564" t="s">
        <v>1297</v>
      </c>
      <c r="H175" s="564" t="s">
        <v>1077</v>
      </c>
      <c r="I175" s="564" t="s">
        <v>170</v>
      </c>
      <c r="J175" s="564" t="s">
        <v>1079</v>
      </c>
      <c r="K175" s="564" t="s">
        <v>1105</v>
      </c>
      <c r="L175" s="564" t="s">
        <v>1080</v>
      </c>
      <c r="M175" s="564" t="s">
        <v>1081</v>
      </c>
      <c r="N175" s="564" t="s">
        <v>170</v>
      </c>
      <c r="O175" s="564" t="s">
        <v>1081</v>
      </c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 spans="1:26" ht="13">
      <c r="A176" s="562" t="s">
        <v>1512</v>
      </c>
      <c r="B176" s="563" t="s">
        <v>1513</v>
      </c>
      <c r="C176" s="564" t="s">
        <v>1076</v>
      </c>
      <c r="D176" s="565">
        <v>45078</v>
      </c>
      <c r="E176" s="565">
        <v>45105</v>
      </c>
      <c r="F176" s="566"/>
      <c r="G176" s="564" t="s">
        <v>1505</v>
      </c>
      <c r="H176" s="564" t="s">
        <v>349</v>
      </c>
      <c r="I176" s="564" t="s">
        <v>1514</v>
      </c>
      <c r="J176" s="564" t="s">
        <v>1069</v>
      </c>
      <c r="K176" s="564" t="s">
        <v>1090</v>
      </c>
      <c r="L176" s="564" t="s">
        <v>1071</v>
      </c>
      <c r="M176" s="564" t="s">
        <v>1072</v>
      </c>
      <c r="N176" s="564" t="s">
        <v>1073</v>
      </c>
      <c r="O176" s="564" t="s">
        <v>1331</v>
      </c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 spans="1:26" ht="13">
      <c r="A177" s="562" t="s">
        <v>93</v>
      </c>
      <c r="B177" s="563" t="s">
        <v>1515</v>
      </c>
      <c r="C177" s="564" t="s">
        <v>1076</v>
      </c>
      <c r="D177" s="565">
        <v>43374</v>
      </c>
      <c r="E177" s="565">
        <v>45565</v>
      </c>
      <c r="F177" s="566">
        <v>5351337648</v>
      </c>
      <c r="G177" s="564" t="s">
        <v>1297</v>
      </c>
      <c r="H177" s="564" t="s">
        <v>1516</v>
      </c>
      <c r="I177" s="564" t="s">
        <v>45</v>
      </c>
      <c r="J177" s="564" t="s">
        <v>1079</v>
      </c>
      <c r="K177" s="564" t="s">
        <v>1090</v>
      </c>
      <c r="L177" s="564" t="s">
        <v>1071</v>
      </c>
      <c r="M177" s="564" t="s">
        <v>1072</v>
      </c>
      <c r="N177" s="564" t="s">
        <v>45</v>
      </c>
      <c r="O177" s="564" t="s">
        <v>1176</v>
      </c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 spans="1:26" ht="13">
      <c r="A178" s="562" t="s">
        <v>1517</v>
      </c>
      <c r="B178" s="563" t="s">
        <v>1518</v>
      </c>
      <c r="C178" s="564" t="s">
        <v>1103</v>
      </c>
      <c r="D178" s="565">
        <v>43221</v>
      </c>
      <c r="E178" s="565">
        <v>45046</v>
      </c>
      <c r="F178" s="566">
        <v>220298250</v>
      </c>
      <c r="G178" s="564" t="s">
        <v>1148</v>
      </c>
      <c r="H178" s="564" t="s">
        <v>1157</v>
      </c>
      <c r="I178" s="564" t="s">
        <v>170</v>
      </c>
      <c r="J178" s="564" t="s">
        <v>1079</v>
      </c>
      <c r="K178" s="564" t="s">
        <v>1105</v>
      </c>
      <c r="L178" s="564" t="s">
        <v>1071</v>
      </c>
      <c r="M178" s="564" t="s">
        <v>251</v>
      </c>
      <c r="N178" s="564" t="s">
        <v>170</v>
      </c>
      <c r="O178" s="564" t="s">
        <v>251</v>
      </c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 spans="1:26" ht="13">
      <c r="A179" s="562" t="s">
        <v>1519</v>
      </c>
      <c r="B179" s="563" t="s">
        <v>1520</v>
      </c>
      <c r="C179" s="564" t="s">
        <v>1076</v>
      </c>
      <c r="D179" s="565">
        <v>44713</v>
      </c>
      <c r="E179" s="565">
        <v>45077</v>
      </c>
      <c r="F179" s="566">
        <v>8947256</v>
      </c>
      <c r="G179" s="564" t="s">
        <v>1521</v>
      </c>
      <c r="H179" s="564" t="s">
        <v>1157</v>
      </c>
      <c r="I179" s="564" t="s">
        <v>64</v>
      </c>
      <c r="J179" s="564" t="s">
        <v>1079</v>
      </c>
      <c r="K179" s="564" t="s">
        <v>1090</v>
      </c>
      <c r="L179" s="564" t="s">
        <v>1117</v>
      </c>
      <c r="M179" s="564" t="s">
        <v>1118</v>
      </c>
      <c r="N179" s="564" t="s">
        <v>64</v>
      </c>
      <c r="O179" s="564" t="s">
        <v>1081</v>
      </c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 spans="1:26" ht="13">
      <c r="A180" s="562" t="s">
        <v>1522</v>
      </c>
      <c r="B180" s="563" t="s">
        <v>1523</v>
      </c>
      <c r="C180" s="564" t="s">
        <v>1076</v>
      </c>
      <c r="D180" s="565">
        <v>43252</v>
      </c>
      <c r="E180" s="565">
        <v>43707</v>
      </c>
      <c r="F180" s="566">
        <v>192000</v>
      </c>
      <c r="G180" s="564" t="s">
        <v>1298</v>
      </c>
      <c r="H180" s="564" t="s">
        <v>1400</v>
      </c>
      <c r="I180" s="564" t="s">
        <v>1484</v>
      </c>
      <c r="J180" s="564" t="s">
        <v>1495</v>
      </c>
      <c r="K180" s="564" t="s">
        <v>1070</v>
      </c>
      <c r="L180" s="564" t="s">
        <v>1117</v>
      </c>
      <c r="M180" s="564" t="s">
        <v>1118</v>
      </c>
      <c r="N180" s="564" t="s">
        <v>1082</v>
      </c>
      <c r="O180" s="564" t="s">
        <v>1081</v>
      </c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 spans="1:26" ht="13">
      <c r="A181" s="562" t="s">
        <v>1524</v>
      </c>
      <c r="B181" s="563" t="s">
        <v>1525</v>
      </c>
      <c r="C181" s="564" t="s">
        <v>1088</v>
      </c>
      <c r="D181" s="565">
        <v>45292</v>
      </c>
      <c r="E181" s="565">
        <v>45657</v>
      </c>
      <c r="F181" s="566">
        <v>67596000</v>
      </c>
      <c r="G181" s="564" t="s">
        <v>1526</v>
      </c>
      <c r="H181" s="564" t="s">
        <v>1526</v>
      </c>
      <c r="I181" s="564" t="s">
        <v>170</v>
      </c>
      <c r="J181" s="564" t="s">
        <v>1079</v>
      </c>
      <c r="K181" s="564" t="s">
        <v>1105</v>
      </c>
      <c r="L181" s="564" t="s">
        <v>1262</v>
      </c>
      <c r="M181" s="564" t="s">
        <v>1263</v>
      </c>
      <c r="N181" s="564" t="s">
        <v>170</v>
      </c>
      <c r="O181" s="564" t="s">
        <v>1264</v>
      </c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 spans="1:26" ht="13">
      <c r="A182" s="562" t="s">
        <v>1527</v>
      </c>
      <c r="B182" s="563" t="s">
        <v>1528</v>
      </c>
      <c r="C182" s="564" t="s">
        <v>1088</v>
      </c>
      <c r="D182" s="565">
        <v>45292</v>
      </c>
      <c r="E182" s="565">
        <v>45565</v>
      </c>
      <c r="F182" s="566">
        <v>301266000</v>
      </c>
      <c r="G182" s="564" t="s">
        <v>1526</v>
      </c>
      <c r="H182" s="564" t="s">
        <v>1529</v>
      </c>
      <c r="I182" s="564" t="s">
        <v>64</v>
      </c>
      <c r="J182" s="564" t="s">
        <v>1079</v>
      </c>
      <c r="K182" s="564" t="s">
        <v>1090</v>
      </c>
      <c r="L182" s="564" t="s">
        <v>1262</v>
      </c>
      <c r="M182" s="564" t="s">
        <v>1263</v>
      </c>
      <c r="N182" s="564" t="s">
        <v>64</v>
      </c>
      <c r="O182" s="564" t="s">
        <v>1264</v>
      </c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 spans="1:26" ht="13">
      <c r="A183" s="562" t="s">
        <v>1530</v>
      </c>
      <c r="B183" s="563" t="s">
        <v>1531</v>
      </c>
      <c r="C183" s="564" t="s">
        <v>1088</v>
      </c>
      <c r="D183" s="565">
        <v>43831</v>
      </c>
      <c r="E183" s="565">
        <v>44196</v>
      </c>
      <c r="F183" s="566">
        <v>13504200</v>
      </c>
      <c r="G183" s="564" t="s">
        <v>1526</v>
      </c>
      <c r="H183" s="564" t="s">
        <v>1526</v>
      </c>
      <c r="I183" s="564" t="s">
        <v>45</v>
      </c>
      <c r="J183" s="564" t="s">
        <v>1069</v>
      </c>
      <c r="K183" s="564" t="s">
        <v>1090</v>
      </c>
      <c r="L183" s="564" t="s">
        <v>1262</v>
      </c>
      <c r="M183" s="564" t="s">
        <v>1263</v>
      </c>
      <c r="N183" s="564" t="s">
        <v>45</v>
      </c>
      <c r="O183" s="564" t="s">
        <v>1264</v>
      </c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 spans="1:26" ht="13">
      <c r="A184" s="562" t="s">
        <v>1532</v>
      </c>
      <c r="B184" s="563" t="s">
        <v>1533</v>
      </c>
      <c r="C184" s="564" t="s">
        <v>1088</v>
      </c>
      <c r="D184" s="565">
        <v>45017</v>
      </c>
      <c r="E184" s="565">
        <v>45747</v>
      </c>
      <c r="F184" s="566">
        <v>1467604800</v>
      </c>
      <c r="G184" s="564" t="s">
        <v>1526</v>
      </c>
      <c r="H184" s="564" t="s">
        <v>1526</v>
      </c>
      <c r="I184" s="564" t="s">
        <v>45</v>
      </c>
      <c r="J184" s="564" t="s">
        <v>1079</v>
      </c>
      <c r="K184" s="564" t="s">
        <v>1090</v>
      </c>
      <c r="L184" s="564" t="s">
        <v>1262</v>
      </c>
      <c r="M184" s="564" t="s">
        <v>1263</v>
      </c>
      <c r="N184" s="564" t="s">
        <v>45</v>
      </c>
      <c r="O184" s="564" t="s">
        <v>1264</v>
      </c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 spans="1:26" ht="13">
      <c r="A185" s="562" t="s">
        <v>1534</v>
      </c>
      <c r="B185" s="563" t="s">
        <v>1535</v>
      </c>
      <c r="C185" s="564" t="s">
        <v>1088</v>
      </c>
      <c r="D185" s="565">
        <v>45017</v>
      </c>
      <c r="E185" s="565">
        <v>45747</v>
      </c>
      <c r="F185" s="566">
        <v>296906400</v>
      </c>
      <c r="G185" s="564" t="s">
        <v>1526</v>
      </c>
      <c r="H185" s="564" t="s">
        <v>1526</v>
      </c>
      <c r="I185" s="564" t="s">
        <v>45</v>
      </c>
      <c r="J185" s="564" t="s">
        <v>1079</v>
      </c>
      <c r="K185" s="564" t="s">
        <v>1090</v>
      </c>
      <c r="L185" s="564" t="s">
        <v>1262</v>
      </c>
      <c r="M185" s="564" t="s">
        <v>1263</v>
      </c>
      <c r="N185" s="564" t="s">
        <v>45</v>
      </c>
      <c r="O185" s="564" t="s">
        <v>1264</v>
      </c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 spans="1:26" ht="13">
      <c r="A186" s="562" t="s">
        <v>1536</v>
      </c>
      <c r="B186" s="563" t="s">
        <v>1537</v>
      </c>
      <c r="C186" s="564" t="s">
        <v>1088</v>
      </c>
      <c r="D186" s="565">
        <v>45017</v>
      </c>
      <c r="E186" s="565">
        <v>45747</v>
      </c>
      <c r="F186" s="566">
        <v>641270400</v>
      </c>
      <c r="G186" s="564" t="s">
        <v>1526</v>
      </c>
      <c r="H186" s="564" t="s">
        <v>1526</v>
      </c>
      <c r="I186" s="564" t="s">
        <v>45</v>
      </c>
      <c r="J186" s="564" t="s">
        <v>1079</v>
      </c>
      <c r="K186" s="564" t="s">
        <v>1090</v>
      </c>
      <c r="L186" s="564" t="s">
        <v>1262</v>
      </c>
      <c r="M186" s="564" t="s">
        <v>1263</v>
      </c>
      <c r="N186" s="564" t="s">
        <v>45</v>
      </c>
      <c r="O186" s="564" t="s">
        <v>1264</v>
      </c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 spans="1:26" ht="13">
      <c r="A187" s="562" t="s">
        <v>1538</v>
      </c>
      <c r="B187" s="563" t="s">
        <v>1539</v>
      </c>
      <c r="C187" s="564" t="s">
        <v>1088</v>
      </c>
      <c r="D187" s="565">
        <v>45292</v>
      </c>
      <c r="E187" s="565">
        <v>45657</v>
      </c>
      <c r="F187" s="566">
        <v>19896000</v>
      </c>
      <c r="G187" s="564" t="s">
        <v>1540</v>
      </c>
      <c r="H187" s="564" t="s">
        <v>1541</v>
      </c>
      <c r="I187" s="564" t="s">
        <v>170</v>
      </c>
      <c r="J187" s="564" t="s">
        <v>1079</v>
      </c>
      <c r="K187" s="564" t="s">
        <v>1105</v>
      </c>
      <c r="L187" s="564" t="s">
        <v>1071</v>
      </c>
      <c r="M187" s="564" t="s">
        <v>1072</v>
      </c>
      <c r="N187" s="564" t="s">
        <v>170</v>
      </c>
      <c r="O187" s="564" t="s">
        <v>1092</v>
      </c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 spans="1:26" ht="13">
      <c r="A188" s="562" t="s">
        <v>1542</v>
      </c>
      <c r="B188" s="563" t="s">
        <v>1543</v>
      </c>
      <c r="C188" s="564" t="s">
        <v>1136</v>
      </c>
      <c r="D188" s="565">
        <v>45292</v>
      </c>
      <c r="E188" s="565">
        <v>45657</v>
      </c>
      <c r="F188" s="566">
        <v>387410000</v>
      </c>
      <c r="G188" s="564" t="s">
        <v>1138</v>
      </c>
      <c r="H188" s="564" t="s">
        <v>1138</v>
      </c>
      <c r="I188" s="564" t="s">
        <v>64</v>
      </c>
      <c r="J188" s="564" t="s">
        <v>1079</v>
      </c>
      <c r="K188" s="564" t="s">
        <v>1090</v>
      </c>
      <c r="L188" s="564" t="s">
        <v>1189</v>
      </c>
      <c r="M188" s="564" t="s">
        <v>249</v>
      </c>
      <c r="N188" s="564" t="s">
        <v>64</v>
      </c>
      <c r="O188" s="564" t="s">
        <v>249</v>
      </c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 spans="1:26" ht="13">
      <c r="A189" s="562" t="s">
        <v>1544</v>
      </c>
      <c r="B189" s="563" t="s">
        <v>1545</v>
      </c>
      <c r="C189" s="564" t="s">
        <v>1204</v>
      </c>
      <c r="D189" s="565">
        <v>43101</v>
      </c>
      <c r="E189" s="565">
        <v>43465</v>
      </c>
      <c r="F189" s="566">
        <v>25000000</v>
      </c>
      <c r="G189" s="564" t="s">
        <v>1424</v>
      </c>
      <c r="H189" s="564" t="s">
        <v>1424</v>
      </c>
      <c r="I189" s="564" t="s">
        <v>1471</v>
      </c>
      <c r="J189" s="564" t="s">
        <v>1495</v>
      </c>
      <c r="K189" s="564" t="s">
        <v>1070</v>
      </c>
      <c r="L189" s="564" t="s">
        <v>1071</v>
      </c>
      <c r="M189" s="564" t="s">
        <v>1183</v>
      </c>
      <c r="N189" s="564" t="s">
        <v>1082</v>
      </c>
      <c r="O189" s="564" t="s">
        <v>1472</v>
      </c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 spans="1:26" ht="13">
      <c r="A190" s="562" t="s">
        <v>1546</v>
      </c>
      <c r="B190" s="563" t="s">
        <v>1547</v>
      </c>
      <c r="C190" s="564" t="s">
        <v>1548</v>
      </c>
      <c r="D190" s="565">
        <v>43101</v>
      </c>
      <c r="E190" s="565">
        <v>43465</v>
      </c>
      <c r="F190" s="566">
        <v>450671</v>
      </c>
      <c r="G190" s="564" t="s">
        <v>1424</v>
      </c>
      <c r="H190" s="564" t="s">
        <v>1424</v>
      </c>
      <c r="I190" s="564" t="s">
        <v>146</v>
      </c>
      <c r="J190" s="564" t="s">
        <v>1069</v>
      </c>
      <c r="K190" s="564" t="s">
        <v>1070</v>
      </c>
      <c r="L190" s="564" t="s">
        <v>1071</v>
      </c>
      <c r="M190" s="564" t="s">
        <v>1183</v>
      </c>
      <c r="N190" s="564" t="s">
        <v>1073</v>
      </c>
      <c r="O190" s="564" t="s">
        <v>1472</v>
      </c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 spans="1:26" ht="13">
      <c r="A191" s="562" t="s">
        <v>1549</v>
      </c>
      <c r="B191" s="563" t="s">
        <v>1550</v>
      </c>
      <c r="C191" s="564" t="s">
        <v>1551</v>
      </c>
      <c r="D191" s="565">
        <v>43101</v>
      </c>
      <c r="E191" s="565">
        <v>43465</v>
      </c>
      <c r="F191" s="566">
        <v>236270000</v>
      </c>
      <c r="G191" s="564" t="s">
        <v>1424</v>
      </c>
      <c r="H191" s="564" t="s">
        <v>1424</v>
      </c>
      <c r="I191" s="564" t="s">
        <v>45</v>
      </c>
      <c r="J191" s="564" t="s">
        <v>1069</v>
      </c>
      <c r="K191" s="564" t="s">
        <v>1090</v>
      </c>
      <c r="L191" s="564" t="s">
        <v>1071</v>
      </c>
      <c r="M191" s="564" t="s">
        <v>1183</v>
      </c>
      <c r="N191" s="564" t="s">
        <v>45</v>
      </c>
      <c r="O191" s="564" t="s">
        <v>1472</v>
      </c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 spans="1:26" ht="13">
      <c r="A192" s="562" t="s">
        <v>1552</v>
      </c>
      <c r="B192" s="563" t="s">
        <v>1553</v>
      </c>
      <c r="C192" s="564" t="s">
        <v>1103</v>
      </c>
      <c r="D192" s="565">
        <v>45597</v>
      </c>
      <c r="E192" s="565">
        <v>45961</v>
      </c>
      <c r="F192" s="566">
        <v>101640000</v>
      </c>
      <c r="G192" s="564" t="s">
        <v>1148</v>
      </c>
      <c r="H192" s="564" t="s">
        <v>1077</v>
      </c>
      <c r="I192" s="564" t="s">
        <v>64</v>
      </c>
      <c r="J192" s="564" t="s">
        <v>1079</v>
      </c>
      <c r="K192" s="564" t="s">
        <v>1090</v>
      </c>
      <c r="L192" s="564" t="s">
        <v>1080</v>
      </c>
      <c r="M192" s="564" t="s">
        <v>1081</v>
      </c>
      <c r="N192" s="564" t="s">
        <v>64</v>
      </c>
      <c r="O192" s="564" t="s">
        <v>1081</v>
      </c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 spans="1:26" ht="13">
      <c r="A193" s="562" t="s">
        <v>1554</v>
      </c>
      <c r="B193" s="563" t="s">
        <v>1555</v>
      </c>
      <c r="C193" s="564" t="s">
        <v>1088</v>
      </c>
      <c r="D193" s="565">
        <v>45474</v>
      </c>
      <c r="E193" s="565">
        <v>45838</v>
      </c>
      <c r="F193" s="566">
        <v>146808000</v>
      </c>
      <c r="G193" s="564" t="s">
        <v>1097</v>
      </c>
      <c r="H193" s="564" t="s">
        <v>1077</v>
      </c>
      <c r="I193" s="564" t="s">
        <v>64</v>
      </c>
      <c r="J193" s="564" t="s">
        <v>1079</v>
      </c>
      <c r="K193" s="564" t="s">
        <v>1090</v>
      </c>
      <c r="L193" s="564" t="s">
        <v>1080</v>
      </c>
      <c r="M193" s="564" t="s">
        <v>1081</v>
      </c>
      <c r="N193" s="564" t="s">
        <v>64</v>
      </c>
      <c r="O193" s="564" t="s">
        <v>1081</v>
      </c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 spans="1:26" ht="13">
      <c r="A194" s="562" t="s">
        <v>1556</v>
      </c>
      <c r="B194" s="563" t="s">
        <v>1557</v>
      </c>
      <c r="C194" s="564" t="s">
        <v>1076</v>
      </c>
      <c r="D194" s="565">
        <v>45474</v>
      </c>
      <c r="E194" s="565">
        <v>45838</v>
      </c>
      <c r="F194" s="566">
        <v>44160000</v>
      </c>
      <c r="G194" s="564" t="s">
        <v>1297</v>
      </c>
      <c r="H194" s="564" t="s">
        <v>1077</v>
      </c>
      <c r="I194" s="564" t="s">
        <v>64</v>
      </c>
      <c r="J194" s="564" t="s">
        <v>1079</v>
      </c>
      <c r="K194" s="564" t="s">
        <v>1090</v>
      </c>
      <c r="L194" s="564" t="s">
        <v>1080</v>
      </c>
      <c r="M194" s="564" t="s">
        <v>1081</v>
      </c>
      <c r="N194" s="564" t="s">
        <v>64</v>
      </c>
      <c r="O194" s="564" t="s">
        <v>1081</v>
      </c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 spans="1:26" ht="13">
      <c r="A195" s="562" t="s">
        <v>221</v>
      </c>
      <c r="B195" s="563" t="s">
        <v>1558</v>
      </c>
      <c r="C195" s="564" t="s">
        <v>1088</v>
      </c>
      <c r="D195" s="565">
        <v>45017</v>
      </c>
      <c r="E195" s="565">
        <v>45747</v>
      </c>
      <c r="F195" s="566">
        <v>484363636</v>
      </c>
      <c r="G195" s="564" t="s">
        <v>1122</v>
      </c>
      <c r="H195" s="564" t="s">
        <v>1182</v>
      </c>
      <c r="I195" s="564" t="s">
        <v>802</v>
      </c>
      <c r="J195" s="564" t="s">
        <v>1079</v>
      </c>
      <c r="K195" s="564" t="s">
        <v>1198</v>
      </c>
      <c r="L195" s="564" t="s">
        <v>1071</v>
      </c>
      <c r="M195" s="564" t="s">
        <v>1091</v>
      </c>
      <c r="N195" s="564" t="s">
        <v>132</v>
      </c>
      <c r="O195" s="564" t="s">
        <v>1092</v>
      </c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 spans="1:26" ht="13">
      <c r="A196" s="562" t="s">
        <v>178</v>
      </c>
      <c r="B196" s="563" t="s">
        <v>1559</v>
      </c>
      <c r="C196" s="564" t="s">
        <v>1088</v>
      </c>
      <c r="D196" s="565">
        <v>45474</v>
      </c>
      <c r="E196" s="565">
        <v>45838</v>
      </c>
      <c r="F196" s="566">
        <v>289639572</v>
      </c>
      <c r="G196" s="564" t="s">
        <v>1097</v>
      </c>
      <c r="H196" s="564" t="s">
        <v>1097</v>
      </c>
      <c r="I196" s="564" t="s">
        <v>64</v>
      </c>
      <c r="J196" s="564" t="s">
        <v>1079</v>
      </c>
      <c r="K196" s="564" t="s">
        <v>1090</v>
      </c>
      <c r="L196" s="564" t="s">
        <v>1071</v>
      </c>
      <c r="M196" s="564" t="s">
        <v>1124</v>
      </c>
      <c r="N196" s="564" t="s">
        <v>64</v>
      </c>
      <c r="O196" s="564" t="s">
        <v>197</v>
      </c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 spans="1:26" ht="13">
      <c r="A197" s="562" t="s">
        <v>181</v>
      </c>
      <c r="B197" s="563" t="s">
        <v>1560</v>
      </c>
      <c r="C197" s="564" t="s">
        <v>1088</v>
      </c>
      <c r="D197" s="565">
        <v>45474</v>
      </c>
      <c r="E197" s="565">
        <v>45838</v>
      </c>
      <c r="F197" s="566">
        <v>32952000</v>
      </c>
      <c r="G197" s="564" t="s">
        <v>1097</v>
      </c>
      <c r="H197" s="564" t="s">
        <v>1097</v>
      </c>
      <c r="I197" s="564" t="s">
        <v>64</v>
      </c>
      <c r="J197" s="564" t="s">
        <v>1079</v>
      </c>
      <c r="K197" s="564" t="s">
        <v>1090</v>
      </c>
      <c r="L197" s="564" t="s">
        <v>1071</v>
      </c>
      <c r="M197" s="564" t="s">
        <v>1091</v>
      </c>
      <c r="N197" s="564" t="s">
        <v>64</v>
      </c>
      <c r="O197" s="564" t="s">
        <v>241</v>
      </c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 spans="1:26" ht="13">
      <c r="A198" s="562" t="s">
        <v>1561</v>
      </c>
      <c r="B198" s="563" t="s">
        <v>1562</v>
      </c>
      <c r="C198" s="564" t="s">
        <v>1548</v>
      </c>
      <c r="D198" s="565">
        <v>42736</v>
      </c>
      <c r="E198" s="565">
        <v>43100</v>
      </c>
      <c r="F198" s="566">
        <v>22300000</v>
      </c>
      <c r="G198" s="564" t="s">
        <v>1563</v>
      </c>
      <c r="H198" s="564" t="s">
        <v>1564</v>
      </c>
      <c r="I198" s="564" t="s">
        <v>125</v>
      </c>
      <c r="J198" s="564" t="s">
        <v>1069</v>
      </c>
      <c r="K198" s="564" t="s">
        <v>1070</v>
      </c>
      <c r="L198" s="564" t="s">
        <v>1071</v>
      </c>
      <c r="M198" s="564" t="s">
        <v>1091</v>
      </c>
      <c r="N198" s="564" t="s">
        <v>1073</v>
      </c>
      <c r="O198" s="564" t="s">
        <v>241</v>
      </c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 spans="1:26" ht="13">
      <c r="A199" s="562" t="s">
        <v>1565</v>
      </c>
      <c r="B199" s="563" t="s">
        <v>1566</v>
      </c>
      <c r="C199" s="564" t="s">
        <v>1076</v>
      </c>
      <c r="D199" s="565">
        <v>45352</v>
      </c>
      <c r="E199" s="565">
        <v>45716</v>
      </c>
      <c r="F199" s="566">
        <v>82000000</v>
      </c>
      <c r="G199" s="564" t="s">
        <v>1235</v>
      </c>
      <c r="H199" s="564" t="s">
        <v>1182</v>
      </c>
      <c r="I199" s="564" t="s">
        <v>170</v>
      </c>
      <c r="J199" s="564" t="s">
        <v>1079</v>
      </c>
      <c r="K199" s="564" t="s">
        <v>1105</v>
      </c>
      <c r="L199" s="564" t="s">
        <v>1117</v>
      </c>
      <c r="M199" s="564" t="s">
        <v>1118</v>
      </c>
      <c r="N199" s="564" t="s">
        <v>170</v>
      </c>
      <c r="O199" s="564" t="s">
        <v>1081</v>
      </c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 spans="1:26" ht="13">
      <c r="A200" s="562" t="s">
        <v>1567</v>
      </c>
      <c r="B200" s="563" t="s">
        <v>1568</v>
      </c>
      <c r="C200" s="564" t="s">
        <v>1088</v>
      </c>
      <c r="D200" s="565">
        <v>43009</v>
      </c>
      <c r="E200" s="565">
        <v>45657</v>
      </c>
      <c r="F200" s="566">
        <v>10200000</v>
      </c>
      <c r="G200" s="564" t="s">
        <v>1375</v>
      </c>
      <c r="H200" s="564" t="s">
        <v>1375</v>
      </c>
      <c r="I200" s="564" t="s">
        <v>225</v>
      </c>
      <c r="J200" s="564" t="s">
        <v>1079</v>
      </c>
      <c r="K200" s="564" t="s">
        <v>1105</v>
      </c>
      <c r="L200" s="564" t="s">
        <v>1071</v>
      </c>
      <c r="M200" s="564" t="s">
        <v>1124</v>
      </c>
      <c r="N200" s="564" t="s">
        <v>225</v>
      </c>
      <c r="O200" s="564" t="s">
        <v>1264</v>
      </c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 spans="1:26" ht="13">
      <c r="A201" s="562" t="s">
        <v>1569</v>
      </c>
      <c r="B201" s="563" t="s">
        <v>1570</v>
      </c>
      <c r="C201" s="564" t="s">
        <v>1088</v>
      </c>
      <c r="D201" s="565">
        <v>43009</v>
      </c>
      <c r="E201" s="565">
        <v>43465</v>
      </c>
      <c r="F201" s="566"/>
      <c r="G201" s="564" t="s">
        <v>997</v>
      </c>
      <c r="H201" s="564" t="s">
        <v>997</v>
      </c>
      <c r="I201" s="564" t="s">
        <v>45</v>
      </c>
      <c r="J201" s="564" t="s">
        <v>1069</v>
      </c>
      <c r="K201" s="564" t="s">
        <v>1090</v>
      </c>
      <c r="L201" s="564" t="s">
        <v>1071</v>
      </c>
      <c r="M201" s="564" t="s">
        <v>1124</v>
      </c>
      <c r="N201" s="564" t="s">
        <v>45</v>
      </c>
      <c r="O201" s="564" t="s">
        <v>1274</v>
      </c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 spans="1:26" ht="13">
      <c r="A202" s="562" t="s">
        <v>1571</v>
      </c>
      <c r="B202" s="563" t="s">
        <v>1572</v>
      </c>
      <c r="C202" s="564" t="s">
        <v>1114</v>
      </c>
      <c r="D202" s="565">
        <v>45212</v>
      </c>
      <c r="E202" s="565">
        <v>46307</v>
      </c>
      <c r="F202" s="566">
        <v>120913</v>
      </c>
      <c r="G202" s="564" t="s">
        <v>1365</v>
      </c>
      <c r="H202" s="564" t="s">
        <v>1145</v>
      </c>
      <c r="I202" s="564" t="s">
        <v>1573</v>
      </c>
      <c r="J202" s="564" t="s">
        <v>1079</v>
      </c>
      <c r="K202" s="564" t="s">
        <v>1070</v>
      </c>
      <c r="L202" s="564" t="s">
        <v>1117</v>
      </c>
      <c r="M202" s="564" t="s">
        <v>1199</v>
      </c>
      <c r="N202" s="564" t="s">
        <v>1082</v>
      </c>
      <c r="O202" s="564" t="s">
        <v>1081</v>
      </c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 spans="1:26" ht="13">
      <c r="A203" s="562" t="s">
        <v>1574</v>
      </c>
      <c r="B203" s="563" t="s">
        <v>1575</v>
      </c>
      <c r="C203" s="564" t="s">
        <v>1271</v>
      </c>
      <c r="D203" s="565">
        <v>43009</v>
      </c>
      <c r="E203" s="565">
        <v>47848</v>
      </c>
      <c r="F203" s="566">
        <v>1327285200</v>
      </c>
      <c r="G203" s="564" t="s">
        <v>1273</v>
      </c>
      <c r="H203" s="564" t="s">
        <v>1273</v>
      </c>
      <c r="I203" s="564" t="s">
        <v>1576</v>
      </c>
      <c r="J203" s="564" t="s">
        <v>1079</v>
      </c>
      <c r="K203" s="564" t="s">
        <v>1070</v>
      </c>
      <c r="L203" s="564" t="s">
        <v>1274</v>
      </c>
      <c r="M203" s="564" t="s">
        <v>1275</v>
      </c>
      <c r="N203" s="564" t="s">
        <v>1082</v>
      </c>
      <c r="O203" s="564" t="s">
        <v>1274</v>
      </c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 spans="1:26" ht="13">
      <c r="A204" s="562" t="s">
        <v>1577</v>
      </c>
      <c r="B204" s="563" t="s">
        <v>1578</v>
      </c>
      <c r="C204" s="564" t="s">
        <v>1088</v>
      </c>
      <c r="D204" s="565">
        <v>43009</v>
      </c>
      <c r="E204" s="565">
        <v>45657</v>
      </c>
      <c r="F204" s="566">
        <v>480000000</v>
      </c>
      <c r="G204" s="564" t="s">
        <v>1375</v>
      </c>
      <c r="H204" s="564" t="s">
        <v>1375</v>
      </c>
      <c r="I204" s="564" t="s">
        <v>70</v>
      </c>
      <c r="J204" s="564" t="s">
        <v>1079</v>
      </c>
      <c r="K204" s="564" t="s">
        <v>1120</v>
      </c>
      <c r="L204" s="564" t="s">
        <v>1071</v>
      </c>
      <c r="M204" s="564" t="s">
        <v>1124</v>
      </c>
      <c r="N204" s="564" t="s">
        <v>70</v>
      </c>
      <c r="O204" s="564" t="s">
        <v>1274</v>
      </c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 spans="1:26" ht="13">
      <c r="A205" s="562" t="s">
        <v>1579</v>
      </c>
      <c r="B205" s="563" t="s">
        <v>1580</v>
      </c>
      <c r="C205" s="564" t="s">
        <v>1088</v>
      </c>
      <c r="D205" s="565">
        <v>43009</v>
      </c>
      <c r="E205" s="565">
        <v>45657</v>
      </c>
      <c r="F205" s="566">
        <v>54000000</v>
      </c>
      <c r="G205" s="564" t="s">
        <v>1375</v>
      </c>
      <c r="H205" s="564" t="s">
        <v>1375</v>
      </c>
      <c r="I205" s="564" t="s">
        <v>1581</v>
      </c>
      <c r="J205" s="564" t="s">
        <v>1079</v>
      </c>
      <c r="K205" s="564" t="s">
        <v>1070</v>
      </c>
      <c r="L205" s="564" t="s">
        <v>1071</v>
      </c>
      <c r="M205" s="564" t="s">
        <v>1124</v>
      </c>
      <c r="N205" s="564" t="s">
        <v>1082</v>
      </c>
      <c r="O205" s="564" t="s">
        <v>1274</v>
      </c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 spans="1:26" ht="13">
      <c r="A206" s="562" t="s">
        <v>1582</v>
      </c>
      <c r="B206" s="563" t="s">
        <v>1583</v>
      </c>
      <c r="C206" s="564" t="s">
        <v>1204</v>
      </c>
      <c r="D206" s="565">
        <v>42982</v>
      </c>
      <c r="E206" s="565">
        <v>44807</v>
      </c>
      <c r="F206" s="566">
        <v>11012160</v>
      </c>
      <c r="G206" s="564" t="s">
        <v>1420</v>
      </c>
      <c r="H206" s="564" t="s">
        <v>1420</v>
      </c>
      <c r="I206" s="564" t="s">
        <v>146</v>
      </c>
      <c r="J206" s="564" t="s">
        <v>1069</v>
      </c>
      <c r="K206" s="564" t="s">
        <v>1070</v>
      </c>
      <c r="L206" s="564" t="s">
        <v>1189</v>
      </c>
      <c r="M206" s="564" t="s">
        <v>1206</v>
      </c>
      <c r="N206" s="564" t="s">
        <v>1073</v>
      </c>
      <c r="O206" s="564" t="s">
        <v>1207</v>
      </c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 spans="1:26" ht="13">
      <c r="A207" s="562" t="s">
        <v>1584</v>
      </c>
      <c r="B207" s="563" t="s">
        <v>1585</v>
      </c>
      <c r="C207" s="564" t="s">
        <v>1204</v>
      </c>
      <c r="D207" s="565">
        <v>42926</v>
      </c>
      <c r="E207" s="565">
        <v>44751</v>
      </c>
      <c r="F207" s="566">
        <v>7200000</v>
      </c>
      <c r="G207" s="564" t="s">
        <v>1420</v>
      </c>
      <c r="H207" s="564" t="s">
        <v>1420</v>
      </c>
      <c r="I207" s="564" t="s">
        <v>1586</v>
      </c>
      <c r="J207" s="564" t="s">
        <v>1069</v>
      </c>
      <c r="K207" s="564" t="s">
        <v>1090</v>
      </c>
      <c r="L207" s="564" t="s">
        <v>1189</v>
      </c>
      <c r="M207" s="564" t="s">
        <v>1206</v>
      </c>
      <c r="N207" s="564" t="s">
        <v>1073</v>
      </c>
      <c r="O207" s="564" t="s">
        <v>1207</v>
      </c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 spans="1:26" ht="13">
      <c r="A208" s="562" t="s">
        <v>1587</v>
      </c>
      <c r="B208" s="563" t="s">
        <v>1588</v>
      </c>
      <c r="C208" s="564" t="s">
        <v>1589</v>
      </c>
      <c r="D208" s="565">
        <v>42948</v>
      </c>
      <c r="E208" s="565">
        <v>43677</v>
      </c>
      <c r="F208" s="566">
        <v>10080000</v>
      </c>
      <c r="G208" s="564" t="s">
        <v>1590</v>
      </c>
      <c r="H208" s="564" t="s">
        <v>1564</v>
      </c>
      <c r="I208" s="564" t="s">
        <v>121</v>
      </c>
      <c r="J208" s="564" t="s">
        <v>1069</v>
      </c>
      <c r="K208" s="564" t="s">
        <v>1105</v>
      </c>
      <c r="L208" s="564" t="s">
        <v>1071</v>
      </c>
      <c r="M208" s="564" t="s">
        <v>1124</v>
      </c>
      <c r="N208" s="564" t="s">
        <v>1073</v>
      </c>
      <c r="O208" s="564" t="s">
        <v>1274</v>
      </c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 spans="1:26" ht="13">
      <c r="A209" s="562" t="s">
        <v>1591</v>
      </c>
      <c r="B209" s="563" t="s">
        <v>1592</v>
      </c>
      <c r="C209" s="564" t="s">
        <v>1204</v>
      </c>
      <c r="D209" s="565">
        <v>42887</v>
      </c>
      <c r="E209" s="565">
        <v>44712</v>
      </c>
      <c r="F209" s="566">
        <v>7290000</v>
      </c>
      <c r="G209" s="564" t="s">
        <v>754</v>
      </c>
      <c r="H209" s="564" t="s">
        <v>1157</v>
      </c>
      <c r="I209" s="564" t="s">
        <v>1593</v>
      </c>
      <c r="J209" s="564" t="s">
        <v>1069</v>
      </c>
      <c r="K209" s="564" t="s">
        <v>1120</v>
      </c>
      <c r="L209" s="564" t="s">
        <v>1189</v>
      </c>
      <c r="M209" s="564" t="s">
        <v>1206</v>
      </c>
      <c r="N209" s="564" t="s">
        <v>1073</v>
      </c>
      <c r="O209" s="564" t="s">
        <v>1207</v>
      </c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 spans="1:26" ht="13">
      <c r="A210" s="562" t="s">
        <v>1594</v>
      </c>
      <c r="B210" s="563" t="s">
        <v>1595</v>
      </c>
      <c r="C210" s="564" t="s">
        <v>1204</v>
      </c>
      <c r="D210" s="565">
        <v>42887</v>
      </c>
      <c r="E210" s="565">
        <v>44712</v>
      </c>
      <c r="F210" s="566">
        <v>4049400</v>
      </c>
      <c r="G210" s="564" t="s">
        <v>1420</v>
      </c>
      <c r="H210" s="564" t="s">
        <v>1420</v>
      </c>
      <c r="I210" s="564" t="s">
        <v>1596</v>
      </c>
      <c r="J210" s="564" t="s">
        <v>1069</v>
      </c>
      <c r="K210" s="564" t="s">
        <v>1120</v>
      </c>
      <c r="L210" s="564" t="s">
        <v>1189</v>
      </c>
      <c r="M210" s="564" t="s">
        <v>1206</v>
      </c>
      <c r="N210" s="564" t="s">
        <v>1073</v>
      </c>
      <c r="O210" s="564" t="s">
        <v>1207</v>
      </c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 spans="1:26" ht="13">
      <c r="A211" s="562" t="s">
        <v>1597</v>
      </c>
      <c r="B211" s="563" t="s">
        <v>1598</v>
      </c>
      <c r="C211" s="564" t="s">
        <v>1204</v>
      </c>
      <c r="D211" s="565">
        <v>42887</v>
      </c>
      <c r="E211" s="565">
        <v>44712</v>
      </c>
      <c r="F211" s="566">
        <v>11575680</v>
      </c>
      <c r="G211" s="564" t="s">
        <v>1420</v>
      </c>
      <c r="H211" s="564" t="s">
        <v>1420</v>
      </c>
      <c r="I211" s="564" t="s">
        <v>1599</v>
      </c>
      <c r="J211" s="564" t="s">
        <v>1069</v>
      </c>
      <c r="K211" s="564" t="s">
        <v>1120</v>
      </c>
      <c r="L211" s="564" t="s">
        <v>1189</v>
      </c>
      <c r="M211" s="564" t="s">
        <v>1206</v>
      </c>
      <c r="N211" s="564" t="s">
        <v>1073</v>
      </c>
      <c r="O211" s="564" t="s">
        <v>1207</v>
      </c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 spans="1:26" ht="13">
      <c r="A212" s="562" t="s">
        <v>1600</v>
      </c>
      <c r="B212" s="563" t="s">
        <v>1601</v>
      </c>
      <c r="C212" s="564" t="s">
        <v>1204</v>
      </c>
      <c r="D212" s="565">
        <v>42887</v>
      </c>
      <c r="E212" s="565">
        <v>44712</v>
      </c>
      <c r="F212" s="566">
        <v>6300000</v>
      </c>
      <c r="G212" s="564" t="s">
        <v>1420</v>
      </c>
      <c r="H212" s="564" t="s">
        <v>1420</v>
      </c>
      <c r="I212" s="564" t="s">
        <v>1230</v>
      </c>
      <c r="J212" s="564" t="s">
        <v>1069</v>
      </c>
      <c r="K212" s="564" t="s">
        <v>1090</v>
      </c>
      <c r="L212" s="564" t="s">
        <v>1189</v>
      </c>
      <c r="M212" s="564" t="s">
        <v>1206</v>
      </c>
      <c r="N212" s="564" t="s">
        <v>1073</v>
      </c>
      <c r="O212" s="564" t="s">
        <v>1207</v>
      </c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 spans="1:26" ht="13">
      <c r="A213" s="562" t="s">
        <v>1602</v>
      </c>
      <c r="B213" s="563" t="s">
        <v>1603</v>
      </c>
      <c r="C213" s="564" t="s">
        <v>1088</v>
      </c>
      <c r="D213" s="565">
        <v>44197</v>
      </c>
      <c r="E213" s="565">
        <v>46022</v>
      </c>
      <c r="F213" s="566">
        <v>3840000</v>
      </c>
      <c r="G213" s="564" t="s">
        <v>1604</v>
      </c>
      <c r="H213" s="564" t="s">
        <v>1604</v>
      </c>
      <c r="I213" s="564" t="s">
        <v>125</v>
      </c>
      <c r="J213" s="564" t="s">
        <v>1079</v>
      </c>
      <c r="K213" s="564" t="s">
        <v>1070</v>
      </c>
      <c r="L213" s="564" t="s">
        <v>1071</v>
      </c>
      <c r="M213" s="564" t="s">
        <v>1124</v>
      </c>
      <c r="N213" s="564" t="s">
        <v>1073</v>
      </c>
      <c r="O213" s="564" t="s">
        <v>241</v>
      </c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 spans="1:26" ht="13">
      <c r="A214" s="562" t="s">
        <v>1605</v>
      </c>
      <c r="B214" s="563" t="s">
        <v>1606</v>
      </c>
      <c r="C214" s="564" t="s">
        <v>1589</v>
      </c>
      <c r="D214" s="565">
        <v>42675</v>
      </c>
      <c r="E214" s="565">
        <v>43039</v>
      </c>
      <c r="F214" s="566"/>
      <c r="G214" s="564" t="s">
        <v>1312</v>
      </c>
      <c r="H214" s="564" t="s">
        <v>1423</v>
      </c>
      <c r="I214" s="564" t="s">
        <v>1607</v>
      </c>
      <c r="J214" s="564" t="s">
        <v>1069</v>
      </c>
      <c r="K214" s="564" t="s">
        <v>1070</v>
      </c>
      <c r="L214" s="564" t="s">
        <v>1071</v>
      </c>
      <c r="M214" s="564" t="s">
        <v>1124</v>
      </c>
      <c r="N214" s="564" t="s">
        <v>1082</v>
      </c>
      <c r="O214" s="564" t="s">
        <v>1274</v>
      </c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 spans="1:26" ht="13">
      <c r="A215" s="562" t="s">
        <v>1608</v>
      </c>
      <c r="B215" s="563" t="s">
        <v>1609</v>
      </c>
      <c r="C215" s="564" t="s">
        <v>1204</v>
      </c>
      <c r="D215" s="565">
        <v>42736</v>
      </c>
      <c r="E215" s="565">
        <v>43100</v>
      </c>
      <c r="F215" s="566">
        <v>20014920</v>
      </c>
      <c r="G215" s="564" t="s">
        <v>1424</v>
      </c>
      <c r="H215" s="564" t="s">
        <v>1424</v>
      </c>
      <c r="I215" s="564" t="s">
        <v>1471</v>
      </c>
      <c r="J215" s="564" t="s">
        <v>1069</v>
      </c>
      <c r="K215" s="564" t="s">
        <v>1070</v>
      </c>
      <c r="L215" s="564" t="s">
        <v>1071</v>
      </c>
      <c r="M215" s="564" t="s">
        <v>1183</v>
      </c>
      <c r="N215" s="564" t="s">
        <v>1082</v>
      </c>
      <c r="O215" s="564" t="s">
        <v>1472</v>
      </c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 spans="1:26" ht="13">
      <c r="A216" s="562" t="s">
        <v>1610</v>
      </c>
      <c r="B216" s="563" t="s">
        <v>1611</v>
      </c>
      <c r="C216" s="564" t="s">
        <v>1612</v>
      </c>
      <c r="D216" s="565">
        <v>42736</v>
      </c>
      <c r="E216" s="565">
        <v>43100</v>
      </c>
      <c r="F216" s="566">
        <v>713160</v>
      </c>
      <c r="G216" s="564" t="s">
        <v>1424</v>
      </c>
      <c r="H216" s="564" t="s">
        <v>1424</v>
      </c>
      <c r="I216" s="564" t="s">
        <v>1586</v>
      </c>
      <c r="J216" s="564" t="s">
        <v>1069</v>
      </c>
      <c r="K216" s="564" t="s">
        <v>1090</v>
      </c>
      <c r="L216" s="564" t="s">
        <v>1071</v>
      </c>
      <c r="M216" s="564" t="s">
        <v>1183</v>
      </c>
      <c r="N216" s="564" t="s">
        <v>1073</v>
      </c>
      <c r="O216" s="564" t="s">
        <v>1472</v>
      </c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 spans="1:26" ht="13">
      <c r="A217" s="562" t="s">
        <v>1613</v>
      </c>
      <c r="B217" s="563" t="s">
        <v>1614</v>
      </c>
      <c r="C217" s="564" t="s">
        <v>1612</v>
      </c>
      <c r="D217" s="565">
        <v>42736</v>
      </c>
      <c r="E217" s="565">
        <v>43100</v>
      </c>
      <c r="F217" s="566">
        <v>2079620</v>
      </c>
      <c r="G217" s="564" t="s">
        <v>1424</v>
      </c>
      <c r="H217" s="564" t="s">
        <v>1424</v>
      </c>
      <c r="I217" s="564" t="s">
        <v>146</v>
      </c>
      <c r="J217" s="564" t="s">
        <v>1069</v>
      </c>
      <c r="K217" s="564" t="s">
        <v>1070</v>
      </c>
      <c r="L217" s="564" t="s">
        <v>1071</v>
      </c>
      <c r="M217" s="564" t="s">
        <v>1183</v>
      </c>
      <c r="N217" s="564" t="s">
        <v>1073</v>
      </c>
      <c r="O217" s="564" t="s">
        <v>1472</v>
      </c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 spans="1:26" ht="13">
      <c r="A218" s="562" t="s">
        <v>1615</v>
      </c>
      <c r="B218" s="563" t="s">
        <v>1616</v>
      </c>
      <c r="C218" s="564" t="s">
        <v>1612</v>
      </c>
      <c r="D218" s="565">
        <v>42736</v>
      </c>
      <c r="E218" s="565">
        <v>43100</v>
      </c>
      <c r="F218" s="566">
        <v>455191164</v>
      </c>
      <c r="G218" s="564" t="s">
        <v>1424</v>
      </c>
      <c r="H218" s="564" t="s">
        <v>1424</v>
      </c>
      <c r="I218" s="564" t="s">
        <v>45</v>
      </c>
      <c r="J218" s="564" t="s">
        <v>1069</v>
      </c>
      <c r="K218" s="564" t="s">
        <v>1090</v>
      </c>
      <c r="L218" s="564" t="s">
        <v>1071</v>
      </c>
      <c r="M218" s="564" t="s">
        <v>1183</v>
      </c>
      <c r="N218" s="564" t="s">
        <v>45</v>
      </c>
      <c r="O218" s="564" t="s">
        <v>1472</v>
      </c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 spans="1:26" ht="13">
      <c r="A219" s="562" t="s">
        <v>1617</v>
      </c>
      <c r="B219" s="563" t="s">
        <v>1618</v>
      </c>
      <c r="C219" s="564" t="s">
        <v>1076</v>
      </c>
      <c r="D219" s="565">
        <v>42736</v>
      </c>
      <c r="E219" s="565">
        <v>45657</v>
      </c>
      <c r="F219" s="566">
        <v>268574400</v>
      </c>
      <c r="G219" s="564" t="s">
        <v>1297</v>
      </c>
      <c r="H219" s="564" t="s">
        <v>1025</v>
      </c>
      <c r="I219" s="564" t="s">
        <v>121</v>
      </c>
      <c r="J219" s="564" t="s">
        <v>1079</v>
      </c>
      <c r="K219" s="564" t="s">
        <v>1105</v>
      </c>
      <c r="L219" s="564" t="s">
        <v>1071</v>
      </c>
      <c r="M219" s="564" t="s">
        <v>1072</v>
      </c>
      <c r="N219" s="564" t="s">
        <v>1073</v>
      </c>
      <c r="O219" s="564" t="s">
        <v>1176</v>
      </c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 spans="1:26" ht="13">
      <c r="A220" s="562" t="s">
        <v>1619</v>
      </c>
      <c r="B220" s="563" t="s">
        <v>1620</v>
      </c>
      <c r="C220" s="564" t="s">
        <v>1204</v>
      </c>
      <c r="D220" s="565">
        <v>44378</v>
      </c>
      <c r="E220" s="565">
        <v>46203</v>
      </c>
      <c r="F220" s="566">
        <v>4165200</v>
      </c>
      <c r="G220" s="564" t="s">
        <v>1420</v>
      </c>
      <c r="H220" s="564" t="s">
        <v>1420</v>
      </c>
      <c r="I220" s="564" t="s">
        <v>1514</v>
      </c>
      <c r="J220" s="564" t="s">
        <v>1069</v>
      </c>
      <c r="K220" s="564" t="s">
        <v>1090</v>
      </c>
      <c r="L220" s="564" t="s">
        <v>1189</v>
      </c>
      <c r="M220" s="564" t="s">
        <v>1206</v>
      </c>
      <c r="N220" s="564" t="s">
        <v>1073</v>
      </c>
      <c r="O220" s="564" t="s">
        <v>1207</v>
      </c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 spans="1:26" ht="13">
      <c r="A221" s="562" t="s">
        <v>1621</v>
      </c>
      <c r="B221" s="563" t="s">
        <v>1622</v>
      </c>
      <c r="C221" s="564" t="s">
        <v>1103</v>
      </c>
      <c r="D221" s="565">
        <v>42461</v>
      </c>
      <c r="E221" s="565">
        <v>44286</v>
      </c>
      <c r="F221" s="566">
        <v>16000000</v>
      </c>
      <c r="G221" s="564" t="s">
        <v>1104</v>
      </c>
      <c r="H221" s="564" t="s">
        <v>1623</v>
      </c>
      <c r="I221" s="564" t="s">
        <v>802</v>
      </c>
      <c r="J221" s="564" t="s">
        <v>1069</v>
      </c>
      <c r="K221" s="564" t="s">
        <v>1198</v>
      </c>
      <c r="L221" s="564" t="s">
        <v>1071</v>
      </c>
      <c r="M221" s="564" t="s">
        <v>251</v>
      </c>
      <c r="N221" s="564" t="s">
        <v>132</v>
      </c>
      <c r="O221" s="564" t="s">
        <v>1190</v>
      </c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 spans="1:26" ht="13">
      <c r="A222" s="562" t="s">
        <v>1624</v>
      </c>
      <c r="B222" s="563" t="s">
        <v>1625</v>
      </c>
      <c r="C222" s="564" t="s">
        <v>1388</v>
      </c>
      <c r="D222" s="565">
        <v>44105</v>
      </c>
      <c r="E222" s="565">
        <v>44469</v>
      </c>
      <c r="F222" s="566">
        <v>22848000</v>
      </c>
      <c r="G222" s="564" t="s">
        <v>1312</v>
      </c>
      <c r="H222" s="564" t="s">
        <v>1312</v>
      </c>
      <c r="I222" s="564" t="s">
        <v>45</v>
      </c>
      <c r="J222" s="564" t="s">
        <v>1069</v>
      </c>
      <c r="K222" s="564" t="s">
        <v>1090</v>
      </c>
      <c r="L222" s="564" t="s">
        <v>1071</v>
      </c>
      <c r="M222" s="564" t="s">
        <v>1091</v>
      </c>
      <c r="N222" s="564" t="s">
        <v>45</v>
      </c>
      <c r="O222" s="564" t="s">
        <v>241</v>
      </c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 spans="1:26" ht="13">
      <c r="A223" s="562" t="s">
        <v>1626</v>
      </c>
      <c r="B223" s="563" t="s">
        <v>1627</v>
      </c>
      <c r="C223" s="564" t="s">
        <v>1204</v>
      </c>
      <c r="D223" s="565">
        <v>43040</v>
      </c>
      <c r="E223" s="565">
        <v>44865</v>
      </c>
      <c r="F223" s="566">
        <v>3805500</v>
      </c>
      <c r="G223" s="564" t="s">
        <v>1420</v>
      </c>
      <c r="H223" s="564" t="s">
        <v>1420</v>
      </c>
      <c r="I223" s="564" t="s">
        <v>1628</v>
      </c>
      <c r="J223" s="564" t="s">
        <v>1069</v>
      </c>
      <c r="K223" s="564" t="s">
        <v>1070</v>
      </c>
      <c r="L223" s="564" t="s">
        <v>1189</v>
      </c>
      <c r="M223" s="564" t="s">
        <v>1206</v>
      </c>
      <c r="N223" s="564" t="s">
        <v>1073</v>
      </c>
      <c r="O223" s="564" t="s">
        <v>1207</v>
      </c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 spans="1:26" ht="13">
      <c r="A224" s="562" t="s">
        <v>1629</v>
      </c>
      <c r="B224" s="563" t="s">
        <v>1630</v>
      </c>
      <c r="C224" s="564" t="s">
        <v>1631</v>
      </c>
      <c r="D224" s="565">
        <v>42979</v>
      </c>
      <c r="E224" s="565">
        <v>43343</v>
      </c>
      <c r="F224" s="566">
        <v>38304000</v>
      </c>
      <c r="G224" s="564" t="s">
        <v>1312</v>
      </c>
      <c r="H224" s="564"/>
      <c r="I224" s="564" t="s">
        <v>64</v>
      </c>
      <c r="J224" s="564" t="s">
        <v>1069</v>
      </c>
      <c r="K224" s="564" t="s">
        <v>1090</v>
      </c>
      <c r="L224" s="564" t="s">
        <v>1071</v>
      </c>
      <c r="M224" s="564" t="s">
        <v>1091</v>
      </c>
      <c r="N224" s="564" t="s">
        <v>64</v>
      </c>
      <c r="O224" s="564" t="s">
        <v>241</v>
      </c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 spans="1:26" ht="13">
      <c r="A225" s="562" t="s">
        <v>1632</v>
      </c>
      <c r="B225" s="563" t="s">
        <v>1633</v>
      </c>
      <c r="C225" s="564" t="s">
        <v>1103</v>
      </c>
      <c r="D225" s="565">
        <v>42461</v>
      </c>
      <c r="E225" s="565">
        <v>44286</v>
      </c>
      <c r="F225" s="566">
        <v>16000000</v>
      </c>
      <c r="G225" s="564" t="s">
        <v>1104</v>
      </c>
      <c r="H225" s="564" t="s">
        <v>1128</v>
      </c>
      <c r="I225" s="564" t="s">
        <v>1230</v>
      </c>
      <c r="J225" s="564" t="s">
        <v>1069</v>
      </c>
      <c r="K225" s="564" t="s">
        <v>1090</v>
      </c>
      <c r="L225" s="564" t="s">
        <v>1071</v>
      </c>
      <c r="M225" s="564" t="s">
        <v>251</v>
      </c>
      <c r="N225" s="564" t="s">
        <v>1073</v>
      </c>
      <c r="O225" s="564" t="s">
        <v>1190</v>
      </c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 spans="1:26" ht="13">
      <c r="A226" s="562" t="s">
        <v>1634</v>
      </c>
      <c r="B226" s="563" t="s">
        <v>1635</v>
      </c>
      <c r="C226" s="564" t="s">
        <v>1066</v>
      </c>
      <c r="D226" s="565">
        <v>42552</v>
      </c>
      <c r="E226" s="565">
        <v>42916</v>
      </c>
      <c r="F226" s="566">
        <v>53880000</v>
      </c>
      <c r="G226" s="564" t="s">
        <v>1297</v>
      </c>
      <c r="H226" s="564" t="s">
        <v>1636</v>
      </c>
      <c r="I226" s="564" t="s">
        <v>1637</v>
      </c>
      <c r="J226" s="564" t="s">
        <v>1069</v>
      </c>
      <c r="K226" s="564" t="s">
        <v>1120</v>
      </c>
      <c r="L226" s="564" t="s">
        <v>1071</v>
      </c>
      <c r="M226" s="564" t="s">
        <v>1072</v>
      </c>
      <c r="N226" s="564" t="s">
        <v>1073</v>
      </c>
      <c r="O226" s="564" t="s">
        <v>1331</v>
      </c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 spans="1:26" ht="13">
      <c r="A227" s="562" t="s">
        <v>1638</v>
      </c>
      <c r="B227" s="563" t="s">
        <v>1639</v>
      </c>
      <c r="C227" s="564" t="s">
        <v>1103</v>
      </c>
      <c r="D227" s="565">
        <v>42583</v>
      </c>
      <c r="E227" s="565">
        <v>42947</v>
      </c>
      <c r="F227" s="566">
        <v>1000000</v>
      </c>
      <c r="G227" s="564" t="s">
        <v>1104</v>
      </c>
      <c r="H227" s="564" t="s">
        <v>1640</v>
      </c>
      <c r="I227" s="564" t="s">
        <v>1068</v>
      </c>
      <c r="J227" s="564" t="s">
        <v>1069</v>
      </c>
      <c r="K227" s="564" t="s">
        <v>1070</v>
      </c>
      <c r="L227" s="564" t="s">
        <v>1071</v>
      </c>
      <c r="M227" s="564" t="s">
        <v>251</v>
      </c>
      <c r="N227" s="564" t="s">
        <v>1073</v>
      </c>
      <c r="O227" s="564" t="s">
        <v>1190</v>
      </c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 spans="1:26" ht="13">
      <c r="A228" s="562" t="s">
        <v>1641</v>
      </c>
      <c r="B228" s="563" t="s">
        <v>1642</v>
      </c>
      <c r="C228" s="564" t="s">
        <v>1103</v>
      </c>
      <c r="D228" s="565">
        <v>42461</v>
      </c>
      <c r="E228" s="565">
        <v>44286</v>
      </c>
      <c r="F228" s="566">
        <v>16000000</v>
      </c>
      <c r="G228" s="564" t="s">
        <v>1104</v>
      </c>
      <c r="H228" s="564" t="s">
        <v>1128</v>
      </c>
      <c r="I228" s="564" t="s">
        <v>1161</v>
      </c>
      <c r="J228" s="564" t="s">
        <v>1069</v>
      </c>
      <c r="K228" s="564" t="s">
        <v>1090</v>
      </c>
      <c r="L228" s="564" t="s">
        <v>1071</v>
      </c>
      <c r="M228" s="564" t="s">
        <v>251</v>
      </c>
      <c r="N228" s="564" t="s">
        <v>1073</v>
      </c>
      <c r="O228" s="564" t="s">
        <v>1190</v>
      </c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 spans="1:26" ht="13">
      <c r="A229" s="562" t="s">
        <v>1643</v>
      </c>
      <c r="B229" s="563" t="s">
        <v>1644</v>
      </c>
      <c r="C229" s="564" t="s">
        <v>1088</v>
      </c>
      <c r="D229" s="565">
        <v>43922</v>
      </c>
      <c r="E229" s="565">
        <v>45016</v>
      </c>
      <c r="F229" s="566">
        <v>13356000</v>
      </c>
      <c r="G229" s="564" t="s">
        <v>1032</v>
      </c>
      <c r="H229" s="564" t="s">
        <v>1123</v>
      </c>
      <c r="I229" s="564" t="s">
        <v>1645</v>
      </c>
      <c r="J229" s="564" t="s">
        <v>1069</v>
      </c>
      <c r="K229" s="564" t="s">
        <v>1070</v>
      </c>
      <c r="L229" s="564" t="s">
        <v>1071</v>
      </c>
      <c r="M229" s="564" t="s">
        <v>1183</v>
      </c>
      <c r="N229" s="564" t="s">
        <v>1082</v>
      </c>
      <c r="O229" s="564" t="s">
        <v>1184</v>
      </c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 spans="1:26" ht="13">
      <c r="A230" s="562" t="s">
        <v>1646</v>
      </c>
      <c r="B230" s="563" t="s">
        <v>1647</v>
      </c>
      <c r="C230" s="564" t="s">
        <v>1103</v>
      </c>
      <c r="D230" s="565">
        <v>42461</v>
      </c>
      <c r="E230" s="565">
        <v>44286</v>
      </c>
      <c r="F230" s="566">
        <v>112000000</v>
      </c>
      <c r="G230" s="564" t="s">
        <v>1104</v>
      </c>
      <c r="H230" s="564" t="s">
        <v>1640</v>
      </c>
      <c r="I230" s="564" t="s">
        <v>64</v>
      </c>
      <c r="J230" s="564" t="s">
        <v>1069</v>
      </c>
      <c r="K230" s="564" t="s">
        <v>1090</v>
      </c>
      <c r="L230" s="564" t="s">
        <v>1071</v>
      </c>
      <c r="M230" s="564" t="s">
        <v>251</v>
      </c>
      <c r="N230" s="564" t="s">
        <v>64</v>
      </c>
      <c r="O230" s="564" t="s">
        <v>1190</v>
      </c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 spans="1:26" ht="13">
      <c r="A231" s="562" t="s">
        <v>1648</v>
      </c>
      <c r="B231" s="563" t="s">
        <v>1649</v>
      </c>
      <c r="C231" s="564" t="s">
        <v>1388</v>
      </c>
      <c r="D231" s="565">
        <v>43252</v>
      </c>
      <c r="E231" s="565">
        <v>43616</v>
      </c>
      <c r="F231" s="566">
        <v>46300000</v>
      </c>
      <c r="G231" s="564" t="s">
        <v>1312</v>
      </c>
      <c r="H231" s="564" t="s">
        <v>1157</v>
      </c>
      <c r="I231" s="564" t="s">
        <v>45</v>
      </c>
      <c r="J231" s="564" t="s">
        <v>1069</v>
      </c>
      <c r="K231" s="564" t="s">
        <v>1090</v>
      </c>
      <c r="L231" s="564" t="s">
        <v>1071</v>
      </c>
      <c r="M231" s="564" t="s">
        <v>1091</v>
      </c>
      <c r="N231" s="564" t="s">
        <v>45</v>
      </c>
      <c r="O231" s="564" t="s">
        <v>241</v>
      </c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 spans="1:26" ht="13">
      <c r="A232" s="562" t="s">
        <v>1650</v>
      </c>
      <c r="B232" s="563" t="s">
        <v>1651</v>
      </c>
      <c r="C232" s="564" t="s">
        <v>1652</v>
      </c>
      <c r="D232" s="565">
        <v>43617</v>
      </c>
      <c r="E232" s="565">
        <v>43982</v>
      </c>
      <c r="F232" s="566">
        <v>129232000</v>
      </c>
      <c r="G232" s="564" t="s">
        <v>1312</v>
      </c>
      <c r="H232" s="564" t="s">
        <v>1187</v>
      </c>
      <c r="I232" s="564" t="s">
        <v>70</v>
      </c>
      <c r="J232" s="564" t="s">
        <v>1069</v>
      </c>
      <c r="K232" s="564" t="s">
        <v>1120</v>
      </c>
      <c r="L232" s="564" t="s">
        <v>1071</v>
      </c>
      <c r="M232" s="564" t="s">
        <v>1091</v>
      </c>
      <c r="N232" s="564" t="s">
        <v>70</v>
      </c>
      <c r="O232" s="564" t="s">
        <v>241</v>
      </c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 spans="1:26" ht="13">
      <c r="A233" s="562" t="s">
        <v>175</v>
      </c>
      <c r="B233" s="563" t="s">
        <v>1653</v>
      </c>
      <c r="C233" s="564" t="s">
        <v>1103</v>
      </c>
      <c r="D233" s="565">
        <v>44927</v>
      </c>
      <c r="E233" s="565">
        <v>46022</v>
      </c>
      <c r="F233" s="566">
        <v>390084000</v>
      </c>
      <c r="G233" s="564" t="s">
        <v>1148</v>
      </c>
      <c r="H233" s="564" t="s">
        <v>1148</v>
      </c>
      <c r="I233" s="564" t="s">
        <v>70</v>
      </c>
      <c r="J233" s="564" t="s">
        <v>1079</v>
      </c>
      <c r="K233" s="564" t="s">
        <v>1120</v>
      </c>
      <c r="L233" s="564" t="s">
        <v>1071</v>
      </c>
      <c r="M233" s="564" t="s">
        <v>251</v>
      </c>
      <c r="N233" s="564" t="s">
        <v>70</v>
      </c>
      <c r="O233" s="564" t="s">
        <v>251</v>
      </c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 spans="1:26" ht="13">
      <c r="A234" s="562" t="s">
        <v>1654</v>
      </c>
      <c r="B234" s="563" t="s">
        <v>1655</v>
      </c>
      <c r="C234" s="564" t="s">
        <v>1088</v>
      </c>
      <c r="D234" s="565">
        <v>44927</v>
      </c>
      <c r="E234" s="565">
        <v>46752</v>
      </c>
      <c r="F234" s="566">
        <v>42700000</v>
      </c>
      <c r="G234" s="564" t="s">
        <v>1375</v>
      </c>
      <c r="H234" s="564" t="s">
        <v>1128</v>
      </c>
      <c r="I234" s="564" t="s">
        <v>141</v>
      </c>
      <c r="J234" s="564" t="s">
        <v>1079</v>
      </c>
      <c r="K234" s="564" t="s">
        <v>1205</v>
      </c>
      <c r="L234" s="564" t="s">
        <v>1262</v>
      </c>
      <c r="M234" s="564" t="s">
        <v>1263</v>
      </c>
      <c r="N234" s="564" t="s">
        <v>1073</v>
      </c>
      <c r="O234" s="564" t="s">
        <v>1264</v>
      </c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 spans="1:26" ht="13">
      <c r="A235" s="562" t="s">
        <v>1656</v>
      </c>
      <c r="B235" s="563" t="s">
        <v>1657</v>
      </c>
      <c r="C235" s="564" t="s">
        <v>1088</v>
      </c>
      <c r="D235" s="565">
        <v>44835</v>
      </c>
      <c r="E235" s="565">
        <v>46660</v>
      </c>
      <c r="F235" s="566">
        <v>424926000</v>
      </c>
      <c r="G235" s="564" t="s">
        <v>1375</v>
      </c>
      <c r="H235" s="564" t="s">
        <v>1128</v>
      </c>
      <c r="I235" s="564" t="s">
        <v>802</v>
      </c>
      <c r="J235" s="564" t="s">
        <v>1079</v>
      </c>
      <c r="K235" s="564" t="s">
        <v>1198</v>
      </c>
      <c r="L235" s="564" t="s">
        <v>1262</v>
      </c>
      <c r="M235" s="564" t="s">
        <v>1263</v>
      </c>
      <c r="N235" s="564" t="s">
        <v>132</v>
      </c>
      <c r="O235" s="564" t="s">
        <v>1264</v>
      </c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 spans="1:26" ht="13">
      <c r="A236" s="562" t="s">
        <v>233</v>
      </c>
      <c r="B236" s="563" t="s">
        <v>1658</v>
      </c>
      <c r="C236" s="564" t="s">
        <v>1088</v>
      </c>
      <c r="D236" s="565">
        <v>45170</v>
      </c>
      <c r="E236" s="565">
        <v>45565</v>
      </c>
      <c r="F236" s="566">
        <v>83850000</v>
      </c>
      <c r="G236" s="564" t="s">
        <v>1375</v>
      </c>
      <c r="H236" s="564" t="s">
        <v>1375</v>
      </c>
      <c r="I236" s="564" t="s">
        <v>225</v>
      </c>
      <c r="J236" s="564" t="s">
        <v>1079</v>
      </c>
      <c r="K236" s="564" t="s">
        <v>1105</v>
      </c>
      <c r="L236" s="564" t="s">
        <v>1262</v>
      </c>
      <c r="M236" s="564" t="s">
        <v>1263</v>
      </c>
      <c r="N236" s="564" t="s">
        <v>225</v>
      </c>
      <c r="O236" s="564" t="s">
        <v>1264</v>
      </c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 spans="1:26" ht="13">
      <c r="A237" s="562" t="s">
        <v>1659</v>
      </c>
      <c r="B237" s="563" t="s">
        <v>1660</v>
      </c>
      <c r="C237" s="564" t="s">
        <v>1088</v>
      </c>
      <c r="D237" s="565">
        <v>43405</v>
      </c>
      <c r="E237" s="565">
        <v>45046</v>
      </c>
      <c r="F237" s="566">
        <v>366420000</v>
      </c>
      <c r="G237" s="564" t="s">
        <v>997</v>
      </c>
      <c r="H237" s="564" t="s">
        <v>997</v>
      </c>
      <c r="I237" s="564" t="s">
        <v>802</v>
      </c>
      <c r="J237" s="564" t="s">
        <v>1069</v>
      </c>
      <c r="K237" s="564" t="s">
        <v>1198</v>
      </c>
      <c r="L237" s="564" t="s">
        <v>1262</v>
      </c>
      <c r="M237" s="564" t="s">
        <v>1263</v>
      </c>
      <c r="N237" s="564" t="s">
        <v>132</v>
      </c>
      <c r="O237" s="564" t="s">
        <v>1264</v>
      </c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 spans="1:26" ht="13">
      <c r="A238" s="562" t="s">
        <v>1661</v>
      </c>
      <c r="B238" s="563" t="s">
        <v>1662</v>
      </c>
      <c r="C238" s="564" t="s">
        <v>1388</v>
      </c>
      <c r="D238" s="565">
        <v>44927</v>
      </c>
      <c r="E238" s="565">
        <v>45291</v>
      </c>
      <c r="F238" s="566">
        <v>630450000</v>
      </c>
      <c r="G238" s="564" t="s">
        <v>1663</v>
      </c>
      <c r="H238" s="564" t="s">
        <v>1261</v>
      </c>
      <c r="I238" s="564" t="s">
        <v>170</v>
      </c>
      <c r="J238" s="564" t="s">
        <v>1079</v>
      </c>
      <c r="K238" s="564" t="s">
        <v>1105</v>
      </c>
      <c r="L238" s="564" t="s">
        <v>1262</v>
      </c>
      <c r="M238" s="564" t="s">
        <v>1263</v>
      </c>
      <c r="N238" s="564" t="s">
        <v>170</v>
      </c>
      <c r="O238" s="564" t="s">
        <v>1664</v>
      </c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 spans="1:26" ht="13">
      <c r="A239" s="562" t="s">
        <v>1665</v>
      </c>
      <c r="B239" s="563" t="s">
        <v>1666</v>
      </c>
      <c r="C239" s="564" t="s">
        <v>1388</v>
      </c>
      <c r="D239" s="565">
        <v>44927</v>
      </c>
      <c r="E239" s="565">
        <v>45291</v>
      </c>
      <c r="F239" s="566">
        <v>2754504000</v>
      </c>
      <c r="G239" s="564" t="s">
        <v>1260</v>
      </c>
      <c r="H239" s="564" t="s">
        <v>1529</v>
      </c>
      <c r="I239" s="564" t="s">
        <v>64</v>
      </c>
      <c r="J239" s="564" t="s">
        <v>1079</v>
      </c>
      <c r="K239" s="564" t="s">
        <v>1090</v>
      </c>
      <c r="L239" s="564" t="s">
        <v>1262</v>
      </c>
      <c r="M239" s="564" t="s">
        <v>1263</v>
      </c>
      <c r="N239" s="564" t="s">
        <v>64</v>
      </c>
      <c r="O239" s="564" t="s">
        <v>1664</v>
      </c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spans="1:26" ht="13">
      <c r="A240" s="562" t="s">
        <v>1667</v>
      </c>
      <c r="B240" s="563" t="s">
        <v>1668</v>
      </c>
      <c r="C240" s="564" t="s">
        <v>1388</v>
      </c>
      <c r="D240" s="565">
        <v>43831</v>
      </c>
      <c r="E240" s="565">
        <v>44196</v>
      </c>
      <c r="F240" s="566">
        <v>272167800</v>
      </c>
      <c r="G240" s="564" t="s">
        <v>1663</v>
      </c>
      <c r="H240" s="564" t="s">
        <v>1261</v>
      </c>
      <c r="I240" s="564" t="s">
        <v>45</v>
      </c>
      <c r="J240" s="564" t="s">
        <v>1069</v>
      </c>
      <c r="K240" s="564" t="s">
        <v>1090</v>
      </c>
      <c r="L240" s="564" t="s">
        <v>1262</v>
      </c>
      <c r="M240" s="564" t="s">
        <v>1263</v>
      </c>
      <c r="N240" s="564" t="s">
        <v>45</v>
      </c>
      <c r="O240" s="564" t="s">
        <v>1664</v>
      </c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 spans="1:26" ht="13">
      <c r="A241" s="562" t="s">
        <v>1669</v>
      </c>
      <c r="B241" s="563" t="s">
        <v>1670</v>
      </c>
      <c r="C241" s="564" t="s">
        <v>1388</v>
      </c>
      <c r="D241" s="565">
        <v>45017</v>
      </c>
      <c r="E241" s="565">
        <v>45382</v>
      </c>
      <c r="F241" s="566">
        <v>17734075200</v>
      </c>
      <c r="G241" s="564" t="s">
        <v>1260</v>
      </c>
      <c r="H241" s="564" t="s">
        <v>1261</v>
      </c>
      <c r="I241" s="564" t="s">
        <v>45</v>
      </c>
      <c r="J241" s="564" t="s">
        <v>1079</v>
      </c>
      <c r="K241" s="564" t="s">
        <v>1090</v>
      </c>
      <c r="L241" s="564" t="s">
        <v>1262</v>
      </c>
      <c r="M241" s="564" t="s">
        <v>1263</v>
      </c>
      <c r="N241" s="564" t="s">
        <v>45</v>
      </c>
      <c r="O241" s="564" t="s">
        <v>1664</v>
      </c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spans="1:26" ht="13">
      <c r="A242" s="562" t="s">
        <v>1671</v>
      </c>
      <c r="B242" s="563" t="s">
        <v>1672</v>
      </c>
      <c r="C242" s="564" t="s">
        <v>1388</v>
      </c>
      <c r="D242" s="565">
        <v>45017</v>
      </c>
      <c r="E242" s="565">
        <v>45382</v>
      </c>
      <c r="F242" s="566">
        <v>5044161600</v>
      </c>
      <c r="G242" s="564" t="s">
        <v>1260</v>
      </c>
      <c r="H242" s="564" t="s">
        <v>1261</v>
      </c>
      <c r="I242" s="564" t="s">
        <v>45</v>
      </c>
      <c r="J242" s="564" t="s">
        <v>1079</v>
      </c>
      <c r="K242" s="564" t="s">
        <v>1090</v>
      </c>
      <c r="L242" s="564" t="s">
        <v>1262</v>
      </c>
      <c r="M242" s="564" t="s">
        <v>1263</v>
      </c>
      <c r="N242" s="564" t="s">
        <v>45</v>
      </c>
      <c r="O242" s="564" t="s">
        <v>1664</v>
      </c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 spans="1:26" ht="13">
      <c r="A243" s="562" t="s">
        <v>1673</v>
      </c>
      <c r="B243" s="563" t="s">
        <v>1674</v>
      </c>
      <c r="C243" s="564" t="s">
        <v>1388</v>
      </c>
      <c r="D243" s="565">
        <v>45017</v>
      </c>
      <c r="E243" s="565">
        <v>45382</v>
      </c>
      <c r="F243" s="566">
        <v>3187941600</v>
      </c>
      <c r="G243" s="564" t="s">
        <v>1260</v>
      </c>
      <c r="H243" s="564" t="s">
        <v>1261</v>
      </c>
      <c r="I243" s="564" t="s">
        <v>45</v>
      </c>
      <c r="J243" s="564" t="s">
        <v>1079</v>
      </c>
      <c r="K243" s="564" t="s">
        <v>1090</v>
      </c>
      <c r="L243" s="564" t="s">
        <v>1262</v>
      </c>
      <c r="M243" s="564" t="s">
        <v>1263</v>
      </c>
      <c r="N243" s="564" t="s">
        <v>45</v>
      </c>
      <c r="O243" s="564" t="s">
        <v>1664</v>
      </c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spans="1:26" ht="13">
      <c r="A244" s="562" t="s">
        <v>1675</v>
      </c>
      <c r="B244" s="563" t="s">
        <v>1676</v>
      </c>
      <c r="C244" s="564" t="s">
        <v>1204</v>
      </c>
      <c r="D244" s="565">
        <v>44256</v>
      </c>
      <c r="E244" s="565">
        <v>46081</v>
      </c>
      <c r="F244" s="566">
        <v>85386600</v>
      </c>
      <c r="G244" s="564" t="s">
        <v>1420</v>
      </c>
      <c r="H244" s="564" t="s">
        <v>1420</v>
      </c>
      <c r="I244" s="564" t="s">
        <v>1637</v>
      </c>
      <c r="J244" s="564" t="s">
        <v>1069</v>
      </c>
      <c r="K244" s="564" t="s">
        <v>1120</v>
      </c>
      <c r="L244" s="564" t="s">
        <v>1189</v>
      </c>
      <c r="M244" s="564" t="s">
        <v>1206</v>
      </c>
      <c r="N244" s="564" t="s">
        <v>1073</v>
      </c>
      <c r="O244" s="564" t="s">
        <v>1207</v>
      </c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 spans="1:26" ht="13">
      <c r="A245" s="562" t="s">
        <v>1677</v>
      </c>
      <c r="B245" s="563" t="s">
        <v>1678</v>
      </c>
      <c r="C245" s="564" t="s">
        <v>1088</v>
      </c>
      <c r="D245" s="565">
        <v>44197</v>
      </c>
      <c r="E245" s="565">
        <v>44561</v>
      </c>
      <c r="F245" s="566">
        <v>12510000</v>
      </c>
      <c r="G245" s="564" t="s">
        <v>1211</v>
      </c>
      <c r="H245" s="564" t="s">
        <v>297</v>
      </c>
      <c r="I245" s="564" t="s">
        <v>1247</v>
      </c>
      <c r="J245" s="564" t="s">
        <v>1069</v>
      </c>
      <c r="K245" s="564" t="s">
        <v>1070</v>
      </c>
      <c r="L245" s="564" t="s">
        <v>1071</v>
      </c>
      <c r="M245" s="564" t="s">
        <v>1124</v>
      </c>
      <c r="N245" s="564" t="s">
        <v>1073</v>
      </c>
      <c r="O245" s="564" t="s">
        <v>197</v>
      </c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spans="1:26" ht="13">
      <c r="A246" s="562" t="s">
        <v>1679</v>
      </c>
      <c r="B246" s="563" t="s">
        <v>1680</v>
      </c>
      <c r="C246" s="564" t="s">
        <v>1204</v>
      </c>
      <c r="D246" s="565">
        <v>44242</v>
      </c>
      <c r="E246" s="565">
        <v>46067</v>
      </c>
      <c r="F246" s="566">
        <v>76362000</v>
      </c>
      <c r="G246" s="564" t="s">
        <v>1420</v>
      </c>
      <c r="H246" s="564" t="s">
        <v>1420</v>
      </c>
      <c r="I246" s="564" t="s">
        <v>1681</v>
      </c>
      <c r="J246" s="564" t="s">
        <v>1069</v>
      </c>
      <c r="K246" s="564" t="s">
        <v>1120</v>
      </c>
      <c r="L246" s="564" t="s">
        <v>1189</v>
      </c>
      <c r="M246" s="564" t="s">
        <v>1206</v>
      </c>
      <c r="N246" s="564" t="s">
        <v>1073</v>
      </c>
      <c r="O246" s="564" t="s">
        <v>1207</v>
      </c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spans="1:26" ht="13">
      <c r="A247" s="562" t="s">
        <v>1682</v>
      </c>
      <c r="B247" s="563" t="s">
        <v>1683</v>
      </c>
      <c r="C247" s="564" t="s">
        <v>1455</v>
      </c>
      <c r="D247" s="565">
        <v>45292</v>
      </c>
      <c r="E247" s="565">
        <v>45657</v>
      </c>
      <c r="F247" s="566">
        <v>244000000</v>
      </c>
      <c r="G247" s="564" t="s">
        <v>1684</v>
      </c>
      <c r="H247" s="564" t="s">
        <v>1182</v>
      </c>
      <c r="I247" s="564" t="s">
        <v>121</v>
      </c>
      <c r="J247" s="564" t="s">
        <v>1079</v>
      </c>
      <c r="K247" s="564" t="s">
        <v>1105</v>
      </c>
      <c r="L247" s="564" t="s">
        <v>1189</v>
      </c>
      <c r="M247" s="564" t="s">
        <v>1189</v>
      </c>
      <c r="N247" s="564" t="s">
        <v>1073</v>
      </c>
      <c r="O247" s="564" t="s">
        <v>1190</v>
      </c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spans="1:26" ht="13">
      <c r="A248" s="562" t="s">
        <v>1685</v>
      </c>
      <c r="B248" s="563" t="s">
        <v>1686</v>
      </c>
      <c r="C248" s="564" t="s">
        <v>1076</v>
      </c>
      <c r="D248" s="565">
        <v>44197</v>
      </c>
      <c r="E248" s="565">
        <v>44561</v>
      </c>
      <c r="F248" s="566">
        <v>9215000</v>
      </c>
      <c r="G248" s="564" t="s">
        <v>1297</v>
      </c>
      <c r="H248" s="564" t="s">
        <v>297</v>
      </c>
      <c r="I248" s="564" t="s">
        <v>1247</v>
      </c>
      <c r="J248" s="564" t="s">
        <v>1069</v>
      </c>
      <c r="K248" s="564" t="s">
        <v>1070</v>
      </c>
      <c r="L248" s="564" t="s">
        <v>1071</v>
      </c>
      <c r="M248" s="564" t="s">
        <v>1072</v>
      </c>
      <c r="N248" s="564" t="s">
        <v>1073</v>
      </c>
      <c r="O248" s="564" t="s">
        <v>1176</v>
      </c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spans="1:26" ht="13">
      <c r="A249" s="562" t="s">
        <v>1687</v>
      </c>
      <c r="B249" s="563" t="s">
        <v>1688</v>
      </c>
      <c r="C249" s="564" t="s">
        <v>1204</v>
      </c>
      <c r="D249" s="565">
        <v>42370</v>
      </c>
      <c r="E249" s="565">
        <v>42735</v>
      </c>
      <c r="F249" s="566">
        <v>16299474</v>
      </c>
      <c r="G249" s="564" t="s">
        <v>1424</v>
      </c>
      <c r="H249" s="564" t="s">
        <v>1424</v>
      </c>
      <c r="I249" s="564" t="s">
        <v>1471</v>
      </c>
      <c r="J249" s="564" t="s">
        <v>1069</v>
      </c>
      <c r="K249" s="564" t="s">
        <v>1070</v>
      </c>
      <c r="L249" s="564" t="s">
        <v>1071</v>
      </c>
      <c r="M249" s="564" t="s">
        <v>1183</v>
      </c>
      <c r="N249" s="564" t="s">
        <v>1082</v>
      </c>
      <c r="O249" s="564" t="s">
        <v>1472</v>
      </c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spans="1:26" ht="13">
      <c r="A250" s="562" t="s">
        <v>1689</v>
      </c>
      <c r="B250" s="563" t="s">
        <v>1690</v>
      </c>
      <c r="C250" s="564" t="s">
        <v>1612</v>
      </c>
      <c r="D250" s="565">
        <v>42370</v>
      </c>
      <c r="E250" s="565">
        <v>42735</v>
      </c>
      <c r="F250" s="566">
        <v>3103543</v>
      </c>
      <c r="G250" s="564" t="s">
        <v>1424</v>
      </c>
      <c r="H250" s="564" t="s">
        <v>1424</v>
      </c>
      <c r="I250" s="564" t="s">
        <v>1586</v>
      </c>
      <c r="J250" s="564" t="s">
        <v>1069</v>
      </c>
      <c r="K250" s="564" t="s">
        <v>1090</v>
      </c>
      <c r="L250" s="564" t="s">
        <v>1071</v>
      </c>
      <c r="M250" s="564" t="s">
        <v>1183</v>
      </c>
      <c r="N250" s="564" t="s">
        <v>1073</v>
      </c>
      <c r="O250" s="564" t="s">
        <v>1472</v>
      </c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spans="1:26" ht="13">
      <c r="A251" s="562" t="s">
        <v>1691</v>
      </c>
      <c r="B251" s="563" t="s">
        <v>1692</v>
      </c>
      <c r="C251" s="564" t="s">
        <v>1612</v>
      </c>
      <c r="D251" s="565">
        <v>42370</v>
      </c>
      <c r="E251" s="565">
        <v>42735</v>
      </c>
      <c r="F251" s="566">
        <v>4770213</v>
      </c>
      <c r="G251" s="564" t="s">
        <v>1424</v>
      </c>
      <c r="H251" s="564" t="s">
        <v>1424</v>
      </c>
      <c r="I251" s="564" t="s">
        <v>146</v>
      </c>
      <c r="J251" s="564" t="s">
        <v>1069</v>
      </c>
      <c r="K251" s="564" t="s">
        <v>1070</v>
      </c>
      <c r="L251" s="564" t="s">
        <v>1071</v>
      </c>
      <c r="M251" s="564" t="s">
        <v>1183</v>
      </c>
      <c r="N251" s="564" t="s">
        <v>1073</v>
      </c>
      <c r="O251" s="564" t="s">
        <v>1472</v>
      </c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spans="1:26" ht="13">
      <c r="A252" s="562" t="s">
        <v>1693</v>
      </c>
      <c r="B252" s="563" t="s">
        <v>1694</v>
      </c>
      <c r="C252" s="564" t="s">
        <v>1612</v>
      </c>
      <c r="D252" s="565">
        <v>42370</v>
      </c>
      <c r="E252" s="565">
        <v>42735</v>
      </c>
      <c r="F252" s="566">
        <v>2529597742</v>
      </c>
      <c r="G252" s="564" t="s">
        <v>1424</v>
      </c>
      <c r="H252" s="564" t="s">
        <v>1424</v>
      </c>
      <c r="I252" s="564" t="s">
        <v>45</v>
      </c>
      <c r="J252" s="564" t="s">
        <v>1069</v>
      </c>
      <c r="K252" s="564" t="s">
        <v>1090</v>
      </c>
      <c r="L252" s="564" t="s">
        <v>1071</v>
      </c>
      <c r="M252" s="564" t="s">
        <v>1183</v>
      </c>
      <c r="N252" s="564" t="s">
        <v>45</v>
      </c>
      <c r="O252" s="564" t="s">
        <v>1472</v>
      </c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spans="1:26" ht="13">
      <c r="A253" s="562" t="s">
        <v>1695</v>
      </c>
      <c r="B253" s="563" t="s">
        <v>1696</v>
      </c>
      <c r="C253" s="564" t="s">
        <v>1388</v>
      </c>
      <c r="D253" s="565">
        <v>43101</v>
      </c>
      <c r="E253" s="565">
        <v>43465</v>
      </c>
      <c r="F253" s="566">
        <v>64500000</v>
      </c>
      <c r="G253" s="564" t="s">
        <v>1563</v>
      </c>
      <c r="H253" s="564" t="s">
        <v>1564</v>
      </c>
      <c r="I253" s="564" t="s">
        <v>125</v>
      </c>
      <c r="J253" s="564" t="s">
        <v>1069</v>
      </c>
      <c r="K253" s="564" t="s">
        <v>1070</v>
      </c>
      <c r="L253" s="564" t="s">
        <v>1071</v>
      </c>
      <c r="M253" s="564" t="s">
        <v>1091</v>
      </c>
      <c r="N253" s="564" t="s">
        <v>1073</v>
      </c>
      <c r="O253" s="564" t="s">
        <v>1697</v>
      </c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spans="1:26" ht="13">
      <c r="A254" s="562" t="s">
        <v>1698</v>
      </c>
      <c r="B254" s="563" t="s">
        <v>1699</v>
      </c>
      <c r="C254" s="564" t="s">
        <v>1589</v>
      </c>
      <c r="D254" s="565">
        <v>42339</v>
      </c>
      <c r="E254" s="565">
        <v>43069</v>
      </c>
      <c r="F254" s="566">
        <v>63000000</v>
      </c>
      <c r="G254" s="564" t="s">
        <v>1590</v>
      </c>
      <c r="H254" s="564" t="s">
        <v>1157</v>
      </c>
      <c r="I254" s="564" t="s">
        <v>64</v>
      </c>
      <c r="J254" s="564" t="s">
        <v>1069</v>
      </c>
      <c r="K254" s="564" t="s">
        <v>1090</v>
      </c>
      <c r="L254" s="564" t="s">
        <v>1071</v>
      </c>
      <c r="M254" s="564" t="s">
        <v>1124</v>
      </c>
      <c r="N254" s="564" t="s">
        <v>64</v>
      </c>
      <c r="O254" s="564" t="s">
        <v>1274</v>
      </c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spans="1:26" ht="13">
      <c r="A255" s="562" t="s">
        <v>1700</v>
      </c>
      <c r="B255" s="563" t="s">
        <v>1701</v>
      </c>
      <c r="C255" s="564" t="s">
        <v>1076</v>
      </c>
      <c r="D255" s="565">
        <v>42339</v>
      </c>
      <c r="E255" s="565">
        <v>44895</v>
      </c>
      <c r="F255" s="566">
        <v>46460400</v>
      </c>
      <c r="G255" s="564" t="s">
        <v>1297</v>
      </c>
      <c r="H255" s="564" t="s">
        <v>1157</v>
      </c>
      <c r="I255" s="564" t="s">
        <v>125</v>
      </c>
      <c r="J255" s="564" t="s">
        <v>1069</v>
      </c>
      <c r="K255" s="564" t="s">
        <v>1070</v>
      </c>
      <c r="L255" s="564" t="s">
        <v>1071</v>
      </c>
      <c r="M255" s="564" t="s">
        <v>1072</v>
      </c>
      <c r="N255" s="564" t="s">
        <v>1073</v>
      </c>
      <c r="O255" s="564" t="s">
        <v>1176</v>
      </c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spans="1:26" ht="13">
      <c r="A256" s="562" t="s">
        <v>1702</v>
      </c>
      <c r="B256" s="563" t="s">
        <v>1703</v>
      </c>
      <c r="C256" s="564" t="s">
        <v>1076</v>
      </c>
      <c r="D256" s="565">
        <v>42370</v>
      </c>
      <c r="E256" s="565">
        <v>44196</v>
      </c>
      <c r="F256" s="566">
        <v>42213600</v>
      </c>
      <c r="G256" s="564" t="s">
        <v>1297</v>
      </c>
      <c r="H256" s="564" t="s">
        <v>337</v>
      </c>
      <c r="I256" s="564" t="s">
        <v>1586</v>
      </c>
      <c r="J256" s="564" t="s">
        <v>1069</v>
      </c>
      <c r="K256" s="564" t="s">
        <v>1090</v>
      </c>
      <c r="L256" s="564" t="s">
        <v>1071</v>
      </c>
      <c r="M256" s="564" t="s">
        <v>1072</v>
      </c>
      <c r="N256" s="564" t="s">
        <v>1073</v>
      </c>
      <c r="O256" s="564" t="s">
        <v>1176</v>
      </c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spans="1:26" ht="13">
      <c r="A257" s="562" t="s">
        <v>1704</v>
      </c>
      <c r="B257" s="563" t="s">
        <v>1705</v>
      </c>
      <c r="C257" s="564" t="s">
        <v>1076</v>
      </c>
      <c r="D257" s="565">
        <v>44562</v>
      </c>
      <c r="E257" s="565">
        <v>45291</v>
      </c>
      <c r="F257" s="566">
        <v>6000000</v>
      </c>
      <c r="G257" s="564" t="s">
        <v>1297</v>
      </c>
      <c r="H257" s="564" t="s">
        <v>297</v>
      </c>
      <c r="I257" s="564" t="s">
        <v>1628</v>
      </c>
      <c r="J257" s="564" t="s">
        <v>1079</v>
      </c>
      <c r="K257" s="564" t="s">
        <v>1070</v>
      </c>
      <c r="L257" s="564" t="s">
        <v>1071</v>
      </c>
      <c r="M257" s="564" t="s">
        <v>1072</v>
      </c>
      <c r="N257" s="564" t="s">
        <v>1073</v>
      </c>
      <c r="O257" s="564" t="s">
        <v>1331</v>
      </c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spans="1:26" ht="13">
      <c r="A258" s="562" t="s">
        <v>1706</v>
      </c>
      <c r="B258" s="563" t="s">
        <v>1707</v>
      </c>
      <c r="C258" s="564" t="s">
        <v>1076</v>
      </c>
      <c r="D258" s="565">
        <v>43101</v>
      </c>
      <c r="E258" s="565">
        <v>43830</v>
      </c>
      <c r="F258" s="566">
        <v>6250000</v>
      </c>
      <c r="G258" s="564" t="s">
        <v>1297</v>
      </c>
      <c r="H258" s="564" t="s">
        <v>1128</v>
      </c>
      <c r="I258" s="564" t="s">
        <v>125</v>
      </c>
      <c r="J258" s="564" t="s">
        <v>1069</v>
      </c>
      <c r="K258" s="564" t="s">
        <v>1070</v>
      </c>
      <c r="L258" s="564" t="s">
        <v>1071</v>
      </c>
      <c r="M258" s="564" t="s">
        <v>1072</v>
      </c>
      <c r="N258" s="564" t="s">
        <v>1073</v>
      </c>
      <c r="O258" s="564" t="s">
        <v>1331</v>
      </c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spans="1:26" ht="13">
      <c r="A259" s="562" t="s">
        <v>1708</v>
      </c>
      <c r="B259" s="563" t="s">
        <v>1709</v>
      </c>
      <c r="C259" s="564" t="s">
        <v>1204</v>
      </c>
      <c r="D259" s="565">
        <v>42309</v>
      </c>
      <c r="E259" s="565">
        <v>44135</v>
      </c>
      <c r="F259" s="566">
        <v>4860000</v>
      </c>
      <c r="G259" s="564" t="s">
        <v>754</v>
      </c>
      <c r="H259" s="564" t="s">
        <v>1157</v>
      </c>
      <c r="I259" s="564" t="s">
        <v>1710</v>
      </c>
      <c r="J259" s="564" t="s">
        <v>1069</v>
      </c>
      <c r="K259" s="564" t="s">
        <v>1120</v>
      </c>
      <c r="L259" s="564" t="s">
        <v>1189</v>
      </c>
      <c r="M259" s="564" t="s">
        <v>1206</v>
      </c>
      <c r="N259" s="564" t="s">
        <v>1073</v>
      </c>
      <c r="O259" s="564" t="s">
        <v>1207</v>
      </c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spans="1:26" ht="13">
      <c r="A260" s="562" t="s">
        <v>1711</v>
      </c>
      <c r="B260" s="563" t="s">
        <v>1712</v>
      </c>
      <c r="C260" s="564" t="s">
        <v>1204</v>
      </c>
      <c r="D260" s="565">
        <v>44136</v>
      </c>
      <c r="E260" s="565">
        <v>45961</v>
      </c>
      <c r="F260" s="566">
        <v>3123000</v>
      </c>
      <c r="G260" s="564" t="s">
        <v>1420</v>
      </c>
      <c r="H260" s="564" t="s">
        <v>1420</v>
      </c>
      <c r="I260" s="564" t="s">
        <v>1713</v>
      </c>
      <c r="J260" s="564" t="s">
        <v>1069</v>
      </c>
      <c r="K260" s="564" t="s">
        <v>1120</v>
      </c>
      <c r="L260" s="564" t="s">
        <v>1189</v>
      </c>
      <c r="M260" s="564" t="s">
        <v>1206</v>
      </c>
      <c r="N260" s="564" t="s">
        <v>1073</v>
      </c>
      <c r="O260" s="564" t="s">
        <v>1207</v>
      </c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spans="1:26" ht="13">
      <c r="A261" s="562" t="s">
        <v>1714</v>
      </c>
      <c r="B261" s="563" t="s">
        <v>1715</v>
      </c>
      <c r="C261" s="564" t="s">
        <v>1204</v>
      </c>
      <c r="D261" s="565">
        <v>44136</v>
      </c>
      <c r="E261" s="565">
        <v>45961</v>
      </c>
      <c r="F261" s="566">
        <v>9993600</v>
      </c>
      <c r="G261" s="564" t="s">
        <v>1420</v>
      </c>
      <c r="H261" s="564" t="s">
        <v>1420</v>
      </c>
      <c r="I261" s="564" t="s">
        <v>1716</v>
      </c>
      <c r="J261" s="564" t="s">
        <v>1069</v>
      </c>
      <c r="K261" s="564" t="s">
        <v>1120</v>
      </c>
      <c r="L261" s="564" t="s">
        <v>1189</v>
      </c>
      <c r="M261" s="564" t="s">
        <v>1206</v>
      </c>
      <c r="N261" s="564" t="s">
        <v>1073</v>
      </c>
      <c r="O261" s="564" t="s">
        <v>1207</v>
      </c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spans="1:26" ht="13">
      <c r="A262" s="562" t="s">
        <v>1717</v>
      </c>
      <c r="B262" s="563" t="s">
        <v>1718</v>
      </c>
      <c r="C262" s="564" t="s">
        <v>1204</v>
      </c>
      <c r="D262" s="565">
        <v>44136</v>
      </c>
      <c r="E262" s="565">
        <v>45961</v>
      </c>
      <c r="F262" s="566">
        <v>7495200</v>
      </c>
      <c r="G262" s="564" t="s">
        <v>1420</v>
      </c>
      <c r="H262" s="564" t="s">
        <v>1420</v>
      </c>
      <c r="I262" s="564" t="s">
        <v>1719</v>
      </c>
      <c r="J262" s="564" t="s">
        <v>1069</v>
      </c>
      <c r="K262" s="564" t="s">
        <v>1120</v>
      </c>
      <c r="L262" s="564" t="s">
        <v>1189</v>
      </c>
      <c r="M262" s="564" t="s">
        <v>1206</v>
      </c>
      <c r="N262" s="564" t="s">
        <v>1073</v>
      </c>
      <c r="O262" s="564" t="s">
        <v>1207</v>
      </c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spans="1:26" ht="13">
      <c r="A263" s="562" t="s">
        <v>1720</v>
      </c>
      <c r="B263" s="563" t="s">
        <v>1721</v>
      </c>
      <c r="C263" s="564" t="s">
        <v>1088</v>
      </c>
      <c r="D263" s="565">
        <v>42223</v>
      </c>
      <c r="E263" s="565">
        <v>44049</v>
      </c>
      <c r="F263" s="566">
        <v>180413000</v>
      </c>
      <c r="G263" s="564" t="s">
        <v>1722</v>
      </c>
      <c r="H263" s="564" t="s">
        <v>1116</v>
      </c>
      <c r="I263" s="564" t="s">
        <v>1514</v>
      </c>
      <c r="J263" s="564" t="s">
        <v>1069</v>
      </c>
      <c r="K263" s="564" t="s">
        <v>1090</v>
      </c>
      <c r="L263" s="564" t="s">
        <v>1071</v>
      </c>
      <c r="M263" s="564" t="s">
        <v>1091</v>
      </c>
      <c r="N263" s="564" t="s">
        <v>1073</v>
      </c>
      <c r="O263" s="564" t="s">
        <v>1092</v>
      </c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spans="1:26" ht="13">
      <c r="A264" s="562" t="s">
        <v>1723</v>
      </c>
      <c r="B264" s="563" t="s">
        <v>1724</v>
      </c>
      <c r="C264" s="564" t="s">
        <v>1370</v>
      </c>
      <c r="D264" s="565">
        <v>42217</v>
      </c>
      <c r="E264" s="565">
        <v>44196</v>
      </c>
      <c r="F264" s="567"/>
      <c r="G264" s="564" t="s">
        <v>1725</v>
      </c>
      <c r="H264" s="564" t="s">
        <v>1725</v>
      </c>
      <c r="I264" s="564" t="s">
        <v>1726</v>
      </c>
      <c r="J264" s="564" t="s">
        <v>1069</v>
      </c>
      <c r="K264" s="564" t="s">
        <v>1198</v>
      </c>
      <c r="L264" s="564" t="s">
        <v>1189</v>
      </c>
      <c r="M264" s="564" t="s">
        <v>1189</v>
      </c>
      <c r="N264" s="564" t="s">
        <v>132</v>
      </c>
      <c r="O264" s="564" t="s">
        <v>1190</v>
      </c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spans="1:26" ht="13">
      <c r="A265" s="562" t="s">
        <v>1727</v>
      </c>
      <c r="B265" s="563" t="s">
        <v>1728</v>
      </c>
      <c r="C265" s="564" t="s">
        <v>1631</v>
      </c>
      <c r="D265" s="565">
        <v>42217</v>
      </c>
      <c r="E265" s="565">
        <v>44196</v>
      </c>
      <c r="F265" s="566"/>
      <c r="G265" s="564" t="s">
        <v>1729</v>
      </c>
      <c r="H265" s="564" t="s">
        <v>1729</v>
      </c>
      <c r="I265" s="564" t="s">
        <v>64</v>
      </c>
      <c r="J265" s="564" t="s">
        <v>1069</v>
      </c>
      <c r="K265" s="564" t="s">
        <v>1090</v>
      </c>
      <c r="L265" s="564" t="s">
        <v>1189</v>
      </c>
      <c r="M265" s="564" t="s">
        <v>1189</v>
      </c>
      <c r="N265" s="564" t="s">
        <v>64</v>
      </c>
      <c r="O265" s="564" t="s">
        <v>1190</v>
      </c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spans="1:26" ht="13">
      <c r="A266" s="562" t="s">
        <v>1730</v>
      </c>
      <c r="B266" s="563" t="s">
        <v>1731</v>
      </c>
      <c r="C266" s="564" t="s">
        <v>1271</v>
      </c>
      <c r="D266" s="565">
        <v>43739</v>
      </c>
      <c r="E266" s="565">
        <v>47026</v>
      </c>
      <c r="F266" s="566">
        <v>12480000</v>
      </c>
      <c r="G266" s="564" t="s">
        <v>1312</v>
      </c>
      <c r="H266" s="564" t="s">
        <v>1273</v>
      </c>
      <c r="I266" s="564" t="s">
        <v>70</v>
      </c>
      <c r="J266" s="564" t="s">
        <v>1079</v>
      </c>
      <c r="K266" s="564" t="s">
        <v>1120</v>
      </c>
      <c r="L266" s="564" t="s">
        <v>1071</v>
      </c>
      <c r="M266" s="564" t="s">
        <v>1124</v>
      </c>
      <c r="N266" s="564" t="s">
        <v>70</v>
      </c>
      <c r="O266" s="564" t="s">
        <v>1425</v>
      </c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spans="1:26" ht="13">
      <c r="A267" s="562" t="s">
        <v>1732</v>
      </c>
      <c r="B267" s="563" t="s">
        <v>1733</v>
      </c>
      <c r="C267" s="564" t="s">
        <v>1255</v>
      </c>
      <c r="D267" s="565">
        <v>42095</v>
      </c>
      <c r="E267" s="565">
        <v>43100</v>
      </c>
      <c r="F267" s="566">
        <v>1110000</v>
      </c>
      <c r="G267" s="564" t="s">
        <v>1604</v>
      </c>
      <c r="H267" s="564" t="s">
        <v>1604</v>
      </c>
      <c r="I267" s="564" t="s">
        <v>1637</v>
      </c>
      <c r="J267" s="564" t="s">
        <v>1069</v>
      </c>
      <c r="K267" s="564" t="s">
        <v>1120</v>
      </c>
      <c r="L267" s="564" t="s">
        <v>1071</v>
      </c>
      <c r="M267" s="564" t="s">
        <v>1124</v>
      </c>
      <c r="N267" s="564" t="s">
        <v>1073</v>
      </c>
      <c r="O267" s="564" t="s">
        <v>241</v>
      </c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spans="1:26" ht="13">
      <c r="A268" s="562" t="s">
        <v>1734</v>
      </c>
      <c r="B268" s="563" t="s">
        <v>1735</v>
      </c>
      <c r="C268" s="564" t="s">
        <v>1204</v>
      </c>
      <c r="D268" s="565">
        <v>42005</v>
      </c>
      <c r="E268" s="565">
        <v>42369</v>
      </c>
      <c r="F268" s="566">
        <v>16500000</v>
      </c>
      <c r="G268" s="564" t="s">
        <v>1424</v>
      </c>
      <c r="H268" s="564" t="s">
        <v>1424</v>
      </c>
      <c r="I268" s="564" t="s">
        <v>1471</v>
      </c>
      <c r="J268" s="564" t="s">
        <v>1069</v>
      </c>
      <c r="K268" s="564" t="s">
        <v>1070</v>
      </c>
      <c r="L268" s="564" t="s">
        <v>1071</v>
      </c>
      <c r="M268" s="564" t="s">
        <v>1183</v>
      </c>
      <c r="N268" s="564" t="s">
        <v>1082</v>
      </c>
      <c r="O268" s="564" t="s">
        <v>1472</v>
      </c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spans="1:26" ht="13">
      <c r="A269" s="562" t="s">
        <v>1736</v>
      </c>
      <c r="B269" s="563" t="s">
        <v>1737</v>
      </c>
      <c r="C269" s="564" t="s">
        <v>1612</v>
      </c>
      <c r="D269" s="565">
        <v>42005</v>
      </c>
      <c r="E269" s="565">
        <v>42369</v>
      </c>
      <c r="F269" s="566">
        <v>4780880</v>
      </c>
      <c r="G269" s="564" t="s">
        <v>1424</v>
      </c>
      <c r="H269" s="564" t="s">
        <v>1424</v>
      </c>
      <c r="I269" s="564" t="s">
        <v>1586</v>
      </c>
      <c r="J269" s="564" t="s">
        <v>1069</v>
      </c>
      <c r="K269" s="564" t="s">
        <v>1090</v>
      </c>
      <c r="L269" s="564" t="s">
        <v>1071</v>
      </c>
      <c r="M269" s="564" t="s">
        <v>1183</v>
      </c>
      <c r="N269" s="564" t="s">
        <v>1073</v>
      </c>
      <c r="O269" s="564" t="s">
        <v>1472</v>
      </c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spans="1:26" ht="13">
      <c r="A270" s="562" t="s">
        <v>1738</v>
      </c>
      <c r="B270" s="563" t="s">
        <v>1739</v>
      </c>
      <c r="C270" s="564" t="s">
        <v>1612</v>
      </c>
      <c r="D270" s="565">
        <v>42005</v>
      </c>
      <c r="E270" s="565">
        <v>42369</v>
      </c>
      <c r="F270" s="566">
        <v>16143010</v>
      </c>
      <c r="G270" s="564" t="s">
        <v>1424</v>
      </c>
      <c r="H270" s="564" t="s">
        <v>1424</v>
      </c>
      <c r="I270" s="564" t="s">
        <v>146</v>
      </c>
      <c r="J270" s="564" t="s">
        <v>1069</v>
      </c>
      <c r="K270" s="564" t="s">
        <v>1070</v>
      </c>
      <c r="L270" s="564" t="s">
        <v>1071</v>
      </c>
      <c r="M270" s="564" t="s">
        <v>1183</v>
      </c>
      <c r="N270" s="564" t="s">
        <v>1073</v>
      </c>
      <c r="O270" s="564" t="s">
        <v>1472</v>
      </c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spans="1:26" ht="13">
      <c r="A271" s="562" t="s">
        <v>1740</v>
      </c>
      <c r="B271" s="563" t="s">
        <v>1741</v>
      </c>
      <c r="C271" s="564" t="s">
        <v>1612</v>
      </c>
      <c r="D271" s="565">
        <v>42005</v>
      </c>
      <c r="E271" s="565">
        <v>42369</v>
      </c>
      <c r="F271" s="566">
        <v>2091465519</v>
      </c>
      <c r="G271" s="564" t="s">
        <v>1424</v>
      </c>
      <c r="H271" s="564" t="s">
        <v>1424</v>
      </c>
      <c r="I271" s="564" t="s">
        <v>45</v>
      </c>
      <c r="J271" s="564" t="s">
        <v>1069</v>
      </c>
      <c r="K271" s="564" t="s">
        <v>1090</v>
      </c>
      <c r="L271" s="564" t="s">
        <v>1071</v>
      </c>
      <c r="M271" s="564" t="s">
        <v>1183</v>
      </c>
      <c r="N271" s="564" t="s">
        <v>45</v>
      </c>
      <c r="O271" s="564" t="s">
        <v>1472</v>
      </c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spans="1:26" ht="13">
      <c r="A272" s="562" t="s">
        <v>1742</v>
      </c>
      <c r="B272" s="563" t="s">
        <v>1743</v>
      </c>
      <c r="C272" s="564" t="s">
        <v>1255</v>
      </c>
      <c r="D272" s="565">
        <v>41950</v>
      </c>
      <c r="E272" s="565">
        <v>42680</v>
      </c>
      <c r="F272" s="566">
        <v>98780400</v>
      </c>
      <c r="G272" s="564" t="s">
        <v>1131</v>
      </c>
      <c r="H272" s="564" t="s">
        <v>1131</v>
      </c>
      <c r="I272" s="564" t="s">
        <v>1068</v>
      </c>
      <c r="J272" s="564" t="s">
        <v>1069</v>
      </c>
      <c r="K272" s="564" t="s">
        <v>1070</v>
      </c>
      <c r="L272" s="564" t="s">
        <v>1071</v>
      </c>
      <c r="M272" s="564" t="s">
        <v>1124</v>
      </c>
      <c r="N272" s="564" t="s">
        <v>1073</v>
      </c>
      <c r="O272" s="564" t="s">
        <v>197</v>
      </c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spans="1:26" ht="13">
      <c r="A273" s="562" t="s">
        <v>1744</v>
      </c>
      <c r="B273" s="563" t="s">
        <v>1745</v>
      </c>
      <c r="C273" s="564" t="s">
        <v>1066</v>
      </c>
      <c r="D273" s="565">
        <v>41640</v>
      </c>
      <c r="E273" s="565">
        <v>42369</v>
      </c>
      <c r="F273" s="566">
        <v>44454552</v>
      </c>
      <c r="G273" s="564" t="s">
        <v>1297</v>
      </c>
      <c r="H273" s="564" t="s">
        <v>1145</v>
      </c>
      <c r="I273" s="564" t="s">
        <v>1746</v>
      </c>
      <c r="J273" s="564" t="s">
        <v>1069</v>
      </c>
      <c r="K273" s="564" t="s">
        <v>1205</v>
      </c>
      <c r="L273" s="564" t="s">
        <v>1071</v>
      </c>
      <c r="M273" s="564" t="s">
        <v>1072</v>
      </c>
      <c r="N273" s="564" t="s">
        <v>1073</v>
      </c>
      <c r="O273" s="564" t="s">
        <v>1331</v>
      </c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spans="1:26" ht="13">
      <c r="A274" s="562" t="s">
        <v>1747</v>
      </c>
      <c r="B274" s="563" t="s">
        <v>1748</v>
      </c>
      <c r="C274" s="564" t="s">
        <v>1749</v>
      </c>
      <c r="D274" s="565">
        <v>42005</v>
      </c>
      <c r="E274" s="565">
        <v>44196</v>
      </c>
      <c r="F274" s="566"/>
      <c r="G274" s="564" t="s">
        <v>1750</v>
      </c>
      <c r="H274" s="564" t="s">
        <v>1750</v>
      </c>
      <c r="I274" s="564" t="s">
        <v>170</v>
      </c>
      <c r="J274" s="564" t="s">
        <v>1069</v>
      </c>
      <c r="K274" s="564" t="s">
        <v>1105</v>
      </c>
      <c r="L274" s="564" t="s">
        <v>1189</v>
      </c>
      <c r="M274" s="564" t="s">
        <v>1189</v>
      </c>
      <c r="N274" s="564" t="s">
        <v>170</v>
      </c>
      <c r="O274" s="564" t="s">
        <v>1190</v>
      </c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spans="1:26" ht="13">
      <c r="A275" s="562" t="s">
        <v>1751</v>
      </c>
      <c r="B275" s="563" t="s">
        <v>1752</v>
      </c>
      <c r="C275" s="564" t="s">
        <v>1156</v>
      </c>
      <c r="D275" s="565">
        <v>41913</v>
      </c>
      <c r="E275" s="565">
        <v>44196</v>
      </c>
      <c r="F275" s="566"/>
      <c r="G275" s="564" t="s">
        <v>1753</v>
      </c>
      <c r="H275" s="564" t="s">
        <v>1753</v>
      </c>
      <c r="I275" s="564" t="s">
        <v>70</v>
      </c>
      <c r="J275" s="564" t="s">
        <v>1069</v>
      </c>
      <c r="K275" s="564" t="s">
        <v>1120</v>
      </c>
      <c r="L275" s="564" t="s">
        <v>1189</v>
      </c>
      <c r="M275" s="564" t="s">
        <v>1189</v>
      </c>
      <c r="N275" s="564" t="s">
        <v>70</v>
      </c>
      <c r="O275" s="564" t="s">
        <v>1190</v>
      </c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spans="1:26" ht="13">
      <c r="A276" s="562" t="s">
        <v>1754</v>
      </c>
      <c r="B276" s="563" t="s">
        <v>1755</v>
      </c>
      <c r="C276" s="564" t="s">
        <v>277</v>
      </c>
      <c r="D276" s="565">
        <v>41913</v>
      </c>
      <c r="E276" s="565">
        <v>44196</v>
      </c>
      <c r="F276" s="566"/>
      <c r="G276" s="564" t="s">
        <v>1756</v>
      </c>
      <c r="H276" s="564" t="s">
        <v>1756</v>
      </c>
      <c r="I276" s="564" t="s">
        <v>45</v>
      </c>
      <c r="J276" s="564" t="s">
        <v>1069</v>
      </c>
      <c r="K276" s="564" t="s">
        <v>1090</v>
      </c>
      <c r="L276" s="564" t="s">
        <v>1189</v>
      </c>
      <c r="M276" s="564" t="s">
        <v>1189</v>
      </c>
      <c r="N276" s="564" t="s">
        <v>45</v>
      </c>
      <c r="O276" s="564" t="s">
        <v>1190</v>
      </c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spans="1:26" ht="13">
      <c r="A277" s="562" t="s">
        <v>1757</v>
      </c>
      <c r="B277" s="563" t="s">
        <v>1758</v>
      </c>
      <c r="C277" s="564" t="s">
        <v>1076</v>
      </c>
      <c r="D277" s="565">
        <v>41883</v>
      </c>
      <c r="E277" s="565">
        <v>43708</v>
      </c>
      <c r="F277" s="566">
        <v>249000000</v>
      </c>
      <c r="G277" s="564" t="s">
        <v>1297</v>
      </c>
      <c r="H277" s="564" t="s">
        <v>337</v>
      </c>
      <c r="I277" s="564" t="s">
        <v>45</v>
      </c>
      <c r="J277" s="564" t="s">
        <v>1069</v>
      </c>
      <c r="K277" s="564" t="s">
        <v>1090</v>
      </c>
      <c r="L277" s="564" t="s">
        <v>1071</v>
      </c>
      <c r="M277" s="564" t="s">
        <v>1072</v>
      </c>
      <c r="N277" s="564" t="s">
        <v>45</v>
      </c>
      <c r="O277" s="564" t="s">
        <v>1176</v>
      </c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spans="1:26" ht="13">
      <c r="A278" s="562" t="s">
        <v>1759</v>
      </c>
      <c r="B278" s="563" t="s">
        <v>1760</v>
      </c>
      <c r="C278" s="564" t="s">
        <v>1589</v>
      </c>
      <c r="D278" s="565">
        <v>42856</v>
      </c>
      <c r="E278" s="565">
        <v>43220</v>
      </c>
      <c r="F278" s="566">
        <v>288000</v>
      </c>
      <c r="G278" s="564" t="s">
        <v>754</v>
      </c>
      <c r="H278" s="564" t="s">
        <v>1590</v>
      </c>
      <c r="I278" s="564" t="s">
        <v>146</v>
      </c>
      <c r="J278" s="564" t="s">
        <v>1069</v>
      </c>
      <c r="K278" s="564" t="s">
        <v>1070</v>
      </c>
      <c r="L278" s="564" t="s">
        <v>1071</v>
      </c>
      <c r="M278" s="564" t="s">
        <v>1124</v>
      </c>
      <c r="N278" s="564" t="s">
        <v>1073</v>
      </c>
      <c r="O278" s="564" t="s">
        <v>1274</v>
      </c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spans="1:26" ht="13">
      <c r="A279" s="562" t="s">
        <v>1761</v>
      </c>
      <c r="B279" s="563" t="s">
        <v>1762</v>
      </c>
      <c r="C279" s="564" t="s">
        <v>1271</v>
      </c>
      <c r="D279" s="565">
        <v>44682</v>
      </c>
      <c r="E279" s="565">
        <v>48334</v>
      </c>
      <c r="F279" s="566">
        <v>12000000</v>
      </c>
      <c r="G279" s="564" t="s">
        <v>1273</v>
      </c>
      <c r="H279" s="564" t="s">
        <v>1273</v>
      </c>
      <c r="I279" s="564" t="s">
        <v>1763</v>
      </c>
      <c r="J279" s="564" t="s">
        <v>1079</v>
      </c>
      <c r="K279" s="564" t="s">
        <v>1205</v>
      </c>
      <c r="L279" s="564" t="s">
        <v>1071</v>
      </c>
      <c r="M279" s="564" t="s">
        <v>1124</v>
      </c>
      <c r="N279" s="564" t="s">
        <v>1368</v>
      </c>
      <c r="O279" s="564" t="s">
        <v>1425</v>
      </c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spans="1:26" ht="13">
      <c r="A280" s="562" t="s">
        <v>1764</v>
      </c>
      <c r="B280" s="563" t="s">
        <v>1765</v>
      </c>
      <c r="C280" s="564" t="s">
        <v>1088</v>
      </c>
      <c r="D280" s="565">
        <v>41730</v>
      </c>
      <c r="E280" s="565">
        <v>45565</v>
      </c>
      <c r="F280" s="566">
        <v>152851000000</v>
      </c>
      <c r="G280" s="564" t="s">
        <v>1766</v>
      </c>
      <c r="H280" s="564" t="s">
        <v>1766</v>
      </c>
      <c r="I280" s="564" t="s">
        <v>45</v>
      </c>
      <c r="J280" s="564" t="s">
        <v>1079</v>
      </c>
      <c r="K280" s="564" t="s">
        <v>1090</v>
      </c>
      <c r="L280" s="564" t="s">
        <v>1071</v>
      </c>
      <c r="M280" s="564" t="s">
        <v>1091</v>
      </c>
      <c r="N280" s="564" t="s">
        <v>45</v>
      </c>
      <c r="O280" s="564" t="s">
        <v>1092</v>
      </c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spans="1:26" ht="13">
      <c r="A281" s="562" t="s">
        <v>1767</v>
      </c>
      <c r="B281" s="563" t="s">
        <v>1768</v>
      </c>
      <c r="C281" s="564" t="s">
        <v>1088</v>
      </c>
      <c r="D281" s="565">
        <v>41913</v>
      </c>
      <c r="E281" s="565">
        <v>45565</v>
      </c>
      <c r="F281" s="566">
        <v>131457375000</v>
      </c>
      <c r="G281" s="564" t="s">
        <v>1516</v>
      </c>
      <c r="H281" s="564" t="s">
        <v>1516</v>
      </c>
      <c r="I281" s="564" t="s">
        <v>45</v>
      </c>
      <c r="J281" s="564" t="s">
        <v>1079</v>
      </c>
      <c r="K281" s="564" t="s">
        <v>1090</v>
      </c>
      <c r="L281" s="564" t="s">
        <v>1071</v>
      </c>
      <c r="M281" s="564" t="s">
        <v>1091</v>
      </c>
      <c r="N281" s="564" t="s">
        <v>45</v>
      </c>
      <c r="O281" s="564" t="s">
        <v>1092</v>
      </c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spans="1:26" ht="13">
      <c r="A282" s="562" t="s">
        <v>1769</v>
      </c>
      <c r="B282" s="563" t="s">
        <v>1770</v>
      </c>
      <c r="C282" s="564" t="s">
        <v>1088</v>
      </c>
      <c r="D282" s="565">
        <v>45017</v>
      </c>
      <c r="E282" s="565">
        <v>46112</v>
      </c>
      <c r="F282" s="566">
        <v>521172000</v>
      </c>
      <c r="G282" s="564" t="s">
        <v>1032</v>
      </c>
      <c r="H282" s="564" t="s">
        <v>1123</v>
      </c>
      <c r="I282" s="564" t="s">
        <v>1771</v>
      </c>
      <c r="J282" s="564" t="s">
        <v>1079</v>
      </c>
      <c r="K282" s="564" t="s">
        <v>1070</v>
      </c>
      <c r="L282" s="564" t="s">
        <v>1071</v>
      </c>
      <c r="M282" s="564" t="s">
        <v>1183</v>
      </c>
      <c r="N282" s="564" t="s">
        <v>1082</v>
      </c>
      <c r="O282" s="564" t="s">
        <v>1184</v>
      </c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spans="1:26" ht="13">
      <c r="A283" s="562" t="s">
        <v>1772</v>
      </c>
      <c r="B283" s="563" t="s">
        <v>1773</v>
      </c>
      <c r="C283" s="564" t="s">
        <v>1612</v>
      </c>
      <c r="D283" s="565">
        <v>41640</v>
      </c>
      <c r="E283" s="565">
        <v>42155</v>
      </c>
      <c r="F283" s="566">
        <v>7900400</v>
      </c>
      <c r="G283" s="564" t="s">
        <v>1424</v>
      </c>
      <c r="H283" s="564" t="s">
        <v>1424</v>
      </c>
      <c r="I283" s="564" t="s">
        <v>1586</v>
      </c>
      <c r="J283" s="564" t="s">
        <v>1069</v>
      </c>
      <c r="K283" s="564" t="s">
        <v>1090</v>
      </c>
      <c r="L283" s="564" t="s">
        <v>1071</v>
      </c>
      <c r="M283" s="564" t="s">
        <v>1183</v>
      </c>
      <c r="N283" s="564" t="s">
        <v>1073</v>
      </c>
      <c r="O283" s="564" t="s">
        <v>1472</v>
      </c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spans="1:26" ht="13">
      <c r="A284" s="562" t="s">
        <v>1774</v>
      </c>
      <c r="B284" s="563" t="s">
        <v>1775</v>
      </c>
      <c r="C284" s="564" t="s">
        <v>1475</v>
      </c>
      <c r="D284" s="565">
        <v>41640</v>
      </c>
      <c r="E284" s="565">
        <v>42369</v>
      </c>
      <c r="F284" s="566">
        <v>24288830</v>
      </c>
      <c r="G284" s="564" t="s">
        <v>1424</v>
      </c>
      <c r="H284" s="564" t="s">
        <v>1424</v>
      </c>
      <c r="I284" s="564" t="s">
        <v>146</v>
      </c>
      <c r="J284" s="564" t="s">
        <v>1069</v>
      </c>
      <c r="K284" s="564" t="s">
        <v>1070</v>
      </c>
      <c r="L284" s="564" t="s">
        <v>1071</v>
      </c>
      <c r="M284" s="564" t="s">
        <v>1183</v>
      </c>
      <c r="N284" s="564" t="s">
        <v>1073</v>
      </c>
      <c r="O284" s="564" t="s">
        <v>1472</v>
      </c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spans="1:26" ht="13">
      <c r="A285" s="562" t="s">
        <v>1776</v>
      </c>
      <c r="B285" s="563" t="s">
        <v>1777</v>
      </c>
      <c r="C285" s="564" t="s">
        <v>1612</v>
      </c>
      <c r="D285" s="565">
        <v>41640</v>
      </c>
      <c r="E285" s="565">
        <v>42613</v>
      </c>
      <c r="F285" s="566">
        <v>2869653939</v>
      </c>
      <c r="G285" s="564" t="s">
        <v>1424</v>
      </c>
      <c r="H285" s="564" t="s">
        <v>1424</v>
      </c>
      <c r="I285" s="564" t="s">
        <v>45</v>
      </c>
      <c r="J285" s="564" t="s">
        <v>1069</v>
      </c>
      <c r="K285" s="564" t="s">
        <v>1090</v>
      </c>
      <c r="L285" s="564" t="s">
        <v>1071</v>
      </c>
      <c r="M285" s="564" t="s">
        <v>1183</v>
      </c>
      <c r="N285" s="564" t="s">
        <v>45</v>
      </c>
      <c r="O285" s="564" t="s">
        <v>1472</v>
      </c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spans="1:26" ht="13">
      <c r="A286" s="562" t="s">
        <v>1778</v>
      </c>
      <c r="B286" s="563" t="s">
        <v>1779</v>
      </c>
      <c r="C286" s="564" t="s">
        <v>1255</v>
      </c>
      <c r="D286" s="565">
        <v>41640</v>
      </c>
      <c r="E286" s="565">
        <v>43830</v>
      </c>
      <c r="F286" s="566">
        <v>207000000</v>
      </c>
      <c r="G286" s="564" t="s">
        <v>1780</v>
      </c>
      <c r="H286" s="564" t="s">
        <v>1123</v>
      </c>
      <c r="I286" s="564" t="s">
        <v>1781</v>
      </c>
      <c r="J286" s="564" t="s">
        <v>1069</v>
      </c>
      <c r="K286" s="564" t="s">
        <v>1070</v>
      </c>
      <c r="L286" s="564" t="s">
        <v>1071</v>
      </c>
      <c r="M286" s="564" t="s">
        <v>1091</v>
      </c>
      <c r="N286" s="564" t="s">
        <v>1073</v>
      </c>
      <c r="O286" s="564" t="s">
        <v>1092</v>
      </c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spans="1:26" ht="13">
      <c r="A287" s="562" t="s">
        <v>157</v>
      </c>
      <c r="B287" s="563" t="s">
        <v>1782</v>
      </c>
      <c r="C287" s="564" t="s">
        <v>1088</v>
      </c>
      <c r="D287" s="565">
        <v>45566</v>
      </c>
      <c r="E287" s="565">
        <v>45930</v>
      </c>
      <c r="F287" s="566">
        <v>19234800</v>
      </c>
      <c r="G287" s="564" t="s">
        <v>1375</v>
      </c>
      <c r="H287" s="564" t="s">
        <v>1123</v>
      </c>
      <c r="I287" s="564" t="s">
        <v>146</v>
      </c>
      <c r="J287" s="564" t="s">
        <v>1079</v>
      </c>
      <c r="K287" s="564" t="s">
        <v>1070</v>
      </c>
      <c r="L287" s="564" t="s">
        <v>1071</v>
      </c>
      <c r="M287" s="564" t="s">
        <v>1124</v>
      </c>
      <c r="N287" s="564" t="s">
        <v>1073</v>
      </c>
      <c r="O287" s="564" t="s">
        <v>197</v>
      </c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spans="1:26" ht="13">
      <c r="A288" s="562" t="s">
        <v>158</v>
      </c>
      <c r="B288" s="563" t="s">
        <v>1783</v>
      </c>
      <c r="C288" s="564" t="s">
        <v>1088</v>
      </c>
      <c r="D288" s="565">
        <v>45566</v>
      </c>
      <c r="E288" s="565">
        <v>45930</v>
      </c>
      <c r="F288" s="566">
        <v>403200</v>
      </c>
      <c r="G288" s="564" t="s">
        <v>1784</v>
      </c>
      <c r="H288" s="564" t="s">
        <v>1123</v>
      </c>
      <c r="I288" s="564" t="s">
        <v>146</v>
      </c>
      <c r="J288" s="564" t="s">
        <v>1079</v>
      </c>
      <c r="K288" s="564" t="s">
        <v>1070</v>
      </c>
      <c r="L288" s="564" t="s">
        <v>1071</v>
      </c>
      <c r="M288" s="564" t="s">
        <v>1124</v>
      </c>
      <c r="N288" s="564" t="s">
        <v>1073</v>
      </c>
      <c r="O288" s="564" t="s">
        <v>197</v>
      </c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spans="1:26" ht="13">
      <c r="A289" s="562" t="s">
        <v>156</v>
      </c>
      <c r="B289" s="563" t="s">
        <v>1785</v>
      </c>
      <c r="C289" s="564" t="s">
        <v>1088</v>
      </c>
      <c r="D289" s="565">
        <v>45566</v>
      </c>
      <c r="E289" s="565">
        <v>45930</v>
      </c>
      <c r="F289" s="566">
        <v>13966800</v>
      </c>
      <c r="G289" s="564" t="s">
        <v>1164</v>
      </c>
      <c r="H289" s="564" t="s">
        <v>1123</v>
      </c>
      <c r="I289" s="564" t="s">
        <v>146</v>
      </c>
      <c r="J289" s="564" t="s">
        <v>1079</v>
      </c>
      <c r="K289" s="564" t="s">
        <v>1070</v>
      </c>
      <c r="L289" s="564" t="s">
        <v>1071</v>
      </c>
      <c r="M289" s="564" t="s">
        <v>1124</v>
      </c>
      <c r="N289" s="564" t="s">
        <v>1073</v>
      </c>
      <c r="O289" s="564" t="s">
        <v>197</v>
      </c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spans="1:26" ht="13">
      <c r="A290" s="562" t="s">
        <v>1786</v>
      </c>
      <c r="B290" s="563" t="s">
        <v>1787</v>
      </c>
      <c r="C290" s="564" t="s">
        <v>1076</v>
      </c>
      <c r="D290" s="565">
        <v>44562</v>
      </c>
      <c r="E290" s="565">
        <v>44926</v>
      </c>
      <c r="F290" s="566">
        <v>25868400</v>
      </c>
      <c r="G290" s="564" t="s">
        <v>1297</v>
      </c>
      <c r="H290" s="564" t="s">
        <v>297</v>
      </c>
      <c r="I290" s="564" t="s">
        <v>146</v>
      </c>
      <c r="J290" s="564" t="s">
        <v>1069</v>
      </c>
      <c r="K290" s="564" t="s">
        <v>1070</v>
      </c>
      <c r="L290" s="564" t="s">
        <v>1071</v>
      </c>
      <c r="M290" s="564" t="s">
        <v>1072</v>
      </c>
      <c r="N290" s="564" t="s">
        <v>1073</v>
      </c>
      <c r="O290" s="564" t="s">
        <v>1176</v>
      </c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spans="1:26" ht="13">
      <c r="A291" s="562" t="s">
        <v>186</v>
      </c>
      <c r="B291" s="563" t="s">
        <v>1788</v>
      </c>
      <c r="C291" s="564" t="s">
        <v>1088</v>
      </c>
      <c r="D291" s="565">
        <v>45505</v>
      </c>
      <c r="E291" s="565">
        <v>45869</v>
      </c>
      <c r="F291" s="566">
        <v>8244000</v>
      </c>
      <c r="G291" s="564" t="s">
        <v>1164</v>
      </c>
      <c r="H291" s="564" t="s">
        <v>1164</v>
      </c>
      <c r="I291" s="564" t="s">
        <v>125</v>
      </c>
      <c r="J291" s="564" t="s">
        <v>1079</v>
      </c>
      <c r="K291" s="564" t="s">
        <v>1070</v>
      </c>
      <c r="L291" s="564" t="s">
        <v>1071</v>
      </c>
      <c r="M291" s="564" t="s">
        <v>1124</v>
      </c>
      <c r="N291" s="564" t="s">
        <v>1073</v>
      </c>
      <c r="O291" s="564" t="s">
        <v>197</v>
      </c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spans="1:26" ht="13">
      <c r="A292" s="562" t="s">
        <v>184</v>
      </c>
      <c r="B292" s="563" t="s">
        <v>1789</v>
      </c>
      <c r="C292" s="564" t="s">
        <v>1088</v>
      </c>
      <c r="D292" s="565">
        <v>45170</v>
      </c>
      <c r="E292" s="565">
        <v>46630</v>
      </c>
      <c r="F292" s="566">
        <v>107673600</v>
      </c>
      <c r="G292" s="564" t="s">
        <v>1032</v>
      </c>
      <c r="H292" s="564" t="s">
        <v>1032</v>
      </c>
      <c r="I292" s="564" t="s">
        <v>125</v>
      </c>
      <c r="J292" s="564" t="s">
        <v>1079</v>
      </c>
      <c r="K292" s="564" t="s">
        <v>1070</v>
      </c>
      <c r="L292" s="564" t="s">
        <v>1071</v>
      </c>
      <c r="M292" s="564" t="s">
        <v>1183</v>
      </c>
      <c r="N292" s="564" t="s">
        <v>1073</v>
      </c>
      <c r="O292" s="564" t="s">
        <v>1184</v>
      </c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spans="1:26" ht="13">
      <c r="A293" s="562" t="s">
        <v>1790</v>
      </c>
      <c r="B293" s="563" t="s">
        <v>1791</v>
      </c>
      <c r="C293" s="564" t="s">
        <v>1204</v>
      </c>
      <c r="D293" s="565">
        <v>44774</v>
      </c>
      <c r="E293" s="565">
        <v>45138</v>
      </c>
      <c r="F293" s="566">
        <v>416520</v>
      </c>
      <c r="G293" s="564" t="s">
        <v>1420</v>
      </c>
      <c r="H293" s="564" t="s">
        <v>1420</v>
      </c>
      <c r="I293" s="564" t="s">
        <v>125</v>
      </c>
      <c r="J293" s="564" t="s">
        <v>1079</v>
      </c>
      <c r="K293" s="564" t="s">
        <v>1070</v>
      </c>
      <c r="L293" s="564" t="s">
        <v>1189</v>
      </c>
      <c r="M293" s="564" t="s">
        <v>1206</v>
      </c>
      <c r="N293" s="564" t="s">
        <v>1073</v>
      </c>
      <c r="O293" s="564" t="s">
        <v>1207</v>
      </c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spans="1:26" ht="13">
      <c r="A294" s="562" t="s">
        <v>1792</v>
      </c>
      <c r="B294" s="563" t="s">
        <v>1793</v>
      </c>
      <c r="C294" s="564" t="s">
        <v>1066</v>
      </c>
      <c r="D294" s="565">
        <v>41431</v>
      </c>
      <c r="E294" s="565">
        <v>41795</v>
      </c>
      <c r="F294" s="566">
        <v>145320000</v>
      </c>
      <c r="G294" s="564" t="s">
        <v>1297</v>
      </c>
      <c r="H294" s="564" t="s">
        <v>1157</v>
      </c>
      <c r="I294" s="564" t="s">
        <v>225</v>
      </c>
      <c r="J294" s="564" t="s">
        <v>1069</v>
      </c>
      <c r="K294" s="564" t="s">
        <v>1105</v>
      </c>
      <c r="L294" s="564" t="s">
        <v>1071</v>
      </c>
      <c r="M294" s="564" t="s">
        <v>1072</v>
      </c>
      <c r="N294" s="564" t="s">
        <v>225</v>
      </c>
      <c r="O294" s="564" t="s">
        <v>1331</v>
      </c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spans="1:26" ht="13">
      <c r="A295" s="562" t="s">
        <v>1794</v>
      </c>
      <c r="B295" s="563" t="s">
        <v>1795</v>
      </c>
      <c r="C295" s="564" t="s">
        <v>1204</v>
      </c>
      <c r="D295" s="565">
        <v>41365</v>
      </c>
      <c r="E295" s="565">
        <v>42460</v>
      </c>
      <c r="F295" s="566"/>
      <c r="G295" s="564" t="s">
        <v>297</v>
      </c>
      <c r="H295" s="564" t="s">
        <v>297</v>
      </c>
      <c r="I295" s="564" t="s">
        <v>1471</v>
      </c>
      <c r="J295" s="564" t="s">
        <v>1069</v>
      </c>
      <c r="K295" s="564" t="s">
        <v>1070</v>
      </c>
      <c r="L295" s="564" t="s">
        <v>1071</v>
      </c>
      <c r="M295" s="564" t="s">
        <v>1183</v>
      </c>
      <c r="N295" s="564" t="s">
        <v>1082</v>
      </c>
      <c r="O295" s="564" t="s">
        <v>1472</v>
      </c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spans="1:26" ht="13">
      <c r="A296" s="562" t="s">
        <v>1796</v>
      </c>
      <c r="B296" s="563" t="s">
        <v>1797</v>
      </c>
      <c r="C296" s="564" t="s">
        <v>1204</v>
      </c>
      <c r="D296" s="565">
        <v>43160</v>
      </c>
      <c r="E296" s="565">
        <v>44985</v>
      </c>
      <c r="F296" s="566">
        <v>9400560</v>
      </c>
      <c r="G296" s="564" t="s">
        <v>1420</v>
      </c>
      <c r="H296" s="564" t="s">
        <v>1420</v>
      </c>
      <c r="I296" s="564" t="s">
        <v>1798</v>
      </c>
      <c r="J296" s="564" t="s">
        <v>1069</v>
      </c>
      <c r="K296" s="564" t="s">
        <v>1070</v>
      </c>
      <c r="L296" s="564" t="s">
        <v>1189</v>
      </c>
      <c r="M296" s="564" t="s">
        <v>1206</v>
      </c>
      <c r="N296" s="564" t="s">
        <v>1073</v>
      </c>
      <c r="O296" s="564" t="s">
        <v>1207</v>
      </c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spans="1:26" ht="13">
      <c r="A297" s="562" t="s">
        <v>1799</v>
      </c>
      <c r="B297" s="563" t="s">
        <v>1800</v>
      </c>
      <c r="C297" s="564" t="s">
        <v>1088</v>
      </c>
      <c r="D297" s="565">
        <v>43891</v>
      </c>
      <c r="E297" s="565">
        <v>44255</v>
      </c>
      <c r="F297" s="566">
        <v>2280000</v>
      </c>
      <c r="G297" s="564" t="s">
        <v>1780</v>
      </c>
      <c r="H297" s="564" t="s">
        <v>1636</v>
      </c>
      <c r="I297" s="564" t="s">
        <v>1801</v>
      </c>
      <c r="J297" s="564" t="s">
        <v>1069</v>
      </c>
      <c r="K297" s="564" t="s">
        <v>1802</v>
      </c>
      <c r="L297" s="564" t="s">
        <v>1071</v>
      </c>
      <c r="M297" s="564" t="s">
        <v>1124</v>
      </c>
      <c r="N297" s="564" t="s">
        <v>1082</v>
      </c>
      <c r="O297" s="564" t="s">
        <v>197</v>
      </c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spans="1:26" ht="13">
      <c r="A298" s="562" t="s">
        <v>1803</v>
      </c>
      <c r="B298" s="563" t="s">
        <v>1804</v>
      </c>
      <c r="C298" s="564" t="s">
        <v>1589</v>
      </c>
      <c r="D298" s="565">
        <v>42309</v>
      </c>
      <c r="E298" s="565">
        <v>44135</v>
      </c>
      <c r="F298" s="566">
        <v>205980000</v>
      </c>
      <c r="G298" s="564" t="s">
        <v>1590</v>
      </c>
      <c r="H298" s="564" t="s">
        <v>1590</v>
      </c>
      <c r="I298" s="564" t="s">
        <v>1161</v>
      </c>
      <c r="J298" s="564" t="s">
        <v>1069</v>
      </c>
      <c r="K298" s="564" t="s">
        <v>1090</v>
      </c>
      <c r="L298" s="564" t="s">
        <v>1071</v>
      </c>
      <c r="M298" s="564" t="s">
        <v>1124</v>
      </c>
      <c r="N298" s="564" t="s">
        <v>1073</v>
      </c>
      <c r="O298" s="564" t="s">
        <v>1274</v>
      </c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spans="1:26" ht="13">
      <c r="A299" s="562" t="s">
        <v>1805</v>
      </c>
      <c r="B299" s="563" t="s">
        <v>1806</v>
      </c>
      <c r="C299" s="564" t="s">
        <v>1370</v>
      </c>
      <c r="D299" s="565">
        <v>43101</v>
      </c>
      <c r="E299" s="565">
        <v>43465</v>
      </c>
      <c r="F299" s="566">
        <v>76319556</v>
      </c>
      <c r="G299" s="564" t="s">
        <v>1807</v>
      </c>
      <c r="H299" s="564" t="s">
        <v>1145</v>
      </c>
      <c r="I299" s="564" t="s">
        <v>1746</v>
      </c>
      <c r="J299" s="564" t="s">
        <v>1069</v>
      </c>
      <c r="K299" s="564" t="s">
        <v>1198</v>
      </c>
      <c r="L299" s="564" t="s">
        <v>1189</v>
      </c>
      <c r="M299" s="564" t="s">
        <v>1189</v>
      </c>
      <c r="N299" s="564" t="s">
        <v>1073</v>
      </c>
      <c r="O299" s="564" t="s">
        <v>1190</v>
      </c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spans="1:26" ht="13">
      <c r="A300" s="562" t="s">
        <v>1808</v>
      </c>
      <c r="B300" s="563" t="s">
        <v>1809</v>
      </c>
      <c r="C300" s="564" t="s">
        <v>1088</v>
      </c>
      <c r="D300" s="565">
        <v>45292</v>
      </c>
      <c r="E300" s="565">
        <v>45657</v>
      </c>
      <c r="F300" s="566">
        <v>588000</v>
      </c>
      <c r="G300" s="564" t="s">
        <v>1375</v>
      </c>
      <c r="H300" s="564" t="s">
        <v>1182</v>
      </c>
      <c r="I300" s="564" t="s">
        <v>1746</v>
      </c>
      <c r="J300" s="564" t="s">
        <v>1079</v>
      </c>
      <c r="K300" s="564" t="s">
        <v>1198</v>
      </c>
      <c r="L300" s="564" t="s">
        <v>1071</v>
      </c>
      <c r="M300" s="564" t="s">
        <v>1124</v>
      </c>
      <c r="N300" s="564" t="s">
        <v>1073</v>
      </c>
      <c r="O300" s="564" t="s">
        <v>197</v>
      </c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spans="1:26" ht="13">
      <c r="A301" s="562" t="s">
        <v>1810</v>
      </c>
      <c r="B301" s="563" t="s">
        <v>1811</v>
      </c>
      <c r="C301" s="564" t="s">
        <v>1204</v>
      </c>
      <c r="D301" s="565">
        <v>44562</v>
      </c>
      <c r="E301" s="565">
        <v>44926</v>
      </c>
      <c r="F301" s="566">
        <v>336000</v>
      </c>
      <c r="G301" s="564" t="s">
        <v>1420</v>
      </c>
      <c r="H301" s="564" t="s">
        <v>1420</v>
      </c>
      <c r="I301" s="564" t="s">
        <v>1746</v>
      </c>
      <c r="J301" s="564" t="s">
        <v>1079</v>
      </c>
      <c r="K301" s="564" t="s">
        <v>1198</v>
      </c>
      <c r="L301" s="564" t="s">
        <v>1189</v>
      </c>
      <c r="M301" s="564" t="s">
        <v>1206</v>
      </c>
      <c r="N301" s="564" t="s">
        <v>1073</v>
      </c>
      <c r="O301" s="564" t="s">
        <v>1207</v>
      </c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spans="1:26" ht="13">
      <c r="A302" s="562" t="s">
        <v>1812</v>
      </c>
      <c r="B302" s="563" t="s">
        <v>1813</v>
      </c>
      <c r="C302" s="564" t="s">
        <v>1589</v>
      </c>
      <c r="D302" s="565">
        <v>41000</v>
      </c>
      <c r="E302" s="565">
        <v>42825</v>
      </c>
      <c r="F302" s="566">
        <v>360000000</v>
      </c>
      <c r="G302" s="564" t="s">
        <v>1590</v>
      </c>
      <c r="H302" s="564" t="s">
        <v>1590</v>
      </c>
      <c r="I302" s="564" t="s">
        <v>1161</v>
      </c>
      <c r="J302" s="564" t="s">
        <v>1069</v>
      </c>
      <c r="K302" s="564" t="s">
        <v>1090</v>
      </c>
      <c r="L302" s="564" t="s">
        <v>1071</v>
      </c>
      <c r="M302" s="564" t="s">
        <v>1124</v>
      </c>
      <c r="N302" s="564" t="s">
        <v>1073</v>
      </c>
      <c r="O302" s="564" t="s">
        <v>1274</v>
      </c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spans="1:26" ht="13">
      <c r="A303" s="562" t="s">
        <v>1814</v>
      </c>
      <c r="B303" s="563" t="s">
        <v>1815</v>
      </c>
      <c r="C303" s="564" t="s">
        <v>1271</v>
      </c>
      <c r="D303" s="565">
        <v>45108</v>
      </c>
      <c r="E303" s="565">
        <v>48760</v>
      </c>
      <c r="F303" s="566">
        <v>24000000</v>
      </c>
      <c r="G303" s="564" t="s">
        <v>1312</v>
      </c>
      <c r="H303" s="564" t="s">
        <v>1273</v>
      </c>
      <c r="I303" s="564" t="s">
        <v>1816</v>
      </c>
      <c r="J303" s="564" t="s">
        <v>1079</v>
      </c>
      <c r="K303" s="564" t="s">
        <v>1070</v>
      </c>
      <c r="L303" s="564" t="s">
        <v>1071</v>
      </c>
      <c r="M303" s="564" t="s">
        <v>1124</v>
      </c>
      <c r="N303" s="564" t="s">
        <v>1082</v>
      </c>
      <c r="O303" s="564" t="s">
        <v>1274</v>
      </c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spans="1:26" ht="13">
      <c r="A304" s="562" t="s">
        <v>1817</v>
      </c>
      <c r="B304" s="563" t="s">
        <v>1818</v>
      </c>
      <c r="C304" s="564" t="s">
        <v>1271</v>
      </c>
      <c r="D304" s="565">
        <v>44927</v>
      </c>
      <c r="E304" s="565">
        <v>48579</v>
      </c>
      <c r="F304" s="566">
        <v>18720000</v>
      </c>
      <c r="G304" s="564" t="s">
        <v>1273</v>
      </c>
      <c r="H304" s="564" t="s">
        <v>1273</v>
      </c>
      <c r="I304" s="564" t="s">
        <v>70</v>
      </c>
      <c r="J304" s="564" t="s">
        <v>1079</v>
      </c>
      <c r="K304" s="564" t="s">
        <v>1120</v>
      </c>
      <c r="L304" s="564" t="s">
        <v>1071</v>
      </c>
      <c r="M304" s="564" t="s">
        <v>1124</v>
      </c>
      <c r="N304" s="564" t="s">
        <v>70</v>
      </c>
      <c r="O304" s="564" t="s">
        <v>1425</v>
      </c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spans="1:26" ht="13">
      <c r="A305" s="562" t="s">
        <v>1819</v>
      </c>
      <c r="B305" s="563" t="s">
        <v>1820</v>
      </c>
      <c r="C305" s="564" t="s">
        <v>1066</v>
      </c>
      <c r="D305" s="565">
        <v>41153</v>
      </c>
      <c r="E305" s="565">
        <v>42978</v>
      </c>
      <c r="F305" s="566">
        <v>340740000</v>
      </c>
      <c r="G305" s="564" t="s">
        <v>1297</v>
      </c>
      <c r="H305" s="564" t="s">
        <v>337</v>
      </c>
      <c r="I305" s="564" t="s">
        <v>1821</v>
      </c>
      <c r="J305" s="564" t="s">
        <v>1069</v>
      </c>
      <c r="K305" s="564" t="s">
        <v>1120</v>
      </c>
      <c r="L305" s="564" t="s">
        <v>1071</v>
      </c>
      <c r="M305" s="564" t="s">
        <v>1072</v>
      </c>
      <c r="N305" s="564" t="s">
        <v>1073</v>
      </c>
      <c r="O305" s="564" t="s">
        <v>1176</v>
      </c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spans="1:26" ht="13">
      <c r="A306" s="562" t="s">
        <v>1822</v>
      </c>
      <c r="B306" s="563" t="s">
        <v>1823</v>
      </c>
      <c r="C306" s="564" t="s">
        <v>1088</v>
      </c>
      <c r="D306" s="565">
        <v>45170</v>
      </c>
      <c r="E306" s="565">
        <v>46630</v>
      </c>
      <c r="F306" s="566">
        <v>1745184000</v>
      </c>
      <c r="G306" s="564" t="s">
        <v>1032</v>
      </c>
      <c r="H306" s="564" t="s">
        <v>1032</v>
      </c>
      <c r="I306" s="564" t="s">
        <v>64</v>
      </c>
      <c r="J306" s="564" t="s">
        <v>1079</v>
      </c>
      <c r="K306" s="564" t="s">
        <v>1090</v>
      </c>
      <c r="L306" s="564" t="s">
        <v>1071</v>
      </c>
      <c r="M306" s="564" t="s">
        <v>1183</v>
      </c>
      <c r="N306" s="564" t="s">
        <v>64</v>
      </c>
      <c r="O306" s="564" t="s">
        <v>1184</v>
      </c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spans="1:26" ht="13">
      <c r="A307" s="562" t="s">
        <v>1824</v>
      </c>
      <c r="B307" s="563" t="s">
        <v>1825</v>
      </c>
      <c r="C307" s="564" t="s">
        <v>1255</v>
      </c>
      <c r="D307" s="565">
        <v>41046</v>
      </c>
      <c r="E307" s="565">
        <v>41410</v>
      </c>
      <c r="F307" s="566">
        <v>27812000</v>
      </c>
      <c r="G307" s="564" t="s">
        <v>1442</v>
      </c>
      <c r="H307" s="564" t="s">
        <v>1636</v>
      </c>
      <c r="I307" s="564" t="s">
        <v>1826</v>
      </c>
      <c r="J307" s="564" t="s">
        <v>1069</v>
      </c>
      <c r="K307" s="564" t="s">
        <v>1070</v>
      </c>
      <c r="L307" s="564" t="s">
        <v>1071</v>
      </c>
      <c r="M307" s="564" t="s">
        <v>1091</v>
      </c>
      <c r="N307" s="564" t="s">
        <v>1082</v>
      </c>
      <c r="O307" s="564" t="s">
        <v>241</v>
      </c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spans="1:26" ht="13">
      <c r="A308" s="562" t="s">
        <v>209</v>
      </c>
      <c r="B308" s="563" t="s">
        <v>1827</v>
      </c>
      <c r="C308" s="564" t="s">
        <v>1088</v>
      </c>
      <c r="D308" s="565">
        <v>45047</v>
      </c>
      <c r="E308" s="565">
        <v>46873</v>
      </c>
      <c r="F308" s="566">
        <v>2928000</v>
      </c>
      <c r="G308" s="564" t="s">
        <v>1032</v>
      </c>
      <c r="H308" s="564" t="s">
        <v>1032</v>
      </c>
      <c r="I308" s="564" t="s">
        <v>144</v>
      </c>
      <c r="J308" s="564" t="s">
        <v>1079</v>
      </c>
      <c r="K308" s="564" t="s">
        <v>1205</v>
      </c>
      <c r="L308" s="564" t="s">
        <v>1071</v>
      </c>
      <c r="M308" s="564" t="s">
        <v>1183</v>
      </c>
      <c r="N308" s="564" t="s">
        <v>1073</v>
      </c>
      <c r="O308" s="564" t="s">
        <v>1184</v>
      </c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spans="1:26" ht="13">
      <c r="A309" s="562" t="s">
        <v>1828</v>
      </c>
      <c r="B309" s="563" t="s">
        <v>1829</v>
      </c>
      <c r="C309" s="564" t="s">
        <v>1255</v>
      </c>
      <c r="D309" s="565">
        <v>40978</v>
      </c>
      <c r="E309" s="565">
        <v>42438</v>
      </c>
      <c r="F309" s="566">
        <v>929980800</v>
      </c>
      <c r="G309" s="564" t="s">
        <v>1830</v>
      </c>
      <c r="H309" s="564" t="s">
        <v>297</v>
      </c>
      <c r="I309" s="564" t="s">
        <v>1826</v>
      </c>
      <c r="J309" s="564" t="s">
        <v>1069</v>
      </c>
      <c r="K309" s="564" t="s">
        <v>1070</v>
      </c>
      <c r="L309" s="564" t="s">
        <v>1071</v>
      </c>
      <c r="M309" s="564" t="s">
        <v>1124</v>
      </c>
      <c r="N309" s="564" t="s">
        <v>1082</v>
      </c>
      <c r="O309" s="564" t="s">
        <v>241</v>
      </c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spans="1:26" ht="13">
      <c r="A310" s="562" t="s">
        <v>1831</v>
      </c>
      <c r="B310" s="563" t="s">
        <v>1832</v>
      </c>
      <c r="C310" s="564" t="s">
        <v>1088</v>
      </c>
      <c r="D310" s="565">
        <v>40969</v>
      </c>
      <c r="E310" s="565">
        <v>42855</v>
      </c>
      <c r="F310" s="566">
        <v>13020000</v>
      </c>
      <c r="G310" s="564" t="s">
        <v>1604</v>
      </c>
      <c r="H310" s="564" t="s">
        <v>1604</v>
      </c>
      <c r="I310" s="564" t="s">
        <v>64</v>
      </c>
      <c r="J310" s="564" t="s">
        <v>1069</v>
      </c>
      <c r="K310" s="564" t="s">
        <v>1090</v>
      </c>
      <c r="L310" s="564" t="s">
        <v>1071</v>
      </c>
      <c r="M310" s="564" t="s">
        <v>1124</v>
      </c>
      <c r="N310" s="564" t="s">
        <v>64</v>
      </c>
      <c r="O310" s="564" t="s">
        <v>241</v>
      </c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 spans="1:26" ht="13">
      <c r="A311" s="562" t="s">
        <v>1833</v>
      </c>
      <c r="B311" s="563" t="s">
        <v>1834</v>
      </c>
      <c r="C311" s="564" t="s">
        <v>1612</v>
      </c>
      <c r="D311" s="565">
        <v>40940</v>
      </c>
      <c r="E311" s="565">
        <v>41670</v>
      </c>
      <c r="F311" s="566">
        <v>65880000</v>
      </c>
      <c r="G311" s="564" t="s">
        <v>337</v>
      </c>
      <c r="H311" s="564" t="s">
        <v>337</v>
      </c>
      <c r="I311" s="564" t="s">
        <v>45</v>
      </c>
      <c r="J311" s="564" t="s">
        <v>1069</v>
      </c>
      <c r="K311" s="564" t="s">
        <v>1090</v>
      </c>
      <c r="L311" s="564" t="s">
        <v>1071</v>
      </c>
      <c r="M311" s="564" t="s">
        <v>1183</v>
      </c>
      <c r="N311" s="564" t="s">
        <v>45</v>
      </c>
      <c r="O311" s="564" t="s">
        <v>1472</v>
      </c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spans="1:26" ht="13">
      <c r="A312" s="562" t="s">
        <v>1835</v>
      </c>
      <c r="B312" s="563" t="s">
        <v>1836</v>
      </c>
      <c r="C312" s="564" t="s">
        <v>1255</v>
      </c>
      <c r="D312" s="565">
        <v>40909</v>
      </c>
      <c r="E312" s="565">
        <v>42072</v>
      </c>
      <c r="F312" s="566">
        <v>79204000</v>
      </c>
      <c r="G312" s="564" t="s">
        <v>1442</v>
      </c>
      <c r="H312" s="564" t="s">
        <v>297</v>
      </c>
      <c r="I312" s="564" t="s">
        <v>1837</v>
      </c>
      <c r="J312" s="564" t="s">
        <v>1069</v>
      </c>
      <c r="K312" s="564" t="s">
        <v>1070</v>
      </c>
      <c r="L312" s="564" t="s">
        <v>1071</v>
      </c>
      <c r="M312" s="564" t="s">
        <v>1124</v>
      </c>
      <c r="N312" s="564" t="s">
        <v>1082</v>
      </c>
      <c r="O312" s="564" t="s">
        <v>241</v>
      </c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spans="1:26" ht="13">
      <c r="A313" s="562" t="s">
        <v>1838</v>
      </c>
      <c r="B313" s="563" t="s">
        <v>1839</v>
      </c>
      <c r="C313" s="564" t="s">
        <v>1255</v>
      </c>
      <c r="D313" s="565">
        <v>40940</v>
      </c>
      <c r="E313" s="565">
        <v>42766</v>
      </c>
      <c r="F313" s="566">
        <v>120900000</v>
      </c>
      <c r="G313" s="564" t="s">
        <v>1375</v>
      </c>
      <c r="H313" s="564" t="s">
        <v>1375</v>
      </c>
      <c r="I313" s="564" t="s">
        <v>1068</v>
      </c>
      <c r="J313" s="564" t="s">
        <v>1069</v>
      </c>
      <c r="K313" s="564" t="s">
        <v>1070</v>
      </c>
      <c r="L313" s="564" t="s">
        <v>1071</v>
      </c>
      <c r="M313" s="564" t="s">
        <v>1124</v>
      </c>
      <c r="N313" s="564" t="s">
        <v>1073</v>
      </c>
      <c r="O313" s="564" t="s">
        <v>197</v>
      </c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spans="1:26" ht="13">
      <c r="A314" s="562" t="s">
        <v>1840</v>
      </c>
      <c r="B314" s="563" t="s">
        <v>1841</v>
      </c>
      <c r="C314" s="564" t="s">
        <v>1088</v>
      </c>
      <c r="D314" s="565">
        <v>43466</v>
      </c>
      <c r="E314" s="565">
        <v>43830</v>
      </c>
      <c r="F314" s="566">
        <v>29191200</v>
      </c>
      <c r="G314" s="564" t="s">
        <v>1722</v>
      </c>
      <c r="H314" s="564" t="s">
        <v>1636</v>
      </c>
      <c r="I314" s="564" t="s">
        <v>1842</v>
      </c>
      <c r="J314" s="564" t="s">
        <v>1069</v>
      </c>
      <c r="K314" s="564" t="s">
        <v>1070</v>
      </c>
      <c r="L314" s="564" t="s">
        <v>1071</v>
      </c>
      <c r="M314" s="564" t="s">
        <v>1124</v>
      </c>
      <c r="N314" s="564" t="s">
        <v>1082</v>
      </c>
      <c r="O314" s="564" t="s">
        <v>197</v>
      </c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spans="1:26" ht="13">
      <c r="A315" s="562" t="s">
        <v>1843</v>
      </c>
      <c r="B315" s="563" t="s">
        <v>1844</v>
      </c>
      <c r="C315" s="564" t="s">
        <v>1255</v>
      </c>
      <c r="D315" s="565">
        <v>40544</v>
      </c>
      <c r="E315" s="565">
        <v>42438</v>
      </c>
      <c r="F315" s="566">
        <v>547400</v>
      </c>
      <c r="G315" s="564" t="s">
        <v>1442</v>
      </c>
      <c r="H315" s="564" t="s">
        <v>1636</v>
      </c>
      <c r="I315" s="564" t="s">
        <v>1826</v>
      </c>
      <c r="J315" s="564" t="s">
        <v>1069</v>
      </c>
      <c r="K315" s="564" t="s">
        <v>1070</v>
      </c>
      <c r="L315" s="564" t="s">
        <v>1071</v>
      </c>
      <c r="M315" s="564" t="s">
        <v>1091</v>
      </c>
      <c r="N315" s="564" t="s">
        <v>1082</v>
      </c>
      <c r="O315" s="564" t="s">
        <v>1092</v>
      </c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spans="1:26" ht="13">
      <c r="A316" s="562" t="s">
        <v>1845</v>
      </c>
      <c r="B316" s="563" t="s">
        <v>1846</v>
      </c>
      <c r="C316" s="564" t="s">
        <v>1204</v>
      </c>
      <c r="D316" s="565">
        <v>42767</v>
      </c>
      <c r="E316" s="565">
        <v>44592</v>
      </c>
      <c r="F316" s="566">
        <v>21527220</v>
      </c>
      <c r="G316" s="564" t="s">
        <v>1420</v>
      </c>
      <c r="H316" s="564" t="s">
        <v>1420</v>
      </c>
      <c r="I316" s="564" t="s">
        <v>121</v>
      </c>
      <c r="J316" s="564" t="s">
        <v>1069</v>
      </c>
      <c r="K316" s="564" t="s">
        <v>1105</v>
      </c>
      <c r="L316" s="564" t="s">
        <v>1189</v>
      </c>
      <c r="M316" s="564" t="s">
        <v>1206</v>
      </c>
      <c r="N316" s="564" t="s">
        <v>1073</v>
      </c>
      <c r="O316" s="564" t="s">
        <v>1207</v>
      </c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spans="1:26" ht="13">
      <c r="A317" s="562" t="s">
        <v>1847</v>
      </c>
      <c r="B317" s="563" t="s">
        <v>1848</v>
      </c>
      <c r="C317" s="564" t="s">
        <v>1204</v>
      </c>
      <c r="D317" s="565">
        <v>40544</v>
      </c>
      <c r="E317" s="565">
        <v>42004</v>
      </c>
      <c r="F317" s="566">
        <v>57130000</v>
      </c>
      <c r="G317" s="564" t="s">
        <v>1849</v>
      </c>
      <c r="H317" s="564" t="s">
        <v>1128</v>
      </c>
      <c r="I317" s="564" t="s">
        <v>45</v>
      </c>
      <c r="J317" s="564" t="s">
        <v>1069</v>
      </c>
      <c r="K317" s="564" t="s">
        <v>1090</v>
      </c>
      <c r="L317" s="564" t="s">
        <v>1189</v>
      </c>
      <c r="M317" s="564" t="s">
        <v>1206</v>
      </c>
      <c r="N317" s="564" t="s">
        <v>45</v>
      </c>
      <c r="O317" s="564" t="s">
        <v>1207</v>
      </c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spans="1:26" ht="13">
      <c r="A318" s="562" t="s">
        <v>1850</v>
      </c>
      <c r="B318" s="563" t="s">
        <v>1851</v>
      </c>
      <c r="C318" s="564" t="s">
        <v>1088</v>
      </c>
      <c r="D318" s="565">
        <v>40725</v>
      </c>
      <c r="E318" s="565">
        <v>42185</v>
      </c>
      <c r="F318" s="566">
        <v>78492000</v>
      </c>
      <c r="G318" s="564" t="s">
        <v>1830</v>
      </c>
      <c r="H318" s="564" t="s">
        <v>1830</v>
      </c>
      <c r="I318" s="564" t="s">
        <v>516</v>
      </c>
      <c r="J318" s="564" t="s">
        <v>1069</v>
      </c>
      <c r="K318" s="564" t="s">
        <v>1070</v>
      </c>
      <c r="L318" s="564" t="s">
        <v>1071</v>
      </c>
      <c r="M318" s="564" t="s">
        <v>1124</v>
      </c>
      <c r="N318" s="564" t="s">
        <v>1082</v>
      </c>
      <c r="O318" s="564" t="s">
        <v>197</v>
      </c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spans="1:26" ht="13">
      <c r="A319" s="562" t="s">
        <v>1852</v>
      </c>
      <c r="B319" s="563" t="s">
        <v>1853</v>
      </c>
      <c r="C319" s="564" t="s">
        <v>1854</v>
      </c>
      <c r="D319" s="565">
        <v>40725</v>
      </c>
      <c r="E319" s="565">
        <v>41090</v>
      </c>
      <c r="F319" s="566"/>
      <c r="G319" s="564" t="s">
        <v>1855</v>
      </c>
      <c r="H319" s="564" t="s">
        <v>1856</v>
      </c>
      <c r="I319" s="564" t="s">
        <v>45</v>
      </c>
      <c r="J319" s="564" t="s">
        <v>1069</v>
      </c>
      <c r="K319" s="564" t="s">
        <v>1090</v>
      </c>
      <c r="L319" s="564" t="s">
        <v>1189</v>
      </c>
      <c r="M319" s="564" t="s">
        <v>1189</v>
      </c>
      <c r="N319" s="564" t="s">
        <v>45</v>
      </c>
      <c r="O319" s="564" t="s">
        <v>1190</v>
      </c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spans="1:26" ht="13">
      <c r="A320" s="562" t="s">
        <v>1857</v>
      </c>
      <c r="B320" s="563" t="s">
        <v>1858</v>
      </c>
      <c r="C320" s="564" t="s">
        <v>1589</v>
      </c>
      <c r="D320" s="565">
        <v>40695</v>
      </c>
      <c r="E320" s="565">
        <v>42521</v>
      </c>
      <c r="F320" s="566">
        <v>234000000</v>
      </c>
      <c r="G320" s="564" t="s">
        <v>754</v>
      </c>
      <c r="H320" s="564" t="s">
        <v>754</v>
      </c>
      <c r="I320" s="564" t="s">
        <v>1161</v>
      </c>
      <c r="J320" s="564" t="s">
        <v>1069</v>
      </c>
      <c r="K320" s="564" t="s">
        <v>1090</v>
      </c>
      <c r="L320" s="564" t="s">
        <v>1071</v>
      </c>
      <c r="M320" s="564" t="s">
        <v>1124</v>
      </c>
      <c r="N320" s="564" t="s">
        <v>1073</v>
      </c>
      <c r="O320" s="564" t="s">
        <v>1274</v>
      </c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spans="1:26" ht="13">
      <c r="A321" s="562" t="s">
        <v>1859</v>
      </c>
      <c r="B321" s="563" t="s">
        <v>1860</v>
      </c>
      <c r="C321" s="564" t="s">
        <v>1255</v>
      </c>
      <c r="D321" s="565">
        <v>40647</v>
      </c>
      <c r="E321" s="565">
        <v>42438</v>
      </c>
      <c r="F321" s="566">
        <v>427750000</v>
      </c>
      <c r="G321" s="564" t="s">
        <v>1442</v>
      </c>
      <c r="H321" s="564" t="s">
        <v>1636</v>
      </c>
      <c r="I321" s="564" t="s">
        <v>1826</v>
      </c>
      <c r="J321" s="564" t="s">
        <v>1069</v>
      </c>
      <c r="K321" s="564" t="s">
        <v>1070</v>
      </c>
      <c r="L321" s="564" t="s">
        <v>1071</v>
      </c>
      <c r="M321" s="564" t="s">
        <v>1091</v>
      </c>
      <c r="N321" s="564" t="s">
        <v>1082</v>
      </c>
      <c r="O321" s="564" t="s">
        <v>1092</v>
      </c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spans="1:26" ht="13">
      <c r="A322" s="562" t="s">
        <v>1861</v>
      </c>
      <c r="B322" s="563" t="s">
        <v>1862</v>
      </c>
      <c r="C322" s="564" t="s">
        <v>1255</v>
      </c>
      <c r="D322" s="565">
        <v>40634</v>
      </c>
      <c r="E322" s="565">
        <v>42565</v>
      </c>
      <c r="F322" s="566">
        <v>260820000</v>
      </c>
      <c r="G322" s="564" t="s">
        <v>1780</v>
      </c>
      <c r="H322" s="564" t="s">
        <v>1636</v>
      </c>
      <c r="I322" s="564" t="s">
        <v>1826</v>
      </c>
      <c r="J322" s="564" t="s">
        <v>1069</v>
      </c>
      <c r="K322" s="564" t="s">
        <v>1070</v>
      </c>
      <c r="L322" s="564" t="s">
        <v>1071</v>
      </c>
      <c r="M322" s="564" t="s">
        <v>1124</v>
      </c>
      <c r="N322" s="564" t="s">
        <v>1082</v>
      </c>
      <c r="O322" s="564" t="s">
        <v>197</v>
      </c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spans="1:26" ht="13">
      <c r="A323" s="562" t="s">
        <v>1863</v>
      </c>
      <c r="B323" s="563" t="s">
        <v>1864</v>
      </c>
      <c r="C323" s="564" t="s">
        <v>1204</v>
      </c>
      <c r="D323" s="565">
        <v>44317</v>
      </c>
      <c r="E323" s="565">
        <v>46142</v>
      </c>
      <c r="F323" s="566">
        <v>126000000</v>
      </c>
      <c r="G323" s="564" t="s">
        <v>1420</v>
      </c>
      <c r="H323" s="564" t="s">
        <v>1420</v>
      </c>
      <c r="I323" s="564" t="s">
        <v>141</v>
      </c>
      <c r="J323" s="564" t="s">
        <v>1069</v>
      </c>
      <c r="K323" s="564" t="s">
        <v>1205</v>
      </c>
      <c r="L323" s="564" t="s">
        <v>1189</v>
      </c>
      <c r="M323" s="564" t="s">
        <v>1206</v>
      </c>
      <c r="N323" s="564" t="s">
        <v>1073</v>
      </c>
      <c r="O323" s="564" t="s">
        <v>1207</v>
      </c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spans="1:26" ht="13">
      <c r="A324" s="562" t="s">
        <v>1865</v>
      </c>
      <c r="B324" s="563" t="s">
        <v>1866</v>
      </c>
      <c r="C324" s="564" t="s">
        <v>1204</v>
      </c>
      <c r="D324" s="565">
        <v>44317</v>
      </c>
      <c r="E324" s="565">
        <v>46142</v>
      </c>
      <c r="F324" s="566">
        <v>126000000</v>
      </c>
      <c r="G324" s="564" t="s">
        <v>1420</v>
      </c>
      <c r="H324" s="564" t="s">
        <v>1420</v>
      </c>
      <c r="I324" s="564" t="s">
        <v>140</v>
      </c>
      <c r="J324" s="564" t="s">
        <v>1079</v>
      </c>
      <c r="K324" s="564" t="s">
        <v>1205</v>
      </c>
      <c r="L324" s="564" t="s">
        <v>1189</v>
      </c>
      <c r="M324" s="564" t="s">
        <v>1206</v>
      </c>
      <c r="N324" s="564" t="s">
        <v>1073</v>
      </c>
      <c r="O324" s="564" t="s">
        <v>1207</v>
      </c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spans="1:26" ht="13">
      <c r="A325" s="562" t="s">
        <v>1867</v>
      </c>
      <c r="B325" s="563" t="s">
        <v>1868</v>
      </c>
      <c r="C325" s="564" t="s">
        <v>1204</v>
      </c>
      <c r="D325" s="565">
        <v>44927</v>
      </c>
      <c r="E325" s="565">
        <v>45077</v>
      </c>
      <c r="F325" s="566">
        <v>25775000</v>
      </c>
      <c r="G325" s="564" t="s">
        <v>1420</v>
      </c>
      <c r="H325" s="564" t="s">
        <v>1420</v>
      </c>
      <c r="I325" s="564" t="s">
        <v>802</v>
      </c>
      <c r="J325" s="564" t="s">
        <v>1079</v>
      </c>
      <c r="K325" s="564" t="s">
        <v>1198</v>
      </c>
      <c r="L325" s="564" t="s">
        <v>1189</v>
      </c>
      <c r="M325" s="564" t="s">
        <v>1206</v>
      </c>
      <c r="N325" s="564" t="s">
        <v>132</v>
      </c>
      <c r="O325" s="564" t="s">
        <v>1207</v>
      </c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spans="1:26" ht="13">
      <c r="A326" s="562" t="s">
        <v>1869</v>
      </c>
      <c r="B326" s="563" t="s">
        <v>1870</v>
      </c>
      <c r="C326" s="564" t="s">
        <v>1255</v>
      </c>
      <c r="D326" s="565">
        <v>40575</v>
      </c>
      <c r="E326" s="565">
        <v>42035</v>
      </c>
      <c r="F326" s="566">
        <v>423216000</v>
      </c>
      <c r="G326" s="564" t="s">
        <v>1345</v>
      </c>
      <c r="H326" s="564" t="s">
        <v>1529</v>
      </c>
      <c r="I326" s="564" t="s">
        <v>1417</v>
      </c>
      <c r="J326" s="564" t="s">
        <v>1069</v>
      </c>
      <c r="K326" s="564" t="s">
        <v>1070</v>
      </c>
      <c r="L326" s="564" t="s">
        <v>1071</v>
      </c>
      <c r="M326" s="564" t="s">
        <v>1183</v>
      </c>
      <c r="N326" s="564" t="s">
        <v>1082</v>
      </c>
      <c r="O326" s="564" t="s">
        <v>1184</v>
      </c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 spans="1:26" ht="13">
      <c r="A327" s="562" t="s">
        <v>1871</v>
      </c>
      <c r="B327" s="563" t="s">
        <v>1872</v>
      </c>
      <c r="C327" s="564" t="s">
        <v>1873</v>
      </c>
      <c r="D327" s="565">
        <v>40544</v>
      </c>
      <c r="E327" s="565">
        <v>42004</v>
      </c>
      <c r="F327" s="566">
        <v>10584000</v>
      </c>
      <c r="G327" s="564" t="s">
        <v>1849</v>
      </c>
      <c r="H327" s="564" t="s">
        <v>1874</v>
      </c>
      <c r="I327" s="564" t="s">
        <v>1821</v>
      </c>
      <c r="J327" s="564" t="s">
        <v>1069</v>
      </c>
      <c r="K327" s="564" t="s">
        <v>1120</v>
      </c>
      <c r="L327" s="564" t="s">
        <v>1071</v>
      </c>
      <c r="M327" s="564" t="s">
        <v>1091</v>
      </c>
      <c r="N327" s="564" t="s">
        <v>1073</v>
      </c>
      <c r="O327" s="564" t="s">
        <v>241</v>
      </c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spans="1:26" ht="13">
      <c r="A328" s="562" t="s">
        <v>1875</v>
      </c>
      <c r="B328" s="563" t="s">
        <v>1876</v>
      </c>
      <c r="C328" s="564" t="s">
        <v>1255</v>
      </c>
      <c r="D328" s="565">
        <v>40544</v>
      </c>
      <c r="E328" s="565">
        <v>42004</v>
      </c>
      <c r="F328" s="566">
        <v>8208000</v>
      </c>
      <c r="G328" s="564" t="s">
        <v>1345</v>
      </c>
      <c r="H328" s="564" t="s">
        <v>337</v>
      </c>
      <c r="I328" s="564" t="s">
        <v>1161</v>
      </c>
      <c r="J328" s="564" t="s">
        <v>1069</v>
      </c>
      <c r="K328" s="564" t="s">
        <v>1090</v>
      </c>
      <c r="L328" s="564" t="s">
        <v>1071</v>
      </c>
      <c r="M328" s="564" t="s">
        <v>1183</v>
      </c>
      <c r="N328" s="564" t="s">
        <v>1073</v>
      </c>
      <c r="O328" s="564" t="s">
        <v>1184</v>
      </c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 spans="1:26" ht="13">
      <c r="A329" s="562" t="s">
        <v>1877</v>
      </c>
      <c r="B329" s="563" t="s">
        <v>1878</v>
      </c>
      <c r="C329" s="564" t="s">
        <v>1255</v>
      </c>
      <c r="D329" s="565">
        <v>40452</v>
      </c>
      <c r="E329" s="565">
        <v>40816</v>
      </c>
      <c r="F329" s="566">
        <v>49000000</v>
      </c>
      <c r="G329" s="564" t="s">
        <v>1345</v>
      </c>
      <c r="H329" s="564" t="s">
        <v>1529</v>
      </c>
      <c r="I329" s="564" t="s">
        <v>45</v>
      </c>
      <c r="J329" s="564" t="s">
        <v>1069</v>
      </c>
      <c r="K329" s="564" t="s">
        <v>1090</v>
      </c>
      <c r="L329" s="564" t="s">
        <v>1071</v>
      </c>
      <c r="M329" s="564" t="s">
        <v>1183</v>
      </c>
      <c r="N329" s="564" t="s">
        <v>45</v>
      </c>
      <c r="O329" s="564" t="s">
        <v>241</v>
      </c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spans="1:26" ht="13">
      <c r="A330" s="562" t="s">
        <v>1879</v>
      </c>
      <c r="B330" s="563" t="s">
        <v>1880</v>
      </c>
      <c r="C330" s="564" t="s">
        <v>1255</v>
      </c>
      <c r="D330" s="565">
        <v>40452</v>
      </c>
      <c r="E330" s="565">
        <v>42460</v>
      </c>
      <c r="F330" s="566">
        <v>45529200</v>
      </c>
      <c r="G330" s="564" t="s">
        <v>1442</v>
      </c>
      <c r="H330" s="564" t="s">
        <v>1636</v>
      </c>
      <c r="I330" s="564" t="s">
        <v>1826</v>
      </c>
      <c r="J330" s="564" t="s">
        <v>1069</v>
      </c>
      <c r="K330" s="564" t="s">
        <v>1070</v>
      </c>
      <c r="L330" s="564" t="s">
        <v>1071</v>
      </c>
      <c r="M330" s="564" t="s">
        <v>1091</v>
      </c>
      <c r="N330" s="564" t="s">
        <v>1082</v>
      </c>
      <c r="O330" s="564" t="s">
        <v>1092</v>
      </c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 spans="1:26" ht="13">
      <c r="A331" s="562" t="s">
        <v>1881</v>
      </c>
      <c r="B331" s="563" t="s">
        <v>1882</v>
      </c>
      <c r="C331" s="564" t="s">
        <v>1255</v>
      </c>
      <c r="D331" s="565">
        <v>40513</v>
      </c>
      <c r="E331" s="565">
        <v>42369</v>
      </c>
      <c r="F331" s="566">
        <v>31876800</v>
      </c>
      <c r="G331" s="564" t="s">
        <v>1722</v>
      </c>
      <c r="H331" s="564" t="s">
        <v>1489</v>
      </c>
      <c r="I331" s="564" t="s">
        <v>257</v>
      </c>
      <c r="J331" s="564" t="s">
        <v>1069</v>
      </c>
      <c r="K331" s="564" t="s">
        <v>1209</v>
      </c>
      <c r="L331" s="564" t="s">
        <v>1071</v>
      </c>
      <c r="M331" s="564" t="s">
        <v>1124</v>
      </c>
      <c r="N331" s="564" t="s">
        <v>257</v>
      </c>
      <c r="O331" s="564" t="s">
        <v>197</v>
      </c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spans="1:26" ht="13">
      <c r="A332" s="562" t="s">
        <v>1883</v>
      </c>
      <c r="B332" s="563" t="s">
        <v>1884</v>
      </c>
      <c r="C332" s="564" t="s">
        <v>1204</v>
      </c>
      <c r="D332" s="565">
        <v>44256</v>
      </c>
      <c r="E332" s="565">
        <v>45351</v>
      </c>
      <c r="F332" s="566">
        <v>327600000</v>
      </c>
      <c r="G332" s="564" t="s">
        <v>1420</v>
      </c>
      <c r="H332" s="564" t="s">
        <v>1123</v>
      </c>
      <c r="I332" s="564" t="s">
        <v>143</v>
      </c>
      <c r="J332" s="564" t="s">
        <v>1079</v>
      </c>
      <c r="K332" s="564" t="s">
        <v>1205</v>
      </c>
      <c r="L332" s="564" t="s">
        <v>1189</v>
      </c>
      <c r="M332" s="564" t="s">
        <v>1206</v>
      </c>
      <c r="N332" s="564" t="s">
        <v>1073</v>
      </c>
      <c r="O332" s="564" t="s">
        <v>1207</v>
      </c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spans="1:26" ht="13">
      <c r="A333" s="562" t="s">
        <v>1885</v>
      </c>
      <c r="B333" s="563" t="s">
        <v>1886</v>
      </c>
      <c r="C333" s="564" t="s">
        <v>1887</v>
      </c>
      <c r="D333" s="565">
        <v>40422</v>
      </c>
      <c r="E333" s="565">
        <v>41670</v>
      </c>
      <c r="F333" s="566">
        <v>54000000</v>
      </c>
      <c r="G333" s="564" t="s">
        <v>1888</v>
      </c>
      <c r="H333" s="564" t="s">
        <v>337</v>
      </c>
      <c r="I333" s="564" t="s">
        <v>45</v>
      </c>
      <c r="J333" s="564" t="s">
        <v>1069</v>
      </c>
      <c r="K333" s="564" t="s">
        <v>1090</v>
      </c>
      <c r="L333" s="564" t="s">
        <v>1071</v>
      </c>
      <c r="M333" s="564" t="s">
        <v>1091</v>
      </c>
      <c r="N333" s="564" t="s">
        <v>45</v>
      </c>
      <c r="O333" s="564" t="s">
        <v>1092</v>
      </c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spans="1:26" ht="13">
      <c r="A334" s="562" t="s">
        <v>1889</v>
      </c>
      <c r="B334" s="563" t="s">
        <v>1890</v>
      </c>
      <c r="C334" s="564" t="s">
        <v>1255</v>
      </c>
      <c r="D334" s="565">
        <v>40299</v>
      </c>
      <c r="E334" s="565">
        <v>42369</v>
      </c>
      <c r="F334" s="566">
        <v>38424500</v>
      </c>
      <c r="G334" s="564" t="s">
        <v>1604</v>
      </c>
      <c r="H334" s="564" t="s">
        <v>1604</v>
      </c>
      <c r="I334" s="564" t="s">
        <v>1821</v>
      </c>
      <c r="J334" s="564" t="s">
        <v>1069</v>
      </c>
      <c r="K334" s="564" t="s">
        <v>1120</v>
      </c>
      <c r="L334" s="564" t="s">
        <v>1071</v>
      </c>
      <c r="M334" s="564" t="s">
        <v>1124</v>
      </c>
      <c r="N334" s="564" t="s">
        <v>1073</v>
      </c>
      <c r="O334" s="564" t="s">
        <v>241</v>
      </c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 spans="1:26" ht="13">
      <c r="A335" s="562" t="s">
        <v>1891</v>
      </c>
      <c r="B335" s="563" t="s">
        <v>1892</v>
      </c>
      <c r="C335" s="564" t="s">
        <v>1255</v>
      </c>
      <c r="D335" s="565">
        <v>40330</v>
      </c>
      <c r="E335" s="565">
        <v>41790</v>
      </c>
      <c r="F335" s="566">
        <v>458640000</v>
      </c>
      <c r="G335" s="564" t="s">
        <v>1345</v>
      </c>
      <c r="H335" s="564" t="s">
        <v>337</v>
      </c>
      <c r="I335" s="564" t="s">
        <v>1068</v>
      </c>
      <c r="J335" s="564" t="s">
        <v>1069</v>
      </c>
      <c r="K335" s="564" t="s">
        <v>1070</v>
      </c>
      <c r="L335" s="564" t="s">
        <v>1071</v>
      </c>
      <c r="M335" s="564" t="s">
        <v>1183</v>
      </c>
      <c r="N335" s="564" t="s">
        <v>1073</v>
      </c>
      <c r="O335" s="564" t="s">
        <v>1184</v>
      </c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spans="1:26" ht="13">
      <c r="A336" s="562" t="s">
        <v>1893</v>
      </c>
      <c r="B336" s="563" t="s">
        <v>1894</v>
      </c>
      <c r="C336" s="564" t="s">
        <v>1255</v>
      </c>
      <c r="D336" s="565">
        <v>42917</v>
      </c>
      <c r="E336" s="565">
        <v>43281</v>
      </c>
      <c r="F336" s="566">
        <v>60545455</v>
      </c>
      <c r="G336" s="564" t="s">
        <v>1489</v>
      </c>
      <c r="H336" s="564" t="s">
        <v>1123</v>
      </c>
      <c r="I336" s="564" t="s">
        <v>802</v>
      </c>
      <c r="J336" s="564" t="s">
        <v>1069</v>
      </c>
      <c r="K336" s="564" t="s">
        <v>1198</v>
      </c>
      <c r="L336" s="564" t="s">
        <v>1071</v>
      </c>
      <c r="M336" s="564" t="s">
        <v>1091</v>
      </c>
      <c r="N336" s="564" t="s">
        <v>132</v>
      </c>
      <c r="O336" s="564" t="s">
        <v>1092</v>
      </c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 spans="1:26" ht="13">
      <c r="A337" s="562" t="s">
        <v>1895</v>
      </c>
      <c r="B337" s="563" t="s">
        <v>1896</v>
      </c>
      <c r="C337" s="564" t="s">
        <v>1255</v>
      </c>
      <c r="D337" s="565">
        <v>40330</v>
      </c>
      <c r="E337" s="565">
        <v>41517</v>
      </c>
      <c r="F337" s="566">
        <v>32318128</v>
      </c>
      <c r="G337" s="564" t="s">
        <v>1897</v>
      </c>
      <c r="H337" s="564" t="s">
        <v>1116</v>
      </c>
      <c r="I337" s="564" t="s">
        <v>1898</v>
      </c>
      <c r="J337" s="564" t="s">
        <v>1069</v>
      </c>
      <c r="K337" s="564" t="s">
        <v>1070</v>
      </c>
      <c r="L337" s="564" t="s">
        <v>1071</v>
      </c>
      <c r="M337" s="564" t="s">
        <v>1124</v>
      </c>
      <c r="N337" s="564" t="s">
        <v>1082</v>
      </c>
      <c r="O337" s="564" t="s">
        <v>197</v>
      </c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spans="1:26" ht="13">
      <c r="A338" s="562" t="s">
        <v>1899</v>
      </c>
      <c r="B338" s="563" t="s">
        <v>1900</v>
      </c>
      <c r="C338" s="564" t="s">
        <v>1204</v>
      </c>
      <c r="D338" s="565">
        <v>43922</v>
      </c>
      <c r="E338" s="565">
        <v>45747</v>
      </c>
      <c r="F338" s="566">
        <v>7673930</v>
      </c>
      <c r="G338" s="564" t="s">
        <v>1420</v>
      </c>
      <c r="H338" s="564" t="s">
        <v>1420</v>
      </c>
      <c r="I338" s="564" t="s">
        <v>1161</v>
      </c>
      <c r="J338" s="564" t="s">
        <v>1069</v>
      </c>
      <c r="K338" s="564" t="s">
        <v>1090</v>
      </c>
      <c r="L338" s="564" t="s">
        <v>1189</v>
      </c>
      <c r="M338" s="564" t="s">
        <v>1206</v>
      </c>
      <c r="N338" s="564" t="s">
        <v>1073</v>
      </c>
      <c r="O338" s="564" t="s">
        <v>1207</v>
      </c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 spans="1:26" ht="13">
      <c r="A339" s="562" t="s">
        <v>1901</v>
      </c>
      <c r="B339" s="563" t="s">
        <v>1902</v>
      </c>
      <c r="C339" s="564" t="s">
        <v>1589</v>
      </c>
      <c r="D339" s="565">
        <v>40179</v>
      </c>
      <c r="E339" s="565">
        <v>42369</v>
      </c>
      <c r="F339" s="566">
        <v>20400000</v>
      </c>
      <c r="G339" s="564" t="s">
        <v>754</v>
      </c>
      <c r="H339" s="564" t="s">
        <v>1157</v>
      </c>
      <c r="I339" s="564" t="s">
        <v>1821</v>
      </c>
      <c r="J339" s="564" t="s">
        <v>1069</v>
      </c>
      <c r="K339" s="564" t="s">
        <v>1120</v>
      </c>
      <c r="L339" s="564" t="s">
        <v>1071</v>
      </c>
      <c r="M339" s="564" t="s">
        <v>1124</v>
      </c>
      <c r="N339" s="564" t="s">
        <v>1073</v>
      </c>
      <c r="O339" s="564" t="s">
        <v>1274</v>
      </c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spans="1:26" ht="13">
      <c r="A340" s="562" t="s">
        <v>1903</v>
      </c>
      <c r="B340" s="563" t="s">
        <v>1904</v>
      </c>
      <c r="C340" s="564" t="s">
        <v>1271</v>
      </c>
      <c r="D340" s="565">
        <v>43466</v>
      </c>
      <c r="E340" s="565">
        <v>43830</v>
      </c>
      <c r="F340" s="566">
        <v>120636000</v>
      </c>
      <c r="G340" s="564" t="s">
        <v>1312</v>
      </c>
      <c r="H340" s="564" t="s">
        <v>1312</v>
      </c>
      <c r="I340" s="564" t="s">
        <v>170</v>
      </c>
      <c r="J340" s="564" t="s">
        <v>1069</v>
      </c>
      <c r="K340" s="564" t="s">
        <v>1105</v>
      </c>
      <c r="L340" s="564" t="s">
        <v>1071</v>
      </c>
      <c r="M340" s="564" t="s">
        <v>1124</v>
      </c>
      <c r="N340" s="564" t="s">
        <v>170</v>
      </c>
      <c r="O340" s="564" t="s">
        <v>1274</v>
      </c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spans="1:26" ht="13">
      <c r="A341" s="562" t="s">
        <v>1905</v>
      </c>
      <c r="B341" s="563" t="s">
        <v>1906</v>
      </c>
      <c r="C341" s="564" t="s">
        <v>1271</v>
      </c>
      <c r="D341" s="565">
        <v>42309</v>
      </c>
      <c r="E341" s="565">
        <v>44135</v>
      </c>
      <c r="F341" s="566">
        <v>108000000</v>
      </c>
      <c r="G341" s="564" t="s">
        <v>1420</v>
      </c>
      <c r="H341" s="564" t="s">
        <v>1420</v>
      </c>
      <c r="I341" s="564" t="s">
        <v>1161</v>
      </c>
      <c r="J341" s="564" t="s">
        <v>1069</v>
      </c>
      <c r="K341" s="564" t="s">
        <v>1090</v>
      </c>
      <c r="L341" s="564" t="s">
        <v>1071</v>
      </c>
      <c r="M341" s="564" t="s">
        <v>1124</v>
      </c>
      <c r="N341" s="564" t="s">
        <v>1073</v>
      </c>
      <c r="O341" s="564" t="s">
        <v>1274</v>
      </c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spans="1:26" ht="13">
      <c r="A342" s="562" t="s">
        <v>1907</v>
      </c>
      <c r="B342" s="563" t="s">
        <v>1908</v>
      </c>
      <c r="C342" s="564" t="s">
        <v>1271</v>
      </c>
      <c r="D342" s="565">
        <v>43221</v>
      </c>
      <c r="E342" s="565">
        <v>43585</v>
      </c>
      <c r="F342" s="566">
        <v>12600000</v>
      </c>
      <c r="G342" s="564" t="s">
        <v>754</v>
      </c>
      <c r="H342" s="564" t="s">
        <v>1590</v>
      </c>
      <c r="I342" s="564" t="s">
        <v>225</v>
      </c>
      <c r="J342" s="564" t="s">
        <v>1069</v>
      </c>
      <c r="K342" s="564" t="s">
        <v>1105</v>
      </c>
      <c r="L342" s="564" t="s">
        <v>1071</v>
      </c>
      <c r="M342" s="564" t="s">
        <v>1124</v>
      </c>
      <c r="N342" s="564" t="s">
        <v>225</v>
      </c>
      <c r="O342" s="564" t="s">
        <v>1274</v>
      </c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 spans="1:26" ht="13">
      <c r="A343" s="562" t="s">
        <v>1909</v>
      </c>
      <c r="B343" s="563" t="s">
        <v>1910</v>
      </c>
      <c r="C343" s="564" t="s">
        <v>1255</v>
      </c>
      <c r="D343" s="565">
        <v>40168</v>
      </c>
      <c r="E343" s="565">
        <v>41993</v>
      </c>
      <c r="F343" s="566">
        <v>221460000</v>
      </c>
      <c r="G343" s="564" t="s">
        <v>1911</v>
      </c>
      <c r="H343" s="564" t="s">
        <v>1912</v>
      </c>
      <c r="I343" s="564" t="s">
        <v>64</v>
      </c>
      <c r="J343" s="564" t="s">
        <v>1069</v>
      </c>
      <c r="K343" s="564" t="s">
        <v>1090</v>
      </c>
      <c r="L343" s="564" t="s">
        <v>1071</v>
      </c>
      <c r="M343" s="564" t="s">
        <v>1124</v>
      </c>
      <c r="N343" s="564" t="s">
        <v>64</v>
      </c>
      <c r="O343" s="564" t="s">
        <v>197</v>
      </c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spans="1:26" ht="13">
      <c r="A344" s="562" t="s">
        <v>1913</v>
      </c>
      <c r="B344" s="563" t="s">
        <v>1914</v>
      </c>
      <c r="C344" s="564" t="s">
        <v>1271</v>
      </c>
      <c r="D344" s="565">
        <v>44501</v>
      </c>
      <c r="E344" s="565">
        <v>47787</v>
      </c>
      <c r="F344" s="566">
        <v>6000000</v>
      </c>
      <c r="G344" s="564" t="s">
        <v>1273</v>
      </c>
      <c r="H344" s="564" t="s">
        <v>1273</v>
      </c>
      <c r="I344" s="564" t="s">
        <v>1915</v>
      </c>
      <c r="J344" s="564" t="s">
        <v>1079</v>
      </c>
      <c r="K344" s="564" t="s">
        <v>1070</v>
      </c>
      <c r="L344" s="564" t="s">
        <v>1071</v>
      </c>
      <c r="M344" s="564" t="s">
        <v>1124</v>
      </c>
      <c r="N344" s="564" t="s">
        <v>1082</v>
      </c>
      <c r="O344" s="564" t="s">
        <v>1425</v>
      </c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spans="1:26" ht="13">
      <c r="A345" s="562" t="s">
        <v>1916</v>
      </c>
      <c r="B345" s="563" t="s">
        <v>1917</v>
      </c>
      <c r="C345" s="564" t="s">
        <v>1204</v>
      </c>
      <c r="D345" s="565">
        <v>40269</v>
      </c>
      <c r="E345" s="565">
        <v>42094</v>
      </c>
      <c r="F345" s="566">
        <v>30000000</v>
      </c>
      <c r="G345" s="564" t="s">
        <v>1216</v>
      </c>
      <c r="H345" s="564" t="s">
        <v>754</v>
      </c>
      <c r="I345" s="564" t="s">
        <v>1918</v>
      </c>
      <c r="J345" s="564" t="s">
        <v>1069</v>
      </c>
      <c r="K345" s="564" t="s">
        <v>1070</v>
      </c>
      <c r="L345" s="564" t="s">
        <v>1189</v>
      </c>
      <c r="M345" s="564" t="s">
        <v>1206</v>
      </c>
      <c r="N345" s="564" t="s">
        <v>1073</v>
      </c>
      <c r="O345" s="564" t="s">
        <v>1207</v>
      </c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spans="1:26" ht="13">
      <c r="A346" s="562" t="s">
        <v>1919</v>
      </c>
      <c r="B346" s="563" t="s">
        <v>1920</v>
      </c>
      <c r="C346" s="564" t="s">
        <v>1204</v>
      </c>
      <c r="D346" s="565">
        <v>43862</v>
      </c>
      <c r="E346" s="565">
        <v>45747</v>
      </c>
      <c r="F346" s="566">
        <v>44475080</v>
      </c>
      <c r="G346" s="564" t="s">
        <v>1420</v>
      </c>
      <c r="H346" s="564" t="s">
        <v>1420</v>
      </c>
      <c r="I346" s="564" t="s">
        <v>1247</v>
      </c>
      <c r="J346" s="564" t="s">
        <v>1069</v>
      </c>
      <c r="K346" s="564" t="s">
        <v>1070</v>
      </c>
      <c r="L346" s="564" t="s">
        <v>1189</v>
      </c>
      <c r="M346" s="564" t="s">
        <v>1206</v>
      </c>
      <c r="N346" s="564" t="s">
        <v>1073</v>
      </c>
      <c r="O346" s="564" t="s">
        <v>1207</v>
      </c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spans="1:26" ht="13">
      <c r="A347" s="562" t="s">
        <v>1921</v>
      </c>
      <c r="B347" s="563" t="s">
        <v>1922</v>
      </c>
      <c r="C347" s="564" t="s">
        <v>1255</v>
      </c>
      <c r="D347" s="565">
        <v>40026</v>
      </c>
      <c r="E347" s="565">
        <v>40298</v>
      </c>
      <c r="F347" s="566">
        <v>104690000</v>
      </c>
      <c r="G347" s="564" t="s">
        <v>1604</v>
      </c>
      <c r="H347" s="564" t="s">
        <v>1604</v>
      </c>
      <c r="I347" s="564" t="s">
        <v>70</v>
      </c>
      <c r="J347" s="564" t="s">
        <v>1069</v>
      </c>
      <c r="K347" s="564" t="s">
        <v>1120</v>
      </c>
      <c r="L347" s="564" t="s">
        <v>1071</v>
      </c>
      <c r="M347" s="564" t="s">
        <v>1124</v>
      </c>
      <c r="N347" s="564" t="s">
        <v>70</v>
      </c>
      <c r="O347" s="564" t="s">
        <v>241</v>
      </c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spans="1:26" ht="13">
      <c r="A348" s="562" t="s">
        <v>1923</v>
      </c>
      <c r="B348" s="563" t="s">
        <v>1924</v>
      </c>
      <c r="C348" s="564" t="s">
        <v>1255</v>
      </c>
      <c r="D348" s="565">
        <v>42826</v>
      </c>
      <c r="E348" s="565">
        <v>43190</v>
      </c>
      <c r="F348" s="566">
        <v>407849000</v>
      </c>
      <c r="G348" s="564" t="s">
        <v>1375</v>
      </c>
      <c r="H348" s="564" t="s">
        <v>1375</v>
      </c>
      <c r="I348" s="564" t="s">
        <v>1068</v>
      </c>
      <c r="J348" s="564" t="s">
        <v>1069</v>
      </c>
      <c r="K348" s="564" t="s">
        <v>1070</v>
      </c>
      <c r="L348" s="564" t="s">
        <v>1071</v>
      </c>
      <c r="M348" s="564" t="s">
        <v>1124</v>
      </c>
      <c r="N348" s="564" t="s">
        <v>1073</v>
      </c>
      <c r="O348" s="564" t="s">
        <v>197</v>
      </c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spans="1:26" ht="13">
      <c r="A349" s="562" t="s">
        <v>1925</v>
      </c>
      <c r="B349" s="563" t="s">
        <v>1926</v>
      </c>
      <c r="C349" s="564" t="s">
        <v>1088</v>
      </c>
      <c r="D349" s="565">
        <v>44743</v>
      </c>
      <c r="E349" s="565">
        <v>46568</v>
      </c>
      <c r="F349" s="566">
        <v>112128000</v>
      </c>
      <c r="G349" s="564" t="s">
        <v>1032</v>
      </c>
      <c r="H349" s="564" t="s">
        <v>1032</v>
      </c>
      <c r="I349" s="564" t="s">
        <v>1247</v>
      </c>
      <c r="J349" s="564" t="s">
        <v>1079</v>
      </c>
      <c r="K349" s="564" t="s">
        <v>1070</v>
      </c>
      <c r="L349" s="564" t="s">
        <v>1071</v>
      </c>
      <c r="M349" s="564" t="s">
        <v>1183</v>
      </c>
      <c r="N349" s="564" t="s">
        <v>1073</v>
      </c>
      <c r="O349" s="564" t="s">
        <v>1184</v>
      </c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spans="1:26" ht="13">
      <c r="A350" s="562" t="s">
        <v>1927</v>
      </c>
      <c r="B350" s="563" t="s">
        <v>1928</v>
      </c>
      <c r="C350" s="564" t="s">
        <v>1088</v>
      </c>
      <c r="D350" s="565">
        <v>39995</v>
      </c>
      <c r="E350" s="565">
        <v>45657</v>
      </c>
      <c r="F350" s="566">
        <v>37000000</v>
      </c>
      <c r="G350" s="564" t="s">
        <v>1604</v>
      </c>
      <c r="H350" s="564" t="s">
        <v>1293</v>
      </c>
      <c r="I350" s="564" t="s">
        <v>1247</v>
      </c>
      <c r="J350" s="564" t="s">
        <v>1079</v>
      </c>
      <c r="K350" s="564" t="s">
        <v>1070</v>
      </c>
      <c r="L350" s="564" t="s">
        <v>1071</v>
      </c>
      <c r="M350" s="564" t="s">
        <v>1124</v>
      </c>
      <c r="N350" s="564" t="s">
        <v>1073</v>
      </c>
      <c r="O350" s="564" t="s">
        <v>241</v>
      </c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spans="1:26" ht="13">
      <c r="A351" s="562" t="s">
        <v>1929</v>
      </c>
      <c r="B351" s="563" t="s">
        <v>1930</v>
      </c>
      <c r="C351" s="564" t="s">
        <v>1370</v>
      </c>
      <c r="D351" s="565">
        <v>43525</v>
      </c>
      <c r="E351" s="565">
        <v>43890</v>
      </c>
      <c r="F351" s="566">
        <v>199614418</v>
      </c>
      <c r="G351" s="564" t="s">
        <v>1807</v>
      </c>
      <c r="H351" s="564" t="s">
        <v>1623</v>
      </c>
      <c r="I351" s="564" t="s">
        <v>802</v>
      </c>
      <c r="J351" s="564" t="s">
        <v>1069</v>
      </c>
      <c r="K351" s="564" t="s">
        <v>1198</v>
      </c>
      <c r="L351" s="564" t="s">
        <v>1071</v>
      </c>
      <c r="M351" s="564" t="s">
        <v>1091</v>
      </c>
      <c r="N351" s="564" t="s">
        <v>132</v>
      </c>
      <c r="O351" s="564" t="s">
        <v>241</v>
      </c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spans="1:26" ht="13">
      <c r="A352" s="562" t="s">
        <v>1931</v>
      </c>
      <c r="B352" s="563" t="s">
        <v>1932</v>
      </c>
      <c r="C352" s="564" t="s">
        <v>1204</v>
      </c>
      <c r="D352" s="565">
        <v>40269</v>
      </c>
      <c r="E352" s="565">
        <v>42094</v>
      </c>
      <c r="F352" s="566"/>
      <c r="G352" s="564" t="s">
        <v>1933</v>
      </c>
      <c r="H352" s="564" t="s">
        <v>1157</v>
      </c>
      <c r="I352" s="564" t="s">
        <v>1934</v>
      </c>
      <c r="J352" s="564" t="s">
        <v>1069</v>
      </c>
      <c r="K352" s="564" t="s">
        <v>1120</v>
      </c>
      <c r="L352" s="564" t="s">
        <v>1189</v>
      </c>
      <c r="M352" s="564" t="s">
        <v>1206</v>
      </c>
      <c r="N352" s="564" t="s">
        <v>1073</v>
      </c>
      <c r="O352" s="564" t="s">
        <v>1207</v>
      </c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spans="1:26" ht="13">
      <c r="A353" s="562" t="s">
        <v>1935</v>
      </c>
      <c r="B353" s="563" t="s">
        <v>1936</v>
      </c>
      <c r="C353" s="564" t="s">
        <v>1204</v>
      </c>
      <c r="D353" s="565">
        <v>39934</v>
      </c>
      <c r="E353" s="565">
        <v>41759</v>
      </c>
      <c r="F353" s="566">
        <v>9630000</v>
      </c>
      <c r="G353" s="564" t="s">
        <v>754</v>
      </c>
      <c r="H353" s="564" t="s">
        <v>754</v>
      </c>
      <c r="I353" s="564" t="s">
        <v>1937</v>
      </c>
      <c r="J353" s="564" t="s">
        <v>1069</v>
      </c>
      <c r="K353" s="564" t="s">
        <v>1205</v>
      </c>
      <c r="L353" s="564" t="s">
        <v>1189</v>
      </c>
      <c r="M353" s="564" t="s">
        <v>1206</v>
      </c>
      <c r="N353" s="564" t="s">
        <v>1073</v>
      </c>
      <c r="O353" s="564" t="s">
        <v>1207</v>
      </c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spans="1:26" ht="13">
      <c r="A354" s="562" t="s">
        <v>1938</v>
      </c>
      <c r="B354" s="563" t="s">
        <v>1939</v>
      </c>
      <c r="C354" s="564" t="s">
        <v>1940</v>
      </c>
      <c r="D354" s="565">
        <v>41640</v>
      </c>
      <c r="E354" s="565">
        <v>42004</v>
      </c>
      <c r="F354" s="566">
        <v>432000000</v>
      </c>
      <c r="G354" s="564" t="s">
        <v>1941</v>
      </c>
      <c r="H354" s="564" t="s">
        <v>1942</v>
      </c>
      <c r="I354" s="564" t="s">
        <v>1821</v>
      </c>
      <c r="J354" s="564" t="s">
        <v>1069</v>
      </c>
      <c r="K354" s="564" t="s">
        <v>1120</v>
      </c>
      <c r="L354" s="564" t="s">
        <v>1189</v>
      </c>
      <c r="M354" s="564" t="s">
        <v>1189</v>
      </c>
      <c r="N354" s="564" t="s">
        <v>1073</v>
      </c>
      <c r="O354" s="564" t="s">
        <v>1190</v>
      </c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spans="1:26" ht="13">
      <c r="A355" s="562" t="s">
        <v>238</v>
      </c>
      <c r="B355" s="563" t="s">
        <v>1943</v>
      </c>
      <c r="C355" s="564" t="s">
        <v>1088</v>
      </c>
      <c r="D355" s="565">
        <v>45017</v>
      </c>
      <c r="E355" s="565">
        <v>46112</v>
      </c>
      <c r="F355" s="566">
        <v>30427200</v>
      </c>
      <c r="G355" s="564" t="s">
        <v>1164</v>
      </c>
      <c r="H355" s="564" t="s">
        <v>1097</v>
      </c>
      <c r="I355" s="564" t="s">
        <v>1230</v>
      </c>
      <c r="J355" s="564" t="s">
        <v>1079</v>
      </c>
      <c r="K355" s="564" t="s">
        <v>1090</v>
      </c>
      <c r="L355" s="564" t="s">
        <v>1071</v>
      </c>
      <c r="M355" s="564" t="s">
        <v>1124</v>
      </c>
      <c r="N355" s="564" t="s">
        <v>1073</v>
      </c>
      <c r="O355" s="564" t="s">
        <v>197</v>
      </c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spans="1:26" ht="13">
      <c r="A356" s="562" t="s">
        <v>1944</v>
      </c>
      <c r="B356" s="563" t="s">
        <v>1945</v>
      </c>
      <c r="C356" s="564" t="s">
        <v>1204</v>
      </c>
      <c r="D356" s="565">
        <v>41760</v>
      </c>
      <c r="E356" s="565">
        <v>43585</v>
      </c>
      <c r="F356" s="566">
        <v>15000000</v>
      </c>
      <c r="G356" s="564" t="s">
        <v>754</v>
      </c>
      <c r="H356" s="564" t="s">
        <v>754</v>
      </c>
      <c r="I356" s="564" t="s">
        <v>1068</v>
      </c>
      <c r="J356" s="564" t="s">
        <v>1069</v>
      </c>
      <c r="K356" s="564" t="s">
        <v>1070</v>
      </c>
      <c r="L356" s="564" t="s">
        <v>1189</v>
      </c>
      <c r="M356" s="564" t="s">
        <v>1206</v>
      </c>
      <c r="N356" s="564" t="s">
        <v>1073</v>
      </c>
      <c r="O356" s="564" t="s">
        <v>1207</v>
      </c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spans="1:26" ht="13">
      <c r="A357" s="562" t="s">
        <v>1946</v>
      </c>
      <c r="B357" s="563" t="s">
        <v>1947</v>
      </c>
      <c r="C357" s="564" t="s">
        <v>1854</v>
      </c>
      <c r="D357" s="565">
        <v>40360</v>
      </c>
      <c r="E357" s="565">
        <v>40724</v>
      </c>
      <c r="F357" s="566"/>
      <c r="G357" s="564" t="s">
        <v>1855</v>
      </c>
      <c r="H357" s="564" t="s">
        <v>1942</v>
      </c>
      <c r="I357" s="564" t="s">
        <v>45</v>
      </c>
      <c r="J357" s="564" t="s">
        <v>1069</v>
      </c>
      <c r="K357" s="564" t="s">
        <v>1090</v>
      </c>
      <c r="L357" s="564" t="s">
        <v>1189</v>
      </c>
      <c r="M357" s="564" t="s">
        <v>1189</v>
      </c>
      <c r="N357" s="564" t="s">
        <v>45</v>
      </c>
      <c r="O357" s="564" t="s">
        <v>1190</v>
      </c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spans="1:26" ht="13">
      <c r="A358" s="562" t="s">
        <v>1948</v>
      </c>
      <c r="B358" s="563" t="s">
        <v>1949</v>
      </c>
      <c r="C358" s="564" t="s">
        <v>1088</v>
      </c>
      <c r="D358" s="565">
        <v>39904</v>
      </c>
      <c r="E358" s="565">
        <v>45657</v>
      </c>
      <c r="F358" s="566"/>
      <c r="G358" s="564" t="s">
        <v>1604</v>
      </c>
      <c r="H358" s="564" t="s">
        <v>1604</v>
      </c>
      <c r="I358" s="564" t="s">
        <v>257</v>
      </c>
      <c r="J358" s="564" t="s">
        <v>1079</v>
      </c>
      <c r="K358" s="564" t="s">
        <v>1209</v>
      </c>
      <c r="L358" s="564" t="s">
        <v>1071</v>
      </c>
      <c r="M358" s="564" t="s">
        <v>1124</v>
      </c>
      <c r="N358" s="564" t="s">
        <v>257</v>
      </c>
      <c r="O358" s="564" t="s">
        <v>241</v>
      </c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spans="1:26" ht="13">
      <c r="A359" s="562" t="s">
        <v>1950</v>
      </c>
      <c r="B359" s="563" t="s">
        <v>1951</v>
      </c>
      <c r="C359" s="564" t="s">
        <v>1088</v>
      </c>
      <c r="D359" s="565">
        <v>39904</v>
      </c>
      <c r="E359" s="565">
        <v>45657</v>
      </c>
      <c r="F359" s="566">
        <v>4800000</v>
      </c>
      <c r="G359" s="564" t="s">
        <v>1604</v>
      </c>
      <c r="H359" s="564" t="s">
        <v>1604</v>
      </c>
      <c r="I359" s="564" t="s">
        <v>225</v>
      </c>
      <c r="J359" s="564" t="s">
        <v>1079</v>
      </c>
      <c r="K359" s="564" t="s">
        <v>1105</v>
      </c>
      <c r="L359" s="564" t="s">
        <v>1071</v>
      </c>
      <c r="M359" s="564" t="s">
        <v>1124</v>
      </c>
      <c r="N359" s="564" t="s">
        <v>225</v>
      </c>
      <c r="O359" s="564" t="s">
        <v>241</v>
      </c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spans="1:26" ht="13">
      <c r="A360" s="562" t="s">
        <v>964</v>
      </c>
      <c r="B360" s="563" t="s">
        <v>1952</v>
      </c>
      <c r="C360" s="564" t="s">
        <v>1088</v>
      </c>
      <c r="D360" s="565">
        <v>42917</v>
      </c>
      <c r="E360" s="565">
        <v>45657</v>
      </c>
      <c r="F360" s="566">
        <v>17912000</v>
      </c>
      <c r="G360" s="564" t="s">
        <v>1604</v>
      </c>
      <c r="H360" s="564" t="s">
        <v>1604</v>
      </c>
      <c r="I360" s="564" t="s">
        <v>64</v>
      </c>
      <c r="J360" s="564" t="s">
        <v>1079</v>
      </c>
      <c r="K360" s="564" t="s">
        <v>1090</v>
      </c>
      <c r="L360" s="564" t="s">
        <v>1071</v>
      </c>
      <c r="M360" s="564" t="s">
        <v>1124</v>
      </c>
      <c r="N360" s="564" t="s">
        <v>64</v>
      </c>
      <c r="O360" s="564" t="s">
        <v>241</v>
      </c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spans="1:26" ht="13">
      <c r="A361" s="562" t="s">
        <v>1953</v>
      </c>
      <c r="B361" s="563" t="s">
        <v>1954</v>
      </c>
      <c r="C361" s="564" t="s">
        <v>1255</v>
      </c>
      <c r="D361" s="565">
        <v>39904</v>
      </c>
      <c r="E361" s="565">
        <v>43100</v>
      </c>
      <c r="F361" s="566">
        <v>12000000</v>
      </c>
      <c r="G361" s="564" t="s">
        <v>1604</v>
      </c>
      <c r="H361" s="564" t="s">
        <v>1604</v>
      </c>
      <c r="I361" s="564" t="s">
        <v>45</v>
      </c>
      <c r="J361" s="564" t="s">
        <v>1069</v>
      </c>
      <c r="K361" s="564" t="s">
        <v>1090</v>
      </c>
      <c r="L361" s="564" t="s">
        <v>1071</v>
      </c>
      <c r="M361" s="564" t="s">
        <v>1124</v>
      </c>
      <c r="N361" s="564" t="s">
        <v>45</v>
      </c>
      <c r="O361" s="564" t="s">
        <v>241</v>
      </c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spans="1:26" ht="13">
      <c r="A362" s="562" t="s">
        <v>1955</v>
      </c>
      <c r="B362" s="563" t="s">
        <v>1956</v>
      </c>
      <c r="C362" s="564" t="s">
        <v>1255</v>
      </c>
      <c r="D362" s="565">
        <v>39882</v>
      </c>
      <c r="E362" s="565">
        <v>40977</v>
      </c>
      <c r="F362" s="566">
        <v>686528100</v>
      </c>
      <c r="G362" s="564" t="s">
        <v>1442</v>
      </c>
      <c r="H362" s="564" t="s">
        <v>297</v>
      </c>
      <c r="I362" s="564" t="s">
        <v>1826</v>
      </c>
      <c r="J362" s="564" t="s">
        <v>1069</v>
      </c>
      <c r="K362" s="564" t="s">
        <v>1070</v>
      </c>
      <c r="L362" s="564" t="s">
        <v>1071</v>
      </c>
      <c r="M362" s="564" t="s">
        <v>1124</v>
      </c>
      <c r="N362" s="564" t="s">
        <v>1082</v>
      </c>
      <c r="O362" s="564" t="s">
        <v>241</v>
      </c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spans="1:26" ht="13">
      <c r="A363" s="562" t="s">
        <v>1957</v>
      </c>
      <c r="B363" s="563" t="s">
        <v>1958</v>
      </c>
      <c r="C363" s="564" t="s">
        <v>1255</v>
      </c>
      <c r="D363" s="565">
        <v>39882</v>
      </c>
      <c r="E363" s="565">
        <v>42438</v>
      </c>
      <c r="F363" s="566">
        <v>9821832512</v>
      </c>
      <c r="G363" s="564" t="s">
        <v>1442</v>
      </c>
      <c r="H363" s="564" t="s">
        <v>1636</v>
      </c>
      <c r="I363" s="564" t="s">
        <v>1826</v>
      </c>
      <c r="J363" s="564" t="s">
        <v>1069</v>
      </c>
      <c r="K363" s="564" t="s">
        <v>1070</v>
      </c>
      <c r="L363" s="564" t="s">
        <v>1071</v>
      </c>
      <c r="M363" s="564" t="s">
        <v>1091</v>
      </c>
      <c r="N363" s="564" t="s">
        <v>1082</v>
      </c>
      <c r="O363" s="564" t="s">
        <v>1092</v>
      </c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spans="1:26" ht="13">
      <c r="A364" s="562" t="s">
        <v>1959</v>
      </c>
      <c r="B364" s="563" t="s">
        <v>1960</v>
      </c>
      <c r="C364" s="564" t="s">
        <v>1255</v>
      </c>
      <c r="D364" s="565">
        <v>39814</v>
      </c>
      <c r="E364" s="565">
        <v>42369</v>
      </c>
      <c r="F364" s="566">
        <v>122754000</v>
      </c>
      <c r="G364" s="564" t="s">
        <v>1961</v>
      </c>
      <c r="H364" s="564" t="s">
        <v>1157</v>
      </c>
      <c r="I364" s="564" t="s">
        <v>1821</v>
      </c>
      <c r="J364" s="564" t="s">
        <v>1069</v>
      </c>
      <c r="K364" s="564" t="s">
        <v>1120</v>
      </c>
      <c r="L364" s="564" t="s">
        <v>1071</v>
      </c>
      <c r="M364" s="564" t="s">
        <v>1124</v>
      </c>
      <c r="N364" s="564" t="s">
        <v>1073</v>
      </c>
      <c r="O364" s="564" t="s">
        <v>197</v>
      </c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spans="1:26" ht="13">
      <c r="A365" s="562" t="s">
        <v>1962</v>
      </c>
      <c r="B365" s="563" t="s">
        <v>1963</v>
      </c>
      <c r="C365" s="564" t="s">
        <v>1066</v>
      </c>
      <c r="D365" s="565">
        <v>39814</v>
      </c>
      <c r="E365" s="565">
        <v>40178</v>
      </c>
      <c r="F365" s="566">
        <v>50154000</v>
      </c>
      <c r="G365" s="564" t="s">
        <v>1067</v>
      </c>
      <c r="H365" s="564" t="s">
        <v>1067</v>
      </c>
      <c r="I365" s="564" t="s">
        <v>1821</v>
      </c>
      <c r="J365" s="564" t="s">
        <v>1069</v>
      </c>
      <c r="K365" s="564" t="s">
        <v>1120</v>
      </c>
      <c r="L365" s="564" t="s">
        <v>1071</v>
      </c>
      <c r="M365" s="564" t="s">
        <v>1072</v>
      </c>
      <c r="N365" s="564" t="s">
        <v>1073</v>
      </c>
      <c r="O365" s="564" t="s">
        <v>1331</v>
      </c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spans="1:26" ht="13">
      <c r="A366" s="562" t="s">
        <v>1964</v>
      </c>
      <c r="B366" s="563" t="s">
        <v>1965</v>
      </c>
      <c r="C366" s="564" t="s">
        <v>1255</v>
      </c>
      <c r="D366" s="565">
        <v>39814</v>
      </c>
      <c r="E366" s="565">
        <v>41274</v>
      </c>
      <c r="F366" s="566">
        <v>1200000</v>
      </c>
      <c r="G366" s="564" t="s">
        <v>1604</v>
      </c>
      <c r="H366" s="564" t="s">
        <v>1604</v>
      </c>
      <c r="I366" s="564" t="s">
        <v>1966</v>
      </c>
      <c r="J366" s="564" t="s">
        <v>1069</v>
      </c>
      <c r="K366" s="564" t="s">
        <v>1070</v>
      </c>
      <c r="L366" s="564" t="s">
        <v>1071</v>
      </c>
      <c r="M366" s="564" t="s">
        <v>1124</v>
      </c>
      <c r="N366" s="564" t="s">
        <v>1082</v>
      </c>
      <c r="O366" s="564" t="s">
        <v>241</v>
      </c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spans="1:26" ht="13">
      <c r="A367" s="562" t="s">
        <v>1967</v>
      </c>
      <c r="B367" s="563" t="s">
        <v>1968</v>
      </c>
      <c r="C367" s="564" t="s">
        <v>1186</v>
      </c>
      <c r="D367" s="565">
        <v>43282</v>
      </c>
      <c r="E367" s="565">
        <v>43646</v>
      </c>
      <c r="F367" s="566">
        <v>964410000</v>
      </c>
      <c r="G367" s="564" t="s">
        <v>1969</v>
      </c>
      <c r="H367" s="564" t="s">
        <v>1969</v>
      </c>
      <c r="I367" s="564" t="s">
        <v>45</v>
      </c>
      <c r="J367" s="564" t="s">
        <v>1069</v>
      </c>
      <c r="K367" s="564" t="s">
        <v>1090</v>
      </c>
      <c r="L367" s="564" t="s">
        <v>1189</v>
      </c>
      <c r="M367" s="564" t="s">
        <v>249</v>
      </c>
      <c r="N367" s="564" t="s">
        <v>45</v>
      </c>
      <c r="O367" s="564" t="s">
        <v>249</v>
      </c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spans="1:26" ht="13">
      <c r="A368" s="562" t="s">
        <v>1970</v>
      </c>
      <c r="B368" s="563" t="s">
        <v>1971</v>
      </c>
      <c r="C368" s="564" t="s">
        <v>1271</v>
      </c>
      <c r="D368" s="565">
        <v>44743</v>
      </c>
      <c r="E368" s="565">
        <v>48395</v>
      </c>
      <c r="F368" s="566">
        <v>64800000</v>
      </c>
      <c r="G368" s="564" t="s">
        <v>1312</v>
      </c>
      <c r="H368" s="564" t="s">
        <v>1273</v>
      </c>
      <c r="I368" s="564" t="s">
        <v>257</v>
      </c>
      <c r="J368" s="564" t="s">
        <v>1079</v>
      </c>
      <c r="K368" s="564" t="s">
        <v>1209</v>
      </c>
      <c r="L368" s="564" t="s">
        <v>1071</v>
      </c>
      <c r="M368" s="564" t="s">
        <v>1124</v>
      </c>
      <c r="N368" s="564" t="s">
        <v>257</v>
      </c>
      <c r="O368" s="564" t="s">
        <v>1274</v>
      </c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spans="1:26" ht="13">
      <c r="A369" s="562" t="s">
        <v>1972</v>
      </c>
      <c r="B369" s="563" t="s">
        <v>1973</v>
      </c>
      <c r="C369" s="564" t="s">
        <v>1271</v>
      </c>
      <c r="D369" s="565">
        <v>42370</v>
      </c>
      <c r="E369" s="565">
        <v>45565</v>
      </c>
      <c r="F369" s="566">
        <v>84240000</v>
      </c>
      <c r="G369" s="564" t="s">
        <v>1312</v>
      </c>
      <c r="H369" s="564" t="s">
        <v>1273</v>
      </c>
      <c r="I369" s="564" t="s">
        <v>45</v>
      </c>
      <c r="J369" s="564" t="s">
        <v>1079</v>
      </c>
      <c r="K369" s="564" t="s">
        <v>1090</v>
      </c>
      <c r="L369" s="564" t="s">
        <v>1071</v>
      </c>
      <c r="M369" s="564" t="s">
        <v>1124</v>
      </c>
      <c r="N369" s="564" t="s">
        <v>45</v>
      </c>
      <c r="O369" s="564" t="s">
        <v>1425</v>
      </c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spans="1:26" ht="13">
      <c r="A370" s="562" t="s">
        <v>1974</v>
      </c>
      <c r="B370" s="563" t="s">
        <v>1975</v>
      </c>
      <c r="C370" s="564" t="s">
        <v>1204</v>
      </c>
      <c r="D370" s="565">
        <v>37803</v>
      </c>
      <c r="E370" s="565">
        <v>41274</v>
      </c>
      <c r="F370" s="566">
        <v>2400000</v>
      </c>
      <c r="G370" s="564" t="s">
        <v>1067</v>
      </c>
      <c r="H370" s="564" t="s">
        <v>754</v>
      </c>
      <c r="I370" s="564" t="s">
        <v>1966</v>
      </c>
      <c r="J370" s="564" t="s">
        <v>1069</v>
      </c>
      <c r="K370" s="564" t="s">
        <v>1070</v>
      </c>
      <c r="L370" s="564" t="s">
        <v>1071</v>
      </c>
      <c r="M370" s="564" t="s">
        <v>1091</v>
      </c>
      <c r="N370" s="564" t="s">
        <v>1082</v>
      </c>
      <c r="O370" s="564" t="s">
        <v>241</v>
      </c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spans="1:26" ht="13">
      <c r="A371" s="562" t="s">
        <v>99</v>
      </c>
      <c r="B371" s="563" t="s">
        <v>1976</v>
      </c>
      <c r="C371" s="564" t="s">
        <v>1076</v>
      </c>
      <c r="D371" s="565">
        <v>45292</v>
      </c>
      <c r="E371" s="565">
        <v>45657</v>
      </c>
      <c r="F371" s="566">
        <v>318174000</v>
      </c>
      <c r="G371" s="564" t="s">
        <v>1420</v>
      </c>
      <c r="H371" s="564" t="s">
        <v>1025</v>
      </c>
      <c r="I371" s="564" t="s">
        <v>45</v>
      </c>
      <c r="J371" s="564" t="s">
        <v>1079</v>
      </c>
      <c r="K371" s="564" t="s">
        <v>1090</v>
      </c>
      <c r="L371" s="564" t="s">
        <v>1189</v>
      </c>
      <c r="M371" s="564" t="s">
        <v>1206</v>
      </c>
      <c r="N371" s="564" t="s">
        <v>45</v>
      </c>
      <c r="O371" s="564" t="s">
        <v>1207</v>
      </c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spans="1:26" ht="13">
      <c r="A372" s="562" t="s">
        <v>1977</v>
      </c>
      <c r="B372" s="563" t="s">
        <v>1978</v>
      </c>
      <c r="C372" s="564" t="s">
        <v>1076</v>
      </c>
      <c r="D372" s="565">
        <v>45292</v>
      </c>
      <c r="E372" s="565">
        <v>45657</v>
      </c>
      <c r="F372" s="566">
        <v>99867508</v>
      </c>
      <c r="G372" s="564" t="s">
        <v>1297</v>
      </c>
      <c r="H372" s="564" t="s">
        <v>1297</v>
      </c>
      <c r="I372" s="564" t="s">
        <v>70</v>
      </c>
      <c r="J372" s="564" t="s">
        <v>1079</v>
      </c>
      <c r="K372" s="564" t="s">
        <v>1120</v>
      </c>
      <c r="L372" s="564" t="s">
        <v>1071</v>
      </c>
      <c r="M372" s="564" t="s">
        <v>1072</v>
      </c>
      <c r="N372" s="564" t="s">
        <v>70</v>
      </c>
      <c r="O372" s="564" t="s">
        <v>1176</v>
      </c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spans="1:26" ht="13">
      <c r="A373" s="562" t="s">
        <v>1979</v>
      </c>
      <c r="B373" s="563" t="s">
        <v>1980</v>
      </c>
      <c r="C373" s="564" t="s">
        <v>1076</v>
      </c>
      <c r="D373" s="565">
        <v>44562</v>
      </c>
      <c r="E373" s="565">
        <v>44926</v>
      </c>
      <c r="F373" s="566">
        <v>1285196400</v>
      </c>
      <c r="G373" s="564" t="s">
        <v>1297</v>
      </c>
      <c r="H373" s="564" t="s">
        <v>1025</v>
      </c>
      <c r="I373" s="564" t="s">
        <v>170</v>
      </c>
      <c r="J373" s="564" t="s">
        <v>1079</v>
      </c>
      <c r="K373" s="564" t="s">
        <v>1105</v>
      </c>
      <c r="L373" s="564" t="s">
        <v>1071</v>
      </c>
      <c r="M373" s="564" t="s">
        <v>1072</v>
      </c>
      <c r="N373" s="564" t="s">
        <v>170</v>
      </c>
      <c r="O373" s="564" t="s">
        <v>1176</v>
      </c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spans="1:26" ht="13">
      <c r="A374" s="562" t="s">
        <v>1981</v>
      </c>
      <c r="B374" s="563" t="s">
        <v>1982</v>
      </c>
      <c r="C374" s="564" t="s">
        <v>1076</v>
      </c>
      <c r="D374" s="565">
        <v>44317</v>
      </c>
      <c r="E374" s="565">
        <v>45412</v>
      </c>
      <c r="F374" s="566">
        <v>753701040</v>
      </c>
      <c r="G374" s="564" t="s">
        <v>1297</v>
      </c>
      <c r="H374" s="564" t="s">
        <v>1157</v>
      </c>
      <c r="I374" s="564" t="s">
        <v>225</v>
      </c>
      <c r="J374" s="564" t="s">
        <v>1079</v>
      </c>
      <c r="K374" s="564" t="s">
        <v>1105</v>
      </c>
      <c r="L374" s="564" t="s">
        <v>1071</v>
      </c>
      <c r="M374" s="564" t="s">
        <v>1072</v>
      </c>
      <c r="N374" s="564" t="s">
        <v>225</v>
      </c>
      <c r="O374" s="564" t="s">
        <v>1176</v>
      </c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spans="1:26" ht="13">
      <c r="A375" s="562" t="s">
        <v>1983</v>
      </c>
      <c r="B375" s="563" t="s">
        <v>1984</v>
      </c>
      <c r="C375" s="564" t="s">
        <v>1076</v>
      </c>
      <c r="D375" s="565">
        <v>44743</v>
      </c>
      <c r="E375" s="565">
        <v>45838</v>
      </c>
      <c r="F375" s="566">
        <v>93984840</v>
      </c>
      <c r="G375" s="564" t="s">
        <v>1297</v>
      </c>
      <c r="H375" s="564" t="s">
        <v>1025</v>
      </c>
      <c r="I375" s="564" t="s">
        <v>257</v>
      </c>
      <c r="J375" s="564" t="s">
        <v>1069</v>
      </c>
      <c r="K375" s="564" t="s">
        <v>1209</v>
      </c>
      <c r="L375" s="564" t="s">
        <v>1071</v>
      </c>
      <c r="M375" s="564" t="s">
        <v>1072</v>
      </c>
      <c r="N375" s="564" t="s">
        <v>257</v>
      </c>
      <c r="O375" s="564" t="s">
        <v>1331</v>
      </c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spans="1:26" ht="13">
      <c r="A376" s="562" t="s">
        <v>262</v>
      </c>
      <c r="B376" s="563" t="s">
        <v>1985</v>
      </c>
      <c r="C376" s="564" t="s">
        <v>1076</v>
      </c>
      <c r="D376" s="565">
        <v>44682</v>
      </c>
      <c r="E376" s="565">
        <v>46507</v>
      </c>
      <c r="F376" s="566">
        <v>577200000</v>
      </c>
      <c r="G376" s="564" t="s">
        <v>1297</v>
      </c>
      <c r="H376" s="564" t="s">
        <v>1025</v>
      </c>
      <c r="I376" s="564" t="s">
        <v>257</v>
      </c>
      <c r="J376" s="564" t="s">
        <v>1079</v>
      </c>
      <c r="K376" s="564" t="s">
        <v>1209</v>
      </c>
      <c r="L376" s="564" t="s">
        <v>1071</v>
      </c>
      <c r="M376" s="564" t="s">
        <v>1072</v>
      </c>
      <c r="N376" s="564" t="s">
        <v>257</v>
      </c>
      <c r="O376" s="564" t="s">
        <v>1176</v>
      </c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 spans="1:26" ht="13">
      <c r="A377" s="562" t="s">
        <v>1986</v>
      </c>
      <c r="B377" s="563" t="s">
        <v>1987</v>
      </c>
      <c r="C377" s="564" t="s">
        <v>1066</v>
      </c>
      <c r="D377" s="565">
        <v>40179</v>
      </c>
      <c r="E377" s="565">
        <v>42004</v>
      </c>
      <c r="F377" s="566">
        <v>237084000</v>
      </c>
      <c r="G377" s="564" t="s">
        <v>1297</v>
      </c>
      <c r="H377" s="564" t="s">
        <v>1067</v>
      </c>
      <c r="I377" s="564" t="s">
        <v>170</v>
      </c>
      <c r="J377" s="564" t="s">
        <v>1069</v>
      </c>
      <c r="K377" s="564" t="s">
        <v>1105</v>
      </c>
      <c r="L377" s="564" t="s">
        <v>1071</v>
      </c>
      <c r="M377" s="564" t="s">
        <v>1072</v>
      </c>
      <c r="N377" s="564" t="s">
        <v>170</v>
      </c>
      <c r="O377" s="564" t="s">
        <v>1331</v>
      </c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spans="1:26" ht="13">
      <c r="A378" s="562" t="s">
        <v>1988</v>
      </c>
      <c r="B378" s="563" t="s">
        <v>1989</v>
      </c>
      <c r="C378" s="564" t="s">
        <v>1076</v>
      </c>
      <c r="D378" s="565">
        <v>44835</v>
      </c>
      <c r="E378" s="565">
        <v>45199</v>
      </c>
      <c r="F378" s="566">
        <v>1200000</v>
      </c>
      <c r="G378" s="564" t="s">
        <v>1297</v>
      </c>
      <c r="H378" s="564" t="s">
        <v>1025</v>
      </c>
      <c r="I378" s="564" t="s">
        <v>1798</v>
      </c>
      <c r="J378" s="564" t="s">
        <v>1079</v>
      </c>
      <c r="K378" s="564" t="s">
        <v>1070</v>
      </c>
      <c r="L378" s="564" t="s">
        <v>1071</v>
      </c>
      <c r="M378" s="564" t="s">
        <v>1072</v>
      </c>
      <c r="N378" s="564" t="s">
        <v>1073</v>
      </c>
      <c r="O378" s="564" t="s">
        <v>1331</v>
      </c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 spans="1:26" ht="13">
      <c r="A379" s="562" t="s">
        <v>1990</v>
      </c>
      <c r="B379" s="563" t="s">
        <v>1991</v>
      </c>
      <c r="C379" s="564" t="s">
        <v>1066</v>
      </c>
      <c r="D379" s="565">
        <v>42370</v>
      </c>
      <c r="E379" s="565">
        <v>42735</v>
      </c>
      <c r="F379" s="566">
        <v>45120000</v>
      </c>
      <c r="G379" s="564" t="s">
        <v>1297</v>
      </c>
      <c r="H379" s="564" t="s">
        <v>1874</v>
      </c>
      <c r="I379" s="564" t="s">
        <v>121</v>
      </c>
      <c r="J379" s="564" t="s">
        <v>1069</v>
      </c>
      <c r="K379" s="564" t="s">
        <v>1105</v>
      </c>
      <c r="L379" s="564" t="s">
        <v>1071</v>
      </c>
      <c r="M379" s="564" t="s">
        <v>1072</v>
      </c>
      <c r="N379" s="564" t="s">
        <v>1073</v>
      </c>
      <c r="O379" s="564" t="s">
        <v>1331</v>
      </c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spans="1:26" ht="13">
      <c r="A380" s="562" t="s">
        <v>264</v>
      </c>
      <c r="B380" s="563" t="s">
        <v>1992</v>
      </c>
      <c r="C380" s="564" t="s">
        <v>1088</v>
      </c>
      <c r="D380" s="565">
        <v>44743</v>
      </c>
      <c r="E380" s="565">
        <v>45838</v>
      </c>
      <c r="F380" s="566">
        <v>20635200</v>
      </c>
      <c r="G380" s="564" t="s">
        <v>1784</v>
      </c>
      <c r="H380" s="564" t="s">
        <v>1784</v>
      </c>
      <c r="I380" s="564" t="s">
        <v>257</v>
      </c>
      <c r="J380" s="564" t="s">
        <v>1079</v>
      </c>
      <c r="K380" s="564" t="s">
        <v>1209</v>
      </c>
      <c r="L380" s="564" t="s">
        <v>1071</v>
      </c>
      <c r="M380" s="564" t="s">
        <v>1124</v>
      </c>
      <c r="N380" s="564" t="s">
        <v>257</v>
      </c>
      <c r="O380" s="564" t="s">
        <v>241</v>
      </c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 spans="1:26" ht="13">
      <c r="A381" s="562" t="s">
        <v>263</v>
      </c>
      <c r="B381" s="563" t="s">
        <v>1993</v>
      </c>
      <c r="C381" s="564" t="s">
        <v>1088</v>
      </c>
      <c r="D381" s="565">
        <v>44743</v>
      </c>
      <c r="E381" s="565">
        <v>45838</v>
      </c>
      <c r="F381" s="566">
        <v>809818000</v>
      </c>
      <c r="G381" s="564" t="s">
        <v>1211</v>
      </c>
      <c r="H381" s="564" t="s">
        <v>1211</v>
      </c>
      <c r="I381" s="564" t="s">
        <v>257</v>
      </c>
      <c r="J381" s="564" t="s">
        <v>1079</v>
      </c>
      <c r="K381" s="564" t="s">
        <v>1209</v>
      </c>
      <c r="L381" s="564" t="s">
        <v>1071</v>
      </c>
      <c r="M381" s="564" t="s">
        <v>1124</v>
      </c>
      <c r="N381" s="564" t="s">
        <v>257</v>
      </c>
      <c r="O381" s="564" t="s">
        <v>197</v>
      </c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spans="1:26" ht="13">
      <c r="A382" s="562" t="s">
        <v>1994</v>
      </c>
      <c r="B382" s="563" t="s">
        <v>1995</v>
      </c>
      <c r="C382" s="564" t="s">
        <v>1370</v>
      </c>
      <c r="D382" s="565">
        <v>45292</v>
      </c>
      <c r="E382" s="565">
        <v>45657</v>
      </c>
      <c r="F382" s="566">
        <v>3036312000</v>
      </c>
      <c r="G382" s="564" t="s">
        <v>1996</v>
      </c>
      <c r="H382" s="564" t="s">
        <v>1996</v>
      </c>
      <c r="I382" s="564" t="s">
        <v>802</v>
      </c>
      <c r="J382" s="564" t="s">
        <v>1079</v>
      </c>
      <c r="K382" s="564" t="s">
        <v>1198</v>
      </c>
      <c r="L382" s="564" t="s">
        <v>1189</v>
      </c>
      <c r="M382" s="564" t="s">
        <v>1189</v>
      </c>
      <c r="N382" s="564" t="s">
        <v>132</v>
      </c>
      <c r="O382" s="564" t="s">
        <v>1190</v>
      </c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 spans="1:26" ht="13">
      <c r="A383" s="562" t="s">
        <v>1997</v>
      </c>
      <c r="B383" s="563" t="s">
        <v>1998</v>
      </c>
      <c r="C383" s="564" t="s">
        <v>1455</v>
      </c>
      <c r="D383" s="565">
        <v>45292</v>
      </c>
      <c r="E383" s="565">
        <v>45657</v>
      </c>
      <c r="F383" s="566">
        <v>5115924740</v>
      </c>
      <c r="G383" s="564" t="s">
        <v>1999</v>
      </c>
      <c r="H383" s="564" t="s">
        <v>1999</v>
      </c>
      <c r="I383" s="564" t="s">
        <v>170</v>
      </c>
      <c r="J383" s="564" t="s">
        <v>1079</v>
      </c>
      <c r="K383" s="564" t="s">
        <v>1105</v>
      </c>
      <c r="L383" s="564" t="s">
        <v>1189</v>
      </c>
      <c r="M383" s="564" t="s">
        <v>1189</v>
      </c>
      <c r="N383" s="564" t="s">
        <v>170</v>
      </c>
      <c r="O383" s="564" t="s">
        <v>1190</v>
      </c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spans="1:26" ht="13">
      <c r="A384" s="562" t="s">
        <v>2000</v>
      </c>
      <c r="B384" s="563" t="s">
        <v>2001</v>
      </c>
      <c r="C384" s="564" t="s">
        <v>1088</v>
      </c>
      <c r="D384" s="565">
        <v>44470</v>
      </c>
      <c r="E384" s="565">
        <v>44500</v>
      </c>
      <c r="F384" s="566">
        <v>3950000</v>
      </c>
      <c r="G384" s="564" t="s">
        <v>1780</v>
      </c>
      <c r="H384" s="564" t="s">
        <v>297</v>
      </c>
      <c r="I384" s="564" t="s">
        <v>1781</v>
      </c>
      <c r="J384" s="564" t="s">
        <v>1069</v>
      </c>
      <c r="K384" s="564" t="s">
        <v>1070</v>
      </c>
      <c r="L384" s="564" t="s">
        <v>1071</v>
      </c>
      <c r="M384" s="564" t="s">
        <v>1124</v>
      </c>
      <c r="N384" s="564" t="s">
        <v>1073</v>
      </c>
      <c r="O384" s="564" t="s">
        <v>197</v>
      </c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 spans="1:26" ht="13">
      <c r="A385" s="562" t="s">
        <v>2002</v>
      </c>
      <c r="B385" s="563" t="s">
        <v>2003</v>
      </c>
      <c r="C385" s="564" t="s">
        <v>1255</v>
      </c>
      <c r="D385" s="565">
        <v>39814</v>
      </c>
      <c r="E385" s="565">
        <v>42707</v>
      </c>
      <c r="F385" s="566">
        <v>3600000</v>
      </c>
      <c r="G385" s="564" t="s">
        <v>1780</v>
      </c>
      <c r="H385" s="564" t="s">
        <v>1780</v>
      </c>
      <c r="I385" s="564" t="s">
        <v>64</v>
      </c>
      <c r="J385" s="564" t="s">
        <v>1069</v>
      </c>
      <c r="K385" s="564" t="s">
        <v>1090</v>
      </c>
      <c r="L385" s="564" t="s">
        <v>1071</v>
      </c>
      <c r="M385" s="564" t="s">
        <v>1124</v>
      </c>
      <c r="N385" s="564" t="s">
        <v>64</v>
      </c>
      <c r="O385" s="564" t="s">
        <v>2004</v>
      </c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spans="1:26" ht="13">
      <c r="A386" s="562" t="s">
        <v>2005</v>
      </c>
      <c r="B386" s="563" t="s">
        <v>2006</v>
      </c>
      <c r="C386" s="564" t="s">
        <v>1255</v>
      </c>
      <c r="D386" s="565">
        <v>39814</v>
      </c>
      <c r="E386" s="565">
        <v>40908</v>
      </c>
      <c r="F386" s="566">
        <v>2760000</v>
      </c>
      <c r="G386" s="564" t="s">
        <v>1888</v>
      </c>
      <c r="H386" s="564" t="s">
        <v>1780</v>
      </c>
      <c r="I386" s="564" t="s">
        <v>170</v>
      </c>
      <c r="J386" s="564" t="s">
        <v>1069</v>
      </c>
      <c r="K386" s="564" t="s">
        <v>1105</v>
      </c>
      <c r="L386" s="564" t="s">
        <v>1071</v>
      </c>
      <c r="M386" s="564" t="s">
        <v>1124</v>
      </c>
      <c r="N386" s="564" t="s">
        <v>170</v>
      </c>
      <c r="O386" s="564" t="s">
        <v>2004</v>
      </c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 spans="1:26" ht="13">
      <c r="A387" s="562" t="s">
        <v>2007</v>
      </c>
      <c r="B387" s="563" t="s">
        <v>2008</v>
      </c>
      <c r="C387" s="564" t="s">
        <v>1255</v>
      </c>
      <c r="D387" s="565">
        <v>39814</v>
      </c>
      <c r="E387" s="565">
        <v>40543</v>
      </c>
      <c r="F387" s="566">
        <v>6000000</v>
      </c>
      <c r="G387" s="564" t="s">
        <v>1888</v>
      </c>
      <c r="H387" s="564" t="s">
        <v>1780</v>
      </c>
      <c r="I387" s="564" t="s">
        <v>257</v>
      </c>
      <c r="J387" s="564" t="s">
        <v>1069</v>
      </c>
      <c r="K387" s="564" t="s">
        <v>1209</v>
      </c>
      <c r="L387" s="564" t="s">
        <v>1071</v>
      </c>
      <c r="M387" s="564" t="s">
        <v>1124</v>
      </c>
      <c r="N387" s="564" t="s">
        <v>257</v>
      </c>
      <c r="O387" s="564" t="s">
        <v>2004</v>
      </c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spans="1:26" ht="13">
      <c r="A388" s="562" t="s">
        <v>2009</v>
      </c>
      <c r="B388" s="563" t="s">
        <v>2010</v>
      </c>
      <c r="C388" s="564" t="s">
        <v>1088</v>
      </c>
      <c r="D388" s="565">
        <v>45261</v>
      </c>
      <c r="E388" s="565">
        <v>45626</v>
      </c>
      <c r="F388" s="566">
        <v>43176900</v>
      </c>
      <c r="G388" s="564" t="s">
        <v>1375</v>
      </c>
      <c r="H388" s="564" t="s">
        <v>1375</v>
      </c>
      <c r="I388" s="564" t="s">
        <v>1842</v>
      </c>
      <c r="J388" s="564" t="s">
        <v>1079</v>
      </c>
      <c r="K388" s="564" t="s">
        <v>1070</v>
      </c>
      <c r="L388" s="564" t="s">
        <v>1071</v>
      </c>
      <c r="M388" s="564" t="s">
        <v>1124</v>
      </c>
      <c r="N388" s="564" t="s">
        <v>1082</v>
      </c>
      <c r="O388" s="564" t="s">
        <v>2004</v>
      </c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 spans="1:26" ht="13">
      <c r="A389" s="562" t="s">
        <v>2011</v>
      </c>
      <c r="B389" s="563" t="s">
        <v>2012</v>
      </c>
      <c r="C389" s="564" t="s">
        <v>1088</v>
      </c>
      <c r="D389" s="565">
        <v>45200</v>
      </c>
      <c r="E389" s="565">
        <v>45565</v>
      </c>
      <c r="F389" s="566">
        <v>300000000</v>
      </c>
      <c r="G389" s="564" t="s">
        <v>1375</v>
      </c>
      <c r="H389" s="564" t="s">
        <v>1375</v>
      </c>
      <c r="I389" s="564" t="s">
        <v>2013</v>
      </c>
      <c r="J389" s="564" t="s">
        <v>1079</v>
      </c>
      <c r="K389" s="564" t="s">
        <v>1070</v>
      </c>
      <c r="L389" s="564" t="s">
        <v>1071</v>
      </c>
      <c r="M389" s="564" t="s">
        <v>1124</v>
      </c>
      <c r="N389" s="564" t="s">
        <v>1082</v>
      </c>
      <c r="O389" s="564" t="s">
        <v>2004</v>
      </c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spans="1:26" ht="13">
      <c r="A390" s="562" t="s">
        <v>214</v>
      </c>
      <c r="B390" s="563" t="s">
        <v>2014</v>
      </c>
      <c r="C390" s="564" t="s">
        <v>1088</v>
      </c>
      <c r="D390" s="565">
        <v>39814</v>
      </c>
      <c r="E390" s="565">
        <v>45657</v>
      </c>
      <c r="F390" s="566">
        <v>12000000</v>
      </c>
      <c r="G390" s="564" t="s">
        <v>1604</v>
      </c>
      <c r="H390" s="564" t="s">
        <v>1604</v>
      </c>
      <c r="I390" s="564" t="s">
        <v>70</v>
      </c>
      <c r="J390" s="564" t="s">
        <v>1079</v>
      </c>
      <c r="K390" s="564" t="s">
        <v>1120</v>
      </c>
      <c r="L390" s="564" t="s">
        <v>1071</v>
      </c>
      <c r="M390" s="564" t="s">
        <v>1124</v>
      </c>
      <c r="N390" s="564" t="s">
        <v>70</v>
      </c>
      <c r="O390" s="564" t="s">
        <v>241</v>
      </c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 spans="1:26" ht="13">
      <c r="A391" s="562" t="s">
        <v>2015</v>
      </c>
      <c r="B391" s="563" t="s">
        <v>2016</v>
      </c>
      <c r="C391" s="564" t="s">
        <v>1088</v>
      </c>
      <c r="D391" s="565">
        <v>45200</v>
      </c>
      <c r="E391" s="565">
        <v>45565</v>
      </c>
      <c r="F391" s="566">
        <v>720000000</v>
      </c>
      <c r="G391" s="564" t="s">
        <v>1375</v>
      </c>
      <c r="H391" s="564" t="s">
        <v>1375</v>
      </c>
      <c r="I391" s="564" t="s">
        <v>2017</v>
      </c>
      <c r="J391" s="564" t="s">
        <v>1079</v>
      </c>
      <c r="K391" s="564" t="s">
        <v>1070</v>
      </c>
      <c r="L391" s="564" t="s">
        <v>1071</v>
      </c>
      <c r="M391" s="564" t="s">
        <v>1124</v>
      </c>
      <c r="N391" s="564" t="s">
        <v>1082</v>
      </c>
      <c r="O391" s="564" t="s">
        <v>2004</v>
      </c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spans="1:26" ht="13">
      <c r="A392" s="562" t="s">
        <v>165</v>
      </c>
      <c r="B392" s="563" t="s">
        <v>2018</v>
      </c>
      <c r="C392" s="564" t="s">
        <v>1088</v>
      </c>
      <c r="D392" s="565">
        <v>45139</v>
      </c>
      <c r="E392" s="565">
        <v>46234</v>
      </c>
      <c r="F392" s="566">
        <v>2296607736</v>
      </c>
      <c r="G392" s="564" t="s">
        <v>1541</v>
      </c>
      <c r="H392" s="564" t="s">
        <v>1123</v>
      </c>
      <c r="I392" s="564" t="s">
        <v>2019</v>
      </c>
      <c r="J392" s="564" t="s">
        <v>1079</v>
      </c>
      <c r="K392" s="564" t="s">
        <v>1209</v>
      </c>
      <c r="L392" s="564" t="s">
        <v>1071</v>
      </c>
      <c r="M392" s="564" t="s">
        <v>1124</v>
      </c>
      <c r="N392" s="564" t="s">
        <v>1082</v>
      </c>
      <c r="O392" s="564" t="s">
        <v>241</v>
      </c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 spans="1:26" ht="13">
      <c r="A393" s="562" t="s">
        <v>2020</v>
      </c>
      <c r="B393" s="563" t="s">
        <v>2021</v>
      </c>
      <c r="C393" s="564" t="s">
        <v>1255</v>
      </c>
      <c r="D393" s="565">
        <v>39814</v>
      </c>
      <c r="E393" s="565">
        <v>40178</v>
      </c>
      <c r="F393" s="566">
        <v>5520000</v>
      </c>
      <c r="G393" s="564" t="s">
        <v>1516</v>
      </c>
      <c r="H393" s="564" t="s">
        <v>1516</v>
      </c>
      <c r="I393" s="564" t="s">
        <v>2022</v>
      </c>
      <c r="J393" s="564" t="s">
        <v>1069</v>
      </c>
      <c r="K393" s="564" t="s">
        <v>1802</v>
      </c>
      <c r="L393" s="564" t="s">
        <v>1071</v>
      </c>
      <c r="M393" s="564" t="s">
        <v>1124</v>
      </c>
      <c r="N393" s="564" t="s">
        <v>1082</v>
      </c>
      <c r="O393" s="564" t="s">
        <v>197</v>
      </c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spans="1:26" ht="13">
      <c r="A394" s="562" t="s">
        <v>2023</v>
      </c>
      <c r="B394" s="563" t="s">
        <v>2024</v>
      </c>
      <c r="C394" s="564" t="s">
        <v>1255</v>
      </c>
      <c r="D394" s="565">
        <v>39814</v>
      </c>
      <c r="E394" s="565">
        <v>40178</v>
      </c>
      <c r="F394" s="566"/>
      <c r="G394" s="564" t="s">
        <v>1516</v>
      </c>
      <c r="H394" s="564" t="s">
        <v>1516</v>
      </c>
      <c r="I394" s="564" t="s">
        <v>2025</v>
      </c>
      <c r="J394" s="564" t="s">
        <v>1069</v>
      </c>
      <c r="K394" s="564" t="s">
        <v>1802</v>
      </c>
      <c r="L394" s="564" t="s">
        <v>1071</v>
      </c>
      <c r="M394" s="564" t="s">
        <v>1124</v>
      </c>
      <c r="N394" s="564" t="s">
        <v>1082</v>
      </c>
      <c r="O394" s="564" t="s">
        <v>197</v>
      </c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 spans="1:26" ht="13">
      <c r="A395" s="562" t="s">
        <v>2026</v>
      </c>
      <c r="B395" s="563" t="s">
        <v>2027</v>
      </c>
      <c r="C395" s="564" t="s">
        <v>1255</v>
      </c>
      <c r="D395" s="565">
        <v>39814</v>
      </c>
      <c r="E395" s="565">
        <v>41639</v>
      </c>
      <c r="F395" s="566">
        <v>2760000</v>
      </c>
      <c r="G395" s="564" t="s">
        <v>2028</v>
      </c>
      <c r="H395" s="564" t="s">
        <v>1516</v>
      </c>
      <c r="I395" s="564" t="s">
        <v>2029</v>
      </c>
      <c r="J395" s="564" t="s">
        <v>1069</v>
      </c>
      <c r="K395" s="564" t="s">
        <v>1802</v>
      </c>
      <c r="L395" s="564" t="s">
        <v>1071</v>
      </c>
      <c r="M395" s="564" t="s">
        <v>1124</v>
      </c>
      <c r="N395" s="564" t="s">
        <v>1082</v>
      </c>
      <c r="O395" s="564" t="s">
        <v>197</v>
      </c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spans="1:26" ht="13">
      <c r="A396" s="562" t="s">
        <v>2030</v>
      </c>
      <c r="B396" s="563" t="s">
        <v>2031</v>
      </c>
      <c r="C396" s="564" t="s">
        <v>1255</v>
      </c>
      <c r="D396" s="565">
        <v>39814</v>
      </c>
      <c r="E396" s="565">
        <v>40178</v>
      </c>
      <c r="F396" s="566">
        <v>1081530000</v>
      </c>
      <c r="G396" s="564" t="s">
        <v>1604</v>
      </c>
      <c r="H396" s="564" t="s">
        <v>1604</v>
      </c>
      <c r="I396" s="564" t="s">
        <v>1826</v>
      </c>
      <c r="J396" s="564" t="s">
        <v>1069</v>
      </c>
      <c r="K396" s="564" t="s">
        <v>1070</v>
      </c>
      <c r="L396" s="564" t="s">
        <v>1071</v>
      </c>
      <c r="M396" s="564" t="s">
        <v>1091</v>
      </c>
      <c r="N396" s="564" t="s">
        <v>1082</v>
      </c>
      <c r="O396" s="564" t="s">
        <v>241</v>
      </c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spans="1:26" ht="13">
      <c r="A397" s="562" t="s">
        <v>2032</v>
      </c>
      <c r="B397" s="563" t="s">
        <v>2033</v>
      </c>
      <c r="C397" s="564" t="s">
        <v>1255</v>
      </c>
      <c r="D397" s="565">
        <v>39814</v>
      </c>
      <c r="E397" s="565">
        <v>40025</v>
      </c>
      <c r="F397" s="566">
        <v>235800000</v>
      </c>
      <c r="G397" s="564" t="s">
        <v>1604</v>
      </c>
      <c r="H397" s="564" t="s">
        <v>1604</v>
      </c>
      <c r="I397" s="564" t="s">
        <v>70</v>
      </c>
      <c r="J397" s="564" t="s">
        <v>1069</v>
      </c>
      <c r="K397" s="564" t="s">
        <v>1120</v>
      </c>
      <c r="L397" s="564" t="s">
        <v>1071</v>
      </c>
      <c r="M397" s="564" t="s">
        <v>1124</v>
      </c>
      <c r="N397" s="564" t="s">
        <v>70</v>
      </c>
      <c r="O397" s="564" t="s">
        <v>241</v>
      </c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spans="1:26" ht="13">
      <c r="A398" s="562" t="s">
        <v>2034</v>
      </c>
      <c r="B398" s="563" t="s">
        <v>2035</v>
      </c>
      <c r="C398" s="564" t="s">
        <v>1088</v>
      </c>
      <c r="D398" s="565">
        <v>45292</v>
      </c>
      <c r="E398" s="565">
        <v>45657</v>
      </c>
      <c r="F398" s="566">
        <v>4956000</v>
      </c>
      <c r="G398" s="564" t="s">
        <v>1784</v>
      </c>
      <c r="H398" s="564" t="s">
        <v>1784</v>
      </c>
      <c r="I398" s="564" t="s">
        <v>802</v>
      </c>
      <c r="J398" s="564" t="s">
        <v>1079</v>
      </c>
      <c r="K398" s="564" t="s">
        <v>1198</v>
      </c>
      <c r="L398" s="564" t="s">
        <v>1071</v>
      </c>
      <c r="M398" s="564" t="s">
        <v>1124</v>
      </c>
      <c r="N398" s="564" t="s">
        <v>132</v>
      </c>
      <c r="O398" s="564" t="s">
        <v>241</v>
      </c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 spans="1:26" ht="13">
      <c r="A399" s="562" t="s">
        <v>2036</v>
      </c>
      <c r="B399" s="563" t="s">
        <v>2037</v>
      </c>
      <c r="C399" s="564" t="s">
        <v>1255</v>
      </c>
      <c r="D399" s="565">
        <v>39814</v>
      </c>
      <c r="E399" s="565">
        <v>40663</v>
      </c>
      <c r="F399" s="566">
        <v>156814800</v>
      </c>
      <c r="G399" s="564" t="s">
        <v>1830</v>
      </c>
      <c r="H399" s="564" t="s">
        <v>1604</v>
      </c>
      <c r="I399" s="564" t="s">
        <v>2038</v>
      </c>
      <c r="J399" s="564" t="s">
        <v>1069</v>
      </c>
      <c r="K399" s="564" t="s">
        <v>1070</v>
      </c>
      <c r="L399" s="564" t="s">
        <v>1071</v>
      </c>
      <c r="M399" s="564" t="s">
        <v>1124</v>
      </c>
      <c r="N399" s="564" t="s">
        <v>1082</v>
      </c>
      <c r="O399" s="564" t="s">
        <v>241</v>
      </c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spans="1:26" ht="13">
      <c r="A400" s="562" t="s">
        <v>2039</v>
      </c>
      <c r="B400" s="563" t="s">
        <v>2040</v>
      </c>
      <c r="C400" s="564" t="s">
        <v>1255</v>
      </c>
      <c r="D400" s="565">
        <v>42491</v>
      </c>
      <c r="E400" s="565">
        <v>42855</v>
      </c>
      <c r="F400" s="566">
        <v>14964000</v>
      </c>
      <c r="G400" s="564" t="s">
        <v>1604</v>
      </c>
      <c r="H400" s="564" t="s">
        <v>1604</v>
      </c>
      <c r="I400" s="564" t="s">
        <v>2041</v>
      </c>
      <c r="J400" s="564" t="s">
        <v>1069</v>
      </c>
      <c r="K400" s="564" t="s">
        <v>1105</v>
      </c>
      <c r="L400" s="564" t="s">
        <v>1071</v>
      </c>
      <c r="M400" s="564" t="s">
        <v>1124</v>
      </c>
      <c r="N400" s="564" t="s">
        <v>1073</v>
      </c>
      <c r="O400" s="564" t="s">
        <v>241</v>
      </c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 spans="1:26" ht="13">
      <c r="A401" s="562" t="s">
        <v>2042</v>
      </c>
      <c r="B401" s="563" t="s">
        <v>2043</v>
      </c>
      <c r="C401" s="564" t="s">
        <v>1088</v>
      </c>
      <c r="D401" s="565">
        <v>43800</v>
      </c>
      <c r="E401" s="565">
        <v>45626</v>
      </c>
      <c r="F401" s="566">
        <v>1675769400</v>
      </c>
      <c r="G401" s="564" t="s">
        <v>1784</v>
      </c>
      <c r="H401" s="564" t="s">
        <v>1784</v>
      </c>
      <c r="I401" s="564" t="s">
        <v>45</v>
      </c>
      <c r="J401" s="564" t="s">
        <v>1079</v>
      </c>
      <c r="K401" s="564" t="s">
        <v>1090</v>
      </c>
      <c r="L401" s="564" t="s">
        <v>1071</v>
      </c>
      <c r="M401" s="564" t="s">
        <v>1124</v>
      </c>
      <c r="N401" s="564" t="s">
        <v>45</v>
      </c>
      <c r="O401" s="564" t="s">
        <v>241</v>
      </c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spans="1:26" ht="13">
      <c r="A402" s="562" t="s">
        <v>2044</v>
      </c>
      <c r="B402" s="563" t="s">
        <v>2045</v>
      </c>
      <c r="C402" s="564" t="s">
        <v>1255</v>
      </c>
      <c r="D402" s="565">
        <v>39814</v>
      </c>
      <c r="E402" s="565">
        <v>43100</v>
      </c>
      <c r="F402" s="566">
        <v>948000</v>
      </c>
      <c r="G402" s="564" t="s">
        <v>1097</v>
      </c>
      <c r="H402" s="564" t="s">
        <v>1897</v>
      </c>
      <c r="I402" s="564" t="s">
        <v>1581</v>
      </c>
      <c r="J402" s="564" t="s">
        <v>1069</v>
      </c>
      <c r="K402" s="564" t="s">
        <v>1070</v>
      </c>
      <c r="L402" s="564" t="s">
        <v>1071</v>
      </c>
      <c r="M402" s="564" t="s">
        <v>1124</v>
      </c>
      <c r="N402" s="564" t="s">
        <v>1082</v>
      </c>
      <c r="O402" s="564" t="s">
        <v>197</v>
      </c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spans="1:26" ht="13">
      <c r="A403" s="562" t="s">
        <v>227</v>
      </c>
      <c r="B403" s="563" t="s">
        <v>2046</v>
      </c>
      <c r="C403" s="564" t="s">
        <v>1088</v>
      </c>
      <c r="D403" s="565">
        <v>44562</v>
      </c>
      <c r="E403" s="565">
        <v>45657</v>
      </c>
      <c r="F403" s="566">
        <v>322452000</v>
      </c>
      <c r="G403" s="564" t="s">
        <v>1211</v>
      </c>
      <c r="H403" s="564" t="s">
        <v>1211</v>
      </c>
      <c r="I403" s="564" t="s">
        <v>225</v>
      </c>
      <c r="J403" s="564" t="s">
        <v>1079</v>
      </c>
      <c r="K403" s="564" t="s">
        <v>1105</v>
      </c>
      <c r="L403" s="564" t="s">
        <v>1071</v>
      </c>
      <c r="M403" s="564" t="s">
        <v>1124</v>
      </c>
      <c r="N403" s="564" t="s">
        <v>225</v>
      </c>
      <c r="O403" s="564" t="s">
        <v>197</v>
      </c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spans="1:26" ht="13">
      <c r="A404" s="562" t="s">
        <v>229</v>
      </c>
      <c r="B404" s="563" t="s">
        <v>2047</v>
      </c>
      <c r="C404" s="564" t="s">
        <v>1088</v>
      </c>
      <c r="D404" s="565">
        <v>44562</v>
      </c>
      <c r="E404" s="565">
        <v>45657</v>
      </c>
      <c r="F404" s="566">
        <v>9576000</v>
      </c>
      <c r="G404" s="564" t="s">
        <v>1784</v>
      </c>
      <c r="H404" s="564" t="s">
        <v>1784</v>
      </c>
      <c r="I404" s="564" t="s">
        <v>225</v>
      </c>
      <c r="J404" s="564" t="s">
        <v>1079</v>
      </c>
      <c r="K404" s="564" t="s">
        <v>1105</v>
      </c>
      <c r="L404" s="564" t="s">
        <v>1071</v>
      </c>
      <c r="M404" s="564" t="s">
        <v>1124</v>
      </c>
      <c r="N404" s="564" t="s">
        <v>225</v>
      </c>
      <c r="O404" s="564" t="s">
        <v>241</v>
      </c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 spans="1:26" ht="13">
      <c r="A405" s="562" t="s">
        <v>2048</v>
      </c>
      <c r="B405" s="563" t="s">
        <v>2049</v>
      </c>
      <c r="C405" s="564" t="s">
        <v>1088</v>
      </c>
      <c r="D405" s="565">
        <v>39814</v>
      </c>
      <c r="E405" s="565">
        <v>41912</v>
      </c>
      <c r="F405" s="566">
        <v>46897872000</v>
      </c>
      <c r="G405" s="564" t="s">
        <v>1516</v>
      </c>
      <c r="H405" s="564" t="s">
        <v>1529</v>
      </c>
      <c r="I405" s="564" t="s">
        <v>45</v>
      </c>
      <c r="J405" s="564" t="s">
        <v>1069</v>
      </c>
      <c r="K405" s="564" t="s">
        <v>1090</v>
      </c>
      <c r="L405" s="564" t="s">
        <v>1071</v>
      </c>
      <c r="M405" s="564" t="s">
        <v>1091</v>
      </c>
      <c r="N405" s="564" t="s">
        <v>45</v>
      </c>
      <c r="O405" s="564" t="s">
        <v>1092</v>
      </c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spans="1:26" ht="13">
      <c r="A406" s="562" t="s">
        <v>2050</v>
      </c>
      <c r="B406" s="563" t="s">
        <v>2051</v>
      </c>
      <c r="C406" s="564" t="s">
        <v>1066</v>
      </c>
      <c r="D406" s="565">
        <v>39815</v>
      </c>
      <c r="E406" s="565">
        <v>40147</v>
      </c>
      <c r="F406" s="566"/>
      <c r="G406" s="564" t="s">
        <v>1849</v>
      </c>
      <c r="H406" s="564"/>
      <c r="I406" s="564" t="s">
        <v>2052</v>
      </c>
      <c r="J406" s="564" t="s">
        <v>1069</v>
      </c>
      <c r="K406" s="564" t="s">
        <v>1070</v>
      </c>
      <c r="L406" s="564" t="s">
        <v>1071</v>
      </c>
      <c r="M406" s="564" t="s">
        <v>1072</v>
      </c>
      <c r="N406" s="564" t="s">
        <v>1082</v>
      </c>
      <c r="O406" s="564" t="s">
        <v>1331</v>
      </c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 spans="1:26" ht="13">
      <c r="A407" s="562" t="s">
        <v>2053</v>
      </c>
      <c r="B407" s="563" t="s">
        <v>2054</v>
      </c>
      <c r="C407" s="564" t="s">
        <v>1887</v>
      </c>
      <c r="D407" s="565">
        <v>39814</v>
      </c>
      <c r="E407" s="565">
        <v>41912</v>
      </c>
      <c r="F407" s="566">
        <v>6662025000</v>
      </c>
      <c r="G407" s="564" t="s">
        <v>2055</v>
      </c>
      <c r="H407" s="564" t="s">
        <v>1529</v>
      </c>
      <c r="I407" s="564" t="s">
        <v>45</v>
      </c>
      <c r="J407" s="564" t="s">
        <v>1069</v>
      </c>
      <c r="K407" s="564" t="s">
        <v>1090</v>
      </c>
      <c r="L407" s="564" t="s">
        <v>1071</v>
      </c>
      <c r="M407" s="564" t="s">
        <v>1091</v>
      </c>
      <c r="N407" s="564" t="s">
        <v>45</v>
      </c>
      <c r="O407" s="564" t="s">
        <v>1092</v>
      </c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 spans="1:26" ht="13">
      <c r="A408" s="562" t="s">
        <v>2056</v>
      </c>
      <c r="B408" s="563" t="s">
        <v>2057</v>
      </c>
      <c r="C408" s="564" t="s">
        <v>1088</v>
      </c>
      <c r="D408" s="565">
        <v>43466</v>
      </c>
      <c r="E408" s="565">
        <v>43646</v>
      </c>
      <c r="F408" s="566">
        <v>84738150</v>
      </c>
      <c r="G408" s="564" t="s">
        <v>1830</v>
      </c>
      <c r="H408" s="564" t="s">
        <v>1830</v>
      </c>
      <c r="I408" s="564" t="s">
        <v>170</v>
      </c>
      <c r="J408" s="564" t="s">
        <v>1069</v>
      </c>
      <c r="K408" s="564" t="s">
        <v>1105</v>
      </c>
      <c r="L408" s="564" t="s">
        <v>1071</v>
      </c>
      <c r="M408" s="564" t="s">
        <v>1124</v>
      </c>
      <c r="N408" s="564" t="s">
        <v>170</v>
      </c>
      <c r="O408" s="564" t="s">
        <v>241</v>
      </c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 spans="1:26" ht="13">
      <c r="A409" s="562" t="s">
        <v>172</v>
      </c>
      <c r="B409" s="563" t="s">
        <v>2058</v>
      </c>
      <c r="C409" s="564" t="s">
        <v>1088</v>
      </c>
      <c r="D409" s="565">
        <v>45292</v>
      </c>
      <c r="E409" s="565">
        <v>45657</v>
      </c>
      <c r="F409" s="566">
        <v>237858000</v>
      </c>
      <c r="G409" s="564" t="s">
        <v>1108</v>
      </c>
      <c r="H409" s="564" t="s">
        <v>1108</v>
      </c>
      <c r="I409" s="564" t="s">
        <v>170</v>
      </c>
      <c r="J409" s="564" t="s">
        <v>1079</v>
      </c>
      <c r="K409" s="564" t="s">
        <v>1105</v>
      </c>
      <c r="L409" s="564" t="s">
        <v>1071</v>
      </c>
      <c r="M409" s="564" t="s">
        <v>1124</v>
      </c>
      <c r="N409" s="564" t="s">
        <v>170</v>
      </c>
      <c r="O409" s="564" t="s">
        <v>197</v>
      </c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 spans="1:26" ht="13">
      <c r="A410" s="562" t="s">
        <v>2059</v>
      </c>
      <c r="B410" s="563" t="s">
        <v>2060</v>
      </c>
      <c r="C410" s="564" t="s">
        <v>1255</v>
      </c>
      <c r="D410" s="565">
        <v>39814</v>
      </c>
      <c r="E410" s="565">
        <v>40178</v>
      </c>
      <c r="F410" s="566">
        <v>126000</v>
      </c>
      <c r="G410" s="564" t="s">
        <v>1529</v>
      </c>
      <c r="H410" s="564" t="s">
        <v>1529</v>
      </c>
      <c r="I410" s="564" t="s">
        <v>2061</v>
      </c>
      <c r="J410" s="564" t="s">
        <v>1069</v>
      </c>
      <c r="K410" s="564" t="s">
        <v>1070</v>
      </c>
      <c r="L410" s="564" t="s">
        <v>1071</v>
      </c>
      <c r="M410" s="564" t="s">
        <v>1183</v>
      </c>
      <c r="N410" s="564" t="s">
        <v>1082</v>
      </c>
      <c r="O410" s="564" t="s">
        <v>1184</v>
      </c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 spans="1:26" ht="13">
      <c r="A411" s="562" t="s">
        <v>169</v>
      </c>
      <c r="B411" s="563" t="s">
        <v>2062</v>
      </c>
      <c r="C411" s="564" t="s">
        <v>1088</v>
      </c>
      <c r="D411" s="565">
        <v>41699</v>
      </c>
      <c r="E411" s="565">
        <v>45565</v>
      </c>
      <c r="F411" s="566">
        <v>6241980000</v>
      </c>
      <c r="G411" s="564" t="s">
        <v>1345</v>
      </c>
      <c r="H411" s="564" t="s">
        <v>1345</v>
      </c>
      <c r="I411" s="564" t="s">
        <v>45</v>
      </c>
      <c r="J411" s="564" t="s">
        <v>1079</v>
      </c>
      <c r="K411" s="564" t="s">
        <v>1090</v>
      </c>
      <c r="L411" s="564" t="s">
        <v>1071</v>
      </c>
      <c r="M411" s="564" t="s">
        <v>1183</v>
      </c>
      <c r="N411" s="564" t="s">
        <v>45</v>
      </c>
      <c r="O411" s="564" t="s">
        <v>1184</v>
      </c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 spans="1:26" ht="13">
      <c r="A412" s="562" t="s">
        <v>2063</v>
      </c>
      <c r="B412" s="563" t="s">
        <v>2064</v>
      </c>
      <c r="C412" s="564" t="s">
        <v>1271</v>
      </c>
      <c r="D412" s="565">
        <v>44652</v>
      </c>
      <c r="E412" s="565">
        <v>48304</v>
      </c>
      <c r="F412" s="566">
        <v>618648000</v>
      </c>
      <c r="G412" s="564" t="s">
        <v>1312</v>
      </c>
      <c r="H412" s="564" t="s">
        <v>1273</v>
      </c>
      <c r="I412" s="564" t="s">
        <v>70</v>
      </c>
      <c r="J412" s="564" t="s">
        <v>1079</v>
      </c>
      <c r="K412" s="564" t="s">
        <v>1120</v>
      </c>
      <c r="L412" s="564" t="s">
        <v>1071</v>
      </c>
      <c r="M412" s="564" t="s">
        <v>1124</v>
      </c>
      <c r="N412" s="564" t="s">
        <v>70</v>
      </c>
      <c r="O412" s="564" t="s">
        <v>1425</v>
      </c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 spans="1:26" ht="13">
      <c r="A413" s="562" t="s">
        <v>2065</v>
      </c>
      <c r="B413" s="563" t="s">
        <v>2066</v>
      </c>
      <c r="C413" s="564" t="s">
        <v>1271</v>
      </c>
      <c r="D413" s="565">
        <v>42994</v>
      </c>
      <c r="E413" s="565">
        <v>43358</v>
      </c>
      <c r="F413" s="566">
        <v>20400000</v>
      </c>
      <c r="G413" s="564" t="s">
        <v>754</v>
      </c>
      <c r="H413" s="564" t="s">
        <v>2067</v>
      </c>
      <c r="I413" s="564" t="s">
        <v>170</v>
      </c>
      <c r="J413" s="564" t="s">
        <v>1069</v>
      </c>
      <c r="K413" s="564" t="s">
        <v>1105</v>
      </c>
      <c r="L413" s="564" t="s">
        <v>1071</v>
      </c>
      <c r="M413" s="564" t="s">
        <v>1124</v>
      </c>
      <c r="N413" s="564" t="s">
        <v>170</v>
      </c>
      <c r="O413" s="564" t="s">
        <v>1274</v>
      </c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 spans="1:26" ht="13">
      <c r="A414" s="562" t="s">
        <v>2068</v>
      </c>
      <c r="B414" s="563" t="s">
        <v>1963</v>
      </c>
      <c r="C414" s="564" t="s">
        <v>1066</v>
      </c>
      <c r="D414" s="565">
        <v>40148</v>
      </c>
      <c r="E414" s="565">
        <v>42369</v>
      </c>
      <c r="F414" s="566">
        <v>462274000</v>
      </c>
      <c r="G414" s="564" t="s">
        <v>1297</v>
      </c>
      <c r="H414" s="564" t="s">
        <v>1067</v>
      </c>
      <c r="I414" s="564" t="s">
        <v>1821</v>
      </c>
      <c r="J414" s="564" t="s">
        <v>1069</v>
      </c>
      <c r="K414" s="564" t="s">
        <v>1120</v>
      </c>
      <c r="L414" s="564" t="s">
        <v>1071</v>
      </c>
      <c r="M414" s="564" t="s">
        <v>1072</v>
      </c>
      <c r="N414" s="564" t="s">
        <v>1073</v>
      </c>
      <c r="O414" s="564" t="s">
        <v>1331</v>
      </c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 spans="1:26" ht="13">
      <c r="A415" s="562" t="s">
        <v>2069</v>
      </c>
      <c r="B415" s="563" t="s">
        <v>2070</v>
      </c>
      <c r="C415" s="564" t="s">
        <v>1066</v>
      </c>
      <c r="D415" s="565">
        <v>40179</v>
      </c>
      <c r="E415" s="565">
        <v>40543</v>
      </c>
      <c r="F415" s="566">
        <v>98840000</v>
      </c>
      <c r="G415" s="564" t="s">
        <v>1067</v>
      </c>
      <c r="H415" s="564" t="s">
        <v>1067</v>
      </c>
      <c r="I415" s="564" t="s">
        <v>2038</v>
      </c>
      <c r="J415" s="564" t="s">
        <v>1069</v>
      </c>
      <c r="K415" s="564" t="s">
        <v>1070</v>
      </c>
      <c r="L415" s="564" t="s">
        <v>1071</v>
      </c>
      <c r="M415" s="564" t="s">
        <v>1072</v>
      </c>
      <c r="N415" s="564" t="s">
        <v>1082</v>
      </c>
      <c r="O415" s="564" t="s">
        <v>1331</v>
      </c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spans="1:26" ht="13">
      <c r="A416" s="562" t="s">
        <v>2071</v>
      </c>
      <c r="B416" s="563" t="s">
        <v>2072</v>
      </c>
      <c r="C416" s="564" t="s">
        <v>1066</v>
      </c>
      <c r="D416" s="565">
        <v>39630</v>
      </c>
      <c r="E416" s="565">
        <v>41455</v>
      </c>
      <c r="F416" s="566">
        <v>566400000</v>
      </c>
      <c r="G416" s="564" t="s">
        <v>1067</v>
      </c>
      <c r="H416" s="564" t="s">
        <v>1067</v>
      </c>
      <c r="I416" s="564" t="s">
        <v>2073</v>
      </c>
      <c r="J416" s="564" t="s">
        <v>1069</v>
      </c>
      <c r="K416" s="564" t="s">
        <v>1105</v>
      </c>
      <c r="L416" s="564" t="s">
        <v>1071</v>
      </c>
      <c r="M416" s="564" t="s">
        <v>1072</v>
      </c>
      <c r="N416" s="564" t="s">
        <v>225</v>
      </c>
      <c r="O416" s="564" t="s">
        <v>1331</v>
      </c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 spans="1:26" ht="13">
      <c r="A417" s="562" t="s">
        <v>2074</v>
      </c>
      <c r="B417" s="563" t="s">
        <v>2075</v>
      </c>
      <c r="C417" s="564" t="s">
        <v>1066</v>
      </c>
      <c r="D417" s="565">
        <v>42826</v>
      </c>
      <c r="E417" s="565">
        <v>43190</v>
      </c>
      <c r="F417" s="566">
        <v>21106000</v>
      </c>
      <c r="G417" s="564" t="s">
        <v>1297</v>
      </c>
      <c r="H417" s="564" t="s">
        <v>1067</v>
      </c>
      <c r="I417" s="564" t="s">
        <v>1068</v>
      </c>
      <c r="J417" s="564" t="s">
        <v>1069</v>
      </c>
      <c r="K417" s="564" t="s">
        <v>1070</v>
      </c>
      <c r="L417" s="564" t="s">
        <v>1071</v>
      </c>
      <c r="M417" s="564" t="s">
        <v>1072</v>
      </c>
      <c r="N417" s="564" t="s">
        <v>1073</v>
      </c>
      <c r="O417" s="564" t="s">
        <v>1331</v>
      </c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 spans="1:26" ht="13">
      <c r="A418" s="562" t="s">
        <v>2076</v>
      </c>
      <c r="B418" s="563" t="s">
        <v>2077</v>
      </c>
      <c r="C418" s="564" t="s">
        <v>1076</v>
      </c>
      <c r="D418" s="565">
        <v>45292</v>
      </c>
      <c r="E418" s="565">
        <v>45657</v>
      </c>
      <c r="F418" s="566">
        <v>11649300</v>
      </c>
      <c r="G418" s="564" t="s">
        <v>1297</v>
      </c>
      <c r="H418" s="564" t="s">
        <v>1025</v>
      </c>
      <c r="I418" s="564" t="s">
        <v>70</v>
      </c>
      <c r="J418" s="564" t="s">
        <v>1079</v>
      </c>
      <c r="K418" s="564" t="s">
        <v>1120</v>
      </c>
      <c r="L418" s="564" t="s">
        <v>1071</v>
      </c>
      <c r="M418" s="564" t="s">
        <v>1072</v>
      </c>
      <c r="N418" s="564" t="s">
        <v>70</v>
      </c>
      <c r="O418" s="564" t="s">
        <v>1331</v>
      </c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 spans="1:26" ht="13">
      <c r="A419" s="562" t="s">
        <v>275</v>
      </c>
      <c r="B419" s="563" t="s">
        <v>2078</v>
      </c>
      <c r="C419" s="564" t="s">
        <v>2079</v>
      </c>
      <c r="D419" s="565">
        <v>45292</v>
      </c>
      <c r="E419" s="565">
        <v>45657</v>
      </c>
      <c r="F419" s="566">
        <v>551808000</v>
      </c>
      <c r="G419" s="564" t="s">
        <v>1040</v>
      </c>
      <c r="H419" s="564" t="s">
        <v>1040</v>
      </c>
      <c r="I419" s="564" t="s">
        <v>257</v>
      </c>
      <c r="J419" s="564" t="s">
        <v>1079</v>
      </c>
      <c r="K419" s="564" t="s">
        <v>1209</v>
      </c>
      <c r="L419" s="564" t="s">
        <v>1189</v>
      </c>
      <c r="M419" s="564" t="s">
        <v>1189</v>
      </c>
      <c r="N419" s="564" t="s">
        <v>257</v>
      </c>
      <c r="O419" s="564" t="s">
        <v>1190</v>
      </c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 spans="1:26" ht="13">
      <c r="A420" s="562" t="s">
        <v>244</v>
      </c>
      <c r="B420" s="563" t="s">
        <v>2080</v>
      </c>
      <c r="C420" s="564" t="s">
        <v>1156</v>
      </c>
      <c r="D420" s="565">
        <v>45292</v>
      </c>
      <c r="E420" s="565">
        <v>45657</v>
      </c>
      <c r="F420" s="566">
        <v>8672849430</v>
      </c>
      <c r="G420" s="564" t="s">
        <v>2081</v>
      </c>
      <c r="H420" s="564" t="s">
        <v>1157</v>
      </c>
      <c r="I420" s="564" t="s">
        <v>70</v>
      </c>
      <c r="J420" s="564" t="s">
        <v>1079</v>
      </c>
      <c r="K420" s="564" t="s">
        <v>1120</v>
      </c>
      <c r="L420" s="564" t="s">
        <v>1189</v>
      </c>
      <c r="M420" s="564" t="s">
        <v>1189</v>
      </c>
      <c r="N420" s="564" t="s">
        <v>70</v>
      </c>
      <c r="O420" s="564" t="s">
        <v>1190</v>
      </c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 spans="1:26" ht="13">
      <c r="A421" s="562" t="s">
        <v>2082</v>
      </c>
      <c r="B421" s="563" t="s">
        <v>2083</v>
      </c>
      <c r="C421" s="564" t="s">
        <v>1370</v>
      </c>
      <c r="D421" s="565">
        <v>43525</v>
      </c>
      <c r="E421" s="565">
        <v>43890</v>
      </c>
      <c r="F421" s="566">
        <v>103960948</v>
      </c>
      <c r="G421" s="564" t="s">
        <v>1807</v>
      </c>
      <c r="H421" s="564" t="s">
        <v>1623</v>
      </c>
      <c r="I421" s="564" t="s">
        <v>802</v>
      </c>
      <c r="J421" s="564" t="s">
        <v>1069</v>
      </c>
      <c r="K421" s="564" t="s">
        <v>1198</v>
      </c>
      <c r="L421" s="564" t="s">
        <v>1071</v>
      </c>
      <c r="M421" s="564" t="s">
        <v>1091</v>
      </c>
      <c r="N421" s="564" t="s">
        <v>132</v>
      </c>
      <c r="O421" s="564" t="s">
        <v>241</v>
      </c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 spans="1:26" ht="13">
      <c r="A422" s="562" t="s">
        <v>2084</v>
      </c>
      <c r="B422" s="563" t="s">
        <v>2085</v>
      </c>
      <c r="C422" s="564" t="s">
        <v>1088</v>
      </c>
      <c r="D422" s="565">
        <v>44927</v>
      </c>
      <c r="E422" s="565">
        <v>45291</v>
      </c>
      <c r="F422" s="566">
        <v>10996776</v>
      </c>
      <c r="G422" s="564" t="s">
        <v>1032</v>
      </c>
      <c r="H422" s="564" t="s">
        <v>1032</v>
      </c>
      <c r="I422" s="564" t="s">
        <v>802</v>
      </c>
      <c r="J422" s="564" t="s">
        <v>1079</v>
      </c>
      <c r="K422" s="564" t="s">
        <v>1198</v>
      </c>
      <c r="L422" s="564" t="s">
        <v>1071</v>
      </c>
      <c r="M422" s="564" t="s">
        <v>1183</v>
      </c>
      <c r="N422" s="564" t="s">
        <v>132</v>
      </c>
      <c r="O422" s="564" t="s">
        <v>1184</v>
      </c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 spans="1:26" ht="13">
      <c r="A423" s="562" t="s">
        <v>266</v>
      </c>
      <c r="B423" s="563" t="s">
        <v>2086</v>
      </c>
      <c r="C423" s="564" t="s">
        <v>1088</v>
      </c>
      <c r="D423" s="565">
        <v>45292</v>
      </c>
      <c r="E423" s="565">
        <v>47483</v>
      </c>
      <c r="F423" s="566">
        <v>1077216000</v>
      </c>
      <c r="G423" s="564" t="s">
        <v>1032</v>
      </c>
      <c r="H423" s="564" t="s">
        <v>1032</v>
      </c>
      <c r="I423" s="564" t="s">
        <v>257</v>
      </c>
      <c r="J423" s="564" t="s">
        <v>1079</v>
      </c>
      <c r="K423" s="564" t="s">
        <v>1209</v>
      </c>
      <c r="L423" s="564" t="s">
        <v>1071</v>
      </c>
      <c r="M423" s="564" t="s">
        <v>1183</v>
      </c>
      <c r="N423" s="564" t="s">
        <v>257</v>
      </c>
      <c r="O423" s="564" t="s">
        <v>1184</v>
      </c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 spans="1:26" ht="13">
      <c r="A424" s="562" t="s">
        <v>2087</v>
      </c>
      <c r="B424" s="563" t="s">
        <v>2088</v>
      </c>
      <c r="C424" s="564" t="s">
        <v>1255</v>
      </c>
      <c r="D424" s="565">
        <v>39508</v>
      </c>
      <c r="E424" s="565">
        <v>41333</v>
      </c>
      <c r="F424" s="566">
        <v>54936000</v>
      </c>
      <c r="G424" s="564" t="s">
        <v>1345</v>
      </c>
      <c r="H424" s="564" t="s">
        <v>1529</v>
      </c>
      <c r="I424" s="564" t="s">
        <v>1966</v>
      </c>
      <c r="J424" s="564" t="s">
        <v>1069</v>
      </c>
      <c r="K424" s="564" t="s">
        <v>1070</v>
      </c>
      <c r="L424" s="564" t="s">
        <v>1071</v>
      </c>
      <c r="M424" s="564" t="s">
        <v>1183</v>
      </c>
      <c r="N424" s="564" t="s">
        <v>1082</v>
      </c>
      <c r="O424" s="564" t="s">
        <v>1184</v>
      </c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 spans="1:26" ht="13">
      <c r="A425" s="562" t="s">
        <v>237</v>
      </c>
      <c r="B425" s="563" t="s">
        <v>2089</v>
      </c>
      <c r="C425" s="564" t="s">
        <v>1088</v>
      </c>
      <c r="D425" s="565">
        <v>45474</v>
      </c>
      <c r="E425" s="565">
        <v>46203</v>
      </c>
      <c r="F425" s="566">
        <v>257760000</v>
      </c>
      <c r="G425" s="564" t="s">
        <v>1032</v>
      </c>
      <c r="H425" s="564" t="s">
        <v>1032</v>
      </c>
      <c r="I425" s="564" t="s">
        <v>1230</v>
      </c>
      <c r="J425" s="564" t="s">
        <v>1079</v>
      </c>
      <c r="K425" s="564" t="s">
        <v>1090</v>
      </c>
      <c r="L425" s="564" t="s">
        <v>1071</v>
      </c>
      <c r="M425" s="564" t="s">
        <v>1183</v>
      </c>
      <c r="N425" s="564" t="s">
        <v>1073</v>
      </c>
      <c r="O425" s="564" t="s">
        <v>1184</v>
      </c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 spans="1:26" ht="13">
      <c r="A426" s="562" t="s">
        <v>2090</v>
      </c>
      <c r="B426" s="563" t="s">
        <v>2091</v>
      </c>
      <c r="C426" s="564" t="s">
        <v>1088</v>
      </c>
      <c r="D426" s="565">
        <v>44743</v>
      </c>
      <c r="E426" s="565">
        <v>46568</v>
      </c>
      <c r="F426" s="566">
        <v>125211000</v>
      </c>
      <c r="G426" s="564" t="s">
        <v>1032</v>
      </c>
      <c r="H426" s="564" t="s">
        <v>1032</v>
      </c>
      <c r="I426" s="564" t="s">
        <v>225</v>
      </c>
      <c r="J426" s="564" t="s">
        <v>1079</v>
      </c>
      <c r="K426" s="564" t="s">
        <v>1105</v>
      </c>
      <c r="L426" s="564" t="s">
        <v>1071</v>
      </c>
      <c r="M426" s="564" t="s">
        <v>1183</v>
      </c>
      <c r="N426" s="564" t="s">
        <v>225</v>
      </c>
      <c r="O426" s="564" t="s">
        <v>1184</v>
      </c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 spans="1:26" ht="13">
      <c r="A427" s="562" t="s">
        <v>2092</v>
      </c>
      <c r="B427" s="563" t="s">
        <v>2093</v>
      </c>
      <c r="C427" s="564" t="s">
        <v>1088</v>
      </c>
      <c r="D427" s="565">
        <v>45170</v>
      </c>
      <c r="E427" s="565">
        <v>46265</v>
      </c>
      <c r="F427" s="566">
        <v>152748000</v>
      </c>
      <c r="G427" s="564" t="s">
        <v>1032</v>
      </c>
      <c r="H427" s="564" t="s">
        <v>1032</v>
      </c>
      <c r="I427" s="564" t="s">
        <v>170</v>
      </c>
      <c r="J427" s="564" t="s">
        <v>1079</v>
      </c>
      <c r="K427" s="564" t="s">
        <v>1105</v>
      </c>
      <c r="L427" s="564" t="s">
        <v>1071</v>
      </c>
      <c r="M427" s="564" t="s">
        <v>1183</v>
      </c>
      <c r="N427" s="564" t="s">
        <v>170</v>
      </c>
      <c r="O427" s="564" t="s">
        <v>1184</v>
      </c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 spans="1:26" ht="13">
      <c r="A428" s="562" t="s">
        <v>242</v>
      </c>
      <c r="B428" s="563" t="s">
        <v>2094</v>
      </c>
      <c r="C428" s="564" t="s">
        <v>1088</v>
      </c>
      <c r="D428" s="565">
        <v>45292</v>
      </c>
      <c r="E428" s="565">
        <v>45657</v>
      </c>
      <c r="F428" s="566">
        <v>371942251</v>
      </c>
      <c r="G428" s="564" t="s">
        <v>1784</v>
      </c>
      <c r="H428" s="564" t="s">
        <v>1784</v>
      </c>
      <c r="I428" s="564" t="s">
        <v>70</v>
      </c>
      <c r="J428" s="564" t="s">
        <v>1079</v>
      </c>
      <c r="K428" s="564" t="s">
        <v>1120</v>
      </c>
      <c r="L428" s="564" t="s">
        <v>1071</v>
      </c>
      <c r="M428" s="564" t="s">
        <v>1124</v>
      </c>
      <c r="N428" s="564" t="s">
        <v>70</v>
      </c>
      <c r="O428" s="564" t="s">
        <v>241</v>
      </c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 spans="1:26" ht="13">
      <c r="A429" s="562" t="s">
        <v>240</v>
      </c>
      <c r="B429" s="563" t="s">
        <v>2095</v>
      </c>
      <c r="C429" s="564" t="s">
        <v>1088</v>
      </c>
      <c r="D429" s="565">
        <v>45292</v>
      </c>
      <c r="E429" s="565">
        <v>45657</v>
      </c>
      <c r="F429" s="566">
        <v>1638741048</v>
      </c>
      <c r="G429" s="564" t="s">
        <v>1097</v>
      </c>
      <c r="H429" s="564" t="s">
        <v>1097</v>
      </c>
      <c r="I429" s="564" t="s">
        <v>70</v>
      </c>
      <c r="J429" s="564" t="s">
        <v>1079</v>
      </c>
      <c r="K429" s="564" t="s">
        <v>1120</v>
      </c>
      <c r="L429" s="564" t="s">
        <v>1071</v>
      </c>
      <c r="M429" s="564" t="s">
        <v>1124</v>
      </c>
      <c r="N429" s="564" t="s">
        <v>70</v>
      </c>
      <c r="O429" s="564" t="s">
        <v>197</v>
      </c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 spans="1:26" ht="13">
      <c r="A430" s="562" t="s">
        <v>2096</v>
      </c>
      <c r="B430" s="563" t="s">
        <v>2097</v>
      </c>
      <c r="C430" s="564" t="s">
        <v>1612</v>
      </c>
      <c r="D430" s="565">
        <v>39661</v>
      </c>
      <c r="E430" s="565">
        <v>41486</v>
      </c>
      <c r="F430" s="566"/>
      <c r="G430" s="564" t="s">
        <v>1911</v>
      </c>
      <c r="H430" s="564" t="s">
        <v>1911</v>
      </c>
      <c r="I430" s="564" t="s">
        <v>1068</v>
      </c>
      <c r="J430" s="564" t="s">
        <v>1069</v>
      </c>
      <c r="K430" s="564" t="s">
        <v>1070</v>
      </c>
      <c r="L430" s="564" t="s">
        <v>2098</v>
      </c>
      <c r="M430" s="564" t="s">
        <v>2098</v>
      </c>
      <c r="N430" s="564" t="s">
        <v>1073</v>
      </c>
      <c r="O430" s="564" t="s">
        <v>2099</v>
      </c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 spans="1:26" ht="13">
      <c r="A431" s="562" t="s">
        <v>2100</v>
      </c>
      <c r="B431" s="563" t="s">
        <v>2101</v>
      </c>
      <c r="C431" s="564" t="s">
        <v>1088</v>
      </c>
      <c r="D431" s="565">
        <v>44927</v>
      </c>
      <c r="E431" s="565">
        <v>45291</v>
      </c>
      <c r="F431" s="566">
        <v>34206000</v>
      </c>
      <c r="G431" s="564" t="s">
        <v>1164</v>
      </c>
      <c r="H431" s="564" t="s">
        <v>1164</v>
      </c>
      <c r="I431" s="564" t="s">
        <v>1161</v>
      </c>
      <c r="J431" s="564" t="s">
        <v>1079</v>
      </c>
      <c r="K431" s="564" t="s">
        <v>1090</v>
      </c>
      <c r="L431" s="564" t="s">
        <v>1071</v>
      </c>
      <c r="M431" s="564" t="s">
        <v>1124</v>
      </c>
      <c r="N431" s="564" t="s">
        <v>1073</v>
      </c>
      <c r="O431" s="564" t="s">
        <v>197</v>
      </c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 spans="1:26" ht="13">
      <c r="A432" s="562" t="s">
        <v>2102</v>
      </c>
      <c r="B432" s="563" t="s">
        <v>2103</v>
      </c>
      <c r="C432" s="564" t="s">
        <v>1854</v>
      </c>
      <c r="D432" s="565">
        <v>40360</v>
      </c>
      <c r="E432" s="565">
        <v>40724</v>
      </c>
      <c r="F432" s="566">
        <v>228996000</v>
      </c>
      <c r="G432" s="564" t="s">
        <v>2104</v>
      </c>
      <c r="H432" s="564" t="s">
        <v>2104</v>
      </c>
      <c r="I432" s="564" t="s">
        <v>45</v>
      </c>
      <c r="J432" s="564" t="s">
        <v>1069</v>
      </c>
      <c r="K432" s="564" t="s">
        <v>1090</v>
      </c>
      <c r="L432" s="564" t="s">
        <v>1189</v>
      </c>
      <c r="M432" s="564" t="s">
        <v>1189</v>
      </c>
      <c r="N432" s="564" t="s">
        <v>45</v>
      </c>
      <c r="O432" s="564" t="s">
        <v>1190</v>
      </c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 spans="1:26" ht="13">
      <c r="A433" s="562" t="s">
        <v>2105</v>
      </c>
      <c r="B433" s="563" t="s">
        <v>2106</v>
      </c>
      <c r="C433" s="564" t="s">
        <v>1854</v>
      </c>
      <c r="D433" s="565">
        <v>39630</v>
      </c>
      <c r="E433" s="565">
        <v>39994</v>
      </c>
      <c r="F433" s="566">
        <v>192356760</v>
      </c>
      <c r="G433" s="564" t="s">
        <v>2107</v>
      </c>
      <c r="H433" s="564"/>
      <c r="I433" s="564" t="s">
        <v>45</v>
      </c>
      <c r="J433" s="564" t="s">
        <v>1069</v>
      </c>
      <c r="K433" s="564" t="s">
        <v>1090</v>
      </c>
      <c r="L433" s="564" t="s">
        <v>1189</v>
      </c>
      <c r="M433" s="564" t="s">
        <v>1189</v>
      </c>
      <c r="N433" s="564" t="s">
        <v>45</v>
      </c>
      <c r="O433" s="564" t="s">
        <v>1190</v>
      </c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spans="1:26" ht="13">
      <c r="A434" s="562" t="s">
        <v>2108</v>
      </c>
      <c r="B434" s="563" t="s">
        <v>2109</v>
      </c>
      <c r="C434" s="564" t="s">
        <v>1854</v>
      </c>
      <c r="D434" s="565">
        <v>40360</v>
      </c>
      <c r="E434" s="565">
        <v>40724</v>
      </c>
      <c r="F434" s="566">
        <v>205560000</v>
      </c>
      <c r="G434" s="564" t="s">
        <v>1855</v>
      </c>
      <c r="H434" s="564" t="s">
        <v>1855</v>
      </c>
      <c r="I434" s="564" t="s">
        <v>45</v>
      </c>
      <c r="J434" s="564" t="s">
        <v>1069</v>
      </c>
      <c r="K434" s="564" t="s">
        <v>1090</v>
      </c>
      <c r="L434" s="564" t="s">
        <v>1189</v>
      </c>
      <c r="M434" s="564" t="s">
        <v>1189</v>
      </c>
      <c r="N434" s="564" t="s">
        <v>45</v>
      </c>
      <c r="O434" s="564" t="s">
        <v>1190</v>
      </c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 spans="1:26" ht="13">
      <c r="A435" s="562" t="s">
        <v>48</v>
      </c>
      <c r="B435" s="563" t="s">
        <v>2110</v>
      </c>
      <c r="C435" s="564" t="s">
        <v>1186</v>
      </c>
      <c r="D435" s="565">
        <v>45292</v>
      </c>
      <c r="E435" s="565">
        <v>45657</v>
      </c>
      <c r="F435" s="566">
        <v>2671000000</v>
      </c>
      <c r="G435" s="564" t="s">
        <v>311</v>
      </c>
      <c r="H435" s="564" t="s">
        <v>311</v>
      </c>
      <c r="I435" s="564" t="s">
        <v>45</v>
      </c>
      <c r="J435" s="564" t="s">
        <v>1079</v>
      </c>
      <c r="K435" s="564" t="s">
        <v>1090</v>
      </c>
      <c r="L435" s="564" t="s">
        <v>1189</v>
      </c>
      <c r="M435" s="564" t="s">
        <v>1189</v>
      </c>
      <c r="N435" s="564" t="s">
        <v>45</v>
      </c>
      <c r="O435" s="564" t="s">
        <v>1190</v>
      </c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spans="1:26" ht="13">
      <c r="A436" s="562" t="s">
        <v>2111</v>
      </c>
      <c r="B436" s="563" t="s">
        <v>2112</v>
      </c>
      <c r="C436" s="564" t="s">
        <v>1204</v>
      </c>
      <c r="D436" s="565">
        <v>44621</v>
      </c>
      <c r="E436" s="565">
        <v>44985</v>
      </c>
      <c r="F436" s="566">
        <v>2268000</v>
      </c>
      <c r="G436" s="564" t="s">
        <v>1420</v>
      </c>
      <c r="H436" s="564" t="s">
        <v>1420</v>
      </c>
      <c r="I436" s="564" t="s">
        <v>144</v>
      </c>
      <c r="J436" s="564" t="s">
        <v>1079</v>
      </c>
      <c r="K436" s="564" t="s">
        <v>1205</v>
      </c>
      <c r="L436" s="564" t="s">
        <v>1189</v>
      </c>
      <c r="M436" s="564" t="s">
        <v>1206</v>
      </c>
      <c r="N436" s="564" t="s">
        <v>1073</v>
      </c>
      <c r="O436" s="564" t="s">
        <v>1207</v>
      </c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 spans="1:26" ht="13">
      <c r="A437" s="562" t="s">
        <v>2113</v>
      </c>
      <c r="B437" s="563" t="s">
        <v>2114</v>
      </c>
      <c r="C437" s="564" t="s">
        <v>1204</v>
      </c>
      <c r="D437" s="565">
        <v>43586</v>
      </c>
      <c r="E437" s="565">
        <v>45412</v>
      </c>
      <c r="F437" s="566">
        <v>1362004000</v>
      </c>
      <c r="G437" s="564" t="s">
        <v>1420</v>
      </c>
      <c r="H437" s="564" t="s">
        <v>1420</v>
      </c>
      <c r="I437" s="564" t="s">
        <v>257</v>
      </c>
      <c r="J437" s="564" t="s">
        <v>1069</v>
      </c>
      <c r="K437" s="564" t="s">
        <v>1209</v>
      </c>
      <c r="L437" s="564" t="s">
        <v>1189</v>
      </c>
      <c r="M437" s="564" t="s">
        <v>1206</v>
      </c>
      <c r="N437" s="564" t="s">
        <v>257</v>
      </c>
      <c r="O437" s="564" t="s">
        <v>1207</v>
      </c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 spans="1:26" ht="13">
      <c r="A438" s="562" t="s">
        <v>2115</v>
      </c>
      <c r="B438" s="563" t="s">
        <v>2116</v>
      </c>
      <c r="C438" s="564" t="s">
        <v>1204</v>
      </c>
      <c r="D438" s="565">
        <v>39755</v>
      </c>
      <c r="E438" s="565">
        <v>43406</v>
      </c>
      <c r="F438" s="566">
        <v>222300000</v>
      </c>
      <c r="G438" s="564" t="s">
        <v>754</v>
      </c>
      <c r="H438" s="564" t="s">
        <v>754</v>
      </c>
      <c r="I438" s="564" t="s">
        <v>1821</v>
      </c>
      <c r="J438" s="564" t="s">
        <v>1069</v>
      </c>
      <c r="K438" s="564" t="s">
        <v>1120</v>
      </c>
      <c r="L438" s="564" t="s">
        <v>1189</v>
      </c>
      <c r="M438" s="564" t="s">
        <v>1206</v>
      </c>
      <c r="N438" s="564" t="s">
        <v>1073</v>
      </c>
      <c r="O438" s="564" t="s">
        <v>1207</v>
      </c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 spans="1:26" ht="13">
      <c r="A439" s="562" t="s">
        <v>2117</v>
      </c>
      <c r="B439" s="563" t="s">
        <v>2118</v>
      </c>
      <c r="C439" s="564" t="s">
        <v>1726</v>
      </c>
      <c r="D439" s="565">
        <v>39600</v>
      </c>
      <c r="E439" s="565">
        <v>39964</v>
      </c>
      <c r="F439" s="566">
        <v>222235500</v>
      </c>
      <c r="G439" s="564" t="s">
        <v>1807</v>
      </c>
      <c r="H439" s="564"/>
      <c r="I439" s="564" t="s">
        <v>802</v>
      </c>
      <c r="J439" s="564" t="s">
        <v>1069</v>
      </c>
      <c r="K439" s="564" t="s">
        <v>1198</v>
      </c>
      <c r="L439" s="564" t="s">
        <v>1189</v>
      </c>
      <c r="M439" s="564" t="s">
        <v>1189</v>
      </c>
      <c r="N439" s="564" t="s">
        <v>132</v>
      </c>
      <c r="O439" s="564" t="s">
        <v>1190</v>
      </c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 spans="1:26" ht="13">
      <c r="A440" s="562" t="s">
        <v>68</v>
      </c>
      <c r="B440" s="563" t="s">
        <v>2119</v>
      </c>
      <c r="C440" s="564" t="s">
        <v>1631</v>
      </c>
      <c r="D440" s="565">
        <v>45292</v>
      </c>
      <c r="E440" s="565">
        <v>45657</v>
      </c>
      <c r="F440" s="566">
        <v>1705489000</v>
      </c>
      <c r="G440" s="564" t="s">
        <v>328</v>
      </c>
      <c r="H440" s="564" t="s">
        <v>1293</v>
      </c>
      <c r="I440" s="564" t="s">
        <v>64</v>
      </c>
      <c r="J440" s="564" t="s">
        <v>1079</v>
      </c>
      <c r="K440" s="564" t="s">
        <v>1090</v>
      </c>
      <c r="L440" s="564" t="s">
        <v>1189</v>
      </c>
      <c r="M440" s="564" t="s">
        <v>1189</v>
      </c>
      <c r="N440" s="564" t="s">
        <v>64</v>
      </c>
      <c r="O440" s="564" t="s">
        <v>1190</v>
      </c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 spans="1:26" ht="13">
      <c r="A441" s="562" t="s">
        <v>2120</v>
      </c>
      <c r="B441" s="563" t="s">
        <v>2121</v>
      </c>
      <c r="C441" s="564" t="s">
        <v>2122</v>
      </c>
      <c r="D441" s="565">
        <v>39661</v>
      </c>
      <c r="E441" s="565">
        <v>40025</v>
      </c>
      <c r="F441" s="566">
        <v>74607000</v>
      </c>
      <c r="G441" s="564" t="s">
        <v>2123</v>
      </c>
      <c r="H441" s="564" t="s">
        <v>1942</v>
      </c>
      <c r="I441" s="564" t="s">
        <v>170</v>
      </c>
      <c r="J441" s="564" t="s">
        <v>1069</v>
      </c>
      <c r="K441" s="564" t="s">
        <v>1105</v>
      </c>
      <c r="L441" s="564" t="s">
        <v>1189</v>
      </c>
      <c r="M441" s="564" t="s">
        <v>1189</v>
      </c>
      <c r="N441" s="564" t="s">
        <v>170</v>
      </c>
      <c r="O441" s="564" t="s">
        <v>1190</v>
      </c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 spans="1:26" ht="13">
      <c r="A442" s="562" t="s">
        <v>2124</v>
      </c>
      <c r="B442" s="563" t="s">
        <v>2125</v>
      </c>
      <c r="C442" s="564" t="s">
        <v>1076</v>
      </c>
      <c r="D442" s="565">
        <v>44713</v>
      </c>
      <c r="E442" s="565">
        <v>45077</v>
      </c>
      <c r="F442" s="566">
        <v>36261000</v>
      </c>
      <c r="G442" s="564" t="s">
        <v>1297</v>
      </c>
      <c r="H442" s="564" t="s">
        <v>1025</v>
      </c>
      <c r="I442" s="564" t="s">
        <v>1230</v>
      </c>
      <c r="J442" s="564" t="s">
        <v>1079</v>
      </c>
      <c r="K442" s="564" t="s">
        <v>1090</v>
      </c>
      <c r="L442" s="564" t="s">
        <v>1071</v>
      </c>
      <c r="M442" s="564" t="s">
        <v>1072</v>
      </c>
      <c r="N442" s="564" t="s">
        <v>1073</v>
      </c>
      <c r="O442" s="564" t="s">
        <v>1176</v>
      </c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spans="1:26" ht="13">
      <c r="A443" s="562" t="s">
        <v>2126</v>
      </c>
      <c r="B443" s="563" t="s">
        <v>2127</v>
      </c>
      <c r="C443" s="564" t="s">
        <v>1255</v>
      </c>
      <c r="D443" s="565">
        <v>39630</v>
      </c>
      <c r="E443" s="565">
        <v>41820</v>
      </c>
      <c r="F443" s="566">
        <v>2575000</v>
      </c>
      <c r="G443" s="564" t="s">
        <v>1604</v>
      </c>
      <c r="H443" s="564" t="s">
        <v>1604</v>
      </c>
      <c r="I443" s="564" t="s">
        <v>1230</v>
      </c>
      <c r="J443" s="564" t="s">
        <v>1069</v>
      </c>
      <c r="K443" s="564" t="s">
        <v>1090</v>
      </c>
      <c r="L443" s="564" t="s">
        <v>1071</v>
      </c>
      <c r="M443" s="564" t="s">
        <v>1124</v>
      </c>
      <c r="N443" s="564" t="s">
        <v>1073</v>
      </c>
      <c r="O443" s="564" t="s">
        <v>241</v>
      </c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 spans="1:26" ht="13">
      <c r="A444" s="562" t="s">
        <v>2128</v>
      </c>
      <c r="B444" s="563" t="s">
        <v>2129</v>
      </c>
      <c r="C444" s="564" t="s">
        <v>1612</v>
      </c>
      <c r="D444" s="565">
        <v>39600</v>
      </c>
      <c r="E444" s="565">
        <v>41425</v>
      </c>
      <c r="F444" s="566">
        <v>284306270</v>
      </c>
      <c r="G444" s="564" t="s">
        <v>1911</v>
      </c>
      <c r="H444" s="564" t="s">
        <v>1911</v>
      </c>
      <c r="I444" s="564" t="s">
        <v>1068</v>
      </c>
      <c r="J444" s="564" t="s">
        <v>1069</v>
      </c>
      <c r="K444" s="564" t="s">
        <v>1070</v>
      </c>
      <c r="L444" s="564" t="s">
        <v>2098</v>
      </c>
      <c r="M444" s="564" t="s">
        <v>2098</v>
      </c>
      <c r="N444" s="564" t="s">
        <v>1073</v>
      </c>
      <c r="O444" s="564" t="s">
        <v>2099</v>
      </c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 spans="1:26" ht="13">
      <c r="A445" s="562" t="s">
        <v>2130</v>
      </c>
      <c r="B445" s="563" t="s">
        <v>2131</v>
      </c>
      <c r="C445" s="564" t="s">
        <v>1066</v>
      </c>
      <c r="D445" s="565">
        <v>39692</v>
      </c>
      <c r="E445" s="565">
        <v>41517</v>
      </c>
      <c r="F445" s="566">
        <v>749040000</v>
      </c>
      <c r="G445" s="564" t="s">
        <v>1067</v>
      </c>
      <c r="H445" s="564" t="s">
        <v>1856</v>
      </c>
      <c r="I445" s="564" t="s">
        <v>2132</v>
      </c>
      <c r="J445" s="564" t="s">
        <v>1069</v>
      </c>
      <c r="K445" s="564" t="s">
        <v>1090</v>
      </c>
      <c r="L445" s="564" t="s">
        <v>1071</v>
      </c>
      <c r="M445" s="564" t="s">
        <v>1072</v>
      </c>
      <c r="N445" s="564" t="s">
        <v>1082</v>
      </c>
      <c r="O445" s="564" t="s">
        <v>1331</v>
      </c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 spans="1:26" ht="13">
      <c r="A446" s="562" t="s">
        <v>2133</v>
      </c>
      <c r="B446" s="563" t="s">
        <v>2134</v>
      </c>
      <c r="C446" s="564" t="s">
        <v>1076</v>
      </c>
      <c r="D446" s="565">
        <v>44805</v>
      </c>
      <c r="E446" s="565">
        <v>45169</v>
      </c>
      <c r="F446" s="566">
        <v>2378191800</v>
      </c>
      <c r="G446" s="564" t="s">
        <v>1297</v>
      </c>
      <c r="H446" s="564" t="s">
        <v>1025</v>
      </c>
      <c r="I446" s="564" t="s">
        <v>64</v>
      </c>
      <c r="J446" s="564" t="s">
        <v>1079</v>
      </c>
      <c r="K446" s="564" t="s">
        <v>1090</v>
      </c>
      <c r="L446" s="564" t="s">
        <v>1071</v>
      </c>
      <c r="M446" s="564" t="s">
        <v>1072</v>
      </c>
      <c r="N446" s="564" t="s">
        <v>64</v>
      </c>
      <c r="O446" s="564" t="s">
        <v>1176</v>
      </c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 spans="1:26" ht="13">
      <c r="A447" s="562" t="s">
        <v>2135</v>
      </c>
      <c r="B447" s="563" t="s">
        <v>2136</v>
      </c>
      <c r="C447" s="564" t="s">
        <v>1255</v>
      </c>
      <c r="D447" s="565">
        <v>39539</v>
      </c>
      <c r="E447" s="565">
        <v>39903</v>
      </c>
      <c r="F447" s="566">
        <v>31680000</v>
      </c>
      <c r="G447" s="564" t="s">
        <v>1604</v>
      </c>
      <c r="H447" s="564" t="s">
        <v>1604</v>
      </c>
      <c r="I447" s="564" t="s">
        <v>45</v>
      </c>
      <c r="J447" s="564" t="s">
        <v>1069</v>
      </c>
      <c r="K447" s="564" t="s">
        <v>1090</v>
      </c>
      <c r="L447" s="564" t="s">
        <v>1071</v>
      </c>
      <c r="M447" s="564" t="s">
        <v>1124</v>
      </c>
      <c r="N447" s="564" t="s">
        <v>45</v>
      </c>
      <c r="O447" s="564" t="s">
        <v>197</v>
      </c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 spans="1:26" ht="13">
      <c r="A448" s="562" t="s">
        <v>2137</v>
      </c>
      <c r="B448" s="563" t="s">
        <v>2138</v>
      </c>
      <c r="C448" s="564" t="s">
        <v>1088</v>
      </c>
      <c r="D448" s="565">
        <v>39600</v>
      </c>
      <c r="E448" s="565">
        <v>44478</v>
      </c>
      <c r="F448" s="566">
        <v>531424500</v>
      </c>
      <c r="G448" s="564" t="s">
        <v>1961</v>
      </c>
      <c r="H448" s="564" t="s">
        <v>1897</v>
      </c>
      <c r="I448" s="564" t="s">
        <v>64</v>
      </c>
      <c r="J448" s="564" t="s">
        <v>1069</v>
      </c>
      <c r="K448" s="564" t="s">
        <v>1090</v>
      </c>
      <c r="L448" s="564" t="s">
        <v>1071</v>
      </c>
      <c r="M448" s="564" t="s">
        <v>1124</v>
      </c>
      <c r="N448" s="564" t="s">
        <v>64</v>
      </c>
      <c r="O448" s="564" t="s">
        <v>197</v>
      </c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 spans="1:26" ht="13">
      <c r="A449" s="562" t="s">
        <v>2139</v>
      </c>
      <c r="B449" s="563" t="s">
        <v>2140</v>
      </c>
      <c r="C449" s="564" t="s">
        <v>1612</v>
      </c>
      <c r="D449" s="565">
        <v>39556</v>
      </c>
      <c r="E449" s="565">
        <v>39752</v>
      </c>
      <c r="F449" s="566">
        <v>102616600</v>
      </c>
      <c r="G449" s="564" t="s">
        <v>2141</v>
      </c>
      <c r="H449" s="564" t="s">
        <v>2142</v>
      </c>
      <c r="I449" s="564" t="s">
        <v>64</v>
      </c>
      <c r="J449" s="564" t="s">
        <v>1069</v>
      </c>
      <c r="K449" s="564" t="s">
        <v>1090</v>
      </c>
      <c r="L449" s="564" t="s">
        <v>1390</v>
      </c>
      <c r="M449" s="564" t="s">
        <v>1390</v>
      </c>
      <c r="N449" s="564" t="s">
        <v>64</v>
      </c>
      <c r="O449" s="564" t="s">
        <v>38</v>
      </c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 spans="1:26" ht="13">
      <c r="A450" s="562" t="s">
        <v>2143</v>
      </c>
      <c r="B450" s="563" t="s">
        <v>2144</v>
      </c>
      <c r="C450" s="564" t="s">
        <v>1612</v>
      </c>
      <c r="D450" s="565">
        <v>39539</v>
      </c>
      <c r="E450" s="565">
        <v>41364</v>
      </c>
      <c r="F450" s="566">
        <v>62710664</v>
      </c>
      <c r="G450" s="564" t="s">
        <v>1911</v>
      </c>
      <c r="H450" s="564" t="s">
        <v>1911</v>
      </c>
      <c r="I450" s="564" t="s">
        <v>1068</v>
      </c>
      <c r="J450" s="564" t="s">
        <v>1069</v>
      </c>
      <c r="K450" s="564" t="s">
        <v>1070</v>
      </c>
      <c r="L450" s="564" t="s">
        <v>2098</v>
      </c>
      <c r="M450" s="564" t="s">
        <v>2098</v>
      </c>
      <c r="N450" s="564" t="s">
        <v>1073</v>
      </c>
      <c r="O450" s="564" t="s">
        <v>2099</v>
      </c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 spans="1:26" ht="13">
      <c r="A451" s="562" t="s">
        <v>2145</v>
      </c>
      <c r="B451" s="563" t="s">
        <v>2146</v>
      </c>
      <c r="C451" s="564" t="s">
        <v>1204</v>
      </c>
      <c r="D451" s="565">
        <v>43246</v>
      </c>
      <c r="E451" s="565">
        <v>45071</v>
      </c>
      <c r="F451" s="566">
        <v>1289346300</v>
      </c>
      <c r="G451" s="564" t="s">
        <v>1420</v>
      </c>
      <c r="H451" s="564" t="s">
        <v>1420</v>
      </c>
      <c r="I451" s="564" t="s">
        <v>64</v>
      </c>
      <c r="J451" s="564" t="s">
        <v>1069</v>
      </c>
      <c r="K451" s="564" t="s">
        <v>1090</v>
      </c>
      <c r="L451" s="564" t="s">
        <v>1189</v>
      </c>
      <c r="M451" s="564" t="s">
        <v>1206</v>
      </c>
      <c r="N451" s="564" t="s">
        <v>64</v>
      </c>
      <c r="O451" s="564" t="s">
        <v>1207</v>
      </c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spans="1:26" ht="13">
      <c r="A452" s="562" t="s">
        <v>2147</v>
      </c>
      <c r="B452" s="563" t="s">
        <v>2148</v>
      </c>
      <c r="C452" s="564" t="s">
        <v>1204</v>
      </c>
      <c r="D452" s="565">
        <v>44197</v>
      </c>
      <c r="E452" s="565">
        <v>44561</v>
      </c>
      <c r="F452" s="566">
        <v>11384880</v>
      </c>
      <c r="G452" s="564" t="s">
        <v>1420</v>
      </c>
      <c r="H452" s="564" t="s">
        <v>1420</v>
      </c>
      <c r="I452" s="564" t="s">
        <v>170</v>
      </c>
      <c r="J452" s="564" t="s">
        <v>1069</v>
      </c>
      <c r="K452" s="564" t="s">
        <v>1105</v>
      </c>
      <c r="L452" s="564" t="s">
        <v>1189</v>
      </c>
      <c r="M452" s="564" t="s">
        <v>1206</v>
      </c>
      <c r="N452" s="564" t="s">
        <v>170</v>
      </c>
      <c r="O452" s="564" t="s">
        <v>1207</v>
      </c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 spans="1:26" ht="13">
      <c r="A453" s="562" t="s">
        <v>2149</v>
      </c>
      <c r="B453" s="563" t="s">
        <v>2150</v>
      </c>
      <c r="C453" s="564" t="s">
        <v>1076</v>
      </c>
      <c r="D453" s="565">
        <v>44866</v>
      </c>
      <c r="E453" s="565">
        <v>45230</v>
      </c>
      <c r="F453" s="566">
        <v>162724800</v>
      </c>
      <c r="G453" s="564" t="s">
        <v>1297</v>
      </c>
      <c r="H453" s="564" t="s">
        <v>1025</v>
      </c>
      <c r="I453" s="564" t="s">
        <v>1161</v>
      </c>
      <c r="J453" s="564" t="s">
        <v>1079</v>
      </c>
      <c r="K453" s="564" t="s">
        <v>1090</v>
      </c>
      <c r="L453" s="564" t="s">
        <v>1071</v>
      </c>
      <c r="M453" s="564" t="s">
        <v>1072</v>
      </c>
      <c r="N453" s="564" t="s">
        <v>1073</v>
      </c>
      <c r="O453" s="564" t="s">
        <v>1176</v>
      </c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 spans="1:26" ht="13">
      <c r="A454" s="562" t="s">
        <v>2151</v>
      </c>
      <c r="B454" s="563" t="s">
        <v>2152</v>
      </c>
      <c r="C454" s="564" t="s">
        <v>1854</v>
      </c>
      <c r="D454" s="565">
        <v>39417</v>
      </c>
      <c r="E454" s="565">
        <v>40329</v>
      </c>
      <c r="F454" s="566">
        <v>6380000000</v>
      </c>
      <c r="G454" s="564" t="s">
        <v>2153</v>
      </c>
      <c r="H454" s="564" t="s">
        <v>2154</v>
      </c>
      <c r="I454" s="564" t="s">
        <v>45</v>
      </c>
      <c r="J454" s="564" t="s">
        <v>1069</v>
      </c>
      <c r="K454" s="564" t="s">
        <v>1090</v>
      </c>
      <c r="L454" s="564" t="s">
        <v>1189</v>
      </c>
      <c r="M454" s="564" t="s">
        <v>249</v>
      </c>
      <c r="N454" s="564" t="s">
        <v>45</v>
      </c>
      <c r="O454" s="564" t="s">
        <v>1190</v>
      </c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 spans="1:26" ht="13">
      <c r="A455" s="562" t="s">
        <v>2155</v>
      </c>
      <c r="B455" s="563" t="s">
        <v>2156</v>
      </c>
      <c r="C455" s="564" t="s">
        <v>1255</v>
      </c>
      <c r="D455" s="565">
        <v>39295</v>
      </c>
      <c r="E455" s="565">
        <v>40025</v>
      </c>
      <c r="F455" s="566">
        <v>449971000</v>
      </c>
      <c r="G455" s="564" t="s">
        <v>1911</v>
      </c>
      <c r="H455" s="564" t="s">
        <v>1911</v>
      </c>
      <c r="I455" s="564" t="s">
        <v>1068</v>
      </c>
      <c r="J455" s="564" t="s">
        <v>1069</v>
      </c>
      <c r="K455" s="564" t="s">
        <v>1070</v>
      </c>
      <c r="L455" s="564" t="s">
        <v>1071</v>
      </c>
      <c r="M455" s="564" t="s">
        <v>1124</v>
      </c>
      <c r="N455" s="564" t="s">
        <v>1073</v>
      </c>
      <c r="O455" s="564" t="s">
        <v>197</v>
      </c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 spans="1:26" ht="13">
      <c r="A456" s="562" t="s">
        <v>2157</v>
      </c>
      <c r="B456" s="563" t="s">
        <v>2158</v>
      </c>
      <c r="C456" s="564" t="s">
        <v>1066</v>
      </c>
      <c r="D456" s="565">
        <v>39295</v>
      </c>
      <c r="E456" s="565">
        <v>41121</v>
      </c>
      <c r="F456" s="566">
        <v>348180000</v>
      </c>
      <c r="G456" s="564" t="s">
        <v>1067</v>
      </c>
      <c r="H456" s="564" t="s">
        <v>1521</v>
      </c>
      <c r="I456" s="564" t="s">
        <v>1068</v>
      </c>
      <c r="J456" s="564" t="s">
        <v>1069</v>
      </c>
      <c r="K456" s="564" t="s">
        <v>1070</v>
      </c>
      <c r="L456" s="564" t="s">
        <v>1071</v>
      </c>
      <c r="M456" s="564" t="s">
        <v>1072</v>
      </c>
      <c r="N456" s="564" t="s">
        <v>1073</v>
      </c>
      <c r="O456" s="564" t="s">
        <v>1331</v>
      </c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 spans="1:26" ht="13">
      <c r="A457" s="562" t="s">
        <v>2159</v>
      </c>
      <c r="B457" s="563" t="s">
        <v>2160</v>
      </c>
      <c r="C457" s="564" t="s">
        <v>2122</v>
      </c>
      <c r="D457" s="565">
        <v>39295</v>
      </c>
      <c r="E457" s="565">
        <v>39660</v>
      </c>
      <c r="F457" s="566">
        <v>89304000</v>
      </c>
      <c r="G457" s="564" t="s">
        <v>2123</v>
      </c>
      <c r="H457" s="564" t="s">
        <v>2154</v>
      </c>
      <c r="I457" s="564" t="s">
        <v>170</v>
      </c>
      <c r="J457" s="564" t="s">
        <v>1069</v>
      </c>
      <c r="K457" s="564" t="s">
        <v>1105</v>
      </c>
      <c r="L457" s="564" t="s">
        <v>1189</v>
      </c>
      <c r="M457" s="564" t="s">
        <v>1189</v>
      </c>
      <c r="N457" s="564" t="s">
        <v>170</v>
      </c>
      <c r="O457" s="564" t="s">
        <v>1190</v>
      </c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 spans="1:26" ht="13">
      <c r="A458" s="562" t="s">
        <v>2161</v>
      </c>
      <c r="B458" s="563" t="s">
        <v>2162</v>
      </c>
      <c r="C458" s="564" t="s">
        <v>1204</v>
      </c>
      <c r="D458" s="565">
        <v>43282</v>
      </c>
      <c r="E458" s="565">
        <v>45107</v>
      </c>
      <c r="F458" s="566">
        <v>159666000</v>
      </c>
      <c r="G458" s="564" t="s">
        <v>1420</v>
      </c>
      <c r="H458" s="564" t="s">
        <v>1420</v>
      </c>
      <c r="I458" s="564" t="s">
        <v>225</v>
      </c>
      <c r="J458" s="564" t="s">
        <v>1069</v>
      </c>
      <c r="K458" s="564" t="s">
        <v>1105</v>
      </c>
      <c r="L458" s="564" t="s">
        <v>1189</v>
      </c>
      <c r="M458" s="564" t="s">
        <v>1206</v>
      </c>
      <c r="N458" s="564" t="s">
        <v>225</v>
      </c>
      <c r="O458" s="564" t="s">
        <v>1207</v>
      </c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 spans="1:26" ht="13">
      <c r="A459" s="562" t="s">
        <v>2163</v>
      </c>
      <c r="B459" s="563" t="s">
        <v>1991</v>
      </c>
      <c r="C459" s="564" t="s">
        <v>1066</v>
      </c>
      <c r="D459" s="565">
        <v>39295</v>
      </c>
      <c r="E459" s="565">
        <v>39813</v>
      </c>
      <c r="F459" s="566"/>
      <c r="G459" s="564" t="s">
        <v>1067</v>
      </c>
      <c r="H459" s="564"/>
      <c r="I459" s="564" t="s">
        <v>121</v>
      </c>
      <c r="J459" s="564" t="s">
        <v>1069</v>
      </c>
      <c r="K459" s="564" t="s">
        <v>1105</v>
      </c>
      <c r="L459" s="564" t="s">
        <v>1071</v>
      </c>
      <c r="M459" s="564" t="s">
        <v>1072</v>
      </c>
      <c r="N459" s="564" t="s">
        <v>1073</v>
      </c>
      <c r="O459" s="564" t="s">
        <v>1331</v>
      </c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 spans="1:26" ht="13">
      <c r="A460" s="562" t="s">
        <v>2164</v>
      </c>
      <c r="B460" s="563" t="s">
        <v>2165</v>
      </c>
      <c r="C460" s="564" t="s">
        <v>1066</v>
      </c>
      <c r="D460" s="565">
        <v>39295</v>
      </c>
      <c r="E460" s="565">
        <v>41121</v>
      </c>
      <c r="F460" s="566">
        <v>2144820000</v>
      </c>
      <c r="G460" s="564" t="s">
        <v>1067</v>
      </c>
      <c r="H460" s="564" t="s">
        <v>1067</v>
      </c>
      <c r="I460" s="564" t="s">
        <v>1068</v>
      </c>
      <c r="J460" s="564" t="s">
        <v>1069</v>
      </c>
      <c r="K460" s="564" t="s">
        <v>1070</v>
      </c>
      <c r="L460" s="564" t="s">
        <v>1071</v>
      </c>
      <c r="M460" s="564" t="s">
        <v>1072</v>
      </c>
      <c r="N460" s="564" t="s">
        <v>1073</v>
      </c>
      <c r="O460" s="564" t="s">
        <v>1176</v>
      </c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 spans="1:26" ht="13">
      <c r="A461" s="562" t="s">
        <v>2166</v>
      </c>
      <c r="B461" s="563" t="s">
        <v>2167</v>
      </c>
      <c r="C461" s="564" t="s">
        <v>1612</v>
      </c>
      <c r="D461" s="565">
        <v>39173</v>
      </c>
      <c r="E461" s="565">
        <v>41090</v>
      </c>
      <c r="F461" s="566">
        <v>991740000</v>
      </c>
      <c r="G461" s="564" t="s">
        <v>1067</v>
      </c>
      <c r="H461" s="564" t="s">
        <v>2168</v>
      </c>
      <c r="I461" s="564" t="s">
        <v>1068</v>
      </c>
      <c r="J461" s="564" t="s">
        <v>1069</v>
      </c>
      <c r="K461" s="564" t="s">
        <v>1070</v>
      </c>
      <c r="L461" s="564" t="s">
        <v>2098</v>
      </c>
      <c r="M461" s="564" t="s">
        <v>2098</v>
      </c>
      <c r="N461" s="564" t="s">
        <v>1073</v>
      </c>
      <c r="O461" s="564" t="s">
        <v>2099</v>
      </c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 spans="1:26" ht="13">
      <c r="A462" s="562" t="s">
        <v>2169</v>
      </c>
      <c r="B462" s="563" t="s">
        <v>2170</v>
      </c>
      <c r="C462" s="564" t="s">
        <v>1255</v>
      </c>
      <c r="D462" s="565">
        <v>39173</v>
      </c>
      <c r="E462" s="565">
        <v>41090</v>
      </c>
      <c r="F462" s="566">
        <v>617155800</v>
      </c>
      <c r="G462" s="564" t="s">
        <v>1911</v>
      </c>
      <c r="H462" s="564" t="s">
        <v>1911</v>
      </c>
      <c r="I462" s="564" t="s">
        <v>1068</v>
      </c>
      <c r="J462" s="564" t="s">
        <v>1069</v>
      </c>
      <c r="K462" s="564" t="s">
        <v>1070</v>
      </c>
      <c r="L462" s="564" t="s">
        <v>1071</v>
      </c>
      <c r="M462" s="564" t="s">
        <v>1091</v>
      </c>
      <c r="N462" s="564" t="s">
        <v>1073</v>
      </c>
      <c r="O462" s="564" t="s">
        <v>1092</v>
      </c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 spans="1:26" ht="13">
      <c r="A463" s="562" t="s">
        <v>2171</v>
      </c>
      <c r="B463" s="563" t="s">
        <v>2172</v>
      </c>
      <c r="C463" s="564" t="s">
        <v>1076</v>
      </c>
      <c r="D463" s="565">
        <v>44562</v>
      </c>
      <c r="E463" s="565">
        <v>45291</v>
      </c>
      <c r="F463" s="566">
        <v>12000000</v>
      </c>
      <c r="G463" s="564" t="s">
        <v>1297</v>
      </c>
      <c r="H463" s="564" t="s">
        <v>297</v>
      </c>
      <c r="I463" s="564" t="s">
        <v>1247</v>
      </c>
      <c r="J463" s="564" t="s">
        <v>1079</v>
      </c>
      <c r="K463" s="564" t="s">
        <v>1070</v>
      </c>
      <c r="L463" s="564" t="s">
        <v>1071</v>
      </c>
      <c r="M463" s="564" t="s">
        <v>1072</v>
      </c>
      <c r="N463" s="564" t="s">
        <v>1073</v>
      </c>
      <c r="O463" s="564" t="s">
        <v>1331</v>
      </c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 spans="1:26" ht="13">
      <c r="A464" s="562" t="s">
        <v>2173</v>
      </c>
      <c r="B464" s="563" t="s">
        <v>2174</v>
      </c>
      <c r="C464" s="564" t="s">
        <v>1204</v>
      </c>
      <c r="D464" s="565">
        <v>38718</v>
      </c>
      <c r="E464" s="565">
        <v>39813</v>
      </c>
      <c r="F464" s="566">
        <v>159740400</v>
      </c>
      <c r="G464" s="564" t="s">
        <v>2175</v>
      </c>
      <c r="H464" s="564"/>
      <c r="I464" s="564" t="s">
        <v>70</v>
      </c>
      <c r="J464" s="564" t="s">
        <v>1069</v>
      </c>
      <c r="K464" s="564" t="s">
        <v>1120</v>
      </c>
      <c r="L464" s="564" t="s">
        <v>1189</v>
      </c>
      <c r="M464" s="564" t="s">
        <v>1189</v>
      </c>
      <c r="N464" s="564" t="s">
        <v>70</v>
      </c>
      <c r="O464" s="564" t="s">
        <v>1190</v>
      </c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 spans="1:26" ht="13">
      <c r="A465" s="562" t="s">
        <v>2176</v>
      </c>
      <c r="B465" s="563" t="s">
        <v>1982</v>
      </c>
      <c r="C465" s="564" t="s">
        <v>1066</v>
      </c>
      <c r="D465" s="565">
        <v>39052</v>
      </c>
      <c r="E465" s="565">
        <v>40877</v>
      </c>
      <c r="F465" s="566"/>
      <c r="G465" s="564" t="s">
        <v>1521</v>
      </c>
      <c r="H465" s="564"/>
      <c r="I465" s="564" t="s">
        <v>2073</v>
      </c>
      <c r="J465" s="564" t="s">
        <v>1069</v>
      </c>
      <c r="K465" s="564" t="s">
        <v>1105</v>
      </c>
      <c r="L465" s="564" t="s">
        <v>1071</v>
      </c>
      <c r="M465" s="564" t="s">
        <v>1072</v>
      </c>
      <c r="N465" s="564" t="s">
        <v>225</v>
      </c>
      <c r="O465" s="564" t="s">
        <v>1176</v>
      </c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 spans="1:26" ht="13">
      <c r="A466" s="562" t="s">
        <v>2177</v>
      </c>
      <c r="B466" s="563" t="s">
        <v>2178</v>
      </c>
      <c r="C466" s="564" t="s">
        <v>1255</v>
      </c>
      <c r="D466" s="565">
        <v>38899</v>
      </c>
      <c r="E466" s="565">
        <v>39994</v>
      </c>
      <c r="F466" s="566">
        <v>35280000</v>
      </c>
      <c r="G466" s="564" t="s">
        <v>1529</v>
      </c>
      <c r="H466" s="564" t="s">
        <v>1529</v>
      </c>
      <c r="I466" s="564" t="s">
        <v>1247</v>
      </c>
      <c r="J466" s="564" t="s">
        <v>1069</v>
      </c>
      <c r="K466" s="564" t="s">
        <v>1070</v>
      </c>
      <c r="L466" s="564" t="s">
        <v>1071</v>
      </c>
      <c r="M466" s="564" t="s">
        <v>1183</v>
      </c>
      <c r="N466" s="564" t="s">
        <v>1073</v>
      </c>
      <c r="O466" s="564" t="s">
        <v>1184</v>
      </c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 spans="1:26" ht="13">
      <c r="A467" s="562" t="s">
        <v>2179</v>
      </c>
      <c r="B467" s="563" t="s">
        <v>2072</v>
      </c>
      <c r="C467" s="564" t="s">
        <v>1066</v>
      </c>
      <c r="D467" s="565">
        <v>39083</v>
      </c>
      <c r="E467" s="565">
        <v>39813</v>
      </c>
      <c r="F467" s="566">
        <v>42576000</v>
      </c>
      <c r="G467" s="564" t="s">
        <v>1067</v>
      </c>
      <c r="H467" s="564"/>
      <c r="I467" s="564" t="s">
        <v>2073</v>
      </c>
      <c r="J467" s="564" t="s">
        <v>1069</v>
      </c>
      <c r="K467" s="564" t="s">
        <v>1105</v>
      </c>
      <c r="L467" s="564" t="s">
        <v>1071</v>
      </c>
      <c r="M467" s="564" t="s">
        <v>1072</v>
      </c>
      <c r="N467" s="564" t="s">
        <v>225</v>
      </c>
      <c r="O467" s="564" t="s">
        <v>1331</v>
      </c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 spans="1:26" ht="13">
      <c r="A468" s="562" t="s">
        <v>2180</v>
      </c>
      <c r="B468" s="563" t="s">
        <v>2181</v>
      </c>
      <c r="C468" s="564" t="s">
        <v>1255</v>
      </c>
      <c r="D468" s="565">
        <v>38808</v>
      </c>
      <c r="E468" s="565">
        <v>40999</v>
      </c>
      <c r="F468" s="566">
        <v>582012000</v>
      </c>
      <c r="G468" s="564" t="s">
        <v>1604</v>
      </c>
      <c r="H468" s="564" t="s">
        <v>1604</v>
      </c>
      <c r="I468" s="564" t="s">
        <v>2019</v>
      </c>
      <c r="J468" s="564" t="s">
        <v>1069</v>
      </c>
      <c r="K468" s="564" t="s">
        <v>1209</v>
      </c>
      <c r="L468" s="564" t="s">
        <v>1071</v>
      </c>
      <c r="M468" s="564" t="s">
        <v>1124</v>
      </c>
      <c r="N468" s="564" t="s">
        <v>1082</v>
      </c>
      <c r="O468" s="564" t="s">
        <v>241</v>
      </c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 spans="1:26" ht="13">
      <c r="A469" s="562" t="s">
        <v>2182</v>
      </c>
      <c r="B469" s="563" t="s">
        <v>2183</v>
      </c>
      <c r="C469" s="564" t="s">
        <v>1066</v>
      </c>
      <c r="D469" s="565">
        <v>39083</v>
      </c>
      <c r="E469" s="565">
        <v>40359</v>
      </c>
      <c r="F469" s="566">
        <v>134363000</v>
      </c>
      <c r="G469" s="564" t="s">
        <v>1521</v>
      </c>
      <c r="H469" s="564"/>
      <c r="I469" s="564" t="s">
        <v>2184</v>
      </c>
      <c r="J469" s="564" t="s">
        <v>1069</v>
      </c>
      <c r="K469" s="564" t="s">
        <v>1070</v>
      </c>
      <c r="L469" s="564" t="s">
        <v>1071</v>
      </c>
      <c r="M469" s="564" t="s">
        <v>1072</v>
      </c>
      <c r="N469" s="564" t="s">
        <v>1082</v>
      </c>
      <c r="O469" s="564" t="s">
        <v>1176</v>
      </c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 spans="1:26" ht="13">
      <c r="A470" s="562" t="s">
        <v>2185</v>
      </c>
      <c r="B470" s="563" t="s">
        <v>2186</v>
      </c>
      <c r="C470" s="564" t="s">
        <v>1204</v>
      </c>
      <c r="D470" s="565">
        <v>43282</v>
      </c>
      <c r="E470" s="565">
        <v>45107</v>
      </c>
      <c r="F470" s="566">
        <v>1193574990</v>
      </c>
      <c r="G470" s="564" t="s">
        <v>1420</v>
      </c>
      <c r="H470" s="564" t="s">
        <v>1420</v>
      </c>
      <c r="I470" s="564" t="s">
        <v>70</v>
      </c>
      <c r="J470" s="564" t="s">
        <v>1069</v>
      </c>
      <c r="K470" s="564" t="s">
        <v>1120</v>
      </c>
      <c r="L470" s="564" t="s">
        <v>1189</v>
      </c>
      <c r="M470" s="564" t="s">
        <v>1206</v>
      </c>
      <c r="N470" s="564" t="s">
        <v>70</v>
      </c>
      <c r="O470" s="564" t="s">
        <v>1207</v>
      </c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 spans="1:26" ht="13">
      <c r="A471" s="562" t="s">
        <v>2187</v>
      </c>
      <c r="B471" s="563" t="s">
        <v>2188</v>
      </c>
      <c r="C471" s="564" t="s">
        <v>1204</v>
      </c>
      <c r="D471" s="565">
        <v>38737</v>
      </c>
      <c r="E471" s="565">
        <v>40562</v>
      </c>
      <c r="F471" s="566">
        <v>11937084000</v>
      </c>
      <c r="G471" s="564" t="s">
        <v>1933</v>
      </c>
      <c r="H471" s="564"/>
      <c r="I471" s="564" t="s">
        <v>45</v>
      </c>
      <c r="J471" s="564" t="s">
        <v>1069</v>
      </c>
      <c r="K471" s="564" t="s">
        <v>1090</v>
      </c>
      <c r="L471" s="564" t="s">
        <v>1189</v>
      </c>
      <c r="M471" s="564" t="s">
        <v>1206</v>
      </c>
      <c r="N471" s="564" t="s">
        <v>45</v>
      </c>
      <c r="O471" s="564" t="s">
        <v>1207</v>
      </c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 spans="1:26" ht="13">
      <c r="A472" s="562" t="s">
        <v>2189</v>
      </c>
      <c r="B472" s="563" t="s">
        <v>2190</v>
      </c>
      <c r="C472" s="564" t="s">
        <v>2191</v>
      </c>
      <c r="D472" s="565">
        <v>38777</v>
      </c>
      <c r="E472" s="565">
        <v>38828</v>
      </c>
      <c r="F472" s="566"/>
      <c r="G472" s="564" t="s">
        <v>2192</v>
      </c>
      <c r="H472" s="564"/>
      <c r="I472" s="564" t="s">
        <v>2019</v>
      </c>
      <c r="J472" s="564" t="s">
        <v>1069</v>
      </c>
      <c r="K472" s="564" t="s">
        <v>1209</v>
      </c>
      <c r="L472" s="564" t="s">
        <v>1071</v>
      </c>
      <c r="M472" s="564" t="s">
        <v>1091</v>
      </c>
      <c r="N472" s="564" t="s">
        <v>1082</v>
      </c>
      <c r="O472" s="564" t="s">
        <v>241</v>
      </c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 spans="1:26" ht="13">
      <c r="A473" s="562" t="s">
        <v>2193</v>
      </c>
      <c r="B473" s="563" t="s">
        <v>2194</v>
      </c>
      <c r="C473" s="564" t="s">
        <v>1726</v>
      </c>
      <c r="D473" s="565">
        <v>38718</v>
      </c>
      <c r="E473" s="565">
        <v>40178</v>
      </c>
      <c r="F473" s="566">
        <v>318816000</v>
      </c>
      <c r="G473" s="564" t="s">
        <v>2154</v>
      </c>
      <c r="H473" s="564"/>
      <c r="I473" s="564" t="s">
        <v>802</v>
      </c>
      <c r="J473" s="564" t="s">
        <v>1069</v>
      </c>
      <c r="K473" s="564" t="s">
        <v>1198</v>
      </c>
      <c r="L473" s="564" t="s">
        <v>1189</v>
      </c>
      <c r="M473" s="564" t="s">
        <v>1189</v>
      </c>
      <c r="N473" s="564" t="s">
        <v>132</v>
      </c>
      <c r="O473" s="564" t="s">
        <v>1190</v>
      </c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 spans="1:26" ht="13">
      <c r="A474" s="562" t="s">
        <v>2195</v>
      </c>
      <c r="B474" s="563" t="s">
        <v>1985</v>
      </c>
      <c r="C474" s="564" t="s">
        <v>1066</v>
      </c>
      <c r="D474" s="565">
        <v>38626</v>
      </c>
      <c r="E474" s="565">
        <v>40451</v>
      </c>
      <c r="F474" s="566">
        <v>759300000</v>
      </c>
      <c r="G474" s="564" t="s">
        <v>1067</v>
      </c>
      <c r="H474" s="564"/>
      <c r="I474" s="564" t="s">
        <v>257</v>
      </c>
      <c r="J474" s="564" t="s">
        <v>1069</v>
      </c>
      <c r="K474" s="564" t="s">
        <v>1209</v>
      </c>
      <c r="L474" s="564" t="s">
        <v>1071</v>
      </c>
      <c r="M474" s="564" t="s">
        <v>1072</v>
      </c>
      <c r="N474" s="564" t="s">
        <v>257</v>
      </c>
      <c r="O474" s="564" t="s">
        <v>1176</v>
      </c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 spans="1:26" ht="13">
      <c r="A475" s="562" t="s">
        <v>2196</v>
      </c>
      <c r="B475" s="563" t="s">
        <v>2197</v>
      </c>
      <c r="C475" s="564" t="s">
        <v>1854</v>
      </c>
      <c r="D475" s="565">
        <v>38572</v>
      </c>
      <c r="E475" s="565">
        <v>38663</v>
      </c>
      <c r="F475" s="566">
        <v>25000000</v>
      </c>
      <c r="G475" s="564" t="s">
        <v>2154</v>
      </c>
      <c r="H475" s="564"/>
      <c r="I475" s="564" t="s">
        <v>45</v>
      </c>
      <c r="J475" s="564" t="s">
        <v>1069</v>
      </c>
      <c r="K475" s="564" t="s">
        <v>1090</v>
      </c>
      <c r="L475" s="564" t="s">
        <v>1189</v>
      </c>
      <c r="M475" s="564" t="s">
        <v>1189</v>
      </c>
      <c r="N475" s="564" t="s">
        <v>45</v>
      </c>
      <c r="O475" s="564" t="s">
        <v>1190</v>
      </c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 spans="1:26" ht="13">
      <c r="A476" s="562" t="s">
        <v>2198</v>
      </c>
      <c r="B476" s="563" t="s">
        <v>2199</v>
      </c>
      <c r="C476" s="564" t="s">
        <v>1854</v>
      </c>
      <c r="D476" s="565">
        <v>38565</v>
      </c>
      <c r="E476" s="565">
        <v>38686</v>
      </c>
      <c r="F476" s="566">
        <v>61800000</v>
      </c>
      <c r="G476" s="564" t="s">
        <v>2154</v>
      </c>
      <c r="H476" s="564"/>
      <c r="I476" s="564" t="s">
        <v>45</v>
      </c>
      <c r="J476" s="564" t="s">
        <v>1069</v>
      </c>
      <c r="K476" s="564" t="s">
        <v>1090</v>
      </c>
      <c r="L476" s="564" t="s">
        <v>1189</v>
      </c>
      <c r="M476" s="564" t="s">
        <v>1189</v>
      </c>
      <c r="N476" s="564" t="s">
        <v>45</v>
      </c>
      <c r="O476" s="564" t="s">
        <v>1190</v>
      </c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 spans="1:26" ht="13">
      <c r="A477" s="562" t="s">
        <v>2200</v>
      </c>
      <c r="B477" s="563" t="s">
        <v>2201</v>
      </c>
      <c r="C477" s="564" t="s">
        <v>2122</v>
      </c>
      <c r="D477" s="565">
        <v>38461</v>
      </c>
      <c r="E477" s="565">
        <v>38522</v>
      </c>
      <c r="F477" s="566">
        <v>13000000</v>
      </c>
      <c r="G477" s="564" t="s">
        <v>2202</v>
      </c>
      <c r="H477" s="564"/>
      <c r="I477" s="564" t="s">
        <v>170</v>
      </c>
      <c r="J477" s="564" t="s">
        <v>1069</v>
      </c>
      <c r="K477" s="564" t="s">
        <v>1105</v>
      </c>
      <c r="L477" s="564" t="s">
        <v>1189</v>
      </c>
      <c r="M477" s="564" t="s">
        <v>1189</v>
      </c>
      <c r="N477" s="564" t="s">
        <v>170</v>
      </c>
      <c r="O477" s="564" t="s">
        <v>1190</v>
      </c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 spans="1:26" ht="13">
      <c r="A478" s="562" t="s">
        <v>2203</v>
      </c>
      <c r="B478" s="563" t="s">
        <v>2204</v>
      </c>
      <c r="C478" s="564" t="s">
        <v>2122</v>
      </c>
      <c r="D478" s="565">
        <v>38718</v>
      </c>
      <c r="E478" s="565">
        <v>39813</v>
      </c>
      <c r="F478" s="566">
        <v>27480000</v>
      </c>
      <c r="G478" s="564" t="s">
        <v>1067</v>
      </c>
      <c r="H478" s="564"/>
      <c r="I478" s="564" t="s">
        <v>170</v>
      </c>
      <c r="J478" s="564" t="s">
        <v>1069</v>
      </c>
      <c r="K478" s="564" t="s">
        <v>1105</v>
      </c>
      <c r="L478" s="564" t="s">
        <v>1189</v>
      </c>
      <c r="M478" s="564" t="s">
        <v>1189</v>
      </c>
      <c r="N478" s="564" t="s">
        <v>170</v>
      </c>
      <c r="O478" s="564" t="s">
        <v>1190</v>
      </c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 spans="1:26" ht="13">
      <c r="A479" s="562" t="s">
        <v>2205</v>
      </c>
      <c r="B479" s="563" t="s">
        <v>2206</v>
      </c>
      <c r="C479" s="564" t="s">
        <v>1726</v>
      </c>
      <c r="D479" s="565">
        <v>38718</v>
      </c>
      <c r="E479" s="565">
        <v>39599</v>
      </c>
      <c r="F479" s="566">
        <v>1312230495</v>
      </c>
      <c r="G479" s="564" t="s">
        <v>1807</v>
      </c>
      <c r="H479" s="564"/>
      <c r="I479" s="564" t="s">
        <v>802</v>
      </c>
      <c r="J479" s="564" t="s">
        <v>1069</v>
      </c>
      <c r="K479" s="564" t="s">
        <v>1198</v>
      </c>
      <c r="L479" s="564" t="s">
        <v>1189</v>
      </c>
      <c r="M479" s="564" t="s">
        <v>1189</v>
      </c>
      <c r="N479" s="564" t="s">
        <v>132</v>
      </c>
      <c r="O479" s="564" t="s">
        <v>1190</v>
      </c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 spans="1:26" ht="13">
      <c r="A480" s="562" t="s">
        <v>2207</v>
      </c>
      <c r="B480" s="563" t="s">
        <v>2208</v>
      </c>
      <c r="C480" s="564" t="s">
        <v>1255</v>
      </c>
      <c r="D480" s="565">
        <v>39083</v>
      </c>
      <c r="E480" s="565">
        <v>39813</v>
      </c>
      <c r="F480" s="566">
        <v>6000000</v>
      </c>
      <c r="G480" s="564" t="s">
        <v>1780</v>
      </c>
      <c r="H480" s="564"/>
      <c r="I480" s="564" t="s">
        <v>2209</v>
      </c>
      <c r="J480" s="564" t="s">
        <v>1069</v>
      </c>
      <c r="K480" s="564" t="s">
        <v>1070</v>
      </c>
      <c r="L480" s="564" t="s">
        <v>1071</v>
      </c>
      <c r="M480" s="564" t="s">
        <v>1124</v>
      </c>
      <c r="N480" s="564" t="s">
        <v>1082</v>
      </c>
      <c r="O480" s="564" t="s">
        <v>2004</v>
      </c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 spans="1:26" ht="13">
      <c r="A481" s="562" t="s">
        <v>2210</v>
      </c>
      <c r="B481" s="563" t="s">
        <v>2211</v>
      </c>
      <c r="C481" s="564" t="s">
        <v>1255</v>
      </c>
      <c r="D481" s="565">
        <v>37865</v>
      </c>
      <c r="E481" s="565">
        <v>39691</v>
      </c>
      <c r="F481" s="566">
        <v>1386810000</v>
      </c>
      <c r="G481" s="564" t="s">
        <v>1780</v>
      </c>
      <c r="H481" s="564"/>
      <c r="I481" s="564" t="s">
        <v>2041</v>
      </c>
      <c r="J481" s="564" t="s">
        <v>1069</v>
      </c>
      <c r="K481" s="564" t="s">
        <v>1105</v>
      </c>
      <c r="L481" s="564" t="s">
        <v>1071</v>
      </c>
      <c r="M481" s="564" t="s">
        <v>1124</v>
      </c>
      <c r="N481" s="564" t="s">
        <v>1073</v>
      </c>
      <c r="O481" s="564" t="s">
        <v>2004</v>
      </c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 spans="1:26" ht="13">
      <c r="A482" s="562" t="s">
        <v>2212</v>
      </c>
      <c r="B482" s="563" t="s">
        <v>2213</v>
      </c>
      <c r="C482" s="564" t="s">
        <v>1255</v>
      </c>
      <c r="D482" s="565">
        <v>39083</v>
      </c>
      <c r="E482" s="565">
        <v>39813</v>
      </c>
      <c r="F482" s="566">
        <v>12840000</v>
      </c>
      <c r="G482" s="564" t="s">
        <v>1780</v>
      </c>
      <c r="H482" s="564"/>
      <c r="I482" s="564" t="s">
        <v>170</v>
      </c>
      <c r="J482" s="564" t="s">
        <v>1069</v>
      </c>
      <c r="K482" s="564" t="s">
        <v>1105</v>
      </c>
      <c r="L482" s="564" t="s">
        <v>1071</v>
      </c>
      <c r="M482" s="564" t="s">
        <v>1124</v>
      </c>
      <c r="N482" s="564" t="s">
        <v>170</v>
      </c>
      <c r="O482" s="564" t="s">
        <v>2004</v>
      </c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 spans="1:26" ht="13">
      <c r="A483" s="562" t="s">
        <v>2214</v>
      </c>
      <c r="B483" s="563" t="s">
        <v>2215</v>
      </c>
      <c r="C483" s="564" t="s">
        <v>1255</v>
      </c>
      <c r="D483" s="565">
        <v>39083</v>
      </c>
      <c r="E483" s="565">
        <v>39813</v>
      </c>
      <c r="F483" s="566">
        <v>37440000</v>
      </c>
      <c r="G483" s="564" t="s">
        <v>1780</v>
      </c>
      <c r="H483" s="564"/>
      <c r="I483" s="564" t="s">
        <v>70</v>
      </c>
      <c r="J483" s="564" t="s">
        <v>1069</v>
      </c>
      <c r="K483" s="564" t="s">
        <v>1120</v>
      </c>
      <c r="L483" s="564" t="s">
        <v>1071</v>
      </c>
      <c r="M483" s="564" t="s">
        <v>1124</v>
      </c>
      <c r="N483" s="564" t="s">
        <v>70</v>
      </c>
      <c r="O483" s="564" t="s">
        <v>2004</v>
      </c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 spans="1:26" ht="13">
      <c r="A484" s="562" t="s">
        <v>2216</v>
      </c>
      <c r="B484" s="563" t="s">
        <v>2217</v>
      </c>
      <c r="C484" s="564" t="s">
        <v>1255</v>
      </c>
      <c r="D484" s="565">
        <v>39083</v>
      </c>
      <c r="E484" s="565">
        <v>39813</v>
      </c>
      <c r="F484" s="566">
        <v>6000000</v>
      </c>
      <c r="G484" s="564" t="s">
        <v>1780</v>
      </c>
      <c r="H484" s="564"/>
      <c r="I484" s="564" t="s">
        <v>257</v>
      </c>
      <c r="J484" s="564" t="s">
        <v>1069</v>
      </c>
      <c r="K484" s="564" t="s">
        <v>1209</v>
      </c>
      <c r="L484" s="564" t="s">
        <v>1071</v>
      </c>
      <c r="M484" s="564" t="s">
        <v>1124</v>
      </c>
      <c r="N484" s="564" t="s">
        <v>257</v>
      </c>
      <c r="O484" s="564" t="s">
        <v>2004</v>
      </c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 spans="1:26" ht="13">
      <c r="A485" s="562" t="s">
        <v>2218</v>
      </c>
      <c r="B485" s="563" t="s">
        <v>2219</v>
      </c>
      <c r="C485" s="564" t="s">
        <v>1255</v>
      </c>
      <c r="D485" s="565">
        <v>38718</v>
      </c>
      <c r="E485" s="565">
        <v>39447</v>
      </c>
      <c r="F485" s="566"/>
      <c r="G485" s="564" t="s">
        <v>1780</v>
      </c>
      <c r="H485" s="564"/>
      <c r="I485" s="564" t="s">
        <v>45</v>
      </c>
      <c r="J485" s="564" t="s">
        <v>1069</v>
      </c>
      <c r="K485" s="564" t="s">
        <v>1090</v>
      </c>
      <c r="L485" s="564" t="s">
        <v>1071</v>
      </c>
      <c r="M485" s="564" t="s">
        <v>1124</v>
      </c>
      <c r="N485" s="564" t="s">
        <v>45</v>
      </c>
      <c r="O485" s="564" t="s">
        <v>2004</v>
      </c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 spans="1:26" ht="13">
      <c r="A486" s="562" t="s">
        <v>2220</v>
      </c>
      <c r="B486" s="563" t="s">
        <v>2221</v>
      </c>
      <c r="C486" s="564" t="s">
        <v>1854</v>
      </c>
      <c r="D486" s="565">
        <v>38518</v>
      </c>
      <c r="E486" s="565">
        <v>38700</v>
      </c>
      <c r="F486" s="566">
        <v>26000000</v>
      </c>
      <c r="G486" s="564" t="s">
        <v>2222</v>
      </c>
      <c r="H486" s="564"/>
      <c r="I486" s="564" t="s">
        <v>45</v>
      </c>
      <c r="J486" s="564" t="s">
        <v>1069</v>
      </c>
      <c r="K486" s="564" t="s">
        <v>1090</v>
      </c>
      <c r="L486" s="564" t="s">
        <v>1189</v>
      </c>
      <c r="M486" s="564" t="s">
        <v>1189</v>
      </c>
      <c r="N486" s="564" t="s">
        <v>45</v>
      </c>
      <c r="O486" s="564" t="s">
        <v>1190</v>
      </c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 spans="1:26" ht="13">
      <c r="A487" s="562" t="s">
        <v>2223</v>
      </c>
      <c r="B487" s="563" t="s">
        <v>2224</v>
      </c>
      <c r="C487" s="564" t="s">
        <v>1255</v>
      </c>
      <c r="D487" s="565">
        <v>38899</v>
      </c>
      <c r="E487" s="565">
        <v>40724</v>
      </c>
      <c r="F487" s="566">
        <v>473736000</v>
      </c>
      <c r="G487" s="564" t="s">
        <v>1529</v>
      </c>
      <c r="H487" s="564" t="s">
        <v>1529</v>
      </c>
      <c r="I487" s="564" t="s">
        <v>2073</v>
      </c>
      <c r="J487" s="564" t="s">
        <v>1069</v>
      </c>
      <c r="K487" s="564" t="s">
        <v>1105</v>
      </c>
      <c r="L487" s="564" t="s">
        <v>1071</v>
      </c>
      <c r="M487" s="564" t="s">
        <v>1183</v>
      </c>
      <c r="N487" s="564" t="s">
        <v>225</v>
      </c>
      <c r="O487" s="564" t="s">
        <v>1184</v>
      </c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spans="1:26" ht="13">
      <c r="A488" s="562" t="s">
        <v>2225</v>
      </c>
      <c r="B488" s="563" t="s">
        <v>1980</v>
      </c>
      <c r="C488" s="564" t="s">
        <v>1066</v>
      </c>
      <c r="D488" s="565">
        <v>38412</v>
      </c>
      <c r="E488" s="565">
        <v>40237</v>
      </c>
      <c r="F488" s="566">
        <v>372000000</v>
      </c>
      <c r="G488" s="564" t="s">
        <v>1067</v>
      </c>
      <c r="H488" s="564"/>
      <c r="I488" s="564" t="s">
        <v>170</v>
      </c>
      <c r="J488" s="564" t="s">
        <v>1069</v>
      </c>
      <c r="K488" s="564" t="s">
        <v>1105</v>
      </c>
      <c r="L488" s="564" t="s">
        <v>1071</v>
      </c>
      <c r="M488" s="564" t="s">
        <v>1072</v>
      </c>
      <c r="N488" s="564" t="s">
        <v>170</v>
      </c>
      <c r="O488" s="564" t="s">
        <v>1176</v>
      </c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 spans="1:26" ht="13">
      <c r="A489" s="562" t="s">
        <v>2226</v>
      </c>
      <c r="B489" s="563" t="s">
        <v>1978</v>
      </c>
      <c r="C489" s="564" t="s">
        <v>1066</v>
      </c>
      <c r="D489" s="565">
        <v>38292</v>
      </c>
      <c r="E489" s="565">
        <v>40117</v>
      </c>
      <c r="F489" s="566">
        <v>3900000000</v>
      </c>
      <c r="G489" s="564" t="s">
        <v>1067</v>
      </c>
      <c r="H489" s="564"/>
      <c r="I489" s="564" t="s">
        <v>70</v>
      </c>
      <c r="J489" s="564" t="s">
        <v>1069</v>
      </c>
      <c r="K489" s="564" t="s">
        <v>1120</v>
      </c>
      <c r="L489" s="564" t="s">
        <v>1071</v>
      </c>
      <c r="M489" s="564" t="s">
        <v>1072</v>
      </c>
      <c r="N489" s="564" t="s">
        <v>70</v>
      </c>
      <c r="O489" s="564" t="s">
        <v>1176</v>
      </c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spans="1:26" ht="13">
      <c r="A490" s="562" t="s">
        <v>2227</v>
      </c>
      <c r="B490" s="563" t="s">
        <v>2228</v>
      </c>
      <c r="C490" s="564" t="s">
        <v>1255</v>
      </c>
      <c r="D490" s="565">
        <v>39083</v>
      </c>
      <c r="E490" s="565">
        <v>40694</v>
      </c>
      <c r="F490" s="567"/>
      <c r="G490" s="564" t="s">
        <v>1529</v>
      </c>
      <c r="H490" s="564" t="s">
        <v>1529</v>
      </c>
      <c r="I490" s="564" t="s">
        <v>2184</v>
      </c>
      <c r="J490" s="564" t="s">
        <v>1069</v>
      </c>
      <c r="K490" s="564" t="s">
        <v>1070</v>
      </c>
      <c r="L490" s="564" t="s">
        <v>1071</v>
      </c>
      <c r="M490" s="564" t="s">
        <v>1183</v>
      </c>
      <c r="N490" s="564" t="s">
        <v>1082</v>
      </c>
      <c r="O490" s="564" t="s">
        <v>1184</v>
      </c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 spans="1:26" ht="13">
      <c r="A491" s="562" t="s">
        <v>2229</v>
      </c>
      <c r="B491" s="563" t="s">
        <v>2230</v>
      </c>
      <c r="C491" s="564" t="s">
        <v>1255</v>
      </c>
      <c r="D491" s="565">
        <v>38899</v>
      </c>
      <c r="E491" s="565">
        <v>40724</v>
      </c>
      <c r="F491" s="566">
        <v>74494320</v>
      </c>
      <c r="G491" s="564" t="s">
        <v>1529</v>
      </c>
      <c r="H491" s="564" t="s">
        <v>1529</v>
      </c>
      <c r="I491" s="564" t="s">
        <v>170</v>
      </c>
      <c r="J491" s="564" t="s">
        <v>1069</v>
      </c>
      <c r="K491" s="564" t="s">
        <v>1105</v>
      </c>
      <c r="L491" s="564" t="s">
        <v>1071</v>
      </c>
      <c r="M491" s="564" t="s">
        <v>1183</v>
      </c>
      <c r="N491" s="564" t="s">
        <v>170</v>
      </c>
      <c r="O491" s="564" t="s">
        <v>1184</v>
      </c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 spans="1:26" ht="13">
      <c r="A492" s="562" t="s">
        <v>2231</v>
      </c>
      <c r="B492" s="563" t="s">
        <v>2232</v>
      </c>
      <c r="C492" s="564" t="s">
        <v>1255</v>
      </c>
      <c r="D492" s="565">
        <v>39295</v>
      </c>
      <c r="E492" s="565">
        <v>40390</v>
      </c>
      <c r="F492" s="566">
        <v>3351600000</v>
      </c>
      <c r="G492" s="564" t="s">
        <v>1529</v>
      </c>
      <c r="H492" s="564" t="s">
        <v>1529</v>
      </c>
      <c r="I492" s="564" t="s">
        <v>45</v>
      </c>
      <c r="J492" s="564" t="s">
        <v>1069</v>
      </c>
      <c r="K492" s="564" t="s">
        <v>1090</v>
      </c>
      <c r="L492" s="564" t="s">
        <v>1071</v>
      </c>
      <c r="M492" s="564" t="s">
        <v>1183</v>
      </c>
      <c r="N492" s="564" t="s">
        <v>45</v>
      </c>
      <c r="O492" s="564" t="s">
        <v>1184</v>
      </c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 spans="1:26" ht="13">
      <c r="A493" s="562" t="s">
        <v>2233</v>
      </c>
      <c r="B493" s="563" t="s">
        <v>2234</v>
      </c>
      <c r="C493" s="564" t="s">
        <v>1255</v>
      </c>
      <c r="D493" s="565">
        <v>38412</v>
      </c>
      <c r="E493" s="565">
        <v>40602</v>
      </c>
      <c r="F493" s="566">
        <v>16885680</v>
      </c>
      <c r="G493" s="564" t="s">
        <v>1529</v>
      </c>
      <c r="H493" s="564" t="s">
        <v>1529</v>
      </c>
      <c r="I493" s="564" t="s">
        <v>1966</v>
      </c>
      <c r="J493" s="564" t="s">
        <v>1069</v>
      </c>
      <c r="K493" s="564" t="s">
        <v>1070</v>
      </c>
      <c r="L493" s="564" t="s">
        <v>1071</v>
      </c>
      <c r="M493" s="564" t="s">
        <v>1183</v>
      </c>
      <c r="N493" s="564" t="s">
        <v>1082</v>
      </c>
      <c r="O493" s="564" t="s">
        <v>1184</v>
      </c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 spans="1:26" ht="13">
      <c r="A494" s="562" t="s">
        <v>2235</v>
      </c>
      <c r="B494" s="563" t="s">
        <v>2236</v>
      </c>
      <c r="C494" s="564" t="s">
        <v>1255</v>
      </c>
      <c r="D494" s="565">
        <v>38473</v>
      </c>
      <c r="E494" s="565">
        <v>39933</v>
      </c>
      <c r="F494" s="566">
        <v>77911200</v>
      </c>
      <c r="G494" s="564" t="s">
        <v>1529</v>
      </c>
      <c r="H494" s="564" t="s">
        <v>1529</v>
      </c>
      <c r="I494" s="564" t="s">
        <v>802</v>
      </c>
      <c r="J494" s="564" t="s">
        <v>1069</v>
      </c>
      <c r="K494" s="564" t="s">
        <v>1198</v>
      </c>
      <c r="L494" s="564" t="s">
        <v>1071</v>
      </c>
      <c r="M494" s="564" t="s">
        <v>1183</v>
      </c>
      <c r="N494" s="564" t="s">
        <v>132</v>
      </c>
      <c r="O494" s="564" t="s">
        <v>1184</v>
      </c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 spans="1:26" ht="13">
      <c r="A495" s="562" t="s">
        <v>2237</v>
      </c>
      <c r="B495" s="563" t="s">
        <v>2238</v>
      </c>
      <c r="C495" s="564" t="s">
        <v>1255</v>
      </c>
      <c r="D495" s="565">
        <v>38443</v>
      </c>
      <c r="E495" s="565">
        <v>40633</v>
      </c>
      <c r="F495" s="566">
        <v>151657200</v>
      </c>
      <c r="G495" s="564" t="s">
        <v>1529</v>
      </c>
      <c r="H495" s="564" t="s">
        <v>1529</v>
      </c>
      <c r="I495" s="564" t="s">
        <v>257</v>
      </c>
      <c r="J495" s="564" t="s">
        <v>1069</v>
      </c>
      <c r="K495" s="564" t="s">
        <v>1209</v>
      </c>
      <c r="L495" s="564" t="s">
        <v>1071</v>
      </c>
      <c r="M495" s="564" t="s">
        <v>1183</v>
      </c>
      <c r="N495" s="564" t="s">
        <v>257</v>
      </c>
      <c r="O495" s="564" t="s">
        <v>1184</v>
      </c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 spans="1:26" ht="13">
      <c r="A496" s="562" t="s">
        <v>2239</v>
      </c>
      <c r="B496" s="563" t="s">
        <v>2240</v>
      </c>
      <c r="C496" s="564" t="s">
        <v>1255</v>
      </c>
      <c r="D496" s="565">
        <v>38353</v>
      </c>
      <c r="E496" s="565">
        <v>39447</v>
      </c>
      <c r="F496" s="567"/>
      <c r="G496" s="564" t="s">
        <v>2241</v>
      </c>
      <c r="H496" s="564"/>
      <c r="I496" s="564" t="s">
        <v>70</v>
      </c>
      <c r="J496" s="564" t="s">
        <v>1069</v>
      </c>
      <c r="K496" s="564" t="s">
        <v>1120</v>
      </c>
      <c r="L496" s="564" t="s">
        <v>1071</v>
      </c>
      <c r="M496" s="564" t="s">
        <v>1183</v>
      </c>
      <c r="N496" s="564" t="s">
        <v>70</v>
      </c>
      <c r="O496" s="564" t="s">
        <v>1184</v>
      </c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 spans="1:26" ht="13">
      <c r="A497" s="562" t="s">
        <v>2242</v>
      </c>
      <c r="B497" s="563" t="s">
        <v>2243</v>
      </c>
      <c r="C497" s="564" t="s">
        <v>1066</v>
      </c>
      <c r="D497" s="565">
        <v>39083</v>
      </c>
      <c r="E497" s="565">
        <v>39813</v>
      </c>
      <c r="F497" s="566">
        <v>130828000</v>
      </c>
      <c r="G497" s="564" t="s">
        <v>1067</v>
      </c>
      <c r="H497" s="564"/>
      <c r="I497" s="564" t="s">
        <v>2184</v>
      </c>
      <c r="J497" s="564" t="s">
        <v>1069</v>
      </c>
      <c r="K497" s="564" t="s">
        <v>1070</v>
      </c>
      <c r="L497" s="564" t="s">
        <v>1071</v>
      </c>
      <c r="M497" s="564" t="s">
        <v>1072</v>
      </c>
      <c r="N497" s="564" t="s">
        <v>1082</v>
      </c>
      <c r="O497" s="564" t="s">
        <v>1331</v>
      </c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 spans="1:26" ht="13">
      <c r="A498" s="562" t="s">
        <v>2244</v>
      </c>
      <c r="B498" s="563" t="s">
        <v>2245</v>
      </c>
      <c r="C498" s="564" t="s">
        <v>1589</v>
      </c>
      <c r="D498" s="565">
        <v>39083</v>
      </c>
      <c r="E498" s="565">
        <v>39813</v>
      </c>
      <c r="F498" s="566">
        <v>7920000</v>
      </c>
      <c r="G498" s="564" t="s">
        <v>1067</v>
      </c>
      <c r="H498" s="564"/>
      <c r="I498" s="564" t="s">
        <v>2184</v>
      </c>
      <c r="J498" s="564" t="s">
        <v>1069</v>
      </c>
      <c r="K498" s="564" t="s">
        <v>1070</v>
      </c>
      <c r="L498" s="564" t="s">
        <v>1071</v>
      </c>
      <c r="M498" s="564" t="s">
        <v>1124</v>
      </c>
      <c r="N498" s="564" t="s">
        <v>1082</v>
      </c>
      <c r="O498" s="564" t="s">
        <v>1274</v>
      </c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 spans="1:26" ht="13">
      <c r="A499" s="562" t="s">
        <v>2246</v>
      </c>
      <c r="B499" s="563" t="s">
        <v>1984</v>
      </c>
      <c r="C499" s="564" t="s">
        <v>1066</v>
      </c>
      <c r="D499" s="565">
        <v>39083</v>
      </c>
      <c r="E499" s="565">
        <v>39813</v>
      </c>
      <c r="F499" s="566">
        <v>64392000</v>
      </c>
      <c r="G499" s="564" t="s">
        <v>1067</v>
      </c>
      <c r="H499" s="564"/>
      <c r="I499" s="564" t="s">
        <v>257</v>
      </c>
      <c r="J499" s="564" t="s">
        <v>1069</v>
      </c>
      <c r="K499" s="564" t="s">
        <v>1209</v>
      </c>
      <c r="L499" s="564" t="s">
        <v>1071</v>
      </c>
      <c r="M499" s="564" t="s">
        <v>1072</v>
      </c>
      <c r="N499" s="564" t="s">
        <v>257</v>
      </c>
      <c r="O499" s="564" t="s">
        <v>1331</v>
      </c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 spans="1:26" ht="13">
      <c r="A500" s="562" t="s">
        <v>2247</v>
      </c>
      <c r="B500" s="563" t="s">
        <v>1973</v>
      </c>
      <c r="C500" s="564" t="s">
        <v>1589</v>
      </c>
      <c r="D500" s="565">
        <v>39083</v>
      </c>
      <c r="E500" s="565">
        <v>39813</v>
      </c>
      <c r="F500" s="566">
        <v>116850000</v>
      </c>
      <c r="G500" s="564" t="s">
        <v>1067</v>
      </c>
      <c r="H500" s="564"/>
      <c r="I500" s="564" t="s">
        <v>45</v>
      </c>
      <c r="J500" s="564" t="s">
        <v>1069</v>
      </c>
      <c r="K500" s="564" t="s">
        <v>1090</v>
      </c>
      <c r="L500" s="564" t="s">
        <v>1071</v>
      </c>
      <c r="M500" s="564" t="s">
        <v>1124</v>
      </c>
      <c r="N500" s="564" t="s">
        <v>45</v>
      </c>
      <c r="O500" s="564" t="s">
        <v>1274</v>
      </c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 spans="1:26" ht="13">
      <c r="A501" s="562" t="s">
        <v>2248</v>
      </c>
      <c r="B501" s="563" t="s">
        <v>2064</v>
      </c>
      <c r="C501" s="564" t="s">
        <v>1589</v>
      </c>
      <c r="D501" s="565">
        <v>39083</v>
      </c>
      <c r="E501" s="565">
        <v>39813</v>
      </c>
      <c r="F501" s="566">
        <v>461412000</v>
      </c>
      <c r="G501" s="564" t="s">
        <v>1067</v>
      </c>
      <c r="H501" s="564"/>
      <c r="I501" s="564" t="s">
        <v>70</v>
      </c>
      <c r="J501" s="564" t="s">
        <v>1069</v>
      </c>
      <c r="K501" s="564" t="s">
        <v>1120</v>
      </c>
      <c r="L501" s="564" t="s">
        <v>1071</v>
      </c>
      <c r="M501" s="564" t="s">
        <v>1124</v>
      </c>
      <c r="N501" s="564" t="s">
        <v>70</v>
      </c>
      <c r="O501" s="564" t="s">
        <v>1274</v>
      </c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 spans="1:26" ht="13">
      <c r="A502" s="562" t="s">
        <v>2249</v>
      </c>
      <c r="B502" s="563" t="s">
        <v>2250</v>
      </c>
      <c r="C502" s="564" t="s">
        <v>1066</v>
      </c>
      <c r="D502" s="565">
        <v>39083</v>
      </c>
      <c r="E502" s="565">
        <v>39813</v>
      </c>
      <c r="F502" s="566">
        <v>1021584000</v>
      </c>
      <c r="G502" s="564" t="s">
        <v>1067</v>
      </c>
      <c r="H502" s="564"/>
      <c r="I502" s="564" t="s">
        <v>70</v>
      </c>
      <c r="J502" s="564" t="s">
        <v>1069</v>
      </c>
      <c r="K502" s="564" t="s">
        <v>1120</v>
      </c>
      <c r="L502" s="564" t="s">
        <v>1071</v>
      </c>
      <c r="M502" s="564" t="s">
        <v>1072</v>
      </c>
      <c r="N502" s="564" t="s">
        <v>70</v>
      </c>
      <c r="O502" s="564" t="s">
        <v>1331</v>
      </c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 spans="1:26" ht="13">
      <c r="A503" s="562" t="s">
        <v>2251</v>
      </c>
      <c r="B503" s="563" t="s">
        <v>1987</v>
      </c>
      <c r="C503" s="564" t="s">
        <v>1066</v>
      </c>
      <c r="D503" s="565">
        <v>39083</v>
      </c>
      <c r="E503" s="565">
        <v>39813</v>
      </c>
      <c r="F503" s="566">
        <v>562380000</v>
      </c>
      <c r="G503" s="564" t="s">
        <v>1067</v>
      </c>
      <c r="H503" s="564"/>
      <c r="I503" s="564" t="s">
        <v>170</v>
      </c>
      <c r="J503" s="564" t="s">
        <v>1069</v>
      </c>
      <c r="K503" s="564" t="s">
        <v>1105</v>
      </c>
      <c r="L503" s="564" t="s">
        <v>1071</v>
      </c>
      <c r="M503" s="564" t="s">
        <v>1072</v>
      </c>
      <c r="N503" s="564" t="s">
        <v>170</v>
      </c>
      <c r="O503" s="564" t="s">
        <v>1331</v>
      </c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 spans="1:26" ht="13">
      <c r="A504" s="562" t="s">
        <v>2252</v>
      </c>
      <c r="B504" s="563" t="s">
        <v>2253</v>
      </c>
      <c r="C504" s="564" t="s">
        <v>1854</v>
      </c>
      <c r="D504" s="565">
        <v>38718</v>
      </c>
      <c r="E504" s="565">
        <v>39813</v>
      </c>
      <c r="F504" s="566">
        <v>94296000</v>
      </c>
      <c r="G504" s="564" t="s">
        <v>2154</v>
      </c>
      <c r="H504" s="564"/>
      <c r="I504" s="564" t="s">
        <v>45</v>
      </c>
      <c r="J504" s="564" t="s">
        <v>1069</v>
      </c>
      <c r="K504" s="564" t="s">
        <v>1090</v>
      </c>
      <c r="L504" s="564" t="s">
        <v>1189</v>
      </c>
      <c r="M504" s="564" t="s">
        <v>1189</v>
      </c>
      <c r="N504" s="564" t="s">
        <v>45</v>
      </c>
      <c r="O504" s="564" t="s">
        <v>1190</v>
      </c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 spans="1:26" ht="13">
      <c r="A505" s="562" t="s">
        <v>2254</v>
      </c>
      <c r="B505" s="563" t="s">
        <v>2255</v>
      </c>
      <c r="C505" s="564" t="s">
        <v>2122</v>
      </c>
      <c r="D505" s="565">
        <v>38718</v>
      </c>
      <c r="E505" s="565">
        <v>39813</v>
      </c>
      <c r="F505" s="566">
        <v>347280000</v>
      </c>
      <c r="G505" s="564" t="s">
        <v>2123</v>
      </c>
      <c r="H505" s="564"/>
      <c r="I505" s="564" t="s">
        <v>170</v>
      </c>
      <c r="J505" s="564" t="s">
        <v>1069</v>
      </c>
      <c r="K505" s="564" t="s">
        <v>1105</v>
      </c>
      <c r="L505" s="564" t="s">
        <v>1189</v>
      </c>
      <c r="M505" s="564" t="s">
        <v>1189</v>
      </c>
      <c r="N505" s="564" t="s">
        <v>170</v>
      </c>
      <c r="O505" s="564" t="s">
        <v>1190</v>
      </c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 spans="1:26" ht="13">
      <c r="A506" s="562" t="s">
        <v>2256</v>
      </c>
      <c r="B506" s="563" t="s">
        <v>2257</v>
      </c>
      <c r="C506" s="564" t="s">
        <v>1854</v>
      </c>
      <c r="D506" s="565">
        <v>38718</v>
      </c>
      <c r="E506" s="565">
        <v>39813</v>
      </c>
      <c r="F506" s="566">
        <v>172606000</v>
      </c>
      <c r="G506" s="564" t="s">
        <v>2107</v>
      </c>
      <c r="H506" s="564"/>
      <c r="I506" s="564" t="s">
        <v>45</v>
      </c>
      <c r="J506" s="564" t="s">
        <v>1069</v>
      </c>
      <c r="K506" s="564" t="s">
        <v>1090</v>
      </c>
      <c r="L506" s="564" t="s">
        <v>1189</v>
      </c>
      <c r="M506" s="564" t="s">
        <v>1189</v>
      </c>
      <c r="N506" s="564" t="s">
        <v>45</v>
      </c>
      <c r="O506" s="564" t="s">
        <v>1190</v>
      </c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 spans="1:26" ht="13">
      <c r="A507" s="562" t="s">
        <v>2258</v>
      </c>
      <c r="B507" s="563" t="s">
        <v>2259</v>
      </c>
      <c r="C507" s="564" t="s">
        <v>1854</v>
      </c>
      <c r="D507" s="565">
        <v>38718</v>
      </c>
      <c r="E507" s="565">
        <v>39813</v>
      </c>
      <c r="F507" s="566">
        <v>188616000</v>
      </c>
      <c r="G507" s="564" t="s">
        <v>2104</v>
      </c>
      <c r="H507" s="564"/>
      <c r="I507" s="564" t="s">
        <v>45</v>
      </c>
      <c r="J507" s="564" t="s">
        <v>1069</v>
      </c>
      <c r="K507" s="564" t="s">
        <v>1090</v>
      </c>
      <c r="L507" s="564" t="s">
        <v>1189</v>
      </c>
      <c r="M507" s="564" t="s">
        <v>1189</v>
      </c>
      <c r="N507" s="564" t="s">
        <v>45</v>
      </c>
      <c r="O507" s="564" t="s">
        <v>1190</v>
      </c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 spans="1:26" ht="13">
      <c r="A508" s="562" t="s">
        <v>2260</v>
      </c>
      <c r="B508" s="563" t="s">
        <v>2261</v>
      </c>
      <c r="C508" s="564" t="s">
        <v>1854</v>
      </c>
      <c r="D508" s="565">
        <v>38718</v>
      </c>
      <c r="E508" s="565">
        <v>39813</v>
      </c>
      <c r="F508" s="566">
        <v>3862170000</v>
      </c>
      <c r="G508" s="564" t="s">
        <v>2153</v>
      </c>
      <c r="H508" s="564"/>
      <c r="I508" s="564" t="s">
        <v>45</v>
      </c>
      <c r="J508" s="564" t="s">
        <v>1069</v>
      </c>
      <c r="K508" s="564" t="s">
        <v>1090</v>
      </c>
      <c r="L508" s="564" t="s">
        <v>1189</v>
      </c>
      <c r="M508" s="564" t="s">
        <v>1189</v>
      </c>
      <c r="N508" s="564" t="s">
        <v>45</v>
      </c>
      <c r="O508" s="564" t="s">
        <v>1190</v>
      </c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 spans="1:26" ht="13">
      <c r="A509" s="562" t="s">
        <v>2262</v>
      </c>
      <c r="B509" s="563" t="s">
        <v>2263</v>
      </c>
      <c r="C509" s="564" t="s">
        <v>1726</v>
      </c>
      <c r="D509" s="565">
        <v>38718</v>
      </c>
      <c r="E509" s="565">
        <v>39813</v>
      </c>
      <c r="F509" s="566">
        <v>197760000</v>
      </c>
      <c r="G509" s="564" t="s">
        <v>1807</v>
      </c>
      <c r="H509" s="564"/>
      <c r="I509" s="564" t="s">
        <v>802</v>
      </c>
      <c r="J509" s="564" t="s">
        <v>1069</v>
      </c>
      <c r="K509" s="564" t="s">
        <v>1198</v>
      </c>
      <c r="L509" s="564" t="s">
        <v>1189</v>
      </c>
      <c r="M509" s="564" t="s">
        <v>1189</v>
      </c>
      <c r="N509" s="564" t="s">
        <v>132</v>
      </c>
      <c r="O509" s="564" t="s">
        <v>1190</v>
      </c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spans="1:26" ht="13">
      <c r="A510" s="562" t="s">
        <v>2264</v>
      </c>
      <c r="B510" s="563" t="s">
        <v>2265</v>
      </c>
      <c r="C510" s="564" t="s">
        <v>1940</v>
      </c>
      <c r="D510" s="565">
        <v>38718</v>
      </c>
      <c r="E510" s="565">
        <v>39813</v>
      </c>
      <c r="F510" s="566">
        <v>1529472000</v>
      </c>
      <c r="G510" s="564" t="s">
        <v>1941</v>
      </c>
      <c r="H510" s="564"/>
      <c r="I510" s="564" t="s">
        <v>70</v>
      </c>
      <c r="J510" s="564" t="s">
        <v>1069</v>
      </c>
      <c r="K510" s="564" t="s">
        <v>1120</v>
      </c>
      <c r="L510" s="564" t="s">
        <v>1189</v>
      </c>
      <c r="M510" s="564" t="s">
        <v>1189</v>
      </c>
      <c r="N510" s="564" t="s">
        <v>70</v>
      </c>
      <c r="O510" s="564" t="s">
        <v>1190</v>
      </c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 spans="1:26" ht="13">
      <c r="A511" s="562" t="s">
        <v>2266</v>
      </c>
      <c r="B511" s="563" t="s">
        <v>2267</v>
      </c>
      <c r="C511" s="564" t="s">
        <v>2268</v>
      </c>
      <c r="D511" s="565">
        <v>38718</v>
      </c>
      <c r="E511" s="565">
        <v>39813</v>
      </c>
      <c r="F511" s="566">
        <v>268464000</v>
      </c>
      <c r="G511" s="564" t="s">
        <v>2269</v>
      </c>
      <c r="H511" s="564"/>
      <c r="I511" s="564" t="s">
        <v>257</v>
      </c>
      <c r="J511" s="564" t="s">
        <v>1069</v>
      </c>
      <c r="K511" s="564" t="s">
        <v>1209</v>
      </c>
      <c r="L511" s="564" t="s">
        <v>1189</v>
      </c>
      <c r="M511" s="564" t="s">
        <v>1189</v>
      </c>
      <c r="N511" s="564" t="s">
        <v>257</v>
      </c>
      <c r="O511" s="564" t="s">
        <v>1190</v>
      </c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 spans="1:26" ht="13">
      <c r="A512" s="562" t="s">
        <v>2270</v>
      </c>
      <c r="B512" s="563" t="s">
        <v>2271</v>
      </c>
      <c r="C512" s="564" t="s">
        <v>1255</v>
      </c>
      <c r="D512" s="565">
        <v>38443</v>
      </c>
      <c r="E512" s="565">
        <v>39538</v>
      </c>
      <c r="F512" s="566">
        <v>1160952444</v>
      </c>
      <c r="G512" s="564" t="s">
        <v>1604</v>
      </c>
      <c r="H512" s="564"/>
      <c r="I512" s="564" t="s">
        <v>70</v>
      </c>
      <c r="J512" s="564" t="s">
        <v>1069</v>
      </c>
      <c r="K512" s="564" t="s">
        <v>1120</v>
      </c>
      <c r="L512" s="564" t="s">
        <v>1071</v>
      </c>
      <c r="M512" s="564" t="s">
        <v>1124</v>
      </c>
      <c r="N512" s="564" t="s">
        <v>70</v>
      </c>
      <c r="O512" s="564" t="s">
        <v>241</v>
      </c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 spans="1:26" ht="13">
      <c r="A513" s="562" t="s">
        <v>2272</v>
      </c>
      <c r="B513" s="563" t="s">
        <v>2273</v>
      </c>
      <c r="C513" s="564" t="s">
        <v>1255</v>
      </c>
      <c r="D513" s="565">
        <v>39083</v>
      </c>
      <c r="E513" s="565">
        <v>39813</v>
      </c>
      <c r="F513" s="566">
        <v>1312324800</v>
      </c>
      <c r="G513" s="564" t="s">
        <v>1604</v>
      </c>
      <c r="H513" s="564"/>
      <c r="I513" s="564" t="s">
        <v>2184</v>
      </c>
      <c r="J513" s="564" t="s">
        <v>1069</v>
      </c>
      <c r="K513" s="564" t="s">
        <v>1070</v>
      </c>
      <c r="L513" s="564" t="s">
        <v>1071</v>
      </c>
      <c r="M513" s="564" t="s">
        <v>1091</v>
      </c>
      <c r="N513" s="564" t="s">
        <v>1082</v>
      </c>
      <c r="O513" s="564" t="s">
        <v>241</v>
      </c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 spans="1:26" ht="13">
      <c r="A514" s="562" t="s">
        <v>2274</v>
      </c>
      <c r="B514" s="563" t="s">
        <v>2275</v>
      </c>
      <c r="C514" s="564" t="s">
        <v>1255</v>
      </c>
      <c r="D514" s="565">
        <v>38718</v>
      </c>
      <c r="E514" s="565">
        <v>39082</v>
      </c>
      <c r="F514" s="566">
        <v>864000</v>
      </c>
      <c r="G514" s="564" t="s">
        <v>1780</v>
      </c>
      <c r="H514" s="564"/>
      <c r="I514" s="564" t="s">
        <v>2184</v>
      </c>
      <c r="J514" s="564" t="s">
        <v>1069</v>
      </c>
      <c r="K514" s="564" t="s">
        <v>1070</v>
      </c>
      <c r="L514" s="564" t="s">
        <v>1071</v>
      </c>
      <c r="M514" s="564" t="s">
        <v>1124</v>
      </c>
      <c r="N514" s="564" t="s">
        <v>1082</v>
      </c>
      <c r="O514" s="564" t="s">
        <v>2004</v>
      </c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 spans="1:26" ht="13">
      <c r="A515" s="562" t="s">
        <v>2276</v>
      </c>
      <c r="B515" s="563" t="s">
        <v>2277</v>
      </c>
      <c r="C515" s="564" t="s">
        <v>1255</v>
      </c>
      <c r="D515" s="565">
        <v>39083</v>
      </c>
      <c r="E515" s="565">
        <v>39813</v>
      </c>
      <c r="F515" s="566">
        <v>39596400</v>
      </c>
      <c r="G515" s="564" t="s">
        <v>1516</v>
      </c>
      <c r="H515" s="564" t="s">
        <v>1516</v>
      </c>
      <c r="I515" s="564" t="s">
        <v>2184</v>
      </c>
      <c r="J515" s="564" t="s">
        <v>1069</v>
      </c>
      <c r="K515" s="564" t="s">
        <v>1070</v>
      </c>
      <c r="L515" s="564" t="s">
        <v>1071</v>
      </c>
      <c r="M515" s="564" t="s">
        <v>1124</v>
      </c>
      <c r="N515" s="564" t="s">
        <v>1082</v>
      </c>
      <c r="O515" s="564" t="s">
        <v>197</v>
      </c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 spans="1:26" ht="13">
      <c r="A516" s="562" t="s">
        <v>2278</v>
      </c>
      <c r="B516" s="563" t="s">
        <v>2279</v>
      </c>
      <c r="C516" s="564" t="s">
        <v>1255</v>
      </c>
      <c r="D516" s="565">
        <v>39083</v>
      </c>
      <c r="E516" s="565">
        <v>39813</v>
      </c>
      <c r="F516" s="566">
        <v>15132000</v>
      </c>
      <c r="G516" s="564" t="s">
        <v>1604</v>
      </c>
      <c r="H516" s="564"/>
      <c r="I516" s="564" t="s">
        <v>2073</v>
      </c>
      <c r="J516" s="564" t="s">
        <v>1069</v>
      </c>
      <c r="K516" s="564" t="s">
        <v>1105</v>
      </c>
      <c r="L516" s="564" t="s">
        <v>1071</v>
      </c>
      <c r="M516" s="564" t="s">
        <v>1124</v>
      </c>
      <c r="N516" s="564" t="s">
        <v>225</v>
      </c>
      <c r="O516" s="564" t="s">
        <v>241</v>
      </c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 spans="1:26" ht="13">
      <c r="A517" s="562" t="s">
        <v>2280</v>
      </c>
      <c r="B517" s="563" t="s">
        <v>2281</v>
      </c>
      <c r="C517" s="564" t="s">
        <v>1255</v>
      </c>
      <c r="D517" s="565">
        <v>39083</v>
      </c>
      <c r="E517" s="565">
        <v>39813</v>
      </c>
      <c r="F517" s="566">
        <v>51825600</v>
      </c>
      <c r="G517" s="564" t="s">
        <v>1516</v>
      </c>
      <c r="H517" s="564" t="s">
        <v>1516</v>
      </c>
      <c r="I517" s="564" t="s">
        <v>2073</v>
      </c>
      <c r="J517" s="564" t="s">
        <v>1069</v>
      </c>
      <c r="K517" s="564" t="s">
        <v>1105</v>
      </c>
      <c r="L517" s="564" t="s">
        <v>1071</v>
      </c>
      <c r="M517" s="564" t="s">
        <v>1124</v>
      </c>
      <c r="N517" s="564" t="s">
        <v>225</v>
      </c>
      <c r="O517" s="564" t="s">
        <v>197</v>
      </c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 spans="1:26" ht="13">
      <c r="A518" s="562" t="s">
        <v>2282</v>
      </c>
      <c r="B518" s="563" t="s">
        <v>2283</v>
      </c>
      <c r="C518" s="564" t="s">
        <v>1255</v>
      </c>
      <c r="D518" s="565">
        <v>38808</v>
      </c>
      <c r="E518" s="565">
        <v>39903</v>
      </c>
      <c r="F518" s="566">
        <v>536126400</v>
      </c>
      <c r="G518" s="564" t="s">
        <v>1604</v>
      </c>
      <c r="H518" s="564"/>
      <c r="I518" s="564" t="s">
        <v>257</v>
      </c>
      <c r="J518" s="564" t="s">
        <v>1069</v>
      </c>
      <c r="K518" s="564" t="s">
        <v>1209</v>
      </c>
      <c r="L518" s="564" t="s">
        <v>1071</v>
      </c>
      <c r="M518" s="564" t="s">
        <v>1124</v>
      </c>
      <c r="N518" s="564" t="s">
        <v>257</v>
      </c>
      <c r="O518" s="564" t="s">
        <v>241</v>
      </c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 spans="1:26" ht="13">
      <c r="A519" s="562" t="s">
        <v>2284</v>
      </c>
      <c r="B519" s="563" t="s">
        <v>1971</v>
      </c>
      <c r="C519" s="564" t="s">
        <v>1589</v>
      </c>
      <c r="D519" s="565">
        <v>39083</v>
      </c>
      <c r="E519" s="565">
        <v>39813</v>
      </c>
      <c r="F519" s="566">
        <v>101760000</v>
      </c>
      <c r="G519" s="564" t="s">
        <v>1067</v>
      </c>
      <c r="H519" s="564"/>
      <c r="I519" s="564" t="s">
        <v>257</v>
      </c>
      <c r="J519" s="564" t="s">
        <v>1069</v>
      </c>
      <c r="K519" s="564" t="s">
        <v>1209</v>
      </c>
      <c r="L519" s="564" t="s">
        <v>1071</v>
      </c>
      <c r="M519" s="564" t="s">
        <v>1124</v>
      </c>
      <c r="N519" s="564" t="s">
        <v>257</v>
      </c>
      <c r="O519" s="564" t="s">
        <v>1274</v>
      </c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spans="1:26" ht="13">
      <c r="A520" s="562" t="s">
        <v>2285</v>
      </c>
      <c r="B520" s="563" t="s">
        <v>2286</v>
      </c>
      <c r="C520" s="564" t="s">
        <v>1255</v>
      </c>
      <c r="D520" s="565">
        <v>38808</v>
      </c>
      <c r="E520" s="565">
        <v>39903</v>
      </c>
      <c r="F520" s="566">
        <v>312861600</v>
      </c>
      <c r="G520" s="564" t="s">
        <v>1516</v>
      </c>
      <c r="H520" s="564" t="s">
        <v>1516</v>
      </c>
      <c r="I520" s="564" t="s">
        <v>257</v>
      </c>
      <c r="J520" s="564" t="s">
        <v>1069</v>
      </c>
      <c r="K520" s="564" t="s">
        <v>1209</v>
      </c>
      <c r="L520" s="564" t="s">
        <v>1071</v>
      </c>
      <c r="M520" s="564" t="s">
        <v>1124</v>
      </c>
      <c r="N520" s="564" t="s">
        <v>257</v>
      </c>
      <c r="O520" s="564" t="s">
        <v>197</v>
      </c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 spans="1:26" ht="13">
      <c r="A521" s="562" t="s">
        <v>2287</v>
      </c>
      <c r="B521" s="563" t="s">
        <v>2288</v>
      </c>
      <c r="C521" s="564" t="s">
        <v>1887</v>
      </c>
      <c r="D521" s="565">
        <v>37926</v>
      </c>
      <c r="E521" s="565">
        <v>41578</v>
      </c>
      <c r="F521" s="566">
        <v>13404000000</v>
      </c>
      <c r="G521" s="564" t="s">
        <v>2141</v>
      </c>
      <c r="H521" s="564" t="s">
        <v>2168</v>
      </c>
      <c r="I521" s="564" t="s">
        <v>45</v>
      </c>
      <c r="J521" s="564" t="s">
        <v>1069</v>
      </c>
      <c r="K521" s="564" t="s">
        <v>1090</v>
      </c>
      <c r="L521" s="564" t="s">
        <v>1071</v>
      </c>
      <c r="M521" s="564" t="s">
        <v>1091</v>
      </c>
      <c r="N521" s="564" t="s">
        <v>45</v>
      </c>
      <c r="O521" s="564" t="s">
        <v>1092</v>
      </c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 spans="1:26" ht="13">
      <c r="A522" s="562" t="s">
        <v>2289</v>
      </c>
      <c r="B522" s="563" t="s">
        <v>2290</v>
      </c>
      <c r="C522" s="564" t="s">
        <v>1887</v>
      </c>
      <c r="D522" s="565">
        <v>37895</v>
      </c>
      <c r="E522" s="565">
        <v>41547</v>
      </c>
      <c r="F522" s="566">
        <v>92241999600</v>
      </c>
      <c r="G522" s="564" t="s">
        <v>2141</v>
      </c>
      <c r="H522" s="564"/>
      <c r="I522" s="564" t="s">
        <v>45</v>
      </c>
      <c r="J522" s="564" t="s">
        <v>1069</v>
      </c>
      <c r="K522" s="564" t="s">
        <v>1090</v>
      </c>
      <c r="L522" s="564" t="s">
        <v>1071</v>
      </c>
      <c r="M522" s="564" t="s">
        <v>1091</v>
      </c>
      <c r="N522" s="564" t="s">
        <v>45</v>
      </c>
      <c r="O522" s="564" t="s">
        <v>1092</v>
      </c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 spans="1:26" ht="13">
      <c r="A523" s="562" t="s">
        <v>2291</v>
      </c>
      <c r="B523" s="563" t="s">
        <v>2292</v>
      </c>
      <c r="C523" s="564" t="s">
        <v>1255</v>
      </c>
      <c r="D523" s="565">
        <v>39083</v>
      </c>
      <c r="E523" s="565">
        <v>39813</v>
      </c>
      <c r="F523" s="566">
        <v>1682823000</v>
      </c>
      <c r="G523" s="564" t="s">
        <v>1604</v>
      </c>
      <c r="H523" s="564"/>
      <c r="I523" s="564" t="s">
        <v>45</v>
      </c>
      <c r="J523" s="564" t="s">
        <v>1069</v>
      </c>
      <c r="K523" s="564" t="s">
        <v>1090</v>
      </c>
      <c r="L523" s="564" t="s">
        <v>1071</v>
      </c>
      <c r="M523" s="564" t="s">
        <v>1124</v>
      </c>
      <c r="N523" s="564" t="s">
        <v>45</v>
      </c>
      <c r="O523" s="564" t="s">
        <v>241</v>
      </c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 spans="1:26" ht="13">
      <c r="A524" s="562" t="s">
        <v>2293</v>
      </c>
      <c r="B524" s="563" t="s">
        <v>2294</v>
      </c>
      <c r="C524" s="564" t="s">
        <v>1255</v>
      </c>
      <c r="D524" s="565">
        <v>39356</v>
      </c>
      <c r="E524" s="565">
        <v>39813</v>
      </c>
      <c r="F524" s="566">
        <v>720000000</v>
      </c>
      <c r="G524" s="564" t="s">
        <v>1780</v>
      </c>
      <c r="H524" s="564"/>
      <c r="I524" s="564" t="s">
        <v>2013</v>
      </c>
      <c r="J524" s="564" t="s">
        <v>1069</v>
      </c>
      <c r="K524" s="564" t="s">
        <v>1070</v>
      </c>
      <c r="L524" s="564" t="s">
        <v>1071</v>
      </c>
      <c r="M524" s="564" t="s">
        <v>1124</v>
      </c>
      <c r="N524" s="564" t="s">
        <v>1082</v>
      </c>
      <c r="O524" s="564" t="s">
        <v>2004</v>
      </c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 spans="1:26" ht="13">
      <c r="A525" s="562" t="s">
        <v>2295</v>
      </c>
      <c r="B525" s="563" t="s">
        <v>2296</v>
      </c>
      <c r="C525" s="564" t="s">
        <v>1255</v>
      </c>
      <c r="D525" s="565">
        <v>38443</v>
      </c>
      <c r="E525" s="565">
        <v>39538</v>
      </c>
      <c r="F525" s="566">
        <v>2956176000</v>
      </c>
      <c r="G525" s="564" t="s">
        <v>1516</v>
      </c>
      <c r="H525" s="564" t="s">
        <v>1516</v>
      </c>
      <c r="I525" s="564" t="s">
        <v>70</v>
      </c>
      <c r="J525" s="564" t="s">
        <v>1069</v>
      </c>
      <c r="K525" s="564" t="s">
        <v>1120</v>
      </c>
      <c r="L525" s="564" t="s">
        <v>1071</v>
      </c>
      <c r="M525" s="564" t="s">
        <v>1124</v>
      </c>
      <c r="N525" s="564" t="s">
        <v>70</v>
      </c>
      <c r="O525" s="564" t="s">
        <v>197</v>
      </c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 spans="1:26" ht="13">
      <c r="A526" s="562" t="s">
        <v>2297</v>
      </c>
      <c r="B526" s="563" t="s">
        <v>2298</v>
      </c>
      <c r="C526" s="564" t="s">
        <v>1255</v>
      </c>
      <c r="D526" s="565">
        <v>38718</v>
      </c>
      <c r="E526" s="565">
        <v>39082</v>
      </c>
      <c r="F526" s="567"/>
      <c r="G526" s="564" t="s">
        <v>2241</v>
      </c>
      <c r="H526" s="564"/>
      <c r="I526" s="564" t="s">
        <v>2299</v>
      </c>
      <c r="J526" s="564" t="s">
        <v>1069</v>
      </c>
      <c r="K526" s="564" t="s">
        <v>1802</v>
      </c>
      <c r="L526" s="564" t="s">
        <v>1071</v>
      </c>
      <c r="M526" s="564" t="s">
        <v>1091</v>
      </c>
      <c r="N526" s="564" t="s">
        <v>1082</v>
      </c>
      <c r="O526" s="564" t="s">
        <v>241</v>
      </c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 spans="1:26" ht="13">
      <c r="A527" s="562" t="s">
        <v>2300</v>
      </c>
      <c r="B527" s="563" t="s">
        <v>2301</v>
      </c>
      <c r="C527" s="564" t="s">
        <v>1255</v>
      </c>
      <c r="D527" s="565">
        <v>38626</v>
      </c>
      <c r="E527" s="565">
        <v>39021</v>
      </c>
      <c r="F527" s="566">
        <v>1280088000</v>
      </c>
      <c r="G527" s="564" t="s">
        <v>1784</v>
      </c>
      <c r="H527" s="564"/>
      <c r="I527" s="564" t="s">
        <v>2299</v>
      </c>
      <c r="J527" s="564" t="s">
        <v>1069</v>
      </c>
      <c r="K527" s="564" t="s">
        <v>1802</v>
      </c>
      <c r="L527" s="564" t="s">
        <v>1071</v>
      </c>
      <c r="M527" s="564" t="s">
        <v>1124</v>
      </c>
      <c r="N527" s="564" t="s">
        <v>1082</v>
      </c>
      <c r="O527" s="564" t="s">
        <v>197</v>
      </c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 spans="1:26" ht="13">
      <c r="A528" s="562" t="s">
        <v>2302</v>
      </c>
      <c r="B528" s="563" t="s">
        <v>2303</v>
      </c>
      <c r="C528" s="564" t="s">
        <v>1255</v>
      </c>
      <c r="D528" s="565">
        <v>39083</v>
      </c>
      <c r="E528" s="565">
        <v>39813</v>
      </c>
      <c r="F528" s="566">
        <v>1447599960</v>
      </c>
      <c r="G528" s="564" t="s">
        <v>1604</v>
      </c>
      <c r="H528" s="564" t="s">
        <v>1604</v>
      </c>
      <c r="I528" s="564" t="s">
        <v>170</v>
      </c>
      <c r="J528" s="564" t="s">
        <v>1069</v>
      </c>
      <c r="K528" s="564" t="s">
        <v>1105</v>
      </c>
      <c r="L528" s="564" t="s">
        <v>1071</v>
      </c>
      <c r="M528" s="564" t="s">
        <v>1124</v>
      </c>
      <c r="N528" s="564" t="s">
        <v>170</v>
      </c>
      <c r="O528" s="564" t="s">
        <v>241</v>
      </c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 spans="1:26" ht="13">
      <c r="A529" s="562" t="s">
        <v>2304</v>
      </c>
      <c r="B529" s="563" t="s">
        <v>2305</v>
      </c>
      <c r="C529" s="564" t="s">
        <v>1255</v>
      </c>
      <c r="D529" s="565">
        <v>39083</v>
      </c>
      <c r="E529" s="565">
        <v>39813</v>
      </c>
      <c r="F529" s="566">
        <v>2123580000</v>
      </c>
      <c r="G529" s="564" t="s">
        <v>1516</v>
      </c>
      <c r="H529" s="564" t="s">
        <v>1516</v>
      </c>
      <c r="I529" s="564" t="s">
        <v>170</v>
      </c>
      <c r="J529" s="564" t="s">
        <v>1069</v>
      </c>
      <c r="K529" s="564" t="s">
        <v>1105</v>
      </c>
      <c r="L529" s="564" t="s">
        <v>1071</v>
      </c>
      <c r="M529" s="564" t="s">
        <v>1124</v>
      </c>
      <c r="N529" s="564" t="s">
        <v>170</v>
      </c>
      <c r="O529" s="564" t="s">
        <v>197</v>
      </c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spans="1:26" ht="13">
      <c r="A530" s="562" t="s">
        <v>2306</v>
      </c>
      <c r="B530" s="563" t="s">
        <v>2307</v>
      </c>
      <c r="C530" s="564" t="s">
        <v>1612</v>
      </c>
      <c r="D530" s="565">
        <v>38718</v>
      </c>
      <c r="E530" s="565">
        <v>39386</v>
      </c>
      <c r="F530" s="566">
        <v>1321050000</v>
      </c>
      <c r="G530" s="564" t="s">
        <v>1807</v>
      </c>
      <c r="H530" s="564"/>
      <c r="I530" s="564" t="s">
        <v>802</v>
      </c>
      <c r="J530" s="564" t="s">
        <v>1069</v>
      </c>
      <c r="K530" s="564" t="s">
        <v>1198</v>
      </c>
      <c r="L530" s="564" t="s">
        <v>2098</v>
      </c>
      <c r="M530" s="564" t="s">
        <v>2098</v>
      </c>
      <c r="N530" s="564" t="s">
        <v>132</v>
      </c>
      <c r="O530" s="564" t="s">
        <v>2099</v>
      </c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 spans="1:26" ht="13">
      <c r="A531" s="562" t="s">
        <v>2308</v>
      </c>
      <c r="B531" s="563" t="s">
        <v>2309</v>
      </c>
      <c r="C531" s="564" t="s">
        <v>2310</v>
      </c>
      <c r="D531" s="565">
        <v>45505</v>
      </c>
      <c r="E531" s="565">
        <v>47483</v>
      </c>
      <c r="F531" s="567"/>
      <c r="G531" s="564" t="s">
        <v>1115</v>
      </c>
      <c r="H531" s="564" t="s">
        <v>1365</v>
      </c>
      <c r="I531" s="564" t="s">
        <v>2311</v>
      </c>
      <c r="J531" s="564" t="s">
        <v>1079</v>
      </c>
      <c r="K531" s="564" t="s">
        <v>1070</v>
      </c>
      <c r="L531" s="564" t="s">
        <v>1117</v>
      </c>
      <c r="M531" s="564" t="s">
        <v>1199</v>
      </c>
      <c r="N531" s="564" t="s">
        <v>1073</v>
      </c>
      <c r="O531" s="564" t="s">
        <v>241</v>
      </c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 spans="1:26" ht="13">
      <c r="A532" s="562" t="s">
        <v>2312</v>
      </c>
      <c r="B532" s="563" t="s">
        <v>2313</v>
      </c>
      <c r="C532" s="564" t="s">
        <v>2314</v>
      </c>
      <c r="D532" s="565">
        <v>45505</v>
      </c>
      <c r="E532" s="565">
        <v>45657</v>
      </c>
      <c r="F532" s="567"/>
      <c r="G532" s="564" t="s">
        <v>1563</v>
      </c>
      <c r="H532" s="564"/>
      <c r="I532" s="564" t="s">
        <v>2311</v>
      </c>
      <c r="J532" s="564" t="s">
        <v>2315</v>
      </c>
      <c r="K532" s="564" t="s">
        <v>1070</v>
      </c>
      <c r="L532" s="564" t="s">
        <v>1390</v>
      </c>
      <c r="M532" s="564" t="s">
        <v>1390</v>
      </c>
      <c r="N532" s="564" t="s">
        <v>1073</v>
      </c>
      <c r="O532" s="564" t="s">
        <v>38</v>
      </c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 spans="1:26" ht="13">
      <c r="A533" s="562" t="s">
        <v>2316</v>
      </c>
      <c r="B533" s="563" t="s">
        <v>2317</v>
      </c>
      <c r="C533" s="564" t="s">
        <v>2310</v>
      </c>
      <c r="D533" s="565">
        <v>45477</v>
      </c>
      <c r="E533" s="565">
        <v>45657</v>
      </c>
      <c r="F533" s="567"/>
      <c r="G533" s="564" t="s">
        <v>2154</v>
      </c>
      <c r="H533" s="564" t="s">
        <v>2154</v>
      </c>
      <c r="I533" s="564" t="s">
        <v>2311</v>
      </c>
      <c r="J533" s="564" t="s">
        <v>1079</v>
      </c>
      <c r="K533" s="564" t="s">
        <v>1090</v>
      </c>
      <c r="L533" s="564" t="s">
        <v>1390</v>
      </c>
      <c r="M533" s="564" t="s">
        <v>1390</v>
      </c>
      <c r="N533" s="564" t="s">
        <v>1073</v>
      </c>
      <c r="O533" s="564" t="s">
        <v>38</v>
      </c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 spans="1:26" ht="13">
      <c r="A534" s="562" t="s">
        <v>2318</v>
      </c>
      <c r="B534" s="563" t="s">
        <v>2319</v>
      </c>
      <c r="C534" s="564" t="s">
        <v>2310</v>
      </c>
      <c r="D534" s="565">
        <v>45474</v>
      </c>
      <c r="E534" s="565">
        <v>47483</v>
      </c>
      <c r="F534" s="567"/>
      <c r="G534" s="564" t="s">
        <v>1216</v>
      </c>
      <c r="H534" s="564" t="s">
        <v>1141</v>
      </c>
      <c r="I534" s="564" t="s">
        <v>2311</v>
      </c>
      <c r="J534" s="564" t="s">
        <v>1079</v>
      </c>
      <c r="K534" s="564" t="s">
        <v>1070</v>
      </c>
      <c r="L534" s="564" t="s">
        <v>1390</v>
      </c>
      <c r="M534" s="564" t="s">
        <v>1390</v>
      </c>
      <c r="N534" s="564" t="s">
        <v>1073</v>
      </c>
      <c r="O534" s="564" t="s">
        <v>38</v>
      </c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 spans="1:26" ht="13">
      <c r="A535" s="562" t="s">
        <v>2320</v>
      </c>
      <c r="B535" s="563" t="s">
        <v>2321</v>
      </c>
      <c r="C535" s="564" t="s">
        <v>2322</v>
      </c>
      <c r="D535" s="565">
        <v>45383</v>
      </c>
      <c r="E535" s="565">
        <v>46387</v>
      </c>
      <c r="F535" s="567"/>
      <c r="G535" s="564" t="s">
        <v>2323</v>
      </c>
      <c r="H535" s="564" t="s">
        <v>2323</v>
      </c>
      <c r="I535" s="564" t="s">
        <v>2324</v>
      </c>
      <c r="J535" s="564" t="s">
        <v>1079</v>
      </c>
      <c r="K535" s="564" t="s">
        <v>1090</v>
      </c>
      <c r="L535" s="564" t="s">
        <v>1390</v>
      </c>
      <c r="M535" s="564" t="s">
        <v>1390</v>
      </c>
      <c r="N535" s="564" t="s">
        <v>2325</v>
      </c>
      <c r="O535" s="564" t="s">
        <v>38</v>
      </c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 spans="1:26" ht="13">
      <c r="A536" s="562" t="s">
        <v>2326</v>
      </c>
      <c r="B536" s="563" t="s">
        <v>2327</v>
      </c>
      <c r="C536" s="564" t="s">
        <v>1204</v>
      </c>
      <c r="D536" s="565">
        <v>45397</v>
      </c>
      <c r="E536" s="565">
        <v>45443</v>
      </c>
      <c r="F536" s="567"/>
      <c r="G536" s="564" t="s">
        <v>1266</v>
      </c>
      <c r="H536" s="564" t="s">
        <v>754</v>
      </c>
      <c r="I536" s="564" t="s">
        <v>125</v>
      </c>
      <c r="J536" s="564" t="s">
        <v>1079</v>
      </c>
      <c r="K536" s="564" t="s">
        <v>1070</v>
      </c>
      <c r="L536" s="564" t="s">
        <v>1390</v>
      </c>
      <c r="M536" s="564" t="s">
        <v>1390</v>
      </c>
      <c r="N536" s="564" t="s">
        <v>1073</v>
      </c>
      <c r="O536" s="564" t="s">
        <v>38</v>
      </c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 spans="1:26" ht="13">
      <c r="A537" s="562" t="s">
        <v>2328</v>
      </c>
      <c r="B537" s="563" t="s">
        <v>2329</v>
      </c>
      <c r="C537" s="564" t="s">
        <v>1388</v>
      </c>
      <c r="D537" s="565">
        <v>45358</v>
      </c>
      <c r="E537" s="565">
        <v>45380</v>
      </c>
      <c r="F537" s="567"/>
      <c r="G537" s="564" t="s">
        <v>1442</v>
      </c>
      <c r="H537" s="564" t="s">
        <v>1442</v>
      </c>
      <c r="I537" s="564" t="s">
        <v>45</v>
      </c>
      <c r="J537" s="564" t="s">
        <v>1079</v>
      </c>
      <c r="K537" s="564" t="s">
        <v>1090</v>
      </c>
      <c r="L537" s="564" t="s">
        <v>1390</v>
      </c>
      <c r="M537" s="564" t="s">
        <v>1390</v>
      </c>
      <c r="N537" s="564" t="s">
        <v>45</v>
      </c>
      <c r="O537" s="564" t="s">
        <v>38</v>
      </c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 spans="1:26" ht="13">
      <c r="A538" s="562" t="s">
        <v>2330</v>
      </c>
      <c r="B538" s="563" t="s">
        <v>2331</v>
      </c>
      <c r="C538" s="564" t="s">
        <v>1388</v>
      </c>
      <c r="D538" s="565">
        <v>45238</v>
      </c>
      <c r="E538" s="565">
        <v>45443</v>
      </c>
      <c r="F538" s="567"/>
      <c r="G538" s="564" t="s">
        <v>1131</v>
      </c>
      <c r="H538" s="564" t="s">
        <v>2332</v>
      </c>
      <c r="I538" s="564" t="s">
        <v>64</v>
      </c>
      <c r="J538" s="564" t="s">
        <v>1079</v>
      </c>
      <c r="K538" s="564" t="s">
        <v>1090</v>
      </c>
      <c r="L538" s="564" t="s">
        <v>1080</v>
      </c>
      <c r="M538" s="564" t="s">
        <v>1081</v>
      </c>
      <c r="N538" s="564" t="s">
        <v>64</v>
      </c>
      <c r="O538" s="564" t="s">
        <v>1081</v>
      </c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 spans="1:26" ht="13">
      <c r="A539" s="562" t="s">
        <v>2333</v>
      </c>
      <c r="B539" s="563" t="s">
        <v>2334</v>
      </c>
      <c r="C539" s="564" t="s">
        <v>1388</v>
      </c>
      <c r="D539" s="565">
        <v>45238</v>
      </c>
      <c r="E539" s="565">
        <v>45443</v>
      </c>
      <c r="F539" s="567"/>
      <c r="G539" s="564" t="s">
        <v>1131</v>
      </c>
      <c r="H539" s="564" t="s">
        <v>1128</v>
      </c>
      <c r="I539" s="564" t="s">
        <v>45</v>
      </c>
      <c r="J539" s="564" t="s">
        <v>1079</v>
      </c>
      <c r="K539" s="564" t="s">
        <v>1090</v>
      </c>
      <c r="L539" s="564" t="s">
        <v>1390</v>
      </c>
      <c r="M539" s="564" t="s">
        <v>1390</v>
      </c>
      <c r="N539" s="564" t="s">
        <v>45</v>
      </c>
      <c r="O539" s="564" t="s">
        <v>38</v>
      </c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 spans="1:26" ht="13">
      <c r="A540" s="562" t="s">
        <v>2335</v>
      </c>
      <c r="B540" s="563" t="s">
        <v>2336</v>
      </c>
      <c r="C540" s="564" t="s">
        <v>2322</v>
      </c>
      <c r="D540" s="565">
        <v>45108</v>
      </c>
      <c r="E540" s="565">
        <v>45473</v>
      </c>
      <c r="F540" s="567"/>
      <c r="G540" s="564" t="s">
        <v>2323</v>
      </c>
      <c r="H540" s="564" t="s">
        <v>2323</v>
      </c>
      <c r="I540" s="564" t="s">
        <v>45</v>
      </c>
      <c r="J540" s="564" t="s">
        <v>1079</v>
      </c>
      <c r="K540" s="564" t="s">
        <v>1090</v>
      </c>
      <c r="L540" s="564" t="s">
        <v>1390</v>
      </c>
      <c r="M540" s="564" t="s">
        <v>1390</v>
      </c>
      <c r="N540" s="564" t="s">
        <v>45</v>
      </c>
      <c r="O540" s="564" t="s">
        <v>38</v>
      </c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 spans="1:26" ht="13">
      <c r="A541" s="562" t="s">
        <v>2337</v>
      </c>
      <c r="B541" s="563" t="s">
        <v>2338</v>
      </c>
      <c r="C541" s="564" t="s">
        <v>1186</v>
      </c>
      <c r="D541" s="565">
        <v>45147</v>
      </c>
      <c r="E541" s="565">
        <v>45174</v>
      </c>
      <c r="F541" s="567"/>
      <c r="G541" s="564" t="s">
        <v>311</v>
      </c>
      <c r="H541" s="564" t="s">
        <v>1187</v>
      </c>
      <c r="I541" s="564" t="s">
        <v>45</v>
      </c>
      <c r="J541" s="564" t="s">
        <v>1079</v>
      </c>
      <c r="K541" s="564" t="s">
        <v>1090</v>
      </c>
      <c r="L541" s="564" t="s">
        <v>1390</v>
      </c>
      <c r="M541" s="564" t="s">
        <v>1390</v>
      </c>
      <c r="N541" s="564" t="s">
        <v>45</v>
      </c>
      <c r="O541" s="564" t="s">
        <v>38</v>
      </c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 spans="1:26" ht="13">
      <c r="A542" s="562" t="s">
        <v>2339</v>
      </c>
      <c r="B542" s="563" t="s">
        <v>2340</v>
      </c>
      <c r="C542" s="564" t="s">
        <v>2310</v>
      </c>
      <c r="D542" s="565">
        <v>44805</v>
      </c>
      <c r="E542" s="565">
        <v>44926</v>
      </c>
      <c r="F542" s="567"/>
      <c r="G542" s="564" t="s">
        <v>2341</v>
      </c>
      <c r="H542" s="564" t="s">
        <v>2341</v>
      </c>
      <c r="I542" s="564" t="s">
        <v>2311</v>
      </c>
      <c r="J542" s="564" t="s">
        <v>1069</v>
      </c>
      <c r="K542" s="564" t="s">
        <v>1070</v>
      </c>
      <c r="L542" s="564" t="s">
        <v>1080</v>
      </c>
      <c r="M542" s="564" t="s">
        <v>1081</v>
      </c>
      <c r="N542" s="564" t="s">
        <v>1073</v>
      </c>
      <c r="O542" s="564" t="s">
        <v>38</v>
      </c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 spans="1:26" ht="13">
      <c r="A543" s="562" t="s">
        <v>2342</v>
      </c>
      <c r="B543" s="563" t="s">
        <v>2343</v>
      </c>
      <c r="C543" s="564" t="s">
        <v>2310</v>
      </c>
      <c r="D543" s="565">
        <v>44835</v>
      </c>
      <c r="E543" s="565">
        <v>45291</v>
      </c>
      <c r="F543" s="567"/>
      <c r="G543" s="564" t="s">
        <v>1137</v>
      </c>
      <c r="H543" s="564" t="s">
        <v>1187</v>
      </c>
      <c r="I543" s="564" t="s">
        <v>2311</v>
      </c>
      <c r="J543" s="564" t="s">
        <v>1079</v>
      </c>
      <c r="K543" s="564" t="s">
        <v>1070</v>
      </c>
      <c r="L543" s="564" t="s">
        <v>1390</v>
      </c>
      <c r="M543" s="564" t="s">
        <v>1390</v>
      </c>
      <c r="N543" s="564" t="s">
        <v>1073</v>
      </c>
      <c r="O543" s="564" t="s">
        <v>38</v>
      </c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 spans="1:26" ht="13">
      <c r="A544" s="562" t="s">
        <v>2344</v>
      </c>
      <c r="B544" s="563" t="s">
        <v>2345</v>
      </c>
      <c r="C544" s="564" t="s">
        <v>1076</v>
      </c>
      <c r="D544" s="565">
        <v>44809</v>
      </c>
      <c r="E544" s="565">
        <v>44834</v>
      </c>
      <c r="F544" s="567"/>
      <c r="G544" s="564" t="s">
        <v>2346</v>
      </c>
      <c r="H544" s="564" t="s">
        <v>1123</v>
      </c>
      <c r="I544" s="564" t="s">
        <v>2311</v>
      </c>
      <c r="J544" s="564" t="s">
        <v>1069</v>
      </c>
      <c r="K544" s="564" t="s">
        <v>1205</v>
      </c>
      <c r="L544" s="564" t="s">
        <v>1390</v>
      </c>
      <c r="M544" s="564" t="s">
        <v>1390</v>
      </c>
      <c r="N544" s="564" t="s">
        <v>1368</v>
      </c>
      <c r="O544" s="564" t="s">
        <v>38</v>
      </c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 spans="1:26" ht="13">
      <c r="A545" s="562" t="s">
        <v>2347</v>
      </c>
      <c r="B545" s="563" t="s">
        <v>2348</v>
      </c>
      <c r="C545" s="564" t="s">
        <v>2310</v>
      </c>
      <c r="D545" s="565">
        <v>44732</v>
      </c>
      <c r="E545" s="565">
        <v>44926</v>
      </c>
      <c r="F545" s="567"/>
      <c r="G545" s="564" t="s">
        <v>1563</v>
      </c>
      <c r="H545" s="564" t="s">
        <v>1563</v>
      </c>
      <c r="I545" s="564" t="s">
        <v>2311</v>
      </c>
      <c r="J545" s="564" t="s">
        <v>1069</v>
      </c>
      <c r="K545" s="564" t="s">
        <v>1070</v>
      </c>
      <c r="L545" s="564" t="s">
        <v>1080</v>
      </c>
      <c r="M545" s="564" t="s">
        <v>1081</v>
      </c>
      <c r="N545" s="564" t="s">
        <v>1073</v>
      </c>
      <c r="O545" s="564" t="s">
        <v>1081</v>
      </c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 spans="1:26" ht="13">
      <c r="A546" s="562" t="s">
        <v>2349</v>
      </c>
      <c r="B546" s="563" t="s">
        <v>2350</v>
      </c>
      <c r="C546" s="564" t="s">
        <v>1088</v>
      </c>
      <c r="D546" s="565">
        <v>44753</v>
      </c>
      <c r="E546" s="565">
        <v>45291</v>
      </c>
      <c r="F546" s="567"/>
      <c r="G546" s="564" t="s">
        <v>1131</v>
      </c>
      <c r="H546" s="564" t="s">
        <v>1131</v>
      </c>
      <c r="I546" s="564" t="s">
        <v>45</v>
      </c>
      <c r="J546" s="564" t="s">
        <v>1079</v>
      </c>
      <c r="K546" s="564" t="s">
        <v>1090</v>
      </c>
      <c r="L546" s="564" t="s">
        <v>1390</v>
      </c>
      <c r="M546" s="564" t="s">
        <v>1390</v>
      </c>
      <c r="N546" s="564" t="s">
        <v>45</v>
      </c>
      <c r="O546" s="564" t="s">
        <v>38</v>
      </c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 spans="1:26" ht="13">
      <c r="A547" s="562" t="s">
        <v>2351</v>
      </c>
      <c r="B547" s="563" t="s">
        <v>2352</v>
      </c>
      <c r="C547" s="564" t="s">
        <v>2310</v>
      </c>
      <c r="D547" s="565">
        <v>44613</v>
      </c>
      <c r="E547" s="565">
        <v>44712</v>
      </c>
      <c r="F547" s="567"/>
      <c r="G547" s="564" t="s">
        <v>2332</v>
      </c>
      <c r="H547" s="564" t="s">
        <v>1077</v>
      </c>
      <c r="I547" s="564" t="s">
        <v>2311</v>
      </c>
      <c r="J547" s="564" t="s">
        <v>1069</v>
      </c>
      <c r="K547" s="564" t="s">
        <v>1070</v>
      </c>
      <c r="L547" s="564" t="s">
        <v>1080</v>
      </c>
      <c r="M547" s="564" t="s">
        <v>1081</v>
      </c>
      <c r="N547" s="564" t="s">
        <v>1073</v>
      </c>
      <c r="O547" s="564" t="s">
        <v>38</v>
      </c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 spans="1:26" ht="13">
      <c r="A548" s="562" t="s">
        <v>2353</v>
      </c>
      <c r="B548" s="563" t="s">
        <v>2354</v>
      </c>
      <c r="C548" s="564" t="s">
        <v>2310</v>
      </c>
      <c r="D548" s="565">
        <v>44562</v>
      </c>
      <c r="E548" s="565">
        <v>44771</v>
      </c>
      <c r="F548" s="567"/>
      <c r="G548" s="564" t="s">
        <v>2355</v>
      </c>
      <c r="H548" s="564" t="s">
        <v>2355</v>
      </c>
      <c r="I548" s="564" t="s">
        <v>2311</v>
      </c>
      <c r="J548" s="564" t="s">
        <v>1069</v>
      </c>
      <c r="K548" s="564" t="s">
        <v>1070</v>
      </c>
      <c r="L548" s="564" t="s">
        <v>1390</v>
      </c>
      <c r="M548" s="564" t="s">
        <v>1390</v>
      </c>
      <c r="N548" s="564" t="s">
        <v>1073</v>
      </c>
      <c r="O548" s="564" t="s">
        <v>38</v>
      </c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 spans="1:26" ht="13">
      <c r="A549" s="562" t="s">
        <v>2356</v>
      </c>
      <c r="B549" s="563" t="s">
        <v>2357</v>
      </c>
      <c r="C549" s="564" t="s">
        <v>1455</v>
      </c>
      <c r="D549" s="565">
        <v>44501</v>
      </c>
      <c r="E549" s="565">
        <v>44620</v>
      </c>
      <c r="F549" s="567"/>
      <c r="G549" s="564" t="s">
        <v>2358</v>
      </c>
      <c r="H549" s="564" t="s">
        <v>1182</v>
      </c>
      <c r="I549" s="564" t="s">
        <v>2311</v>
      </c>
      <c r="J549" s="564" t="s">
        <v>1069</v>
      </c>
      <c r="K549" s="564" t="s">
        <v>1105</v>
      </c>
      <c r="L549" s="564" t="s">
        <v>1390</v>
      </c>
      <c r="M549" s="564" t="s">
        <v>1390</v>
      </c>
      <c r="N549" s="564" t="s">
        <v>1073</v>
      </c>
      <c r="O549" s="564" t="s">
        <v>38</v>
      </c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spans="1:26" ht="13">
      <c r="A550" s="562" t="s">
        <v>2359</v>
      </c>
      <c r="B550" s="563" t="s">
        <v>2360</v>
      </c>
      <c r="C550" s="564" t="s">
        <v>2310</v>
      </c>
      <c r="D550" s="565">
        <v>44470</v>
      </c>
      <c r="E550" s="565">
        <v>47848</v>
      </c>
      <c r="F550" s="567"/>
      <c r="G550" s="564" t="s">
        <v>2269</v>
      </c>
      <c r="H550" s="564" t="s">
        <v>2269</v>
      </c>
      <c r="I550" s="564" t="s">
        <v>2311</v>
      </c>
      <c r="J550" s="564" t="s">
        <v>1069</v>
      </c>
      <c r="K550" s="564" t="s">
        <v>1070</v>
      </c>
      <c r="L550" s="564" t="s">
        <v>1071</v>
      </c>
      <c r="M550" s="564" t="s">
        <v>1091</v>
      </c>
      <c r="N550" s="564" t="s">
        <v>1073</v>
      </c>
      <c r="O550" s="564" t="s">
        <v>241</v>
      </c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 spans="1:26" ht="13">
      <c r="A551" s="562" t="s">
        <v>2361</v>
      </c>
      <c r="B551" s="563" t="s">
        <v>1300</v>
      </c>
      <c r="C551" s="564" t="s">
        <v>1114</v>
      </c>
      <c r="D551" s="565">
        <v>44197</v>
      </c>
      <c r="E551" s="565">
        <v>44926</v>
      </c>
      <c r="F551" s="566">
        <v>50000000</v>
      </c>
      <c r="G551" s="564" t="s">
        <v>674</v>
      </c>
      <c r="H551" s="564" t="s">
        <v>674</v>
      </c>
      <c r="I551" s="564" t="s">
        <v>1301</v>
      </c>
      <c r="J551" s="564" t="s">
        <v>1069</v>
      </c>
      <c r="K551" s="564" t="s">
        <v>1070</v>
      </c>
      <c r="L551" s="564" t="s">
        <v>1117</v>
      </c>
      <c r="M551" s="564" t="s">
        <v>1199</v>
      </c>
      <c r="N551" s="564" t="s">
        <v>1082</v>
      </c>
      <c r="O551" s="564" t="s">
        <v>1081</v>
      </c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 spans="1:26" ht="13">
      <c r="A552" s="562" t="s">
        <v>2362</v>
      </c>
      <c r="B552" s="563" t="s">
        <v>2363</v>
      </c>
      <c r="C552" s="564" t="s">
        <v>2310</v>
      </c>
      <c r="D552" s="565">
        <v>43831</v>
      </c>
      <c r="E552" s="565">
        <v>45657</v>
      </c>
      <c r="F552" s="566">
        <v>2153672790</v>
      </c>
      <c r="G552" s="564" t="s">
        <v>1563</v>
      </c>
      <c r="H552" s="564" t="s">
        <v>2364</v>
      </c>
      <c r="I552" s="564" t="s">
        <v>2311</v>
      </c>
      <c r="J552" s="564" t="s">
        <v>2365</v>
      </c>
      <c r="K552" s="564" t="s">
        <v>1070</v>
      </c>
      <c r="L552" s="564" t="s">
        <v>1071</v>
      </c>
      <c r="M552" s="564" t="s">
        <v>1091</v>
      </c>
      <c r="N552" s="564" t="s">
        <v>1073</v>
      </c>
      <c r="O552" s="564" t="s">
        <v>241</v>
      </c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 spans="1:26" ht="13">
      <c r="A553" s="562" t="s">
        <v>2366</v>
      </c>
      <c r="B553" s="563" t="s">
        <v>2367</v>
      </c>
      <c r="C553" s="564" t="s">
        <v>2310</v>
      </c>
      <c r="D553" s="565">
        <v>44197</v>
      </c>
      <c r="E553" s="565">
        <v>46022</v>
      </c>
      <c r="F553" s="567"/>
      <c r="G553" s="564" t="s">
        <v>1333</v>
      </c>
      <c r="H553" s="564" t="s">
        <v>1333</v>
      </c>
      <c r="I553" s="564" t="s">
        <v>2311</v>
      </c>
      <c r="J553" s="564" t="s">
        <v>1079</v>
      </c>
      <c r="K553" s="564" t="s">
        <v>1070</v>
      </c>
      <c r="L553" s="564" t="s">
        <v>1189</v>
      </c>
      <c r="M553" s="564" t="s">
        <v>249</v>
      </c>
      <c r="N553" s="564" t="s">
        <v>1073</v>
      </c>
      <c r="O553" s="564" t="s">
        <v>249</v>
      </c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 spans="1:26" ht="13">
      <c r="A554" s="562" t="s">
        <v>2368</v>
      </c>
      <c r="B554" s="563" t="s">
        <v>2369</v>
      </c>
      <c r="C554" s="564" t="s">
        <v>2310</v>
      </c>
      <c r="D554" s="565">
        <v>44013</v>
      </c>
      <c r="E554" s="565">
        <v>44196</v>
      </c>
      <c r="F554" s="567"/>
      <c r="G554" s="564" t="s">
        <v>2370</v>
      </c>
      <c r="H554" s="564" t="s">
        <v>2370</v>
      </c>
      <c r="I554" s="564" t="s">
        <v>2311</v>
      </c>
      <c r="J554" s="564" t="s">
        <v>1069</v>
      </c>
      <c r="K554" s="564" t="s">
        <v>1070</v>
      </c>
      <c r="L554" s="564" t="s">
        <v>1390</v>
      </c>
      <c r="M554" s="564" t="s">
        <v>1390</v>
      </c>
      <c r="N554" s="564" t="s">
        <v>1073</v>
      </c>
      <c r="O554" s="564" t="s">
        <v>38</v>
      </c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 spans="1:26" ht="13">
      <c r="A555" s="562" t="s">
        <v>2371</v>
      </c>
      <c r="B555" s="563" t="s">
        <v>2372</v>
      </c>
      <c r="C555" s="564" t="s">
        <v>2373</v>
      </c>
      <c r="D555" s="565">
        <v>43976</v>
      </c>
      <c r="E555" s="565">
        <v>44255</v>
      </c>
      <c r="F555" s="567"/>
      <c r="G555" s="564" t="s">
        <v>2332</v>
      </c>
      <c r="H555" s="564" t="s">
        <v>2332</v>
      </c>
      <c r="I555" s="564" t="s">
        <v>2311</v>
      </c>
      <c r="J555" s="564" t="s">
        <v>1069</v>
      </c>
      <c r="K555" s="564" t="s">
        <v>1070</v>
      </c>
      <c r="L555" s="564" t="s">
        <v>1071</v>
      </c>
      <c r="M555" s="564" t="s">
        <v>1124</v>
      </c>
      <c r="N555" s="564" t="s">
        <v>1073</v>
      </c>
      <c r="O555" s="564" t="s">
        <v>1274</v>
      </c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 spans="1:26" ht="13">
      <c r="A556" s="562" t="s">
        <v>2374</v>
      </c>
      <c r="B556" s="563" t="s">
        <v>2375</v>
      </c>
      <c r="C556" s="564" t="s">
        <v>1255</v>
      </c>
      <c r="D556" s="565">
        <v>43927</v>
      </c>
      <c r="E556" s="565">
        <v>44165</v>
      </c>
      <c r="F556" s="567"/>
      <c r="G556" s="564" t="s">
        <v>1784</v>
      </c>
      <c r="H556" s="564" t="s">
        <v>1784</v>
      </c>
      <c r="I556" s="564" t="s">
        <v>2311</v>
      </c>
      <c r="J556" s="564" t="s">
        <v>1069</v>
      </c>
      <c r="K556" s="564" t="s">
        <v>1070</v>
      </c>
      <c r="L556" s="564" t="s">
        <v>1071</v>
      </c>
      <c r="M556" s="564" t="s">
        <v>1124</v>
      </c>
      <c r="N556" s="564" t="s">
        <v>1073</v>
      </c>
      <c r="O556" s="564" t="s">
        <v>241</v>
      </c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 spans="1:26" ht="13">
      <c r="A557" s="562" t="s">
        <v>2376</v>
      </c>
      <c r="B557" s="563" t="s">
        <v>2377</v>
      </c>
      <c r="C557" s="564" t="s">
        <v>2310</v>
      </c>
      <c r="D557" s="565">
        <v>43922</v>
      </c>
      <c r="E557" s="565">
        <v>47573</v>
      </c>
      <c r="F557" s="567"/>
      <c r="G557" s="564" t="s">
        <v>2378</v>
      </c>
      <c r="H557" s="564" t="s">
        <v>2378</v>
      </c>
      <c r="I557" s="564" t="s">
        <v>2311</v>
      </c>
      <c r="J557" s="564" t="s">
        <v>2379</v>
      </c>
      <c r="K557" s="564" t="s">
        <v>1070</v>
      </c>
      <c r="L557" s="564" t="s">
        <v>1189</v>
      </c>
      <c r="M557" s="564" t="s">
        <v>249</v>
      </c>
      <c r="N557" s="564" t="s">
        <v>1073</v>
      </c>
      <c r="O557" s="564" t="s">
        <v>1081</v>
      </c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 spans="1:26" ht="13">
      <c r="A558" s="562" t="s">
        <v>2380</v>
      </c>
      <c r="B558" s="563" t="s">
        <v>2381</v>
      </c>
      <c r="C558" s="564" t="s">
        <v>2310</v>
      </c>
      <c r="D558" s="565">
        <v>43885</v>
      </c>
      <c r="E558" s="565">
        <v>44043</v>
      </c>
      <c r="F558" s="567"/>
      <c r="G558" s="564" t="s">
        <v>1312</v>
      </c>
      <c r="H558" s="564" t="s">
        <v>1312</v>
      </c>
      <c r="I558" s="564" t="s">
        <v>2311</v>
      </c>
      <c r="J558" s="564" t="s">
        <v>1069</v>
      </c>
      <c r="K558" s="564" t="s">
        <v>1070</v>
      </c>
      <c r="L558" s="564" t="s">
        <v>1390</v>
      </c>
      <c r="M558" s="564" t="s">
        <v>1390</v>
      </c>
      <c r="N558" s="564" t="s">
        <v>1073</v>
      </c>
      <c r="O558" s="564" t="s">
        <v>1081</v>
      </c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 spans="1:26" ht="13">
      <c r="A559" s="562" t="s">
        <v>2382</v>
      </c>
      <c r="B559" s="563" t="s">
        <v>2383</v>
      </c>
      <c r="C559" s="564" t="s">
        <v>2310</v>
      </c>
      <c r="D559" s="565">
        <v>43517</v>
      </c>
      <c r="E559" s="565">
        <v>43921</v>
      </c>
      <c r="F559" s="567"/>
      <c r="G559" s="564" t="s">
        <v>2154</v>
      </c>
      <c r="H559" s="564" t="s">
        <v>2384</v>
      </c>
      <c r="I559" s="564" t="s">
        <v>2310</v>
      </c>
      <c r="J559" s="564" t="s">
        <v>1069</v>
      </c>
      <c r="K559" s="564" t="s">
        <v>1070</v>
      </c>
      <c r="L559" s="564" t="s">
        <v>1390</v>
      </c>
      <c r="M559" s="564" t="s">
        <v>1390</v>
      </c>
      <c r="N559" s="564" t="s">
        <v>1073</v>
      </c>
      <c r="O559" s="564" t="s">
        <v>249</v>
      </c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 spans="1:26" ht="13">
      <c r="A560" s="562" t="s">
        <v>2385</v>
      </c>
      <c r="B560" s="563" t="s">
        <v>2386</v>
      </c>
      <c r="C560" s="564" t="s">
        <v>2387</v>
      </c>
      <c r="D560" s="565">
        <v>43696</v>
      </c>
      <c r="E560" s="565">
        <v>43769</v>
      </c>
      <c r="F560" s="567"/>
      <c r="G560" s="564" t="s">
        <v>1505</v>
      </c>
      <c r="H560" s="564" t="s">
        <v>1505</v>
      </c>
      <c r="I560" s="564" t="s">
        <v>2388</v>
      </c>
      <c r="J560" s="564" t="s">
        <v>1069</v>
      </c>
      <c r="K560" s="564" t="s">
        <v>1070</v>
      </c>
      <c r="L560" s="564" t="s">
        <v>1117</v>
      </c>
      <c r="M560" s="564" t="s">
        <v>1118</v>
      </c>
      <c r="N560" s="564" t="s">
        <v>1073</v>
      </c>
      <c r="O560" s="564" t="s">
        <v>1081</v>
      </c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 spans="1:26" ht="13">
      <c r="A561" s="562" t="s">
        <v>2389</v>
      </c>
      <c r="B561" s="563" t="s">
        <v>2390</v>
      </c>
      <c r="C561" s="564" t="s">
        <v>2310</v>
      </c>
      <c r="D561" s="565">
        <v>43678</v>
      </c>
      <c r="E561" s="565">
        <v>43830</v>
      </c>
      <c r="F561" s="567"/>
      <c r="G561" s="564" t="s">
        <v>2370</v>
      </c>
      <c r="H561" s="564" t="s">
        <v>2370</v>
      </c>
      <c r="I561" s="564" t="s">
        <v>2391</v>
      </c>
      <c r="J561" s="564" t="s">
        <v>1069</v>
      </c>
      <c r="K561" s="564" t="s">
        <v>1070</v>
      </c>
      <c r="L561" s="564" t="s">
        <v>1390</v>
      </c>
      <c r="M561" s="564" t="s">
        <v>1390</v>
      </c>
      <c r="N561" s="564" t="s">
        <v>1073</v>
      </c>
      <c r="O561" s="564" t="s">
        <v>249</v>
      </c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 spans="1:26" ht="13">
      <c r="A562" s="562" t="s">
        <v>2392</v>
      </c>
      <c r="B562" s="563" t="s">
        <v>2393</v>
      </c>
      <c r="C562" s="564" t="s">
        <v>1255</v>
      </c>
      <c r="D562" s="565">
        <v>43609</v>
      </c>
      <c r="E562" s="565">
        <v>43830</v>
      </c>
      <c r="F562" s="567"/>
      <c r="G562" s="564" t="s">
        <v>1345</v>
      </c>
      <c r="H562" s="564" t="s">
        <v>1345</v>
      </c>
      <c r="I562" s="564" t="s">
        <v>45</v>
      </c>
      <c r="J562" s="564" t="s">
        <v>1069</v>
      </c>
      <c r="K562" s="564" t="s">
        <v>1090</v>
      </c>
      <c r="L562" s="564" t="s">
        <v>1071</v>
      </c>
      <c r="M562" s="564" t="s">
        <v>1183</v>
      </c>
      <c r="N562" s="564" t="s">
        <v>45</v>
      </c>
      <c r="O562" s="564" t="s">
        <v>1184</v>
      </c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 spans="1:26" ht="13">
      <c r="A563" s="562" t="s">
        <v>2394</v>
      </c>
      <c r="B563" s="563" t="s">
        <v>2395</v>
      </c>
      <c r="C563" s="564" t="s">
        <v>2396</v>
      </c>
      <c r="D563" s="565">
        <v>43416</v>
      </c>
      <c r="E563" s="565">
        <v>43524</v>
      </c>
      <c r="F563" s="567"/>
      <c r="G563" s="564" t="s">
        <v>1856</v>
      </c>
      <c r="H563" s="564" t="s">
        <v>1856</v>
      </c>
      <c r="I563" s="564" t="s">
        <v>2397</v>
      </c>
      <c r="J563" s="564" t="s">
        <v>1069</v>
      </c>
      <c r="K563" s="564" t="s">
        <v>1070</v>
      </c>
      <c r="L563" s="564" t="s">
        <v>1189</v>
      </c>
      <c r="M563" s="564" t="s">
        <v>1189</v>
      </c>
      <c r="N563" s="564" t="s">
        <v>1073</v>
      </c>
      <c r="O563" s="564" t="s">
        <v>38</v>
      </c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 spans="1:26" ht="13">
      <c r="A564" s="562" t="s">
        <v>2398</v>
      </c>
      <c r="B564" s="563" t="s">
        <v>2399</v>
      </c>
      <c r="C564" s="564" t="s">
        <v>1255</v>
      </c>
      <c r="D564" s="565">
        <v>43235</v>
      </c>
      <c r="E564" s="565">
        <v>43343</v>
      </c>
      <c r="F564" s="567"/>
      <c r="G564" s="564" t="s">
        <v>1897</v>
      </c>
      <c r="H564" s="564" t="s">
        <v>1897</v>
      </c>
      <c r="I564" s="564" t="s">
        <v>45</v>
      </c>
      <c r="J564" s="564" t="s">
        <v>1069</v>
      </c>
      <c r="K564" s="564" t="s">
        <v>1090</v>
      </c>
      <c r="L564" s="564" t="s">
        <v>1071</v>
      </c>
      <c r="M564" s="564" t="s">
        <v>1183</v>
      </c>
      <c r="N564" s="564" t="s">
        <v>45</v>
      </c>
      <c r="O564" s="564" t="s">
        <v>1184</v>
      </c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 spans="1:26" ht="13">
      <c r="A565" s="562" t="s">
        <v>2400</v>
      </c>
      <c r="B565" s="563" t="s">
        <v>2401</v>
      </c>
      <c r="C565" s="564" t="s">
        <v>1255</v>
      </c>
      <c r="D565" s="565">
        <v>43115</v>
      </c>
      <c r="E565" s="565">
        <v>43311</v>
      </c>
      <c r="F565" s="567"/>
      <c r="G565" s="564" t="s">
        <v>1784</v>
      </c>
      <c r="H565" s="564" t="s">
        <v>1784</v>
      </c>
      <c r="I565" s="564" t="s">
        <v>2402</v>
      </c>
      <c r="J565" s="564" t="s">
        <v>1069</v>
      </c>
      <c r="K565" s="564" t="s">
        <v>1070</v>
      </c>
      <c r="L565" s="564" t="s">
        <v>1262</v>
      </c>
      <c r="M565" s="564" t="s">
        <v>1263</v>
      </c>
      <c r="N565" s="564" t="s">
        <v>1073</v>
      </c>
      <c r="O565" s="564" t="s">
        <v>1264</v>
      </c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 spans="1:26" ht="13">
      <c r="A566" s="562" t="s">
        <v>2403</v>
      </c>
      <c r="B566" s="563" t="s">
        <v>2404</v>
      </c>
      <c r="C566" s="564" t="s">
        <v>2387</v>
      </c>
      <c r="D566" s="565">
        <v>43234</v>
      </c>
      <c r="E566" s="565">
        <v>43465</v>
      </c>
      <c r="F566" s="567"/>
      <c r="G566" s="564" t="s">
        <v>1297</v>
      </c>
      <c r="H566" s="564" t="s">
        <v>2405</v>
      </c>
      <c r="I566" s="564" t="s">
        <v>2406</v>
      </c>
      <c r="J566" s="564" t="s">
        <v>1069</v>
      </c>
      <c r="K566" s="564" t="s">
        <v>1070</v>
      </c>
      <c r="L566" s="564" t="s">
        <v>1071</v>
      </c>
      <c r="M566" s="564" t="s">
        <v>1072</v>
      </c>
      <c r="N566" s="564" t="s">
        <v>1073</v>
      </c>
      <c r="O566" s="564" t="s">
        <v>1176</v>
      </c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 spans="1:26" ht="13">
      <c r="A567" s="562" t="s">
        <v>2407</v>
      </c>
      <c r="B567" s="563" t="s">
        <v>2408</v>
      </c>
      <c r="C567" s="564" t="s">
        <v>1388</v>
      </c>
      <c r="D567" s="565">
        <v>43018</v>
      </c>
      <c r="E567" s="565">
        <v>43190</v>
      </c>
      <c r="F567" s="567"/>
      <c r="G567" s="564" t="s">
        <v>1663</v>
      </c>
      <c r="H567" s="564" t="s">
        <v>1663</v>
      </c>
      <c r="I567" s="564" t="s">
        <v>2397</v>
      </c>
      <c r="J567" s="564" t="s">
        <v>1069</v>
      </c>
      <c r="K567" s="564" t="s">
        <v>1070</v>
      </c>
      <c r="L567" s="564" t="s">
        <v>1262</v>
      </c>
      <c r="M567" s="564" t="s">
        <v>1263</v>
      </c>
      <c r="N567" s="564" t="s">
        <v>1073</v>
      </c>
      <c r="O567" s="564" t="s">
        <v>1664</v>
      </c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 spans="1:26" ht="13">
      <c r="A568" s="562" t="s">
        <v>2409</v>
      </c>
      <c r="B568" s="563" t="s">
        <v>2410</v>
      </c>
      <c r="C568" s="564" t="s">
        <v>2396</v>
      </c>
      <c r="D568" s="565">
        <v>42905</v>
      </c>
      <c r="E568" s="565">
        <v>43465</v>
      </c>
      <c r="F568" s="567"/>
      <c r="G568" s="564" t="s">
        <v>2411</v>
      </c>
      <c r="H568" s="564" t="s">
        <v>2154</v>
      </c>
      <c r="I568" s="564" t="s">
        <v>2412</v>
      </c>
      <c r="J568" s="564" t="s">
        <v>1069</v>
      </c>
      <c r="K568" s="564" t="s">
        <v>1070</v>
      </c>
      <c r="L568" s="564" t="s">
        <v>1390</v>
      </c>
      <c r="M568" s="564" t="s">
        <v>1390</v>
      </c>
      <c r="N568" s="564" t="s">
        <v>1073</v>
      </c>
      <c r="O568" s="564" t="s">
        <v>38</v>
      </c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 spans="1:26" ht="13">
      <c r="A569" s="562" t="s">
        <v>2413</v>
      </c>
      <c r="B569" s="563" t="s">
        <v>2414</v>
      </c>
      <c r="C569" s="564" t="s">
        <v>2387</v>
      </c>
      <c r="D569" s="565">
        <v>42905</v>
      </c>
      <c r="E569" s="565">
        <v>43465</v>
      </c>
      <c r="F569" s="567"/>
      <c r="G569" s="564" t="s">
        <v>2405</v>
      </c>
      <c r="H569" s="564" t="s">
        <v>2154</v>
      </c>
      <c r="I569" s="564" t="s">
        <v>2415</v>
      </c>
      <c r="J569" s="564" t="s">
        <v>1069</v>
      </c>
      <c r="K569" s="564" t="s">
        <v>1070</v>
      </c>
      <c r="L569" s="564" t="s">
        <v>1080</v>
      </c>
      <c r="M569" s="564" t="s">
        <v>1081</v>
      </c>
      <c r="N569" s="564" t="s">
        <v>1073</v>
      </c>
      <c r="O569" s="564" t="s">
        <v>38</v>
      </c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 spans="1:26" ht="13">
      <c r="A570" s="562" t="s">
        <v>2416</v>
      </c>
      <c r="B570" s="563" t="s">
        <v>2417</v>
      </c>
      <c r="C570" s="564" t="s">
        <v>2396</v>
      </c>
      <c r="D570" s="565">
        <v>42905</v>
      </c>
      <c r="E570" s="565">
        <v>43465</v>
      </c>
      <c r="F570" s="567"/>
      <c r="G570" s="564" t="s">
        <v>2418</v>
      </c>
      <c r="H570" s="564" t="s">
        <v>2154</v>
      </c>
      <c r="I570" s="564" t="s">
        <v>2397</v>
      </c>
      <c r="J570" s="564" t="s">
        <v>1069</v>
      </c>
      <c r="K570" s="564" t="s">
        <v>1070</v>
      </c>
      <c r="L570" s="564" t="s">
        <v>1390</v>
      </c>
      <c r="M570" s="564" t="s">
        <v>1390</v>
      </c>
      <c r="N570" s="564" t="s">
        <v>1073</v>
      </c>
      <c r="O570" s="564" t="s">
        <v>38</v>
      </c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 spans="1:26" ht="13">
      <c r="A571" s="562" t="s">
        <v>2419</v>
      </c>
      <c r="B571" s="563" t="s">
        <v>2420</v>
      </c>
      <c r="C571" s="564" t="s">
        <v>1255</v>
      </c>
      <c r="D571" s="565">
        <v>42562</v>
      </c>
      <c r="E571" s="565">
        <v>42643</v>
      </c>
      <c r="F571" s="567"/>
      <c r="G571" s="564" t="s">
        <v>1148</v>
      </c>
      <c r="H571" s="564" t="s">
        <v>1148</v>
      </c>
      <c r="I571" s="564" t="s">
        <v>45</v>
      </c>
      <c r="J571" s="564" t="s">
        <v>1069</v>
      </c>
      <c r="K571" s="564" t="s">
        <v>1090</v>
      </c>
      <c r="L571" s="564" t="s">
        <v>1071</v>
      </c>
      <c r="M571" s="564" t="s">
        <v>1124</v>
      </c>
      <c r="N571" s="564" t="s">
        <v>45</v>
      </c>
      <c r="O571" s="564" t="s">
        <v>197</v>
      </c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 spans="1:26" ht="13">
      <c r="A572" s="562" t="s">
        <v>2421</v>
      </c>
      <c r="B572" s="563" t="s">
        <v>2422</v>
      </c>
      <c r="C572" s="564" t="s">
        <v>1255</v>
      </c>
      <c r="D572" s="565">
        <v>42562</v>
      </c>
      <c r="E572" s="565">
        <v>42947</v>
      </c>
      <c r="F572" s="567"/>
      <c r="G572" s="564" t="s">
        <v>1780</v>
      </c>
      <c r="H572" s="564" t="s">
        <v>1780</v>
      </c>
      <c r="I572" s="564" t="s">
        <v>45</v>
      </c>
      <c r="J572" s="564" t="s">
        <v>1069</v>
      </c>
      <c r="K572" s="564" t="s">
        <v>1090</v>
      </c>
      <c r="L572" s="564" t="s">
        <v>1390</v>
      </c>
      <c r="M572" s="564" t="s">
        <v>1390</v>
      </c>
      <c r="N572" s="564" t="s">
        <v>45</v>
      </c>
      <c r="O572" s="564" t="s">
        <v>197</v>
      </c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 spans="1:26" ht="13">
      <c r="A573" s="562" t="s">
        <v>2423</v>
      </c>
      <c r="B573" s="563" t="s">
        <v>2424</v>
      </c>
      <c r="C573" s="564" t="s">
        <v>1136</v>
      </c>
      <c r="D573" s="565">
        <v>42471</v>
      </c>
      <c r="E573" s="565">
        <v>42735</v>
      </c>
      <c r="F573" s="567"/>
      <c r="G573" s="564" t="s">
        <v>2425</v>
      </c>
      <c r="H573" s="564" t="s">
        <v>2425</v>
      </c>
      <c r="I573" s="564" t="s">
        <v>143</v>
      </c>
      <c r="J573" s="564" t="s">
        <v>1069</v>
      </c>
      <c r="K573" s="564" t="s">
        <v>1205</v>
      </c>
      <c r="L573" s="564" t="s">
        <v>1189</v>
      </c>
      <c r="M573" s="564" t="s">
        <v>1189</v>
      </c>
      <c r="N573" s="564" t="s">
        <v>1073</v>
      </c>
      <c r="O573" s="564" t="s">
        <v>249</v>
      </c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 spans="1:26" ht="13">
      <c r="A574" s="562" t="s">
        <v>2426</v>
      </c>
      <c r="B574" s="563" t="s">
        <v>2427</v>
      </c>
      <c r="C574" s="564" t="s">
        <v>2322</v>
      </c>
      <c r="D574" s="565">
        <v>42491</v>
      </c>
      <c r="E574" s="565">
        <v>42855</v>
      </c>
      <c r="F574" s="566">
        <v>12000000</v>
      </c>
      <c r="G574" s="564" t="s">
        <v>2323</v>
      </c>
      <c r="H574" s="564" t="s">
        <v>2428</v>
      </c>
      <c r="I574" s="564" t="s">
        <v>2429</v>
      </c>
      <c r="J574" s="564" t="s">
        <v>1069</v>
      </c>
      <c r="K574" s="564" t="s">
        <v>2430</v>
      </c>
      <c r="L574" s="564" t="s">
        <v>1390</v>
      </c>
      <c r="M574" s="564" t="s">
        <v>1390</v>
      </c>
      <c r="N574" s="564" t="s">
        <v>1073</v>
      </c>
      <c r="O574" s="564" t="s">
        <v>38</v>
      </c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 spans="1:26" ht="13">
      <c r="A575" s="562" t="s">
        <v>2431</v>
      </c>
      <c r="B575" s="563" t="s">
        <v>2432</v>
      </c>
      <c r="C575" s="564" t="s">
        <v>2433</v>
      </c>
      <c r="D575" s="565">
        <v>42309</v>
      </c>
      <c r="E575" s="565">
        <v>42735</v>
      </c>
      <c r="F575" s="567"/>
      <c r="G575" s="564" t="s">
        <v>2434</v>
      </c>
      <c r="H575" s="564" t="s">
        <v>2434</v>
      </c>
      <c r="I575" s="564" t="s">
        <v>2415</v>
      </c>
      <c r="J575" s="564" t="s">
        <v>1069</v>
      </c>
      <c r="K575" s="564" t="s">
        <v>1070</v>
      </c>
      <c r="L575" s="564" t="s">
        <v>1390</v>
      </c>
      <c r="M575" s="564" t="s">
        <v>1390</v>
      </c>
      <c r="N575" s="564" t="s">
        <v>1073</v>
      </c>
      <c r="O575" s="564" t="s">
        <v>38</v>
      </c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 spans="1:26" ht="13">
      <c r="A576" s="562" t="s">
        <v>2435</v>
      </c>
      <c r="B576" s="563" t="s">
        <v>2436</v>
      </c>
      <c r="C576" s="564" t="s">
        <v>2437</v>
      </c>
      <c r="D576" s="565">
        <v>42005</v>
      </c>
      <c r="E576" s="565">
        <v>42735</v>
      </c>
      <c r="F576" s="566">
        <v>3000000000</v>
      </c>
      <c r="G576" s="564" t="s">
        <v>1856</v>
      </c>
      <c r="H576" s="564" t="s">
        <v>1640</v>
      </c>
      <c r="I576" s="564" t="s">
        <v>2438</v>
      </c>
      <c r="J576" s="564" t="s">
        <v>1069</v>
      </c>
      <c r="K576" s="564" t="s">
        <v>1090</v>
      </c>
      <c r="L576" s="564" t="s">
        <v>1390</v>
      </c>
      <c r="M576" s="564" t="s">
        <v>1390</v>
      </c>
      <c r="N576" s="564" t="s">
        <v>2439</v>
      </c>
      <c r="O576" s="564" t="s">
        <v>38</v>
      </c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 spans="1:26" ht="13">
      <c r="A577" s="562" t="s">
        <v>2440</v>
      </c>
      <c r="B577" s="563" t="s">
        <v>2441</v>
      </c>
      <c r="C577" s="564" t="s">
        <v>2442</v>
      </c>
      <c r="D577" s="565">
        <v>41699</v>
      </c>
      <c r="E577" s="565">
        <v>43100</v>
      </c>
      <c r="F577" s="567"/>
      <c r="G577" s="564" t="s">
        <v>2443</v>
      </c>
      <c r="H577" s="564" t="s">
        <v>2444</v>
      </c>
      <c r="I577" s="564" t="s">
        <v>2445</v>
      </c>
      <c r="J577" s="564" t="s">
        <v>1069</v>
      </c>
      <c r="K577" s="564" t="s">
        <v>1070</v>
      </c>
      <c r="L577" s="564" t="s">
        <v>1189</v>
      </c>
      <c r="M577" s="564" t="s">
        <v>249</v>
      </c>
      <c r="N577" s="564" t="s">
        <v>1073</v>
      </c>
      <c r="O577" s="564" t="s">
        <v>249</v>
      </c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 spans="1:26" ht="13">
      <c r="A578" s="562" t="s">
        <v>2446</v>
      </c>
      <c r="B578" s="563" t="s">
        <v>2447</v>
      </c>
      <c r="C578" s="564" t="s">
        <v>1066</v>
      </c>
      <c r="D578" s="565">
        <v>41703</v>
      </c>
      <c r="E578" s="565">
        <v>42369</v>
      </c>
      <c r="F578" s="567"/>
      <c r="G578" s="564" t="s">
        <v>1067</v>
      </c>
      <c r="H578" s="564" t="s">
        <v>1297</v>
      </c>
      <c r="I578" s="564" t="s">
        <v>2448</v>
      </c>
      <c r="J578" s="564" t="s">
        <v>1069</v>
      </c>
      <c r="K578" s="564" t="s">
        <v>1070</v>
      </c>
      <c r="L578" s="564" t="s">
        <v>1071</v>
      </c>
      <c r="M578" s="564" t="s">
        <v>1072</v>
      </c>
      <c r="N578" s="564" t="s">
        <v>1073</v>
      </c>
      <c r="O578" s="564" t="s">
        <v>1176</v>
      </c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 spans="1:26" ht="13">
      <c r="A579" s="562" t="s">
        <v>2449</v>
      </c>
      <c r="B579" s="563" t="s">
        <v>2450</v>
      </c>
      <c r="C579" s="564" t="s">
        <v>2451</v>
      </c>
      <c r="D579" s="565">
        <v>41275</v>
      </c>
      <c r="E579" s="565">
        <v>41547</v>
      </c>
      <c r="F579" s="567"/>
      <c r="G579" s="564" t="s">
        <v>2452</v>
      </c>
      <c r="H579" s="564" t="s">
        <v>2355</v>
      </c>
      <c r="I579" s="564" t="s">
        <v>2451</v>
      </c>
      <c r="J579" s="564" t="s">
        <v>1069</v>
      </c>
      <c r="K579" s="564" t="s">
        <v>1070</v>
      </c>
      <c r="L579" s="564" t="s">
        <v>1071</v>
      </c>
      <c r="M579" s="564" t="s">
        <v>1091</v>
      </c>
      <c r="N579" s="564" t="s">
        <v>1073</v>
      </c>
      <c r="O579" s="564" t="s">
        <v>38</v>
      </c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 spans="1:26" ht="13">
      <c r="A580" s="562" t="s">
        <v>2453</v>
      </c>
      <c r="B580" s="563" t="s">
        <v>2454</v>
      </c>
      <c r="C580" s="564" t="s">
        <v>2191</v>
      </c>
      <c r="D580" s="565">
        <v>41453</v>
      </c>
      <c r="E580" s="565">
        <v>41817</v>
      </c>
      <c r="F580" s="566">
        <v>831900000</v>
      </c>
      <c r="G580" s="564" t="s">
        <v>2202</v>
      </c>
      <c r="H580" s="564" t="s">
        <v>1856</v>
      </c>
      <c r="I580" s="564" t="s">
        <v>2455</v>
      </c>
      <c r="J580" s="564" t="s">
        <v>1069</v>
      </c>
      <c r="K580" s="564" t="s">
        <v>1090</v>
      </c>
      <c r="L580" s="564" t="s">
        <v>1390</v>
      </c>
      <c r="M580" s="564" t="s">
        <v>1390</v>
      </c>
      <c r="N580" s="564" t="s">
        <v>1368</v>
      </c>
      <c r="O580" s="564" t="s">
        <v>38</v>
      </c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 spans="1:26" ht="13">
      <c r="A581" s="562" t="s">
        <v>2456</v>
      </c>
      <c r="B581" s="563" t="s">
        <v>2457</v>
      </c>
      <c r="C581" s="564" t="s">
        <v>2191</v>
      </c>
      <c r="D581" s="565">
        <v>41214</v>
      </c>
      <c r="E581" s="565">
        <v>42735</v>
      </c>
      <c r="F581" s="567"/>
      <c r="G581" s="564" t="s">
        <v>2458</v>
      </c>
      <c r="H581" s="564" t="s">
        <v>2459</v>
      </c>
      <c r="I581" s="564" t="s">
        <v>2460</v>
      </c>
      <c r="J581" s="564" t="s">
        <v>1069</v>
      </c>
      <c r="K581" s="564" t="s">
        <v>1209</v>
      </c>
      <c r="L581" s="564" t="s">
        <v>1390</v>
      </c>
      <c r="M581" s="564" t="s">
        <v>1390</v>
      </c>
      <c r="N581" s="564" t="s">
        <v>1368</v>
      </c>
      <c r="O581" s="564" t="s">
        <v>38</v>
      </c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 spans="1:26" ht="13">
      <c r="A582" s="562" t="s">
        <v>2461</v>
      </c>
      <c r="B582" s="563" t="s">
        <v>2462</v>
      </c>
      <c r="C582" s="564" t="s">
        <v>2463</v>
      </c>
      <c r="D582" s="565">
        <v>41127</v>
      </c>
      <c r="E582" s="565">
        <v>41305</v>
      </c>
      <c r="F582" s="566">
        <v>30540000</v>
      </c>
      <c r="G582" s="564" t="s">
        <v>2464</v>
      </c>
      <c r="H582" s="564" t="s">
        <v>2459</v>
      </c>
      <c r="I582" s="564" t="s">
        <v>2465</v>
      </c>
      <c r="J582" s="564" t="s">
        <v>1069</v>
      </c>
      <c r="K582" s="564" t="s">
        <v>2466</v>
      </c>
      <c r="L582" s="564" t="s">
        <v>2467</v>
      </c>
      <c r="M582" s="564" t="s">
        <v>2466</v>
      </c>
      <c r="N582" s="564" t="s">
        <v>1082</v>
      </c>
      <c r="O582" s="564" t="s">
        <v>38</v>
      </c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 spans="1:26" ht="13">
      <c r="A583" s="562" t="s">
        <v>2468</v>
      </c>
      <c r="B583" s="563" t="s">
        <v>2469</v>
      </c>
      <c r="C583" s="564" t="s">
        <v>2437</v>
      </c>
      <c r="D583" s="565">
        <v>41144</v>
      </c>
      <c r="E583" s="565">
        <v>41447</v>
      </c>
      <c r="F583" s="566">
        <v>589900000</v>
      </c>
      <c r="G583" s="564" t="s">
        <v>2202</v>
      </c>
      <c r="H583" s="564" t="s">
        <v>1640</v>
      </c>
      <c r="I583" s="564" t="s">
        <v>2455</v>
      </c>
      <c r="J583" s="564" t="s">
        <v>1069</v>
      </c>
      <c r="K583" s="564" t="s">
        <v>1209</v>
      </c>
      <c r="L583" s="564" t="s">
        <v>1390</v>
      </c>
      <c r="M583" s="564" t="s">
        <v>1390</v>
      </c>
      <c r="N583" s="564" t="s">
        <v>1368</v>
      </c>
      <c r="O583" s="564" t="s">
        <v>38</v>
      </c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 spans="1:26" ht="13">
      <c r="A584" s="562" t="s">
        <v>2470</v>
      </c>
      <c r="B584" s="563" t="s">
        <v>2471</v>
      </c>
      <c r="C584" s="564" t="s">
        <v>1204</v>
      </c>
      <c r="D584" s="565">
        <v>41001</v>
      </c>
      <c r="E584" s="565">
        <v>41274</v>
      </c>
      <c r="F584" s="567"/>
      <c r="G584" s="564" t="s">
        <v>754</v>
      </c>
      <c r="H584" s="564" t="s">
        <v>754</v>
      </c>
      <c r="I584" s="564" t="s">
        <v>2472</v>
      </c>
      <c r="J584" s="564" t="s">
        <v>1069</v>
      </c>
      <c r="K584" s="564" t="s">
        <v>1070</v>
      </c>
      <c r="L584" s="564" t="s">
        <v>1390</v>
      </c>
      <c r="M584" s="564" t="s">
        <v>1390</v>
      </c>
      <c r="N584" s="564" t="s">
        <v>1073</v>
      </c>
      <c r="O584" s="564" t="s">
        <v>38</v>
      </c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 spans="1:26" ht="13">
      <c r="A585" s="562" t="s">
        <v>2473</v>
      </c>
      <c r="B585" s="563" t="s">
        <v>2474</v>
      </c>
      <c r="C585" s="564" t="s">
        <v>2475</v>
      </c>
      <c r="D585" s="565">
        <v>40820</v>
      </c>
      <c r="E585" s="565">
        <v>40999</v>
      </c>
      <c r="F585" s="567"/>
      <c r="G585" s="564" t="s">
        <v>2476</v>
      </c>
      <c r="H585" s="564" t="s">
        <v>2477</v>
      </c>
      <c r="I585" s="564" t="s">
        <v>2478</v>
      </c>
      <c r="J585" s="564" t="s">
        <v>1069</v>
      </c>
      <c r="K585" s="564" t="s">
        <v>1070</v>
      </c>
      <c r="L585" s="564" t="s">
        <v>1390</v>
      </c>
      <c r="M585" s="564" t="s">
        <v>1390</v>
      </c>
      <c r="N585" s="564" t="s">
        <v>1073</v>
      </c>
      <c r="O585" s="564" t="s">
        <v>38</v>
      </c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spans="1:26" ht="13">
      <c r="A586" s="562" t="s">
        <v>2479</v>
      </c>
      <c r="B586" s="563" t="s">
        <v>2480</v>
      </c>
      <c r="C586" s="564" t="s">
        <v>2451</v>
      </c>
      <c r="D586" s="565">
        <v>40817</v>
      </c>
      <c r="E586" s="565">
        <v>41274</v>
      </c>
      <c r="F586" s="567"/>
      <c r="G586" s="564" t="s">
        <v>2481</v>
      </c>
      <c r="H586" s="564" t="s">
        <v>2355</v>
      </c>
      <c r="I586" s="564" t="s">
        <v>2451</v>
      </c>
      <c r="J586" s="564" t="s">
        <v>1069</v>
      </c>
      <c r="K586" s="564" t="s">
        <v>1070</v>
      </c>
      <c r="L586" s="564" t="s">
        <v>1390</v>
      </c>
      <c r="M586" s="564" t="s">
        <v>1390</v>
      </c>
      <c r="N586" s="564" t="s">
        <v>1073</v>
      </c>
      <c r="O586" s="564" t="s">
        <v>38</v>
      </c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 spans="1:26" ht="13">
      <c r="A587" s="562" t="s">
        <v>2482</v>
      </c>
      <c r="B587" s="563" t="s">
        <v>2483</v>
      </c>
      <c r="C587" s="564" t="s">
        <v>2484</v>
      </c>
      <c r="D587" s="565">
        <v>40634</v>
      </c>
      <c r="E587" s="565">
        <v>40908</v>
      </c>
      <c r="F587" s="567"/>
      <c r="G587" s="564" t="s">
        <v>2485</v>
      </c>
      <c r="H587" s="564" t="s">
        <v>2323</v>
      </c>
      <c r="I587" s="564" t="s">
        <v>2484</v>
      </c>
      <c r="J587" s="564" t="s">
        <v>1069</v>
      </c>
      <c r="K587" s="564" t="s">
        <v>2466</v>
      </c>
      <c r="L587" s="564" t="s">
        <v>2467</v>
      </c>
      <c r="M587" s="564" t="s">
        <v>2466</v>
      </c>
      <c r="N587" s="564" t="s">
        <v>1073</v>
      </c>
      <c r="O587" s="564" t="s">
        <v>38</v>
      </c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 spans="1:26" ht="13">
      <c r="A588" s="562" t="s">
        <v>2486</v>
      </c>
      <c r="B588" s="563" t="s">
        <v>2487</v>
      </c>
      <c r="C588" s="564" t="s">
        <v>2191</v>
      </c>
      <c r="D588" s="565">
        <v>40870</v>
      </c>
      <c r="E588" s="565">
        <v>41143</v>
      </c>
      <c r="F588" s="566">
        <v>1070000000</v>
      </c>
      <c r="G588" s="564" t="s">
        <v>2202</v>
      </c>
      <c r="H588" s="564" t="s">
        <v>1640</v>
      </c>
      <c r="I588" s="564" t="s">
        <v>2455</v>
      </c>
      <c r="J588" s="564" t="s">
        <v>1069</v>
      </c>
      <c r="K588" s="564" t="s">
        <v>1209</v>
      </c>
      <c r="L588" s="564" t="s">
        <v>1390</v>
      </c>
      <c r="M588" s="564" t="s">
        <v>1390</v>
      </c>
      <c r="N588" s="564" t="s">
        <v>1368</v>
      </c>
      <c r="O588" s="564" t="s">
        <v>38</v>
      </c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 spans="1:26" ht="13">
      <c r="A589" s="562" t="s">
        <v>2488</v>
      </c>
      <c r="B589" s="563" t="s">
        <v>2489</v>
      </c>
      <c r="C589" s="564" t="s">
        <v>2191</v>
      </c>
      <c r="D589" s="565">
        <v>40634</v>
      </c>
      <c r="E589" s="565">
        <v>40755</v>
      </c>
      <c r="F589" s="567"/>
      <c r="G589" s="564" t="s">
        <v>2370</v>
      </c>
      <c r="H589" s="564" t="s">
        <v>1529</v>
      </c>
      <c r="I589" s="564" t="s">
        <v>2311</v>
      </c>
      <c r="J589" s="564" t="s">
        <v>1069</v>
      </c>
      <c r="K589" s="564" t="s">
        <v>1070</v>
      </c>
      <c r="L589" s="564" t="s">
        <v>1390</v>
      </c>
      <c r="M589" s="564" t="s">
        <v>1390</v>
      </c>
      <c r="N589" s="564" t="s">
        <v>1073</v>
      </c>
      <c r="O589" s="564" t="s">
        <v>38</v>
      </c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 spans="1:26" ht="13">
      <c r="A590" s="562" t="s">
        <v>2490</v>
      </c>
      <c r="B590" s="563" t="s">
        <v>2491</v>
      </c>
      <c r="C590" s="564" t="s">
        <v>2191</v>
      </c>
      <c r="D590" s="565">
        <v>40466</v>
      </c>
      <c r="E590" s="565">
        <v>40830</v>
      </c>
      <c r="F590" s="566">
        <v>398000000</v>
      </c>
      <c r="G590" s="564" t="s">
        <v>2492</v>
      </c>
      <c r="H590" s="564" t="s">
        <v>1640</v>
      </c>
      <c r="I590" s="564" t="s">
        <v>2455</v>
      </c>
      <c r="J590" s="564" t="s">
        <v>1069</v>
      </c>
      <c r="K590" s="564" t="s">
        <v>1209</v>
      </c>
      <c r="L590" s="564" t="s">
        <v>1390</v>
      </c>
      <c r="M590" s="564" t="s">
        <v>1390</v>
      </c>
      <c r="N590" s="564" t="s">
        <v>1368</v>
      </c>
      <c r="O590" s="564" t="s">
        <v>38</v>
      </c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 spans="1:26" ht="13">
      <c r="A591" s="562" t="s">
        <v>2493</v>
      </c>
      <c r="B591" s="563" t="s">
        <v>2494</v>
      </c>
      <c r="C591" s="564" t="s">
        <v>1255</v>
      </c>
      <c r="D591" s="565">
        <v>40366</v>
      </c>
      <c r="E591" s="565">
        <v>40451</v>
      </c>
      <c r="F591" s="567"/>
      <c r="G591" s="564" t="s">
        <v>1784</v>
      </c>
      <c r="H591" s="564" t="s">
        <v>1784</v>
      </c>
      <c r="I591" s="564" t="s">
        <v>2311</v>
      </c>
      <c r="J591" s="564" t="s">
        <v>1069</v>
      </c>
      <c r="K591" s="564" t="s">
        <v>1070</v>
      </c>
      <c r="L591" s="564" t="s">
        <v>1071</v>
      </c>
      <c r="M591" s="564" t="s">
        <v>1124</v>
      </c>
      <c r="N591" s="564" t="s">
        <v>1073</v>
      </c>
      <c r="O591" s="564" t="s">
        <v>197</v>
      </c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 spans="1:26" ht="13">
      <c r="A592" s="562" t="s">
        <v>2495</v>
      </c>
      <c r="B592" s="563" t="s">
        <v>2496</v>
      </c>
      <c r="C592" s="564" t="s">
        <v>1066</v>
      </c>
      <c r="D592" s="565">
        <v>40330</v>
      </c>
      <c r="E592" s="565">
        <v>40543</v>
      </c>
      <c r="F592" s="567"/>
      <c r="G592" s="564" t="s">
        <v>1297</v>
      </c>
      <c r="H592" s="564"/>
      <c r="I592" s="564" t="s">
        <v>2311</v>
      </c>
      <c r="J592" s="564" t="s">
        <v>1069</v>
      </c>
      <c r="K592" s="564" t="s">
        <v>1070</v>
      </c>
      <c r="L592" s="564" t="s">
        <v>1390</v>
      </c>
      <c r="M592" s="564" t="s">
        <v>1390</v>
      </c>
      <c r="N592" s="564" t="s">
        <v>1073</v>
      </c>
      <c r="O592" s="564" t="s">
        <v>38</v>
      </c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 spans="1:26" ht="13">
      <c r="A593" s="562" t="s">
        <v>2497</v>
      </c>
      <c r="B593" s="563" t="s">
        <v>2498</v>
      </c>
      <c r="C593" s="564" t="s">
        <v>2191</v>
      </c>
      <c r="D593" s="565">
        <v>39825</v>
      </c>
      <c r="E593" s="565">
        <v>40816</v>
      </c>
      <c r="F593" s="567"/>
      <c r="G593" s="564" t="s">
        <v>2499</v>
      </c>
      <c r="H593" s="564"/>
      <c r="I593" s="564" t="s">
        <v>1826</v>
      </c>
      <c r="J593" s="564" t="s">
        <v>1069</v>
      </c>
      <c r="K593" s="564" t="s">
        <v>1070</v>
      </c>
      <c r="L593" s="564" t="s">
        <v>1390</v>
      </c>
      <c r="M593" s="564" t="s">
        <v>1390</v>
      </c>
      <c r="N593" s="564" t="s">
        <v>1082</v>
      </c>
      <c r="O593" s="564" t="s">
        <v>38</v>
      </c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 spans="1:26" ht="13">
      <c r="A594" s="562" t="s">
        <v>2500</v>
      </c>
      <c r="B594" s="563" t="s">
        <v>2501</v>
      </c>
      <c r="C594" s="564" t="s">
        <v>2484</v>
      </c>
      <c r="D594" s="565">
        <v>39818</v>
      </c>
      <c r="E594" s="565">
        <v>39872</v>
      </c>
      <c r="F594" s="567"/>
      <c r="G594" s="564" t="s">
        <v>2502</v>
      </c>
      <c r="H594" s="564" t="s">
        <v>2503</v>
      </c>
      <c r="I594" s="564" t="s">
        <v>2311</v>
      </c>
      <c r="J594" s="564" t="s">
        <v>1069</v>
      </c>
      <c r="K594" s="564" t="s">
        <v>2466</v>
      </c>
      <c r="L594" s="564" t="s">
        <v>2467</v>
      </c>
      <c r="M594" s="564" t="s">
        <v>2466</v>
      </c>
      <c r="N594" s="564" t="s">
        <v>1073</v>
      </c>
      <c r="O594" s="564" t="s">
        <v>38</v>
      </c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 spans="1:26" ht="13">
      <c r="A595" s="562" t="s">
        <v>2504</v>
      </c>
      <c r="B595" s="563" t="s">
        <v>2505</v>
      </c>
      <c r="C595" s="564" t="s">
        <v>2191</v>
      </c>
      <c r="D595" s="565">
        <v>40126</v>
      </c>
      <c r="E595" s="565">
        <v>40459</v>
      </c>
      <c r="F595" s="566">
        <v>988300000</v>
      </c>
      <c r="G595" s="564" t="s">
        <v>2492</v>
      </c>
      <c r="H595" s="564" t="s">
        <v>1640</v>
      </c>
      <c r="I595" s="564" t="s">
        <v>2455</v>
      </c>
      <c r="J595" s="564" t="s">
        <v>1069</v>
      </c>
      <c r="K595" s="564" t="s">
        <v>1205</v>
      </c>
      <c r="L595" s="564" t="s">
        <v>1390</v>
      </c>
      <c r="M595" s="564" t="s">
        <v>1390</v>
      </c>
      <c r="N595" s="564" t="s">
        <v>1368</v>
      </c>
      <c r="O595" s="564" t="s">
        <v>38</v>
      </c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 spans="1:26" ht="13">
      <c r="A596" s="562" t="s">
        <v>2506</v>
      </c>
      <c r="B596" s="563" t="s">
        <v>2507</v>
      </c>
      <c r="C596" s="564" t="s">
        <v>2191</v>
      </c>
      <c r="D596" s="565">
        <v>40007</v>
      </c>
      <c r="E596" s="565">
        <v>40209</v>
      </c>
      <c r="F596" s="566">
        <v>14000000</v>
      </c>
      <c r="G596" s="564" t="s">
        <v>2508</v>
      </c>
      <c r="H596" s="564" t="s">
        <v>2508</v>
      </c>
      <c r="I596" s="564" t="s">
        <v>2509</v>
      </c>
      <c r="J596" s="564" t="s">
        <v>1069</v>
      </c>
      <c r="K596" s="564" t="s">
        <v>1070</v>
      </c>
      <c r="L596" s="564" t="s">
        <v>1390</v>
      </c>
      <c r="M596" s="564" t="s">
        <v>1390</v>
      </c>
      <c r="N596" s="564" t="s">
        <v>1082</v>
      </c>
      <c r="O596" s="564" t="s">
        <v>38</v>
      </c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 spans="1:26" ht="13">
      <c r="A597" s="562" t="s">
        <v>2510</v>
      </c>
      <c r="B597" s="563" t="s">
        <v>2511</v>
      </c>
      <c r="C597" s="564" t="s">
        <v>2463</v>
      </c>
      <c r="D597" s="565">
        <v>39777</v>
      </c>
      <c r="E597" s="565">
        <v>41394</v>
      </c>
      <c r="F597" s="566">
        <v>50000000</v>
      </c>
      <c r="G597" s="564" t="s">
        <v>2323</v>
      </c>
      <c r="H597" s="564" t="s">
        <v>2323</v>
      </c>
      <c r="I597" s="564" t="s">
        <v>2438</v>
      </c>
      <c r="J597" s="564" t="s">
        <v>1069</v>
      </c>
      <c r="K597" s="564" t="s">
        <v>1070</v>
      </c>
      <c r="L597" s="564" t="s">
        <v>1390</v>
      </c>
      <c r="M597" s="564" t="s">
        <v>1390</v>
      </c>
      <c r="N597" s="564" t="s">
        <v>2439</v>
      </c>
      <c r="O597" s="564" t="s">
        <v>2512</v>
      </c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 spans="1:26" ht="13">
      <c r="A598" s="562" t="s">
        <v>2513</v>
      </c>
      <c r="B598" s="563" t="s">
        <v>2514</v>
      </c>
      <c r="C598" s="564" t="s">
        <v>2484</v>
      </c>
      <c r="D598" s="565">
        <v>39753</v>
      </c>
      <c r="E598" s="565">
        <v>39872</v>
      </c>
      <c r="F598" s="567"/>
      <c r="G598" s="564" t="s">
        <v>2502</v>
      </c>
      <c r="H598" s="564" t="s">
        <v>2503</v>
      </c>
      <c r="I598" s="564" t="s">
        <v>2515</v>
      </c>
      <c r="J598" s="564" t="s">
        <v>1069</v>
      </c>
      <c r="K598" s="564" t="s">
        <v>2466</v>
      </c>
      <c r="L598" s="564" t="s">
        <v>2467</v>
      </c>
      <c r="M598" s="564" t="s">
        <v>2466</v>
      </c>
      <c r="N598" s="564" t="s">
        <v>2325</v>
      </c>
      <c r="O598" s="564" t="s">
        <v>38</v>
      </c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 spans="1:26" ht="13">
      <c r="A599" s="562" t="s">
        <v>2516</v>
      </c>
      <c r="B599" s="563" t="s">
        <v>2517</v>
      </c>
      <c r="C599" s="564" t="s">
        <v>2484</v>
      </c>
      <c r="D599" s="565">
        <v>39811</v>
      </c>
      <c r="E599" s="565">
        <v>39930</v>
      </c>
      <c r="F599" s="567"/>
      <c r="G599" s="564" t="s">
        <v>2518</v>
      </c>
      <c r="H599" s="564" t="s">
        <v>2519</v>
      </c>
      <c r="I599" s="564" t="s">
        <v>2438</v>
      </c>
      <c r="J599" s="564" t="s">
        <v>1069</v>
      </c>
      <c r="K599" s="564" t="s">
        <v>2466</v>
      </c>
      <c r="L599" s="564" t="s">
        <v>2467</v>
      </c>
      <c r="M599" s="564" t="s">
        <v>2466</v>
      </c>
      <c r="N599" s="564" t="s">
        <v>2439</v>
      </c>
      <c r="O599" s="564" t="s">
        <v>38</v>
      </c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 spans="1:26" ht="13">
      <c r="A600" s="562" t="s">
        <v>2520</v>
      </c>
      <c r="B600" s="563" t="s">
        <v>2521</v>
      </c>
      <c r="C600" s="564" t="s">
        <v>2191</v>
      </c>
      <c r="D600" s="565">
        <v>39731</v>
      </c>
      <c r="E600" s="565">
        <v>40095</v>
      </c>
      <c r="F600" s="566">
        <v>1199018000</v>
      </c>
      <c r="G600" s="564" t="s">
        <v>2492</v>
      </c>
      <c r="H600" s="564" t="s">
        <v>1856</v>
      </c>
      <c r="I600" s="564" t="s">
        <v>2455</v>
      </c>
      <c r="J600" s="564" t="s">
        <v>1069</v>
      </c>
      <c r="K600" s="564" t="s">
        <v>1205</v>
      </c>
      <c r="L600" s="564" t="s">
        <v>1390</v>
      </c>
      <c r="M600" s="564" t="s">
        <v>1390</v>
      </c>
      <c r="N600" s="564" t="s">
        <v>1368</v>
      </c>
      <c r="O600" s="564" t="s">
        <v>38</v>
      </c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 spans="1:26" ht="13">
      <c r="A601" s="562" t="s">
        <v>2522</v>
      </c>
      <c r="B601" s="563" t="s">
        <v>2523</v>
      </c>
      <c r="C601" s="564" t="s">
        <v>2406</v>
      </c>
      <c r="D601" s="565">
        <v>39167</v>
      </c>
      <c r="E601" s="565">
        <v>39248</v>
      </c>
      <c r="F601" s="567"/>
      <c r="G601" s="564" t="s">
        <v>2524</v>
      </c>
      <c r="H601" s="564" t="s">
        <v>2524</v>
      </c>
      <c r="I601" s="564" t="s">
        <v>2311</v>
      </c>
      <c r="J601" s="564" t="s">
        <v>1069</v>
      </c>
      <c r="K601" s="564" t="s">
        <v>1070</v>
      </c>
      <c r="L601" s="564" t="s">
        <v>1189</v>
      </c>
      <c r="M601" s="564" t="s">
        <v>1206</v>
      </c>
      <c r="N601" s="564" t="s">
        <v>1073</v>
      </c>
      <c r="O601" s="564" t="s">
        <v>2525</v>
      </c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 spans="1:26" ht="13">
      <c r="A602" s="562" t="s">
        <v>2526</v>
      </c>
      <c r="B602" s="563" t="s">
        <v>2527</v>
      </c>
      <c r="C602" s="564" t="s">
        <v>2528</v>
      </c>
      <c r="D602" s="565">
        <v>39083</v>
      </c>
      <c r="E602" s="565">
        <v>39447</v>
      </c>
      <c r="F602" s="567"/>
      <c r="G602" s="564" t="s">
        <v>2529</v>
      </c>
      <c r="H602" s="564" t="s">
        <v>2529</v>
      </c>
      <c r="I602" s="564" t="s">
        <v>2311</v>
      </c>
      <c r="J602" s="564" t="s">
        <v>1069</v>
      </c>
      <c r="K602" s="564" t="s">
        <v>1070</v>
      </c>
      <c r="L602" s="564" t="s">
        <v>1071</v>
      </c>
      <c r="M602" s="564" t="s">
        <v>1124</v>
      </c>
      <c r="N602" s="564" t="s">
        <v>1073</v>
      </c>
      <c r="O602" s="564" t="s">
        <v>2530</v>
      </c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 spans="1:26" ht="13">
      <c r="A603" s="562" t="s">
        <v>2531</v>
      </c>
      <c r="B603" s="563" t="s">
        <v>2532</v>
      </c>
      <c r="C603" s="564" t="s">
        <v>2463</v>
      </c>
      <c r="D603" s="565">
        <v>39174</v>
      </c>
      <c r="E603" s="565">
        <v>40543</v>
      </c>
      <c r="F603" s="567"/>
      <c r="G603" s="564" t="s">
        <v>2533</v>
      </c>
      <c r="H603" s="564"/>
      <c r="I603" s="564" t="s">
        <v>2311</v>
      </c>
      <c r="J603" s="564" t="s">
        <v>1069</v>
      </c>
      <c r="K603" s="564" t="s">
        <v>2466</v>
      </c>
      <c r="L603" s="564" t="s">
        <v>2467</v>
      </c>
      <c r="M603" s="564" t="s">
        <v>2466</v>
      </c>
      <c r="N603" s="564" t="s">
        <v>1073</v>
      </c>
      <c r="O603" s="564" t="s">
        <v>38</v>
      </c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 spans="1:26" ht="13">
      <c r="A604" s="562" t="s">
        <v>2534</v>
      </c>
      <c r="B604" s="563" t="s">
        <v>2535</v>
      </c>
      <c r="C604" s="564" t="s">
        <v>2463</v>
      </c>
      <c r="D604" s="565">
        <v>39174</v>
      </c>
      <c r="E604" s="565">
        <v>39294</v>
      </c>
      <c r="F604" s="567"/>
      <c r="G604" s="564" t="s">
        <v>2536</v>
      </c>
      <c r="H604" s="564"/>
      <c r="I604" s="564" t="s">
        <v>2311</v>
      </c>
      <c r="J604" s="564" t="s">
        <v>1069</v>
      </c>
      <c r="K604" s="564" t="s">
        <v>2466</v>
      </c>
      <c r="L604" s="564" t="s">
        <v>2467</v>
      </c>
      <c r="M604" s="564" t="s">
        <v>2466</v>
      </c>
      <c r="N604" s="564" t="s">
        <v>1073</v>
      </c>
      <c r="O604" s="564" t="s">
        <v>38</v>
      </c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 spans="1:26" ht="13">
      <c r="A605" s="562" t="s">
        <v>2537</v>
      </c>
      <c r="B605" s="563" t="s">
        <v>2538</v>
      </c>
      <c r="C605" s="564" t="s">
        <v>2539</v>
      </c>
      <c r="D605" s="565">
        <v>39417</v>
      </c>
      <c r="E605" s="565">
        <v>40147</v>
      </c>
      <c r="F605" s="566">
        <v>250000000</v>
      </c>
      <c r="G605" s="564" t="s">
        <v>2540</v>
      </c>
      <c r="H605" s="564" t="s">
        <v>2541</v>
      </c>
      <c r="I605" s="564" t="s">
        <v>2542</v>
      </c>
      <c r="J605" s="564" t="s">
        <v>1069</v>
      </c>
      <c r="K605" s="564" t="s">
        <v>2466</v>
      </c>
      <c r="L605" s="564" t="s">
        <v>2467</v>
      </c>
      <c r="M605" s="564" t="s">
        <v>2466</v>
      </c>
      <c r="N605" s="564" t="s">
        <v>2543</v>
      </c>
      <c r="O605" s="564" t="s">
        <v>38</v>
      </c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 spans="1:26" ht="13">
      <c r="A606" s="562" t="s">
        <v>2544</v>
      </c>
      <c r="B606" s="563" t="s">
        <v>2545</v>
      </c>
      <c r="C606" s="564" t="s">
        <v>2463</v>
      </c>
      <c r="D606" s="565">
        <v>39413</v>
      </c>
      <c r="E606" s="565">
        <v>41025</v>
      </c>
      <c r="F606" s="566">
        <v>1330000000</v>
      </c>
      <c r="G606" s="564" t="s">
        <v>2434</v>
      </c>
      <c r="H606" s="564" t="s">
        <v>2546</v>
      </c>
      <c r="I606" s="564" t="s">
        <v>2438</v>
      </c>
      <c r="J606" s="564" t="s">
        <v>1069</v>
      </c>
      <c r="K606" s="564" t="s">
        <v>2466</v>
      </c>
      <c r="L606" s="564" t="s">
        <v>2467</v>
      </c>
      <c r="M606" s="564" t="s">
        <v>2466</v>
      </c>
      <c r="N606" s="564" t="s">
        <v>2439</v>
      </c>
      <c r="O606" s="564" t="s">
        <v>38</v>
      </c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 spans="1:26" ht="13">
      <c r="A607" s="562" t="s">
        <v>2547</v>
      </c>
      <c r="B607" s="563" t="s">
        <v>2548</v>
      </c>
      <c r="C607" s="564" t="s">
        <v>2484</v>
      </c>
      <c r="D607" s="565">
        <v>39237</v>
      </c>
      <c r="E607" s="565">
        <v>39721</v>
      </c>
      <c r="F607" s="567"/>
      <c r="G607" s="564" t="s">
        <v>2549</v>
      </c>
      <c r="H607" s="564"/>
      <c r="I607" s="564" t="s">
        <v>2311</v>
      </c>
      <c r="J607" s="564" t="s">
        <v>1069</v>
      </c>
      <c r="K607" s="564" t="s">
        <v>2466</v>
      </c>
      <c r="L607" s="564" t="s">
        <v>2467</v>
      </c>
      <c r="M607" s="564" t="s">
        <v>2466</v>
      </c>
      <c r="N607" s="564" t="s">
        <v>1073</v>
      </c>
      <c r="O607" s="564" t="s">
        <v>38</v>
      </c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 spans="1:26" ht="13">
      <c r="A608" s="562" t="s">
        <v>2550</v>
      </c>
      <c r="B608" s="563" t="s">
        <v>2551</v>
      </c>
      <c r="C608" s="564" t="s">
        <v>2484</v>
      </c>
      <c r="D608" s="565">
        <v>39209</v>
      </c>
      <c r="E608" s="565">
        <v>39537</v>
      </c>
      <c r="F608" s="567"/>
      <c r="G608" s="564" t="s">
        <v>2540</v>
      </c>
      <c r="H608" s="564"/>
      <c r="I608" s="564" t="s">
        <v>2311</v>
      </c>
      <c r="J608" s="564" t="s">
        <v>1069</v>
      </c>
      <c r="K608" s="564" t="s">
        <v>2466</v>
      </c>
      <c r="L608" s="564" t="s">
        <v>2467</v>
      </c>
      <c r="M608" s="564" t="s">
        <v>2466</v>
      </c>
      <c r="N608" s="564" t="s">
        <v>1073</v>
      </c>
      <c r="O608" s="564" t="s">
        <v>38</v>
      </c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 spans="1:26" ht="13">
      <c r="A609" s="562" t="s">
        <v>2552</v>
      </c>
      <c r="B609" s="563" t="s">
        <v>2553</v>
      </c>
      <c r="C609" s="564" t="s">
        <v>2484</v>
      </c>
      <c r="D609" s="565">
        <v>39155</v>
      </c>
      <c r="E609" s="565">
        <v>39283</v>
      </c>
      <c r="F609" s="567"/>
      <c r="G609" s="564" t="s">
        <v>2554</v>
      </c>
      <c r="H609" s="564" t="s">
        <v>2555</v>
      </c>
      <c r="I609" s="564" t="s">
        <v>2311</v>
      </c>
      <c r="J609" s="564" t="s">
        <v>1069</v>
      </c>
      <c r="K609" s="564" t="s">
        <v>2466</v>
      </c>
      <c r="L609" s="564" t="s">
        <v>2467</v>
      </c>
      <c r="M609" s="564" t="s">
        <v>2466</v>
      </c>
      <c r="N609" s="564" t="s">
        <v>1073</v>
      </c>
      <c r="O609" s="564" t="s">
        <v>38</v>
      </c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 spans="1:26" ht="13">
      <c r="A610" s="562" t="s">
        <v>2556</v>
      </c>
      <c r="B610" s="563" t="s">
        <v>2557</v>
      </c>
      <c r="C610" s="564" t="s">
        <v>2191</v>
      </c>
      <c r="D610" s="565">
        <v>39443</v>
      </c>
      <c r="E610" s="565">
        <v>39717</v>
      </c>
      <c r="F610" s="566">
        <v>605917000</v>
      </c>
      <c r="G610" s="564" t="s">
        <v>2492</v>
      </c>
      <c r="H610" s="564" t="s">
        <v>2558</v>
      </c>
      <c r="I610" s="564" t="s">
        <v>143</v>
      </c>
      <c r="J610" s="564" t="s">
        <v>1069</v>
      </c>
      <c r="K610" s="564" t="s">
        <v>1205</v>
      </c>
      <c r="L610" s="564" t="s">
        <v>1390</v>
      </c>
      <c r="M610" s="564" t="s">
        <v>1390</v>
      </c>
      <c r="N610" s="564" t="s">
        <v>1073</v>
      </c>
      <c r="O610" s="564" t="s">
        <v>38</v>
      </c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 spans="1:26" ht="13">
      <c r="A611" s="562" t="s">
        <v>2559</v>
      </c>
      <c r="B611" s="563" t="s">
        <v>2560</v>
      </c>
      <c r="C611" s="564" t="s">
        <v>2191</v>
      </c>
      <c r="D611" s="565">
        <v>39083</v>
      </c>
      <c r="E611" s="565">
        <v>39447</v>
      </c>
      <c r="F611" s="566">
        <v>253750000</v>
      </c>
      <c r="G611" s="564" t="s">
        <v>2561</v>
      </c>
      <c r="H611" s="564" t="s">
        <v>2168</v>
      </c>
      <c r="I611" s="564" t="s">
        <v>2562</v>
      </c>
      <c r="J611" s="564" t="s">
        <v>1069</v>
      </c>
      <c r="K611" s="564" t="s">
        <v>1070</v>
      </c>
      <c r="L611" s="564" t="s">
        <v>1390</v>
      </c>
      <c r="M611" s="564" t="s">
        <v>1390</v>
      </c>
      <c r="N611" s="564" t="s">
        <v>1368</v>
      </c>
      <c r="O611" s="564" t="s">
        <v>38</v>
      </c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 spans="1:26" ht="13">
      <c r="A612" s="562" t="s">
        <v>2563</v>
      </c>
      <c r="B612" s="563" t="s">
        <v>2564</v>
      </c>
      <c r="C612" s="564" t="s">
        <v>2484</v>
      </c>
      <c r="D612" s="565">
        <v>38824</v>
      </c>
      <c r="E612" s="565">
        <v>39202</v>
      </c>
      <c r="F612" s="567"/>
      <c r="G612" s="564" t="s">
        <v>2565</v>
      </c>
      <c r="H612" s="564" t="s">
        <v>2555</v>
      </c>
      <c r="I612" s="564" t="s">
        <v>2311</v>
      </c>
      <c r="J612" s="564" t="s">
        <v>1069</v>
      </c>
      <c r="K612" s="564" t="s">
        <v>2466</v>
      </c>
      <c r="L612" s="564" t="s">
        <v>2467</v>
      </c>
      <c r="M612" s="564" t="s">
        <v>2466</v>
      </c>
      <c r="N612" s="564" t="s">
        <v>1073</v>
      </c>
      <c r="O612" s="564" t="s">
        <v>38</v>
      </c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 spans="1:26" ht="13">
      <c r="A613" s="562" t="s">
        <v>2566</v>
      </c>
      <c r="B613" s="563" t="s">
        <v>2567</v>
      </c>
      <c r="C613" s="564" t="s">
        <v>2568</v>
      </c>
      <c r="D613" s="565">
        <v>38852</v>
      </c>
      <c r="E613" s="565">
        <v>39192</v>
      </c>
      <c r="F613" s="567"/>
      <c r="G613" s="564" t="s">
        <v>2549</v>
      </c>
      <c r="H613" s="564" t="s">
        <v>2555</v>
      </c>
      <c r="I613" s="564" t="s">
        <v>2311</v>
      </c>
      <c r="J613" s="564" t="s">
        <v>1069</v>
      </c>
      <c r="K613" s="564" t="s">
        <v>2466</v>
      </c>
      <c r="L613" s="564" t="s">
        <v>2467</v>
      </c>
      <c r="M613" s="564" t="s">
        <v>2466</v>
      </c>
      <c r="N613" s="564" t="s">
        <v>1073</v>
      </c>
      <c r="O613" s="564" t="s">
        <v>38</v>
      </c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 spans="1:26" ht="13">
      <c r="A614" s="562" t="s">
        <v>2569</v>
      </c>
      <c r="B614" s="563" t="s">
        <v>2570</v>
      </c>
      <c r="C614" s="564" t="s">
        <v>2310</v>
      </c>
      <c r="D614" s="565">
        <v>38916</v>
      </c>
      <c r="E614" s="565">
        <v>39157</v>
      </c>
      <c r="F614" s="567"/>
      <c r="G614" s="564" t="s">
        <v>2571</v>
      </c>
      <c r="H614" s="564" t="s">
        <v>2555</v>
      </c>
      <c r="I614" s="564" t="s">
        <v>2311</v>
      </c>
      <c r="J614" s="564" t="s">
        <v>1069</v>
      </c>
      <c r="K614" s="564" t="s">
        <v>2466</v>
      </c>
      <c r="L614" s="564" t="s">
        <v>2467</v>
      </c>
      <c r="M614" s="564" t="s">
        <v>2466</v>
      </c>
      <c r="N614" s="564" t="s">
        <v>1073</v>
      </c>
      <c r="O614" s="564" t="s">
        <v>38</v>
      </c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 spans="1:26" ht="13">
      <c r="A615" s="562" t="s">
        <v>2572</v>
      </c>
      <c r="B615" s="563" t="s">
        <v>2573</v>
      </c>
      <c r="C615" s="564" t="s">
        <v>2484</v>
      </c>
      <c r="D615" s="565">
        <v>38898</v>
      </c>
      <c r="E615" s="565">
        <v>39262</v>
      </c>
      <c r="F615" s="567"/>
      <c r="G615" s="564" t="s">
        <v>2536</v>
      </c>
      <c r="H615" s="564" t="s">
        <v>2536</v>
      </c>
      <c r="I615" s="564" t="s">
        <v>2574</v>
      </c>
      <c r="J615" s="564" t="s">
        <v>1069</v>
      </c>
      <c r="K615" s="564" t="s">
        <v>2466</v>
      </c>
      <c r="L615" s="564" t="s">
        <v>2467</v>
      </c>
      <c r="M615" s="564" t="s">
        <v>2466</v>
      </c>
      <c r="N615" s="564" t="s">
        <v>1082</v>
      </c>
      <c r="O615" s="564" t="s">
        <v>38</v>
      </c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 spans="1:26" ht="13">
      <c r="A616" s="562" t="s">
        <v>2575</v>
      </c>
      <c r="B616" s="563" t="s">
        <v>2576</v>
      </c>
      <c r="C616" s="564" t="s">
        <v>2191</v>
      </c>
      <c r="D616" s="565">
        <v>38749</v>
      </c>
      <c r="E616" s="565">
        <v>39141</v>
      </c>
      <c r="F616" s="567"/>
      <c r="G616" s="564" t="s">
        <v>2561</v>
      </c>
      <c r="H616" s="564"/>
      <c r="I616" s="564" t="s">
        <v>2562</v>
      </c>
      <c r="J616" s="564" t="s">
        <v>1069</v>
      </c>
      <c r="K616" s="564" t="s">
        <v>1070</v>
      </c>
      <c r="L616" s="564" t="s">
        <v>1390</v>
      </c>
      <c r="M616" s="564" t="s">
        <v>1390</v>
      </c>
      <c r="N616" s="564" t="s">
        <v>1368</v>
      </c>
      <c r="O616" s="564" t="s">
        <v>38</v>
      </c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 spans="1:26" ht="13">
      <c r="A617" s="562" t="s">
        <v>2577</v>
      </c>
      <c r="B617" s="563" t="s">
        <v>2578</v>
      </c>
      <c r="C617" s="564" t="s">
        <v>1114</v>
      </c>
      <c r="D617" s="565">
        <v>45586</v>
      </c>
      <c r="E617" s="565">
        <v>45625</v>
      </c>
      <c r="F617" s="566">
        <v>23316800</v>
      </c>
      <c r="G617" s="564" t="s">
        <v>1366</v>
      </c>
      <c r="H617" s="564" t="s">
        <v>1366</v>
      </c>
      <c r="I617" s="564" t="s">
        <v>2579</v>
      </c>
      <c r="J617" s="564" t="s">
        <v>1372</v>
      </c>
      <c r="K617" s="564" t="s">
        <v>1205</v>
      </c>
      <c r="L617" s="564" t="s">
        <v>2098</v>
      </c>
      <c r="M617" s="564" t="s">
        <v>2098</v>
      </c>
      <c r="N617" s="564" t="s">
        <v>1073</v>
      </c>
      <c r="O617" s="564" t="s">
        <v>2099</v>
      </c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 spans="1:26" ht="13">
      <c r="A618" s="562" t="s">
        <v>2580</v>
      </c>
      <c r="B618" s="563" t="s">
        <v>2581</v>
      </c>
      <c r="C618" s="564" t="s">
        <v>353</v>
      </c>
      <c r="D618" s="565">
        <v>45575</v>
      </c>
      <c r="E618" s="565">
        <v>45596</v>
      </c>
      <c r="F618" s="566">
        <v>8660000</v>
      </c>
      <c r="G618" s="564" t="s">
        <v>1128</v>
      </c>
      <c r="H618" s="564" t="s">
        <v>1128</v>
      </c>
      <c r="I618" s="564" t="s">
        <v>45</v>
      </c>
      <c r="J618" s="564" t="s">
        <v>1372</v>
      </c>
      <c r="K618" s="564" t="s">
        <v>1090</v>
      </c>
      <c r="L618" s="564" t="s">
        <v>2098</v>
      </c>
      <c r="M618" s="564" t="s">
        <v>2098</v>
      </c>
      <c r="N618" s="564" t="s">
        <v>45</v>
      </c>
      <c r="O618" s="564" t="s">
        <v>2099</v>
      </c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 spans="1:26" ht="13">
      <c r="A619" s="562" t="s">
        <v>2582</v>
      </c>
      <c r="B619" s="563" t="s">
        <v>2583</v>
      </c>
      <c r="C619" s="564" t="s">
        <v>353</v>
      </c>
      <c r="D619" s="565">
        <v>45586</v>
      </c>
      <c r="E619" s="565">
        <v>45590</v>
      </c>
      <c r="F619" s="566">
        <v>585000</v>
      </c>
      <c r="G619" s="564" t="s">
        <v>349</v>
      </c>
      <c r="H619" s="564" t="s">
        <v>349</v>
      </c>
      <c r="I619" s="564" t="s">
        <v>45</v>
      </c>
      <c r="J619" s="564" t="s">
        <v>1372</v>
      </c>
      <c r="K619" s="564" t="s">
        <v>1090</v>
      </c>
      <c r="L619" s="564" t="s">
        <v>2098</v>
      </c>
      <c r="M619" s="564" t="s">
        <v>2098</v>
      </c>
      <c r="N619" s="564" t="s">
        <v>45</v>
      </c>
      <c r="O619" s="564" t="s">
        <v>2099</v>
      </c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 spans="1:26" ht="13">
      <c r="A620" s="562" t="s">
        <v>2584</v>
      </c>
      <c r="B620" s="563" t="s">
        <v>2585</v>
      </c>
      <c r="C620" s="564" t="s">
        <v>1475</v>
      </c>
      <c r="D620" s="565">
        <v>45580</v>
      </c>
      <c r="E620" s="565">
        <v>45601</v>
      </c>
      <c r="F620" s="566">
        <v>435000</v>
      </c>
      <c r="G620" s="564" t="s">
        <v>1123</v>
      </c>
      <c r="H620" s="564" t="s">
        <v>1123</v>
      </c>
      <c r="I620" s="564" t="s">
        <v>2586</v>
      </c>
      <c r="J620" s="564" t="s">
        <v>1372</v>
      </c>
      <c r="K620" s="564" t="s">
        <v>1070</v>
      </c>
      <c r="L620" s="564" t="s">
        <v>2098</v>
      </c>
      <c r="M620" s="564" t="s">
        <v>2098</v>
      </c>
      <c r="N620" s="564" t="s">
        <v>1073</v>
      </c>
      <c r="O620" s="564" t="s">
        <v>2099</v>
      </c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 spans="1:26" ht="13">
      <c r="A621" s="562" t="s">
        <v>2587</v>
      </c>
      <c r="B621" s="563" t="s">
        <v>2588</v>
      </c>
      <c r="C621" s="564" t="s">
        <v>1114</v>
      </c>
      <c r="D621" s="565">
        <v>45581</v>
      </c>
      <c r="E621" s="565">
        <v>45657</v>
      </c>
      <c r="F621" s="566">
        <v>3588000</v>
      </c>
      <c r="G621" s="564" t="s">
        <v>1141</v>
      </c>
      <c r="H621" s="564" t="s">
        <v>1141</v>
      </c>
      <c r="I621" s="564" t="s">
        <v>257</v>
      </c>
      <c r="J621" s="564" t="s">
        <v>1372</v>
      </c>
      <c r="K621" s="564" t="s">
        <v>1209</v>
      </c>
      <c r="L621" s="564" t="s">
        <v>2098</v>
      </c>
      <c r="M621" s="564" t="s">
        <v>2098</v>
      </c>
      <c r="N621" s="564" t="s">
        <v>257</v>
      </c>
      <c r="O621" s="564" t="s">
        <v>2099</v>
      </c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 spans="1:26" ht="13">
      <c r="A622" s="562" t="s">
        <v>2589</v>
      </c>
      <c r="B622" s="563" t="s">
        <v>2590</v>
      </c>
      <c r="C622" s="564" t="s">
        <v>1652</v>
      </c>
      <c r="D622" s="565">
        <v>45581</v>
      </c>
      <c r="E622" s="565">
        <v>45588</v>
      </c>
      <c r="F622" s="566">
        <v>1798000</v>
      </c>
      <c r="G622" s="564" t="s">
        <v>674</v>
      </c>
      <c r="H622" s="564" t="s">
        <v>674</v>
      </c>
      <c r="I622" s="564" t="s">
        <v>70</v>
      </c>
      <c r="J622" s="564" t="s">
        <v>1372</v>
      </c>
      <c r="K622" s="564" t="s">
        <v>1120</v>
      </c>
      <c r="L622" s="564" t="s">
        <v>2098</v>
      </c>
      <c r="M622" s="564" t="s">
        <v>2098</v>
      </c>
      <c r="N622" s="564" t="s">
        <v>70</v>
      </c>
      <c r="O622" s="564" t="s">
        <v>2099</v>
      </c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 spans="1:26" ht="13">
      <c r="A623" s="562" t="s">
        <v>2591</v>
      </c>
      <c r="B623" s="563" t="s">
        <v>2592</v>
      </c>
      <c r="C623" s="564" t="s">
        <v>1652</v>
      </c>
      <c r="D623" s="565">
        <v>45581</v>
      </c>
      <c r="E623" s="565">
        <v>45588</v>
      </c>
      <c r="F623" s="566">
        <v>3256000</v>
      </c>
      <c r="G623" s="564" t="s">
        <v>674</v>
      </c>
      <c r="H623" s="564" t="s">
        <v>674</v>
      </c>
      <c r="I623" s="564" t="s">
        <v>70</v>
      </c>
      <c r="J623" s="564" t="s">
        <v>1372</v>
      </c>
      <c r="K623" s="564" t="s">
        <v>1120</v>
      </c>
      <c r="L623" s="564" t="s">
        <v>2098</v>
      </c>
      <c r="M623" s="564" t="s">
        <v>2098</v>
      </c>
      <c r="N623" s="564" t="s">
        <v>70</v>
      </c>
      <c r="O623" s="564" t="s">
        <v>2099</v>
      </c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 spans="1:26" ht="13">
      <c r="A624" s="562" t="s">
        <v>2593</v>
      </c>
      <c r="B624" s="563" t="s">
        <v>2594</v>
      </c>
      <c r="C624" s="564" t="s">
        <v>1076</v>
      </c>
      <c r="D624" s="565">
        <v>45575</v>
      </c>
      <c r="E624" s="565">
        <v>45747</v>
      </c>
      <c r="F624" s="566">
        <v>1096000</v>
      </c>
      <c r="G624" s="564" t="s">
        <v>1077</v>
      </c>
      <c r="H624" s="564" t="s">
        <v>1077</v>
      </c>
      <c r="I624" s="564" t="s">
        <v>637</v>
      </c>
      <c r="J624" s="564" t="s">
        <v>1372</v>
      </c>
      <c r="K624" s="564" t="s">
        <v>1070</v>
      </c>
      <c r="L624" s="564" t="s">
        <v>2098</v>
      </c>
      <c r="M624" s="564" t="s">
        <v>2098</v>
      </c>
      <c r="N624" s="564" t="s">
        <v>1082</v>
      </c>
      <c r="O624" s="564" t="s">
        <v>2099</v>
      </c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 spans="1:26" ht="13">
      <c r="A625" s="562" t="s">
        <v>2595</v>
      </c>
      <c r="B625" s="563" t="s">
        <v>2596</v>
      </c>
      <c r="C625" s="564" t="s">
        <v>1652</v>
      </c>
      <c r="D625" s="565">
        <v>45572</v>
      </c>
      <c r="E625" s="565">
        <v>45581</v>
      </c>
      <c r="F625" s="566">
        <v>1870000</v>
      </c>
      <c r="G625" s="564" t="s">
        <v>674</v>
      </c>
      <c r="H625" s="564" t="s">
        <v>674</v>
      </c>
      <c r="I625" s="564" t="s">
        <v>70</v>
      </c>
      <c r="J625" s="564" t="s">
        <v>1372</v>
      </c>
      <c r="K625" s="564" t="s">
        <v>1120</v>
      </c>
      <c r="L625" s="564" t="s">
        <v>2098</v>
      </c>
      <c r="M625" s="564" t="s">
        <v>2098</v>
      </c>
      <c r="N625" s="564" t="s">
        <v>70</v>
      </c>
      <c r="O625" s="564" t="s">
        <v>2099</v>
      </c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 spans="1:26" ht="13">
      <c r="A626" s="562" t="s">
        <v>2597</v>
      </c>
      <c r="B626" s="563" t="s">
        <v>2598</v>
      </c>
      <c r="C626" s="564" t="s">
        <v>353</v>
      </c>
      <c r="D626" s="565">
        <v>45555</v>
      </c>
      <c r="E626" s="565">
        <v>45657</v>
      </c>
      <c r="F626" s="566">
        <v>523802000</v>
      </c>
      <c r="G626" s="564" t="s">
        <v>1128</v>
      </c>
      <c r="H626" s="564" t="s">
        <v>1128</v>
      </c>
      <c r="I626" s="564" t="s">
        <v>45</v>
      </c>
      <c r="J626" s="564" t="s">
        <v>1372</v>
      </c>
      <c r="K626" s="564" t="s">
        <v>1090</v>
      </c>
      <c r="L626" s="564" t="s">
        <v>2098</v>
      </c>
      <c r="M626" s="564" t="s">
        <v>2098</v>
      </c>
      <c r="N626" s="564" t="s">
        <v>45</v>
      </c>
      <c r="O626" s="564" t="s">
        <v>2099</v>
      </c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 spans="1:26" ht="13">
      <c r="A627" s="562" t="s">
        <v>2599</v>
      </c>
      <c r="B627" s="563" t="s">
        <v>2600</v>
      </c>
      <c r="C627" s="564" t="s">
        <v>1652</v>
      </c>
      <c r="D627" s="565">
        <v>45565</v>
      </c>
      <c r="E627" s="565">
        <v>45575</v>
      </c>
      <c r="F627" s="566">
        <v>2000000</v>
      </c>
      <c r="G627" s="564" t="s">
        <v>674</v>
      </c>
      <c r="H627" s="564" t="s">
        <v>674</v>
      </c>
      <c r="I627" s="564" t="s">
        <v>107</v>
      </c>
      <c r="J627" s="564" t="s">
        <v>1372</v>
      </c>
      <c r="K627" s="564" t="s">
        <v>1120</v>
      </c>
      <c r="L627" s="564" t="s">
        <v>2098</v>
      </c>
      <c r="M627" s="564" t="s">
        <v>2098</v>
      </c>
      <c r="N627" s="564" t="s">
        <v>1073</v>
      </c>
      <c r="O627" s="564" t="s">
        <v>2099</v>
      </c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spans="1:26" ht="13">
      <c r="A628" s="562" t="s">
        <v>2601</v>
      </c>
      <c r="B628" s="563" t="s">
        <v>2602</v>
      </c>
      <c r="C628" s="564" t="s">
        <v>353</v>
      </c>
      <c r="D628" s="565">
        <v>45554</v>
      </c>
      <c r="E628" s="565">
        <v>45596</v>
      </c>
      <c r="F628" s="566">
        <v>27000000</v>
      </c>
      <c r="G628" s="564" t="s">
        <v>297</v>
      </c>
      <c r="H628" s="564" t="s">
        <v>297</v>
      </c>
      <c r="I628" s="564" t="s">
        <v>2603</v>
      </c>
      <c r="J628" s="564" t="s">
        <v>1372</v>
      </c>
      <c r="K628" s="564" t="s">
        <v>1205</v>
      </c>
      <c r="L628" s="564" t="s">
        <v>2098</v>
      </c>
      <c r="M628" s="564" t="s">
        <v>2098</v>
      </c>
      <c r="N628" s="564" t="s">
        <v>1082</v>
      </c>
      <c r="O628" s="564" t="s">
        <v>2099</v>
      </c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 spans="1:26" ht="13">
      <c r="A629" s="562" t="s">
        <v>2604</v>
      </c>
      <c r="B629" s="563" t="s">
        <v>2605</v>
      </c>
      <c r="C629" s="564" t="s">
        <v>1652</v>
      </c>
      <c r="D629" s="565">
        <v>45560</v>
      </c>
      <c r="E629" s="565">
        <v>45569</v>
      </c>
      <c r="F629" s="566">
        <v>3490000</v>
      </c>
      <c r="G629" s="564" t="s">
        <v>674</v>
      </c>
      <c r="H629" s="564" t="s">
        <v>674</v>
      </c>
      <c r="I629" s="564" t="s">
        <v>70</v>
      </c>
      <c r="J629" s="564" t="s">
        <v>1372</v>
      </c>
      <c r="K629" s="564" t="s">
        <v>1120</v>
      </c>
      <c r="L629" s="564" t="s">
        <v>2098</v>
      </c>
      <c r="M629" s="564" t="s">
        <v>2098</v>
      </c>
      <c r="N629" s="564" t="s">
        <v>70</v>
      </c>
      <c r="O629" s="564" t="s">
        <v>2099</v>
      </c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 spans="1:26" ht="13">
      <c r="A630" s="562" t="s">
        <v>2606</v>
      </c>
      <c r="B630" s="563" t="s">
        <v>2607</v>
      </c>
      <c r="C630" s="564" t="s">
        <v>1652</v>
      </c>
      <c r="D630" s="565">
        <v>45559</v>
      </c>
      <c r="E630" s="565">
        <v>45573</v>
      </c>
      <c r="F630" s="566">
        <v>552000</v>
      </c>
      <c r="G630" s="564" t="s">
        <v>674</v>
      </c>
      <c r="H630" s="564" t="s">
        <v>674</v>
      </c>
      <c r="I630" s="564" t="s">
        <v>1223</v>
      </c>
      <c r="J630" s="564" t="s">
        <v>1372</v>
      </c>
      <c r="K630" s="564" t="s">
        <v>1120</v>
      </c>
      <c r="L630" s="564" t="s">
        <v>2098</v>
      </c>
      <c r="M630" s="564" t="s">
        <v>2098</v>
      </c>
      <c r="N630" s="564" t="s">
        <v>1073</v>
      </c>
      <c r="O630" s="564" t="s">
        <v>2099</v>
      </c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 spans="1:26" ht="13">
      <c r="A631" s="562" t="s">
        <v>2608</v>
      </c>
      <c r="B631" s="563" t="s">
        <v>2609</v>
      </c>
      <c r="C631" s="564" t="s">
        <v>1652</v>
      </c>
      <c r="D631" s="565">
        <v>45559</v>
      </c>
      <c r="E631" s="565">
        <v>45566</v>
      </c>
      <c r="F631" s="566">
        <v>1305000</v>
      </c>
      <c r="G631" s="564" t="s">
        <v>674</v>
      </c>
      <c r="H631" s="564" t="s">
        <v>674</v>
      </c>
      <c r="I631" s="564" t="s">
        <v>107</v>
      </c>
      <c r="J631" s="564" t="s">
        <v>1372</v>
      </c>
      <c r="K631" s="564" t="s">
        <v>1120</v>
      </c>
      <c r="L631" s="564" t="s">
        <v>2098</v>
      </c>
      <c r="M631" s="564" t="s">
        <v>2098</v>
      </c>
      <c r="N631" s="564" t="s">
        <v>1073</v>
      </c>
      <c r="O631" s="564" t="s">
        <v>2099</v>
      </c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 spans="1:26" ht="13">
      <c r="A632" s="562" t="s">
        <v>2610</v>
      </c>
      <c r="B632" s="563" t="s">
        <v>2611</v>
      </c>
      <c r="C632" s="564" t="s">
        <v>1076</v>
      </c>
      <c r="D632" s="565">
        <v>45548</v>
      </c>
      <c r="E632" s="565">
        <v>45747</v>
      </c>
      <c r="F632" s="566">
        <v>9519000</v>
      </c>
      <c r="G632" s="564" t="s">
        <v>1077</v>
      </c>
      <c r="H632" s="564" t="s">
        <v>1077</v>
      </c>
      <c r="I632" s="564" t="s">
        <v>637</v>
      </c>
      <c r="J632" s="564" t="s">
        <v>1372</v>
      </c>
      <c r="K632" s="564" t="s">
        <v>1070</v>
      </c>
      <c r="L632" s="564" t="s">
        <v>2098</v>
      </c>
      <c r="M632" s="564" t="s">
        <v>2098</v>
      </c>
      <c r="N632" s="564" t="s">
        <v>1082</v>
      </c>
      <c r="O632" s="564" t="s">
        <v>2099</v>
      </c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 spans="1:26" ht="13">
      <c r="A633" s="562" t="s">
        <v>2612</v>
      </c>
      <c r="B633" s="563" t="s">
        <v>2613</v>
      </c>
      <c r="C633" s="564" t="s">
        <v>1652</v>
      </c>
      <c r="D633" s="565">
        <v>45555</v>
      </c>
      <c r="E633" s="565">
        <v>45562</v>
      </c>
      <c r="F633" s="566">
        <v>1660000</v>
      </c>
      <c r="G633" s="564" t="s">
        <v>674</v>
      </c>
      <c r="H633" s="564" t="s">
        <v>674</v>
      </c>
      <c r="I633" s="564" t="s">
        <v>70</v>
      </c>
      <c r="J633" s="564" t="s">
        <v>1372</v>
      </c>
      <c r="K633" s="564" t="s">
        <v>1120</v>
      </c>
      <c r="L633" s="564" t="s">
        <v>2098</v>
      </c>
      <c r="M633" s="564" t="s">
        <v>2098</v>
      </c>
      <c r="N633" s="564" t="s">
        <v>70</v>
      </c>
      <c r="O633" s="564" t="s">
        <v>2099</v>
      </c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 spans="1:26" ht="13">
      <c r="A634" s="562" t="s">
        <v>2614</v>
      </c>
      <c r="B634" s="563" t="s">
        <v>2615</v>
      </c>
      <c r="C634" s="564" t="s">
        <v>1652</v>
      </c>
      <c r="D634" s="565">
        <v>45546</v>
      </c>
      <c r="E634" s="565">
        <v>45555</v>
      </c>
      <c r="F634" s="566">
        <v>1660000</v>
      </c>
      <c r="G634" s="564" t="s">
        <v>674</v>
      </c>
      <c r="H634" s="564" t="s">
        <v>674</v>
      </c>
      <c r="I634" s="564" t="s">
        <v>70</v>
      </c>
      <c r="J634" s="564" t="s">
        <v>1372</v>
      </c>
      <c r="K634" s="564" t="s">
        <v>1120</v>
      </c>
      <c r="L634" s="564" t="s">
        <v>2098</v>
      </c>
      <c r="M634" s="564" t="s">
        <v>2098</v>
      </c>
      <c r="N634" s="564" t="s">
        <v>70</v>
      </c>
      <c r="O634" s="564" t="s">
        <v>2099</v>
      </c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 spans="1:26" ht="13">
      <c r="A635" s="562" t="s">
        <v>2616</v>
      </c>
      <c r="B635" s="563" t="s">
        <v>2617</v>
      </c>
      <c r="C635" s="564" t="s">
        <v>1652</v>
      </c>
      <c r="D635" s="565">
        <v>45540</v>
      </c>
      <c r="E635" s="565">
        <v>45544</v>
      </c>
      <c r="F635" s="566">
        <v>285000</v>
      </c>
      <c r="G635" s="564" t="s">
        <v>674</v>
      </c>
      <c r="H635" s="564" t="s">
        <v>674</v>
      </c>
      <c r="I635" s="564" t="s">
        <v>195</v>
      </c>
      <c r="J635" s="564" t="s">
        <v>1372</v>
      </c>
      <c r="K635" s="564" t="s">
        <v>1120</v>
      </c>
      <c r="L635" s="564" t="s">
        <v>2098</v>
      </c>
      <c r="M635" s="564" t="s">
        <v>2098</v>
      </c>
      <c r="N635" s="564" t="s">
        <v>1073</v>
      </c>
      <c r="O635" s="564" t="s">
        <v>2099</v>
      </c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 spans="1:26" ht="13">
      <c r="A636" s="562" t="s">
        <v>2618</v>
      </c>
      <c r="B636" s="563" t="s">
        <v>2619</v>
      </c>
      <c r="C636" s="564" t="s">
        <v>1076</v>
      </c>
      <c r="D636" s="565">
        <v>45504</v>
      </c>
      <c r="E636" s="565">
        <v>45540</v>
      </c>
      <c r="F636" s="566">
        <v>80989000</v>
      </c>
      <c r="G636" s="564" t="s">
        <v>2620</v>
      </c>
      <c r="H636" s="564" t="s">
        <v>2620</v>
      </c>
      <c r="I636" s="564" t="s">
        <v>2621</v>
      </c>
      <c r="J636" s="564" t="s">
        <v>1372</v>
      </c>
      <c r="K636" s="564" t="s">
        <v>1070</v>
      </c>
      <c r="L636" s="564" t="s">
        <v>2098</v>
      </c>
      <c r="M636" s="564" t="s">
        <v>2098</v>
      </c>
      <c r="N636" s="564" t="s">
        <v>1082</v>
      </c>
      <c r="O636" s="564" t="s">
        <v>2099</v>
      </c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 spans="1:26" ht="13">
      <c r="A637" s="562" t="s">
        <v>2622</v>
      </c>
      <c r="B637" s="563" t="s">
        <v>2623</v>
      </c>
      <c r="C637" s="564" t="s">
        <v>1076</v>
      </c>
      <c r="D637" s="565">
        <v>45504</v>
      </c>
      <c r="E637" s="565">
        <v>45540</v>
      </c>
      <c r="F637" s="566">
        <v>90573000</v>
      </c>
      <c r="G637" s="564" t="s">
        <v>2620</v>
      </c>
      <c r="H637" s="564" t="s">
        <v>2620</v>
      </c>
      <c r="I637" s="564" t="s">
        <v>2621</v>
      </c>
      <c r="J637" s="564" t="s">
        <v>1372</v>
      </c>
      <c r="K637" s="564" t="s">
        <v>1070</v>
      </c>
      <c r="L637" s="564" t="s">
        <v>2098</v>
      </c>
      <c r="M637" s="564" t="s">
        <v>2098</v>
      </c>
      <c r="N637" s="564" t="s">
        <v>1082</v>
      </c>
      <c r="O637" s="564" t="s">
        <v>2099</v>
      </c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 spans="1:26" ht="13">
      <c r="A638" s="562" t="s">
        <v>2624</v>
      </c>
      <c r="B638" s="563" t="s">
        <v>2625</v>
      </c>
      <c r="C638" s="564" t="s">
        <v>1076</v>
      </c>
      <c r="D638" s="565">
        <v>45504</v>
      </c>
      <c r="E638" s="565">
        <v>45540</v>
      </c>
      <c r="F638" s="566">
        <v>77174000</v>
      </c>
      <c r="G638" s="564" t="s">
        <v>2620</v>
      </c>
      <c r="H638" s="564" t="s">
        <v>2620</v>
      </c>
      <c r="I638" s="564" t="s">
        <v>2621</v>
      </c>
      <c r="J638" s="564" t="s">
        <v>1372</v>
      </c>
      <c r="K638" s="564" t="s">
        <v>1070</v>
      </c>
      <c r="L638" s="564" t="s">
        <v>2098</v>
      </c>
      <c r="M638" s="564" t="s">
        <v>2098</v>
      </c>
      <c r="N638" s="564" t="s">
        <v>1082</v>
      </c>
      <c r="O638" s="564" t="s">
        <v>2099</v>
      </c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 spans="1:26" ht="13">
      <c r="A639" s="562" t="s">
        <v>2626</v>
      </c>
      <c r="B639" s="563" t="s">
        <v>2627</v>
      </c>
      <c r="C639" s="564" t="s">
        <v>1076</v>
      </c>
      <c r="D639" s="565">
        <v>45504</v>
      </c>
      <c r="E639" s="565">
        <v>45540</v>
      </c>
      <c r="F639" s="566">
        <v>57231000</v>
      </c>
      <c r="G639" s="564" t="s">
        <v>2620</v>
      </c>
      <c r="H639" s="564" t="s">
        <v>2620</v>
      </c>
      <c r="I639" s="564" t="s">
        <v>2621</v>
      </c>
      <c r="J639" s="564" t="s">
        <v>1372</v>
      </c>
      <c r="K639" s="564" t="s">
        <v>1070</v>
      </c>
      <c r="L639" s="564" t="s">
        <v>2098</v>
      </c>
      <c r="M639" s="564" t="s">
        <v>2098</v>
      </c>
      <c r="N639" s="564" t="s">
        <v>1082</v>
      </c>
      <c r="O639" s="564" t="s">
        <v>2099</v>
      </c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 spans="1:26" ht="13">
      <c r="A640" s="562" t="s">
        <v>2628</v>
      </c>
      <c r="B640" s="563" t="s">
        <v>2629</v>
      </c>
      <c r="C640" s="564" t="s">
        <v>1652</v>
      </c>
      <c r="D640" s="565">
        <v>45534</v>
      </c>
      <c r="E640" s="565">
        <v>45541</v>
      </c>
      <c r="F640" s="566">
        <v>2980000</v>
      </c>
      <c r="G640" s="564" t="s">
        <v>674</v>
      </c>
      <c r="H640" s="564" t="s">
        <v>674</v>
      </c>
      <c r="I640" s="564" t="s">
        <v>70</v>
      </c>
      <c r="J640" s="564" t="s">
        <v>1372</v>
      </c>
      <c r="K640" s="564" t="s">
        <v>1120</v>
      </c>
      <c r="L640" s="564" t="s">
        <v>2098</v>
      </c>
      <c r="M640" s="564" t="s">
        <v>2098</v>
      </c>
      <c r="N640" s="564" t="s">
        <v>70</v>
      </c>
      <c r="O640" s="564" t="s">
        <v>2099</v>
      </c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 spans="1:26" ht="13">
      <c r="A641" s="562" t="s">
        <v>2630</v>
      </c>
      <c r="B641" s="563" t="s">
        <v>2631</v>
      </c>
      <c r="C641" s="564" t="s">
        <v>1652</v>
      </c>
      <c r="D641" s="565">
        <v>45534</v>
      </c>
      <c r="E641" s="565">
        <v>45541</v>
      </c>
      <c r="F641" s="566">
        <v>2525000</v>
      </c>
      <c r="G641" s="564" t="s">
        <v>674</v>
      </c>
      <c r="H641" s="564" t="s">
        <v>674</v>
      </c>
      <c r="I641" s="564" t="s">
        <v>70</v>
      </c>
      <c r="J641" s="564" t="s">
        <v>1372</v>
      </c>
      <c r="K641" s="564" t="s">
        <v>1120</v>
      </c>
      <c r="L641" s="564" t="s">
        <v>2098</v>
      </c>
      <c r="M641" s="564" t="s">
        <v>2098</v>
      </c>
      <c r="N641" s="564" t="s">
        <v>70</v>
      </c>
      <c r="O641" s="564" t="s">
        <v>2099</v>
      </c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 spans="1:26" ht="13">
      <c r="A642" s="562" t="s">
        <v>2632</v>
      </c>
      <c r="B642" s="563" t="s">
        <v>2633</v>
      </c>
      <c r="C642" s="564" t="s">
        <v>1652</v>
      </c>
      <c r="D642" s="565">
        <v>45530</v>
      </c>
      <c r="E642" s="565">
        <v>45541</v>
      </c>
      <c r="F642" s="566">
        <v>9720000</v>
      </c>
      <c r="G642" s="564" t="s">
        <v>674</v>
      </c>
      <c r="H642" s="564" t="s">
        <v>674</v>
      </c>
      <c r="I642" s="564" t="s">
        <v>70</v>
      </c>
      <c r="J642" s="564" t="s">
        <v>1372</v>
      </c>
      <c r="K642" s="564" t="s">
        <v>1120</v>
      </c>
      <c r="L642" s="564" t="s">
        <v>2098</v>
      </c>
      <c r="M642" s="564" t="s">
        <v>2098</v>
      </c>
      <c r="N642" s="564" t="s">
        <v>70</v>
      </c>
      <c r="O642" s="564" t="s">
        <v>2099</v>
      </c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 spans="1:26" ht="13">
      <c r="A643" s="562" t="s">
        <v>2634</v>
      </c>
      <c r="B643" s="563" t="s">
        <v>2635</v>
      </c>
      <c r="C643" s="564" t="s">
        <v>1114</v>
      </c>
      <c r="D643" s="565">
        <v>45533</v>
      </c>
      <c r="E643" s="565">
        <v>45535</v>
      </c>
      <c r="F643" s="566">
        <v>301672000</v>
      </c>
      <c r="G643" s="564" t="s">
        <v>1366</v>
      </c>
      <c r="H643" s="564" t="s">
        <v>1366</v>
      </c>
      <c r="I643" s="564" t="s">
        <v>2579</v>
      </c>
      <c r="J643" s="564" t="s">
        <v>1372</v>
      </c>
      <c r="K643" s="564" t="s">
        <v>1205</v>
      </c>
      <c r="L643" s="564" t="s">
        <v>2098</v>
      </c>
      <c r="M643" s="564" t="s">
        <v>2098</v>
      </c>
      <c r="N643" s="564" t="s">
        <v>1368</v>
      </c>
      <c r="O643" s="564" t="s">
        <v>2099</v>
      </c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 spans="1:26" ht="13">
      <c r="A644" s="562" t="s">
        <v>2636</v>
      </c>
      <c r="B644" s="563" t="s">
        <v>2637</v>
      </c>
      <c r="C644" s="564" t="s">
        <v>1114</v>
      </c>
      <c r="D644" s="565">
        <v>45533</v>
      </c>
      <c r="E644" s="565">
        <v>45535</v>
      </c>
      <c r="F644" s="566">
        <v>28296000</v>
      </c>
      <c r="G644" s="564" t="s">
        <v>1366</v>
      </c>
      <c r="H644" s="564" t="s">
        <v>1366</v>
      </c>
      <c r="I644" s="564" t="s">
        <v>2579</v>
      </c>
      <c r="J644" s="564" t="s">
        <v>1372</v>
      </c>
      <c r="K644" s="564" t="s">
        <v>1205</v>
      </c>
      <c r="L644" s="564" t="s">
        <v>2098</v>
      </c>
      <c r="M644" s="564" t="s">
        <v>2098</v>
      </c>
      <c r="N644" s="564" t="s">
        <v>1368</v>
      </c>
      <c r="O644" s="564" t="s">
        <v>2099</v>
      </c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 spans="1:26" ht="13">
      <c r="A645" s="562" t="s">
        <v>2638</v>
      </c>
      <c r="B645" s="563" t="s">
        <v>2639</v>
      </c>
      <c r="C645" s="564" t="s">
        <v>1652</v>
      </c>
      <c r="D645" s="565">
        <v>45525</v>
      </c>
      <c r="E645" s="565">
        <v>45531</v>
      </c>
      <c r="F645" s="566">
        <v>3141000</v>
      </c>
      <c r="G645" s="564" t="s">
        <v>674</v>
      </c>
      <c r="H645" s="564" t="s">
        <v>674</v>
      </c>
      <c r="I645" s="564" t="s">
        <v>107</v>
      </c>
      <c r="J645" s="564" t="s">
        <v>1372</v>
      </c>
      <c r="K645" s="564" t="s">
        <v>1120</v>
      </c>
      <c r="L645" s="564" t="s">
        <v>2098</v>
      </c>
      <c r="M645" s="564" t="s">
        <v>2098</v>
      </c>
      <c r="N645" s="564" t="s">
        <v>1073</v>
      </c>
      <c r="O645" s="564" t="s">
        <v>2099</v>
      </c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 spans="1:26" ht="13">
      <c r="A646" s="562" t="s">
        <v>2640</v>
      </c>
      <c r="B646" s="563" t="s">
        <v>2641</v>
      </c>
      <c r="C646" s="564" t="s">
        <v>1652</v>
      </c>
      <c r="D646" s="565">
        <v>45516</v>
      </c>
      <c r="E646" s="565">
        <v>45523</v>
      </c>
      <c r="F646" s="566">
        <v>1490000</v>
      </c>
      <c r="G646" s="564" t="s">
        <v>674</v>
      </c>
      <c r="H646" s="564" t="s">
        <v>674</v>
      </c>
      <c r="I646" s="564" t="s">
        <v>70</v>
      </c>
      <c r="J646" s="564" t="s">
        <v>1372</v>
      </c>
      <c r="K646" s="564" t="s">
        <v>1120</v>
      </c>
      <c r="L646" s="564" t="s">
        <v>2098</v>
      </c>
      <c r="M646" s="564" t="s">
        <v>2098</v>
      </c>
      <c r="N646" s="564" t="s">
        <v>70</v>
      </c>
      <c r="O646" s="564" t="s">
        <v>2099</v>
      </c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 spans="1:26" ht="13">
      <c r="A647" s="562" t="s">
        <v>2642</v>
      </c>
      <c r="B647" s="563" t="s">
        <v>2643</v>
      </c>
      <c r="C647" s="564" t="s">
        <v>353</v>
      </c>
      <c r="D647" s="565">
        <v>45513</v>
      </c>
      <c r="E647" s="565">
        <v>45534</v>
      </c>
      <c r="F647" s="566">
        <v>140000</v>
      </c>
      <c r="G647" s="564" t="s">
        <v>1128</v>
      </c>
      <c r="H647" s="564" t="s">
        <v>1128</v>
      </c>
      <c r="I647" s="564" t="s">
        <v>45</v>
      </c>
      <c r="J647" s="564" t="s">
        <v>1372</v>
      </c>
      <c r="K647" s="564" t="s">
        <v>1090</v>
      </c>
      <c r="L647" s="564" t="s">
        <v>2098</v>
      </c>
      <c r="M647" s="564" t="s">
        <v>2098</v>
      </c>
      <c r="N647" s="564" t="s">
        <v>45</v>
      </c>
      <c r="O647" s="564" t="s">
        <v>2099</v>
      </c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 spans="1:26" ht="13">
      <c r="A648" s="562" t="s">
        <v>2644</v>
      </c>
      <c r="B648" s="563" t="s">
        <v>2645</v>
      </c>
      <c r="C648" s="564" t="s">
        <v>1652</v>
      </c>
      <c r="D648" s="565">
        <v>45511</v>
      </c>
      <c r="E648" s="565">
        <v>45512</v>
      </c>
      <c r="F648" s="566">
        <v>1735000</v>
      </c>
      <c r="G648" s="564" t="s">
        <v>674</v>
      </c>
      <c r="H648" s="564" t="s">
        <v>674</v>
      </c>
      <c r="I648" s="564" t="s">
        <v>70</v>
      </c>
      <c r="J648" s="564" t="s">
        <v>1372</v>
      </c>
      <c r="K648" s="564" t="s">
        <v>1120</v>
      </c>
      <c r="L648" s="564" t="s">
        <v>2098</v>
      </c>
      <c r="M648" s="564" t="s">
        <v>2098</v>
      </c>
      <c r="N648" s="564" t="s">
        <v>70</v>
      </c>
      <c r="O648" s="564" t="s">
        <v>2099</v>
      </c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 spans="1:26" ht="13">
      <c r="A649" s="562" t="s">
        <v>2646</v>
      </c>
      <c r="B649" s="563" t="s">
        <v>2647</v>
      </c>
      <c r="C649" s="564" t="s">
        <v>1076</v>
      </c>
      <c r="D649" s="565">
        <v>45502</v>
      </c>
      <c r="E649" s="565">
        <v>45534</v>
      </c>
      <c r="F649" s="566">
        <v>12000000</v>
      </c>
      <c r="G649" s="564" t="s">
        <v>2620</v>
      </c>
      <c r="H649" s="564" t="s">
        <v>2620</v>
      </c>
      <c r="I649" s="564" t="s">
        <v>2648</v>
      </c>
      <c r="J649" s="564" t="s">
        <v>1372</v>
      </c>
      <c r="K649" s="564" t="s">
        <v>1070</v>
      </c>
      <c r="L649" s="564" t="s">
        <v>2098</v>
      </c>
      <c r="M649" s="564" t="s">
        <v>2098</v>
      </c>
      <c r="N649" s="564" t="s">
        <v>1082</v>
      </c>
      <c r="O649" s="564" t="s">
        <v>2099</v>
      </c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 spans="1:26" ht="13">
      <c r="A650" s="562" t="s">
        <v>2649</v>
      </c>
      <c r="B650" s="563" t="s">
        <v>2650</v>
      </c>
      <c r="C650" s="564" t="s">
        <v>1652</v>
      </c>
      <c r="D650" s="565">
        <v>45498</v>
      </c>
      <c r="E650" s="565">
        <v>45528</v>
      </c>
      <c r="F650" s="566">
        <v>5230000</v>
      </c>
      <c r="G650" s="564" t="s">
        <v>803</v>
      </c>
      <c r="H650" s="564" t="s">
        <v>803</v>
      </c>
      <c r="I650" s="564" t="s">
        <v>802</v>
      </c>
      <c r="J650" s="564" t="s">
        <v>1372</v>
      </c>
      <c r="K650" s="564" t="s">
        <v>1198</v>
      </c>
      <c r="L650" s="564" t="s">
        <v>2098</v>
      </c>
      <c r="M650" s="564" t="s">
        <v>2098</v>
      </c>
      <c r="N650" s="564" t="s">
        <v>132</v>
      </c>
      <c r="O650" s="564" t="s">
        <v>2099</v>
      </c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 spans="1:26" ht="13">
      <c r="A651" s="562" t="s">
        <v>2651</v>
      </c>
      <c r="B651" s="563" t="s">
        <v>2652</v>
      </c>
      <c r="C651" s="564" t="s">
        <v>1652</v>
      </c>
      <c r="D651" s="565">
        <v>45499</v>
      </c>
      <c r="E651" s="565">
        <v>45506</v>
      </c>
      <c r="F651" s="566">
        <v>2980000</v>
      </c>
      <c r="G651" s="564" t="s">
        <v>674</v>
      </c>
      <c r="H651" s="564" t="s">
        <v>674</v>
      </c>
      <c r="I651" s="564" t="s">
        <v>70</v>
      </c>
      <c r="J651" s="564" t="s">
        <v>1372</v>
      </c>
      <c r="K651" s="564" t="s">
        <v>1120</v>
      </c>
      <c r="L651" s="564" t="s">
        <v>2098</v>
      </c>
      <c r="M651" s="564" t="s">
        <v>2098</v>
      </c>
      <c r="N651" s="564" t="s">
        <v>70</v>
      </c>
      <c r="O651" s="564" t="s">
        <v>2099</v>
      </c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 spans="1:26" ht="13">
      <c r="A652" s="562" t="s">
        <v>2653</v>
      </c>
      <c r="B652" s="563" t="s">
        <v>2654</v>
      </c>
      <c r="C652" s="564" t="s">
        <v>1652</v>
      </c>
      <c r="D652" s="565">
        <v>45499</v>
      </c>
      <c r="E652" s="565">
        <v>45506</v>
      </c>
      <c r="F652" s="566">
        <v>2980000</v>
      </c>
      <c r="G652" s="564" t="s">
        <v>674</v>
      </c>
      <c r="H652" s="564" t="s">
        <v>674</v>
      </c>
      <c r="I652" s="564" t="s">
        <v>70</v>
      </c>
      <c r="J652" s="564" t="s">
        <v>1372</v>
      </c>
      <c r="K652" s="564" t="s">
        <v>1120</v>
      </c>
      <c r="L652" s="564" t="s">
        <v>2098</v>
      </c>
      <c r="M652" s="564" t="s">
        <v>2098</v>
      </c>
      <c r="N652" s="564" t="s">
        <v>70</v>
      </c>
      <c r="O652" s="564" t="s">
        <v>2099</v>
      </c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 spans="1:26" ht="13">
      <c r="A653" s="562" t="s">
        <v>2655</v>
      </c>
      <c r="B653" s="563" t="s">
        <v>2656</v>
      </c>
      <c r="C653" s="564" t="s">
        <v>1652</v>
      </c>
      <c r="D653" s="565">
        <v>45499</v>
      </c>
      <c r="E653" s="565">
        <v>45506</v>
      </c>
      <c r="F653" s="566">
        <v>1490000</v>
      </c>
      <c r="G653" s="564" t="s">
        <v>674</v>
      </c>
      <c r="H653" s="564" t="s">
        <v>674</v>
      </c>
      <c r="I653" s="564" t="s">
        <v>70</v>
      </c>
      <c r="J653" s="564" t="s">
        <v>1372</v>
      </c>
      <c r="K653" s="564" t="s">
        <v>1120</v>
      </c>
      <c r="L653" s="564" t="s">
        <v>2098</v>
      </c>
      <c r="M653" s="564" t="s">
        <v>2098</v>
      </c>
      <c r="N653" s="564" t="s">
        <v>70</v>
      </c>
      <c r="O653" s="564" t="s">
        <v>2099</v>
      </c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 spans="1:26" ht="13">
      <c r="A654" s="562" t="s">
        <v>653</v>
      </c>
      <c r="B654" s="563" t="s">
        <v>584</v>
      </c>
      <c r="C654" s="564" t="s">
        <v>353</v>
      </c>
      <c r="D654" s="565">
        <v>45497</v>
      </c>
      <c r="E654" s="565">
        <v>45504</v>
      </c>
      <c r="F654" s="566">
        <v>145000</v>
      </c>
      <c r="G654" s="564" t="s">
        <v>349</v>
      </c>
      <c r="H654" s="564" t="s">
        <v>349</v>
      </c>
      <c r="I654" s="564" t="s">
        <v>64</v>
      </c>
      <c r="J654" s="564" t="s">
        <v>1372</v>
      </c>
      <c r="K654" s="564" t="s">
        <v>1090</v>
      </c>
      <c r="L654" s="564" t="s">
        <v>2098</v>
      </c>
      <c r="M654" s="564" t="s">
        <v>2098</v>
      </c>
      <c r="N654" s="564" t="s">
        <v>64</v>
      </c>
      <c r="O654" s="564" t="s">
        <v>2099</v>
      </c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 spans="1:26" ht="13">
      <c r="A655" s="562" t="s">
        <v>646</v>
      </c>
      <c r="B655" s="563" t="s">
        <v>644</v>
      </c>
      <c r="C655" s="564" t="s">
        <v>353</v>
      </c>
      <c r="D655" s="565">
        <v>45496</v>
      </c>
      <c r="E655" s="565">
        <v>45509</v>
      </c>
      <c r="F655" s="566">
        <v>145000</v>
      </c>
      <c r="G655" s="564" t="s">
        <v>349</v>
      </c>
      <c r="H655" s="564" t="s">
        <v>349</v>
      </c>
      <c r="I655" s="564" t="s">
        <v>64</v>
      </c>
      <c r="J655" s="564" t="s">
        <v>1372</v>
      </c>
      <c r="K655" s="564" t="s">
        <v>1090</v>
      </c>
      <c r="L655" s="564" t="s">
        <v>2098</v>
      </c>
      <c r="M655" s="564" t="s">
        <v>2098</v>
      </c>
      <c r="N655" s="564" t="s">
        <v>64</v>
      </c>
      <c r="O655" s="564" t="s">
        <v>2099</v>
      </c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 spans="1:26" ht="13">
      <c r="A656" s="562" t="s">
        <v>2657</v>
      </c>
      <c r="B656" s="563" t="s">
        <v>2658</v>
      </c>
      <c r="C656" s="564" t="s">
        <v>353</v>
      </c>
      <c r="D656" s="565">
        <v>45492</v>
      </c>
      <c r="E656" s="565">
        <v>45506</v>
      </c>
      <c r="F656" s="566">
        <v>284000</v>
      </c>
      <c r="G656" s="564" t="s">
        <v>1128</v>
      </c>
      <c r="H656" s="564" t="s">
        <v>1128</v>
      </c>
      <c r="I656" s="564" t="s">
        <v>45</v>
      </c>
      <c r="J656" s="564" t="s">
        <v>1372</v>
      </c>
      <c r="K656" s="564" t="s">
        <v>1090</v>
      </c>
      <c r="L656" s="564" t="s">
        <v>2098</v>
      </c>
      <c r="M656" s="564" t="s">
        <v>2098</v>
      </c>
      <c r="N656" s="564" t="s">
        <v>45</v>
      </c>
      <c r="O656" s="564" t="s">
        <v>2099</v>
      </c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 spans="1:26" ht="13">
      <c r="A657" s="562" t="s">
        <v>2659</v>
      </c>
      <c r="B657" s="563" t="s">
        <v>2660</v>
      </c>
      <c r="C657" s="564" t="s">
        <v>1652</v>
      </c>
      <c r="D657" s="565">
        <v>45495</v>
      </c>
      <c r="E657" s="565">
        <v>45502</v>
      </c>
      <c r="F657" s="566">
        <v>1660000</v>
      </c>
      <c r="G657" s="564" t="s">
        <v>674</v>
      </c>
      <c r="H657" s="564" t="s">
        <v>674</v>
      </c>
      <c r="I657" s="564" t="s">
        <v>70</v>
      </c>
      <c r="J657" s="564" t="s">
        <v>1372</v>
      </c>
      <c r="K657" s="564" t="s">
        <v>1120</v>
      </c>
      <c r="L657" s="564" t="s">
        <v>2098</v>
      </c>
      <c r="M657" s="564" t="s">
        <v>2098</v>
      </c>
      <c r="N657" s="564" t="s">
        <v>70</v>
      </c>
      <c r="O657" s="564" t="s">
        <v>2099</v>
      </c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 spans="1:26" ht="13">
      <c r="A658" s="562" t="s">
        <v>2661</v>
      </c>
      <c r="B658" s="563" t="s">
        <v>2662</v>
      </c>
      <c r="C658" s="564" t="s">
        <v>1652</v>
      </c>
      <c r="D658" s="565">
        <v>45495</v>
      </c>
      <c r="E658" s="565">
        <v>45502</v>
      </c>
      <c r="F658" s="566">
        <v>1540000</v>
      </c>
      <c r="G658" s="564" t="s">
        <v>674</v>
      </c>
      <c r="H658" s="564" t="s">
        <v>674</v>
      </c>
      <c r="I658" s="564" t="s">
        <v>70</v>
      </c>
      <c r="J658" s="564" t="s">
        <v>1372</v>
      </c>
      <c r="K658" s="564" t="s">
        <v>1120</v>
      </c>
      <c r="L658" s="564" t="s">
        <v>2098</v>
      </c>
      <c r="M658" s="564" t="s">
        <v>2098</v>
      </c>
      <c r="N658" s="564" t="s">
        <v>70</v>
      </c>
      <c r="O658" s="564" t="s">
        <v>2099</v>
      </c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 spans="1:26" ht="13">
      <c r="A659" s="562" t="s">
        <v>2663</v>
      </c>
      <c r="B659" s="563" t="s">
        <v>2664</v>
      </c>
      <c r="C659" s="564" t="s">
        <v>1475</v>
      </c>
      <c r="D659" s="565">
        <v>45490</v>
      </c>
      <c r="E659" s="565">
        <v>45505</v>
      </c>
      <c r="F659" s="566">
        <v>32499500</v>
      </c>
      <c r="G659" s="564" t="s">
        <v>1366</v>
      </c>
      <c r="H659" s="564" t="s">
        <v>1366</v>
      </c>
      <c r="I659" s="564" t="s">
        <v>2579</v>
      </c>
      <c r="J659" s="564" t="s">
        <v>1372</v>
      </c>
      <c r="K659" s="564" t="s">
        <v>1205</v>
      </c>
      <c r="L659" s="564" t="s">
        <v>2098</v>
      </c>
      <c r="M659" s="564" t="s">
        <v>2098</v>
      </c>
      <c r="N659" s="564" t="s">
        <v>1368</v>
      </c>
      <c r="O659" s="564" t="s">
        <v>2099</v>
      </c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 spans="1:26" ht="13">
      <c r="A660" s="562" t="s">
        <v>2665</v>
      </c>
      <c r="B660" s="563" t="s">
        <v>2666</v>
      </c>
      <c r="C660" s="564" t="s">
        <v>1475</v>
      </c>
      <c r="D660" s="565">
        <v>45490</v>
      </c>
      <c r="E660" s="565">
        <v>45505</v>
      </c>
      <c r="F660" s="566">
        <v>6469500</v>
      </c>
      <c r="G660" s="564" t="s">
        <v>1366</v>
      </c>
      <c r="H660" s="564" t="s">
        <v>1366</v>
      </c>
      <c r="I660" s="564" t="s">
        <v>2579</v>
      </c>
      <c r="J660" s="564" t="s">
        <v>1372</v>
      </c>
      <c r="K660" s="564" t="s">
        <v>1205</v>
      </c>
      <c r="L660" s="564" t="s">
        <v>2098</v>
      </c>
      <c r="M660" s="564" t="s">
        <v>2098</v>
      </c>
      <c r="N660" s="564" t="s">
        <v>1368</v>
      </c>
      <c r="O660" s="564" t="s">
        <v>2099</v>
      </c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 spans="1:26" ht="13">
      <c r="A661" s="562" t="s">
        <v>2667</v>
      </c>
      <c r="B661" s="563" t="s">
        <v>2668</v>
      </c>
      <c r="C661" s="564" t="s">
        <v>1475</v>
      </c>
      <c r="D661" s="565">
        <v>45490</v>
      </c>
      <c r="E661" s="565">
        <v>45505</v>
      </c>
      <c r="F661" s="566">
        <v>45372000</v>
      </c>
      <c r="G661" s="564" t="s">
        <v>1366</v>
      </c>
      <c r="H661" s="564" t="s">
        <v>1366</v>
      </c>
      <c r="I661" s="564" t="s">
        <v>2579</v>
      </c>
      <c r="J661" s="564" t="s">
        <v>1372</v>
      </c>
      <c r="K661" s="564" t="s">
        <v>1205</v>
      </c>
      <c r="L661" s="564" t="s">
        <v>2098</v>
      </c>
      <c r="M661" s="564" t="s">
        <v>2098</v>
      </c>
      <c r="N661" s="564" t="s">
        <v>1368</v>
      </c>
      <c r="O661" s="564" t="s">
        <v>2099</v>
      </c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 spans="1:26" ht="13">
      <c r="A662" s="562" t="s">
        <v>2669</v>
      </c>
      <c r="B662" s="563" t="s">
        <v>2670</v>
      </c>
      <c r="C662" s="564" t="s">
        <v>1652</v>
      </c>
      <c r="D662" s="565">
        <v>45495</v>
      </c>
      <c r="E662" s="565">
        <v>45502</v>
      </c>
      <c r="F662" s="566">
        <v>2310000</v>
      </c>
      <c r="G662" s="564" t="s">
        <v>674</v>
      </c>
      <c r="H662" s="564" t="s">
        <v>674</v>
      </c>
      <c r="I662" s="564" t="s">
        <v>2671</v>
      </c>
      <c r="J662" s="564" t="s">
        <v>1372</v>
      </c>
      <c r="K662" s="564" t="s">
        <v>1120</v>
      </c>
      <c r="L662" s="564" t="s">
        <v>2098</v>
      </c>
      <c r="M662" s="564" t="s">
        <v>2098</v>
      </c>
      <c r="N662" s="564" t="s">
        <v>1073</v>
      </c>
      <c r="O662" s="564" t="s">
        <v>2099</v>
      </c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 spans="1:26" ht="13">
      <c r="A663" s="562" t="s">
        <v>2672</v>
      </c>
      <c r="B663" s="563" t="s">
        <v>2673</v>
      </c>
      <c r="C663" s="564" t="s">
        <v>353</v>
      </c>
      <c r="D663" s="565">
        <v>45489</v>
      </c>
      <c r="E663" s="565">
        <v>45611</v>
      </c>
      <c r="F663" s="566">
        <v>877849000</v>
      </c>
      <c r="G663" s="564" t="s">
        <v>1128</v>
      </c>
      <c r="H663" s="564" t="s">
        <v>1128</v>
      </c>
      <c r="I663" s="564" t="s">
        <v>45</v>
      </c>
      <c r="J663" s="564" t="s">
        <v>1372</v>
      </c>
      <c r="K663" s="564" t="s">
        <v>1090</v>
      </c>
      <c r="L663" s="564" t="s">
        <v>2098</v>
      </c>
      <c r="M663" s="564" t="s">
        <v>2098</v>
      </c>
      <c r="N663" s="564" t="s">
        <v>45</v>
      </c>
      <c r="O663" s="564" t="s">
        <v>2099</v>
      </c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 spans="1:26" ht="13">
      <c r="A664" s="562" t="s">
        <v>2674</v>
      </c>
      <c r="B664" s="563" t="s">
        <v>2675</v>
      </c>
      <c r="C664" s="564" t="s">
        <v>1652</v>
      </c>
      <c r="D664" s="565">
        <v>45488</v>
      </c>
      <c r="E664" s="565">
        <v>45499</v>
      </c>
      <c r="F664" s="566">
        <v>2160000</v>
      </c>
      <c r="G664" s="564" t="s">
        <v>674</v>
      </c>
      <c r="H664" s="564" t="s">
        <v>674</v>
      </c>
      <c r="I664" s="564" t="s">
        <v>2671</v>
      </c>
      <c r="J664" s="564" t="s">
        <v>1069</v>
      </c>
      <c r="K664" s="564" t="s">
        <v>1120</v>
      </c>
      <c r="L664" s="564" t="s">
        <v>2098</v>
      </c>
      <c r="M664" s="564" t="s">
        <v>2098</v>
      </c>
      <c r="N664" s="564" t="s">
        <v>1073</v>
      </c>
      <c r="O664" s="564" t="s">
        <v>2099</v>
      </c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 spans="1:26" ht="13">
      <c r="A665" s="562" t="s">
        <v>2676</v>
      </c>
      <c r="B665" s="563" t="s">
        <v>2677</v>
      </c>
      <c r="C665" s="564" t="s">
        <v>1652</v>
      </c>
      <c r="D665" s="565">
        <v>45489</v>
      </c>
      <c r="E665" s="565">
        <v>45496</v>
      </c>
      <c r="F665" s="566">
        <v>4470000</v>
      </c>
      <c r="G665" s="564" t="s">
        <v>674</v>
      </c>
      <c r="H665" s="564" t="s">
        <v>674</v>
      </c>
      <c r="I665" s="564" t="s">
        <v>70</v>
      </c>
      <c r="J665" s="564" t="s">
        <v>1372</v>
      </c>
      <c r="K665" s="564" t="s">
        <v>1120</v>
      </c>
      <c r="L665" s="564" t="s">
        <v>2098</v>
      </c>
      <c r="M665" s="564" t="s">
        <v>2098</v>
      </c>
      <c r="N665" s="564" t="s">
        <v>70</v>
      </c>
      <c r="O665" s="564" t="s">
        <v>2099</v>
      </c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 spans="1:26" ht="13">
      <c r="A666" s="562" t="s">
        <v>2678</v>
      </c>
      <c r="B666" s="563" t="s">
        <v>2679</v>
      </c>
      <c r="C666" s="564" t="s">
        <v>1652</v>
      </c>
      <c r="D666" s="565">
        <v>45489</v>
      </c>
      <c r="E666" s="565">
        <v>45496</v>
      </c>
      <c r="F666" s="566">
        <v>3150000</v>
      </c>
      <c r="G666" s="564" t="s">
        <v>674</v>
      </c>
      <c r="H666" s="564" t="s">
        <v>674</v>
      </c>
      <c r="I666" s="564" t="s">
        <v>70</v>
      </c>
      <c r="J666" s="564" t="s">
        <v>1372</v>
      </c>
      <c r="K666" s="564" t="s">
        <v>1120</v>
      </c>
      <c r="L666" s="564" t="s">
        <v>2098</v>
      </c>
      <c r="M666" s="564" t="s">
        <v>2098</v>
      </c>
      <c r="N666" s="564" t="s">
        <v>70</v>
      </c>
      <c r="O666" s="564" t="s">
        <v>2099</v>
      </c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 spans="1:26" ht="13">
      <c r="A667" s="562" t="s">
        <v>2680</v>
      </c>
      <c r="B667" s="563" t="s">
        <v>2681</v>
      </c>
      <c r="C667" s="564" t="s">
        <v>1076</v>
      </c>
      <c r="D667" s="565">
        <v>45485</v>
      </c>
      <c r="E667" s="565">
        <v>45657</v>
      </c>
      <c r="F667" s="566">
        <v>1096000</v>
      </c>
      <c r="G667" s="564" t="s">
        <v>1077</v>
      </c>
      <c r="H667" s="564" t="s">
        <v>1077</v>
      </c>
      <c r="I667" s="564" t="s">
        <v>637</v>
      </c>
      <c r="J667" s="564" t="s">
        <v>1372</v>
      </c>
      <c r="K667" s="564" t="s">
        <v>1070</v>
      </c>
      <c r="L667" s="564" t="s">
        <v>2098</v>
      </c>
      <c r="M667" s="564" t="s">
        <v>2098</v>
      </c>
      <c r="N667" s="564" t="s">
        <v>1082</v>
      </c>
      <c r="O667" s="564" t="s">
        <v>2099</v>
      </c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 spans="1:26" ht="13">
      <c r="A668" s="562" t="s">
        <v>2682</v>
      </c>
      <c r="B668" s="563" t="s">
        <v>2683</v>
      </c>
      <c r="C668" s="564" t="s">
        <v>1652</v>
      </c>
      <c r="D668" s="565">
        <v>45477</v>
      </c>
      <c r="E668" s="565">
        <v>45507</v>
      </c>
      <c r="F668" s="566">
        <v>4740000</v>
      </c>
      <c r="G668" s="564" t="s">
        <v>803</v>
      </c>
      <c r="H668" s="564" t="s">
        <v>803</v>
      </c>
      <c r="I668" s="564" t="s">
        <v>802</v>
      </c>
      <c r="J668" s="564" t="s">
        <v>1372</v>
      </c>
      <c r="K668" s="564" t="s">
        <v>1198</v>
      </c>
      <c r="L668" s="564" t="s">
        <v>2098</v>
      </c>
      <c r="M668" s="564" t="s">
        <v>2098</v>
      </c>
      <c r="N668" s="564" t="s">
        <v>132</v>
      </c>
      <c r="O668" s="564" t="s">
        <v>2099</v>
      </c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 spans="1:26" ht="13">
      <c r="A669" s="562" t="s">
        <v>2684</v>
      </c>
      <c r="B669" s="563" t="s">
        <v>2685</v>
      </c>
      <c r="C669" s="564" t="s">
        <v>1652</v>
      </c>
      <c r="D669" s="565">
        <v>45484</v>
      </c>
      <c r="E669" s="565">
        <v>45491</v>
      </c>
      <c r="F669" s="566">
        <v>4470000</v>
      </c>
      <c r="G669" s="564" t="s">
        <v>674</v>
      </c>
      <c r="H669" s="564" t="s">
        <v>674</v>
      </c>
      <c r="I669" s="564" t="s">
        <v>70</v>
      </c>
      <c r="J669" s="564" t="s">
        <v>1372</v>
      </c>
      <c r="K669" s="564" t="s">
        <v>1120</v>
      </c>
      <c r="L669" s="564" t="s">
        <v>2098</v>
      </c>
      <c r="M669" s="564" t="s">
        <v>2098</v>
      </c>
      <c r="N669" s="564" t="s">
        <v>70</v>
      </c>
      <c r="O669" s="564" t="s">
        <v>2099</v>
      </c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 spans="1:26" ht="13">
      <c r="A670" s="562" t="s">
        <v>630</v>
      </c>
      <c r="B670" s="563" t="s">
        <v>511</v>
      </c>
      <c r="C670" s="564" t="s">
        <v>353</v>
      </c>
      <c r="D670" s="565">
        <v>45482</v>
      </c>
      <c r="E670" s="565">
        <v>45496</v>
      </c>
      <c r="F670" s="566">
        <v>145000</v>
      </c>
      <c r="G670" s="564" t="s">
        <v>349</v>
      </c>
      <c r="H670" s="564" t="s">
        <v>349</v>
      </c>
      <c r="I670" s="564" t="s">
        <v>64</v>
      </c>
      <c r="J670" s="564" t="s">
        <v>1372</v>
      </c>
      <c r="K670" s="564" t="s">
        <v>1090</v>
      </c>
      <c r="L670" s="564" t="s">
        <v>2098</v>
      </c>
      <c r="M670" s="564" t="s">
        <v>2098</v>
      </c>
      <c r="N670" s="564" t="s">
        <v>64</v>
      </c>
      <c r="O670" s="564" t="s">
        <v>2099</v>
      </c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 spans="1:26" ht="13">
      <c r="A671" s="562" t="s">
        <v>2686</v>
      </c>
      <c r="B671" s="563" t="s">
        <v>2687</v>
      </c>
      <c r="C671" s="564" t="s">
        <v>1076</v>
      </c>
      <c r="D671" s="565">
        <v>45478</v>
      </c>
      <c r="E671" s="565">
        <v>45657</v>
      </c>
      <c r="F671" s="566">
        <v>3247000</v>
      </c>
      <c r="G671" s="564" t="s">
        <v>1077</v>
      </c>
      <c r="H671" s="564" t="s">
        <v>1077</v>
      </c>
      <c r="I671" s="564" t="s">
        <v>637</v>
      </c>
      <c r="J671" s="564" t="s">
        <v>1372</v>
      </c>
      <c r="K671" s="564" t="s">
        <v>1070</v>
      </c>
      <c r="L671" s="564" t="s">
        <v>2098</v>
      </c>
      <c r="M671" s="564" t="s">
        <v>2098</v>
      </c>
      <c r="N671" s="564" t="s">
        <v>1082</v>
      </c>
      <c r="O671" s="564" t="s">
        <v>2099</v>
      </c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 spans="1:26" ht="13">
      <c r="A672" s="562" t="s">
        <v>2688</v>
      </c>
      <c r="B672" s="563" t="s">
        <v>2689</v>
      </c>
      <c r="C672" s="564" t="s">
        <v>1652</v>
      </c>
      <c r="D672" s="565">
        <v>45476</v>
      </c>
      <c r="E672" s="565">
        <v>45483</v>
      </c>
      <c r="F672" s="566">
        <v>2150000</v>
      </c>
      <c r="G672" s="564" t="s">
        <v>674</v>
      </c>
      <c r="H672" s="564" t="s">
        <v>674</v>
      </c>
      <c r="I672" s="564" t="s">
        <v>70</v>
      </c>
      <c r="J672" s="564" t="s">
        <v>1372</v>
      </c>
      <c r="K672" s="564" t="s">
        <v>1120</v>
      </c>
      <c r="L672" s="564" t="s">
        <v>2098</v>
      </c>
      <c r="M672" s="564" t="s">
        <v>2098</v>
      </c>
      <c r="N672" s="564" t="s">
        <v>70</v>
      </c>
      <c r="O672" s="564" t="s">
        <v>2099</v>
      </c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 spans="1:26" ht="13">
      <c r="A673" s="562" t="s">
        <v>2690</v>
      </c>
      <c r="B673" s="563" t="s">
        <v>2691</v>
      </c>
      <c r="C673" s="564" t="s">
        <v>1652</v>
      </c>
      <c r="D673" s="565">
        <v>45478</v>
      </c>
      <c r="E673" s="565">
        <v>45484</v>
      </c>
      <c r="F673" s="566">
        <v>1250000</v>
      </c>
      <c r="G673" s="564" t="s">
        <v>674</v>
      </c>
      <c r="H673" s="564" t="s">
        <v>674</v>
      </c>
      <c r="I673" s="564" t="s">
        <v>107</v>
      </c>
      <c r="J673" s="564" t="s">
        <v>1372</v>
      </c>
      <c r="K673" s="564" t="s">
        <v>1120</v>
      </c>
      <c r="L673" s="564" t="s">
        <v>2098</v>
      </c>
      <c r="M673" s="564" t="s">
        <v>2098</v>
      </c>
      <c r="N673" s="564" t="s">
        <v>1073</v>
      </c>
      <c r="O673" s="564" t="s">
        <v>2099</v>
      </c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 spans="1:26" ht="13">
      <c r="A674" s="562" t="s">
        <v>2692</v>
      </c>
      <c r="B674" s="563" t="s">
        <v>2693</v>
      </c>
      <c r="C674" s="564" t="s">
        <v>1652</v>
      </c>
      <c r="D674" s="565">
        <v>45468</v>
      </c>
      <c r="E674" s="565">
        <v>45483</v>
      </c>
      <c r="F674" s="566">
        <v>5985000</v>
      </c>
      <c r="G674" s="564" t="s">
        <v>674</v>
      </c>
      <c r="H674" s="564" t="s">
        <v>674</v>
      </c>
      <c r="I674" s="564" t="s">
        <v>1281</v>
      </c>
      <c r="J674" s="564" t="s">
        <v>1372</v>
      </c>
      <c r="K674" s="564" t="s">
        <v>1120</v>
      </c>
      <c r="L674" s="564" t="s">
        <v>2098</v>
      </c>
      <c r="M674" s="564" t="s">
        <v>2098</v>
      </c>
      <c r="N674" s="564" t="s">
        <v>1073</v>
      </c>
      <c r="O674" s="564" t="s">
        <v>2099</v>
      </c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 spans="1:26" ht="13">
      <c r="A675" s="562" t="s">
        <v>2694</v>
      </c>
      <c r="B675" s="563" t="s">
        <v>2695</v>
      </c>
      <c r="C675" s="564" t="s">
        <v>1076</v>
      </c>
      <c r="D675" s="565">
        <v>45475</v>
      </c>
      <c r="E675" s="565">
        <v>45657</v>
      </c>
      <c r="F675" s="566">
        <v>1096000</v>
      </c>
      <c r="G675" s="564" t="s">
        <v>1077</v>
      </c>
      <c r="H675" s="564" t="s">
        <v>1077</v>
      </c>
      <c r="I675" s="564" t="s">
        <v>637</v>
      </c>
      <c r="J675" s="564" t="s">
        <v>1372</v>
      </c>
      <c r="K675" s="564" t="s">
        <v>1070</v>
      </c>
      <c r="L675" s="564" t="s">
        <v>2098</v>
      </c>
      <c r="M675" s="564" t="s">
        <v>2098</v>
      </c>
      <c r="N675" s="564" t="s">
        <v>1082</v>
      </c>
      <c r="O675" s="564" t="s">
        <v>2099</v>
      </c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 spans="1:26" ht="13">
      <c r="A676" s="562" t="s">
        <v>625</v>
      </c>
      <c r="B676" s="563" t="s">
        <v>623</v>
      </c>
      <c r="C676" s="564" t="s">
        <v>353</v>
      </c>
      <c r="D676" s="565">
        <v>45474</v>
      </c>
      <c r="E676" s="565">
        <v>45478</v>
      </c>
      <c r="F676" s="566">
        <v>735000</v>
      </c>
      <c r="G676" s="564" t="s">
        <v>349</v>
      </c>
      <c r="H676" s="564" t="s">
        <v>349</v>
      </c>
      <c r="I676" s="564" t="s">
        <v>45</v>
      </c>
      <c r="J676" s="564" t="s">
        <v>1372</v>
      </c>
      <c r="K676" s="564" t="s">
        <v>1090</v>
      </c>
      <c r="L676" s="564" t="s">
        <v>2098</v>
      </c>
      <c r="M676" s="564" t="s">
        <v>2098</v>
      </c>
      <c r="N676" s="564" t="s">
        <v>45</v>
      </c>
      <c r="O676" s="564" t="s">
        <v>2099</v>
      </c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 spans="1:26" ht="13">
      <c r="A677" s="562" t="s">
        <v>2696</v>
      </c>
      <c r="B677" s="563" t="s">
        <v>2697</v>
      </c>
      <c r="C677" s="564" t="s">
        <v>1652</v>
      </c>
      <c r="D677" s="565">
        <v>45470</v>
      </c>
      <c r="E677" s="565">
        <v>45477</v>
      </c>
      <c r="F677" s="566">
        <v>3610000</v>
      </c>
      <c r="G677" s="564" t="s">
        <v>674</v>
      </c>
      <c r="H677" s="564" t="s">
        <v>674</v>
      </c>
      <c r="I677" s="564" t="s">
        <v>70</v>
      </c>
      <c r="J677" s="564" t="s">
        <v>1372</v>
      </c>
      <c r="K677" s="564" t="s">
        <v>1120</v>
      </c>
      <c r="L677" s="564" t="s">
        <v>2098</v>
      </c>
      <c r="M677" s="564" t="s">
        <v>2098</v>
      </c>
      <c r="N677" s="564" t="s">
        <v>70</v>
      </c>
      <c r="O677" s="564" t="s">
        <v>2099</v>
      </c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 spans="1:26" ht="13">
      <c r="A678" s="562" t="s">
        <v>2698</v>
      </c>
      <c r="B678" s="563" t="s">
        <v>2699</v>
      </c>
      <c r="C678" s="564" t="s">
        <v>1652</v>
      </c>
      <c r="D678" s="565">
        <v>45470</v>
      </c>
      <c r="E678" s="565">
        <v>45477</v>
      </c>
      <c r="F678" s="566">
        <v>4470000</v>
      </c>
      <c r="G678" s="564" t="s">
        <v>674</v>
      </c>
      <c r="H678" s="564" t="s">
        <v>674</v>
      </c>
      <c r="I678" s="564" t="s">
        <v>70</v>
      </c>
      <c r="J678" s="564" t="s">
        <v>1372</v>
      </c>
      <c r="K678" s="564" t="s">
        <v>1120</v>
      </c>
      <c r="L678" s="564" t="s">
        <v>2098</v>
      </c>
      <c r="M678" s="564" t="s">
        <v>2098</v>
      </c>
      <c r="N678" s="564" t="s">
        <v>70</v>
      </c>
      <c r="O678" s="564" t="s">
        <v>2099</v>
      </c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 spans="1:26" ht="13">
      <c r="A679" s="562" t="s">
        <v>2700</v>
      </c>
      <c r="B679" s="563" t="s">
        <v>2701</v>
      </c>
      <c r="C679" s="564" t="s">
        <v>1652</v>
      </c>
      <c r="D679" s="565">
        <v>45470</v>
      </c>
      <c r="E679" s="565">
        <v>45477</v>
      </c>
      <c r="F679" s="566">
        <v>170000</v>
      </c>
      <c r="G679" s="564" t="s">
        <v>674</v>
      </c>
      <c r="H679" s="564" t="s">
        <v>674</v>
      </c>
      <c r="I679" s="564" t="s">
        <v>70</v>
      </c>
      <c r="J679" s="564" t="s">
        <v>1372</v>
      </c>
      <c r="K679" s="564" t="s">
        <v>1120</v>
      </c>
      <c r="L679" s="564" t="s">
        <v>2098</v>
      </c>
      <c r="M679" s="564" t="s">
        <v>2098</v>
      </c>
      <c r="N679" s="564" t="s">
        <v>70</v>
      </c>
      <c r="O679" s="564" t="s">
        <v>2099</v>
      </c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 spans="1:26" ht="13">
      <c r="A680" s="562" t="s">
        <v>2702</v>
      </c>
      <c r="B680" s="563" t="s">
        <v>2703</v>
      </c>
      <c r="C680" s="564" t="s">
        <v>353</v>
      </c>
      <c r="D680" s="565">
        <v>45465</v>
      </c>
      <c r="E680" s="565">
        <v>45565</v>
      </c>
      <c r="F680" s="566">
        <v>148880000</v>
      </c>
      <c r="G680" s="564" t="s">
        <v>1128</v>
      </c>
      <c r="H680" s="564" t="s">
        <v>1128</v>
      </c>
      <c r="I680" s="564" t="s">
        <v>45</v>
      </c>
      <c r="J680" s="564" t="s">
        <v>1372</v>
      </c>
      <c r="K680" s="564" t="s">
        <v>1090</v>
      </c>
      <c r="L680" s="564" t="s">
        <v>2098</v>
      </c>
      <c r="M680" s="564" t="s">
        <v>2098</v>
      </c>
      <c r="N680" s="564" t="s">
        <v>45</v>
      </c>
      <c r="O680" s="564" t="s">
        <v>2099</v>
      </c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 spans="1:26" ht="13">
      <c r="A681" s="562" t="s">
        <v>2704</v>
      </c>
      <c r="B681" s="563" t="s">
        <v>2705</v>
      </c>
      <c r="C681" s="564" t="s">
        <v>1076</v>
      </c>
      <c r="D681" s="565">
        <v>45467</v>
      </c>
      <c r="E681" s="565">
        <v>45657</v>
      </c>
      <c r="F681" s="566">
        <v>3247000</v>
      </c>
      <c r="G681" s="564" t="s">
        <v>1077</v>
      </c>
      <c r="H681" s="564" t="s">
        <v>1077</v>
      </c>
      <c r="I681" s="564" t="s">
        <v>637</v>
      </c>
      <c r="J681" s="564" t="s">
        <v>1372</v>
      </c>
      <c r="K681" s="564" t="s">
        <v>1070</v>
      </c>
      <c r="L681" s="564" t="s">
        <v>2098</v>
      </c>
      <c r="M681" s="564" t="s">
        <v>2098</v>
      </c>
      <c r="N681" s="564" t="s">
        <v>1082</v>
      </c>
      <c r="O681" s="564" t="s">
        <v>2099</v>
      </c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 spans="1:26" ht="13">
      <c r="A682" s="562" t="s">
        <v>2706</v>
      </c>
      <c r="B682" s="563" t="s">
        <v>2707</v>
      </c>
      <c r="C682" s="564" t="s">
        <v>1076</v>
      </c>
      <c r="D682" s="565">
        <v>45467</v>
      </c>
      <c r="E682" s="565">
        <v>45657</v>
      </c>
      <c r="F682" s="566">
        <v>722000</v>
      </c>
      <c r="G682" s="564" t="s">
        <v>1077</v>
      </c>
      <c r="H682" s="564" t="s">
        <v>1077</v>
      </c>
      <c r="I682" s="564" t="s">
        <v>637</v>
      </c>
      <c r="J682" s="564" t="s">
        <v>1372</v>
      </c>
      <c r="K682" s="564" t="s">
        <v>1070</v>
      </c>
      <c r="L682" s="564" t="s">
        <v>2098</v>
      </c>
      <c r="M682" s="564" t="s">
        <v>2098</v>
      </c>
      <c r="N682" s="564" t="s">
        <v>1082</v>
      </c>
      <c r="O682" s="564" t="s">
        <v>2099</v>
      </c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 spans="1:26" ht="13">
      <c r="A683" s="562" t="s">
        <v>2708</v>
      </c>
      <c r="B683" s="563" t="s">
        <v>2709</v>
      </c>
      <c r="C683" s="564" t="s">
        <v>1652</v>
      </c>
      <c r="D683" s="565">
        <v>45468</v>
      </c>
      <c r="E683" s="565">
        <v>45475</v>
      </c>
      <c r="F683" s="566">
        <v>4470000</v>
      </c>
      <c r="G683" s="564" t="s">
        <v>674</v>
      </c>
      <c r="H683" s="564" t="s">
        <v>674</v>
      </c>
      <c r="I683" s="564" t="s">
        <v>70</v>
      </c>
      <c r="J683" s="564" t="s">
        <v>1372</v>
      </c>
      <c r="K683" s="564" t="s">
        <v>1120</v>
      </c>
      <c r="L683" s="564" t="s">
        <v>2098</v>
      </c>
      <c r="M683" s="564" t="s">
        <v>2098</v>
      </c>
      <c r="N683" s="564" t="s">
        <v>70</v>
      </c>
      <c r="O683" s="564" t="s">
        <v>2099</v>
      </c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 spans="1:26" ht="13">
      <c r="A684" s="562" t="s">
        <v>2710</v>
      </c>
      <c r="B684" s="563" t="s">
        <v>2711</v>
      </c>
      <c r="C684" s="564" t="s">
        <v>1652</v>
      </c>
      <c r="D684" s="565">
        <v>45468</v>
      </c>
      <c r="E684" s="565">
        <v>45475</v>
      </c>
      <c r="F684" s="566">
        <v>1660000</v>
      </c>
      <c r="G684" s="564" t="s">
        <v>674</v>
      </c>
      <c r="H684" s="564" t="s">
        <v>674</v>
      </c>
      <c r="I684" s="564" t="s">
        <v>70</v>
      </c>
      <c r="J684" s="564" t="s">
        <v>1372</v>
      </c>
      <c r="K684" s="564" t="s">
        <v>1120</v>
      </c>
      <c r="L684" s="564" t="s">
        <v>2098</v>
      </c>
      <c r="M684" s="564" t="s">
        <v>2098</v>
      </c>
      <c r="N684" s="564" t="s">
        <v>70</v>
      </c>
      <c r="O684" s="564" t="s">
        <v>2099</v>
      </c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 spans="1:26" ht="13">
      <c r="A685" s="562" t="s">
        <v>2712</v>
      </c>
      <c r="B685" s="563" t="s">
        <v>2713</v>
      </c>
      <c r="C685" s="564" t="s">
        <v>1076</v>
      </c>
      <c r="D685" s="565">
        <v>45462</v>
      </c>
      <c r="E685" s="565">
        <v>45565</v>
      </c>
      <c r="F685" s="566">
        <v>4150000000</v>
      </c>
      <c r="G685" s="564" t="s">
        <v>1141</v>
      </c>
      <c r="H685" s="564" t="s">
        <v>1141</v>
      </c>
      <c r="I685" s="564" t="s">
        <v>850</v>
      </c>
      <c r="J685" s="564" t="s">
        <v>1372</v>
      </c>
      <c r="K685" s="564" t="s">
        <v>1070</v>
      </c>
      <c r="L685" s="564" t="s">
        <v>2098</v>
      </c>
      <c r="M685" s="564" t="s">
        <v>2098</v>
      </c>
      <c r="N685" s="564" t="s">
        <v>1082</v>
      </c>
      <c r="O685" s="564" t="s">
        <v>2099</v>
      </c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 spans="1:26" ht="13">
      <c r="A686" s="562" t="s">
        <v>2714</v>
      </c>
      <c r="B686" s="563" t="s">
        <v>2715</v>
      </c>
      <c r="C686" s="564" t="s">
        <v>1652</v>
      </c>
      <c r="D686" s="565">
        <v>45460</v>
      </c>
      <c r="E686" s="565">
        <v>45467</v>
      </c>
      <c r="F686" s="566">
        <v>1490000</v>
      </c>
      <c r="G686" s="564" t="s">
        <v>674</v>
      </c>
      <c r="H686" s="564" t="s">
        <v>674</v>
      </c>
      <c r="I686" s="564" t="s">
        <v>70</v>
      </c>
      <c r="J686" s="564" t="s">
        <v>1372</v>
      </c>
      <c r="K686" s="564" t="s">
        <v>1120</v>
      </c>
      <c r="L686" s="564" t="s">
        <v>2098</v>
      </c>
      <c r="M686" s="564" t="s">
        <v>2098</v>
      </c>
      <c r="N686" s="564" t="s">
        <v>70</v>
      </c>
      <c r="O686" s="564" t="s">
        <v>2099</v>
      </c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 spans="1:26" ht="13">
      <c r="A687" s="562" t="s">
        <v>2716</v>
      </c>
      <c r="B687" s="563" t="s">
        <v>2717</v>
      </c>
      <c r="C687" s="564" t="s">
        <v>353</v>
      </c>
      <c r="D687" s="565">
        <v>45457</v>
      </c>
      <c r="E687" s="565">
        <v>45504</v>
      </c>
      <c r="F687" s="566">
        <v>328000</v>
      </c>
      <c r="G687" s="564" t="s">
        <v>297</v>
      </c>
      <c r="H687" s="564" t="s">
        <v>297</v>
      </c>
      <c r="I687" s="564" t="s">
        <v>257</v>
      </c>
      <c r="J687" s="564" t="s">
        <v>1372</v>
      </c>
      <c r="K687" s="564" t="s">
        <v>1209</v>
      </c>
      <c r="L687" s="564" t="s">
        <v>2098</v>
      </c>
      <c r="M687" s="564" t="s">
        <v>2098</v>
      </c>
      <c r="N687" s="564" t="s">
        <v>257</v>
      </c>
      <c r="O687" s="564" t="s">
        <v>2099</v>
      </c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 spans="1:26" ht="13">
      <c r="A688" s="562" t="s">
        <v>2718</v>
      </c>
      <c r="B688" s="563" t="s">
        <v>2719</v>
      </c>
      <c r="C688" s="564" t="s">
        <v>353</v>
      </c>
      <c r="D688" s="565">
        <v>45450</v>
      </c>
      <c r="E688" s="565">
        <v>45504</v>
      </c>
      <c r="F688" s="566">
        <v>1302340139</v>
      </c>
      <c r="G688" s="564" t="s">
        <v>297</v>
      </c>
      <c r="H688" s="564" t="s">
        <v>297</v>
      </c>
      <c r="I688" s="564" t="s">
        <v>45</v>
      </c>
      <c r="J688" s="564" t="s">
        <v>1372</v>
      </c>
      <c r="K688" s="564" t="s">
        <v>1090</v>
      </c>
      <c r="L688" s="564" t="s">
        <v>2098</v>
      </c>
      <c r="M688" s="564" t="s">
        <v>2098</v>
      </c>
      <c r="N688" s="564" t="s">
        <v>45</v>
      </c>
      <c r="O688" s="564" t="s">
        <v>2099</v>
      </c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 spans="1:26" ht="13">
      <c r="A689" s="562" t="s">
        <v>2720</v>
      </c>
      <c r="B689" s="563" t="s">
        <v>2721</v>
      </c>
      <c r="C689" s="564" t="s">
        <v>1652</v>
      </c>
      <c r="D689" s="565">
        <v>45454</v>
      </c>
      <c r="E689" s="565">
        <v>45461</v>
      </c>
      <c r="F689" s="566">
        <v>850000</v>
      </c>
      <c r="G689" s="564" t="s">
        <v>674</v>
      </c>
      <c r="H689" s="564" t="s">
        <v>674</v>
      </c>
      <c r="I689" s="564" t="s">
        <v>70</v>
      </c>
      <c r="J689" s="564" t="s">
        <v>1372</v>
      </c>
      <c r="K689" s="564" t="s">
        <v>1120</v>
      </c>
      <c r="L689" s="564" t="s">
        <v>2098</v>
      </c>
      <c r="M689" s="564" t="s">
        <v>2098</v>
      </c>
      <c r="N689" s="564" t="s">
        <v>70</v>
      </c>
      <c r="O689" s="564" t="s">
        <v>2099</v>
      </c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 spans="1:26" ht="13">
      <c r="A690" s="562" t="s">
        <v>2722</v>
      </c>
      <c r="B690" s="563" t="s">
        <v>2723</v>
      </c>
      <c r="C690" s="564" t="s">
        <v>1652</v>
      </c>
      <c r="D690" s="565">
        <v>45454</v>
      </c>
      <c r="E690" s="565">
        <v>45461</v>
      </c>
      <c r="F690" s="566">
        <v>2980000</v>
      </c>
      <c r="G690" s="564" t="s">
        <v>674</v>
      </c>
      <c r="H690" s="564" t="s">
        <v>674</v>
      </c>
      <c r="I690" s="564" t="s">
        <v>70</v>
      </c>
      <c r="J690" s="564" t="s">
        <v>1372</v>
      </c>
      <c r="K690" s="564" t="s">
        <v>1120</v>
      </c>
      <c r="L690" s="564" t="s">
        <v>2098</v>
      </c>
      <c r="M690" s="564" t="s">
        <v>2098</v>
      </c>
      <c r="N690" s="564" t="s">
        <v>70</v>
      </c>
      <c r="O690" s="564" t="s">
        <v>2099</v>
      </c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 spans="1:26" ht="13">
      <c r="A691" s="562" t="s">
        <v>2724</v>
      </c>
      <c r="B691" s="563" t="s">
        <v>2725</v>
      </c>
      <c r="C691" s="564" t="s">
        <v>1652</v>
      </c>
      <c r="D691" s="565">
        <v>45454</v>
      </c>
      <c r="E691" s="565">
        <v>45461</v>
      </c>
      <c r="F691" s="566">
        <v>2980000</v>
      </c>
      <c r="G691" s="564" t="s">
        <v>674</v>
      </c>
      <c r="H691" s="564" t="s">
        <v>674</v>
      </c>
      <c r="I691" s="564" t="s">
        <v>70</v>
      </c>
      <c r="J691" s="564" t="s">
        <v>1372</v>
      </c>
      <c r="K691" s="564" t="s">
        <v>1120</v>
      </c>
      <c r="L691" s="564" t="s">
        <v>2098</v>
      </c>
      <c r="M691" s="564" t="s">
        <v>2098</v>
      </c>
      <c r="N691" s="564" t="s">
        <v>70</v>
      </c>
      <c r="O691" s="564" t="s">
        <v>2099</v>
      </c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 spans="1:26" ht="13">
      <c r="A692" s="562" t="s">
        <v>2726</v>
      </c>
      <c r="B692" s="563" t="s">
        <v>2727</v>
      </c>
      <c r="C692" s="564" t="s">
        <v>1652</v>
      </c>
      <c r="D692" s="565">
        <v>45453</v>
      </c>
      <c r="E692" s="565">
        <v>45460</v>
      </c>
      <c r="F692" s="566">
        <v>510000</v>
      </c>
      <c r="G692" s="564" t="s">
        <v>674</v>
      </c>
      <c r="H692" s="564" t="s">
        <v>674</v>
      </c>
      <c r="I692" s="564" t="s">
        <v>70</v>
      </c>
      <c r="J692" s="564" t="s">
        <v>1372</v>
      </c>
      <c r="K692" s="564" t="s">
        <v>1120</v>
      </c>
      <c r="L692" s="564" t="s">
        <v>2098</v>
      </c>
      <c r="M692" s="564" t="s">
        <v>2098</v>
      </c>
      <c r="N692" s="564" t="s">
        <v>70</v>
      </c>
      <c r="O692" s="564" t="s">
        <v>2099</v>
      </c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 spans="1:26" ht="13">
      <c r="A693" s="562" t="s">
        <v>2728</v>
      </c>
      <c r="B693" s="563" t="s">
        <v>2729</v>
      </c>
      <c r="C693" s="564" t="s">
        <v>353</v>
      </c>
      <c r="D693" s="565">
        <v>45446</v>
      </c>
      <c r="E693" s="565">
        <v>45565</v>
      </c>
      <c r="F693" s="566">
        <v>320970000</v>
      </c>
      <c r="G693" s="564" t="s">
        <v>297</v>
      </c>
      <c r="H693" s="564" t="s">
        <v>297</v>
      </c>
      <c r="I693" s="564" t="s">
        <v>2730</v>
      </c>
      <c r="J693" s="564" t="s">
        <v>1372</v>
      </c>
      <c r="K693" s="564" t="s">
        <v>1090</v>
      </c>
      <c r="L693" s="564" t="s">
        <v>2098</v>
      </c>
      <c r="M693" s="564" t="s">
        <v>2098</v>
      </c>
      <c r="N693" s="564" t="s">
        <v>1082</v>
      </c>
      <c r="O693" s="564" t="s">
        <v>2099</v>
      </c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 spans="1:26" ht="13">
      <c r="A694" s="562" t="s">
        <v>2731</v>
      </c>
      <c r="B694" s="563" t="s">
        <v>2732</v>
      </c>
      <c r="C694" s="564" t="s">
        <v>353</v>
      </c>
      <c r="D694" s="565">
        <v>45446</v>
      </c>
      <c r="E694" s="565">
        <v>45565</v>
      </c>
      <c r="F694" s="566">
        <v>320970000</v>
      </c>
      <c r="G694" s="564" t="s">
        <v>297</v>
      </c>
      <c r="H694" s="564" t="s">
        <v>297</v>
      </c>
      <c r="I694" s="564" t="s">
        <v>2730</v>
      </c>
      <c r="J694" s="564" t="s">
        <v>1069</v>
      </c>
      <c r="K694" s="564" t="s">
        <v>1090</v>
      </c>
      <c r="L694" s="564" t="s">
        <v>2098</v>
      </c>
      <c r="M694" s="564" t="s">
        <v>2098</v>
      </c>
      <c r="N694" s="564" t="s">
        <v>1082</v>
      </c>
      <c r="O694" s="564" t="s">
        <v>2099</v>
      </c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 spans="1:26" ht="13">
      <c r="A695" s="562" t="s">
        <v>2733</v>
      </c>
      <c r="B695" s="563" t="s">
        <v>2734</v>
      </c>
      <c r="C695" s="564" t="s">
        <v>1652</v>
      </c>
      <c r="D695" s="565">
        <v>45440</v>
      </c>
      <c r="E695" s="565">
        <v>45448</v>
      </c>
      <c r="F695" s="566">
        <v>1490000</v>
      </c>
      <c r="G695" s="564" t="s">
        <v>674</v>
      </c>
      <c r="H695" s="564" t="s">
        <v>674</v>
      </c>
      <c r="I695" s="564" t="s">
        <v>70</v>
      </c>
      <c r="J695" s="564" t="s">
        <v>1372</v>
      </c>
      <c r="K695" s="564" t="s">
        <v>1120</v>
      </c>
      <c r="L695" s="564" t="s">
        <v>2098</v>
      </c>
      <c r="M695" s="564" t="s">
        <v>2098</v>
      </c>
      <c r="N695" s="564" t="s">
        <v>70</v>
      </c>
      <c r="O695" s="564" t="s">
        <v>2099</v>
      </c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 spans="1:26" ht="13">
      <c r="A696" s="562" t="s">
        <v>617</v>
      </c>
      <c r="B696" s="563" t="s">
        <v>615</v>
      </c>
      <c r="C696" s="564" t="s">
        <v>353</v>
      </c>
      <c r="D696" s="565">
        <v>45441</v>
      </c>
      <c r="E696" s="565">
        <v>45453</v>
      </c>
      <c r="F696" s="566">
        <v>580000</v>
      </c>
      <c r="G696" s="564" t="s">
        <v>349</v>
      </c>
      <c r="H696" s="564" t="s">
        <v>349</v>
      </c>
      <c r="I696" s="564" t="s">
        <v>64</v>
      </c>
      <c r="J696" s="564" t="s">
        <v>1372</v>
      </c>
      <c r="K696" s="564" t="s">
        <v>1090</v>
      </c>
      <c r="L696" s="564" t="s">
        <v>2098</v>
      </c>
      <c r="M696" s="564" t="s">
        <v>2098</v>
      </c>
      <c r="N696" s="564" t="s">
        <v>64</v>
      </c>
      <c r="O696" s="564" t="s">
        <v>2099</v>
      </c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 spans="1:26" ht="13">
      <c r="A697" s="562" t="s">
        <v>2735</v>
      </c>
      <c r="B697" s="563" t="s">
        <v>2736</v>
      </c>
      <c r="C697" s="564" t="s">
        <v>1652</v>
      </c>
      <c r="D697" s="565">
        <v>45425</v>
      </c>
      <c r="E697" s="565">
        <v>45455</v>
      </c>
      <c r="F697" s="566">
        <v>5230000</v>
      </c>
      <c r="G697" s="564" t="s">
        <v>803</v>
      </c>
      <c r="H697" s="564" t="s">
        <v>803</v>
      </c>
      <c r="I697" s="564" t="s">
        <v>802</v>
      </c>
      <c r="J697" s="564" t="s">
        <v>1372</v>
      </c>
      <c r="K697" s="564" t="s">
        <v>1198</v>
      </c>
      <c r="L697" s="564" t="s">
        <v>2098</v>
      </c>
      <c r="M697" s="564" t="s">
        <v>2098</v>
      </c>
      <c r="N697" s="564" t="s">
        <v>132</v>
      </c>
      <c r="O697" s="564" t="s">
        <v>2099</v>
      </c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 spans="1:26" ht="13">
      <c r="A698" s="562" t="s">
        <v>2737</v>
      </c>
      <c r="B698" s="563" t="s">
        <v>2738</v>
      </c>
      <c r="C698" s="564" t="s">
        <v>1652</v>
      </c>
      <c r="D698" s="565">
        <v>45429</v>
      </c>
      <c r="E698" s="565">
        <v>45436</v>
      </c>
      <c r="F698" s="566">
        <v>1490000</v>
      </c>
      <c r="G698" s="564" t="s">
        <v>674</v>
      </c>
      <c r="H698" s="564" t="s">
        <v>674</v>
      </c>
      <c r="I698" s="564" t="s">
        <v>70</v>
      </c>
      <c r="J698" s="564" t="s">
        <v>1372</v>
      </c>
      <c r="K698" s="564" t="s">
        <v>1120</v>
      </c>
      <c r="L698" s="564" t="s">
        <v>2098</v>
      </c>
      <c r="M698" s="564" t="s">
        <v>2098</v>
      </c>
      <c r="N698" s="564" t="s">
        <v>70</v>
      </c>
      <c r="O698" s="564" t="s">
        <v>2099</v>
      </c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 spans="1:26" ht="13">
      <c r="A699" s="562" t="s">
        <v>2739</v>
      </c>
      <c r="B699" s="563" t="s">
        <v>2740</v>
      </c>
      <c r="C699" s="564" t="s">
        <v>1652</v>
      </c>
      <c r="D699" s="565">
        <v>45429</v>
      </c>
      <c r="E699" s="565">
        <v>45436</v>
      </c>
      <c r="F699" s="566">
        <v>4470000</v>
      </c>
      <c r="G699" s="564" t="s">
        <v>674</v>
      </c>
      <c r="H699" s="564" t="s">
        <v>674</v>
      </c>
      <c r="I699" s="564" t="s">
        <v>70</v>
      </c>
      <c r="J699" s="564" t="s">
        <v>1372</v>
      </c>
      <c r="K699" s="564" t="s">
        <v>1120</v>
      </c>
      <c r="L699" s="564" t="s">
        <v>2098</v>
      </c>
      <c r="M699" s="564" t="s">
        <v>2098</v>
      </c>
      <c r="N699" s="564" t="s">
        <v>70</v>
      </c>
      <c r="O699" s="564" t="s">
        <v>2099</v>
      </c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 spans="1:26" ht="13">
      <c r="A700" s="562" t="s">
        <v>2741</v>
      </c>
      <c r="B700" s="563" t="s">
        <v>2742</v>
      </c>
      <c r="C700" s="564" t="s">
        <v>1652</v>
      </c>
      <c r="D700" s="565">
        <v>45429</v>
      </c>
      <c r="E700" s="565">
        <v>45436</v>
      </c>
      <c r="F700" s="566">
        <v>3320000</v>
      </c>
      <c r="G700" s="564" t="s">
        <v>674</v>
      </c>
      <c r="H700" s="564" t="s">
        <v>674</v>
      </c>
      <c r="I700" s="564" t="s">
        <v>70</v>
      </c>
      <c r="J700" s="564" t="s">
        <v>1372</v>
      </c>
      <c r="K700" s="564" t="s">
        <v>1120</v>
      </c>
      <c r="L700" s="564" t="s">
        <v>2098</v>
      </c>
      <c r="M700" s="564" t="s">
        <v>2098</v>
      </c>
      <c r="N700" s="564" t="s">
        <v>70</v>
      </c>
      <c r="O700" s="564" t="s">
        <v>2099</v>
      </c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 spans="1:26" ht="13">
      <c r="A701" s="562" t="s">
        <v>2743</v>
      </c>
      <c r="B701" s="563" t="s">
        <v>2744</v>
      </c>
      <c r="C701" s="564" t="s">
        <v>1652</v>
      </c>
      <c r="D701" s="565">
        <v>45429</v>
      </c>
      <c r="E701" s="565">
        <v>45436</v>
      </c>
      <c r="F701" s="566">
        <v>1490000</v>
      </c>
      <c r="G701" s="564" t="s">
        <v>674</v>
      </c>
      <c r="H701" s="564" t="s">
        <v>674</v>
      </c>
      <c r="I701" s="564" t="s">
        <v>70</v>
      </c>
      <c r="J701" s="564" t="s">
        <v>1372</v>
      </c>
      <c r="K701" s="564" t="s">
        <v>1120</v>
      </c>
      <c r="L701" s="564" t="s">
        <v>2098</v>
      </c>
      <c r="M701" s="564" t="s">
        <v>2098</v>
      </c>
      <c r="N701" s="564" t="s">
        <v>70</v>
      </c>
      <c r="O701" s="564" t="s">
        <v>2099</v>
      </c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 spans="1:26" ht="13">
      <c r="A702" s="562" t="s">
        <v>2745</v>
      </c>
      <c r="B702" s="563" t="s">
        <v>2746</v>
      </c>
      <c r="C702" s="564" t="s">
        <v>1475</v>
      </c>
      <c r="D702" s="565">
        <v>45426</v>
      </c>
      <c r="E702" s="565">
        <v>45443</v>
      </c>
      <c r="F702" s="566">
        <v>12100000</v>
      </c>
      <c r="G702" s="564" t="s">
        <v>1366</v>
      </c>
      <c r="H702" s="564" t="s">
        <v>1366</v>
      </c>
      <c r="I702" s="564" t="s">
        <v>143</v>
      </c>
      <c r="J702" s="564" t="s">
        <v>1069</v>
      </c>
      <c r="K702" s="564" t="s">
        <v>1205</v>
      </c>
      <c r="L702" s="564" t="s">
        <v>2098</v>
      </c>
      <c r="M702" s="564" t="s">
        <v>2098</v>
      </c>
      <c r="N702" s="564" t="s">
        <v>1073</v>
      </c>
      <c r="O702" s="564" t="s">
        <v>2099</v>
      </c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 spans="1:26" ht="13">
      <c r="A703" s="562" t="s">
        <v>2747</v>
      </c>
      <c r="B703" s="563" t="s">
        <v>2748</v>
      </c>
      <c r="C703" s="564" t="s">
        <v>353</v>
      </c>
      <c r="D703" s="565">
        <v>45425</v>
      </c>
      <c r="E703" s="565">
        <v>45442</v>
      </c>
      <c r="F703" s="566">
        <v>37700000</v>
      </c>
      <c r="G703" s="564" t="s">
        <v>1128</v>
      </c>
      <c r="H703" s="564" t="s">
        <v>1128</v>
      </c>
      <c r="I703" s="564" t="s">
        <v>45</v>
      </c>
      <c r="J703" s="564" t="s">
        <v>1372</v>
      </c>
      <c r="K703" s="564" t="s">
        <v>1090</v>
      </c>
      <c r="L703" s="564" t="s">
        <v>2098</v>
      </c>
      <c r="M703" s="564" t="s">
        <v>2098</v>
      </c>
      <c r="N703" s="564" t="s">
        <v>45</v>
      </c>
      <c r="O703" s="564" t="s">
        <v>2099</v>
      </c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 spans="1:26" ht="13">
      <c r="A704" s="562" t="s">
        <v>2749</v>
      </c>
      <c r="B704" s="563" t="s">
        <v>2750</v>
      </c>
      <c r="C704" s="564" t="s">
        <v>1652</v>
      </c>
      <c r="D704" s="565">
        <v>45425</v>
      </c>
      <c r="E704" s="565">
        <v>45429</v>
      </c>
      <c r="F704" s="566">
        <v>340000</v>
      </c>
      <c r="G704" s="564" t="s">
        <v>674</v>
      </c>
      <c r="H704" s="564" t="s">
        <v>674</v>
      </c>
      <c r="I704" s="564" t="s">
        <v>107</v>
      </c>
      <c r="J704" s="564" t="s">
        <v>1372</v>
      </c>
      <c r="K704" s="564" t="s">
        <v>1120</v>
      </c>
      <c r="L704" s="564" t="s">
        <v>2098</v>
      </c>
      <c r="M704" s="564" t="s">
        <v>2098</v>
      </c>
      <c r="N704" s="564" t="s">
        <v>1073</v>
      </c>
      <c r="O704" s="564" t="s">
        <v>2099</v>
      </c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 spans="1:26" ht="13">
      <c r="A705" s="562" t="s">
        <v>608</v>
      </c>
      <c r="B705" s="563" t="s">
        <v>2751</v>
      </c>
      <c r="C705" s="564" t="s">
        <v>353</v>
      </c>
      <c r="D705" s="565">
        <v>45415</v>
      </c>
      <c r="E705" s="565">
        <v>45429</v>
      </c>
      <c r="F705" s="566">
        <v>145000</v>
      </c>
      <c r="G705" s="564" t="s">
        <v>349</v>
      </c>
      <c r="H705" s="564" t="s">
        <v>349</v>
      </c>
      <c r="I705" s="564" t="s">
        <v>64</v>
      </c>
      <c r="J705" s="564" t="s">
        <v>1372</v>
      </c>
      <c r="K705" s="564" t="s">
        <v>1090</v>
      </c>
      <c r="L705" s="564" t="s">
        <v>2098</v>
      </c>
      <c r="M705" s="564" t="s">
        <v>2098</v>
      </c>
      <c r="N705" s="564" t="s">
        <v>64</v>
      </c>
      <c r="O705" s="564" t="s">
        <v>2099</v>
      </c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 spans="1:26" ht="13">
      <c r="A706" s="562" t="s">
        <v>2752</v>
      </c>
      <c r="B706" s="563" t="s">
        <v>2753</v>
      </c>
      <c r="C706" s="564" t="s">
        <v>1652</v>
      </c>
      <c r="D706" s="565">
        <v>45415</v>
      </c>
      <c r="E706" s="565">
        <v>45422</v>
      </c>
      <c r="F706" s="566">
        <v>170000</v>
      </c>
      <c r="G706" s="564" t="s">
        <v>674</v>
      </c>
      <c r="H706" s="564" t="s">
        <v>674</v>
      </c>
      <c r="I706" s="564" t="s">
        <v>70</v>
      </c>
      <c r="J706" s="564" t="s">
        <v>1372</v>
      </c>
      <c r="K706" s="564" t="s">
        <v>1120</v>
      </c>
      <c r="L706" s="564" t="s">
        <v>2098</v>
      </c>
      <c r="M706" s="564" t="s">
        <v>2098</v>
      </c>
      <c r="N706" s="564" t="s">
        <v>70</v>
      </c>
      <c r="O706" s="564" t="s">
        <v>2099</v>
      </c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 spans="1:26" ht="13">
      <c r="A707" s="562" t="s">
        <v>2754</v>
      </c>
      <c r="B707" s="563" t="s">
        <v>2755</v>
      </c>
      <c r="C707" s="564" t="s">
        <v>1076</v>
      </c>
      <c r="D707" s="565">
        <v>45406</v>
      </c>
      <c r="E707" s="565">
        <v>45596</v>
      </c>
      <c r="F707" s="566">
        <v>6494000</v>
      </c>
      <c r="G707" s="564" t="s">
        <v>1077</v>
      </c>
      <c r="H707" s="564" t="s">
        <v>1077</v>
      </c>
      <c r="I707" s="564" t="s">
        <v>637</v>
      </c>
      <c r="J707" s="564" t="s">
        <v>1372</v>
      </c>
      <c r="K707" s="564" t="s">
        <v>1070</v>
      </c>
      <c r="L707" s="564" t="s">
        <v>2098</v>
      </c>
      <c r="M707" s="564" t="s">
        <v>2098</v>
      </c>
      <c r="N707" s="564" t="s">
        <v>1082</v>
      </c>
      <c r="O707" s="564" t="s">
        <v>2099</v>
      </c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 spans="1:26" ht="13">
      <c r="A708" s="562" t="s">
        <v>601</v>
      </c>
      <c r="B708" s="563" t="s">
        <v>599</v>
      </c>
      <c r="C708" s="564" t="s">
        <v>353</v>
      </c>
      <c r="D708" s="565">
        <v>45412</v>
      </c>
      <c r="E708" s="565">
        <v>45426</v>
      </c>
      <c r="F708" s="566">
        <v>145000</v>
      </c>
      <c r="G708" s="564" t="s">
        <v>349</v>
      </c>
      <c r="H708" s="564" t="s">
        <v>349</v>
      </c>
      <c r="I708" s="564" t="s">
        <v>64</v>
      </c>
      <c r="J708" s="564" t="s">
        <v>1372</v>
      </c>
      <c r="K708" s="564" t="s">
        <v>1090</v>
      </c>
      <c r="L708" s="564" t="s">
        <v>2098</v>
      </c>
      <c r="M708" s="564" t="s">
        <v>2098</v>
      </c>
      <c r="N708" s="564" t="s">
        <v>64</v>
      </c>
      <c r="O708" s="564" t="s">
        <v>2099</v>
      </c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 spans="1:26" ht="13">
      <c r="A709" s="562" t="s">
        <v>2756</v>
      </c>
      <c r="B709" s="563" t="s">
        <v>2757</v>
      </c>
      <c r="C709" s="564" t="s">
        <v>1475</v>
      </c>
      <c r="D709" s="565">
        <v>45411</v>
      </c>
      <c r="E709" s="565">
        <v>45412</v>
      </c>
      <c r="F709" s="566">
        <v>21080064</v>
      </c>
      <c r="G709" s="564" t="s">
        <v>1141</v>
      </c>
      <c r="H709" s="564" t="s">
        <v>1141</v>
      </c>
      <c r="I709" s="564" t="s">
        <v>2758</v>
      </c>
      <c r="J709" s="564" t="s">
        <v>1372</v>
      </c>
      <c r="K709" s="564" t="s">
        <v>1802</v>
      </c>
      <c r="L709" s="564" t="s">
        <v>2098</v>
      </c>
      <c r="M709" s="564" t="s">
        <v>2098</v>
      </c>
      <c r="N709" s="564" t="s">
        <v>1082</v>
      </c>
      <c r="O709" s="564" t="s">
        <v>2099</v>
      </c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 spans="1:26" ht="13">
      <c r="A710" s="562" t="s">
        <v>2759</v>
      </c>
      <c r="B710" s="563" t="s">
        <v>2760</v>
      </c>
      <c r="C710" s="564" t="s">
        <v>2322</v>
      </c>
      <c r="D710" s="565">
        <v>45400</v>
      </c>
      <c r="E710" s="565">
        <v>45579</v>
      </c>
      <c r="F710" s="566">
        <v>77570831</v>
      </c>
      <c r="G710" s="564" t="s">
        <v>2323</v>
      </c>
      <c r="H710" s="564" t="s">
        <v>2323</v>
      </c>
      <c r="I710" s="564" t="s">
        <v>2761</v>
      </c>
      <c r="J710" s="564" t="s">
        <v>1372</v>
      </c>
      <c r="K710" s="564" t="s">
        <v>1209</v>
      </c>
      <c r="L710" s="564" t="s">
        <v>2098</v>
      </c>
      <c r="M710" s="564" t="s">
        <v>2098</v>
      </c>
      <c r="N710" s="564" t="s">
        <v>2439</v>
      </c>
      <c r="O710" s="564" t="s">
        <v>2099</v>
      </c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 spans="1:26" ht="13">
      <c r="A711" s="562" t="s">
        <v>2762</v>
      </c>
      <c r="B711" s="563" t="s">
        <v>2763</v>
      </c>
      <c r="C711" s="564" t="s">
        <v>1076</v>
      </c>
      <c r="D711" s="565">
        <v>45400</v>
      </c>
      <c r="E711" s="565">
        <v>45596</v>
      </c>
      <c r="F711" s="566">
        <v>2057000</v>
      </c>
      <c r="G711" s="564" t="s">
        <v>1077</v>
      </c>
      <c r="H711" s="564" t="s">
        <v>1077</v>
      </c>
      <c r="I711" s="564" t="s">
        <v>637</v>
      </c>
      <c r="J711" s="564" t="s">
        <v>1372</v>
      </c>
      <c r="K711" s="564" t="s">
        <v>1070</v>
      </c>
      <c r="L711" s="564" t="s">
        <v>2098</v>
      </c>
      <c r="M711" s="564" t="s">
        <v>2098</v>
      </c>
      <c r="N711" s="564" t="s">
        <v>1082</v>
      </c>
      <c r="O711" s="564" t="s">
        <v>2099</v>
      </c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spans="1:26" ht="13">
      <c r="A712" s="562" t="s">
        <v>2764</v>
      </c>
      <c r="B712" s="563" t="s">
        <v>2765</v>
      </c>
      <c r="C712" s="564" t="s">
        <v>1652</v>
      </c>
      <c r="D712" s="565">
        <v>45401</v>
      </c>
      <c r="E712" s="565">
        <v>45408</v>
      </c>
      <c r="F712" s="566">
        <v>2980000</v>
      </c>
      <c r="G712" s="564" t="s">
        <v>674</v>
      </c>
      <c r="H712" s="564" t="s">
        <v>674</v>
      </c>
      <c r="I712" s="564" t="s">
        <v>70</v>
      </c>
      <c r="J712" s="564" t="s">
        <v>1372</v>
      </c>
      <c r="K712" s="564" t="s">
        <v>1120</v>
      </c>
      <c r="L712" s="564" t="s">
        <v>2098</v>
      </c>
      <c r="M712" s="564" t="s">
        <v>2098</v>
      </c>
      <c r="N712" s="564" t="s">
        <v>70</v>
      </c>
      <c r="O712" s="564" t="s">
        <v>2099</v>
      </c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 spans="1:26" ht="13">
      <c r="A713" s="562" t="s">
        <v>2766</v>
      </c>
      <c r="B713" s="563" t="s">
        <v>2767</v>
      </c>
      <c r="C713" s="564" t="s">
        <v>1652</v>
      </c>
      <c r="D713" s="565">
        <v>45400</v>
      </c>
      <c r="E713" s="565">
        <v>45406</v>
      </c>
      <c r="F713" s="566">
        <v>340000</v>
      </c>
      <c r="G713" s="564" t="s">
        <v>674</v>
      </c>
      <c r="H713" s="564" t="s">
        <v>674</v>
      </c>
      <c r="I713" s="564" t="s">
        <v>107</v>
      </c>
      <c r="J713" s="564" t="s">
        <v>1372</v>
      </c>
      <c r="K713" s="564" t="s">
        <v>1120</v>
      </c>
      <c r="L713" s="564" t="s">
        <v>2098</v>
      </c>
      <c r="M713" s="564" t="s">
        <v>2098</v>
      </c>
      <c r="N713" s="564" t="s">
        <v>1073</v>
      </c>
      <c r="O713" s="564" t="s">
        <v>2099</v>
      </c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 spans="1:26" ht="13">
      <c r="A714" s="562" t="s">
        <v>2768</v>
      </c>
      <c r="B714" s="563" t="s">
        <v>2769</v>
      </c>
      <c r="C714" s="564" t="s">
        <v>1652</v>
      </c>
      <c r="D714" s="565">
        <v>45398</v>
      </c>
      <c r="E714" s="565">
        <v>45405</v>
      </c>
      <c r="F714" s="566">
        <v>1530000</v>
      </c>
      <c r="G714" s="564" t="s">
        <v>674</v>
      </c>
      <c r="H714" s="564" t="s">
        <v>674</v>
      </c>
      <c r="I714" s="564" t="s">
        <v>70</v>
      </c>
      <c r="J714" s="564" t="s">
        <v>1372</v>
      </c>
      <c r="K714" s="564" t="s">
        <v>1120</v>
      </c>
      <c r="L714" s="564" t="s">
        <v>2098</v>
      </c>
      <c r="M714" s="564" t="s">
        <v>2098</v>
      </c>
      <c r="N714" s="564" t="s">
        <v>70</v>
      </c>
      <c r="O714" s="564" t="s">
        <v>2099</v>
      </c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 spans="1:26" ht="13">
      <c r="A715" s="562" t="s">
        <v>586</v>
      </c>
      <c r="B715" s="563" t="s">
        <v>584</v>
      </c>
      <c r="C715" s="564" t="s">
        <v>353</v>
      </c>
      <c r="D715" s="565">
        <v>45397</v>
      </c>
      <c r="E715" s="565">
        <v>45411</v>
      </c>
      <c r="F715" s="566">
        <v>145000</v>
      </c>
      <c r="G715" s="564" t="s">
        <v>349</v>
      </c>
      <c r="H715" s="564" t="s">
        <v>349</v>
      </c>
      <c r="I715" s="564" t="s">
        <v>64</v>
      </c>
      <c r="J715" s="564" t="s">
        <v>1372</v>
      </c>
      <c r="K715" s="564" t="s">
        <v>1090</v>
      </c>
      <c r="L715" s="564" t="s">
        <v>2098</v>
      </c>
      <c r="M715" s="564" t="s">
        <v>2098</v>
      </c>
      <c r="N715" s="564" t="s">
        <v>64</v>
      </c>
      <c r="O715" s="564" t="s">
        <v>2099</v>
      </c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 spans="1:26" ht="13">
      <c r="A716" s="562" t="s">
        <v>568</v>
      </c>
      <c r="B716" s="563" t="s">
        <v>566</v>
      </c>
      <c r="C716" s="564" t="s">
        <v>353</v>
      </c>
      <c r="D716" s="565">
        <v>45393</v>
      </c>
      <c r="E716" s="565">
        <v>45400</v>
      </c>
      <c r="F716" s="566">
        <v>526500</v>
      </c>
      <c r="G716" s="564" t="s">
        <v>349</v>
      </c>
      <c r="H716" s="564" t="s">
        <v>349</v>
      </c>
      <c r="I716" s="564" t="s">
        <v>45</v>
      </c>
      <c r="J716" s="564" t="s">
        <v>1372</v>
      </c>
      <c r="K716" s="564" t="s">
        <v>1090</v>
      </c>
      <c r="L716" s="564" t="s">
        <v>2098</v>
      </c>
      <c r="M716" s="564" t="s">
        <v>2098</v>
      </c>
      <c r="N716" s="564" t="s">
        <v>45</v>
      </c>
      <c r="O716" s="564" t="s">
        <v>2099</v>
      </c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 spans="1:26" ht="13">
      <c r="A717" s="562" t="s">
        <v>579</v>
      </c>
      <c r="B717" s="563" t="s">
        <v>577</v>
      </c>
      <c r="C717" s="564" t="s">
        <v>353</v>
      </c>
      <c r="D717" s="565">
        <v>45393</v>
      </c>
      <c r="E717" s="565">
        <v>45407</v>
      </c>
      <c r="F717" s="566">
        <v>145000</v>
      </c>
      <c r="G717" s="564" t="s">
        <v>349</v>
      </c>
      <c r="H717" s="564" t="s">
        <v>349</v>
      </c>
      <c r="I717" s="564" t="s">
        <v>64</v>
      </c>
      <c r="J717" s="564" t="s">
        <v>1372</v>
      </c>
      <c r="K717" s="564" t="s">
        <v>1090</v>
      </c>
      <c r="L717" s="564" t="s">
        <v>2098</v>
      </c>
      <c r="M717" s="564" t="s">
        <v>2098</v>
      </c>
      <c r="N717" s="564" t="s">
        <v>64</v>
      </c>
      <c r="O717" s="564" t="s">
        <v>2099</v>
      </c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 spans="1:26" ht="13">
      <c r="A718" s="562" t="s">
        <v>573</v>
      </c>
      <c r="B718" s="563" t="s">
        <v>571</v>
      </c>
      <c r="C718" s="564" t="s">
        <v>353</v>
      </c>
      <c r="D718" s="565">
        <v>45390</v>
      </c>
      <c r="E718" s="565">
        <v>45404</v>
      </c>
      <c r="F718" s="566">
        <v>435000</v>
      </c>
      <c r="G718" s="564" t="s">
        <v>349</v>
      </c>
      <c r="H718" s="564" t="s">
        <v>349</v>
      </c>
      <c r="I718" s="564" t="s">
        <v>64</v>
      </c>
      <c r="J718" s="564" t="s">
        <v>1372</v>
      </c>
      <c r="K718" s="564" t="s">
        <v>1090</v>
      </c>
      <c r="L718" s="564" t="s">
        <v>2098</v>
      </c>
      <c r="M718" s="564" t="s">
        <v>2098</v>
      </c>
      <c r="N718" s="564" t="s">
        <v>64</v>
      </c>
      <c r="O718" s="564" t="s">
        <v>2099</v>
      </c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 spans="1:26" ht="13">
      <c r="A719" s="562" t="s">
        <v>2770</v>
      </c>
      <c r="B719" s="563" t="s">
        <v>2771</v>
      </c>
      <c r="C719" s="564" t="s">
        <v>353</v>
      </c>
      <c r="D719" s="565">
        <v>45391</v>
      </c>
      <c r="E719" s="565">
        <v>45412</v>
      </c>
      <c r="F719" s="566">
        <v>4326300</v>
      </c>
      <c r="G719" s="564" t="s">
        <v>297</v>
      </c>
      <c r="H719" s="564" t="s">
        <v>297</v>
      </c>
      <c r="I719" s="564" t="s">
        <v>257</v>
      </c>
      <c r="J719" s="564" t="s">
        <v>1372</v>
      </c>
      <c r="K719" s="564" t="s">
        <v>1209</v>
      </c>
      <c r="L719" s="564" t="s">
        <v>2098</v>
      </c>
      <c r="M719" s="564" t="s">
        <v>2098</v>
      </c>
      <c r="N719" s="564" t="s">
        <v>257</v>
      </c>
      <c r="O719" s="564" t="s">
        <v>2099</v>
      </c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 spans="1:26" ht="13">
      <c r="A720" s="562" t="s">
        <v>593</v>
      </c>
      <c r="B720" s="563" t="s">
        <v>591</v>
      </c>
      <c r="C720" s="564" t="s">
        <v>353</v>
      </c>
      <c r="D720" s="565">
        <v>45390</v>
      </c>
      <c r="E720" s="565">
        <v>45404</v>
      </c>
      <c r="F720" s="566">
        <v>145000</v>
      </c>
      <c r="G720" s="564" t="s">
        <v>349</v>
      </c>
      <c r="H720" s="564" t="s">
        <v>349</v>
      </c>
      <c r="I720" s="564" t="s">
        <v>64</v>
      </c>
      <c r="J720" s="564" t="s">
        <v>1372</v>
      </c>
      <c r="K720" s="564" t="s">
        <v>1090</v>
      </c>
      <c r="L720" s="564" t="s">
        <v>2098</v>
      </c>
      <c r="M720" s="564" t="s">
        <v>2098</v>
      </c>
      <c r="N720" s="564" t="s">
        <v>64</v>
      </c>
      <c r="O720" s="564" t="s">
        <v>2099</v>
      </c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 spans="1:26" ht="13">
      <c r="A721" s="562" t="s">
        <v>2772</v>
      </c>
      <c r="B721" s="563" t="s">
        <v>2773</v>
      </c>
      <c r="C721" s="564" t="s">
        <v>1652</v>
      </c>
      <c r="D721" s="565">
        <v>45383</v>
      </c>
      <c r="E721" s="565">
        <v>45390</v>
      </c>
      <c r="F721" s="566">
        <v>525000</v>
      </c>
      <c r="G721" s="564" t="s">
        <v>674</v>
      </c>
      <c r="H721" s="564" t="s">
        <v>674</v>
      </c>
      <c r="I721" s="564" t="s">
        <v>107</v>
      </c>
      <c r="J721" s="564" t="s">
        <v>1372</v>
      </c>
      <c r="K721" s="564" t="s">
        <v>1120</v>
      </c>
      <c r="L721" s="564" t="s">
        <v>2098</v>
      </c>
      <c r="M721" s="564" t="s">
        <v>2098</v>
      </c>
      <c r="N721" s="564" t="s">
        <v>1073</v>
      </c>
      <c r="O721" s="564" t="s">
        <v>2099</v>
      </c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 spans="1:26" ht="13">
      <c r="A722" s="562" t="s">
        <v>2774</v>
      </c>
      <c r="B722" s="563" t="s">
        <v>2775</v>
      </c>
      <c r="C722" s="564" t="s">
        <v>1652</v>
      </c>
      <c r="D722" s="565">
        <v>45383</v>
      </c>
      <c r="E722" s="565">
        <v>45390</v>
      </c>
      <c r="F722" s="566">
        <v>2170000</v>
      </c>
      <c r="G722" s="564" t="s">
        <v>674</v>
      </c>
      <c r="H722" s="564" t="s">
        <v>674</v>
      </c>
      <c r="I722" s="564" t="s">
        <v>70</v>
      </c>
      <c r="J722" s="564" t="s">
        <v>1372</v>
      </c>
      <c r="K722" s="564" t="s">
        <v>1120</v>
      </c>
      <c r="L722" s="564" t="s">
        <v>2098</v>
      </c>
      <c r="M722" s="564" t="s">
        <v>2098</v>
      </c>
      <c r="N722" s="564" t="s">
        <v>70</v>
      </c>
      <c r="O722" s="564" t="s">
        <v>2099</v>
      </c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 spans="1:26" ht="13">
      <c r="A723" s="562" t="s">
        <v>2776</v>
      </c>
      <c r="B723" s="563" t="s">
        <v>2777</v>
      </c>
      <c r="C723" s="564" t="s">
        <v>353</v>
      </c>
      <c r="D723" s="565">
        <v>45379</v>
      </c>
      <c r="E723" s="565">
        <v>45394</v>
      </c>
      <c r="F723" s="566">
        <v>5640000</v>
      </c>
      <c r="G723" s="564" t="s">
        <v>1128</v>
      </c>
      <c r="H723" s="564" t="s">
        <v>1128</v>
      </c>
      <c r="I723" s="564" t="s">
        <v>45</v>
      </c>
      <c r="J723" s="564" t="s">
        <v>1372</v>
      </c>
      <c r="K723" s="564" t="s">
        <v>1090</v>
      </c>
      <c r="L723" s="564" t="s">
        <v>2098</v>
      </c>
      <c r="M723" s="564" t="s">
        <v>2098</v>
      </c>
      <c r="N723" s="564" t="s">
        <v>45</v>
      </c>
      <c r="O723" s="564" t="s">
        <v>2099</v>
      </c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 spans="1:26" ht="13">
      <c r="A724" s="562" t="s">
        <v>2778</v>
      </c>
      <c r="B724" s="563" t="s">
        <v>2779</v>
      </c>
      <c r="C724" s="564" t="s">
        <v>1652</v>
      </c>
      <c r="D724" s="565">
        <v>45379</v>
      </c>
      <c r="E724" s="565">
        <v>45386</v>
      </c>
      <c r="F724" s="566">
        <v>2980000</v>
      </c>
      <c r="G724" s="564" t="s">
        <v>674</v>
      </c>
      <c r="H724" s="564" t="s">
        <v>674</v>
      </c>
      <c r="I724" s="564" t="s">
        <v>70</v>
      </c>
      <c r="J724" s="564" t="s">
        <v>1372</v>
      </c>
      <c r="K724" s="564" t="s">
        <v>1120</v>
      </c>
      <c r="L724" s="564" t="s">
        <v>2098</v>
      </c>
      <c r="M724" s="564" t="s">
        <v>2098</v>
      </c>
      <c r="N724" s="564" t="s">
        <v>70</v>
      </c>
      <c r="O724" s="564" t="s">
        <v>2099</v>
      </c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 spans="1:26" ht="13">
      <c r="A725" s="562" t="s">
        <v>2780</v>
      </c>
      <c r="B725" s="563" t="s">
        <v>2781</v>
      </c>
      <c r="C725" s="564" t="s">
        <v>1652</v>
      </c>
      <c r="D725" s="565">
        <v>45379</v>
      </c>
      <c r="E725" s="565">
        <v>45386</v>
      </c>
      <c r="F725" s="566">
        <v>2980000</v>
      </c>
      <c r="G725" s="564" t="s">
        <v>674</v>
      </c>
      <c r="H725" s="564" t="s">
        <v>674</v>
      </c>
      <c r="I725" s="564" t="s">
        <v>70</v>
      </c>
      <c r="J725" s="564" t="s">
        <v>1372</v>
      </c>
      <c r="K725" s="564" t="s">
        <v>1120</v>
      </c>
      <c r="L725" s="564" t="s">
        <v>2098</v>
      </c>
      <c r="M725" s="564" t="s">
        <v>2098</v>
      </c>
      <c r="N725" s="564" t="s">
        <v>70</v>
      </c>
      <c r="O725" s="564" t="s">
        <v>2099</v>
      </c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 spans="1:26" ht="13">
      <c r="A726" s="562" t="s">
        <v>2782</v>
      </c>
      <c r="B726" s="563" t="s">
        <v>2783</v>
      </c>
      <c r="C726" s="564" t="s">
        <v>353</v>
      </c>
      <c r="D726" s="565">
        <v>45379</v>
      </c>
      <c r="E726" s="565">
        <v>45408</v>
      </c>
      <c r="F726" s="566">
        <v>380000</v>
      </c>
      <c r="G726" s="564" t="s">
        <v>1182</v>
      </c>
      <c r="H726" s="564" t="s">
        <v>1182</v>
      </c>
      <c r="I726" s="564" t="s">
        <v>203</v>
      </c>
      <c r="J726" s="564" t="s">
        <v>1372</v>
      </c>
      <c r="K726" s="564" t="s">
        <v>1090</v>
      </c>
      <c r="L726" s="564" t="s">
        <v>2098</v>
      </c>
      <c r="M726" s="564" t="s">
        <v>2098</v>
      </c>
      <c r="N726" s="564" t="s">
        <v>1073</v>
      </c>
      <c r="O726" s="564" t="s">
        <v>2099</v>
      </c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 spans="1:26" ht="13">
      <c r="A727" s="562" t="s">
        <v>2784</v>
      </c>
      <c r="B727" s="563" t="s">
        <v>2785</v>
      </c>
      <c r="C727" s="564" t="s">
        <v>353</v>
      </c>
      <c r="D727" s="565">
        <v>45378</v>
      </c>
      <c r="E727" s="565">
        <v>45393</v>
      </c>
      <c r="F727" s="566">
        <v>1802000</v>
      </c>
      <c r="G727" s="564" t="s">
        <v>349</v>
      </c>
      <c r="H727" s="564" t="s">
        <v>349</v>
      </c>
      <c r="I727" s="564" t="s">
        <v>225</v>
      </c>
      <c r="J727" s="564" t="s">
        <v>1372</v>
      </c>
      <c r="K727" s="564" t="s">
        <v>1105</v>
      </c>
      <c r="L727" s="564" t="s">
        <v>2098</v>
      </c>
      <c r="M727" s="564" t="s">
        <v>2098</v>
      </c>
      <c r="N727" s="564" t="s">
        <v>225</v>
      </c>
      <c r="O727" s="564" t="s">
        <v>2099</v>
      </c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 spans="1:26" ht="13">
      <c r="A728" s="562" t="s">
        <v>2786</v>
      </c>
      <c r="B728" s="563" t="s">
        <v>2787</v>
      </c>
      <c r="C728" s="564" t="s">
        <v>2788</v>
      </c>
      <c r="D728" s="565">
        <v>45372</v>
      </c>
      <c r="E728" s="565">
        <v>45473</v>
      </c>
      <c r="F728" s="566">
        <v>246000000</v>
      </c>
      <c r="G728" s="564" t="s">
        <v>1077</v>
      </c>
      <c r="H728" s="564" t="s">
        <v>1077</v>
      </c>
      <c r="I728" s="564" t="s">
        <v>2789</v>
      </c>
      <c r="J728" s="564" t="s">
        <v>1069</v>
      </c>
      <c r="K728" s="564" t="s">
        <v>1070</v>
      </c>
      <c r="L728" s="564" t="s">
        <v>2098</v>
      </c>
      <c r="M728" s="564" t="s">
        <v>2098</v>
      </c>
      <c r="N728" s="564" t="s">
        <v>1082</v>
      </c>
      <c r="O728" s="564" t="s">
        <v>2099</v>
      </c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 spans="1:26" ht="13">
      <c r="A729" s="562" t="s">
        <v>2790</v>
      </c>
      <c r="B729" s="563" t="s">
        <v>2791</v>
      </c>
      <c r="C729" s="564" t="s">
        <v>353</v>
      </c>
      <c r="D729" s="565">
        <v>45358</v>
      </c>
      <c r="E729" s="565">
        <v>45565</v>
      </c>
      <c r="F729" s="566">
        <v>955020000</v>
      </c>
      <c r="G729" s="564" t="s">
        <v>1128</v>
      </c>
      <c r="H729" s="564" t="s">
        <v>1128</v>
      </c>
      <c r="I729" s="564" t="s">
        <v>45</v>
      </c>
      <c r="J729" s="564" t="s">
        <v>1372</v>
      </c>
      <c r="K729" s="564" t="s">
        <v>1090</v>
      </c>
      <c r="L729" s="564" t="s">
        <v>2098</v>
      </c>
      <c r="M729" s="564" t="s">
        <v>2098</v>
      </c>
      <c r="N729" s="564" t="s">
        <v>45</v>
      </c>
      <c r="O729" s="564" t="s">
        <v>2099</v>
      </c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 spans="1:26" ht="13">
      <c r="A730" s="562" t="s">
        <v>2792</v>
      </c>
      <c r="B730" s="563" t="s">
        <v>2793</v>
      </c>
      <c r="C730" s="564" t="s">
        <v>1652</v>
      </c>
      <c r="D730" s="565">
        <v>45372</v>
      </c>
      <c r="E730" s="565">
        <v>45379</v>
      </c>
      <c r="F730" s="566">
        <v>4470000</v>
      </c>
      <c r="G730" s="564" t="s">
        <v>674</v>
      </c>
      <c r="H730" s="564" t="s">
        <v>674</v>
      </c>
      <c r="I730" s="564" t="s">
        <v>70</v>
      </c>
      <c r="J730" s="564" t="s">
        <v>1372</v>
      </c>
      <c r="K730" s="564" t="s">
        <v>1120</v>
      </c>
      <c r="L730" s="564" t="s">
        <v>2098</v>
      </c>
      <c r="M730" s="564" t="s">
        <v>2098</v>
      </c>
      <c r="N730" s="564" t="s">
        <v>70</v>
      </c>
      <c r="O730" s="564" t="s">
        <v>2099</v>
      </c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 spans="1:26" ht="13">
      <c r="A731" s="562" t="s">
        <v>2794</v>
      </c>
      <c r="B731" s="563" t="s">
        <v>2795</v>
      </c>
      <c r="C731" s="564" t="s">
        <v>1652</v>
      </c>
      <c r="D731" s="565">
        <v>45370</v>
      </c>
      <c r="E731" s="565">
        <v>45377</v>
      </c>
      <c r="F731" s="566">
        <v>2000000</v>
      </c>
      <c r="G731" s="564" t="s">
        <v>674</v>
      </c>
      <c r="H731" s="564" t="s">
        <v>674</v>
      </c>
      <c r="I731" s="564" t="s">
        <v>70</v>
      </c>
      <c r="J731" s="564" t="s">
        <v>1372</v>
      </c>
      <c r="K731" s="564" t="s">
        <v>1120</v>
      </c>
      <c r="L731" s="564" t="s">
        <v>2098</v>
      </c>
      <c r="M731" s="564" t="s">
        <v>2098</v>
      </c>
      <c r="N731" s="564" t="s">
        <v>70</v>
      </c>
      <c r="O731" s="564" t="s">
        <v>2099</v>
      </c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 spans="1:26" ht="13">
      <c r="A732" s="562" t="s">
        <v>2796</v>
      </c>
      <c r="B732" s="563" t="s">
        <v>2797</v>
      </c>
      <c r="C732" s="564" t="s">
        <v>1652</v>
      </c>
      <c r="D732" s="565">
        <v>45370</v>
      </c>
      <c r="E732" s="565">
        <v>45377</v>
      </c>
      <c r="F732" s="566">
        <v>2210000</v>
      </c>
      <c r="G732" s="564" t="s">
        <v>674</v>
      </c>
      <c r="H732" s="564" t="s">
        <v>674</v>
      </c>
      <c r="I732" s="564" t="s">
        <v>70</v>
      </c>
      <c r="J732" s="564" t="s">
        <v>1372</v>
      </c>
      <c r="K732" s="564" t="s">
        <v>1120</v>
      </c>
      <c r="L732" s="564" t="s">
        <v>2098</v>
      </c>
      <c r="M732" s="564" t="s">
        <v>2098</v>
      </c>
      <c r="N732" s="564" t="s">
        <v>70</v>
      </c>
      <c r="O732" s="564" t="s">
        <v>2099</v>
      </c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 spans="1:26" ht="13">
      <c r="A733" s="562" t="s">
        <v>2798</v>
      </c>
      <c r="B733" s="563" t="s">
        <v>2799</v>
      </c>
      <c r="C733" s="564" t="s">
        <v>2322</v>
      </c>
      <c r="D733" s="565">
        <v>45362</v>
      </c>
      <c r="E733" s="565">
        <v>45626</v>
      </c>
      <c r="F733" s="566">
        <v>28606755</v>
      </c>
      <c r="G733" s="564" t="s">
        <v>1640</v>
      </c>
      <c r="H733" s="564" t="s">
        <v>1640</v>
      </c>
      <c r="I733" s="564" t="s">
        <v>2800</v>
      </c>
      <c r="J733" s="564" t="s">
        <v>1372</v>
      </c>
      <c r="K733" s="564" t="s">
        <v>1209</v>
      </c>
      <c r="L733" s="564" t="s">
        <v>2098</v>
      </c>
      <c r="M733" s="564" t="s">
        <v>2098</v>
      </c>
      <c r="N733" s="564" t="s">
        <v>1082</v>
      </c>
      <c r="O733" s="564" t="s">
        <v>2099</v>
      </c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spans="1:26" ht="13">
      <c r="A734" s="562" t="s">
        <v>2801</v>
      </c>
      <c r="B734" s="563" t="s">
        <v>2802</v>
      </c>
      <c r="C734" s="564" t="s">
        <v>1076</v>
      </c>
      <c r="D734" s="565">
        <v>45356</v>
      </c>
      <c r="E734" s="565">
        <v>45565</v>
      </c>
      <c r="F734" s="566">
        <v>6494000</v>
      </c>
      <c r="G734" s="564" t="s">
        <v>1077</v>
      </c>
      <c r="H734" s="564" t="s">
        <v>1077</v>
      </c>
      <c r="I734" s="564" t="s">
        <v>637</v>
      </c>
      <c r="J734" s="564" t="s">
        <v>1372</v>
      </c>
      <c r="K734" s="564" t="s">
        <v>1070</v>
      </c>
      <c r="L734" s="564" t="s">
        <v>2098</v>
      </c>
      <c r="M734" s="564" t="s">
        <v>2098</v>
      </c>
      <c r="N734" s="564" t="s">
        <v>1082</v>
      </c>
      <c r="O734" s="564" t="s">
        <v>2099</v>
      </c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 spans="1:26" ht="13">
      <c r="A735" s="562" t="s">
        <v>2803</v>
      </c>
      <c r="B735" s="563" t="s">
        <v>2804</v>
      </c>
      <c r="C735" s="564" t="s">
        <v>1475</v>
      </c>
      <c r="D735" s="565">
        <v>45364</v>
      </c>
      <c r="E735" s="565">
        <v>45371</v>
      </c>
      <c r="F735" s="566">
        <v>120000</v>
      </c>
      <c r="G735" s="564" t="s">
        <v>1123</v>
      </c>
      <c r="H735" s="564" t="s">
        <v>1123</v>
      </c>
      <c r="I735" s="564" t="s">
        <v>146</v>
      </c>
      <c r="J735" s="564" t="s">
        <v>1372</v>
      </c>
      <c r="K735" s="564" t="s">
        <v>1070</v>
      </c>
      <c r="L735" s="564" t="s">
        <v>2098</v>
      </c>
      <c r="M735" s="564" t="s">
        <v>2098</v>
      </c>
      <c r="N735" s="564" t="s">
        <v>1073</v>
      </c>
      <c r="O735" s="564" t="s">
        <v>2099</v>
      </c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 spans="1:26" ht="13">
      <c r="A736" s="562" t="s">
        <v>2805</v>
      </c>
      <c r="B736" s="563" t="s">
        <v>2806</v>
      </c>
      <c r="C736" s="564" t="s">
        <v>1652</v>
      </c>
      <c r="D736" s="565">
        <v>45364</v>
      </c>
      <c r="E736" s="565">
        <v>45371</v>
      </c>
      <c r="F736" s="566">
        <v>1935000</v>
      </c>
      <c r="G736" s="564" t="s">
        <v>674</v>
      </c>
      <c r="H736" s="564" t="s">
        <v>674</v>
      </c>
      <c r="I736" s="564" t="s">
        <v>70</v>
      </c>
      <c r="J736" s="564" t="s">
        <v>1372</v>
      </c>
      <c r="K736" s="564" t="s">
        <v>1120</v>
      </c>
      <c r="L736" s="564" t="s">
        <v>2098</v>
      </c>
      <c r="M736" s="564" t="s">
        <v>2098</v>
      </c>
      <c r="N736" s="564" t="s">
        <v>70</v>
      </c>
      <c r="O736" s="564" t="s">
        <v>2099</v>
      </c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 spans="1:26" ht="13">
      <c r="A737" s="562" t="s">
        <v>555</v>
      </c>
      <c r="B737" s="563" t="s">
        <v>553</v>
      </c>
      <c r="C737" s="564" t="s">
        <v>353</v>
      </c>
      <c r="D737" s="565">
        <v>45364</v>
      </c>
      <c r="E737" s="565">
        <v>45371</v>
      </c>
      <c r="F737" s="566">
        <v>1072500</v>
      </c>
      <c r="G737" s="564" t="s">
        <v>349</v>
      </c>
      <c r="H737" s="564" t="s">
        <v>349</v>
      </c>
      <c r="I737" s="564" t="s">
        <v>203</v>
      </c>
      <c r="J737" s="564" t="s">
        <v>1372</v>
      </c>
      <c r="K737" s="564" t="s">
        <v>1090</v>
      </c>
      <c r="L737" s="564" t="s">
        <v>2098</v>
      </c>
      <c r="M737" s="564" t="s">
        <v>2098</v>
      </c>
      <c r="N737" s="564" t="s">
        <v>1073</v>
      </c>
      <c r="O737" s="564" t="s">
        <v>2099</v>
      </c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spans="1:26" ht="13">
      <c r="A738" s="562" t="s">
        <v>2807</v>
      </c>
      <c r="B738" s="563" t="s">
        <v>2808</v>
      </c>
      <c r="C738" s="564" t="s">
        <v>1652</v>
      </c>
      <c r="D738" s="565">
        <v>45355</v>
      </c>
      <c r="E738" s="565">
        <v>45366</v>
      </c>
      <c r="F738" s="566">
        <v>3990000</v>
      </c>
      <c r="G738" s="564" t="s">
        <v>674</v>
      </c>
      <c r="H738" s="564" t="s">
        <v>674</v>
      </c>
      <c r="I738" s="564" t="s">
        <v>1281</v>
      </c>
      <c r="J738" s="564" t="s">
        <v>1372</v>
      </c>
      <c r="K738" s="564" t="s">
        <v>1120</v>
      </c>
      <c r="L738" s="564" t="s">
        <v>2098</v>
      </c>
      <c r="M738" s="564" t="s">
        <v>2098</v>
      </c>
      <c r="N738" s="564" t="s">
        <v>1073</v>
      </c>
      <c r="O738" s="564" t="s">
        <v>2099</v>
      </c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 spans="1:26" ht="13">
      <c r="A739" s="562" t="s">
        <v>2809</v>
      </c>
      <c r="B739" s="563" t="s">
        <v>2810</v>
      </c>
      <c r="C739" s="564" t="s">
        <v>1652</v>
      </c>
      <c r="D739" s="565">
        <v>45358</v>
      </c>
      <c r="E739" s="565">
        <v>45365</v>
      </c>
      <c r="F739" s="566">
        <v>3085000</v>
      </c>
      <c r="G739" s="564" t="s">
        <v>674</v>
      </c>
      <c r="H739" s="564" t="s">
        <v>674</v>
      </c>
      <c r="I739" s="564" t="s">
        <v>70</v>
      </c>
      <c r="J739" s="564" t="s">
        <v>1372</v>
      </c>
      <c r="K739" s="564" t="s">
        <v>1120</v>
      </c>
      <c r="L739" s="564" t="s">
        <v>2098</v>
      </c>
      <c r="M739" s="564" t="s">
        <v>2098</v>
      </c>
      <c r="N739" s="564" t="s">
        <v>70</v>
      </c>
      <c r="O739" s="564" t="s">
        <v>2099</v>
      </c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 spans="1:26" ht="13">
      <c r="A740" s="562" t="s">
        <v>2811</v>
      </c>
      <c r="B740" s="563" t="s">
        <v>2812</v>
      </c>
      <c r="C740" s="564" t="s">
        <v>1652</v>
      </c>
      <c r="D740" s="565">
        <v>45358</v>
      </c>
      <c r="E740" s="565">
        <v>45365</v>
      </c>
      <c r="F740" s="566">
        <v>3085000</v>
      </c>
      <c r="G740" s="564" t="s">
        <v>674</v>
      </c>
      <c r="H740" s="564" t="s">
        <v>674</v>
      </c>
      <c r="I740" s="564" t="s">
        <v>70</v>
      </c>
      <c r="J740" s="564" t="s">
        <v>1372</v>
      </c>
      <c r="K740" s="564" t="s">
        <v>1120</v>
      </c>
      <c r="L740" s="564" t="s">
        <v>2098</v>
      </c>
      <c r="M740" s="564" t="s">
        <v>2098</v>
      </c>
      <c r="N740" s="564" t="s">
        <v>70</v>
      </c>
      <c r="O740" s="564" t="s">
        <v>2099</v>
      </c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 spans="1:26" ht="13">
      <c r="A741" s="562" t="s">
        <v>2813</v>
      </c>
      <c r="B741" s="563" t="s">
        <v>2814</v>
      </c>
      <c r="C741" s="564" t="s">
        <v>1652</v>
      </c>
      <c r="D741" s="565">
        <v>45357</v>
      </c>
      <c r="E741" s="565">
        <v>45364</v>
      </c>
      <c r="F741" s="566">
        <v>2980000</v>
      </c>
      <c r="G741" s="564" t="s">
        <v>674</v>
      </c>
      <c r="H741" s="564" t="s">
        <v>674</v>
      </c>
      <c r="I741" s="564" t="s">
        <v>70</v>
      </c>
      <c r="J741" s="564" t="s">
        <v>1372</v>
      </c>
      <c r="K741" s="564" t="s">
        <v>1120</v>
      </c>
      <c r="L741" s="564" t="s">
        <v>2098</v>
      </c>
      <c r="M741" s="564" t="s">
        <v>2098</v>
      </c>
      <c r="N741" s="564" t="s">
        <v>70</v>
      </c>
      <c r="O741" s="564" t="s">
        <v>2099</v>
      </c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 spans="1:26" ht="13">
      <c r="A742" s="562" t="s">
        <v>2815</v>
      </c>
      <c r="B742" s="563" t="s">
        <v>2816</v>
      </c>
      <c r="C742" s="564" t="s">
        <v>1652</v>
      </c>
      <c r="D742" s="565">
        <v>45357</v>
      </c>
      <c r="E742" s="565">
        <v>45364</v>
      </c>
      <c r="F742" s="566">
        <v>3255000</v>
      </c>
      <c r="G742" s="564" t="s">
        <v>674</v>
      </c>
      <c r="H742" s="564" t="s">
        <v>674</v>
      </c>
      <c r="I742" s="564" t="s">
        <v>70</v>
      </c>
      <c r="J742" s="564" t="s">
        <v>1372</v>
      </c>
      <c r="K742" s="564" t="s">
        <v>1120</v>
      </c>
      <c r="L742" s="564" t="s">
        <v>2098</v>
      </c>
      <c r="M742" s="564" t="s">
        <v>2098</v>
      </c>
      <c r="N742" s="564" t="s">
        <v>70</v>
      </c>
      <c r="O742" s="564" t="s">
        <v>2099</v>
      </c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 spans="1:26" ht="13">
      <c r="A743" s="562" t="s">
        <v>549</v>
      </c>
      <c r="B743" s="563" t="s">
        <v>547</v>
      </c>
      <c r="C743" s="564" t="s">
        <v>353</v>
      </c>
      <c r="D743" s="565">
        <v>45358</v>
      </c>
      <c r="E743" s="565">
        <v>45364</v>
      </c>
      <c r="F743" s="566">
        <v>170000</v>
      </c>
      <c r="G743" s="564" t="s">
        <v>349</v>
      </c>
      <c r="H743" s="564" t="s">
        <v>349</v>
      </c>
      <c r="I743" s="564" t="s">
        <v>1230</v>
      </c>
      <c r="J743" s="564" t="s">
        <v>1372</v>
      </c>
      <c r="K743" s="564" t="s">
        <v>1090</v>
      </c>
      <c r="L743" s="564" t="s">
        <v>2098</v>
      </c>
      <c r="M743" s="564" t="s">
        <v>2098</v>
      </c>
      <c r="N743" s="564" t="s">
        <v>1073</v>
      </c>
      <c r="O743" s="564" t="s">
        <v>2099</v>
      </c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 spans="1:26" ht="13">
      <c r="A744" s="562" t="s">
        <v>2817</v>
      </c>
      <c r="B744" s="563" t="s">
        <v>2818</v>
      </c>
      <c r="C744" s="564" t="s">
        <v>1652</v>
      </c>
      <c r="D744" s="565">
        <v>45356</v>
      </c>
      <c r="E744" s="565">
        <v>45391</v>
      </c>
      <c r="F744" s="566">
        <v>313150000</v>
      </c>
      <c r="G744" s="564" t="s">
        <v>674</v>
      </c>
      <c r="H744" s="564" t="s">
        <v>674</v>
      </c>
      <c r="I744" s="564" t="s">
        <v>70</v>
      </c>
      <c r="J744" s="564" t="s">
        <v>1372</v>
      </c>
      <c r="K744" s="564" t="s">
        <v>1120</v>
      </c>
      <c r="L744" s="564" t="s">
        <v>2098</v>
      </c>
      <c r="M744" s="564" t="s">
        <v>2098</v>
      </c>
      <c r="N744" s="564" t="s">
        <v>70</v>
      </c>
      <c r="O744" s="564" t="s">
        <v>2099</v>
      </c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 spans="1:26" ht="13">
      <c r="A745" s="562" t="s">
        <v>2819</v>
      </c>
      <c r="B745" s="563" t="s">
        <v>2820</v>
      </c>
      <c r="C745" s="564" t="s">
        <v>353</v>
      </c>
      <c r="D745" s="565">
        <v>45344</v>
      </c>
      <c r="E745" s="565">
        <v>45382</v>
      </c>
      <c r="F745" s="566">
        <v>71130000</v>
      </c>
      <c r="G745" s="564" t="s">
        <v>1128</v>
      </c>
      <c r="H745" s="564" t="s">
        <v>1128</v>
      </c>
      <c r="I745" s="564" t="s">
        <v>45</v>
      </c>
      <c r="J745" s="564" t="s">
        <v>1372</v>
      </c>
      <c r="K745" s="564" t="s">
        <v>1090</v>
      </c>
      <c r="L745" s="564" t="s">
        <v>2098</v>
      </c>
      <c r="M745" s="564" t="s">
        <v>2098</v>
      </c>
      <c r="N745" s="564" t="s">
        <v>45</v>
      </c>
      <c r="O745" s="564" t="s">
        <v>2099</v>
      </c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spans="1:26" ht="13">
      <c r="A746" s="562" t="s">
        <v>2821</v>
      </c>
      <c r="B746" s="563" t="s">
        <v>2822</v>
      </c>
      <c r="C746" s="564" t="s">
        <v>353</v>
      </c>
      <c r="D746" s="565">
        <v>45349</v>
      </c>
      <c r="E746" s="565">
        <v>45382</v>
      </c>
      <c r="F746" s="566">
        <v>699290000</v>
      </c>
      <c r="G746" s="564" t="s">
        <v>1128</v>
      </c>
      <c r="H746" s="564" t="s">
        <v>1128</v>
      </c>
      <c r="I746" s="564" t="s">
        <v>45</v>
      </c>
      <c r="J746" s="564" t="s">
        <v>1372</v>
      </c>
      <c r="K746" s="564" t="s">
        <v>1090</v>
      </c>
      <c r="L746" s="564" t="s">
        <v>2098</v>
      </c>
      <c r="M746" s="564" t="s">
        <v>2098</v>
      </c>
      <c r="N746" s="564" t="s">
        <v>45</v>
      </c>
      <c r="O746" s="564" t="s">
        <v>2099</v>
      </c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 spans="1:26" ht="13">
      <c r="A747" s="562" t="s">
        <v>542</v>
      </c>
      <c r="B747" s="563" t="s">
        <v>540</v>
      </c>
      <c r="C747" s="564" t="s">
        <v>353</v>
      </c>
      <c r="D747" s="565">
        <v>45355</v>
      </c>
      <c r="E747" s="565">
        <v>45369</v>
      </c>
      <c r="F747" s="566">
        <v>120000</v>
      </c>
      <c r="G747" s="564" t="s">
        <v>349</v>
      </c>
      <c r="H747" s="564" t="s">
        <v>349</v>
      </c>
      <c r="I747" s="564" t="s">
        <v>64</v>
      </c>
      <c r="J747" s="564" t="s">
        <v>1372</v>
      </c>
      <c r="K747" s="564" t="s">
        <v>1090</v>
      </c>
      <c r="L747" s="564" t="s">
        <v>2098</v>
      </c>
      <c r="M747" s="564" t="s">
        <v>2098</v>
      </c>
      <c r="N747" s="564" t="s">
        <v>64</v>
      </c>
      <c r="O747" s="564" t="s">
        <v>2099</v>
      </c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 spans="1:26" ht="13">
      <c r="A748" s="562" t="s">
        <v>2823</v>
      </c>
      <c r="B748" s="563" t="s">
        <v>2824</v>
      </c>
      <c r="C748" s="564" t="s">
        <v>353</v>
      </c>
      <c r="D748" s="565">
        <v>45342</v>
      </c>
      <c r="E748" s="565">
        <v>45366</v>
      </c>
      <c r="F748" s="566">
        <v>1200000</v>
      </c>
      <c r="G748" s="564" t="s">
        <v>1128</v>
      </c>
      <c r="H748" s="564" t="s">
        <v>1128</v>
      </c>
      <c r="I748" s="564" t="s">
        <v>45</v>
      </c>
      <c r="J748" s="564" t="s">
        <v>1372</v>
      </c>
      <c r="K748" s="564" t="s">
        <v>1090</v>
      </c>
      <c r="L748" s="564" t="s">
        <v>2098</v>
      </c>
      <c r="M748" s="564" t="s">
        <v>2098</v>
      </c>
      <c r="N748" s="564" t="s">
        <v>45</v>
      </c>
      <c r="O748" s="564" t="s">
        <v>2099</v>
      </c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 spans="1:26" ht="13">
      <c r="A749" s="562" t="s">
        <v>2825</v>
      </c>
      <c r="B749" s="563" t="s">
        <v>2826</v>
      </c>
      <c r="C749" s="564" t="s">
        <v>1475</v>
      </c>
      <c r="D749" s="565">
        <v>45351</v>
      </c>
      <c r="E749" s="565">
        <v>45366</v>
      </c>
      <c r="F749" s="566">
        <v>240000</v>
      </c>
      <c r="G749" s="564" t="s">
        <v>1123</v>
      </c>
      <c r="H749" s="564" t="s">
        <v>1123</v>
      </c>
      <c r="I749" s="564" t="s">
        <v>2827</v>
      </c>
      <c r="J749" s="564" t="s">
        <v>1372</v>
      </c>
      <c r="K749" s="564" t="s">
        <v>1070</v>
      </c>
      <c r="L749" s="564" t="s">
        <v>2098</v>
      </c>
      <c r="M749" s="564" t="s">
        <v>2098</v>
      </c>
      <c r="N749" s="564" t="s">
        <v>1082</v>
      </c>
      <c r="O749" s="564" t="s">
        <v>2099</v>
      </c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spans="1:26" ht="13">
      <c r="A750" s="562" t="s">
        <v>561</v>
      </c>
      <c r="B750" s="563" t="s">
        <v>559</v>
      </c>
      <c r="C750" s="564" t="s">
        <v>353</v>
      </c>
      <c r="D750" s="565">
        <v>45350</v>
      </c>
      <c r="E750" s="565">
        <v>45359</v>
      </c>
      <c r="F750" s="566">
        <v>892500</v>
      </c>
      <c r="G750" s="564" t="s">
        <v>349</v>
      </c>
      <c r="H750" s="564" t="s">
        <v>349</v>
      </c>
      <c r="I750" s="564" t="s">
        <v>45</v>
      </c>
      <c r="J750" s="564" t="s">
        <v>1372</v>
      </c>
      <c r="K750" s="564" t="s">
        <v>1090</v>
      </c>
      <c r="L750" s="564" t="s">
        <v>2098</v>
      </c>
      <c r="M750" s="564" t="s">
        <v>2098</v>
      </c>
      <c r="N750" s="564" t="s">
        <v>45</v>
      </c>
      <c r="O750" s="564" t="s">
        <v>2099</v>
      </c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 spans="1:26" ht="13">
      <c r="A751" s="562" t="s">
        <v>2828</v>
      </c>
      <c r="B751" s="563" t="s">
        <v>2829</v>
      </c>
      <c r="C751" s="564" t="s">
        <v>1652</v>
      </c>
      <c r="D751" s="565">
        <v>45350</v>
      </c>
      <c r="E751" s="565">
        <v>45357</v>
      </c>
      <c r="F751" s="566">
        <v>2980000</v>
      </c>
      <c r="G751" s="564" t="s">
        <v>674</v>
      </c>
      <c r="H751" s="564" t="s">
        <v>674</v>
      </c>
      <c r="I751" s="564" t="s">
        <v>70</v>
      </c>
      <c r="J751" s="564" t="s">
        <v>1372</v>
      </c>
      <c r="K751" s="564" t="s">
        <v>1120</v>
      </c>
      <c r="L751" s="564" t="s">
        <v>2098</v>
      </c>
      <c r="M751" s="564" t="s">
        <v>2098</v>
      </c>
      <c r="N751" s="564" t="s">
        <v>70</v>
      </c>
      <c r="O751" s="564" t="s">
        <v>2099</v>
      </c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 spans="1:26" ht="13">
      <c r="A752" s="562" t="s">
        <v>535</v>
      </c>
      <c r="B752" s="563" t="s">
        <v>533</v>
      </c>
      <c r="C752" s="564" t="s">
        <v>353</v>
      </c>
      <c r="D752" s="565">
        <v>45350</v>
      </c>
      <c r="E752" s="565">
        <v>45362</v>
      </c>
      <c r="F752" s="566">
        <v>120000</v>
      </c>
      <c r="G752" s="564" t="s">
        <v>349</v>
      </c>
      <c r="H752" s="564" t="s">
        <v>349</v>
      </c>
      <c r="I752" s="564" t="s">
        <v>64</v>
      </c>
      <c r="J752" s="564" t="s">
        <v>1372</v>
      </c>
      <c r="K752" s="564" t="s">
        <v>1090</v>
      </c>
      <c r="L752" s="564" t="s">
        <v>2098</v>
      </c>
      <c r="M752" s="564" t="s">
        <v>2098</v>
      </c>
      <c r="N752" s="564" t="s">
        <v>64</v>
      </c>
      <c r="O752" s="564" t="s">
        <v>2099</v>
      </c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 spans="1:26" ht="13">
      <c r="A753" s="562" t="s">
        <v>2830</v>
      </c>
      <c r="B753" s="563" t="s">
        <v>2831</v>
      </c>
      <c r="C753" s="564" t="s">
        <v>1652</v>
      </c>
      <c r="D753" s="565">
        <v>45349</v>
      </c>
      <c r="E753" s="565">
        <v>45377</v>
      </c>
      <c r="F753" s="566">
        <v>25510000</v>
      </c>
      <c r="G753" s="564" t="s">
        <v>803</v>
      </c>
      <c r="H753" s="564" t="s">
        <v>803</v>
      </c>
      <c r="I753" s="564" t="s">
        <v>802</v>
      </c>
      <c r="J753" s="564" t="s">
        <v>1372</v>
      </c>
      <c r="K753" s="564" t="s">
        <v>1198</v>
      </c>
      <c r="L753" s="564" t="s">
        <v>2098</v>
      </c>
      <c r="M753" s="564" t="s">
        <v>2098</v>
      </c>
      <c r="N753" s="564" t="s">
        <v>132</v>
      </c>
      <c r="O753" s="564" t="s">
        <v>2099</v>
      </c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spans="1:26" ht="13">
      <c r="A754" s="562" t="s">
        <v>2832</v>
      </c>
      <c r="B754" s="563" t="s">
        <v>2833</v>
      </c>
      <c r="C754" s="564" t="s">
        <v>1652</v>
      </c>
      <c r="D754" s="565">
        <v>45341</v>
      </c>
      <c r="E754" s="565">
        <v>45349</v>
      </c>
      <c r="F754" s="566">
        <v>1490000</v>
      </c>
      <c r="G754" s="564" t="s">
        <v>674</v>
      </c>
      <c r="H754" s="564" t="s">
        <v>674</v>
      </c>
      <c r="I754" s="564" t="s">
        <v>70</v>
      </c>
      <c r="J754" s="564" t="s">
        <v>1372</v>
      </c>
      <c r="K754" s="564" t="s">
        <v>1120</v>
      </c>
      <c r="L754" s="564" t="s">
        <v>2098</v>
      </c>
      <c r="M754" s="564" t="s">
        <v>2098</v>
      </c>
      <c r="N754" s="564" t="s">
        <v>70</v>
      </c>
      <c r="O754" s="564" t="s">
        <v>2099</v>
      </c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 spans="1:26" ht="13">
      <c r="A755" s="562" t="s">
        <v>2834</v>
      </c>
      <c r="B755" s="563" t="s">
        <v>2835</v>
      </c>
      <c r="C755" s="564" t="s">
        <v>353</v>
      </c>
      <c r="D755" s="565">
        <v>45323</v>
      </c>
      <c r="E755" s="565">
        <v>45382</v>
      </c>
      <c r="F755" s="566">
        <v>631650000</v>
      </c>
      <c r="G755" s="564" t="s">
        <v>1128</v>
      </c>
      <c r="H755" s="564" t="s">
        <v>1128</v>
      </c>
      <c r="I755" s="564" t="s">
        <v>45</v>
      </c>
      <c r="J755" s="564" t="s">
        <v>1372</v>
      </c>
      <c r="K755" s="564" t="s">
        <v>1090</v>
      </c>
      <c r="L755" s="564" t="s">
        <v>2098</v>
      </c>
      <c r="M755" s="564" t="s">
        <v>2098</v>
      </c>
      <c r="N755" s="564" t="s">
        <v>45</v>
      </c>
      <c r="O755" s="564" t="s">
        <v>2099</v>
      </c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 spans="1:26" ht="13">
      <c r="A756" s="562" t="s">
        <v>2836</v>
      </c>
      <c r="B756" s="563" t="s">
        <v>2837</v>
      </c>
      <c r="C756" s="564" t="s">
        <v>1652</v>
      </c>
      <c r="D756" s="565">
        <v>45343</v>
      </c>
      <c r="E756" s="565">
        <v>45350</v>
      </c>
      <c r="F756" s="566">
        <v>4575000</v>
      </c>
      <c r="G756" s="564" t="s">
        <v>674</v>
      </c>
      <c r="H756" s="564" t="s">
        <v>674</v>
      </c>
      <c r="I756" s="564" t="s">
        <v>70</v>
      </c>
      <c r="J756" s="564" t="s">
        <v>1372</v>
      </c>
      <c r="K756" s="564" t="s">
        <v>1120</v>
      </c>
      <c r="L756" s="564" t="s">
        <v>2098</v>
      </c>
      <c r="M756" s="564" t="s">
        <v>2098</v>
      </c>
      <c r="N756" s="564" t="s">
        <v>70</v>
      </c>
      <c r="O756" s="564" t="s">
        <v>2099</v>
      </c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 spans="1:26" ht="13">
      <c r="A757" s="562" t="s">
        <v>2838</v>
      </c>
      <c r="B757" s="563" t="s">
        <v>2839</v>
      </c>
      <c r="C757" s="564" t="s">
        <v>1652</v>
      </c>
      <c r="D757" s="565">
        <v>45343</v>
      </c>
      <c r="E757" s="565">
        <v>45350</v>
      </c>
      <c r="F757" s="566">
        <v>3190000</v>
      </c>
      <c r="G757" s="564" t="s">
        <v>674</v>
      </c>
      <c r="H757" s="564" t="s">
        <v>674</v>
      </c>
      <c r="I757" s="564" t="s">
        <v>70</v>
      </c>
      <c r="J757" s="564" t="s">
        <v>1372</v>
      </c>
      <c r="K757" s="564" t="s">
        <v>1120</v>
      </c>
      <c r="L757" s="564" t="s">
        <v>2098</v>
      </c>
      <c r="M757" s="564" t="s">
        <v>2098</v>
      </c>
      <c r="N757" s="564" t="s">
        <v>70</v>
      </c>
      <c r="O757" s="564" t="s">
        <v>2099</v>
      </c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 spans="1:26" ht="13">
      <c r="A758" s="562" t="s">
        <v>2840</v>
      </c>
      <c r="B758" s="563" t="s">
        <v>2841</v>
      </c>
      <c r="C758" s="564" t="s">
        <v>1652</v>
      </c>
      <c r="D758" s="565">
        <v>45338</v>
      </c>
      <c r="E758" s="565">
        <v>45345</v>
      </c>
      <c r="F758" s="566">
        <v>3530000</v>
      </c>
      <c r="G758" s="564" t="s">
        <v>674</v>
      </c>
      <c r="H758" s="564" t="s">
        <v>674</v>
      </c>
      <c r="I758" s="564" t="s">
        <v>70</v>
      </c>
      <c r="J758" s="564" t="s">
        <v>1372</v>
      </c>
      <c r="K758" s="564" t="s">
        <v>1120</v>
      </c>
      <c r="L758" s="564" t="s">
        <v>2098</v>
      </c>
      <c r="M758" s="564" t="s">
        <v>2098</v>
      </c>
      <c r="N758" s="564" t="s">
        <v>70</v>
      </c>
      <c r="O758" s="564" t="s">
        <v>2099</v>
      </c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 spans="1:26" ht="13">
      <c r="A759" s="562" t="s">
        <v>2842</v>
      </c>
      <c r="B759" s="563" t="s">
        <v>2843</v>
      </c>
      <c r="C759" s="564" t="s">
        <v>1652</v>
      </c>
      <c r="D759" s="565">
        <v>45338</v>
      </c>
      <c r="E759" s="565">
        <v>45345</v>
      </c>
      <c r="F759" s="566">
        <v>1765000</v>
      </c>
      <c r="G759" s="564" t="s">
        <v>674</v>
      </c>
      <c r="H759" s="564" t="s">
        <v>674</v>
      </c>
      <c r="I759" s="564" t="s">
        <v>70</v>
      </c>
      <c r="J759" s="564" t="s">
        <v>1372</v>
      </c>
      <c r="K759" s="564" t="s">
        <v>1120</v>
      </c>
      <c r="L759" s="564" t="s">
        <v>2098</v>
      </c>
      <c r="M759" s="564" t="s">
        <v>2098</v>
      </c>
      <c r="N759" s="564" t="s">
        <v>70</v>
      </c>
      <c r="O759" s="564" t="s">
        <v>2099</v>
      </c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 spans="1:26" ht="13">
      <c r="A760" s="562" t="s">
        <v>2844</v>
      </c>
      <c r="B760" s="563" t="s">
        <v>2845</v>
      </c>
      <c r="C760" s="564" t="s">
        <v>1652</v>
      </c>
      <c r="D760" s="565">
        <v>45338</v>
      </c>
      <c r="E760" s="565">
        <v>45345</v>
      </c>
      <c r="F760" s="566">
        <v>1575000</v>
      </c>
      <c r="G760" s="564" t="s">
        <v>674</v>
      </c>
      <c r="H760" s="564" t="s">
        <v>674</v>
      </c>
      <c r="I760" s="564" t="s">
        <v>70</v>
      </c>
      <c r="J760" s="564" t="s">
        <v>1372</v>
      </c>
      <c r="K760" s="564" t="s">
        <v>1120</v>
      </c>
      <c r="L760" s="564" t="s">
        <v>2098</v>
      </c>
      <c r="M760" s="564" t="s">
        <v>2098</v>
      </c>
      <c r="N760" s="564" t="s">
        <v>70</v>
      </c>
      <c r="O760" s="564" t="s">
        <v>2099</v>
      </c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 spans="1:26" ht="13">
      <c r="A761" s="562" t="s">
        <v>2846</v>
      </c>
      <c r="B761" s="563" t="s">
        <v>2847</v>
      </c>
      <c r="C761" s="564" t="s">
        <v>1652</v>
      </c>
      <c r="D761" s="565">
        <v>45341</v>
      </c>
      <c r="E761" s="565">
        <v>45348</v>
      </c>
      <c r="F761" s="566">
        <v>1490000</v>
      </c>
      <c r="G761" s="564" t="s">
        <v>674</v>
      </c>
      <c r="H761" s="564" t="s">
        <v>674</v>
      </c>
      <c r="I761" s="564" t="s">
        <v>70</v>
      </c>
      <c r="J761" s="564" t="s">
        <v>1372</v>
      </c>
      <c r="K761" s="564" t="s">
        <v>1120</v>
      </c>
      <c r="L761" s="564" t="s">
        <v>2098</v>
      </c>
      <c r="M761" s="564" t="s">
        <v>2098</v>
      </c>
      <c r="N761" s="564" t="s">
        <v>70</v>
      </c>
      <c r="O761" s="564" t="s">
        <v>2099</v>
      </c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spans="1:26" ht="13">
      <c r="A762" s="562" t="s">
        <v>2848</v>
      </c>
      <c r="B762" s="563" t="s">
        <v>2849</v>
      </c>
      <c r="C762" s="564" t="s">
        <v>1652</v>
      </c>
      <c r="D762" s="565">
        <v>45343</v>
      </c>
      <c r="E762" s="565">
        <v>45350</v>
      </c>
      <c r="F762" s="566">
        <v>4575000</v>
      </c>
      <c r="G762" s="564" t="s">
        <v>674</v>
      </c>
      <c r="H762" s="564" t="s">
        <v>674</v>
      </c>
      <c r="I762" s="564" t="s">
        <v>70</v>
      </c>
      <c r="J762" s="564" t="s">
        <v>1069</v>
      </c>
      <c r="K762" s="564" t="s">
        <v>1120</v>
      </c>
      <c r="L762" s="564" t="s">
        <v>2098</v>
      </c>
      <c r="M762" s="564" t="s">
        <v>2098</v>
      </c>
      <c r="N762" s="564" t="s">
        <v>70</v>
      </c>
      <c r="O762" s="564" t="s">
        <v>2099</v>
      </c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 spans="1:26" ht="13">
      <c r="A763" s="562" t="s">
        <v>2850</v>
      </c>
      <c r="B763" s="563" t="s">
        <v>2851</v>
      </c>
      <c r="C763" s="564" t="s">
        <v>1652</v>
      </c>
      <c r="D763" s="565">
        <v>45343</v>
      </c>
      <c r="E763" s="565">
        <v>45350</v>
      </c>
      <c r="F763" s="566">
        <v>3190000</v>
      </c>
      <c r="G763" s="564" t="s">
        <v>674</v>
      </c>
      <c r="H763" s="564" t="s">
        <v>674</v>
      </c>
      <c r="I763" s="564" t="s">
        <v>70</v>
      </c>
      <c r="J763" s="564" t="s">
        <v>1069</v>
      </c>
      <c r="K763" s="564" t="s">
        <v>1120</v>
      </c>
      <c r="L763" s="564" t="s">
        <v>2098</v>
      </c>
      <c r="M763" s="564" t="s">
        <v>2098</v>
      </c>
      <c r="N763" s="564" t="s">
        <v>70</v>
      </c>
      <c r="O763" s="564" t="s">
        <v>2099</v>
      </c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 spans="1:26" ht="13">
      <c r="A764" s="562" t="s">
        <v>2852</v>
      </c>
      <c r="B764" s="563" t="s">
        <v>2841</v>
      </c>
      <c r="C764" s="564" t="s">
        <v>1652</v>
      </c>
      <c r="D764" s="565">
        <v>45338</v>
      </c>
      <c r="E764" s="565">
        <v>45345</v>
      </c>
      <c r="F764" s="566">
        <v>3530000</v>
      </c>
      <c r="G764" s="564" t="s">
        <v>674</v>
      </c>
      <c r="H764" s="564" t="s">
        <v>674</v>
      </c>
      <c r="I764" s="564" t="s">
        <v>70</v>
      </c>
      <c r="J764" s="564" t="s">
        <v>1069</v>
      </c>
      <c r="K764" s="564" t="s">
        <v>1120</v>
      </c>
      <c r="L764" s="564" t="s">
        <v>2098</v>
      </c>
      <c r="M764" s="564" t="s">
        <v>2098</v>
      </c>
      <c r="N764" s="564" t="s">
        <v>70</v>
      </c>
      <c r="O764" s="564" t="s">
        <v>2099</v>
      </c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 spans="1:26" ht="13">
      <c r="A765" s="562" t="s">
        <v>2853</v>
      </c>
      <c r="B765" s="563" t="s">
        <v>2854</v>
      </c>
      <c r="C765" s="564" t="s">
        <v>1652</v>
      </c>
      <c r="D765" s="565">
        <v>45338</v>
      </c>
      <c r="E765" s="565">
        <v>45345</v>
      </c>
      <c r="F765" s="566">
        <v>4620000</v>
      </c>
      <c r="G765" s="564" t="s">
        <v>674</v>
      </c>
      <c r="H765" s="564" t="s">
        <v>674</v>
      </c>
      <c r="I765" s="564" t="s">
        <v>70</v>
      </c>
      <c r="J765" s="564" t="s">
        <v>1372</v>
      </c>
      <c r="K765" s="564" t="s">
        <v>1120</v>
      </c>
      <c r="L765" s="564" t="s">
        <v>2098</v>
      </c>
      <c r="M765" s="564" t="s">
        <v>2098</v>
      </c>
      <c r="N765" s="564" t="s">
        <v>70</v>
      </c>
      <c r="O765" s="564" t="s">
        <v>2099</v>
      </c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 spans="1:26" ht="13">
      <c r="A766" s="562" t="s">
        <v>2855</v>
      </c>
      <c r="B766" s="563" t="s">
        <v>2856</v>
      </c>
      <c r="C766" s="564" t="s">
        <v>1652</v>
      </c>
      <c r="D766" s="565">
        <v>45338</v>
      </c>
      <c r="E766" s="565">
        <v>45345</v>
      </c>
      <c r="F766" s="566">
        <v>1765000</v>
      </c>
      <c r="G766" s="564" t="s">
        <v>674</v>
      </c>
      <c r="H766" s="564" t="s">
        <v>674</v>
      </c>
      <c r="I766" s="564" t="s">
        <v>70</v>
      </c>
      <c r="J766" s="564" t="s">
        <v>1069</v>
      </c>
      <c r="K766" s="564" t="s">
        <v>1120</v>
      </c>
      <c r="L766" s="564" t="s">
        <v>2098</v>
      </c>
      <c r="M766" s="564" t="s">
        <v>2098</v>
      </c>
      <c r="N766" s="564" t="s">
        <v>70</v>
      </c>
      <c r="O766" s="564" t="s">
        <v>2099</v>
      </c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 spans="1:26" ht="13">
      <c r="A767" s="562" t="s">
        <v>2857</v>
      </c>
      <c r="B767" s="563" t="s">
        <v>2858</v>
      </c>
      <c r="C767" s="564" t="s">
        <v>1652</v>
      </c>
      <c r="D767" s="565">
        <v>45338</v>
      </c>
      <c r="E767" s="565">
        <v>45412</v>
      </c>
      <c r="F767" s="566">
        <v>8080000</v>
      </c>
      <c r="G767" s="564" t="s">
        <v>803</v>
      </c>
      <c r="H767" s="564" t="s">
        <v>803</v>
      </c>
      <c r="I767" s="564" t="s">
        <v>802</v>
      </c>
      <c r="J767" s="564" t="s">
        <v>1372</v>
      </c>
      <c r="K767" s="564" t="s">
        <v>1198</v>
      </c>
      <c r="L767" s="564" t="s">
        <v>2098</v>
      </c>
      <c r="M767" s="564" t="s">
        <v>2098</v>
      </c>
      <c r="N767" s="564" t="s">
        <v>132</v>
      </c>
      <c r="O767" s="564" t="s">
        <v>2099</v>
      </c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 spans="1:26" ht="13">
      <c r="A768" s="562" t="s">
        <v>527</v>
      </c>
      <c r="B768" s="563" t="s">
        <v>525</v>
      </c>
      <c r="C768" s="564" t="s">
        <v>353</v>
      </c>
      <c r="D768" s="565">
        <v>45337</v>
      </c>
      <c r="E768" s="565">
        <v>45351</v>
      </c>
      <c r="F768" s="566">
        <v>240000</v>
      </c>
      <c r="G768" s="564" t="s">
        <v>349</v>
      </c>
      <c r="H768" s="564" t="s">
        <v>349</v>
      </c>
      <c r="I768" s="564" t="s">
        <v>64</v>
      </c>
      <c r="J768" s="564" t="s">
        <v>1372</v>
      </c>
      <c r="K768" s="564" t="s">
        <v>1090</v>
      </c>
      <c r="L768" s="564" t="s">
        <v>2098</v>
      </c>
      <c r="M768" s="564" t="s">
        <v>2098</v>
      </c>
      <c r="N768" s="564" t="s">
        <v>64</v>
      </c>
      <c r="O768" s="564" t="s">
        <v>2099</v>
      </c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 spans="1:26" ht="13">
      <c r="A769" s="562" t="s">
        <v>2859</v>
      </c>
      <c r="B769" s="563" t="s">
        <v>2860</v>
      </c>
      <c r="C769" s="564" t="s">
        <v>353</v>
      </c>
      <c r="D769" s="565">
        <v>45333</v>
      </c>
      <c r="E769" s="565">
        <v>45382</v>
      </c>
      <c r="F769" s="566">
        <v>631650000</v>
      </c>
      <c r="G769" s="564" t="s">
        <v>1128</v>
      </c>
      <c r="H769" s="564" t="s">
        <v>1128</v>
      </c>
      <c r="I769" s="564" t="s">
        <v>45</v>
      </c>
      <c r="J769" s="564" t="s">
        <v>1069</v>
      </c>
      <c r="K769" s="564" t="s">
        <v>1090</v>
      </c>
      <c r="L769" s="564" t="s">
        <v>2098</v>
      </c>
      <c r="M769" s="564" t="s">
        <v>2098</v>
      </c>
      <c r="N769" s="564" t="s">
        <v>45</v>
      </c>
      <c r="O769" s="564" t="s">
        <v>2099</v>
      </c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 spans="1:26" ht="13">
      <c r="A770" s="562" t="s">
        <v>520</v>
      </c>
      <c r="B770" s="563" t="s">
        <v>518</v>
      </c>
      <c r="C770" s="564" t="s">
        <v>353</v>
      </c>
      <c r="D770" s="565">
        <v>45336</v>
      </c>
      <c r="E770" s="565">
        <v>45351</v>
      </c>
      <c r="F770" s="566">
        <v>120000</v>
      </c>
      <c r="G770" s="564" t="s">
        <v>349</v>
      </c>
      <c r="H770" s="564" t="s">
        <v>349</v>
      </c>
      <c r="I770" s="564" t="s">
        <v>64</v>
      </c>
      <c r="J770" s="564" t="s">
        <v>1372</v>
      </c>
      <c r="K770" s="564" t="s">
        <v>1090</v>
      </c>
      <c r="L770" s="564" t="s">
        <v>2098</v>
      </c>
      <c r="M770" s="564" t="s">
        <v>2098</v>
      </c>
      <c r="N770" s="564" t="s">
        <v>64</v>
      </c>
      <c r="O770" s="564" t="s">
        <v>2099</v>
      </c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 spans="1:26" ht="13">
      <c r="A771" s="562" t="s">
        <v>2861</v>
      </c>
      <c r="B771" s="563" t="s">
        <v>2862</v>
      </c>
      <c r="C771" s="564" t="s">
        <v>353</v>
      </c>
      <c r="D771" s="565">
        <v>45330</v>
      </c>
      <c r="E771" s="565">
        <v>45351</v>
      </c>
      <c r="F771" s="566">
        <v>20000000</v>
      </c>
      <c r="G771" s="564" t="s">
        <v>1128</v>
      </c>
      <c r="H771" s="564" t="s">
        <v>1128</v>
      </c>
      <c r="I771" s="564" t="s">
        <v>45</v>
      </c>
      <c r="J771" s="564" t="s">
        <v>1372</v>
      </c>
      <c r="K771" s="564" t="s">
        <v>1090</v>
      </c>
      <c r="L771" s="564" t="s">
        <v>2098</v>
      </c>
      <c r="M771" s="564" t="s">
        <v>2098</v>
      </c>
      <c r="N771" s="564" t="s">
        <v>64</v>
      </c>
      <c r="O771" s="564" t="s">
        <v>2099</v>
      </c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 spans="1:26" ht="13">
      <c r="A772" s="562" t="s">
        <v>2863</v>
      </c>
      <c r="B772" s="563" t="s">
        <v>2864</v>
      </c>
      <c r="C772" s="564" t="s">
        <v>1652</v>
      </c>
      <c r="D772" s="565">
        <v>45327</v>
      </c>
      <c r="E772" s="565">
        <v>45336</v>
      </c>
      <c r="F772" s="566">
        <v>2625000</v>
      </c>
      <c r="G772" s="564" t="s">
        <v>674</v>
      </c>
      <c r="H772" s="564" t="s">
        <v>674</v>
      </c>
      <c r="I772" s="564" t="s">
        <v>70</v>
      </c>
      <c r="J772" s="564" t="s">
        <v>1372</v>
      </c>
      <c r="K772" s="564" t="s">
        <v>1120</v>
      </c>
      <c r="L772" s="564" t="s">
        <v>2098</v>
      </c>
      <c r="M772" s="564" t="s">
        <v>2098</v>
      </c>
      <c r="N772" s="564" t="s">
        <v>70</v>
      </c>
      <c r="O772" s="564" t="s">
        <v>2099</v>
      </c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 spans="1:26" ht="13">
      <c r="A773" s="562" t="s">
        <v>2865</v>
      </c>
      <c r="B773" s="563" t="s">
        <v>2866</v>
      </c>
      <c r="C773" s="564" t="s">
        <v>1652</v>
      </c>
      <c r="D773" s="565">
        <v>45327</v>
      </c>
      <c r="E773" s="565">
        <v>45336</v>
      </c>
      <c r="F773" s="566">
        <v>2940000</v>
      </c>
      <c r="G773" s="564" t="s">
        <v>674</v>
      </c>
      <c r="H773" s="564" t="s">
        <v>674</v>
      </c>
      <c r="I773" s="564" t="s">
        <v>70</v>
      </c>
      <c r="J773" s="564" t="s">
        <v>1372</v>
      </c>
      <c r="K773" s="564" t="s">
        <v>1120</v>
      </c>
      <c r="L773" s="564" t="s">
        <v>2098</v>
      </c>
      <c r="M773" s="564" t="s">
        <v>2098</v>
      </c>
      <c r="N773" s="564" t="s">
        <v>70</v>
      </c>
      <c r="O773" s="564" t="s">
        <v>2099</v>
      </c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 spans="1:26" ht="13">
      <c r="A774" s="562" t="s">
        <v>513</v>
      </c>
      <c r="B774" s="563" t="s">
        <v>511</v>
      </c>
      <c r="C774" s="564" t="s">
        <v>353</v>
      </c>
      <c r="D774" s="565">
        <v>45324</v>
      </c>
      <c r="E774" s="565">
        <v>45336</v>
      </c>
      <c r="F774" s="566">
        <v>120000</v>
      </c>
      <c r="G774" s="564" t="s">
        <v>349</v>
      </c>
      <c r="H774" s="564" t="s">
        <v>349</v>
      </c>
      <c r="I774" s="564" t="s">
        <v>64</v>
      </c>
      <c r="J774" s="564" t="s">
        <v>1372</v>
      </c>
      <c r="K774" s="564" t="s">
        <v>1090</v>
      </c>
      <c r="L774" s="564" t="s">
        <v>2098</v>
      </c>
      <c r="M774" s="564" t="s">
        <v>2098</v>
      </c>
      <c r="N774" s="564" t="s">
        <v>64</v>
      </c>
      <c r="O774" s="564" t="s">
        <v>2099</v>
      </c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 spans="1:26" ht="13">
      <c r="A775" s="562" t="s">
        <v>2867</v>
      </c>
      <c r="B775" s="563" t="s">
        <v>2868</v>
      </c>
      <c r="C775" s="564" t="s">
        <v>353</v>
      </c>
      <c r="D775" s="565">
        <v>45323</v>
      </c>
      <c r="E775" s="565">
        <v>45337</v>
      </c>
      <c r="F775" s="566">
        <v>22110000</v>
      </c>
      <c r="G775" s="564" t="s">
        <v>1128</v>
      </c>
      <c r="H775" s="564" t="s">
        <v>1128</v>
      </c>
      <c r="I775" s="564" t="s">
        <v>45</v>
      </c>
      <c r="J775" s="564" t="s">
        <v>1372</v>
      </c>
      <c r="K775" s="564" t="s">
        <v>1090</v>
      </c>
      <c r="L775" s="564" t="s">
        <v>2098</v>
      </c>
      <c r="M775" s="564" t="s">
        <v>2098</v>
      </c>
      <c r="N775" s="564" t="s">
        <v>45</v>
      </c>
      <c r="O775" s="564" t="s">
        <v>2099</v>
      </c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 spans="1:26" ht="13">
      <c r="A776" s="562" t="s">
        <v>2869</v>
      </c>
      <c r="B776" s="563" t="s">
        <v>2870</v>
      </c>
      <c r="C776" s="564" t="s">
        <v>353</v>
      </c>
      <c r="D776" s="565">
        <v>45316</v>
      </c>
      <c r="E776" s="565">
        <v>45331</v>
      </c>
      <c r="F776" s="566">
        <v>19900000</v>
      </c>
      <c r="G776" s="564" t="s">
        <v>1128</v>
      </c>
      <c r="H776" s="564" t="s">
        <v>1128</v>
      </c>
      <c r="I776" s="564" t="s">
        <v>45</v>
      </c>
      <c r="J776" s="564" t="s">
        <v>1372</v>
      </c>
      <c r="K776" s="564" t="s">
        <v>1090</v>
      </c>
      <c r="L776" s="564" t="s">
        <v>2098</v>
      </c>
      <c r="M776" s="564" t="s">
        <v>2098</v>
      </c>
      <c r="N776" s="564" t="s">
        <v>45</v>
      </c>
      <c r="O776" s="564" t="s">
        <v>2099</v>
      </c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 spans="1:26" ht="13">
      <c r="A777" s="562" t="s">
        <v>2871</v>
      </c>
      <c r="B777" s="563" t="s">
        <v>2872</v>
      </c>
      <c r="C777" s="564" t="s">
        <v>1652</v>
      </c>
      <c r="D777" s="565">
        <v>45320</v>
      </c>
      <c r="E777" s="565">
        <v>45327</v>
      </c>
      <c r="F777" s="566">
        <v>1470000</v>
      </c>
      <c r="G777" s="564" t="s">
        <v>674</v>
      </c>
      <c r="H777" s="564" t="s">
        <v>674</v>
      </c>
      <c r="I777" s="564" t="s">
        <v>70</v>
      </c>
      <c r="J777" s="564" t="s">
        <v>1372</v>
      </c>
      <c r="K777" s="564" t="s">
        <v>1120</v>
      </c>
      <c r="L777" s="564" t="s">
        <v>2098</v>
      </c>
      <c r="M777" s="564" t="s">
        <v>2098</v>
      </c>
      <c r="N777" s="564" t="s">
        <v>70</v>
      </c>
      <c r="O777" s="564" t="s">
        <v>2099</v>
      </c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 spans="1:26" ht="13">
      <c r="A778" s="562" t="s">
        <v>2873</v>
      </c>
      <c r="B778" s="563" t="s">
        <v>2874</v>
      </c>
      <c r="C778" s="564" t="s">
        <v>2875</v>
      </c>
      <c r="D778" s="565">
        <v>45320</v>
      </c>
      <c r="E778" s="565">
        <v>45351</v>
      </c>
      <c r="F778" s="566">
        <v>1726000000</v>
      </c>
      <c r="G778" s="564" t="s">
        <v>2876</v>
      </c>
      <c r="H778" s="564" t="s">
        <v>2876</v>
      </c>
      <c r="I778" s="564" t="s">
        <v>2877</v>
      </c>
      <c r="J778" s="564" t="s">
        <v>1069</v>
      </c>
      <c r="K778" s="564" t="s">
        <v>2878</v>
      </c>
      <c r="L778" s="564" t="s">
        <v>2098</v>
      </c>
      <c r="M778" s="564" t="s">
        <v>2098</v>
      </c>
      <c r="N778" s="564" t="s">
        <v>2543</v>
      </c>
      <c r="O778" s="564" t="s">
        <v>2099</v>
      </c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 spans="1:26" ht="13">
      <c r="A779" s="562" t="s">
        <v>2879</v>
      </c>
      <c r="B779" s="563" t="s">
        <v>2880</v>
      </c>
      <c r="C779" s="564" t="s">
        <v>1652</v>
      </c>
      <c r="D779" s="565">
        <v>45314</v>
      </c>
      <c r="E779" s="565">
        <v>45321</v>
      </c>
      <c r="F779" s="566">
        <v>1990000</v>
      </c>
      <c r="G779" s="564" t="s">
        <v>674</v>
      </c>
      <c r="H779" s="564" t="s">
        <v>674</v>
      </c>
      <c r="I779" s="564" t="s">
        <v>1281</v>
      </c>
      <c r="J779" s="564" t="s">
        <v>1372</v>
      </c>
      <c r="K779" s="564" t="s">
        <v>1120</v>
      </c>
      <c r="L779" s="564" t="s">
        <v>2098</v>
      </c>
      <c r="M779" s="564" t="s">
        <v>2098</v>
      </c>
      <c r="N779" s="564" t="s">
        <v>70</v>
      </c>
      <c r="O779" s="564" t="s">
        <v>2099</v>
      </c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 spans="1:26" ht="13">
      <c r="A780" s="562" t="s">
        <v>2881</v>
      </c>
      <c r="B780" s="563" t="s">
        <v>2882</v>
      </c>
      <c r="C780" s="564" t="s">
        <v>1652</v>
      </c>
      <c r="D780" s="565">
        <v>45313</v>
      </c>
      <c r="E780" s="565">
        <v>45320</v>
      </c>
      <c r="F780" s="566">
        <v>1575000</v>
      </c>
      <c r="G780" s="564" t="s">
        <v>674</v>
      </c>
      <c r="H780" s="564" t="s">
        <v>674</v>
      </c>
      <c r="I780" s="564" t="s">
        <v>70</v>
      </c>
      <c r="J780" s="564" t="s">
        <v>1372</v>
      </c>
      <c r="K780" s="564" t="s">
        <v>1120</v>
      </c>
      <c r="L780" s="564" t="s">
        <v>2098</v>
      </c>
      <c r="M780" s="564" t="s">
        <v>2098</v>
      </c>
      <c r="N780" s="564" t="s">
        <v>70</v>
      </c>
      <c r="O780" s="564" t="s">
        <v>2099</v>
      </c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 spans="1:26" ht="13">
      <c r="A781" s="562" t="s">
        <v>2883</v>
      </c>
      <c r="B781" s="563" t="s">
        <v>2884</v>
      </c>
      <c r="C781" s="564" t="s">
        <v>1652</v>
      </c>
      <c r="D781" s="565">
        <v>45310</v>
      </c>
      <c r="E781" s="565">
        <v>45317</v>
      </c>
      <c r="F781" s="566">
        <v>2940000</v>
      </c>
      <c r="G781" s="564" t="s">
        <v>674</v>
      </c>
      <c r="H781" s="564" t="s">
        <v>674</v>
      </c>
      <c r="I781" s="564" t="s">
        <v>70</v>
      </c>
      <c r="J781" s="564" t="s">
        <v>1372</v>
      </c>
      <c r="K781" s="564" t="s">
        <v>1120</v>
      </c>
      <c r="L781" s="564" t="s">
        <v>2098</v>
      </c>
      <c r="M781" s="564" t="s">
        <v>2098</v>
      </c>
      <c r="N781" s="564" t="s">
        <v>70</v>
      </c>
      <c r="O781" s="564" t="s">
        <v>2099</v>
      </c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 spans="1:26" ht="13">
      <c r="A782" s="562" t="s">
        <v>2885</v>
      </c>
      <c r="B782" s="563" t="s">
        <v>2886</v>
      </c>
      <c r="C782" s="564" t="s">
        <v>353</v>
      </c>
      <c r="D782" s="565">
        <v>45301</v>
      </c>
      <c r="E782" s="565">
        <v>45322</v>
      </c>
      <c r="F782" s="566">
        <v>127000000</v>
      </c>
      <c r="G782" s="564" t="s">
        <v>1128</v>
      </c>
      <c r="H782" s="564" t="s">
        <v>1128</v>
      </c>
      <c r="I782" s="564" t="s">
        <v>45</v>
      </c>
      <c r="J782" s="564" t="s">
        <v>1372</v>
      </c>
      <c r="K782" s="564" t="s">
        <v>1090</v>
      </c>
      <c r="L782" s="564" t="s">
        <v>2098</v>
      </c>
      <c r="M782" s="564" t="s">
        <v>2098</v>
      </c>
      <c r="N782" s="564" t="s">
        <v>45</v>
      </c>
      <c r="O782" s="564" t="s">
        <v>2099</v>
      </c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 spans="1:26" ht="13">
      <c r="A783" s="562" t="s">
        <v>2887</v>
      </c>
      <c r="B783" s="563" t="s">
        <v>2888</v>
      </c>
      <c r="C783" s="564" t="s">
        <v>353</v>
      </c>
      <c r="D783" s="565">
        <v>45306</v>
      </c>
      <c r="E783" s="565">
        <v>45322</v>
      </c>
      <c r="F783" s="566">
        <v>170540000</v>
      </c>
      <c r="G783" s="564" t="s">
        <v>1128</v>
      </c>
      <c r="H783" s="564" t="s">
        <v>1128</v>
      </c>
      <c r="I783" s="564" t="s">
        <v>45</v>
      </c>
      <c r="J783" s="564" t="s">
        <v>1372</v>
      </c>
      <c r="K783" s="564" t="s">
        <v>1090</v>
      </c>
      <c r="L783" s="564" t="s">
        <v>2098</v>
      </c>
      <c r="M783" s="564" t="s">
        <v>2098</v>
      </c>
      <c r="N783" s="564" t="s">
        <v>45</v>
      </c>
      <c r="O783" s="564" t="s">
        <v>2099</v>
      </c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 spans="1:26" ht="13">
      <c r="A784" s="562" t="s">
        <v>2889</v>
      </c>
      <c r="B784" s="563" t="s">
        <v>2890</v>
      </c>
      <c r="C784" s="564" t="s">
        <v>353</v>
      </c>
      <c r="D784" s="565">
        <v>45293</v>
      </c>
      <c r="E784" s="565">
        <v>45322</v>
      </c>
      <c r="F784" s="566">
        <v>257600000</v>
      </c>
      <c r="G784" s="564" t="s">
        <v>1128</v>
      </c>
      <c r="H784" s="564" t="s">
        <v>1128</v>
      </c>
      <c r="I784" s="564" t="s">
        <v>45</v>
      </c>
      <c r="J784" s="564" t="s">
        <v>1372</v>
      </c>
      <c r="K784" s="564" t="s">
        <v>1090</v>
      </c>
      <c r="L784" s="564" t="s">
        <v>2098</v>
      </c>
      <c r="M784" s="564" t="s">
        <v>2098</v>
      </c>
      <c r="N784" s="564" t="s">
        <v>45</v>
      </c>
      <c r="O784" s="564" t="s">
        <v>2099</v>
      </c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 spans="1:26" ht="13">
      <c r="A785" s="562" t="s">
        <v>498</v>
      </c>
      <c r="B785" s="563" t="s">
        <v>2891</v>
      </c>
      <c r="C785" s="564" t="s">
        <v>1652</v>
      </c>
      <c r="D785" s="565">
        <v>45307</v>
      </c>
      <c r="E785" s="565">
        <v>45314</v>
      </c>
      <c r="F785" s="566">
        <v>1470000</v>
      </c>
      <c r="G785" s="564" t="s">
        <v>674</v>
      </c>
      <c r="H785" s="564" t="s">
        <v>674</v>
      </c>
      <c r="I785" s="564" t="s">
        <v>70</v>
      </c>
      <c r="J785" s="564" t="s">
        <v>1372</v>
      </c>
      <c r="K785" s="564" t="s">
        <v>1120</v>
      </c>
      <c r="L785" s="564" t="s">
        <v>2098</v>
      </c>
      <c r="M785" s="564" t="s">
        <v>2098</v>
      </c>
      <c r="N785" s="564" t="s">
        <v>70</v>
      </c>
      <c r="O785" s="564" t="s">
        <v>2099</v>
      </c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 spans="1:26" ht="13">
      <c r="A786" s="562" t="s">
        <v>503</v>
      </c>
      <c r="B786" s="563" t="s">
        <v>2892</v>
      </c>
      <c r="C786" s="564" t="s">
        <v>1652</v>
      </c>
      <c r="D786" s="565">
        <v>45307</v>
      </c>
      <c r="E786" s="565">
        <v>45314</v>
      </c>
      <c r="F786" s="566">
        <v>3490000</v>
      </c>
      <c r="G786" s="564" t="s">
        <v>674</v>
      </c>
      <c r="H786" s="564" t="s">
        <v>674</v>
      </c>
      <c r="I786" s="564" t="s">
        <v>70</v>
      </c>
      <c r="J786" s="564" t="s">
        <v>1372</v>
      </c>
      <c r="K786" s="564" t="s">
        <v>1120</v>
      </c>
      <c r="L786" s="564" t="s">
        <v>2098</v>
      </c>
      <c r="M786" s="564" t="s">
        <v>2098</v>
      </c>
      <c r="N786" s="564" t="s">
        <v>70</v>
      </c>
      <c r="O786" s="564" t="s">
        <v>2099</v>
      </c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 spans="1:26" ht="13">
      <c r="A787" s="562" t="s">
        <v>486</v>
      </c>
      <c r="B787" s="563" t="s">
        <v>2893</v>
      </c>
      <c r="C787" s="564" t="s">
        <v>1652</v>
      </c>
      <c r="D787" s="565">
        <v>45306</v>
      </c>
      <c r="E787" s="565">
        <v>45313</v>
      </c>
      <c r="F787" s="566">
        <v>170000</v>
      </c>
      <c r="G787" s="564" t="s">
        <v>674</v>
      </c>
      <c r="H787" s="564" t="s">
        <v>674</v>
      </c>
      <c r="I787" s="564" t="s">
        <v>70</v>
      </c>
      <c r="J787" s="564" t="s">
        <v>1372</v>
      </c>
      <c r="K787" s="564" t="s">
        <v>1120</v>
      </c>
      <c r="L787" s="564" t="s">
        <v>2098</v>
      </c>
      <c r="M787" s="564" t="s">
        <v>2098</v>
      </c>
      <c r="N787" s="564" t="s">
        <v>70</v>
      </c>
      <c r="O787" s="564" t="s">
        <v>2099</v>
      </c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 spans="1:26" ht="13">
      <c r="A788" s="562" t="s">
        <v>472</v>
      </c>
      <c r="B788" s="563" t="s">
        <v>2894</v>
      </c>
      <c r="C788" s="564" t="s">
        <v>1652</v>
      </c>
      <c r="D788" s="565">
        <v>45301</v>
      </c>
      <c r="E788" s="565">
        <v>45308</v>
      </c>
      <c r="F788" s="566">
        <v>380000</v>
      </c>
      <c r="G788" s="564" t="s">
        <v>674</v>
      </c>
      <c r="H788" s="564" t="s">
        <v>674</v>
      </c>
      <c r="I788" s="564" t="s">
        <v>70</v>
      </c>
      <c r="J788" s="564" t="s">
        <v>1372</v>
      </c>
      <c r="K788" s="564" t="s">
        <v>1120</v>
      </c>
      <c r="L788" s="564" t="s">
        <v>2098</v>
      </c>
      <c r="M788" s="564" t="s">
        <v>2098</v>
      </c>
      <c r="N788" s="564" t="s">
        <v>70</v>
      </c>
      <c r="O788" s="564" t="s">
        <v>2099</v>
      </c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 spans="1:26" ht="13">
      <c r="A789" s="562" t="s">
        <v>456</v>
      </c>
      <c r="B789" s="563" t="s">
        <v>454</v>
      </c>
      <c r="C789" s="564" t="s">
        <v>1652</v>
      </c>
      <c r="D789" s="565">
        <v>45301</v>
      </c>
      <c r="E789" s="565">
        <v>45310</v>
      </c>
      <c r="F789" s="566">
        <v>4420000</v>
      </c>
      <c r="G789" s="564" t="s">
        <v>674</v>
      </c>
      <c r="H789" s="564" t="s">
        <v>674</v>
      </c>
      <c r="I789" s="564" t="s">
        <v>1281</v>
      </c>
      <c r="J789" s="564" t="s">
        <v>1372</v>
      </c>
      <c r="K789" s="564" t="s">
        <v>1120</v>
      </c>
      <c r="L789" s="564" t="s">
        <v>2098</v>
      </c>
      <c r="M789" s="564" t="s">
        <v>2098</v>
      </c>
      <c r="N789" s="564" t="s">
        <v>1073</v>
      </c>
      <c r="O789" s="564" t="s">
        <v>2099</v>
      </c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 spans="1:26" ht="13">
      <c r="A790" s="562" t="s">
        <v>479</v>
      </c>
      <c r="B790" s="563" t="s">
        <v>477</v>
      </c>
      <c r="C790" s="564" t="s">
        <v>1652</v>
      </c>
      <c r="D790" s="565">
        <v>45300</v>
      </c>
      <c r="E790" s="565">
        <v>45310</v>
      </c>
      <c r="F790" s="566">
        <v>3280000</v>
      </c>
      <c r="G790" s="564" t="s">
        <v>674</v>
      </c>
      <c r="H790" s="564" t="s">
        <v>674</v>
      </c>
      <c r="I790" s="564" t="s">
        <v>107</v>
      </c>
      <c r="J790" s="564" t="s">
        <v>1372</v>
      </c>
      <c r="K790" s="564" t="s">
        <v>1120</v>
      </c>
      <c r="L790" s="564" t="s">
        <v>2098</v>
      </c>
      <c r="M790" s="564" t="s">
        <v>2098</v>
      </c>
      <c r="N790" s="564" t="s">
        <v>1073</v>
      </c>
      <c r="O790" s="564" t="s">
        <v>2099</v>
      </c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 spans="1:26" ht="13">
      <c r="A791" s="562" t="s">
        <v>463</v>
      </c>
      <c r="B791" s="563" t="s">
        <v>2895</v>
      </c>
      <c r="C791" s="564" t="s">
        <v>1652</v>
      </c>
      <c r="D791" s="565">
        <v>45300</v>
      </c>
      <c r="E791" s="565">
        <v>45307</v>
      </c>
      <c r="F791" s="566">
        <v>3320000</v>
      </c>
      <c r="G791" s="564" t="s">
        <v>674</v>
      </c>
      <c r="H791" s="564" t="s">
        <v>674</v>
      </c>
      <c r="I791" s="564" t="s">
        <v>70</v>
      </c>
      <c r="J791" s="564" t="s">
        <v>1372</v>
      </c>
      <c r="K791" s="564" t="s">
        <v>1120</v>
      </c>
      <c r="L791" s="564" t="s">
        <v>2098</v>
      </c>
      <c r="M791" s="564" t="s">
        <v>2098</v>
      </c>
      <c r="N791" s="564" t="s">
        <v>70</v>
      </c>
      <c r="O791" s="564" t="s">
        <v>2099</v>
      </c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 spans="1:26" ht="13">
      <c r="A792" s="562" t="s">
        <v>491</v>
      </c>
      <c r="B792" s="563" t="s">
        <v>2896</v>
      </c>
      <c r="C792" s="564" t="s">
        <v>1652</v>
      </c>
      <c r="D792" s="565">
        <v>45300</v>
      </c>
      <c r="E792" s="565">
        <v>45307</v>
      </c>
      <c r="F792" s="566">
        <v>445000</v>
      </c>
      <c r="G792" s="564" t="s">
        <v>674</v>
      </c>
      <c r="H792" s="564" t="s">
        <v>674</v>
      </c>
      <c r="I792" s="564" t="s">
        <v>70</v>
      </c>
      <c r="J792" s="564" t="s">
        <v>1372</v>
      </c>
      <c r="K792" s="564" t="s">
        <v>1120</v>
      </c>
      <c r="L792" s="564" t="s">
        <v>2098</v>
      </c>
      <c r="M792" s="564" t="s">
        <v>2098</v>
      </c>
      <c r="N792" s="564" t="s">
        <v>70</v>
      </c>
      <c r="O792" s="564" t="s">
        <v>2099</v>
      </c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 spans="1:26" ht="13">
      <c r="A793" s="562" t="s">
        <v>449</v>
      </c>
      <c r="B793" s="563" t="s">
        <v>2897</v>
      </c>
      <c r="C793" s="564" t="s">
        <v>1652</v>
      </c>
      <c r="D793" s="565">
        <v>45300</v>
      </c>
      <c r="E793" s="565">
        <v>45307</v>
      </c>
      <c r="F793" s="566">
        <v>1785000</v>
      </c>
      <c r="G793" s="564" t="s">
        <v>674</v>
      </c>
      <c r="H793" s="564" t="s">
        <v>674</v>
      </c>
      <c r="I793" s="564" t="s">
        <v>70</v>
      </c>
      <c r="J793" s="564" t="s">
        <v>1372</v>
      </c>
      <c r="K793" s="564" t="s">
        <v>1120</v>
      </c>
      <c r="L793" s="564" t="s">
        <v>2098</v>
      </c>
      <c r="M793" s="564" t="s">
        <v>2098</v>
      </c>
      <c r="N793" s="564" t="s">
        <v>70</v>
      </c>
      <c r="O793" s="564" t="s">
        <v>2099</v>
      </c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 spans="1:26" ht="13">
      <c r="A794" s="562" t="s">
        <v>439</v>
      </c>
      <c r="B794" s="563" t="s">
        <v>2898</v>
      </c>
      <c r="C794" s="564" t="s">
        <v>1652</v>
      </c>
      <c r="D794" s="565">
        <v>45300</v>
      </c>
      <c r="E794" s="565">
        <v>45307</v>
      </c>
      <c r="F794" s="566">
        <v>4410000</v>
      </c>
      <c r="G794" s="564" t="s">
        <v>674</v>
      </c>
      <c r="H794" s="564" t="s">
        <v>674</v>
      </c>
      <c r="I794" s="564" t="s">
        <v>70</v>
      </c>
      <c r="J794" s="564" t="s">
        <v>1372</v>
      </c>
      <c r="K794" s="564" t="s">
        <v>1120</v>
      </c>
      <c r="L794" s="564" t="s">
        <v>2098</v>
      </c>
      <c r="M794" s="564" t="s">
        <v>2098</v>
      </c>
      <c r="N794" s="564" t="s">
        <v>70</v>
      </c>
      <c r="O794" s="564" t="s">
        <v>2099</v>
      </c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 spans="1:26" ht="13">
      <c r="A795" s="562" t="s">
        <v>444</v>
      </c>
      <c r="B795" s="563" t="s">
        <v>2899</v>
      </c>
      <c r="C795" s="564" t="s">
        <v>1652</v>
      </c>
      <c r="D795" s="565">
        <v>45300</v>
      </c>
      <c r="E795" s="565">
        <v>45307</v>
      </c>
      <c r="F795" s="566">
        <v>2040000</v>
      </c>
      <c r="G795" s="564" t="s">
        <v>674</v>
      </c>
      <c r="H795" s="564" t="s">
        <v>674</v>
      </c>
      <c r="I795" s="564" t="s">
        <v>70</v>
      </c>
      <c r="J795" s="564" t="s">
        <v>1372</v>
      </c>
      <c r="K795" s="564" t="s">
        <v>1120</v>
      </c>
      <c r="L795" s="564" t="s">
        <v>2098</v>
      </c>
      <c r="M795" s="564" t="s">
        <v>2098</v>
      </c>
      <c r="N795" s="564" t="s">
        <v>70</v>
      </c>
      <c r="O795" s="564" t="s">
        <v>2099</v>
      </c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 spans="1:26" ht="13">
      <c r="A796" s="562" t="s">
        <v>434</v>
      </c>
      <c r="B796" s="563" t="s">
        <v>432</v>
      </c>
      <c r="C796" s="564" t="s">
        <v>1652</v>
      </c>
      <c r="D796" s="565">
        <v>45294</v>
      </c>
      <c r="E796" s="565">
        <v>45303</v>
      </c>
      <c r="F796" s="566">
        <v>1995000</v>
      </c>
      <c r="G796" s="564" t="s">
        <v>674</v>
      </c>
      <c r="H796" s="564" t="s">
        <v>674</v>
      </c>
      <c r="I796" s="564" t="s">
        <v>1281</v>
      </c>
      <c r="J796" s="564" t="s">
        <v>1372</v>
      </c>
      <c r="K796" s="564" t="s">
        <v>1120</v>
      </c>
      <c r="L796" s="564" t="s">
        <v>2098</v>
      </c>
      <c r="M796" s="564" t="s">
        <v>2098</v>
      </c>
      <c r="N796" s="564" t="s">
        <v>1073</v>
      </c>
      <c r="O796" s="564" t="s">
        <v>2099</v>
      </c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 spans="1:26" ht="13">
      <c r="A797" s="562" t="s">
        <v>417</v>
      </c>
      <c r="B797" s="563" t="s">
        <v>415</v>
      </c>
      <c r="C797" s="564" t="s">
        <v>1652</v>
      </c>
      <c r="D797" s="565">
        <v>45293</v>
      </c>
      <c r="E797" s="565">
        <v>45322</v>
      </c>
      <c r="F797" s="566">
        <v>127170000</v>
      </c>
      <c r="G797" s="564" t="s">
        <v>674</v>
      </c>
      <c r="H797" s="564" t="s">
        <v>674</v>
      </c>
      <c r="I797" s="564" t="s">
        <v>107</v>
      </c>
      <c r="J797" s="564" t="s">
        <v>1372</v>
      </c>
      <c r="K797" s="564" t="s">
        <v>1120</v>
      </c>
      <c r="L797" s="564" t="s">
        <v>2098</v>
      </c>
      <c r="M797" s="564" t="s">
        <v>2098</v>
      </c>
      <c r="N797" s="564" t="s">
        <v>1073</v>
      </c>
      <c r="O797" s="564" t="s">
        <v>2099</v>
      </c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 spans="1:26" ht="13">
      <c r="A798" s="562" t="s">
        <v>423</v>
      </c>
      <c r="B798" s="563" t="s">
        <v>421</v>
      </c>
      <c r="C798" s="564" t="s">
        <v>1652</v>
      </c>
      <c r="D798" s="565">
        <v>45288</v>
      </c>
      <c r="E798" s="565">
        <v>45322</v>
      </c>
      <c r="F798" s="566">
        <v>28000000</v>
      </c>
      <c r="G798" s="564" t="s">
        <v>297</v>
      </c>
      <c r="H798" s="564" t="s">
        <v>297</v>
      </c>
      <c r="I798" s="564" t="s">
        <v>107</v>
      </c>
      <c r="J798" s="564" t="s">
        <v>1372</v>
      </c>
      <c r="K798" s="564" t="s">
        <v>1120</v>
      </c>
      <c r="L798" s="564" t="s">
        <v>2098</v>
      </c>
      <c r="M798" s="564" t="s">
        <v>2098</v>
      </c>
      <c r="N798" s="564" t="s">
        <v>1073</v>
      </c>
      <c r="O798" s="564" t="s">
        <v>2099</v>
      </c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 spans="1:26" ht="13">
      <c r="A799" s="562" t="s">
        <v>397</v>
      </c>
      <c r="B799" s="563" t="s">
        <v>2900</v>
      </c>
      <c r="C799" s="564" t="s">
        <v>1652</v>
      </c>
      <c r="D799" s="565">
        <v>45293</v>
      </c>
      <c r="E799" s="565">
        <v>45300</v>
      </c>
      <c r="F799" s="566">
        <v>36750000</v>
      </c>
      <c r="G799" s="564" t="s">
        <v>674</v>
      </c>
      <c r="H799" s="564" t="s">
        <v>674</v>
      </c>
      <c r="I799" s="564" t="s">
        <v>70</v>
      </c>
      <c r="J799" s="564" t="s">
        <v>1372</v>
      </c>
      <c r="K799" s="564" t="s">
        <v>1120</v>
      </c>
      <c r="L799" s="564" t="s">
        <v>2098</v>
      </c>
      <c r="M799" s="564" t="s">
        <v>2098</v>
      </c>
      <c r="N799" s="564" t="s">
        <v>70</v>
      </c>
      <c r="O799" s="564" t="s">
        <v>2099</v>
      </c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 spans="1:26" ht="13">
      <c r="A800" s="562" t="s">
        <v>428</v>
      </c>
      <c r="B800" s="563" t="s">
        <v>2901</v>
      </c>
      <c r="C800" s="564" t="s">
        <v>1652</v>
      </c>
      <c r="D800" s="565">
        <v>45289</v>
      </c>
      <c r="E800" s="565">
        <v>45351</v>
      </c>
      <c r="F800" s="566">
        <v>2000000</v>
      </c>
      <c r="G800" s="564" t="s">
        <v>297</v>
      </c>
      <c r="H800" s="564" t="s">
        <v>297</v>
      </c>
      <c r="I800" s="564" t="s">
        <v>107</v>
      </c>
      <c r="J800" s="564" t="s">
        <v>1372</v>
      </c>
      <c r="K800" s="564" t="s">
        <v>1120</v>
      </c>
      <c r="L800" s="564" t="s">
        <v>2098</v>
      </c>
      <c r="M800" s="564" t="s">
        <v>2098</v>
      </c>
      <c r="N800" s="564" t="s">
        <v>1073</v>
      </c>
      <c r="O800" s="564" t="s">
        <v>2099</v>
      </c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 spans="1:26" ht="13">
      <c r="A801" s="562" t="s">
        <v>408</v>
      </c>
      <c r="B801" s="563" t="s">
        <v>2902</v>
      </c>
      <c r="C801" s="564" t="s">
        <v>1652</v>
      </c>
      <c r="D801" s="565">
        <v>45293</v>
      </c>
      <c r="E801" s="565">
        <v>45300</v>
      </c>
      <c r="F801" s="566">
        <v>2760000</v>
      </c>
      <c r="G801" s="564" t="s">
        <v>674</v>
      </c>
      <c r="H801" s="564" t="s">
        <v>674</v>
      </c>
      <c r="I801" s="564" t="s">
        <v>70</v>
      </c>
      <c r="J801" s="564" t="s">
        <v>1372</v>
      </c>
      <c r="K801" s="564" t="s">
        <v>1120</v>
      </c>
      <c r="L801" s="564" t="s">
        <v>2098</v>
      </c>
      <c r="M801" s="564" t="s">
        <v>2098</v>
      </c>
      <c r="N801" s="564" t="s">
        <v>70</v>
      </c>
      <c r="O801" s="564" t="s">
        <v>2099</v>
      </c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 spans="1:26" ht="13">
      <c r="A802" s="562" t="s">
        <v>2903</v>
      </c>
      <c r="B802" s="563" t="s">
        <v>2904</v>
      </c>
      <c r="C802" s="564" t="s">
        <v>1652</v>
      </c>
      <c r="D802" s="565">
        <v>45287</v>
      </c>
      <c r="E802" s="565">
        <v>45301</v>
      </c>
      <c r="F802" s="566">
        <v>2720000</v>
      </c>
      <c r="G802" s="564" t="s">
        <v>349</v>
      </c>
      <c r="H802" s="564" t="s">
        <v>349</v>
      </c>
      <c r="I802" s="564" t="s">
        <v>107</v>
      </c>
      <c r="J802" s="564" t="s">
        <v>1069</v>
      </c>
      <c r="K802" s="564" t="s">
        <v>1120</v>
      </c>
      <c r="L802" s="564" t="s">
        <v>2098</v>
      </c>
      <c r="M802" s="564" t="s">
        <v>2098</v>
      </c>
      <c r="N802" s="564" t="s">
        <v>1073</v>
      </c>
      <c r="O802" s="564" t="s">
        <v>2099</v>
      </c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 spans="1:26" ht="13">
      <c r="A803" s="562" t="s">
        <v>402</v>
      </c>
      <c r="B803" s="563" t="s">
        <v>400</v>
      </c>
      <c r="C803" s="564" t="s">
        <v>1475</v>
      </c>
      <c r="D803" s="565">
        <v>45286</v>
      </c>
      <c r="E803" s="565">
        <v>45303</v>
      </c>
      <c r="F803" s="566">
        <v>153000</v>
      </c>
      <c r="G803" s="564" t="s">
        <v>349</v>
      </c>
      <c r="H803" s="564" t="s">
        <v>349</v>
      </c>
      <c r="I803" s="564" t="s">
        <v>146</v>
      </c>
      <c r="J803" s="564" t="s">
        <v>1069</v>
      </c>
      <c r="K803" s="564" t="s">
        <v>1070</v>
      </c>
      <c r="L803" s="564" t="s">
        <v>2098</v>
      </c>
      <c r="M803" s="564" t="s">
        <v>2098</v>
      </c>
      <c r="N803" s="564" t="s">
        <v>1073</v>
      </c>
      <c r="O803" s="564" t="s">
        <v>2099</v>
      </c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 spans="1:26" ht="13">
      <c r="A804" s="562" t="s">
        <v>387</v>
      </c>
      <c r="B804" s="563" t="s">
        <v>2905</v>
      </c>
      <c r="C804" s="564" t="s">
        <v>1652</v>
      </c>
      <c r="D804" s="565">
        <v>45286</v>
      </c>
      <c r="E804" s="565">
        <v>45296</v>
      </c>
      <c r="F804" s="566">
        <v>1745000</v>
      </c>
      <c r="G804" s="564" t="s">
        <v>349</v>
      </c>
      <c r="H804" s="564" t="s">
        <v>349</v>
      </c>
      <c r="I804" s="564" t="s">
        <v>70</v>
      </c>
      <c r="J804" s="564" t="s">
        <v>1069</v>
      </c>
      <c r="K804" s="564" t="s">
        <v>1120</v>
      </c>
      <c r="L804" s="564" t="s">
        <v>2098</v>
      </c>
      <c r="M804" s="564" t="s">
        <v>2098</v>
      </c>
      <c r="N804" s="564" t="s">
        <v>70</v>
      </c>
      <c r="O804" s="564" t="s">
        <v>2099</v>
      </c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 spans="1:26" ht="13">
      <c r="A805" s="562" t="s">
        <v>380</v>
      </c>
      <c r="B805" s="563" t="s">
        <v>2906</v>
      </c>
      <c r="C805" s="564" t="s">
        <v>1652</v>
      </c>
      <c r="D805" s="565">
        <v>45286</v>
      </c>
      <c r="E805" s="565">
        <v>45296</v>
      </c>
      <c r="F805" s="566">
        <v>1575000</v>
      </c>
      <c r="G805" s="564" t="s">
        <v>349</v>
      </c>
      <c r="H805" s="564" t="s">
        <v>349</v>
      </c>
      <c r="I805" s="564" t="s">
        <v>70</v>
      </c>
      <c r="J805" s="564" t="s">
        <v>1069</v>
      </c>
      <c r="K805" s="564" t="s">
        <v>1120</v>
      </c>
      <c r="L805" s="564" t="s">
        <v>2098</v>
      </c>
      <c r="M805" s="564" t="s">
        <v>2098</v>
      </c>
      <c r="N805" s="564" t="s">
        <v>70</v>
      </c>
      <c r="O805" s="564" t="s">
        <v>2099</v>
      </c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 spans="1:26" ht="13">
      <c r="A806" s="562" t="s">
        <v>371</v>
      </c>
      <c r="B806" s="563" t="s">
        <v>2907</v>
      </c>
      <c r="C806" s="564" t="s">
        <v>1652</v>
      </c>
      <c r="D806" s="565">
        <v>45286</v>
      </c>
      <c r="E806" s="565">
        <v>45296</v>
      </c>
      <c r="F806" s="566">
        <v>1785000</v>
      </c>
      <c r="G806" s="564" t="s">
        <v>349</v>
      </c>
      <c r="H806" s="564" t="s">
        <v>349</v>
      </c>
      <c r="I806" s="564" t="s">
        <v>70</v>
      </c>
      <c r="J806" s="564" t="s">
        <v>1069</v>
      </c>
      <c r="K806" s="564" t="s">
        <v>1120</v>
      </c>
      <c r="L806" s="564" t="s">
        <v>2098</v>
      </c>
      <c r="M806" s="564" t="s">
        <v>2098</v>
      </c>
      <c r="N806" s="564" t="s">
        <v>70</v>
      </c>
      <c r="O806" s="564" t="s">
        <v>2099</v>
      </c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 spans="1:26" ht="13">
      <c r="A807" s="562" t="s">
        <v>2908</v>
      </c>
      <c r="B807" s="563" t="s">
        <v>2909</v>
      </c>
      <c r="C807" s="564" t="s">
        <v>1652</v>
      </c>
      <c r="D807" s="565">
        <v>45282</v>
      </c>
      <c r="E807" s="565">
        <v>45289</v>
      </c>
      <c r="F807" s="566">
        <v>1420000</v>
      </c>
      <c r="G807" s="564" t="s">
        <v>349</v>
      </c>
      <c r="H807" s="564" t="s">
        <v>349</v>
      </c>
      <c r="I807" s="564" t="s">
        <v>70</v>
      </c>
      <c r="J807" s="564" t="s">
        <v>1069</v>
      </c>
      <c r="K807" s="564" t="s">
        <v>1120</v>
      </c>
      <c r="L807" s="564" t="s">
        <v>2098</v>
      </c>
      <c r="M807" s="564" t="s">
        <v>2098</v>
      </c>
      <c r="N807" s="564" t="s">
        <v>70</v>
      </c>
      <c r="O807" s="564" t="s">
        <v>2099</v>
      </c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 spans="1:26" ht="13">
      <c r="A808" s="562" t="s">
        <v>2910</v>
      </c>
      <c r="B808" s="563" t="s">
        <v>2911</v>
      </c>
      <c r="C808" s="564" t="s">
        <v>1114</v>
      </c>
      <c r="D808" s="565">
        <v>45279</v>
      </c>
      <c r="E808" s="565">
        <v>45303</v>
      </c>
      <c r="F808" s="566">
        <v>8121000</v>
      </c>
      <c r="G808" s="564" t="s">
        <v>1116</v>
      </c>
      <c r="H808" s="564" t="s">
        <v>1116</v>
      </c>
      <c r="I808" s="564" t="s">
        <v>125</v>
      </c>
      <c r="J808" s="564" t="s">
        <v>1069</v>
      </c>
      <c r="K808" s="564" t="s">
        <v>1070</v>
      </c>
      <c r="L808" s="564" t="s">
        <v>2098</v>
      </c>
      <c r="M808" s="564" t="s">
        <v>2098</v>
      </c>
      <c r="N808" s="564" t="s">
        <v>1073</v>
      </c>
      <c r="O808" s="564" t="s">
        <v>2099</v>
      </c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 spans="1:26" ht="13">
      <c r="A809" s="562" t="s">
        <v>2912</v>
      </c>
      <c r="B809" s="563" t="s">
        <v>2913</v>
      </c>
      <c r="C809" s="564" t="s">
        <v>1076</v>
      </c>
      <c r="D809" s="565">
        <v>45278</v>
      </c>
      <c r="E809" s="565">
        <v>45473</v>
      </c>
      <c r="F809" s="566">
        <v>794000</v>
      </c>
      <c r="G809" s="564" t="s">
        <v>1077</v>
      </c>
      <c r="H809" s="564" t="s">
        <v>1077</v>
      </c>
      <c r="I809" s="564" t="s">
        <v>637</v>
      </c>
      <c r="J809" s="564" t="s">
        <v>1069</v>
      </c>
      <c r="K809" s="564" t="s">
        <v>1070</v>
      </c>
      <c r="L809" s="564" t="s">
        <v>2098</v>
      </c>
      <c r="M809" s="564" t="s">
        <v>2098</v>
      </c>
      <c r="N809" s="564" t="s">
        <v>1082</v>
      </c>
      <c r="O809" s="564" t="s">
        <v>2099</v>
      </c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 spans="1:26" ht="13">
      <c r="A810" s="562" t="s">
        <v>2914</v>
      </c>
      <c r="B810" s="563" t="s">
        <v>2915</v>
      </c>
      <c r="C810" s="564" t="s">
        <v>1076</v>
      </c>
      <c r="D810" s="565">
        <v>45274</v>
      </c>
      <c r="E810" s="565">
        <v>45473</v>
      </c>
      <c r="F810" s="566">
        <v>866000</v>
      </c>
      <c r="G810" s="564" t="s">
        <v>1077</v>
      </c>
      <c r="H810" s="564" t="s">
        <v>1077</v>
      </c>
      <c r="I810" s="564" t="s">
        <v>637</v>
      </c>
      <c r="J810" s="564" t="s">
        <v>1069</v>
      </c>
      <c r="K810" s="564" t="s">
        <v>1070</v>
      </c>
      <c r="L810" s="564" t="s">
        <v>2098</v>
      </c>
      <c r="M810" s="564" t="s">
        <v>2098</v>
      </c>
      <c r="N810" s="564" t="s">
        <v>1082</v>
      </c>
      <c r="O810" s="564" t="s">
        <v>2099</v>
      </c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 spans="1:26" ht="13">
      <c r="A811" s="562" t="s">
        <v>2916</v>
      </c>
      <c r="B811" s="563" t="s">
        <v>2917</v>
      </c>
      <c r="C811" s="564" t="s">
        <v>1652</v>
      </c>
      <c r="D811" s="565">
        <v>45280</v>
      </c>
      <c r="E811" s="565">
        <v>45287</v>
      </c>
      <c r="F811" s="566">
        <v>2940000</v>
      </c>
      <c r="G811" s="564" t="s">
        <v>349</v>
      </c>
      <c r="H811" s="564" t="s">
        <v>349</v>
      </c>
      <c r="I811" s="564" t="s">
        <v>70</v>
      </c>
      <c r="J811" s="564" t="s">
        <v>1069</v>
      </c>
      <c r="K811" s="564" t="s">
        <v>1120</v>
      </c>
      <c r="L811" s="564" t="s">
        <v>2098</v>
      </c>
      <c r="M811" s="564" t="s">
        <v>2098</v>
      </c>
      <c r="N811" s="564" t="s">
        <v>70</v>
      </c>
      <c r="O811" s="564" t="s">
        <v>2099</v>
      </c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 spans="1:26" ht="13">
      <c r="A812" s="562" t="s">
        <v>2918</v>
      </c>
      <c r="B812" s="563" t="s">
        <v>2919</v>
      </c>
      <c r="C812" s="564" t="s">
        <v>1652</v>
      </c>
      <c r="D812" s="565">
        <v>45280</v>
      </c>
      <c r="E812" s="565">
        <v>45287</v>
      </c>
      <c r="F812" s="566">
        <v>615000</v>
      </c>
      <c r="G812" s="564" t="s">
        <v>349</v>
      </c>
      <c r="H812" s="564" t="s">
        <v>349</v>
      </c>
      <c r="I812" s="564" t="s">
        <v>70</v>
      </c>
      <c r="J812" s="564" t="s">
        <v>1069</v>
      </c>
      <c r="K812" s="564" t="s">
        <v>1120</v>
      </c>
      <c r="L812" s="564" t="s">
        <v>2098</v>
      </c>
      <c r="M812" s="564" t="s">
        <v>2098</v>
      </c>
      <c r="N812" s="564" t="s">
        <v>70</v>
      </c>
      <c r="O812" s="564" t="s">
        <v>2099</v>
      </c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 spans="1:26" ht="13">
      <c r="A813" s="562" t="s">
        <v>2920</v>
      </c>
      <c r="B813" s="563" t="s">
        <v>2921</v>
      </c>
      <c r="C813" s="564" t="s">
        <v>1652</v>
      </c>
      <c r="D813" s="565">
        <v>45280</v>
      </c>
      <c r="E813" s="565">
        <v>45287</v>
      </c>
      <c r="F813" s="566">
        <v>1575000</v>
      </c>
      <c r="G813" s="564" t="s">
        <v>349</v>
      </c>
      <c r="H813" s="564" t="s">
        <v>349</v>
      </c>
      <c r="I813" s="564" t="s">
        <v>70</v>
      </c>
      <c r="J813" s="564" t="s">
        <v>1069</v>
      </c>
      <c r="K813" s="564" t="s">
        <v>1120</v>
      </c>
      <c r="L813" s="564" t="s">
        <v>2098</v>
      </c>
      <c r="M813" s="564" t="s">
        <v>2098</v>
      </c>
      <c r="N813" s="564" t="s">
        <v>70</v>
      </c>
      <c r="O813" s="564" t="s">
        <v>2099</v>
      </c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 spans="1:26" ht="13">
      <c r="A814" s="562" t="s">
        <v>2922</v>
      </c>
      <c r="B814" s="563" t="s">
        <v>2923</v>
      </c>
      <c r="C814" s="564" t="s">
        <v>1652</v>
      </c>
      <c r="D814" s="565">
        <v>45279</v>
      </c>
      <c r="E814" s="565">
        <v>45287</v>
      </c>
      <c r="F814" s="566">
        <v>4410000</v>
      </c>
      <c r="G814" s="564" t="s">
        <v>349</v>
      </c>
      <c r="H814" s="564" t="s">
        <v>349</v>
      </c>
      <c r="I814" s="564" t="s">
        <v>107</v>
      </c>
      <c r="J814" s="564" t="s">
        <v>1069</v>
      </c>
      <c r="K814" s="564" t="s">
        <v>1120</v>
      </c>
      <c r="L814" s="564" t="s">
        <v>2098</v>
      </c>
      <c r="M814" s="564" t="s">
        <v>2098</v>
      </c>
      <c r="N814" s="564" t="s">
        <v>1073</v>
      </c>
      <c r="O814" s="564" t="s">
        <v>2099</v>
      </c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 spans="1:26" ht="13">
      <c r="A815" s="562" t="s">
        <v>2924</v>
      </c>
      <c r="B815" s="563" t="s">
        <v>2925</v>
      </c>
      <c r="C815" s="564" t="s">
        <v>353</v>
      </c>
      <c r="D815" s="565">
        <v>45279</v>
      </c>
      <c r="E815" s="565">
        <v>45287</v>
      </c>
      <c r="F815" s="566">
        <v>1260000</v>
      </c>
      <c r="G815" s="564" t="s">
        <v>349</v>
      </c>
      <c r="H815" s="564" t="s">
        <v>349</v>
      </c>
      <c r="I815" s="564" t="s">
        <v>170</v>
      </c>
      <c r="J815" s="564" t="s">
        <v>1069</v>
      </c>
      <c r="K815" s="564" t="s">
        <v>1105</v>
      </c>
      <c r="L815" s="564" t="s">
        <v>2098</v>
      </c>
      <c r="M815" s="564" t="s">
        <v>2098</v>
      </c>
      <c r="N815" s="564" t="s">
        <v>170</v>
      </c>
      <c r="O815" s="564" t="s">
        <v>2099</v>
      </c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 spans="1:26" ht="13">
      <c r="A816" s="562" t="s">
        <v>2926</v>
      </c>
      <c r="B816" s="563" t="s">
        <v>2927</v>
      </c>
      <c r="C816" s="564" t="s">
        <v>1652</v>
      </c>
      <c r="D816" s="565">
        <v>45275</v>
      </c>
      <c r="E816" s="565">
        <v>45282</v>
      </c>
      <c r="F816" s="566">
        <v>3490000</v>
      </c>
      <c r="G816" s="564" t="s">
        <v>349</v>
      </c>
      <c r="H816" s="564" t="s">
        <v>349</v>
      </c>
      <c r="I816" s="564" t="s">
        <v>70</v>
      </c>
      <c r="J816" s="564" t="s">
        <v>1069</v>
      </c>
      <c r="K816" s="564" t="s">
        <v>1120</v>
      </c>
      <c r="L816" s="564" t="s">
        <v>2098</v>
      </c>
      <c r="M816" s="564" t="s">
        <v>2098</v>
      </c>
      <c r="N816" s="564" t="s">
        <v>70</v>
      </c>
      <c r="O816" s="564" t="s">
        <v>2099</v>
      </c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 spans="1:26" ht="13">
      <c r="A817" s="562" t="s">
        <v>2928</v>
      </c>
      <c r="B817" s="563" t="s">
        <v>2929</v>
      </c>
      <c r="C817" s="564" t="s">
        <v>1652</v>
      </c>
      <c r="D817" s="565">
        <v>45275</v>
      </c>
      <c r="E817" s="565">
        <v>45282</v>
      </c>
      <c r="F817" s="566">
        <v>1850000</v>
      </c>
      <c r="G817" s="564" t="s">
        <v>349</v>
      </c>
      <c r="H817" s="564" t="s">
        <v>349</v>
      </c>
      <c r="I817" s="564" t="s">
        <v>70</v>
      </c>
      <c r="J817" s="564" t="s">
        <v>1069</v>
      </c>
      <c r="K817" s="564" t="s">
        <v>1120</v>
      </c>
      <c r="L817" s="564" t="s">
        <v>2098</v>
      </c>
      <c r="M817" s="564" t="s">
        <v>2098</v>
      </c>
      <c r="N817" s="564" t="s">
        <v>70</v>
      </c>
      <c r="O817" s="564" t="s">
        <v>2099</v>
      </c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 spans="1:26" ht="13">
      <c r="A818" s="562" t="s">
        <v>2930</v>
      </c>
      <c r="B818" s="563" t="s">
        <v>2931</v>
      </c>
      <c r="C818" s="564" t="s">
        <v>1652</v>
      </c>
      <c r="D818" s="565">
        <v>45275</v>
      </c>
      <c r="E818" s="565">
        <v>45282</v>
      </c>
      <c r="F818" s="566">
        <v>3045000</v>
      </c>
      <c r="G818" s="564" t="s">
        <v>349</v>
      </c>
      <c r="H818" s="564" t="s">
        <v>349</v>
      </c>
      <c r="I818" s="564" t="s">
        <v>70</v>
      </c>
      <c r="J818" s="564" t="s">
        <v>1069</v>
      </c>
      <c r="K818" s="564" t="s">
        <v>1120</v>
      </c>
      <c r="L818" s="564" t="s">
        <v>2098</v>
      </c>
      <c r="M818" s="564" t="s">
        <v>2098</v>
      </c>
      <c r="N818" s="564" t="s">
        <v>70</v>
      </c>
      <c r="O818" s="564" t="s">
        <v>2099</v>
      </c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 spans="1:26" ht="13">
      <c r="A819" s="562" t="s">
        <v>2932</v>
      </c>
      <c r="B819" s="563" t="s">
        <v>2933</v>
      </c>
      <c r="C819" s="564" t="s">
        <v>1652</v>
      </c>
      <c r="D819" s="565">
        <v>45273</v>
      </c>
      <c r="E819" s="565">
        <v>45280</v>
      </c>
      <c r="F819" s="566">
        <v>7350000</v>
      </c>
      <c r="G819" s="564" t="s">
        <v>349</v>
      </c>
      <c r="H819" s="564" t="s">
        <v>349</v>
      </c>
      <c r="I819" s="564" t="s">
        <v>70</v>
      </c>
      <c r="J819" s="564" t="s">
        <v>1069</v>
      </c>
      <c r="K819" s="564" t="s">
        <v>1120</v>
      </c>
      <c r="L819" s="564" t="s">
        <v>2098</v>
      </c>
      <c r="M819" s="564" t="s">
        <v>2098</v>
      </c>
      <c r="N819" s="564" t="s">
        <v>70</v>
      </c>
      <c r="O819" s="564" t="s">
        <v>2099</v>
      </c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 spans="1:26" ht="13">
      <c r="A820" s="562" t="s">
        <v>2934</v>
      </c>
      <c r="B820" s="563" t="s">
        <v>2935</v>
      </c>
      <c r="C820" s="564" t="s">
        <v>1652</v>
      </c>
      <c r="D820" s="565">
        <v>45273</v>
      </c>
      <c r="E820" s="565">
        <v>45280</v>
      </c>
      <c r="F820" s="566">
        <v>3150000</v>
      </c>
      <c r="G820" s="564" t="s">
        <v>349</v>
      </c>
      <c r="H820" s="564" t="s">
        <v>349</v>
      </c>
      <c r="I820" s="564" t="s">
        <v>70</v>
      </c>
      <c r="J820" s="564" t="s">
        <v>1069</v>
      </c>
      <c r="K820" s="564" t="s">
        <v>1120</v>
      </c>
      <c r="L820" s="564" t="s">
        <v>2098</v>
      </c>
      <c r="M820" s="564" t="s">
        <v>2098</v>
      </c>
      <c r="N820" s="564" t="s">
        <v>70</v>
      </c>
      <c r="O820" s="564" t="s">
        <v>2099</v>
      </c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 spans="1:26" ht="13">
      <c r="A821" s="562" t="s">
        <v>2936</v>
      </c>
      <c r="B821" s="563" t="s">
        <v>2937</v>
      </c>
      <c r="C821" s="564" t="s">
        <v>1652</v>
      </c>
      <c r="D821" s="565">
        <v>45273</v>
      </c>
      <c r="E821" s="565">
        <v>45280</v>
      </c>
      <c r="F821" s="566">
        <v>4620000</v>
      </c>
      <c r="G821" s="564" t="s">
        <v>349</v>
      </c>
      <c r="H821" s="564" t="s">
        <v>349</v>
      </c>
      <c r="I821" s="564" t="s">
        <v>70</v>
      </c>
      <c r="J821" s="564" t="s">
        <v>1069</v>
      </c>
      <c r="K821" s="564" t="s">
        <v>1120</v>
      </c>
      <c r="L821" s="564" t="s">
        <v>2098</v>
      </c>
      <c r="M821" s="564" t="s">
        <v>2098</v>
      </c>
      <c r="N821" s="564" t="s">
        <v>70</v>
      </c>
      <c r="O821" s="564" t="s">
        <v>2099</v>
      </c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 spans="1:26" ht="13">
      <c r="A822" s="562" t="s">
        <v>2938</v>
      </c>
      <c r="B822" s="563" t="s">
        <v>2939</v>
      </c>
      <c r="C822" s="564" t="s">
        <v>1652</v>
      </c>
      <c r="D822" s="565">
        <v>45272</v>
      </c>
      <c r="E822" s="565">
        <v>45279</v>
      </c>
      <c r="F822" s="566">
        <v>1575000</v>
      </c>
      <c r="G822" s="564" t="s">
        <v>349</v>
      </c>
      <c r="H822" s="564" t="s">
        <v>349</v>
      </c>
      <c r="I822" s="564" t="s">
        <v>70</v>
      </c>
      <c r="J822" s="564" t="s">
        <v>1069</v>
      </c>
      <c r="K822" s="564" t="s">
        <v>1120</v>
      </c>
      <c r="L822" s="564" t="s">
        <v>2098</v>
      </c>
      <c r="M822" s="564" t="s">
        <v>2098</v>
      </c>
      <c r="N822" s="564" t="s">
        <v>70</v>
      </c>
      <c r="O822" s="564" t="s">
        <v>2099</v>
      </c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 spans="1:26" ht="13">
      <c r="A823" s="562" t="s">
        <v>2940</v>
      </c>
      <c r="B823" s="563" t="s">
        <v>2941</v>
      </c>
      <c r="C823" s="564" t="s">
        <v>1652</v>
      </c>
      <c r="D823" s="565">
        <v>45261</v>
      </c>
      <c r="E823" s="565">
        <v>45291</v>
      </c>
      <c r="F823" s="566">
        <v>1110000</v>
      </c>
      <c r="G823" s="564" t="s">
        <v>803</v>
      </c>
      <c r="H823" s="564" t="s">
        <v>803</v>
      </c>
      <c r="I823" s="564" t="s">
        <v>802</v>
      </c>
      <c r="J823" s="564" t="s">
        <v>1069</v>
      </c>
      <c r="K823" s="564" t="s">
        <v>1198</v>
      </c>
      <c r="L823" s="564" t="s">
        <v>2098</v>
      </c>
      <c r="M823" s="564" t="s">
        <v>2098</v>
      </c>
      <c r="N823" s="564" t="s">
        <v>132</v>
      </c>
      <c r="O823" s="564" t="s">
        <v>2099</v>
      </c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 spans="1:26" ht="13">
      <c r="A824" s="562" t="s">
        <v>2942</v>
      </c>
      <c r="B824" s="563" t="s">
        <v>2943</v>
      </c>
      <c r="C824" s="564" t="s">
        <v>1652</v>
      </c>
      <c r="D824" s="565">
        <v>45271</v>
      </c>
      <c r="E824" s="565">
        <v>45278</v>
      </c>
      <c r="F824" s="566">
        <v>2940000</v>
      </c>
      <c r="G824" s="564" t="s">
        <v>349</v>
      </c>
      <c r="H824" s="564" t="s">
        <v>349</v>
      </c>
      <c r="I824" s="564" t="s">
        <v>70</v>
      </c>
      <c r="J824" s="564" t="s">
        <v>1069</v>
      </c>
      <c r="K824" s="564" t="s">
        <v>1120</v>
      </c>
      <c r="L824" s="564" t="s">
        <v>2098</v>
      </c>
      <c r="M824" s="564" t="s">
        <v>2098</v>
      </c>
      <c r="N824" s="564" t="s">
        <v>70</v>
      </c>
      <c r="O824" s="564" t="s">
        <v>2099</v>
      </c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 spans="1:26" ht="13">
      <c r="A825" s="562" t="s">
        <v>2944</v>
      </c>
      <c r="B825" s="563" t="s">
        <v>2945</v>
      </c>
      <c r="C825" s="564" t="s">
        <v>1475</v>
      </c>
      <c r="D825" s="565">
        <v>45267</v>
      </c>
      <c r="E825" s="565">
        <v>45275</v>
      </c>
      <c r="F825" s="566">
        <v>910000</v>
      </c>
      <c r="G825" s="564" t="s">
        <v>349</v>
      </c>
      <c r="H825" s="564" t="s">
        <v>349</v>
      </c>
      <c r="I825" s="564" t="s">
        <v>2586</v>
      </c>
      <c r="J825" s="564" t="s">
        <v>1069</v>
      </c>
      <c r="K825" s="564" t="s">
        <v>1070</v>
      </c>
      <c r="L825" s="564" t="s">
        <v>2098</v>
      </c>
      <c r="M825" s="564" t="s">
        <v>2098</v>
      </c>
      <c r="N825" s="564" t="s">
        <v>1073</v>
      </c>
      <c r="O825" s="564" t="s">
        <v>2099</v>
      </c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 spans="1:26" ht="13">
      <c r="A826" s="562" t="s">
        <v>2946</v>
      </c>
      <c r="B826" s="563" t="s">
        <v>2947</v>
      </c>
      <c r="C826" s="564" t="s">
        <v>353</v>
      </c>
      <c r="D826" s="565">
        <v>45265</v>
      </c>
      <c r="E826" s="565">
        <v>45291</v>
      </c>
      <c r="F826" s="566">
        <v>1768000</v>
      </c>
      <c r="G826" s="564" t="s">
        <v>297</v>
      </c>
      <c r="H826" s="564" t="s">
        <v>297</v>
      </c>
      <c r="I826" s="564" t="s">
        <v>257</v>
      </c>
      <c r="J826" s="564" t="s">
        <v>1069</v>
      </c>
      <c r="K826" s="564" t="s">
        <v>1209</v>
      </c>
      <c r="L826" s="564" t="s">
        <v>2098</v>
      </c>
      <c r="M826" s="564" t="s">
        <v>2098</v>
      </c>
      <c r="N826" s="564" t="s">
        <v>257</v>
      </c>
      <c r="O826" s="564" t="s">
        <v>2099</v>
      </c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 spans="1:26" ht="13">
      <c r="A827" s="562" t="s">
        <v>2948</v>
      </c>
      <c r="B827" s="563" t="s">
        <v>2949</v>
      </c>
      <c r="C827" s="564" t="s">
        <v>1652</v>
      </c>
      <c r="D827" s="565">
        <v>45264</v>
      </c>
      <c r="E827" s="565">
        <v>45271</v>
      </c>
      <c r="F827" s="566">
        <v>340000</v>
      </c>
      <c r="G827" s="564" t="s">
        <v>349</v>
      </c>
      <c r="H827" s="564" t="s">
        <v>349</v>
      </c>
      <c r="I827" s="564" t="s">
        <v>70</v>
      </c>
      <c r="J827" s="564" t="s">
        <v>1069</v>
      </c>
      <c r="K827" s="564" t="s">
        <v>1120</v>
      </c>
      <c r="L827" s="564" t="s">
        <v>2098</v>
      </c>
      <c r="M827" s="564" t="s">
        <v>2098</v>
      </c>
      <c r="N827" s="564" t="s">
        <v>70</v>
      </c>
      <c r="O827" s="564" t="s">
        <v>2099</v>
      </c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 spans="1:26" ht="13">
      <c r="A828" s="562" t="s">
        <v>2950</v>
      </c>
      <c r="B828" s="563" t="s">
        <v>2951</v>
      </c>
      <c r="C828" s="564" t="s">
        <v>1652</v>
      </c>
      <c r="D828" s="565">
        <v>45264</v>
      </c>
      <c r="E828" s="565">
        <v>45271</v>
      </c>
      <c r="F828" s="566">
        <v>4410000</v>
      </c>
      <c r="G828" s="564" t="s">
        <v>349</v>
      </c>
      <c r="H828" s="564" t="s">
        <v>349</v>
      </c>
      <c r="I828" s="564" t="s">
        <v>70</v>
      </c>
      <c r="J828" s="564" t="s">
        <v>1069</v>
      </c>
      <c r="K828" s="564" t="s">
        <v>1120</v>
      </c>
      <c r="L828" s="564" t="s">
        <v>2098</v>
      </c>
      <c r="M828" s="564" t="s">
        <v>2098</v>
      </c>
      <c r="N828" s="564" t="s">
        <v>70</v>
      </c>
      <c r="O828" s="564" t="s">
        <v>2099</v>
      </c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 spans="1:26" ht="13">
      <c r="A829" s="562" t="s">
        <v>2952</v>
      </c>
      <c r="B829" s="563" t="s">
        <v>2953</v>
      </c>
      <c r="C829" s="564" t="s">
        <v>1652</v>
      </c>
      <c r="D829" s="565">
        <v>45264</v>
      </c>
      <c r="E829" s="565">
        <v>45271</v>
      </c>
      <c r="F829" s="566">
        <v>210000</v>
      </c>
      <c r="G829" s="564" t="s">
        <v>349</v>
      </c>
      <c r="H829" s="564" t="s">
        <v>349</v>
      </c>
      <c r="I829" s="564" t="s">
        <v>70</v>
      </c>
      <c r="J829" s="564" t="s">
        <v>1069</v>
      </c>
      <c r="K829" s="564" t="s">
        <v>1120</v>
      </c>
      <c r="L829" s="564" t="s">
        <v>2098</v>
      </c>
      <c r="M829" s="564" t="s">
        <v>2098</v>
      </c>
      <c r="N829" s="564" t="s">
        <v>70</v>
      </c>
      <c r="O829" s="564" t="s">
        <v>2099</v>
      </c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 spans="1:26" ht="13">
      <c r="A830" s="562" t="s">
        <v>2954</v>
      </c>
      <c r="B830" s="563" t="s">
        <v>2955</v>
      </c>
      <c r="C830" s="564" t="s">
        <v>1652</v>
      </c>
      <c r="D830" s="565">
        <v>45261</v>
      </c>
      <c r="E830" s="565">
        <v>45267</v>
      </c>
      <c r="F830" s="566">
        <v>1685000</v>
      </c>
      <c r="G830" s="564" t="s">
        <v>349</v>
      </c>
      <c r="H830" s="564" t="s">
        <v>349</v>
      </c>
      <c r="I830" s="564" t="s">
        <v>70</v>
      </c>
      <c r="J830" s="564" t="s">
        <v>1069</v>
      </c>
      <c r="K830" s="564" t="s">
        <v>1120</v>
      </c>
      <c r="L830" s="564" t="s">
        <v>2098</v>
      </c>
      <c r="M830" s="564" t="s">
        <v>2098</v>
      </c>
      <c r="N830" s="564" t="s">
        <v>70</v>
      </c>
      <c r="O830" s="564" t="s">
        <v>2099</v>
      </c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 spans="1:26" ht="13">
      <c r="A831" s="562" t="s">
        <v>2956</v>
      </c>
      <c r="B831" s="563" t="s">
        <v>2957</v>
      </c>
      <c r="C831" s="564" t="s">
        <v>1652</v>
      </c>
      <c r="D831" s="565">
        <v>45261</v>
      </c>
      <c r="E831" s="565">
        <v>45267</v>
      </c>
      <c r="F831" s="566">
        <v>4515000</v>
      </c>
      <c r="G831" s="564" t="s">
        <v>349</v>
      </c>
      <c r="H831" s="564" t="s">
        <v>349</v>
      </c>
      <c r="I831" s="564" t="s">
        <v>70</v>
      </c>
      <c r="J831" s="564" t="s">
        <v>1069</v>
      </c>
      <c r="K831" s="564" t="s">
        <v>1120</v>
      </c>
      <c r="L831" s="564" t="s">
        <v>2098</v>
      </c>
      <c r="M831" s="564" t="s">
        <v>2098</v>
      </c>
      <c r="N831" s="564" t="s">
        <v>70</v>
      </c>
      <c r="O831" s="564" t="s">
        <v>2099</v>
      </c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 spans="1:26" ht="13">
      <c r="A832" s="562" t="s">
        <v>2958</v>
      </c>
      <c r="B832" s="563" t="s">
        <v>2959</v>
      </c>
      <c r="C832" s="564" t="s">
        <v>1652</v>
      </c>
      <c r="D832" s="565">
        <v>45261</v>
      </c>
      <c r="E832" s="565">
        <v>45267</v>
      </c>
      <c r="F832" s="566">
        <v>4410000</v>
      </c>
      <c r="G832" s="564" t="s">
        <v>349</v>
      </c>
      <c r="H832" s="564" t="s">
        <v>349</v>
      </c>
      <c r="I832" s="564" t="s">
        <v>70</v>
      </c>
      <c r="J832" s="564" t="s">
        <v>1069</v>
      </c>
      <c r="K832" s="564" t="s">
        <v>1120</v>
      </c>
      <c r="L832" s="564" t="s">
        <v>2098</v>
      </c>
      <c r="M832" s="564" t="s">
        <v>2098</v>
      </c>
      <c r="N832" s="564" t="s">
        <v>70</v>
      </c>
      <c r="O832" s="564" t="s">
        <v>2099</v>
      </c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 spans="1:26" ht="13">
      <c r="A833" s="562" t="s">
        <v>2960</v>
      </c>
      <c r="B833" s="563" t="s">
        <v>2961</v>
      </c>
      <c r="C833" s="564" t="s">
        <v>1652</v>
      </c>
      <c r="D833" s="565">
        <v>45261</v>
      </c>
      <c r="E833" s="565">
        <v>45267</v>
      </c>
      <c r="F833" s="566">
        <v>4410000</v>
      </c>
      <c r="G833" s="564" t="s">
        <v>349</v>
      </c>
      <c r="H833" s="564" t="s">
        <v>349</v>
      </c>
      <c r="I833" s="564" t="s">
        <v>70</v>
      </c>
      <c r="J833" s="564" t="s">
        <v>1069</v>
      </c>
      <c r="K833" s="564" t="s">
        <v>1120</v>
      </c>
      <c r="L833" s="564" t="s">
        <v>2098</v>
      </c>
      <c r="M833" s="564" t="s">
        <v>2098</v>
      </c>
      <c r="N833" s="564" t="s">
        <v>70</v>
      </c>
      <c r="O833" s="564" t="s">
        <v>2099</v>
      </c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spans="1:26" ht="13">
      <c r="A834" s="562" t="s">
        <v>2962</v>
      </c>
      <c r="B834" s="563" t="s">
        <v>2963</v>
      </c>
      <c r="C834" s="564" t="s">
        <v>353</v>
      </c>
      <c r="D834" s="565">
        <v>45259</v>
      </c>
      <c r="E834" s="565">
        <v>45289</v>
      </c>
      <c r="F834" s="566">
        <v>8088200</v>
      </c>
      <c r="G834" s="564" t="s">
        <v>349</v>
      </c>
      <c r="H834" s="564" t="s">
        <v>349</v>
      </c>
      <c r="I834" s="564" t="s">
        <v>121</v>
      </c>
      <c r="J834" s="564" t="s">
        <v>1069</v>
      </c>
      <c r="K834" s="564" t="s">
        <v>1105</v>
      </c>
      <c r="L834" s="564" t="s">
        <v>2098</v>
      </c>
      <c r="M834" s="564" t="s">
        <v>2098</v>
      </c>
      <c r="N834" s="564" t="s">
        <v>1073</v>
      </c>
      <c r="O834" s="564" t="s">
        <v>2099</v>
      </c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 spans="1:26" ht="13">
      <c r="A835" s="562" t="s">
        <v>2964</v>
      </c>
      <c r="B835" s="563" t="s">
        <v>2965</v>
      </c>
      <c r="C835" s="564" t="s">
        <v>1652</v>
      </c>
      <c r="D835" s="565">
        <v>45259</v>
      </c>
      <c r="E835" s="565">
        <v>45266</v>
      </c>
      <c r="F835" s="566">
        <v>3030000</v>
      </c>
      <c r="G835" s="564" t="s">
        <v>349</v>
      </c>
      <c r="H835" s="564" t="s">
        <v>349</v>
      </c>
      <c r="I835" s="564" t="s">
        <v>70</v>
      </c>
      <c r="J835" s="564" t="s">
        <v>1069</v>
      </c>
      <c r="K835" s="564" t="s">
        <v>1120</v>
      </c>
      <c r="L835" s="564" t="s">
        <v>2098</v>
      </c>
      <c r="M835" s="564" t="s">
        <v>2098</v>
      </c>
      <c r="N835" s="564" t="s">
        <v>70</v>
      </c>
      <c r="O835" s="564" t="s">
        <v>2099</v>
      </c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 spans="1:26" ht="13">
      <c r="A836" s="562" t="s">
        <v>2966</v>
      </c>
      <c r="B836" s="563" t="s">
        <v>2967</v>
      </c>
      <c r="C836" s="564" t="s">
        <v>1652</v>
      </c>
      <c r="D836" s="565">
        <v>45259</v>
      </c>
      <c r="E836" s="565">
        <v>45266</v>
      </c>
      <c r="F836" s="566">
        <v>2925000</v>
      </c>
      <c r="G836" s="564" t="s">
        <v>349</v>
      </c>
      <c r="H836" s="564" t="s">
        <v>349</v>
      </c>
      <c r="I836" s="564" t="s">
        <v>70</v>
      </c>
      <c r="J836" s="564" t="s">
        <v>1069</v>
      </c>
      <c r="K836" s="564" t="s">
        <v>1120</v>
      </c>
      <c r="L836" s="564" t="s">
        <v>2098</v>
      </c>
      <c r="M836" s="564" t="s">
        <v>2098</v>
      </c>
      <c r="N836" s="564" t="s">
        <v>70</v>
      </c>
      <c r="O836" s="564" t="s">
        <v>2099</v>
      </c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 spans="1:26" ht="13">
      <c r="A837" s="562" t="s">
        <v>365</v>
      </c>
      <c r="B837" s="563" t="s">
        <v>363</v>
      </c>
      <c r="C837" s="564" t="s">
        <v>353</v>
      </c>
      <c r="D837" s="565">
        <v>45253</v>
      </c>
      <c r="E837" s="565">
        <v>45282</v>
      </c>
      <c r="F837" s="566">
        <v>651000</v>
      </c>
      <c r="G837" s="564" t="s">
        <v>297</v>
      </c>
      <c r="H837" s="564" t="s">
        <v>297</v>
      </c>
      <c r="I837" s="564" t="s">
        <v>257</v>
      </c>
      <c r="J837" s="564" t="s">
        <v>1069</v>
      </c>
      <c r="K837" s="564" t="s">
        <v>1209</v>
      </c>
      <c r="L837" s="564" t="s">
        <v>2098</v>
      </c>
      <c r="M837" s="564" t="s">
        <v>2098</v>
      </c>
      <c r="N837" s="564" t="s">
        <v>257</v>
      </c>
      <c r="O837" s="564" t="s">
        <v>2099</v>
      </c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 spans="1:26" ht="13">
      <c r="A838" s="562" t="s">
        <v>2968</v>
      </c>
      <c r="B838" s="563" t="s">
        <v>547</v>
      </c>
      <c r="C838" s="564" t="s">
        <v>353</v>
      </c>
      <c r="D838" s="565">
        <v>45254</v>
      </c>
      <c r="E838" s="565">
        <v>45260</v>
      </c>
      <c r="F838" s="566">
        <v>170000</v>
      </c>
      <c r="G838" s="564" t="s">
        <v>349</v>
      </c>
      <c r="H838" s="564" t="s">
        <v>349</v>
      </c>
      <c r="I838" s="564" t="s">
        <v>1230</v>
      </c>
      <c r="J838" s="564" t="s">
        <v>1069</v>
      </c>
      <c r="K838" s="564" t="s">
        <v>1090</v>
      </c>
      <c r="L838" s="564" t="s">
        <v>2098</v>
      </c>
      <c r="M838" s="564" t="s">
        <v>2098</v>
      </c>
      <c r="N838" s="564" t="s">
        <v>1073</v>
      </c>
      <c r="O838" s="564" t="s">
        <v>2099</v>
      </c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 spans="1:26" ht="13">
      <c r="A839" s="562" t="s">
        <v>2969</v>
      </c>
      <c r="B839" s="563" t="s">
        <v>2970</v>
      </c>
      <c r="C839" s="564" t="s">
        <v>353</v>
      </c>
      <c r="D839" s="565">
        <v>45254</v>
      </c>
      <c r="E839" s="565">
        <v>45261</v>
      </c>
      <c r="F839" s="566">
        <v>76500</v>
      </c>
      <c r="G839" s="564" t="s">
        <v>349</v>
      </c>
      <c r="H839" s="564" t="s">
        <v>349</v>
      </c>
      <c r="I839" s="564" t="s">
        <v>1586</v>
      </c>
      <c r="J839" s="564" t="s">
        <v>1069</v>
      </c>
      <c r="K839" s="564" t="s">
        <v>1090</v>
      </c>
      <c r="L839" s="564" t="s">
        <v>2098</v>
      </c>
      <c r="M839" s="564" t="s">
        <v>2098</v>
      </c>
      <c r="N839" s="564" t="s">
        <v>1073</v>
      </c>
      <c r="O839" s="564" t="s">
        <v>2099</v>
      </c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 spans="1:26" ht="13">
      <c r="A840" s="562" t="s">
        <v>2971</v>
      </c>
      <c r="B840" s="563" t="s">
        <v>2972</v>
      </c>
      <c r="C840" s="564" t="s">
        <v>353</v>
      </c>
      <c r="D840" s="565">
        <v>45254</v>
      </c>
      <c r="E840" s="565">
        <v>45261</v>
      </c>
      <c r="F840" s="566">
        <v>137700</v>
      </c>
      <c r="G840" s="564" t="s">
        <v>349</v>
      </c>
      <c r="H840" s="564" t="s">
        <v>349</v>
      </c>
      <c r="I840" s="564" t="s">
        <v>2973</v>
      </c>
      <c r="J840" s="564" t="s">
        <v>1069</v>
      </c>
      <c r="K840" s="564" t="s">
        <v>1090</v>
      </c>
      <c r="L840" s="564" t="s">
        <v>2098</v>
      </c>
      <c r="M840" s="564" t="s">
        <v>2098</v>
      </c>
      <c r="N840" s="564" t="s">
        <v>1073</v>
      </c>
      <c r="O840" s="564" t="s">
        <v>2099</v>
      </c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 spans="1:26" ht="13">
      <c r="A841" s="562" t="s">
        <v>2974</v>
      </c>
      <c r="B841" s="563" t="s">
        <v>2975</v>
      </c>
      <c r="C841" s="564" t="s">
        <v>1652</v>
      </c>
      <c r="D841" s="565">
        <v>45254</v>
      </c>
      <c r="E841" s="565">
        <v>45260</v>
      </c>
      <c r="F841" s="566">
        <v>1470000</v>
      </c>
      <c r="G841" s="564" t="s">
        <v>349</v>
      </c>
      <c r="H841" s="564" t="s">
        <v>349</v>
      </c>
      <c r="I841" s="564" t="s">
        <v>70</v>
      </c>
      <c r="J841" s="564" t="s">
        <v>1069</v>
      </c>
      <c r="K841" s="564" t="s">
        <v>1120</v>
      </c>
      <c r="L841" s="564" t="s">
        <v>2098</v>
      </c>
      <c r="M841" s="564" t="s">
        <v>2098</v>
      </c>
      <c r="N841" s="564" t="s">
        <v>70</v>
      </c>
      <c r="O841" s="564" t="s">
        <v>2099</v>
      </c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 spans="1:26" ht="13">
      <c r="A842" s="562" t="s">
        <v>2976</v>
      </c>
      <c r="B842" s="563" t="s">
        <v>2977</v>
      </c>
      <c r="C842" s="564" t="s">
        <v>1652</v>
      </c>
      <c r="D842" s="565">
        <v>45254</v>
      </c>
      <c r="E842" s="565">
        <v>45260</v>
      </c>
      <c r="F842" s="566">
        <v>1410000</v>
      </c>
      <c r="G842" s="564" t="s">
        <v>349</v>
      </c>
      <c r="H842" s="564" t="s">
        <v>349</v>
      </c>
      <c r="I842" s="564" t="s">
        <v>70</v>
      </c>
      <c r="J842" s="564" t="s">
        <v>1069</v>
      </c>
      <c r="K842" s="564" t="s">
        <v>1120</v>
      </c>
      <c r="L842" s="564" t="s">
        <v>2098</v>
      </c>
      <c r="M842" s="564" t="s">
        <v>2098</v>
      </c>
      <c r="N842" s="564" t="s">
        <v>70</v>
      </c>
      <c r="O842" s="564" t="s">
        <v>2099</v>
      </c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 spans="1:26" ht="13">
      <c r="A843" s="562" t="s">
        <v>2978</v>
      </c>
      <c r="B843" s="563" t="s">
        <v>2979</v>
      </c>
      <c r="C843" s="564" t="s">
        <v>1652</v>
      </c>
      <c r="D843" s="565">
        <v>45253</v>
      </c>
      <c r="E843" s="565">
        <v>45259</v>
      </c>
      <c r="F843" s="566">
        <v>4545000</v>
      </c>
      <c r="G843" s="564" t="s">
        <v>349</v>
      </c>
      <c r="H843" s="564" t="s">
        <v>349</v>
      </c>
      <c r="I843" s="564" t="s">
        <v>70</v>
      </c>
      <c r="J843" s="564" t="s">
        <v>1069</v>
      </c>
      <c r="K843" s="564" t="s">
        <v>1120</v>
      </c>
      <c r="L843" s="564" t="s">
        <v>2098</v>
      </c>
      <c r="M843" s="564" t="s">
        <v>2098</v>
      </c>
      <c r="N843" s="564" t="s">
        <v>70</v>
      </c>
      <c r="O843" s="564" t="s">
        <v>2099</v>
      </c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 spans="1:26" ht="13">
      <c r="A844" s="562" t="s">
        <v>2980</v>
      </c>
      <c r="B844" s="563" t="s">
        <v>2981</v>
      </c>
      <c r="C844" s="564" t="s">
        <v>1652</v>
      </c>
      <c r="D844" s="565">
        <v>45253</v>
      </c>
      <c r="E844" s="565">
        <v>45259</v>
      </c>
      <c r="F844" s="566">
        <v>4780000</v>
      </c>
      <c r="G844" s="564" t="s">
        <v>349</v>
      </c>
      <c r="H844" s="564" t="s">
        <v>349</v>
      </c>
      <c r="I844" s="564" t="s">
        <v>70</v>
      </c>
      <c r="J844" s="564" t="s">
        <v>1069</v>
      </c>
      <c r="K844" s="564" t="s">
        <v>1120</v>
      </c>
      <c r="L844" s="564" t="s">
        <v>2098</v>
      </c>
      <c r="M844" s="564" t="s">
        <v>2098</v>
      </c>
      <c r="N844" s="564" t="s">
        <v>70</v>
      </c>
      <c r="O844" s="564" t="s">
        <v>2099</v>
      </c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 spans="1:26" ht="13">
      <c r="A845" s="562" t="s">
        <v>2982</v>
      </c>
      <c r="B845" s="563" t="s">
        <v>2983</v>
      </c>
      <c r="C845" s="564" t="s">
        <v>1652</v>
      </c>
      <c r="D845" s="565">
        <v>45245</v>
      </c>
      <c r="E845" s="565">
        <v>45382</v>
      </c>
      <c r="F845" s="566">
        <v>16800000</v>
      </c>
      <c r="G845" s="564" t="s">
        <v>803</v>
      </c>
      <c r="H845" s="564" t="s">
        <v>803</v>
      </c>
      <c r="I845" s="564" t="s">
        <v>802</v>
      </c>
      <c r="J845" s="564" t="s">
        <v>1069</v>
      </c>
      <c r="K845" s="564" t="s">
        <v>1198</v>
      </c>
      <c r="L845" s="564" t="s">
        <v>2098</v>
      </c>
      <c r="M845" s="564" t="s">
        <v>2098</v>
      </c>
      <c r="N845" s="564" t="s">
        <v>132</v>
      </c>
      <c r="O845" s="564" t="s">
        <v>2099</v>
      </c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spans="1:26" ht="13">
      <c r="A846" s="562" t="s">
        <v>2984</v>
      </c>
      <c r="B846" s="563" t="s">
        <v>2985</v>
      </c>
      <c r="C846" s="564" t="s">
        <v>353</v>
      </c>
      <c r="D846" s="565">
        <v>45251</v>
      </c>
      <c r="E846" s="565">
        <v>45254</v>
      </c>
      <c r="F846" s="566">
        <v>490000</v>
      </c>
      <c r="G846" s="564" t="s">
        <v>349</v>
      </c>
      <c r="H846" s="564" t="s">
        <v>349</v>
      </c>
      <c r="I846" s="564" t="s">
        <v>45</v>
      </c>
      <c r="J846" s="564" t="s">
        <v>1069</v>
      </c>
      <c r="K846" s="564" t="s">
        <v>1090</v>
      </c>
      <c r="L846" s="564" t="s">
        <v>2098</v>
      </c>
      <c r="M846" s="564" t="s">
        <v>2098</v>
      </c>
      <c r="N846" s="564" t="s">
        <v>45</v>
      </c>
      <c r="O846" s="564" t="s">
        <v>2099</v>
      </c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 spans="1:26" ht="13">
      <c r="A847" s="562" t="s">
        <v>2986</v>
      </c>
      <c r="B847" s="563" t="s">
        <v>2987</v>
      </c>
      <c r="C847" s="564" t="s">
        <v>353</v>
      </c>
      <c r="D847" s="565">
        <v>45250</v>
      </c>
      <c r="E847" s="565">
        <v>45264</v>
      </c>
      <c r="F847" s="566">
        <v>240000</v>
      </c>
      <c r="G847" s="564" t="s">
        <v>349</v>
      </c>
      <c r="H847" s="564" t="s">
        <v>349</v>
      </c>
      <c r="I847" s="564" t="s">
        <v>64</v>
      </c>
      <c r="J847" s="564" t="s">
        <v>1069</v>
      </c>
      <c r="K847" s="564" t="s">
        <v>1090</v>
      </c>
      <c r="L847" s="564" t="s">
        <v>2098</v>
      </c>
      <c r="M847" s="564" t="s">
        <v>2098</v>
      </c>
      <c r="N847" s="564" t="s">
        <v>64</v>
      </c>
      <c r="O847" s="564" t="s">
        <v>2099</v>
      </c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 spans="1:26" ht="13">
      <c r="A848" s="562" t="s">
        <v>2988</v>
      </c>
      <c r="B848" s="563" t="s">
        <v>432</v>
      </c>
      <c r="C848" s="564" t="s">
        <v>1652</v>
      </c>
      <c r="D848" s="565">
        <v>45250</v>
      </c>
      <c r="E848" s="565">
        <v>45260</v>
      </c>
      <c r="F848" s="566">
        <v>1995000</v>
      </c>
      <c r="G848" s="564" t="s">
        <v>349</v>
      </c>
      <c r="H848" s="564" t="s">
        <v>349</v>
      </c>
      <c r="I848" s="564" t="s">
        <v>1281</v>
      </c>
      <c r="J848" s="564" t="s">
        <v>1069</v>
      </c>
      <c r="K848" s="564" t="s">
        <v>1120</v>
      </c>
      <c r="L848" s="564" t="s">
        <v>2098</v>
      </c>
      <c r="M848" s="564" t="s">
        <v>2098</v>
      </c>
      <c r="N848" s="564" t="s">
        <v>1073</v>
      </c>
      <c r="O848" s="564" t="s">
        <v>2099</v>
      </c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 spans="1:26" ht="13">
      <c r="A849" s="562" t="s">
        <v>2989</v>
      </c>
      <c r="B849" s="563" t="s">
        <v>2990</v>
      </c>
      <c r="C849" s="564" t="s">
        <v>353</v>
      </c>
      <c r="D849" s="565">
        <v>45250</v>
      </c>
      <c r="E849" s="565">
        <v>45264</v>
      </c>
      <c r="F849" s="566">
        <v>240000</v>
      </c>
      <c r="G849" s="564" t="s">
        <v>349</v>
      </c>
      <c r="H849" s="564" t="s">
        <v>349</v>
      </c>
      <c r="I849" s="564" t="s">
        <v>64</v>
      </c>
      <c r="J849" s="564" t="s">
        <v>1069</v>
      </c>
      <c r="K849" s="564" t="s">
        <v>1090</v>
      </c>
      <c r="L849" s="564" t="s">
        <v>2098</v>
      </c>
      <c r="M849" s="564" t="s">
        <v>2098</v>
      </c>
      <c r="N849" s="564" t="s">
        <v>64</v>
      </c>
      <c r="O849" s="564" t="s">
        <v>2099</v>
      </c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 spans="1:26" ht="13">
      <c r="A850" s="562" t="s">
        <v>2991</v>
      </c>
      <c r="B850" s="563" t="s">
        <v>2992</v>
      </c>
      <c r="C850" s="564" t="s">
        <v>353</v>
      </c>
      <c r="D850" s="565">
        <v>45250</v>
      </c>
      <c r="E850" s="565">
        <v>45257</v>
      </c>
      <c r="F850" s="566">
        <v>54600</v>
      </c>
      <c r="G850" s="564" t="s">
        <v>349</v>
      </c>
      <c r="H850" s="564" t="s">
        <v>349</v>
      </c>
      <c r="I850" s="564" t="s">
        <v>170</v>
      </c>
      <c r="J850" s="564" t="s">
        <v>1069</v>
      </c>
      <c r="K850" s="564" t="s">
        <v>1105</v>
      </c>
      <c r="L850" s="564" t="s">
        <v>2098</v>
      </c>
      <c r="M850" s="564" t="s">
        <v>2098</v>
      </c>
      <c r="N850" s="564" t="s">
        <v>170</v>
      </c>
      <c r="O850" s="564" t="s">
        <v>2099</v>
      </c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 spans="1:26" ht="13">
      <c r="A851" s="562" t="s">
        <v>2993</v>
      </c>
      <c r="B851" s="563" t="s">
        <v>2994</v>
      </c>
      <c r="C851" s="564" t="s">
        <v>353</v>
      </c>
      <c r="D851" s="565">
        <v>45244</v>
      </c>
      <c r="E851" s="565">
        <v>45260</v>
      </c>
      <c r="F851" s="566">
        <v>2350000</v>
      </c>
      <c r="G851" s="564" t="s">
        <v>1128</v>
      </c>
      <c r="H851" s="564" t="s">
        <v>1128</v>
      </c>
      <c r="I851" s="564" t="s">
        <v>45</v>
      </c>
      <c r="J851" s="564" t="s">
        <v>1069</v>
      </c>
      <c r="K851" s="564" t="s">
        <v>1090</v>
      </c>
      <c r="L851" s="564" t="s">
        <v>2098</v>
      </c>
      <c r="M851" s="564" t="s">
        <v>2098</v>
      </c>
      <c r="N851" s="564" t="s">
        <v>45</v>
      </c>
      <c r="O851" s="564" t="s">
        <v>2099</v>
      </c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 spans="1:26" ht="13">
      <c r="A852" s="562" t="s">
        <v>2995</v>
      </c>
      <c r="B852" s="563" t="s">
        <v>2996</v>
      </c>
      <c r="C852" s="564" t="s">
        <v>1652</v>
      </c>
      <c r="D852" s="565">
        <v>45246</v>
      </c>
      <c r="E852" s="565">
        <v>45253</v>
      </c>
      <c r="F852" s="566">
        <v>2820000</v>
      </c>
      <c r="G852" s="564" t="s">
        <v>297</v>
      </c>
      <c r="H852" s="564" t="s">
        <v>297</v>
      </c>
      <c r="I852" s="564" t="s">
        <v>70</v>
      </c>
      <c r="J852" s="564" t="s">
        <v>1069</v>
      </c>
      <c r="K852" s="564" t="s">
        <v>1120</v>
      </c>
      <c r="L852" s="564" t="s">
        <v>2098</v>
      </c>
      <c r="M852" s="564" t="s">
        <v>2098</v>
      </c>
      <c r="N852" s="564" t="s">
        <v>70</v>
      </c>
      <c r="O852" s="564" t="s">
        <v>2099</v>
      </c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 spans="1:26" ht="13">
      <c r="A853" s="562" t="s">
        <v>2997</v>
      </c>
      <c r="B853" s="563" t="s">
        <v>2998</v>
      </c>
      <c r="C853" s="564" t="s">
        <v>1652</v>
      </c>
      <c r="D853" s="565">
        <v>45246</v>
      </c>
      <c r="E853" s="565">
        <v>45253</v>
      </c>
      <c r="F853" s="566">
        <v>2820000</v>
      </c>
      <c r="G853" s="564" t="s">
        <v>297</v>
      </c>
      <c r="H853" s="564" t="s">
        <v>297</v>
      </c>
      <c r="I853" s="564" t="s">
        <v>70</v>
      </c>
      <c r="J853" s="564" t="s">
        <v>1069</v>
      </c>
      <c r="K853" s="564" t="s">
        <v>1120</v>
      </c>
      <c r="L853" s="564" t="s">
        <v>2098</v>
      </c>
      <c r="M853" s="564" t="s">
        <v>2098</v>
      </c>
      <c r="N853" s="564" t="s">
        <v>70</v>
      </c>
      <c r="O853" s="564" t="s">
        <v>2099</v>
      </c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 spans="1:26" ht="13">
      <c r="A854" s="562" t="s">
        <v>2999</v>
      </c>
      <c r="B854" s="563" t="s">
        <v>3000</v>
      </c>
      <c r="C854" s="564" t="s">
        <v>1652</v>
      </c>
      <c r="D854" s="565">
        <v>45246</v>
      </c>
      <c r="E854" s="565">
        <v>45260</v>
      </c>
      <c r="F854" s="566">
        <v>1855000</v>
      </c>
      <c r="G854" s="564" t="s">
        <v>297</v>
      </c>
      <c r="H854" s="564" t="s">
        <v>297</v>
      </c>
      <c r="I854" s="564" t="s">
        <v>70</v>
      </c>
      <c r="J854" s="564" t="s">
        <v>1069</v>
      </c>
      <c r="K854" s="564" t="s">
        <v>1120</v>
      </c>
      <c r="L854" s="564" t="s">
        <v>2098</v>
      </c>
      <c r="M854" s="564" t="s">
        <v>2098</v>
      </c>
      <c r="N854" s="564" t="s">
        <v>70</v>
      </c>
      <c r="O854" s="564" t="s">
        <v>2099</v>
      </c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 spans="1:26" ht="13">
      <c r="A855" s="562" t="s">
        <v>3001</v>
      </c>
      <c r="B855" s="563" t="s">
        <v>3002</v>
      </c>
      <c r="C855" s="564" t="s">
        <v>1652</v>
      </c>
      <c r="D855" s="565">
        <v>45246</v>
      </c>
      <c r="E855" s="565">
        <v>45253</v>
      </c>
      <c r="F855" s="566">
        <v>1470000</v>
      </c>
      <c r="G855" s="564" t="s">
        <v>297</v>
      </c>
      <c r="H855" s="564" t="s">
        <v>297</v>
      </c>
      <c r="I855" s="564" t="s">
        <v>70</v>
      </c>
      <c r="J855" s="564" t="s">
        <v>1069</v>
      </c>
      <c r="K855" s="564" t="s">
        <v>1120</v>
      </c>
      <c r="L855" s="564" t="s">
        <v>2098</v>
      </c>
      <c r="M855" s="564" t="s">
        <v>2098</v>
      </c>
      <c r="N855" s="564" t="s">
        <v>70</v>
      </c>
      <c r="O855" s="564" t="s">
        <v>2099</v>
      </c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 spans="1:26" ht="13">
      <c r="A856" s="562" t="s">
        <v>3003</v>
      </c>
      <c r="B856" s="563" t="s">
        <v>3004</v>
      </c>
      <c r="C856" s="564" t="s">
        <v>353</v>
      </c>
      <c r="D856" s="565">
        <v>45244</v>
      </c>
      <c r="E856" s="565">
        <v>45291</v>
      </c>
      <c r="F856" s="566">
        <v>9690000</v>
      </c>
      <c r="G856" s="564" t="s">
        <v>1128</v>
      </c>
      <c r="H856" s="564" t="s">
        <v>1128</v>
      </c>
      <c r="I856" s="564" t="s">
        <v>45</v>
      </c>
      <c r="J856" s="564" t="s">
        <v>1069</v>
      </c>
      <c r="K856" s="564" t="s">
        <v>1090</v>
      </c>
      <c r="L856" s="564" t="s">
        <v>2098</v>
      </c>
      <c r="M856" s="564" t="s">
        <v>2098</v>
      </c>
      <c r="N856" s="564" t="s">
        <v>45</v>
      </c>
      <c r="O856" s="564" t="s">
        <v>2099</v>
      </c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 spans="1:26" ht="13">
      <c r="A857" s="562" t="s">
        <v>3005</v>
      </c>
      <c r="B857" s="563" t="s">
        <v>3006</v>
      </c>
      <c r="C857" s="564" t="s">
        <v>353</v>
      </c>
      <c r="D857" s="565">
        <v>45243</v>
      </c>
      <c r="E857" s="565">
        <v>45264</v>
      </c>
      <c r="F857" s="566">
        <v>120000</v>
      </c>
      <c r="G857" s="564" t="s">
        <v>297</v>
      </c>
      <c r="H857" s="564" t="s">
        <v>297</v>
      </c>
      <c r="I857" s="564" t="s">
        <v>64</v>
      </c>
      <c r="J857" s="564" t="s">
        <v>1069</v>
      </c>
      <c r="K857" s="564" t="s">
        <v>1090</v>
      </c>
      <c r="L857" s="564" t="s">
        <v>2098</v>
      </c>
      <c r="M857" s="564" t="s">
        <v>2098</v>
      </c>
      <c r="N857" s="564" t="s">
        <v>64</v>
      </c>
      <c r="O857" s="564" t="s">
        <v>2099</v>
      </c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 spans="1:26" ht="13">
      <c r="A858" s="562" t="s">
        <v>3007</v>
      </c>
      <c r="B858" s="563" t="s">
        <v>3008</v>
      </c>
      <c r="C858" s="564" t="s">
        <v>1652</v>
      </c>
      <c r="D858" s="565">
        <v>45243</v>
      </c>
      <c r="E858" s="565">
        <v>45250</v>
      </c>
      <c r="F858" s="566">
        <v>1640000</v>
      </c>
      <c r="G858" s="564" t="s">
        <v>297</v>
      </c>
      <c r="H858" s="564" t="s">
        <v>297</v>
      </c>
      <c r="I858" s="564" t="s">
        <v>70</v>
      </c>
      <c r="J858" s="564" t="s">
        <v>1069</v>
      </c>
      <c r="K858" s="564" t="s">
        <v>1120</v>
      </c>
      <c r="L858" s="564" t="s">
        <v>2098</v>
      </c>
      <c r="M858" s="564" t="s">
        <v>2098</v>
      </c>
      <c r="N858" s="564" t="s">
        <v>70</v>
      </c>
      <c r="O858" s="564" t="s">
        <v>2099</v>
      </c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 spans="1:26" ht="13">
      <c r="A859" s="562" t="s">
        <v>3009</v>
      </c>
      <c r="B859" s="563" t="s">
        <v>3010</v>
      </c>
      <c r="C859" s="564" t="s">
        <v>353</v>
      </c>
      <c r="D859" s="565">
        <v>45237</v>
      </c>
      <c r="E859" s="565">
        <v>45251</v>
      </c>
      <c r="F859" s="566">
        <v>367200</v>
      </c>
      <c r="G859" s="564" t="s">
        <v>349</v>
      </c>
      <c r="H859" s="564" t="s">
        <v>349</v>
      </c>
      <c r="I859" s="564" t="s">
        <v>203</v>
      </c>
      <c r="J859" s="564" t="s">
        <v>1069</v>
      </c>
      <c r="K859" s="564" t="s">
        <v>1090</v>
      </c>
      <c r="L859" s="564" t="s">
        <v>2098</v>
      </c>
      <c r="M859" s="564" t="s">
        <v>2098</v>
      </c>
      <c r="N859" s="564" t="s">
        <v>1073</v>
      </c>
      <c r="O859" s="564" t="s">
        <v>2099</v>
      </c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 spans="1:26" ht="13">
      <c r="A860" s="562" t="s">
        <v>3011</v>
      </c>
      <c r="B860" s="563" t="s">
        <v>3012</v>
      </c>
      <c r="C860" s="564" t="s">
        <v>353</v>
      </c>
      <c r="D860" s="565">
        <v>45236</v>
      </c>
      <c r="E860" s="565">
        <v>45250</v>
      </c>
      <c r="F860" s="566">
        <v>120000</v>
      </c>
      <c r="G860" s="564" t="s">
        <v>349</v>
      </c>
      <c r="H860" s="564" t="s">
        <v>349</v>
      </c>
      <c r="I860" s="564" t="s">
        <v>64</v>
      </c>
      <c r="J860" s="564" t="s">
        <v>1069</v>
      </c>
      <c r="K860" s="564" t="s">
        <v>1090</v>
      </c>
      <c r="L860" s="564" t="s">
        <v>2098</v>
      </c>
      <c r="M860" s="564" t="s">
        <v>2098</v>
      </c>
      <c r="N860" s="564" t="s">
        <v>64</v>
      </c>
      <c r="O860" s="564" t="s">
        <v>2099</v>
      </c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 spans="1:26" ht="13">
      <c r="A861" s="562" t="s">
        <v>3013</v>
      </c>
      <c r="B861" s="563" t="s">
        <v>3014</v>
      </c>
      <c r="C861" s="564" t="s">
        <v>1652</v>
      </c>
      <c r="D861" s="565">
        <v>45236</v>
      </c>
      <c r="E861" s="565">
        <v>45240</v>
      </c>
      <c r="F861" s="566">
        <v>210000</v>
      </c>
      <c r="G861" s="564" t="s">
        <v>349</v>
      </c>
      <c r="H861" s="564" t="s">
        <v>349</v>
      </c>
      <c r="I861" s="564" t="s">
        <v>70</v>
      </c>
      <c r="J861" s="564" t="s">
        <v>1069</v>
      </c>
      <c r="K861" s="564" t="s">
        <v>1120</v>
      </c>
      <c r="L861" s="564" t="s">
        <v>2098</v>
      </c>
      <c r="M861" s="564" t="s">
        <v>2098</v>
      </c>
      <c r="N861" s="564" t="s">
        <v>70</v>
      </c>
      <c r="O861" s="564" t="s">
        <v>2099</v>
      </c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 spans="1:26" ht="13">
      <c r="A862" s="562" t="s">
        <v>3015</v>
      </c>
      <c r="B862" s="563" t="s">
        <v>3016</v>
      </c>
      <c r="C862" s="564" t="s">
        <v>353</v>
      </c>
      <c r="D862" s="565">
        <v>45231</v>
      </c>
      <c r="E862" s="565">
        <v>45245</v>
      </c>
      <c r="F862" s="566">
        <v>120000</v>
      </c>
      <c r="G862" s="564" t="s">
        <v>349</v>
      </c>
      <c r="H862" s="564" t="s">
        <v>349</v>
      </c>
      <c r="I862" s="564" t="s">
        <v>64</v>
      </c>
      <c r="J862" s="564" t="s">
        <v>1069</v>
      </c>
      <c r="K862" s="564" t="s">
        <v>1090</v>
      </c>
      <c r="L862" s="564" t="s">
        <v>2098</v>
      </c>
      <c r="M862" s="564" t="s">
        <v>2098</v>
      </c>
      <c r="N862" s="564" t="s">
        <v>64</v>
      </c>
      <c r="O862" s="564" t="s">
        <v>2099</v>
      </c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 spans="1:26" ht="13">
      <c r="A863" s="562" t="s">
        <v>3017</v>
      </c>
      <c r="B863" s="563" t="s">
        <v>3018</v>
      </c>
      <c r="C863" s="564" t="s">
        <v>353</v>
      </c>
      <c r="D863" s="565">
        <v>45231</v>
      </c>
      <c r="E863" s="565">
        <v>45252</v>
      </c>
      <c r="F863" s="566">
        <v>450000</v>
      </c>
      <c r="G863" s="564" t="s">
        <v>349</v>
      </c>
      <c r="H863" s="564" t="s">
        <v>349</v>
      </c>
      <c r="I863" s="564" t="s">
        <v>225</v>
      </c>
      <c r="J863" s="564" t="s">
        <v>1069</v>
      </c>
      <c r="K863" s="564" t="s">
        <v>1105</v>
      </c>
      <c r="L863" s="564" t="s">
        <v>2098</v>
      </c>
      <c r="M863" s="564" t="s">
        <v>2098</v>
      </c>
      <c r="N863" s="564" t="s">
        <v>225</v>
      </c>
      <c r="O863" s="564" t="s">
        <v>2099</v>
      </c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 spans="1:26" ht="13">
      <c r="A864" s="562" t="s">
        <v>3019</v>
      </c>
      <c r="B864" s="563" t="s">
        <v>3020</v>
      </c>
      <c r="C864" s="564" t="s">
        <v>353</v>
      </c>
      <c r="D864" s="565">
        <v>45224</v>
      </c>
      <c r="E864" s="565">
        <v>45231</v>
      </c>
      <c r="F864" s="566">
        <v>700000</v>
      </c>
      <c r="G864" s="564" t="s">
        <v>349</v>
      </c>
      <c r="H864" s="564" t="s">
        <v>349</v>
      </c>
      <c r="I864" s="564" t="s">
        <v>45</v>
      </c>
      <c r="J864" s="564" t="s">
        <v>1069</v>
      </c>
      <c r="K864" s="564" t="s">
        <v>1090</v>
      </c>
      <c r="L864" s="564" t="s">
        <v>2098</v>
      </c>
      <c r="M864" s="564" t="s">
        <v>2098</v>
      </c>
      <c r="N864" s="564" t="s">
        <v>45</v>
      </c>
      <c r="O864" s="564" t="s">
        <v>2099</v>
      </c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 spans="1:26" ht="13">
      <c r="A865" s="562" t="s">
        <v>3021</v>
      </c>
      <c r="B865" s="563" t="s">
        <v>3022</v>
      </c>
      <c r="C865" s="564" t="s">
        <v>1652</v>
      </c>
      <c r="D865" s="565">
        <v>45224</v>
      </c>
      <c r="E865" s="565">
        <v>45231</v>
      </c>
      <c r="F865" s="566">
        <v>2820000</v>
      </c>
      <c r="G865" s="564" t="s">
        <v>349</v>
      </c>
      <c r="H865" s="564" t="s">
        <v>349</v>
      </c>
      <c r="I865" s="564" t="s">
        <v>70</v>
      </c>
      <c r="J865" s="564" t="s">
        <v>1069</v>
      </c>
      <c r="K865" s="564" t="s">
        <v>1120</v>
      </c>
      <c r="L865" s="564" t="s">
        <v>2098</v>
      </c>
      <c r="M865" s="564" t="s">
        <v>2098</v>
      </c>
      <c r="N865" s="564" t="s">
        <v>70</v>
      </c>
      <c r="O865" s="564" t="s">
        <v>2099</v>
      </c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 spans="1:26" ht="13">
      <c r="A866" s="562" t="s">
        <v>3023</v>
      </c>
      <c r="B866" s="563" t="s">
        <v>3024</v>
      </c>
      <c r="C866" s="564" t="s">
        <v>1652</v>
      </c>
      <c r="D866" s="565">
        <v>45222</v>
      </c>
      <c r="E866" s="565">
        <v>45229</v>
      </c>
      <c r="F866" s="566">
        <v>4335000</v>
      </c>
      <c r="G866" s="564" t="s">
        <v>349</v>
      </c>
      <c r="H866" s="564" t="s">
        <v>349</v>
      </c>
      <c r="I866" s="564" t="s">
        <v>70</v>
      </c>
      <c r="J866" s="564" t="s">
        <v>1069</v>
      </c>
      <c r="K866" s="564" t="s">
        <v>1120</v>
      </c>
      <c r="L866" s="564" t="s">
        <v>2098</v>
      </c>
      <c r="M866" s="564" t="s">
        <v>2098</v>
      </c>
      <c r="N866" s="564" t="s">
        <v>70</v>
      </c>
      <c r="O866" s="564" t="s">
        <v>2099</v>
      </c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 spans="1:26" ht="13">
      <c r="A867" s="562" t="s">
        <v>3025</v>
      </c>
      <c r="B867" s="563" t="s">
        <v>3026</v>
      </c>
      <c r="C867" s="564" t="s">
        <v>1475</v>
      </c>
      <c r="D867" s="565">
        <v>45222</v>
      </c>
      <c r="E867" s="565">
        <v>45234</v>
      </c>
      <c r="F867" s="566">
        <v>420000</v>
      </c>
      <c r="G867" s="564" t="s">
        <v>1182</v>
      </c>
      <c r="H867" s="564" t="s">
        <v>1182</v>
      </c>
      <c r="I867" s="564" t="s">
        <v>2586</v>
      </c>
      <c r="J867" s="564" t="s">
        <v>1069</v>
      </c>
      <c r="K867" s="564" t="s">
        <v>1070</v>
      </c>
      <c r="L867" s="564" t="s">
        <v>2098</v>
      </c>
      <c r="M867" s="564" t="s">
        <v>2098</v>
      </c>
      <c r="N867" s="564" t="s">
        <v>1073</v>
      </c>
      <c r="O867" s="564" t="s">
        <v>2099</v>
      </c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 spans="1:26" ht="13">
      <c r="A868" s="562" t="s">
        <v>3027</v>
      </c>
      <c r="B868" s="563" t="s">
        <v>3028</v>
      </c>
      <c r="C868" s="564" t="s">
        <v>1076</v>
      </c>
      <c r="D868" s="565">
        <v>45217</v>
      </c>
      <c r="E868" s="565">
        <v>45382</v>
      </c>
      <c r="F868" s="566">
        <v>866000</v>
      </c>
      <c r="G868" s="564" t="s">
        <v>1077</v>
      </c>
      <c r="H868" s="564" t="s">
        <v>1077</v>
      </c>
      <c r="I868" s="564" t="s">
        <v>637</v>
      </c>
      <c r="J868" s="564" t="s">
        <v>1069</v>
      </c>
      <c r="K868" s="564" t="s">
        <v>1070</v>
      </c>
      <c r="L868" s="564" t="s">
        <v>2098</v>
      </c>
      <c r="M868" s="564" t="s">
        <v>2098</v>
      </c>
      <c r="N868" s="564" t="s">
        <v>1082</v>
      </c>
      <c r="O868" s="564" t="s">
        <v>2099</v>
      </c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 spans="1:26" ht="13">
      <c r="A869" s="562" t="s">
        <v>3029</v>
      </c>
      <c r="B869" s="563" t="s">
        <v>3030</v>
      </c>
      <c r="C869" s="564" t="s">
        <v>1652</v>
      </c>
      <c r="D869" s="565">
        <v>45218</v>
      </c>
      <c r="E869" s="565">
        <v>45225</v>
      </c>
      <c r="F869" s="566">
        <v>105000</v>
      </c>
      <c r="G869" s="564" t="s">
        <v>349</v>
      </c>
      <c r="H869" s="564" t="s">
        <v>349</v>
      </c>
      <c r="I869" s="564" t="s">
        <v>70</v>
      </c>
      <c r="J869" s="564" t="s">
        <v>1069</v>
      </c>
      <c r="K869" s="564" t="s">
        <v>1120</v>
      </c>
      <c r="L869" s="564" t="s">
        <v>2098</v>
      </c>
      <c r="M869" s="564" t="s">
        <v>2098</v>
      </c>
      <c r="N869" s="564" t="s">
        <v>70</v>
      </c>
      <c r="O869" s="564" t="s">
        <v>2099</v>
      </c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spans="1:26" ht="13">
      <c r="A870" s="562" t="s">
        <v>3031</v>
      </c>
      <c r="B870" s="563" t="s">
        <v>3032</v>
      </c>
      <c r="C870" s="564" t="s">
        <v>1652</v>
      </c>
      <c r="D870" s="565">
        <v>45215</v>
      </c>
      <c r="E870" s="565">
        <v>45245</v>
      </c>
      <c r="F870" s="566">
        <v>105240000</v>
      </c>
      <c r="G870" s="564" t="s">
        <v>803</v>
      </c>
      <c r="H870" s="564" t="s">
        <v>803</v>
      </c>
      <c r="I870" s="564" t="s">
        <v>802</v>
      </c>
      <c r="J870" s="564" t="s">
        <v>1069</v>
      </c>
      <c r="K870" s="564" t="s">
        <v>1198</v>
      </c>
      <c r="L870" s="564" t="s">
        <v>2098</v>
      </c>
      <c r="M870" s="564" t="s">
        <v>2098</v>
      </c>
      <c r="N870" s="564" t="s">
        <v>132</v>
      </c>
      <c r="O870" s="564" t="s">
        <v>2099</v>
      </c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 spans="1:26" ht="13">
      <c r="A871" s="562" t="s">
        <v>3033</v>
      </c>
      <c r="B871" s="563" t="s">
        <v>3034</v>
      </c>
      <c r="C871" s="564" t="s">
        <v>1652</v>
      </c>
      <c r="D871" s="565">
        <v>45217</v>
      </c>
      <c r="E871" s="565">
        <v>45223</v>
      </c>
      <c r="F871" s="566">
        <v>3030000</v>
      </c>
      <c r="G871" s="564" t="s">
        <v>349</v>
      </c>
      <c r="H871" s="564" t="s">
        <v>349</v>
      </c>
      <c r="I871" s="564" t="s">
        <v>70</v>
      </c>
      <c r="J871" s="564" t="s">
        <v>1069</v>
      </c>
      <c r="K871" s="564" t="s">
        <v>1120</v>
      </c>
      <c r="L871" s="564" t="s">
        <v>2098</v>
      </c>
      <c r="M871" s="564" t="s">
        <v>2098</v>
      </c>
      <c r="N871" s="564" t="s">
        <v>70</v>
      </c>
      <c r="O871" s="564" t="s">
        <v>2099</v>
      </c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 spans="1:26" ht="13">
      <c r="A872" s="562" t="s">
        <v>3035</v>
      </c>
      <c r="B872" s="563" t="s">
        <v>3036</v>
      </c>
      <c r="C872" s="564" t="s">
        <v>1114</v>
      </c>
      <c r="D872" s="565">
        <v>45205</v>
      </c>
      <c r="E872" s="565">
        <v>45210</v>
      </c>
      <c r="F872" s="566">
        <v>10496000</v>
      </c>
      <c r="G872" s="564" t="s">
        <v>1145</v>
      </c>
      <c r="H872" s="564" t="s">
        <v>1145</v>
      </c>
      <c r="I872" s="564" t="s">
        <v>802</v>
      </c>
      <c r="J872" s="564" t="s">
        <v>1069</v>
      </c>
      <c r="K872" s="564" t="s">
        <v>1198</v>
      </c>
      <c r="L872" s="564" t="s">
        <v>2098</v>
      </c>
      <c r="M872" s="564" t="s">
        <v>2098</v>
      </c>
      <c r="N872" s="564" t="s">
        <v>132</v>
      </c>
      <c r="O872" s="564" t="s">
        <v>2099</v>
      </c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 spans="1:26" ht="13">
      <c r="A873" s="562" t="s">
        <v>3037</v>
      </c>
      <c r="B873" s="563" t="s">
        <v>3038</v>
      </c>
      <c r="C873" s="564" t="s">
        <v>1652</v>
      </c>
      <c r="D873" s="565">
        <v>45209</v>
      </c>
      <c r="E873" s="565">
        <v>45223</v>
      </c>
      <c r="F873" s="566">
        <v>1200000</v>
      </c>
      <c r="G873" s="564" t="s">
        <v>349</v>
      </c>
      <c r="H873" s="564" t="s">
        <v>349</v>
      </c>
      <c r="I873" s="564" t="s">
        <v>70</v>
      </c>
      <c r="J873" s="564" t="s">
        <v>1069</v>
      </c>
      <c r="K873" s="564" t="s">
        <v>1120</v>
      </c>
      <c r="L873" s="564" t="s">
        <v>2098</v>
      </c>
      <c r="M873" s="564" t="s">
        <v>2098</v>
      </c>
      <c r="N873" s="564" t="s">
        <v>70</v>
      </c>
      <c r="O873" s="564" t="s">
        <v>2099</v>
      </c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 spans="1:26" ht="13">
      <c r="A874" s="562" t="s">
        <v>3039</v>
      </c>
      <c r="B874" s="563" t="s">
        <v>3040</v>
      </c>
      <c r="C874" s="564" t="s">
        <v>2322</v>
      </c>
      <c r="D874" s="565">
        <v>45201</v>
      </c>
      <c r="E874" s="565">
        <v>45257</v>
      </c>
      <c r="F874" s="566">
        <v>24250000</v>
      </c>
      <c r="G874" s="564" t="s">
        <v>2323</v>
      </c>
      <c r="H874" s="564" t="s">
        <v>2323</v>
      </c>
      <c r="I874" s="564" t="s">
        <v>3041</v>
      </c>
      <c r="J874" s="564" t="s">
        <v>1069</v>
      </c>
      <c r="K874" s="564" t="s">
        <v>1090</v>
      </c>
      <c r="L874" s="564" t="s">
        <v>2098</v>
      </c>
      <c r="M874" s="564" t="s">
        <v>2098</v>
      </c>
      <c r="N874" s="564" t="s">
        <v>1082</v>
      </c>
      <c r="O874" s="564" t="s">
        <v>2099</v>
      </c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 spans="1:26" ht="13">
      <c r="A875" s="562" t="s">
        <v>3042</v>
      </c>
      <c r="B875" s="563" t="s">
        <v>3043</v>
      </c>
      <c r="C875" s="564" t="s">
        <v>353</v>
      </c>
      <c r="D875" s="565">
        <v>45194</v>
      </c>
      <c r="E875" s="565">
        <v>45291</v>
      </c>
      <c r="F875" s="566">
        <v>653900000</v>
      </c>
      <c r="G875" s="564" t="s">
        <v>1128</v>
      </c>
      <c r="H875" s="564" t="s">
        <v>1128</v>
      </c>
      <c r="I875" s="564" t="s">
        <v>45</v>
      </c>
      <c r="J875" s="564" t="s">
        <v>1069</v>
      </c>
      <c r="K875" s="564" t="s">
        <v>1090</v>
      </c>
      <c r="L875" s="564" t="s">
        <v>2098</v>
      </c>
      <c r="M875" s="564" t="s">
        <v>2098</v>
      </c>
      <c r="N875" s="564" t="s">
        <v>45</v>
      </c>
      <c r="O875" s="564" t="s">
        <v>2099</v>
      </c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 spans="1:26" ht="13">
      <c r="A876" s="562" t="s">
        <v>3044</v>
      </c>
      <c r="B876" s="563" t="s">
        <v>3045</v>
      </c>
      <c r="C876" s="564" t="s">
        <v>353</v>
      </c>
      <c r="D876" s="565">
        <v>45182</v>
      </c>
      <c r="E876" s="565">
        <v>45351</v>
      </c>
      <c r="F876" s="566">
        <v>74200000</v>
      </c>
      <c r="G876" s="564" t="s">
        <v>1128</v>
      </c>
      <c r="H876" s="564" t="s">
        <v>1128</v>
      </c>
      <c r="I876" s="564" t="s">
        <v>45</v>
      </c>
      <c r="J876" s="564" t="s">
        <v>1069</v>
      </c>
      <c r="K876" s="564" t="s">
        <v>1090</v>
      </c>
      <c r="L876" s="564" t="s">
        <v>2098</v>
      </c>
      <c r="M876" s="564" t="s">
        <v>2098</v>
      </c>
      <c r="N876" s="564" t="s">
        <v>45</v>
      </c>
      <c r="O876" s="564" t="s">
        <v>2099</v>
      </c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 spans="1:26" ht="13">
      <c r="A877" s="562" t="s">
        <v>3046</v>
      </c>
      <c r="B877" s="563" t="s">
        <v>3047</v>
      </c>
      <c r="C877" s="564" t="s">
        <v>353</v>
      </c>
      <c r="D877" s="565">
        <v>45196</v>
      </c>
      <c r="E877" s="565">
        <v>45226</v>
      </c>
      <c r="F877" s="566">
        <v>2350000</v>
      </c>
      <c r="G877" s="564" t="s">
        <v>349</v>
      </c>
      <c r="H877" s="564" t="s">
        <v>349</v>
      </c>
      <c r="I877" s="564" t="s">
        <v>70</v>
      </c>
      <c r="J877" s="564" t="s">
        <v>1069</v>
      </c>
      <c r="K877" s="564" t="s">
        <v>1120</v>
      </c>
      <c r="L877" s="564" t="s">
        <v>2098</v>
      </c>
      <c r="M877" s="564" t="s">
        <v>2098</v>
      </c>
      <c r="N877" s="564" t="s">
        <v>70</v>
      </c>
      <c r="O877" s="564" t="s">
        <v>2099</v>
      </c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 spans="1:26" ht="13">
      <c r="A878" s="562" t="s">
        <v>3048</v>
      </c>
      <c r="B878" s="563" t="s">
        <v>2598</v>
      </c>
      <c r="C878" s="564" t="s">
        <v>353</v>
      </c>
      <c r="D878" s="565">
        <v>45191</v>
      </c>
      <c r="E878" s="565">
        <v>45291</v>
      </c>
      <c r="F878" s="566">
        <v>322362000</v>
      </c>
      <c r="G878" s="564" t="s">
        <v>1128</v>
      </c>
      <c r="H878" s="564" t="s">
        <v>1128</v>
      </c>
      <c r="I878" s="564" t="s">
        <v>45</v>
      </c>
      <c r="J878" s="564" t="s">
        <v>1069</v>
      </c>
      <c r="K878" s="564" t="s">
        <v>1090</v>
      </c>
      <c r="L878" s="564" t="s">
        <v>2098</v>
      </c>
      <c r="M878" s="564" t="s">
        <v>2098</v>
      </c>
      <c r="N878" s="564" t="s">
        <v>45</v>
      </c>
      <c r="O878" s="564" t="s">
        <v>2099</v>
      </c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 spans="1:26" ht="13">
      <c r="A879" s="562" t="s">
        <v>3049</v>
      </c>
      <c r="B879" s="563" t="s">
        <v>3050</v>
      </c>
      <c r="C879" s="564" t="s">
        <v>1076</v>
      </c>
      <c r="D879" s="565">
        <v>45195</v>
      </c>
      <c r="E879" s="565">
        <v>45351</v>
      </c>
      <c r="F879" s="566">
        <v>2010000</v>
      </c>
      <c r="G879" s="564" t="s">
        <v>1077</v>
      </c>
      <c r="H879" s="564" t="s">
        <v>1077</v>
      </c>
      <c r="I879" s="564" t="s">
        <v>637</v>
      </c>
      <c r="J879" s="564" t="s">
        <v>1069</v>
      </c>
      <c r="K879" s="564" t="s">
        <v>1070</v>
      </c>
      <c r="L879" s="564" t="s">
        <v>2098</v>
      </c>
      <c r="M879" s="564" t="s">
        <v>2098</v>
      </c>
      <c r="N879" s="564" t="s">
        <v>1082</v>
      </c>
      <c r="O879" s="564" t="s">
        <v>2099</v>
      </c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 spans="1:26" ht="13">
      <c r="A880" s="562" t="s">
        <v>3051</v>
      </c>
      <c r="B880" s="563" t="s">
        <v>3052</v>
      </c>
      <c r="C880" s="564" t="s">
        <v>1652</v>
      </c>
      <c r="D880" s="565">
        <v>45196</v>
      </c>
      <c r="E880" s="565">
        <v>45209</v>
      </c>
      <c r="F880" s="566">
        <v>1580000</v>
      </c>
      <c r="G880" s="564" t="s">
        <v>349</v>
      </c>
      <c r="H880" s="564" t="s">
        <v>349</v>
      </c>
      <c r="I880" s="564" t="s">
        <v>70</v>
      </c>
      <c r="J880" s="564" t="s">
        <v>1069</v>
      </c>
      <c r="K880" s="564" t="s">
        <v>1120</v>
      </c>
      <c r="L880" s="564" t="s">
        <v>2098</v>
      </c>
      <c r="M880" s="564" t="s">
        <v>2098</v>
      </c>
      <c r="N880" s="564" t="s">
        <v>70</v>
      </c>
      <c r="O880" s="564" t="s">
        <v>2099</v>
      </c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 spans="1:26" ht="13">
      <c r="A881" s="562" t="s">
        <v>3053</v>
      </c>
      <c r="B881" s="563" t="s">
        <v>3054</v>
      </c>
      <c r="C881" s="564" t="s">
        <v>1652</v>
      </c>
      <c r="D881" s="565">
        <v>45190</v>
      </c>
      <c r="E881" s="565">
        <v>45197</v>
      </c>
      <c r="F881" s="566">
        <v>2820000</v>
      </c>
      <c r="G881" s="564" t="s">
        <v>349</v>
      </c>
      <c r="H881" s="564" t="s">
        <v>349</v>
      </c>
      <c r="I881" s="564" t="s">
        <v>70</v>
      </c>
      <c r="J881" s="564" t="s">
        <v>1069</v>
      </c>
      <c r="K881" s="564" t="s">
        <v>1120</v>
      </c>
      <c r="L881" s="564" t="s">
        <v>2098</v>
      </c>
      <c r="M881" s="564" t="s">
        <v>2098</v>
      </c>
      <c r="N881" s="564" t="s">
        <v>70</v>
      </c>
      <c r="O881" s="564" t="s">
        <v>2099</v>
      </c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 spans="1:26" ht="13">
      <c r="A882" s="562" t="s">
        <v>3055</v>
      </c>
      <c r="B882" s="563" t="s">
        <v>3056</v>
      </c>
      <c r="C882" s="564" t="s">
        <v>1652</v>
      </c>
      <c r="D882" s="565">
        <v>45189</v>
      </c>
      <c r="E882" s="565">
        <v>45196</v>
      </c>
      <c r="F882" s="566">
        <v>3200000</v>
      </c>
      <c r="G882" s="564" t="s">
        <v>349</v>
      </c>
      <c r="H882" s="564" t="s">
        <v>349</v>
      </c>
      <c r="I882" s="564" t="s">
        <v>70</v>
      </c>
      <c r="J882" s="564" t="s">
        <v>1069</v>
      </c>
      <c r="K882" s="564" t="s">
        <v>1120</v>
      </c>
      <c r="L882" s="564" t="s">
        <v>2098</v>
      </c>
      <c r="M882" s="564" t="s">
        <v>2098</v>
      </c>
      <c r="N882" s="564" t="s">
        <v>70</v>
      </c>
      <c r="O882" s="564" t="s">
        <v>2099</v>
      </c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 spans="1:26" ht="13">
      <c r="A883" s="562" t="s">
        <v>3057</v>
      </c>
      <c r="B883" s="563" t="s">
        <v>3058</v>
      </c>
      <c r="C883" s="564" t="s">
        <v>1652</v>
      </c>
      <c r="D883" s="565">
        <v>45188</v>
      </c>
      <c r="E883" s="565">
        <v>45195</v>
      </c>
      <c r="F883" s="566">
        <v>3135000</v>
      </c>
      <c r="G883" s="564" t="s">
        <v>349</v>
      </c>
      <c r="H883" s="564" t="s">
        <v>349</v>
      </c>
      <c r="I883" s="564" t="s">
        <v>70</v>
      </c>
      <c r="J883" s="564" t="s">
        <v>1069</v>
      </c>
      <c r="K883" s="564" t="s">
        <v>1120</v>
      </c>
      <c r="L883" s="564" t="s">
        <v>2098</v>
      </c>
      <c r="M883" s="564" t="s">
        <v>2098</v>
      </c>
      <c r="N883" s="564" t="s">
        <v>70</v>
      </c>
      <c r="O883" s="564" t="s">
        <v>2099</v>
      </c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 spans="1:26" ht="13">
      <c r="A884" s="562" t="s">
        <v>3059</v>
      </c>
      <c r="B884" s="563" t="s">
        <v>3060</v>
      </c>
      <c r="C884" s="564" t="s">
        <v>1652</v>
      </c>
      <c r="D884" s="565">
        <v>45183</v>
      </c>
      <c r="E884" s="565">
        <v>45190</v>
      </c>
      <c r="F884" s="566">
        <v>1515000</v>
      </c>
      <c r="G884" s="564" t="s">
        <v>349</v>
      </c>
      <c r="H884" s="564" t="s">
        <v>349</v>
      </c>
      <c r="I884" s="564" t="s">
        <v>70</v>
      </c>
      <c r="J884" s="564" t="s">
        <v>1069</v>
      </c>
      <c r="K884" s="564" t="s">
        <v>1120</v>
      </c>
      <c r="L884" s="564" t="s">
        <v>2098</v>
      </c>
      <c r="M884" s="564" t="s">
        <v>2098</v>
      </c>
      <c r="N884" s="564" t="s">
        <v>70</v>
      </c>
      <c r="O884" s="564" t="s">
        <v>2099</v>
      </c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 spans="1:26" ht="13">
      <c r="A885" s="562" t="s">
        <v>3061</v>
      </c>
      <c r="B885" s="563" t="s">
        <v>3062</v>
      </c>
      <c r="C885" s="564" t="s">
        <v>1652</v>
      </c>
      <c r="D885" s="565">
        <v>45183</v>
      </c>
      <c r="E885" s="565">
        <v>45190</v>
      </c>
      <c r="F885" s="566">
        <v>2820000</v>
      </c>
      <c r="G885" s="564" t="s">
        <v>349</v>
      </c>
      <c r="H885" s="564" t="s">
        <v>349</v>
      </c>
      <c r="I885" s="564" t="s">
        <v>70</v>
      </c>
      <c r="J885" s="564" t="s">
        <v>1069</v>
      </c>
      <c r="K885" s="564" t="s">
        <v>1120</v>
      </c>
      <c r="L885" s="564" t="s">
        <v>2098</v>
      </c>
      <c r="M885" s="564" t="s">
        <v>2098</v>
      </c>
      <c r="N885" s="564" t="s">
        <v>70</v>
      </c>
      <c r="O885" s="564" t="s">
        <v>2099</v>
      </c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 spans="1:26" ht="13">
      <c r="A886" s="562" t="s">
        <v>3063</v>
      </c>
      <c r="B886" s="563" t="s">
        <v>3064</v>
      </c>
      <c r="C886" s="564" t="s">
        <v>353</v>
      </c>
      <c r="D886" s="565">
        <v>45174</v>
      </c>
      <c r="E886" s="565">
        <v>45351</v>
      </c>
      <c r="F886" s="566">
        <v>59563000</v>
      </c>
      <c r="G886" s="564" t="s">
        <v>1128</v>
      </c>
      <c r="H886" s="564" t="s">
        <v>1128</v>
      </c>
      <c r="I886" s="564" t="s">
        <v>45</v>
      </c>
      <c r="J886" s="564" t="s">
        <v>1069</v>
      </c>
      <c r="K886" s="564" t="s">
        <v>1090</v>
      </c>
      <c r="L886" s="564" t="s">
        <v>2098</v>
      </c>
      <c r="M886" s="564" t="s">
        <v>2098</v>
      </c>
      <c r="N886" s="564" t="s">
        <v>45</v>
      </c>
      <c r="O886" s="564" t="s">
        <v>2099</v>
      </c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 spans="1:26" ht="13">
      <c r="A887" s="562" t="s">
        <v>3065</v>
      </c>
      <c r="B887" s="563" t="s">
        <v>3066</v>
      </c>
      <c r="C887" s="564" t="s">
        <v>1652</v>
      </c>
      <c r="D887" s="565">
        <v>45177</v>
      </c>
      <c r="E887" s="565">
        <v>45184</v>
      </c>
      <c r="F887" s="566">
        <v>7495000</v>
      </c>
      <c r="G887" s="564" t="s">
        <v>349</v>
      </c>
      <c r="H887" s="564" t="s">
        <v>349</v>
      </c>
      <c r="I887" s="564" t="s">
        <v>70</v>
      </c>
      <c r="J887" s="564" t="s">
        <v>1069</v>
      </c>
      <c r="K887" s="564" t="s">
        <v>1120</v>
      </c>
      <c r="L887" s="564" t="s">
        <v>2098</v>
      </c>
      <c r="M887" s="564" t="s">
        <v>2098</v>
      </c>
      <c r="N887" s="564" t="s">
        <v>70</v>
      </c>
      <c r="O887" s="564" t="s">
        <v>2099</v>
      </c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 spans="1:26" ht="13">
      <c r="A888" s="562" t="s">
        <v>3067</v>
      </c>
      <c r="B888" s="563" t="s">
        <v>3068</v>
      </c>
      <c r="C888" s="564" t="s">
        <v>1076</v>
      </c>
      <c r="D888" s="565">
        <v>45173</v>
      </c>
      <c r="E888" s="565">
        <v>45351</v>
      </c>
      <c r="F888" s="566">
        <v>866000</v>
      </c>
      <c r="G888" s="564" t="s">
        <v>1077</v>
      </c>
      <c r="H888" s="564" t="s">
        <v>1077</v>
      </c>
      <c r="I888" s="564" t="s">
        <v>637</v>
      </c>
      <c r="J888" s="564" t="s">
        <v>1069</v>
      </c>
      <c r="K888" s="564" t="s">
        <v>1070</v>
      </c>
      <c r="L888" s="564" t="s">
        <v>2098</v>
      </c>
      <c r="M888" s="564" t="s">
        <v>2098</v>
      </c>
      <c r="N888" s="564" t="s">
        <v>1082</v>
      </c>
      <c r="O888" s="564" t="s">
        <v>2099</v>
      </c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 spans="1:26" ht="13">
      <c r="A889" s="562" t="s">
        <v>3069</v>
      </c>
      <c r="B889" s="563" t="s">
        <v>3070</v>
      </c>
      <c r="C889" s="564" t="s">
        <v>1652</v>
      </c>
      <c r="D889" s="565">
        <v>45174</v>
      </c>
      <c r="E889" s="565">
        <v>45224</v>
      </c>
      <c r="F889" s="566">
        <v>19370000</v>
      </c>
      <c r="G889" s="564" t="s">
        <v>349</v>
      </c>
      <c r="H889" s="564" t="s">
        <v>349</v>
      </c>
      <c r="I889" s="564" t="s">
        <v>70</v>
      </c>
      <c r="J889" s="564" t="s">
        <v>1069</v>
      </c>
      <c r="K889" s="564" t="s">
        <v>1120</v>
      </c>
      <c r="L889" s="564" t="s">
        <v>2098</v>
      </c>
      <c r="M889" s="564" t="s">
        <v>2098</v>
      </c>
      <c r="N889" s="564" t="s">
        <v>70</v>
      </c>
      <c r="O889" s="564" t="s">
        <v>2099</v>
      </c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 spans="1:26" ht="13">
      <c r="A890" s="562" t="s">
        <v>3071</v>
      </c>
      <c r="B890" s="563" t="s">
        <v>3072</v>
      </c>
      <c r="C890" s="564" t="s">
        <v>1652</v>
      </c>
      <c r="D890" s="565">
        <v>45175</v>
      </c>
      <c r="E890" s="565">
        <v>45189</v>
      </c>
      <c r="F890" s="566">
        <v>525000</v>
      </c>
      <c r="G890" s="564" t="s">
        <v>349</v>
      </c>
      <c r="H890" s="564" t="s">
        <v>349</v>
      </c>
      <c r="I890" s="564" t="s">
        <v>107</v>
      </c>
      <c r="J890" s="564" t="s">
        <v>1069</v>
      </c>
      <c r="K890" s="564" t="s">
        <v>1120</v>
      </c>
      <c r="L890" s="564" t="s">
        <v>2098</v>
      </c>
      <c r="M890" s="564" t="s">
        <v>2098</v>
      </c>
      <c r="N890" s="564" t="s">
        <v>1073</v>
      </c>
      <c r="O890" s="564" t="s">
        <v>2099</v>
      </c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 spans="1:26" ht="13">
      <c r="A891" s="562" t="s">
        <v>3073</v>
      </c>
      <c r="B891" s="563" t="s">
        <v>3074</v>
      </c>
      <c r="C891" s="564" t="s">
        <v>1652</v>
      </c>
      <c r="D891" s="565">
        <v>45174</v>
      </c>
      <c r="E891" s="565">
        <v>45181</v>
      </c>
      <c r="F891" s="566">
        <v>2925000</v>
      </c>
      <c r="G891" s="564" t="s">
        <v>349</v>
      </c>
      <c r="H891" s="564" t="s">
        <v>349</v>
      </c>
      <c r="I891" s="564" t="s">
        <v>70</v>
      </c>
      <c r="J891" s="564" t="s">
        <v>1069</v>
      </c>
      <c r="K891" s="564" t="s">
        <v>1120</v>
      </c>
      <c r="L891" s="564" t="s">
        <v>2098</v>
      </c>
      <c r="M891" s="564" t="s">
        <v>2098</v>
      </c>
      <c r="N891" s="564" t="s">
        <v>70</v>
      </c>
      <c r="O891" s="564" t="s">
        <v>2099</v>
      </c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 spans="1:26" ht="13">
      <c r="A892" s="562" t="s">
        <v>3075</v>
      </c>
      <c r="B892" s="563" t="s">
        <v>3076</v>
      </c>
      <c r="C892" s="564" t="s">
        <v>1652</v>
      </c>
      <c r="D892" s="565">
        <v>45174</v>
      </c>
      <c r="E892" s="565">
        <v>45181</v>
      </c>
      <c r="F892" s="566">
        <v>3575000</v>
      </c>
      <c r="G892" s="564" t="s">
        <v>349</v>
      </c>
      <c r="H892" s="564" t="s">
        <v>349</v>
      </c>
      <c r="I892" s="564" t="s">
        <v>70</v>
      </c>
      <c r="J892" s="564" t="s">
        <v>1069</v>
      </c>
      <c r="K892" s="564" t="s">
        <v>1120</v>
      </c>
      <c r="L892" s="564" t="s">
        <v>2098</v>
      </c>
      <c r="M892" s="564" t="s">
        <v>2098</v>
      </c>
      <c r="N892" s="564" t="s">
        <v>70</v>
      </c>
      <c r="O892" s="564" t="s">
        <v>2099</v>
      </c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 spans="1:26" ht="13">
      <c r="A893" s="562" t="s">
        <v>3077</v>
      </c>
      <c r="B893" s="563" t="s">
        <v>3078</v>
      </c>
      <c r="C893" s="564" t="s">
        <v>1652</v>
      </c>
      <c r="D893" s="565">
        <v>45170</v>
      </c>
      <c r="E893" s="565">
        <v>45176</v>
      </c>
      <c r="F893" s="566">
        <v>1410000</v>
      </c>
      <c r="G893" s="564" t="s">
        <v>349</v>
      </c>
      <c r="H893" s="564" t="s">
        <v>349</v>
      </c>
      <c r="I893" s="564" t="s">
        <v>70</v>
      </c>
      <c r="J893" s="564" t="s">
        <v>1069</v>
      </c>
      <c r="K893" s="564" t="s">
        <v>1120</v>
      </c>
      <c r="L893" s="564" t="s">
        <v>2098</v>
      </c>
      <c r="M893" s="564" t="s">
        <v>2098</v>
      </c>
      <c r="N893" s="564" t="s">
        <v>70</v>
      </c>
      <c r="O893" s="564" t="s">
        <v>2099</v>
      </c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 spans="1:26" ht="13">
      <c r="A894" s="562" t="s">
        <v>3079</v>
      </c>
      <c r="B894" s="563" t="s">
        <v>3080</v>
      </c>
      <c r="C894" s="564" t="s">
        <v>1652</v>
      </c>
      <c r="D894" s="565">
        <v>45169</v>
      </c>
      <c r="E894" s="565">
        <v>45176</v>
      </c>
      <c r="F894" s="566">
        <v>315000</v>
      </c>
      <c r="G894" s="564" t="s">
        <v>349</v>
      </c>
      <c r="H894" s="564" t="s">
        <v>349</v>
      </c>
      <c r="I894" s="564" t="s">
        <v>70</v>
      </c>
      <c r="J894" s="564" t="s">
        <v>1069</v>
      </c>
      <c r="K894" s="564" t="s">
        <v>1120</v>
      </c>
      <c r="L894" s="564" t="s">
        <v>2098</v>
      </c>
      <c r="M894" s="564" t="s">
        <v>2098</v>
      </c>
      <c r="N894" s="564" t="s">
        <v>70</v>
      </c>
      <c r="O894" s="564" t="s">
        <v>2099</v>
      </c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 spans="1:26" ht="13">
      <c r="A895" s="562" t="s">
        <v>3081</v>
      </c>
      <c r="B895" s="563" t="s">
        <v>3082</v>
      </c>
      <c r="C895" s="564" t="s">
        <v>1652</v>
      </c>
      <c r="D895" s="565">
        <v>45162</v>
      </c>
      <c r="E895" s="565">
        <v>45169</v>
      </c>
      <c r="F895" s="566">
        <v>2595000</v>
      </c>
      <c r="G895" s="564" t="s">
        <v>349</v>
      </c>
      <c r="H895" s="564" t="s">
        <v>349</v>
      </c>
      <c r="I895" s="564" t="s">
        <v>70</v>
      </c>
      <c r="J895" s="564" t="s">
        <v>1069</v>
      </c>
      <c r="K895" s="564" t="s">
        <v>1120</v>
      </c>
      <c r="L895" s="564" t="s">
        <v>2098</v>
      </c>
      <c r="M895" s="564" t="s">
        <v>2098</v>
      </c>
      <c r="N895" s="564" t="s">
        <v>70</v>
      </c>
      <c r="O895" s="564" t="s">
        <v>2099</v>
      </c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 spans="1:26" ht="13">
      <c r="A896" s="562" t="s">
        <v>3083</v>
      </c>
      <c r="B896" s="563" t="s">
        <v>3084</v>
      </c>
      <c r="C896" s="564" t="s">
        <v>353</v>
      </c>
      <c r="D896" s="565">
        <v>45161</v>
      </c>
      <c r="E896" s="565">
        <v>45169</v>
      </c>
      <c r="F896" s="566">
        <v>1200000</v>
      </c>
      <c r="G896" s="564" t="s">
        <v>349</v>
      </c>
      <c r="H896" s="564" t="s">
        <v>349</v>
      </c>
      <c r="I896" s="564" t="s">
        <v>64</v>
      </c>
      <c r="J896" s="564" t="s">
        <v>1069</v>
      </c>
      <c r="K896" s="564" t="s">
        <v>1090</v>
      </c>
      <c r="L896" s="564" t="s">
        <v>2098</v>
      </c>
      <c r="M896" s="564" t="s">
        <v>2098</v>
      </c>
      <c r="N896" s="564" t="s">
        <v>64</v>
      </c>
      <c r="O896" s="564" t="s">
        <v>2099</v>
      </c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 spans="1:26" ht="13">
      <c r="A897" s="562" t="s">
        <v>3085</v>
      </c>
      <c r="B897" s="563" t="s">
        <v>3086</v>
      </c>
      <c r="C897" s="564" t="s">
        <v>1076</v>
      </c>
      <c r="D897" s="565">
        <v>45159</v>
      </c>
      <c r="E897" s="565">
        <v>45322</v>
      </c>
      <c r="F897" s="566">
        <v>1096000</v>
      </c>
      <c r="G897" s="564" t="s">
        <v>1077</v>
      </c>
      <c r="H897" s="564" t="s">
        <v>1077</v>
      </c>
      <c r="I897" s="564" t="s">
        <v>637</v>
      </c>
      <c r="J897" s="564" t="s">
        <v>1069</v>
      </c>
      <c r="K897" s="564" t="s">
        <v>1070</v>
      </c>
      <c r="L897" s="564" t="s">
        <v>2098</v>
      </c>
      <c r="M897" s="564" t="s">
        <v>2098</v>
      </c>
      <c r="N897" s="564" t="s">
        <v>1082</v>
      </c>
      <c r="O897" s="564" t="s">
        <v>2099</v>
      </c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 spans="1:26" ht="13">
      <c r="A898" s="562" t="s">
        <v>3087</v>
      </c>
      <c r="B898" s="563" t="s">
        <v>3088</v>
      </c>
      <c r="C898" s="564" t="s">
        <v>353</v>
      </c>
      <c r="D898" s="565">
        <v>45159</v>
      </c>
      <c r="E898" s="565">
        <v>45177</v>
      </c>
      <c r="F898" s="566">
        <v>140000</v>
      </c>
      <c r="G898" s="564" t="s">
        <v>1128</v>
      </c>
      <c r="H898" s="564" t="s">
        <v>1128</v>
      </c>
      <c r="I898" s="564" t="s">
        <v>45</v>
      </c>
      <c r="J898" s="564" t="s">
        <v>1069</v>
      </c>
      <c r="K898" s="564" t="s">
        <v>1090</v>
      </c>
      <c r="L898" s="564" t="s">
        <v>2098</v>
      </c>
      <c r="M898" s="564" t="s">
        <v>2098</v>
      </c>
      <c r="N898" s="564" t="s">
        <v>45</v>
      </c>
      <c r="O898" s="564" t="s">
        <v>2099</v>
      </c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 spans="1:26" ht="13">
      <c r="A899" s="562" t="s">
        <v>3089</v>
      </c>
      <c r="B899" s="563" t="s">
        <v>3090</v>
      </c>
      <c r="C899" s="564" t="s">
        <v>1652</v>
      </c>
      <c r="D899" s="565">
        <v>45156</v>
      </c>
      <c r="E899" s="565">
        <v>45163</v>
      </c>
      <c r="F899" s="566">
        <v>4335000</v>
      </c>
      <c r="G899" s="564" t="s">
        <v>349</v>
      </c>
      <c r="H899" s="564" t="s">
        <v>349</v>
      </c>
      <c r="I899" s="564" t="s">
        <v>70</v>
      </c>
      <c r="J899" s="564" t="s">
        <v>1069</v>
      </c>
      <c r="K899" s="564" t="s">
        <v>1120</v>
      </c>
      <c r="L899" s="564" t="s">
        <v>2098</v>
      </c>
      <c r="M899" s="564" t="s">
        <v>2098</v>
      </c>
      <c r="N899" s="564" t="s">
        <v>70</v>
      </c>
      <c r="O899" s="564" t="s">
        <v>2099</v>
      </c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 spans="1:26" ht="13">
      <c r="A900" s="562" t="s">
        <v>3091</v>
      </c>
      <c r="B900" s="563" t="s">
        <v>2681</v>
      </c>
      <c r="C900" s="564" t="s">
        <v>1076</v>
      </c>
      <c r="D900" s="565">
        <v>45149</v>
      </c>
      <c r="E900" s="565">
        <v>45322</v>
      </c>
      <c r="F900" s="566">
        <v>3288000</v>
      </c>
      <c r="G900" s="564" t="s">
        <v>1077</v>
      </c>
      <c r="H900" s="564" t="s">
        <v>1077</v>
      </c>
      <c r="I900" s="564" t="s">
        <v>637</v>
      </c>
      <c r="J900" s="564" t="s">
        <v>1069</v>
      </c>
      <c r="K900" s="564" t="s">
        <v>1070</v>
      </c>
      <c r="L900" s="564" t="s">
        <v>2098</v>
      </c>
      <c r="M900" s="564" t="s">
        <v>2098</v>
      </c>
      <c r="N900" s="564" t="s">
        <v>1082</v>
      </c>
      <c r="O900" s="564" t="s">
        <v>2099</v>
      </c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 spans="1:26" ht="13">
      <c r="A901" s="562" t="s">
        <v>3092</v>
      </c>
      <c r="B901" s="563" t="s">
        <v>525</v>
      </c>
      <c r="C901" s="564" t="s">
        <v>353</v>
      </c>
      <c r="D901" s="565">
        <v>45147</v>
      </c>
      <c r="E901" s="565">
        <v>45156</v>
      </c>
      <c r="F901" s="566">
        <v>240000</v>
      </c>
      <c r="G901" s="564" t="s">
        <v>349</v>
      </c>
      <c r="H901" s="564" t="s">
        <v>349</v>
      </c>
      <c r="I901" s="564" t="s">
        <v>64</v>
      </c>
      <c r="J901" s="564" t="s">
        <v>1069</v>
      </c>
      <c r="K901" s="564" t="s">
        <v>1090</v>
      </c>
      <c r="L901" s="564" t="s">
        <v>2098</v>
      </c>
      <c r="M901" s="564" t="s">
        <v>2098</v>
      </c>
      <c r="N901" s="564" t="s">
        <v>64</v>
      </c>
      <c r="O901" s="564" t="s">
        <v>2099</v>
      </c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 spans="1:26" ht="13">
      <c r="A902" s="562" t="s">
        <v>3093</v>
      </c>
      <c r="B902" s="563" t="s">
        <v>3094</v>
      </c>
      <c r="C902" s="564" t="s">
        <v>1652</v>
      </c>
      <c r="D902" s="565">
        <v>45146</v>
      </c>
      <c r="E902" s="565">
        <v>45160</v>
      </c>
      <c r="F902" s="566">
        <v>18200</v>
      </c>
      <c r="G902" s="564" t="s">
        <v>349</v>
      </c>
      <c r="H902" s="564" t="s">
        <v>349</v>
      </c>
      <c r="I902" s="564" t="s">
        <v>1223</v>
      </c>
      <c r="J902" s="564" t="s">
        <v>1069</v>
      </c>
      <c r="K902" s="564" t="s">
        <v>1120</v>
      </c>
      <c r="L902" s="564" t="s">
        <v>2098</v>
      </c>
      <c r="M902" s="564" t="s">
        <v>2098</v>
      </c>
      <c r="N902" s="564" t="s">
        <v>1073</v>
      </c>
      <c r="O902" s="564" t="s">
        <v>2099</v>
      </c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 spans="1:26" ht="13">
      <c r="A903" s="562" t="s">
        <v>3095</v>
      </c>
      <c r="B903" s="563" t="s">
        <v>3096</v>
      </c>
      <c r="C903" s="564" t="s">
        <v>1652</v>
      </c>
      <c r="D903" s="565">
        <v>45145</v>
      </c>
      <c r="E903" s="565">
        <v>45152</v>
      </c>
      <c r="F903" s="566">
        <v>7785000</v>
      </c>
      <c r="G903" s="564" t="s">
        <v>349</v>
      </c>
      <c r="H903" s="564" t="s">
        <v>349</v>
      </c>
      <c r="I903" s="564" t="s">
        <v>70</v>
      </c>
      <c r="J903" s="564" t="s">
        <v>1069</v>
      </c>
      <c r="K903" s="564" t="s">
        <v>1120</v>
      </c>
      <c r="L903" s="564" t="s">
        <v>2098</v>
      </c>
      <c r="M903" s="564" t="s">
        <v>2098</v>
      </c>
      <c r="N903" s="564" t="s">
        <v>70</v>
      </c>
      <c r="O903" s="564" t="s">
        <v>2099</v>
      </c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 spans="1:26" ht="13">
      <c r="A904" s="562" t="s">
        <v>3097</v>
      </c>
      <c r="B904" s="563" t="s">
        <v>3098</v>
      </c>
      <c r="C904" s="564" t="s">
        <v>1652</v>
      </c>
      <c r="D904" s="565">
        <v>45142</v>
      </c>
      <c r="E904" s="565">
        <v>45163</v>
      </c>
      <c r="F904" s="566">
        <v>13330000</v>
      </c>
      <c r="G904" s="564" t="s">
        <v>349</v>
      </c>
      <c r="H904" s="564" t="s">
        <v>349</v>
      </c>
      <c r="I904" s="564" t="s">
        <v>1281</v>
      </c>
      <c r="J904" s="564" t="s">
        <v>1069</v>
      </c>
      <c r="K904" s="564" t="s">
        <v>1120</v>
      </c>
      <c r="L904" s="564" t="s">
        <v>2098</v>
      </c>
      <c r="M904" s="564" t="s">
        <v>2098</v>
      </c>
      <c r="N904" s="564" t="s">
        <v>1073</v>
      </c>
      <c r="O904" s="564" t="s">
        <v>2099</v>
      </c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 spans="1:26" ht="13">
      <c r="A905" s="562" t="s">
        <v>3099</v>
      </c>
      <c r="B905" s="563" t="s">
        <v>3100</v>
      </c>
      <c r="C905" s="564" t="s">
        <v>353</v>
      </c>
      <c r="D905" s="565">
        <v>45141</v>
      </c>
      <c r="E905" s="565">
        <v>45148</v>
      </c>
      <c r="F905" s="566">
        <v>262500</v>
      </c>
      <c r="G905" s="564" t="s">
        <v>349</v>
      </c>
      <c r="H905" s="564" t="s">
        <v>349</v>
      </c>
      <c r="I905" s="564" t="s">
        <v>45</v>
      </c>
      <c r="J905" s="564" t="s">
        <v>1069</v>
      </c>
      <c r="K905" s="564" t="s">
        <v>1090</v>
      </c>
      <c r="L905" s="564" t="s">
        <v>2098</v>
      </c>
      <c r="M905" s="564" t="s">
        <v>2098</v>
      </c>
      <c r="N905" s="564" t="s">
        <v>45</v>
      </c>
      <c r="O905" s="564" t="s">
        <v>2099</v>
      </c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 spans="1:26" ht="13">
      <c r="A906" s="562" t="s">
        <v>3101</v>
      </c>
      <c r="B906" s="563" t="s">
        <v>3102</v>
      </c>
      <c r="C906" s="564" t="s">
        <v>1652</v>
      </c>
      <c r="D906" s="565">
        <v>45140</v>
      </c>
      <c r="E906" s="565">
        <v>45147</v>
      </c>
      <c r="F906" s="566">
        <v>1510000</v>
      </c>
      <c r="G906" s="564" t="s">
        <v>349</v>
      </c>
      <c r="H906" s="564" t="s">
        <v>349</v>
      </c>
      <c r="I906" s="564" t="s">
        <v>107</v>
      </c>
      <c r="J906" s="564" t="s">
        <v>1069</v>
      </c>
      <c r="K906" s="564" t="s">
        <v>1120</v>
      </c>
      <c r="L906" s="564" t="s">
        <v>2098</v>
      </c>
      <c r="M906" s="564" t="s">
        <v>2098</v>
      </c>
      <c r="N906" s="564" t="s">
        <v>1073</v>
      </c>
      <c r="O906" s="564" t="s">
        <v>2099</v>
      </c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 spans="1:26" ht="13">
      <c r="A907" s="562" t="s">
        <v>3103</v>
      </c>
      <c r="B907" s="563" t="s">
        <v>3104</v>
      </c>
      <c r="C907" s="564" t="s">
        <v>353</v>
      </c>
      <c r="D907" s="565">
        <v>45139</v>
      </c>
      <c r="E907" s="565">
        <v>45146</v>
      </c>
      <c r="F907" s="566">
        <v>240000</v>
      </c>
      <c r="G907" s="564" t="s">
        <v>349</v>
      </c>
      <c r="H907" s="564" t="s">
        <v>349</v>
      </c>
      <c r="I907" s="564" t="s">
        <v>64</v>
      </c>
      <c r="J907" s="564" t="s">
        <v>1069</v>
      </c>
      <c r="K907" s="564" t="s">
        <v>1090</v>
      </c>
      <c r="L907" s="564" t="s">
        <v>2098</v>
      </c>
      <c r="M907" s="564" t="s">
        <v>2098</v>
      </c>
      <c r="N907" s="564" t="s">
        <v>64</v>
      </c>
      <c r="O907" s="564" t="s">
        <v>2099</v>
      </c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 spans="1:26" ht="13">
      <c r="A908" s="562" t="s">
        <v>3105</v>
      </c>
      <c r="B908" s="563" t="s">
        <v>3106</v>
      </c>
      <c r="C908" s="564" t="s">
        <v>353</v>
      </c>
      <c r="D908" s="565">
        <v>45139</v>
      </c>
      <c r="E908" s="565">
        <v>45146</v>
      </c>
      <c r="F908" s="566">
        <v>120000</v>
      </c>
      <c r="G908" s="564" t="s">
        <v>349</v>
      </c>
      <c r="H908" s="564" t="s">
        <v>349</v>
      </c>
      <c r="I908" s="564" t="s">
        <v>64</v>
      </c>
      <c r="J908" s="564" t="s">
        <v>1069</v>
      </c>
      <c r="K908" s="564" t="s">
        <v>1090</v>
      </c>
      <c r="L908" s="564" t="s">
        <v>2098</v>
      </c>
      <c r="M908" s="564" t="s">
        <v>2098</v>
      </c>
      <c r="N908" s="564" t="s">
        <v>64</v>
      </c>
      <c r="O908" s="564" t="s">
        <v>2099</v>
      </c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 spans="1:26" ht="13">
      <c r="A909" s="562" t="s">
        <v>3107</v>
      </c>
      <c r="B909" s="563" t="s">
        <v>3108</v>
      </c>
      <c r="C909" s="564" t="s">
        <v>1652</v>
      </c>
      <c r="D909" s="565">
        <v>45138</v>
      </c>
      <c r="E909" s="565">
        <v>45145</v>
      </c>
      <c r="F909" s="566">
        <v>380000</v>
      </c>
      <c r="G909" s="564" t="s">
        <v>349</v>
      </c>
      <c r="H909" s="564" t="s">
        <v>349</v>
      </c>
      <c r="I909" s="564" t="s">
        <v>70</v>
      </c>
      <c r="J909" s="564" t="s">
        <v>1069</v>
      </c>
      <c r="K909" s="564" t="s">
        <v>1120</v>
      </c>
      <c r="L909" s="564" t="s">
        <v>2098</v>
      </c>
      <c r="M909" s="564" t="s">
        <v>2098</v>
      </c>
      <c r="N909" s="564" t="s">
        <v>70</v>
      </c>
      <c r="O909" s="564" t="s">
        <v>2099</v>
      </c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 spans="1:26" ht="13">
      <c r="A910" s="562" t="s">
        <v>3109</v>
      </c>
      <c r="B910" s="563" t="s">
        <v>3110</v>
      </c>
      <c r="C910" s="564" t="s">
        <v>353</v>
      </c>
      <c r="D910" s="565">
        <v>45131</v>
      </c>
      <c r="E910" s="565">
        <v>45230</v>
      </c>
      <c r="F910" s="566">
        <v>514706000</v>
      </c>
      <c r="G910" s="564" t="s">
        <v>1128</v>
      </c>
      <c r="H910" s="564" t="s">
        <v>1128</v>
      </c>
      <c r="I910" s="564" t="s">
        <v>45</v>
      </c>
      <c r="J910" s="564" t="s">
        <v>1069</v>
      </c>
      <c r="K910" s="564" t="s">
        <v>1090</v>
      </c>
      <c r="L910" s="564" t="s">
        <v>2098</v>
      </c>
      <c r="M910" s="564" t="s">
        <v>2098</v>
      </c>
      <c r="N910" s="564" t="s">
        <v>45</v>
      </c>
      <c r="O910" s="564" t="s">
        <v>2099</v>
      </c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 spans="1:26" ht="13">
      <c r="A911" s="562" t="s">
        <v>3111</v>
      </c>
      <c r="B911" s="563" t="s">
        <v>3112</v>
      </c>
      <c r="C911" s="564" t="s">
        <v>1652</v>
      </c>
      <c r="D911" s="565">
        <v>45132</v>
      </c>
      <c r="E911" s="565">
        <v>45199</v>
      </c>
      <c r="F911" s="566">
        <v>37800000</v>
      </c>
      <c r="G911" s="564" t="s">
        <v>297</v>
      </c>
      <c r="H911" s="564" t="s">
        <v>297</v>
      </c>
      <c r="I911" s="564" t="s">
        <v>107</v>
      </c>
      <c r="J911" s="564" t="s">
        <v>1069</v>
      </c>
      <c r="K911" s="564" t="s">
        <v>1120</v>
      </c>
      <c r="L911" s="564" t="s">
        <v>2098</v>
      </c>
      <c r="M911" s="564" t="s">
        <v>2098</v>
      </c>
      <c r="N911" s="564" t="s">
        <v>1073</v>
      </c>
      <c r="O911" s="564" t="s">
        <v>2099</v>
      </c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 spans="1:26" ht="13">
      <c r="A912" s="562" t="s">
        <v>3113</v>
      </c>
      <c r="B912" s="563" t="s">
        <v>3114</v>
      </c>
      <c r="C912" s="564" t="s">
        <v>353</v>
      </c>
      <c r="D912" s="565">
        <v>45131</v>
      </c>
      <c r="E912" s="565">
        <v>45230</v>
      </c>
      <c r="F912" s="566">
        <v>465170000</v>
      </c>
      <c r="G912" s="564" t="s">
        <v>1128</v>
      </c>
      <c r="H912" s="564" t="s">
        <v>1128</v>
      </c>
      <c r="I912" s="564" t="s">
        <v>45</v>
      </c>
      <c r="J912" s="564" t="s">
        <v>1069</v>
      </c>
      <c r="K912" s="564" t="s">
        <v>1090</v>
      </c>
      <c r="L912" s="564" t="s">
        <v>2098</v>
      </c>
      <c r="M912" s="564" t="s">
        <v>2098</v>
      </c>
      <c r="N912" s="564" t="s">
        <v>45</v>
      </c>
      <c r="O912" s="564" t="s">
        <v>2099</v>
      </c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 spans="1:26" ht="13">
      <c r="A913" s="562" t="s">
        <v>3115</v>
      </c>
      <c r="B913" s="563" t="s">
        <v>3116</v>
      </c>
      <c r="C913" s="564" t="s">
        <v>1652</v>
      </c>
      <c r="D913" s="565">
        <v>45127</v>
      </c>
      <c r="E913" s="565">
        <v>45134</v>
      </c>
      <c r="F913" s="566">
        <v>315000</v>
      </c>
      <c r="G913" s="564" t="s">
        <v>349</v>
      </c>
      <c r="H913" s="564" t="s">
        <v>349</v>
      </c>
      <c r="I913" s="564" t="s">
        <v>70</v>
      </c>
      <c r="J913" s="564" t="s">
        <v>1069</v>
      </c>
      <c r="K913" s="564" t="s">
        <v>1120</v>
      </c>
      <c r="L913" s="564" t="s">
        <v>2098</v>
      </c>
      <c r="M913" s="564" t="s">
        <v>2098</v>
      </c>
      <c r="N913" s="564" t="s">
        <v>70</v>
      </c>
      <c r="O913" s="564" t="s">
        <v>2099</v>
      </c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 spans="1:26" ht="13">
      <c r="A914" s="562" t="s">
        <v>3117</v>
      </c>
      <c r="B914" s="563" t="s">
        <v>3118</v>
      </c>
      <c r="C914" s="564" t="s">
        <v>1652</v>
      </c>
      <c r="D914" s="565">
        <v>45126</v>
      </c>
      <c r="E914" s="565">
        <v>45133</v>
      </c>
      <c r="F914" s="566">
        <v>2925000</v>
      </c>
      <c r="G914" s="564" t="s">
        <v>349</v>
      </c>
      <c r="H914" s="564" t="s">
        <v>349</v>
      </c>
      <c r="I914" s="564" t="s">
        <v>70</v>
      </c>
      <c r="J914" s="564" t="s">
        <v>1069</v>
      </c>
      <c r="K914" s="564" t="s">
        <v>1120</v>
      </c>
      <c r="L914" s="564" t="s">
        <v>2098</v>
      </c>
      <c r="M914" s="564" t="s">
        <v>2098</v>
      </c>
      <c r="N914" s="564" t="s">
        <v>70</v>
      </c>
      <c r="O914" s="564" t="s">
        <v>2099</v>
      </c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 spans="1:26" ht="13">
      <c r="A915" s="562" t="s">
        <v>3119</v>
      </c>
      <c r="B915" s="563" t="s">
        <v>3120</v>
      </c>
      <c r="C915" s="564" t="s">
        <v>1076</v>
      </c>
      <c r="D915" s="565">
        <v>45120</v>
      </c>
      <c r="E915" s="565">
        <v>45291</v>
      </c>
      <c r="F915" s="566">
        <v>1542000</v>
      </c>
      <c r="G915" s="564" t="s">
        <v>1077</v>
      </c>
      <c r="H915" s="564" t="s">
        <v>1077</v>
      </c>
      <c r="I915" s="564" t="s">
        <v>637</v>
      </c>
      <c r="J915" s="564" t="s">
        <v>1069</v>
      </c>
      <c r="K915" s="564" t="s">
        <v>1070</v>
      </c>
      <c r="L915" s="564" t="s">
        <v>2098</v>
      </c>
      <c r="M915" s="564" t="s">
        <v>2098</v>
      </c>
      <c r="N915" s="564" t="s">
        <v>1082</v>
      </c>
      <c r="O915" s="564" t="s">
        <v>2099</v>
      </c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 spans="1:26" ht="13">
      <c r="A916" s="562" t="s">
        <v>3121</v>
      </c>
      <c r="B916" s="563" t="s">
        <v>3122</v>
      </c>
      <c r="C916" s="564" t="s">
        <v>1652</v>
      </c>
      <c r="D916" s="565">
        <v>45121</v>
      </c>
      <c r="E916" s="565">
        <v>45128</v>
      </c>
      <c r="F916" s="566">
        <v>2820000</v>
      </c>
      <c r="G916" s="564" t="s">
        <v>349</v>
      </c>
      <c r="H916" s="564" t="s">
        <v>349</v>
      </c>
      <c r="I916" s="564" t="s">
        <v>70</v>
      </c>
      <c r="J916" s="564" t="s">
        <v>1069</v>
      </c>
      <c r="K916" s="564" t="s">
        <v>1120</v>
      </c>
      <c r="L916" s="564" t="s">
        <v>2098</v>
      </c>
      <c r="M916" s="564" t="s">
        <v>2098</v>
      </c>
      <c r="N916" s="564" t="s">
        <v>70</v>
      </c>
      <c r="O916" s="564" t="s">
        <v>2099</v>
      </c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 spans="1:26" ht="13">
      <c r="A917" s="562" t="s">
        <v>3123</v>
      </c>
      <c r="B917" s="563" t="s">
        <v>3124</v>
      </c>
      <c r="C917" s="564" t="s">
        <v>353</v>
      </c>
      <c r="D917" s="565">
        <v>45120</v>
      </c>
      <c r="E917" s="565">
        <v>45131</v>
      </c>
      <c r="F917" s="566">
        <v>240000</v>
      </c>
      <c r="G917" s="564" t="s">
        <v>349</v>
      </c>
      <c r="H917" s="564" t="s">
        <v>349</v>
      </c>
      <c r="I917" s="564" t="s">
        <v>64</v>
      </c>
      <c r="J917" s="564" t="s">
        <v>1069</v>
      </c>
      <c r="K917" s="564" t="s">
        <v>1090</v>
      </c>
      <c r="L917" s="564" t="s">
        <v>2098</v>
      </c>
      <c r="M917" s="564" t="s">
        <v>2098</v>
      </c>
      <c r="N917" s="564" t="s">
        <v>64</v>
      </c>
      <c r="O917" s="564" t="s">
        <v>2099</v>
      </c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 spans="1:26" ht="13">
      <c r="A918" s="562" t="s">
        <v>3125</v>
      </c>
      <c r="B918" s="563" t="s">
        <v>3126</v>
      </c>
      <c r="C918" s="564" t="s">
        <v>353</v>
      </c>
      <c r="D918" s="565">
        <v>45120</v>
      </c>
      <c r="E918" s="565">
        <v>45128</v>
      </c>
      <c r="F918" s="566">
        <v>91000</v>
      </c>
      <c r="G918" s="564" t="s">
        <v>349</v>
      </c>
      <c r="H918" s="564" t="s">
        <v>349</v>
      </c>
      <c r="I918" s="564" t="s">
        <v>170</v>
      </c>
      <c r="J918" s="564" t="s">
        <v>1069</v>
      </c>
      <c r="K918" s="564" t="s">
        <v>1105</v>
      </c>
      <c r="L918" s="564" t="s">
        <v>2098</v>
      </c>
      <c r="M918" s="564" t="s">
        <v>2098</v>
      </c>
      <c r="N918" s="564" t="s">
        <v>170</v>
      </c>
      <c r="O918" s="564" t="s">
        <v>2099</v>
      </c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 spans="1:26" ht="13">
      <c r="A919" s="562" t="s">
        <v>3127</v>
      </c>
      <c r="B919" s="563" t="s">
        <v>3128</v>
      </c>
      <c r="C919" s="564" t="s">
        <v>1652</v>
      </c>
      <c r="D919" s="565">
        <v>45114</v>
      </c>
      <c r="E919" s="565">
        <v>45121</v>
      </c>
      <c r="F919" s="566">
        <v>5640000</v>
      </c>
      <c r="G919" s="564" t="s">
        <v>349</v>
      </c>
      <c r="H919" s="564" t="s">
        <v>349</v>
      </c>
      <c r="I919" s="564" t="s">
        <v>70</v>
      </c>
      <c r="J919" s="564" t="s">
        <v>1069</v>
      </c>
      <c r="K919" s="564" t="s">
        <v>1120</v>
      </c>
      <c r="L919" s="564" t="s">
        <v>2098</v>
      </c>
      <c r="M919" s="564" t="s">
        <v>2098</v>
      </c>
      <c r="N919" s="564" t="s">
        <v>70</v>
      </c>
      <c r="O919" s="564" t="s">
        <v>2099</v>
      </c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 spans="1:26" ht="13">
      <c r="A920" s="562" t="s">
        <v>3129</v>
      </c>
      <c r="B920" s="563" t="s">
        <v>3130</v>
      </c>
      <c r="C920" s="564" t="s">
        <v>353</v>
      </c>
      <c r="D920" s="565">
        <v>45113</v>
      </c>
      <c r="E920" s="565">
        <v>45127</v>
      </c>
      <c r="F920" s="566">
        <v>180000</v>
      </c>
      <c r="G920" s="564" t="s">
        <v>349</v>
      </c>
      <c r="H920" s="564" t="s">
        <v>349</v>
      </c>
      <c r="I920" s="564" t="s">
        <v>121</v>
      </c>
      <c r="J920" s="564" t="s">
        <v>1069</v>
      </c>
      <c r="K920" s="564" t="s">
        <v>1105</v>
      </c>
      <c r="L920" s="564" t="s">
        <v>2098</v>
      </c>
      <c r="M920" s="564" t="s">
        <v>2098</v>
      </c>
      <c r="N920" s="564" t="s">
        <v>1073</v>
      </c>
      <c r="O920" s="564" t="s">
        <v>2099</v>
      </c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 spans="1:26" ht="13">
      <c r="A921" s="562" t="s">
        <v>3131</v>
      </c>
      <c r="B921" s="563" t="s">
        <v>3132</v>
      </c>
      <c r="C921" s="564" t="s">
        <v>353</v>
      </c>
      <c r="D921" s="565">
        <v>45112</v>
      </c>
      <c r="E921" s="565">
        <v>45119</v>
      </c>
      <c r="F921" s="566">
        <v>120000</v>
      </c>
      <c r="G921" s="564" t="s">
        <v>349</v>
      </c>
      <c r="H921" s="564" t="s">
        <v>349</v>
      </c>
      <c r="I921" s="564" t="s">
        <v>64</v>
      </c>
      <c r="J921" s="564" t="s">
        <v>1069</v>
      </c>
      <c r="K921" s="564" t="s">
        <v>1090</v>
      </c>
      <c r="L921" s="564" t="s">
        <v>2098</v>
      </c>
      <c r="M921" s="564" t="s">
        <v>2098</v>
      </c>
      <c r="N921" s="564" t="s">
        <v>64</v>
      </c>
      <c r="O921" s="564" t="s">
        <v>2099</v>
      </c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 spans="1:26" ht="13">
      <c r="A922" s="562" t="s">
        <v>3133</v>
      </c>
      <c r="B922" s="563" t="s">
        <v>3134</v>
      </c>
      <c r="C922" s="564" t="s">
        <v>353</v>
      </c>
      <c r="D922" s="565">
        <v>45112</v>
      </c>
      <c r="E922" s="565">
        <v>45119</v>
      </c>
      <c r="F922" s="566">
        <v>120000</v>
      </c>
      <c r="G922" s="564" t="s">
        <v>349</v>
      </c>
      <c r="H922" s="564" t="s">
        <v>349</v>
      </c>
      <c r="I922" s="564" t="s">
        <v>64</v>
      </c>
      <c r="J922" s="564" t="s">
        <v>1069</v>
      </c>
      <c r="K922" s="564" t="s">
        <v>1090</v>
      </c>
      <c r="L922" s="564" t="s">
        <v>2098</v>
      </c>
      <c r="M922" s="564" t="s">
        <v>2098</v>
      </c>
      <c r="N922" s="564" t="s">
        <v>64</v>
      </c>
      <c r="O922" s="564" t="s">
        <v>2099</v>
      </c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 spans="1:26" ht="13">
      <c r="A923" s="562" t="s">
        <v>3135</v>
      </c>
      <c r="B923" s="563" t="s">
        <v>2617</v>
      </c>
      <c r="C923" s="564" t="s">
        <v>1652</v>
      </c>
      <c r="D923" s="565">
        <v>45112</v>
      </c>
      <c r="E923" s="565">
        <v>45126</v>
      </c>
      <c r="F923" s="566">
        <v>260500</v>
      </c>
      <c r="G923" s="564" t="s">
        <v>349</v>
      </c>
      <c r="H923" s="564" t="s">
        <v>349</v>
      </c>
      <c r="I923" s="564" t="s">
        <v>195</v>
      </c>
      <c r="J923" s="564" t="s">
        <v>1069</v>
      </c>
      <c r="K923" s="564" t="s">
        <v>1120</v>
      </c>
      <c r="L923" s="564" t="s">
        <v>2098</v>
      </c>
      <c r="M923" s="564" t="s">
        <v>2098</v>
      </c>
      <c r="N923" s="564" t="s">
        <v>1073</v>
      </c>
      <c r="O923" s="564" t="s">
        <v>2099</v>
      </c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 spans="1:26" ht="13">
      <c r="A924" s="562" t="s">
        <v>3136</v>
      </c>
      <c r="B924" s="563" t="s">
        <v>3137</v>
      </c>
      <c r="C924" s="564" t="s">
        <v>1652</v>
      </c>
      <c r="D924" s="565">
        <v>45111</v>
      </c>
      <c r="E924" s="565">
        <v>45125</v>
      </c>
      <c r="F924" s="566">
        <v>340000</v>
      </c>
      <c r="G924" s="564" t="s">
        <v>349</v>
      </c>
      <c r="H924" s="564" t="s">
        <v>349</v>
      </c>
      <c r="I924" s="564" t="s">
        <v>1719</v>
      </c>
      <c r="J924" s="564" t="s">
        <v>1069</v>
      </c>
      <c r="K924" s="564" t="s">
        <v>1120</v>
      </c>
      <c r="L924" s="564" t="s">
        <v>2098</v>
      </c>
      <c r="M924" s="564" t="s">
        <v>2098</v>
      </c>
      <c r="N924" s="564" t="s">
        <v>1073</v>
      </c>
      <c r="O924" s="564" t="s">
        <v>2099</v>
      </c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 spans="1:26" ht="13">
      <c r="A925" s="562" t="s">
        <v>3138</v>
      </c>
      <c r="B925" s="563" t="s">
        <v>3139</v>
      </c>
      <c r="C925" s="564" t="s">
        <v>353</v>
      </c>
      <c r="D925" s="565">
        <v>45111</v>
      </c>
      <c r="E925" s="565">
        <v>45114</v>
      </c>
      <c r="F925" s="566">
        <v>120000</v>
      </c>
      <c r="G925" s="564" t="s">
        <v>349</v>
      </c>
      <c r="H925" s="564" t="s">
        <v>349</v>
      </c>
      <c r="I925" s="564" t="s">
        <v>64</v>
      </c>
      <c r="J925" s="564" t="s">
        <v>1069</v>
      </c>
      <c r="K925" s="564" t="s">
        <v>1090</v>
      </c>
      <c r="L925" s="564" t="s">
        <v>2098</v>
      </c>
      <c r="M925" s="564" t="s">
        <v>2098</v>
      </c>
      <c r="N925" s="564" t="s">
        <v>64</v>
      </c>
      <c r="O925" s="564" t="s">
        <v>2099</v>
      </c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 spans="1:26" ht="13">
      <c r="A926" s="562" t="s">
        <v>3140</v>
      </c>
      <c r="B926" s="563" t="s">
        <v>3141</v>
      </c>
      <c r="C926" s="564" t="s">
        <v>1076</v>
      </c>
      <c r="D926" s="565">
        <v>45110</v>
      </c>
      <c r="E926" s="565">
        <v>45291</v>
      </c>
      <c r="F926" s="566">
        <v>722000</v>
      </c>
      <c r="G926" s="564" t="s">
        <v>1077</v>
      </c>
      <c r="H926" s="564" t="s">
        <v>1077</v>
      </c>
      <c r="I926" s="564" t="s">
        <v>637</v>
      </c>
      <c r="J926" s="564" t="s">
        <v>1069</v>
      </c>
      <c r="K926" s="564" t="s">
        <v>1070</v>
      </c>
      <c r="L926" s="564" t="s">
        <v>2098</v>
      </c>
      <c r="M926" s="564" t="s">
        <v>2098</v>
      </c>
      <c r="N926" s="564" t="s">
        <v>1082</v>
      </c>
      <c r="O926" s="564" t="s">
        <v>2099</v>
      </c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 spans="1:26" ht="13">
      <c r="A927" s="562" t="s">
        <v>3142</v>
      </c>
      <c r="B927" s="563" t="s">
        <v>3143</v>
      </c>
      <c r="C927" s="564" t="s">
        <v>353</v>
      </c>
      <c r="D927" s="565">
        <v>45107</v>
      </c>
      <c r="E927" s="565">
        <v>45113</v>
      </c>
      <c r="F927" s="566">
        <v>600000</v>
      </c>
      <c r="G927" s="564" t="s">
        <v>349</v>
      </c>
      <c r="H927" s="564" t="s">
        <v>349</v>
      </c>
      <c r="I927" s="564" t="s">
        <v>64</v>
      </c>
      <c r="J927" s="564" t="s">
        <v>1069</v>
      </c>
      <c r="K927" s="564" t="s">
        <v>1090</v>
      </c>
      <c r="L927" s="564" t="s">
        <v>2098</v>
      </c>
      <c r="M927" s="564" t="s">
        <v>2098</v>
      </c>
      <c r="N927" s="564" t="s">
        <v>64</v>
      </c>
      <c r="O927" s="564" t="s">
        <v>2099</v>
      </c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 spans="1:26" ht="13">
      <c r="A928" s="562" t="s">
        <v>3144</v>
      </c>
      <c r="B928" s="563" t="s">
        <v>3145</v>
      </c>
      <c r="C928" s="564" t="s">
        <v>353</v>
      </c>
      <c r="D928" s="565">
        <v>45107</v>
      </c>
      <c r="E928" s="565">
        <v>45113</v>
      </c>
      <c r="F928" s="566">
        <v>240000</v>
      </c>
      <c r="G928" s="564" t="s">
        <v>349</v>
      </c>
      <c r="H928" s="564" t="s">
        <v>349</v>
      </c>
      <c r="I928" s="564" t="s">
        <v>64</v>
      </c>
      <c r="J928" s="564" t="s">
        <v>1069</v>
      </c>
      <c r="K928" s="564" t="s">
        <v>1090</v>
      </c>
      <c r="L928" s="564" t="s">
        <v>2098</v>
      </c>
      <c r="M928" s="564" t="s">
        <v>2098</v>
      </c>
      <c r="N928" s="564" t="s">
        <v>64</v>
      </c>
      <c r="O928" s="564" t="s">
        <v>2099</v>
      </c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 spans="1:26" ht="13">
      <c r="A929" s="562" t="s">
        <v>3146</v>
      </c>
      <c r="B929" s="563" t="s">
        <v>3147</v>
      </c>
      <c r="C929" s="564" t="s">
        <v>1652</v>
      </c>
      <c r="D929" s="565">
        <v>45106</v>
      </c>
      <c r="E929" s="565">
        <v>45112</v>
      </c>
      <c r="F929" s="566">
        <v>1410000</v>
      </c>
      <c r="G929" s="564" t="s">
        <v>349</v>
      </c>
      <c r="H929" s="564" t="s">
        <v>349</v>
      </c>
      <c r="I929" s="564" t="s">
        <v>70</v>
      </c>
      <c r="J929" s="564" t="s">
        <v>1069</v>
      </c>
      <c r="K929" s="564" t="s">
        <v>1120</v>
      </c>
      <c r="L929" s="564" t="s">
        <v>2098</v>
      </c>
      <c r="M929" s="564" t="s">
        <v>2098</v>
      </c>
      <c r="N929" s="564" t="s">
        <v>70</v>
      </c>
      <c r="O929" s="564" t="s">
        <v>2099</v>
      </c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 spans="1:26" ht="13">
      <c r="A930" s="562" t="s">
        <v>3148</v>
      </c>
      <c r="B930" s="563" t="s">
        <v>3149</v>
      </c>
      <c r="C930" s="564" t="s">
        <v>353</v>
      </c>
      <c r="D930" s="565">
        <v>45106</v>
      </c>
      <c r="E930" s="565">
        <v>45126</v>
      </c>
      <c r="F930" s="566">
        <v>240000</v>
      </c>
      <c r="G930" s="564" t="s">
        <v>349</v>
      </c>
      <c r="H930" s="564" t="s">
        <v>349</v>
      </c>
      <c r="I930" s="564" t="s">
        <v>64</v>
      </c>
      <c r="J930" s="564" t="s">
        <v>1069</v>
      </c>
      <c r="K930" s="564" t="s">
        <v>1090</v>
      </c>
      <c r="L930" s="564" t="s">
        <v>2098</v>
      </c>
      <c r="M930" s="564" t="s">
        <v>2098</v>
      </c>
      <c r="N930" s="564" t="s">
        <v>64</v>
      </c>
      <c r="O930" s="564" t="s">
        <v>2099</v>
      </c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 spans="1:26" ht="13">
      <c r="A931" s="562" t="s">
        <v>3150</v>
      </c>
      <c r="B931" s="563" t="s">
        <v>3151</v>
      </c>
      <c r="C931" s="564" t="s">
        <v>1076</v>
      </c>
      <c r="D931" s="565">
        <v>45104</v>
      </c>
      <c r="E931" s="565">
        <v>45291</v>
      </c>
      <c r="F931" s="566">
        <v>722000</v>
      </c>
      <c r="G931" s="564" t="s">
        <v>1077</v>
      </c>
      <c r="H931" s="564" t="s">
        <v>1077</v>
      </c>
      <c r="I931" s="564" t="s">
        <v>637</v>
      </c>
      <c r="J931" s="564" t="s">
        <v>1069</v>
      </c>
      <c r="K931" s="564" t="s">
        <v>1070</v>
      </c>
      <c r="L931" s="564" t="s">
        <v>2098</v>
      </c>
      <c r="M931" s="564" t="s">
        <v>2098</v>
      </c>
      <c r="N931" s="564" t="s">
        <v>1082</v>
      </c>
      <c r="O931" s="564" t="s">
        <v>2099</v>
      </c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 spans="1:26" ht="13">
      <c r="A932" s="562" t="s">
        <v>3152</v>
      </c>
      <c r="B932" s="563" t="s">
        <v>3132</v>
      </c>
      <c r="C932" s="564" t="s">
        <v>353</v>
      </c>
      <c r="D932" s="565">
        <v>45104</v>
      </c>
      <c r="E932" s="565">
        <v>45117</v>
      </c>
      <c r="F932" s="566">
        <v>120000</v>
      </c>
      <c r="G932" s="564" t="s">
        <v>349</v>
      </c>
      <c r="H932" s="564" t="s">
        <v>349</v>
      </c>
      <c r="I932" s="564" t="s">
        <v>64</v>
      </c>
      <c r="J932" s="564" t="s">
        <v>1069</v>
      </c>
      <c r="K932" s="564" t="s">
        <v>1090</v>
      </c>
      <c r="L932" s="564" t="s">
        <v>2098</v>
      </c>
      <c r="M932" s="564" t="s">
        <v>2098</v>
      </c>
      <c r="N932" s="564" t="s">
        <v>64</v>
      </c>
      <c r="O932" s="564" t="s">
        <v>2099</v>
      </c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 spans="1:26" ht="13">
      <c r="A933" s="562" t="s">
        <v>3153</v>
      </c>
      <c r="B933" s="563" t="s">
        <v>3154</v>
      </c>
      <c r="C933" s="564" t="s">
        <v>1652</v>
      </c>
      <c r="D933" s="565">
        <v>45104</v>
      </c>
      <c r="E933" s="565">
        <v>45138</v>
      </c>
      <c r="F933" s="566">
        <v>7364500</v>
      </c>
      <c r="G933" s="564" t="s">
        <v>297</v>
      </c>
      <c r="H933" s="564" t="s">
        <v>297</v>
      </c>
      <c r="I933" s="564" t="s">
        <v>70</v>
      </c>
      <c r="J933" s="564" t="s">
        <v>1069</v>
      </c>
      <c r="K933" s="564" t="s">
        <v>1120</v>
      </c>
      <c r="L933" s="564" t="s">
        <v>2098</v>
      </c>
      <c r="M933" s="564" t="s">
        <v>2098</v>
      </c>
      <c r="N933" s="564" t="s">
        <v>70</v>
      </c>
      <c r="O933" s="564" t="s">
        <v>2099</v>
      </c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 spans="1:26" ht="13">
      <c r="A934" s="562" t="s">
        <v>3155</v>
      </c>
      <c r="B934" s="563" t="s">
        <v>3156</v>
      </c>
      <c r="C934" s="564" t="s">
        <v>1076</v>
      </c>
      <c r="D934" s="565">
        <v>45100</v>
      </c>
      <c r="E934" s="565">
        <v>45291</v>
      </c>
      <c r="F934" s="566">
        <v>11412000</v>
      </c>
      <c r="G934" s="564" t="s">
        <v>1077</v>
      </c>
      <c r="H934" s="564" t="s">
        <v>1077</v>
      </c>
      <c r="I934" s="564" t="s">
        <v>637</v>
      </c>
      <c r="J934" s="564" t="s">
        <v>1069</v>
      </c>
      <c r="K934" s="564" t="s">
        <v>1070</v>
      </c>
      <c r="L934" s="564" t="s">
        <v>2098</v>
      </c>
      <c r="M934" s="564" t="s">
        <v>2098</v>
      </c>
      <c r="N934" s="564" t="s">
        <v>1082</v>
      </c>
      <c r="O934" s="564" t="s">
        <v>2099</v>
      </c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 spans="1:26" ht="13">
      <c r="A935" s="562" t="s">
        <v>3157</v>
      </c>
      <c r="B935" s="563" t="s">
        <v>3158</v>
      </c>
      <c r="C935" s="564" t="s">
        <v>1652</v>
      </c>
      <c r="D935" s="565">
        <v>45103</v>
      </c>
      <c r="E935" s="565">
        <v>45110</v>
      </c>
      <c r="F935" s="566">
        <v>1410000</v>
      </c>
      <c r="G935" s="564" t="s">
        <v>349</v>
      </c>
      <c r="H935" s="564" t="s">
        <v>349</v>
      </c>
      <c r="I935" s="564" t="s">
        <v>70</v>
      </c>
      <c r="J935" s="564" t="s">
        <v>1069</v>
      </c>
      <c r="K935" s="564" t="s">
        <v>1120</v>
      </c>
      <c r="L935" s="564" t="s">
        <v>2098</v>
      </c>
      <c r="M935" s="564" t="s">
        <v>2098</v>
      </c>
      <c r="N935" s="564" t="s">
        <v>70</v>
      </c>
      <c r="O935" s="564" t="s">
        <v>2099</v>
      </c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 spans="1:26" ht="13">
      <c r="A936" s="562" t="s">
        <v>3159</v>
      </c>
      <c r="B936" s="563" t="s">
        <v>3160</v>
      </c>
      <c r="C936" s="564" t="s">
        <v>1475</v>
      </c>
      <c r="D936" s="565">
        <v>45103</v>
      </c>
      <c r="E936" s="565">
        <v>45132</v>
      </c>
      <c r="F936" s="566">
        <v>353600</v>
      </c>
      <c r="G936" s="564" t="s">
        <v>297</v>
      </c>
      <c r="H936" s="564" t="s">
        <v>297</v>
      </c>
      <c r="I936" s="564" t="s">
        <v>125</v>
      </c>
      <c r="J936" s="564" t="s">
        <v>1069</v>
      </c>
      <c r="K936" s="564" t="s">
        <v>1070</v>
      </c>
      <c r="L936" s="564" t="s">
        <v>2098</v>
      </c>
      <c r="M936" s="564" t="s">
        <v>2098</v>
      </c>
      <c r="N936" s="564" t="s">
        <v>1073</v>
      </c>
      <c r="O936" s="564" t="s">
        <v>2099</v>
      </c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 spans="1:26" ht="13">
      <c r="A937" s="562" t="s">
        <v>3161</v>
      </c>
      <c r="B937" s="563" t="s">
        <v>3162</v>
      </c>
      <c r="C937" s="564" t="s">
        <v>353</v>
      </c>
      <c r="D937" s="565">
        <v>45103</v>
      </c>
      <c r="E937" s="565">
        <v>45108</v>
      </c>
      <c r="F937" s="566">
        <v>20000</v>
      </c>
      <c r="G937" s="564" t="s">
        <v>349</v>
      </c>
      <c r="H937" s="564" t="s">
        <v>349</v>
      </c>
      <c r="I937" s="564" t="s">
        <v>203</v>
      </c>
      <c r="J937" s="564" t="s">
        <v>1069</v>
      </c>
      <c r="K937" s="564" t="s">
        <v>1090</v>
      </c>
      <c r="L937" s="564" t="s">
        <v>2098</v>
      </c>
      <c r="M937" s="564" t="s">
        <v>2098</v>
      </c>
      <c r="N937" s="564" t="s">
        <v>1073</v>
      </c>
      <c r="O937" s="564" t="s">
        <v>2099</v>
      </c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 spans="1:26" ht="13">
      <c r="A938" s="562" t="s">
        <v>3163</v>
      </c>
      <c r="B938" s="563" t="s">
        <v>3164</v>
      </c>
      <c r="C938" s="564" t="s">
        <v>353</v>
      </c>
      <c r="D938" s="565">
        <v>45097</v>
      </c>
      <c r="E938" s="565">
        <v>45138</v>
      </c>
      <c r="F938" s="566">
        <v>1302340139</v>
      </c>
      <c r="G938" s="564" t="s">
        <v>297</v>
      </c>
      <c r="H938" s="564" t="s">
        <v>297</v>
      </c>
      <c r="I938" s="564" t="s">
        <v>45</v>
      </c>
      <c r="J938" s="564" t="s">
        <v>1069</v>
      </c>
      <c r="K938" s="564" t="s">
        <v>1090</v>
      </c>
      <c r="L938" s="564" t="s">
        <v>2098</v>
      </c>
      <c r="M938" s="564" t="s">
        <v>2098</v>
      </c>
      <c r="N938" s="564" t="s">
        <v>45</v>
      </c>
      <c r="O938" s="564" t="s">
        <v>2099</v>
      </c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 spans="1:26" ht="13">
      <c r="A939" s="562" t="s">
        <v>3165</v>
      </c>
      <c r="B939" s="563" t="s">
        <v>3166</v>
      </c>
      <c r="C939" s="564" t="s">
        <v>1076</v>
      </c>
      <c r="D939" s="565">
        <v>45092</v>
      </c>
      <c r="E939" s="565">
        <v>45291</v>
      </c>
      <c r="F939" s="566">
        <v>1096000</v>
      </c>
      <c r="G939" s="564" t="s">
        <v>1077</v>
      </c>
      <c r="H939" s="564" t="s">
        <v>1077</v>
      </c>
      <c r="I939" s="564" t="s">
        <v>637</v>
      </c>
      <c r="J939" s="564" t="s">
        <v>1069</v>
      </c>
      <c r="K939" s="564" t="s">
        <v>1070</v>
      </c>
      <c r="L939" s="564" t="s">
        <v>2098</v>
      </c>
      <c r="M939" s="564" t="s">
        <v>2098</v>
      </c>
      <c r="N939" s="564" t="s">
        <v>1082</v>
      </c>
      <c r="O939" s="564" t="s">
        <v>2099</v>
      </c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 spans="1:26" ht="13">
      <c r="A940" s="562" t="s">
        <v>3167</v>
      </c>
      <c r="B940" s="563" t="s">
        <v>3168</v>
      </c>
      <c r="C940" s="564" t="s">
        <v>353</v>
      </c>
      <c r="D940" s="565">
        <v>45093</v>
      </c>
      <c r="E940" s="565">
        <v>45100</v>
      </c>
      <c r="F940" s="566">
        <v>3630000</v>
      </c>
      <c r="G940" s="564" t="s">
        <v>349</v>
      </c>
      <c r="H940" s="564" t="s">
        <v>349</v>
      </c>
      <c r="I940" s="564" t="s">
        <v>64</v>
      </c>
      <c r="J940" s="564" t="s">
        <v>1069</v>
      </c>
      <c r="K940" s="564" t="s">
        <v>1090</v>
      </c>
      <c r="L940" s="564" t="s">
        <v>2098</v>
      </c>
      <c r="M940" s="564" t="s">
        <v>2098</v>
      </c>
      <c r="N940" s="564" t="s">
        <v>64</v>
      </c>
      <c r="O940" s="564" t="s">
        <v>2099</v>
      </c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 spans="1:26" ht="13">
      <c r="A941" s="562" t="s">
        <v>3169</v>
      </c>
      <c r="B941" s="563" t="s">
        <v>3170</v>
      </c>
      <c r="C941" s="564" t="s">
        <v>353</v>
      </c>
      <c r="D941" s="565">
        <v>45092</v>
      </c>
      <c r="E941" s="565">
        <v>45107</v>
      </c>
      <c r="F941" s="566">
        <v>600000</v>
      </c>
      <c r="G941" s="564" t="s">
        <v>349</v>
      </c>
      <c r="H941" s="564" t="s">
        <v>349</v>
      </c>
      <c r="I941" s="564" t="s">
        <v>1230</v>
      </c>
      <c r="J941" s="564" t="s">
        <v>1069</v>
      </c>
      <c r="K941" s="564" t="s">
        <v>1090</v>
      </c>
      <c r="L941" s="564" t="s">
        <v>2098</v>
      </c>
      <c r="M941" s="564" t="s">
        <v>2098</v>
      </c>
      <c r="N941" s="564" t="s">
        <v>1073</v>
      </c>
      <c r="O941" s="564" t="s">
        <v>2099</v>
      </c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 spans="1:26" ht="13">
      <c r="A942" s="562" t="s">
        <v>3171</v>
      </c>
      <c r="B942" s="563" t="s">
        <v>3172</v>
      </c>
      <c r="C942" s="564" t="s">
        <v>1652</v>
      </c>
      <c r="D942" s="565">
        <v>45091</v>
      </c>
      <c r="E942" s="565">
        <v>45098</v>
      </c>
      <c r="F942" s="566">
        <v>2925000</v>
      </c>
      <c r="G942" s="564" t="s">
        <v>349</v>
      </c>
      <c r="H942" s="564" t="s">
        <v>349</v>
      </c>
      <c r="I942" s="564" t="s">
        <v>70</v>
      </c>
      <c r="J942" s="564" t="s">
        <v>1069</v>
      </c>
      <c r="K942" s="564" t="s">
        <v>1120</v>
      </c>
      <c r="L942" s="564" t="s">
        <v>2098</v>
      </c>
      <c r="M942" s="564" t="s">
        <v>2098</v>
      </c>
      <c r="N942" s="564" t="s">
        <v>70</v>
      </c>
      <c r="O942" s="564" t="s">
        <v>2099</v>
      </c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 spans="1:26" ht="13">
      <c r="A943" s="562" t="s">
        <v>3173</v>
      </c>
      <c r="B943" s="563" t="s">
        <v>3174</v>
      </c>
      <c r="C943" s="564" t="s">
        <v>1652</v>
      </c>
      <c r="D943" s="565">
        <v>45090</v>
      </c>
      <c r="E943" s="565">
        <v>45097</v>
      </c>
      <c r="F943" s="566">
        <v>2820000</v>
      </c>
      <c r="G943" s="564" t="s">
        <v>349</v>
      </c>
      <c r="H943" s="564" t="s">
        <v>349</v>
      </c>
      <c r="I943" s="564" t="s">
        <v>70</v>
      </c>
      <c r="J943" s="564" t="s">
        <v>1069</v>
      </c>
      <c r="K943" s="564" t="s">
        <v>1120</v>
      </c>
      <c r="L943" s="564" t="s">
        <v>2098</v>
      </c>
      <c r="M943" s="564" t="s">
        <v>2098</v>
      </c>
      <c r="N943" s="564" t="s">
        <v>70</v>
      </c>
      <c r="O943" s="564" t="s">
        <v>2099</v>
      </c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 spans="1:26" ht="13">
      <c r="A944" s="562" t="s">
        <v>3175</v>
      </c>
      <c r="B944" s="563" t="s">
        <v>3176</v>
      </c>
      <c r="C944" s="564" t="s">
        <v>353</v>
      </c>
      <c r="D944" s="565">
        <v>45089</v>
      </c>
      <c r="E944" s="565">
        <v>45107</v>
      </c>
      <c r="F944" s="566">
        <v>975000</v>
      </c>
      <c r="G944" s="564" t="s">
        <v>349</v>
      </c>
      <c r="H944" s="564" t="s">
        <v>349</v>
      </c>
      <c r="I944" s="564" t="s">
        <v>1230</v>
      </c>
      <c r="J944" s="564" t="s">
        <v>1069</v>
      </c>
      <c r="K944" s="564" t="s">
        <v>1090</v>
      </c>
      <c r="L944" s="564" t="s">
        <v>2098</v>
      </c>
      <c r="M944" s="564" t="s">
        <v>2098</v>
      </c>
      <c r="N944" s="564" t="s">
        <v>1073</v>
      </c>
      <c r="O944" s="564" t="s">
        <v>2099</v>
      </c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 spans="1:26" ht="13">
      <c r="A945" s="562" t="s">
        <v>3177</v>
      </c>
      <c r="B945" s="563" t="s">
        <v>3178</v>
      </c>
      <c r="C945" s="564" t="s">
        <v>1475</v>
      </c>
      <c r="D945" s="565">
        <v>45084</v>
      </c>
      <c r="E945" s="565">
        <v>45114</v>
      </c>
      <c r="F945" s="566">
        <v>884000</v>
      </c>
      <c r="G945" s="564" t="s">
        <v>297</v>
      </c>
      <c r="H945" s="564" t="s">
        <v>297</v>
      </c>
      <c r="I945" s="564" t="s">
        <v>125</v>
      </c>
      <c r="J945" s="564" t="s">
        <v>1069</v>
      </c>
      <c r="K945" s="564" t="s">
        <v>1070</v>
      </c>
      <c r="L945" s="564" t="s">
        <v>2098</v>
      </c>
      <c r="M945" s="564" t="s">
        <v>2098</v>
      </c>
      <c r="N945" s="564" t="s">
        <v>1073</v>
      </c>
      <c r="O945" s="564" t="s">
        <v>2099</v>
      </c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 spans="1:26" ht="13">
      <c r="A946" s="562" t="s">
        <v>3179</v>
      </c>
      <c r="B946" s="563" t="s">
        <v>3180</v>
      </c>
      <c r="C946" s="564" t="s">
        <v>1652</v>
      </c>
      <c r="D946" s="565">
        <v>45079</v>
      </c>
      <c r="E946" s="565">
        <v>45086</v>
      </c>
      <c r="F946" s="566">
        <v>1410000</v>
      </c>
      <c r="G946" s="564" t="s">
        <v>349</v>
      </c>
      <c r="H946" s="564" t="s">
        <v>349</v>
      </c>
      <c r="I946" s="564" t="s">
        <v>70</v>
      </c>
      <c r="J946" s="564" t="s">
        <v>1069</v>
      </c>
      <c r="K946" s="564" t="s">
        <v>1120</v>
      </c>
      <c r="L946" s="564" t="s">
        <v>2098</v>
      </c>
      <c r="M946" s="564" t="s">
        <v>2098</v>
      </c>
      <c r="N946" s="564" t="s">
        <v>70</v>
      </c>
      <c r="O946" s="564" t="s">
        <v>2099</v>
      </c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 spans="1:26" ht="13">
      <c r="A947" s="562" t="s">
        <v>3181</v>
      </c>
      <c r="B947" s="563" t="s">
        <v>432</v>
      </c>
      <c r="C947" s="564" t="s">
        <v>1652</v>
      </c>
      <c r="D947" s="565">
        <v>45077</v>
      </c>
      <c r="E947" s="565">
        <v>45091</v>
      </c>
      <c r="F947" s="566">
        <v>1995000</v>
      </c>
      <c r="G947" s="564" t="s">
        <v>349</v>
      </c>
      <c r="H947" s="564" t="s">
        <v>349</v>
      </c>
      <c r="I947" s="564" t="s">
        <v>1281</v>
      </c>
      <c r="J947" s="564" t="s">
        <v>1069</v>
      </c>
      <c r="K947" s="564" t="s">
        <v>1120</v>
      </c>
      <c r="L947" s="564" t="s">
        <v>2098</v>
      </c>
      <c r="M947" s="564" t="s">
        <v>2098</v>
      </c>
      <c r="N947" s="564" t="s">
        <v>1073</v>
      </c>
      <c r="O947" s="564" t="s">
        <v>2099</v>
      </c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 spans="1:26" ht="13">
      <c r="A948" s="562" t="s">
        <v>3182</v>
      </c>
      <c r="B948" s="563" t="s">
        <v>3183</v>
      </c>
      <c r="C948" s="564" t="s">
        <v>1652</v>
      </c>
      <c r="D948" s="565">
        <v>45077</v>
      </c>
      <c r="E948" s="565">
        <v>45091</v>
      </c>
      <c r="F948" s="566">
        <v>1410000</v>
      </c>
      <c r="G948" s="564" t="s">
        <v>349</v>
      </c>
      <c r="H948" s="564" t="s">
        <v>349</v>
      </c>
      <c r="I948" s="564" t="s">
        <v>195</v>
      </c>
      <c r="J948" s="564" t="s">
        <v>1069</v>
      </c>
      <c r="K948" s="564" t="s">
        <v>1120</v>
      </c>
      <c r="L948" s="564" t="s">
        <v>2098</v>
      </c>
      <c r="M948" s="564" t="s">
        <v>2098</v>
      </c>
      <c r="N948" s="564" t="s">
        <v>1073</v>
      </c>
      <c r="O948" s="564" t="s">
        <v>2099</v>
      </c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 spans="1:26" ht="13">
      <c r="A949" s="562" t="s">
        <v>3184</v>
      </c>
      <c r="B949" s="563" t="s">
        <v>3185</v>
      </c>
      <c r="C949" s="564" t="s">
        <v>1652</v>
      </c>
      <c r="D949" s="565">
        <v>45076</v>
      </c>
      <c r="E949" s="565">
        <v>45086</v>
      </c>
      <c r="F949" s="566">
        <v>1620000</v>
      </c>
      <c r="G949" s="564" t="s">
        <v>349</v>
      </c>
      <c r="H949" s="564" t="s">
        <v>349</v>
      </c>
      <c r="I949" s="564" t="s">
        <v>70</v>
      </c>
      <c r="J949" s="564" t="s">
        <v>1069</v>
      </c>
      <c r="K949" s="564" t="s">
        <v>1120</v>
      </c>
      <c r="L949" s="564" t="s">
        <v>2098</v>
      </c>
      <c r="M949" s="564" t="s">
        <v>2098</v>
      </c>
      <c r="N949" s="564" t="s">
        <v>70</v>
      </c>
      <c r="O949" s="564" t="s">
        <v>2099</v>
      </c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 spans="1:26" ht="13">
      <c r="A950" s="562" t="s">
        <v>3186</v>
      </c>
      <c r="B950" s="563" t="s">
        <v>3187</v>
      </c>
      <c r="C950" s="564" t="s">
        <v>1076</v>
      </c>
      <c r="D950" s="565">
        <v>45071</v>
      </c>
      <c r="E950" s="565">
        <v>45260</v>
      </c>
      <c r="F950" s="566">
        <v>2192000</v>
      </c>
      <c r="G950" s="564" t="s">
        <v>1077</v>
      </c>
      <c r="H950" s="564" t="s">
        <v>1077</v>
      </c>
      <c r="I950" s="564" t="s">
        <v>637</v>
      </c>
      <c r="J950" s="564" t="s">
        <v>1069</v>
      </c>
      <c r="K950" s="564" t="s">
        <v>1070</v>
      </c>
      <c r="L950" s="564" t="s">
        <v>2098</v>
      </c>
      <c r="M950" s="564" t="s">
        <v>2098</v>
      </c>
      <c r="N950" s="564" t="s">
        <v>1082</v>
      </c>
      <c r="O950" s="564" t="s">
        <v>2099</v>
      </c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 spans="1:26" ht="13">
      <c r="A951" s="562" t="s">
        <v>3188</v>
      </c>
      <c r="B951" s="563" t="s">
        <v>3183</v>
      </c>
      <c r="C951" s="564" t="s">
        <v>1652</v>
      </c>
      <c r="D951" s="565">
        <v>45072</v>
      </c>
      <c r="E951" s="565">
        <v>45086</v>
      </c>
      <c r="F951" s="566">
        <v>1995000</v>
      </c>
      <c r="G951" s="564" t="s">
        <v>349</v>
      </c>
      <c r="H951" s="564" t="s">
        <v>349</v>
      </c>
      <c r="I951" s="564" t="s">
        <v>195</v>
      </c>
      <c r="J951" s="564" t="s">
        <v>1069</v>
      </c>
      <c r="K951" s="564" t="s">
        <v>1120</v>
      </c>
      <c r="L951" s="564" t="s">
        <v>2098</v>
      </c>
      <c r="M951" s="564" t="s">
        <v>2098</v>
      </c>
      <c r="N951" s="564" t="s">
        <v>1073</v>
      </c>
      <c r="O951" s="564" t="s">
        <v>2099</v>
      </c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 spans="1:26" ht="13">
      <c r="A952" s="562" t="s">
        <v>3189</v>
      </c>
      <c r="B952" s="563" t="s">
        <v>3190</v>
      </c>
      <c r="C952" s="564" t="s">
        <v>1076</v>
      </c>
      <c r="D952" s="565">
        <v>45070</v>
      </c>
      <c r="E952" s="565">
        <v>45260</v>
      </c>
      <c r="F952" s="566">
        <v>1096000</v>
      </c>
      <c r="G952" s="564" t="s">
        <v>1077</v>
      </c>
      <c r="H952" s="564" t="s">
        <v>1077</v>
      </c>
      <c r="I952" s="564" t="s">
        <v>637</v>
      </c>
      <c r="J952" s="564" t="s">
        <v>1069</v>
      </c>
      <c r="K952" s="564" t="s">
        <v>1070</v>
      </c>
      <c r="L952" s="564" t="s">
        <v>2098</v>
      </c>
      <c r="M952" s="564" t="s">
        <v>2098</v>
      </c>
      <c r="N952" s="564" t="s">
        <v>1082</v>
      </c>
      <c r="O952" s="564" t="s">
        <v>2099</v>
      </c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 spans="1:26" ht="13">
      <c r="A953" s="562" t="s">
        <v>3191</v>
      </c>
      <c r="B953" s="563" t="s">
        <v>3192</v>
      </c>
      <c r="C953" s="564" t="s">
        <v>353</v>
      </c>
      <c r="D953" s="565">
        <v>45070</v>
      </c>
      <c r="E953" s="565">
        <v>45107</v>
      </c>
      <c r="F953" s="566">
        <v>1768000</v>
      </c>
      <c r="G953" s="564" t="s">
        <v>297</v>
      </c>
      <c r="H953" s="564" t="s">
        <v>297</v>
      </c>
      <c r="I953" s="564" t="s">
        <v>257</v>
      </c>
      <c r="J953" s="564" t="s">
        <v>1069</v>
      </c>
      <c r="K953" s="564" t="s">
        <v>1209</v>
      </c>
      <c r="L953" s="564" t="s">
        <v>2098</v>
      </c>
      <c r="M953" s="564" t="s">
        <v>2098</v>
      </c>
      <c r="N953" s="564" t="s">
        <v>257</v>
      </c>
      <c r="O953" s="564" t="s">
        <v>2099</v>
      </c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 spans="1:26" ht="13">
      <c r="A954" s="562" t="s">
        <v>3193</v>
      </c>
      <c r="B954" s="563" t="s">
        <v>3194</v>
      </c>
      <c r="C954" s="564" t="s">
        <v>1652</v>
      </c>
      <c r="D954" s="565">
        <v>45069</v>
      </c>
      <c r="E954" s="565">
        <v>45076</v>
      </c>
      <c r="F954" s="566">
        <v>1410000</v>
      </c>
      <c r="G954" s="564" t="s">
        <v>349</v>
      </c>
      <c r="H954" s="564" t="s">
        <v>349</v>
      </c>
      <c r="I954" s="564" t="s">
        <v>70</v>
      </c>
      <c r="J954" s="564" t="s">
        <v>1069</v>
      </c>
      <c r="K954" s="564" t="s">
        <v>1120</v>
      </c>
      <c r="L954" s="564" t="s">
        <v>2098</v>
      </c>
      <c r="M954" s="564" t="s">
        <v>2098</v>
      </c>
      <c r="N954" s="564" t="s">
        <v>70</v>
      </c>
      <c r="O954" s="564" t="s">
        <v>2099</v>
      </c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 spans="1:26" ht="13">
      <c r="A955" s="562" t="s">
        <v>3195</v>
      </c>
      <c r="B955" s="563" t="s">
        <v>3196</v>
      </c>
      <c r="C955" s="564" t="s">
        <v>353</v>
      </c>
      <c r="D955" s="565">
        <v>45062</v>
      </c>
      <c r="E955" s="565">
        <v>45069</v>
      </c>
      <c r="F955" s="566">
        <v>120000</v>
      </c>
      <c r="G955" s="564" t="s">
        <v>349</v>
      </c>
      <c r="H955" s="564" t="s">
        <v>349</v>
      </c>
      <c r="I955" s="564" t="s">
        <v>64</v>
      </c>
      <c r="J955" s="564" t="s">
        <v>1069</v>
      </c>
      <c r="K955" s="564" t="s">
        <v>1090</v>
      </c>
      <c r="L955" s="564" t="s">
        <v>2098</v>
      </c>
      <c r="M955" s="564" t="s">
        <v>2098</v>
      </c>
      <c r="N955" s="564" t="s">
        <v>64</v>
      </c>
      <c r="O955" s="564" t="s">
        <v>2099</v>
      </c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 spans="1:26" ht="13">
      <c r="A956" s="562" t="s">
        <v>3197</v>
      </c>
      <c r="B956" s="563" t="s">
        <v>3198</v>
      </c>
      <c r="C956" s="564" t="s">
        <v>1652</v>
      </c>
      <c r="D956" s="565">
        <v>45058</v>
      </c>
      <c r="E956" s="565">
        <v>45077</v>
      </c>
      <c r="F956" s="566">
        <v>1320000</v>
      </c>
      <c r="G956" s="564" t="s">
        <v>1182</v>
      </c>
      <c r="H956" s="564" t="s">
        <v>1182</v>
      </c>
      <c r="I956" s="564" t="s">
        <v>1746</v>
      </c>
      <c r="J956" s="564" t="s">
        <v>1069</v>
      </c>
      <c r="K956" s="564" t="s">
        <v>1198</v>
      </c>
      <c r="L956" s="564" t="s">
        <v>2098</v>
      </c>
      <c r="M956" s="564" t="s">
        <v>2098</v>
      </c>
      <c r="N956" s="564" t="s">
        <v>1073</v>
      </c>
      <c r="O956" s="564" t="s">
        <v>2099</v>
      </c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 spans="1:26" ht="13">
      <c r="A957" s="562" t="s">
        <v>3199</v>
      </c>
      <c r="B957" s="563" t="s">
        <v>3200</v>
      </c>
      <c r="C957" s="564" t="s">
        <v>1652</v>
      </c>
      <c r="D957" s="565">
        <v>45057</v>
      </c>
      <c r="E957" s="565">
        <v>45064</v>
      </c>
      <c r="F957" s="566">
        <v>1410000</v>
      </c>
      <c r="G957" s="564" t="s">
        <v>349</v>
      </c>
      <c r="H957" s="564" t="s">
        <v>349</v>
      </c>
      <c r="I957" s="564" t="s">
        <v>70</v>
      </c>
      <c r="J957" s="564" t="s">
        <v>1069</v>
      </c>
      <c r="K957" s="564" t="s">
        <v>1120</v>
      </c>
      <c r="L957" s="564" t="s">
        <v>2098</v>
      </c>
      <c r="M957" s="564" t="s">
        <v>2098</v>
      </c>
      <c r="N957" s="564" t="s">
        <v>70</v>
      </c>
      <c r="O957" s="564" t="s">
        <v>2099</v>
      </c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 spans="1:26" ht="13">
      <c r="A958" s="562" t="s">
        <v>3201</v>
      </c>
      <c r="B958" s="563" t="s">
        <v>3202</v>
      </c>
      <c r="C958" s="564" t="s">
        <v>1652</v>
      </c>
      <c r="D958" s="565">
        <v>45057</v>
      </c>
      <c r="E958" s="565">
        <v>45064</v>
      </c>
      <c r="F958" s="566">
        <v>1410000</v>
      </c>
      <c r="G958" s="564" t="s">
        <v>349</v>
      </c>
      <c r="H958" s="564" t="s">
        <v>349</v>
      </c>
      <c r="I958" s="564" t="s">
        <v>70</v>
      </c>
      <c r="J958" s="564" t="s">
        <v>1069</v>
      </c>
      <c r="K958" s="564" t="s">
        <v>1120</v>
      </c>
      <c r="L958" s="564" t="s">
        <v>2098</v>
      </c>
      <c r="M958" s="564" t="s">
        <v>2098</v>
      </c>
      <c r="N958" s="564" t="s">
        <v>70</v>
      </c>
      <c r="O958" s="564" t="s">
        <v>2099</v>
      </c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 spans="1:26" ht="13">
      <c r="A959" s="562" t="s">
        <v>3203</v>
      </c>
      <c r="B959" s="563" t="s">
        <v>3204</v>
      </c>
      <c r="C959" s="564" t="s">
        <v>353</v>
      </c>
      <c r="D959" s="565">
        <v>45057</v>
      </c>
      <c r="E959" s="565">
        <v>45065</v>
      </c>
      <c r="F959" s="566">
        <v>150700</v>
      </c>
      <c r="G959" s="564" t="s">
        <v>349</v>
      </c>
      <c r="H959" s="564" t="s">
        <v>349</v>
      </c>
      <c r="I959" s="564" t="s">
        <v>1161</v>
      </c>
      <c r="J959" s="564" t="s">
        <v>1069</v>
      </c>
      <c r="K959" s="564" t="s">
        <v>1090</v>
      </c>
      <c r="L959" s="564" t="s">
        <v>2098</v>
      </c>
      <c r="M959" s="564" t="s">
        <v>2098</v>
      </c>
      <c r="N959" s="564" t="s">
        <v>1073</v>
      </c>
      <c r="O959" s="564" t="s">
        <v>2099</v>
      </c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 spans="1:26" ht="13">
      <c r="A960" s="562" t="s">
        <v>3205</v>
      </c>
      <c r="B960" s="563" t="s">
        <v>3206</v>
      </c>
      <c r="C960" s="564" t="s">
        <v>1475</v>
      </c>
      <c r="D960" s="565">
        <v>45056</v>
      </c>
      <c r="E960" s="565">
        <v>45065</v>
      </c>
      <c r="F960" s="566">
        <v>484000</v>
      </c>
      <c r="G960" s="564" t="s">
        <v>349</v>
      </c>
      <c r="H960" s="564" t="s">
        <v>349</v>
      </c>
      <c r="I960" s="564" t="s">
        <v>1247</v>
      </c>
      <c r="J960" s="564" t="s">
        <v>1069</v>
      </c>
      <c r="K960" s="564" t="s">
        <v>1070</v>
      </c>
      <c r="L960" s="564" t="s">
        <v>2098</v>
      </c>
      <c r="M960" s="564" t="s">
        <v>2098</v>
      </c>
      <c r="N960" s="564" t="s">
        <v>1073</v>
      </c>
      <c r="O960" s="564" t="s">
        <v>2099</v>
      </c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 spans="1:26" ht="13">
      <c r="A961" s="562" t="s">
        <v>3207</v>
      </c>
      <c r="B961" s="563" t="s">
        <v>3208</v>
      </c>
      <c r="C961" s="564" t="s">
        <v>1652</v>
      </c>
      <c r="D961" s="565">
        <v>45054</v>
      </c>
      <c r="E961" s="565">
        <v>45069</v>
      </c>
      <c r="F961" s="566">
        <v>197000</v>
      </c>
      <c r="G961" s="564" t="s">
        <v>349</v>
      </c>
      <c r="H961" s="564" t="s">
        <v>349</v>
      </c>
      <c r="I961" s="564" t="s">
        <v>195</v>
      </c>
      <c r="J961" s="564" t="s">
        <v>1069</v>
      </c>
      <c r="K961" s="564" t="s">
        <v>1120</v>
      </c>
      <c r="L961" s="564" t="s">
        <v>2098</v>
      </c>
      <c r="M961" s="564" t="s">
        <v>2098</v>
      </c>
      <c r="N961" s="564" t="s">
        <v>1073</v>
      </c>
      <c r="O961" s="564" t="s">
        <v>2099</v>
      </c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 spans="1:26" ht="13">
      <c r="A962" s="562" t="s">
        <v>3209</v>
      </c>
      <c r="B962" s="563" t="s">
        <v>3210</v>
      </c>
      <c r="C962" s="564" t="s">
        <v>1652</v>
      </c>
      <c r="D962" s="565">
        <v>45049</v>
      </c>
      <c r="E962" s="565">
        <v>45056</v>
      </c>
      <c r="F962" s="566">
        <v>3116000</v>
      </c>
      <c r="G962" s="564" t="s">
        <v>349</v>
      </c>
      <c r="H962" s="564" t="s">
        <v>349</v>
      </c>
      <c r="I962" s="564" t="s">
        <v>70</v>
      </c>
      <c r="J962" s="564" t="s">
        <v>1069</v>
      </c>
      <c r="K962" s="564" t="s">
        <v>1120</v>
      </c>
      <c r="L962" s="564" t="s">
        <v>2098</v>
      </c>
      <c r="M962" s="564" t="s">
        <v>2098</v>
      </c>
      <c r="N962" s="564" t="s">
        <v>70</v>
      </c>
      <c r="O962" s="564" t="s">
        <v>2099</v>
      </c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 spans="1:26" ht="13">
      <c r="A963" s="562" t="s">
        <v>3211</v>
      </c>
      <c r="B963" s="563" t="s">
        <v>3212</v>
      </c>
      <c r="C963" s="564" t="s">
        <v>2322</v>
      </c>
      <c r="D963" s="565">
        <v>45041</v>
      </c>
      <c r="E963" s="565">
        <v>45221</v>
      </c>
      <c r="F963" s="566">
        <v>84339246</v>
      </c>
      <c r="G963" s="564" t="s">
        <v>2428</v>
      </c>
      <c r="H963" s="564" t="s">
        <v>2428</v>
      </c>
      <c r="I963" s="564" t="s">
        <v>2761</v>
      </c>
      <c r="J963" s="564" t="s">
        <v>1069</v>
      </c>
      <c r="K963" s="564" t="s">
        <v>1209</v>
      </c>
      <c r="L963" s="564" t="s">
        <v>2098</v>
      </c>
      <c r="M963" s="564" t="s">
        <v>2098</v>
      </c>
      <c r="N963" s="564" t="s">
        <v>2439</v>
      </c>
      <c r="O963" s="564" t="s">
        <v>2099</v>
      </c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 spans="1:26" ht="13">
      <c r="A964" s="562" t="s">
        <v>3213</v>
      </c>
      <c r="B964" s="563" t="s">
        <v>3214</v>
      </c>
      <c r="C964" s="564" t="s">
        <v>353</v>
      </c>
      <c r="D964" s="565">
        <v>45043</v>
      </c>
      <c r="E964" s="565">
        <v>45285</v>
      </c>
      <c r="F964" s="566">
        <v>554570000</v>
      </c>
      <c r="G964" s="564" t="s">
        <v>1128</v>
      </c>
      <c r="H964" s="564" t="s">
        <v>1128</v>
      </c>
      <c r="I964" s="564" t="s">
        <v>45</v>
      </c>
      <c r="J964" s="564" t="s">
        <v>1069</v>
      </c>
      <c r="K964" s="564" t="s">
        <v>1090</v>
      </c>
      <c r="L964" s="564" t="s">
        <v>2098</v>
      </c>
      <c r="M964" s="564" t="s">
        <v>2098</v>
      </c>
      <c r="N964" s="564" t="s">
        <v>45</v>
      </c>
      <c r="O964" s="564" t="s">
        <v>2099</v>
      </c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 spans="1:26" ht="13">
      <c r="A965" s="562" t="s">
        <v>3215</v>
      </c>
      <c r="B965" s="563" t="s">
        <v>3216</v>
      </c>
      <c r="C965" s="564" t="s">
        <v>1652</v>
      </c>
      <c r="D965" s="565">
        <v>45043</v>
      </c>
      <c r="E965" s="565">
        <v>45058</v>
      </c>
      <c r="F965" s="566">
        <v>3990000</v>
      </c>
      <c r="G965" s="564" t="s">
        <v>349</v>
      </c>
      <c r="H965" s="564" t="s">
        <v>349</v>
      </c>
      <c r="I965" s="564" t="s">
        <v>1281</v>
      </c>
      <c r="J965" s="564" t="s">
        <v>1069</v>
      </c>
      <c r="K965" s="564" t="s">
        <v>1120</v>
      </c>
      <c r="L965" s="564" t="s">
        <v>2098</v>
      </c>
      <c r="M965" s="564" t="s">
        <v>2098</v>
      </c>
      <c r="N965" s="564" t="s">
        <v>1073</v>
      </c>
      <c r="O965" s="564" t="s">
        <v>2099</v>
      </c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 spans="1:26" ht="13">
      <c r="A966" s="562" t="s">
        <v>3217</v>
      </c>
      <c r="B966" s="563" t="s">
        <v>2862</v>
      </c>
      <c r="C966" s="564" t="s">
        <v>353</v>
      </c>
      <c r="D966" s="565">
        <v>45042</v>
      </c>
      <c r="E966" s="565">
        <v>45058</v>
      </c>
      <c r="F966" s="566">
        <v>20000000</v>
      </c>
      <c r="G966" s="564" t="s">
        <v>1128</v>
      </c>
      <c r="H966" s="564" t="s">
        <v>1128</v>
      </c>
      <c r="I966" s="564" t="s">
        <v>45</v>
      </c>
      <c r="J966" s="564" t="s">
        <v>1069</v>
      </c>
      <c r="K966" s="564" t="s">
        <v>1090</v>
      </c>
      <c r="L966" s="564" t="s">
        <v>2098</v>
      </c>
      <c r="M966" s="564" t="s">
        <v>2098</v>
      </c>
      <c r="N966" s="564" t="s">
        <v>45</v>
      </c>
      <c r="O966" s="564" t="s">
        <v>2099</v>
      </c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 spans="1:26" ht="13">
      <c r="A967" s="562" t="s">
        <v>3218</v>
      </c>
      <c r="B967" s="563" t="s">
        <v>3219</v>
      </c>
      <c r="C967" s="564" t="s">
        <v>1076</v>
      </c>
      <c r="D967" s="565">
        <v>45042</v>
      </c>
      <c r="E967" s="565">
        <v>45230</v>
      </c>
      <c r="F967" s="566">
        <v>1732000</v>
      </c>
      <c r="G967" s="564" t="s">
        <v>1077</v>
      </c>
      <c r="H967" s="564" t="s">
        <v>1077</v>
      </c>
      <c r="I967" s="564" t="s">
        <v>637</v>
      </c>
      <c r="J967" s="564" t="s">
        <v>1069</v>
      </c>
      <c r="K967" s="564" t="s">
        <v>1070</v>
      </c>
      <c r="L967" s="564" t="s">
        <v>2098</v>
      </c>
      <c r="M967" s="564" t="s">
        <v>2098</v>
      </c>
      <c r="N967" s="564" t="s">
        <v>1082</v>
      </c>
      <c r="O967" s="564" t="s">
        <v>2099</v>
      </c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 spans="1:26" ht="13">
      <c r="A968" s="562" t="s">
        <v>3220</v>
      </c>
      <c r="B968" s="563" t="s">
        <v>3221</v>
      </c>
      <c r="C968" s="564" t="s">
        <v>1652</v>
      </c>
      <c r="D968" s="565">
        <v>45043</v>
      </c>
      <c r="E968" s="565">
        <v>45050</v>
      </c>
      <c r="F968" s="566">
        <v>2919000</v>
      </c>
      <c r="G968" s="564" t="s">
        <v>349</v>
      </c>
      <c r="H968" s="564" t="s">
        <v>349</v>
      </c>
      <c r="I968" s="564" t="s">
        <v>70</v>
      </c>
      <c r="J968" s="564" t="s">
        <v>1069</v>
      </c>
      <c r="K968" s="564" t="s">
        <v>1120</v>
      </c>
      <c r="L968" s="564" t="s">
        <v>2098</v>
      </c>
      <c r="M968" s="564" t="s">
        <v>2098</v>
      </c>
      <c r="N968" s="564" t="s">
        <v>70</v>
      </c>
      <c r="O968" s="564" t="s">
        <v>2099</v>
      </c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 spans="1:26" ht="13">
      <c r="A969" s="562" t="s">
        <v>3222</v>
      </c>
      <c r="B969" s="563" t="s">
        <v>3223</v>
      </c>
      <c r="C969" s="564" t="s">
        <v>1076</v>
      </c>
      <c r="D969" s="565">
        <v>45041</v>
      </c>
      <c r="E969" s="565">
        <v>45199</v>
      </c>
      <c r="F969" s="566">
        <v>1096000</v>
      </c>
      <c r="G969" s="564" t="s">
        <v>1077</v>
      </c>
      <c r="H969" s="564" t="s">
        <v>1077</v>
      </c>
      <c r="I969" s="564" t="s">
        <v>637</v>
      </c>
      <c r="J969" s="564" t="s">
        <v>1069</v>
      </c>
      <c r="K969" s="564" t="s">
        <v>1070</v>
      </c>
      <c r="L969" s="564" t="s">
        <v>2098</v>
      </c>
      <c r="M969" s="564" t="s">
        <v>2098</v>
      </c>
      <c r="N969" s="564" t="s">
        <v>1082</v>
      </c>
      <c r="O969" s="564" t="s">
        <v>2099</v>
      </c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 spans="1:26" ht="13">
      <c r="A970" s="562" t="s">
        <v>3224</v>
      </c>
      <c r="B970" s="563" t="s">
        <v>3225</v>
      </c>
      <c r="C970" s="564" t="s">
        <v>1076</v>
      </c>
      <c r="D970" s="565">
        <v>45041</v>
      </c>
      <c r="E970" s="565">
        <v>45199</v>
      </c>
      <c r="F970" s="566">
        <v>6062000</v>
      </c>
      <c r="G970" s="564" t="s">
        <v>1077</v>
      </c>
      <c r="H970" s="564" t="s">
        <v>1077</v>
      </c>
      <c r="I970" s="564" t="s">
        <v>637</v>
      </c>
      <c r="J970" s="564" t="s">
        <v>1069</v>
      </c>
      <c r="K970" s="564" t="s">
        <v>1070</v>
      </c>
      <c r="L970" s="564" t="s">
        <v>2098</v>
      </c>
      <c r="M970" s="564" t="s">
        <v>2098</v>
      </c>
      <c r="N970" s="564" t="s">
        <v>1082</v>
      </c>
      <c r="O970" s="564" t="s">
        <v>2099</v>
      </c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 spans="1:26" ht="13">
      <c r="A971" s="562" t="s">
        <v>3226</v>
      </c>
      <c r="B971" s="563" t="s">
        <v>3227</v>
      </c>
      <c r="C971" s="564" t="s">
        <v>1652</v>
      </c>
      <c r="D971" s="565">
        <v>45042</v>
      </c>
      <c r="E971" s="565">
        <v>45056</v>
      </c>
      <c r="F971" s="566">
        <v>1153000</v>
      </c>
      <c r="G971" s="564" t="s">
        <v>349</v>
      </c>
      <c r="H971" s="564" t="s">
        <v>349</v>
      </c>
      <c r="I971" s="564" t="s">
        <v>1223</v>
      </c>
      <c r="J971" s="564" t="s">
        <v>1069</v>
      </c>
      <c r="K971" s="564" t="s">
        <v>1120</v>
      </c>
      <c r="L971" s="564" t="s">
        <v>2098</v>
      </c>
      <c r="M971" s="564" t="s">
        <v>2098</v>
      </c>
      <c r="N971" s="564" t="s">
        <v>1073</v>
      </c>
      <c r="O971" s="564" t="s">
        <v>2099</v>
      </c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 spans="1:26" ht="13">
      <c r="A972" s="562" t="s">
        <v>3228</v>
      </c>
      <c r="B972" s="563" t="s">
        <v>3229</v>
      </c>
      <c r="C972" s="564" t="s">
        <v>353</v>
      </c>
      <c r="D972" s="565">
        <v>45033</v>
      </c>
      <c r="E972" s="565">
        <v>45107</v>
      </c>
      <c r="F972" s="566">
        <v>1091410000</v>
      </c>
      <c r="G972" s="564" t="s">
        <v>1128</v>
      </c>
      <c r="H972" s="564" t="s">
        <v>1128</v>
      </c>
      <c r="I972" s="564" t="s">
        <v>45</v>
      </c>
      <c r="J972" s="564" t="s">
        <v>1069</v>
      </c>
      <c r="K972" s="564" t="s">
        <v>1090</v>
      </c>
      <c r="L972" s="564" t="s">
        <v>2098</v>
      </c>
      <c r="M972" s="564" t="s">
        <v>2098</v>
      </c>
      <c r="N972" s="564" t="s">
        <v>45</v>
      </c>
      <c r="O972" s="564" t="s">
        <v>2099</v>
      </c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 spans="1:26" ht="13">
      <c r="A973" s="562" t="s">
        <v>3230</v>
      </c>
      <c r="B973" s="563" t="s">
        <v>3231</v>
      </c>
      <c r="C973" s="564" t="s">
        <v>353</v>
      </c>
      <c r="D973" s="565">
        <v>45033</v>
      </c>
      <c r="E973" s="565">
        <v>45046</v>
      </c>
      <c r="F973" s="566">
        <v>234970000</v>
      </c>
      <c r="G973" s="564" t="s">
        <v>1128</v>
      </c>
      <c r="H973" s="564" t="s">
        <v>1128</v>
      </c>
      <c r="I973" s="564" t="s">
        <v>45</v>
      </c>
      <c r="J973" s="564" t="s">
        <v>1069</v>
      </c>
      <c r="K973" s="564" t="s">
        <v>1090</v>
      </c>
      <c r="L973" s="564" t="s">
        <v>2098</v>
      </c>
      <c r="M973" s="564" t="s">
        <v>2098</v>
      </c>
      <c r="N973" s="564" t="s">
        <v>45</v>
      </c>
      <c r="O973" s="564" t="s">
        <v>2099</v>
      </c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 spans="1:26" ht="13">
      <c r="A974" s="562" t="s">
        <v>3232</v>
      </c>
      <c r="B974" s="563" t="s">
        <v>3233</v>
      </c>
      <c r="C974" s="564" t="s">
        <v>1652</v>
      </c>
      <c r="D974" s="565">
        <v>45029</v>
      </c>
      <c r="E974" s="565">
        <v>45036</v>
      </c>
      <c r="F974" s="566">
        <v>1410000</v>
      </c>
      <c r="G974" s="564" t="s">
        <v>349</v>
      </c>
      <c r="H974" s="564" t="s">
        <v>349</v>
      </c>
      <c r="I974" s="564" t="s">
        <v>70</v>
      </c>
      <c r="J974" s="564" t="s">
        <v>1069</v>
      </c>
      <c r="K974" s="564" t="s">
        <v>1120</v>
      </c>
      <c r="L974" s="564" t="s">
        <v>2098</v>
      </c>
      <c r="M974" s="564" t="s">
        <v>2098</v>
      </c>
      <c r="N974" s="564" t="s">
        <v>70</v>
      </c>
      <c r="O974" s="564" t="s">
        <v>2099</v>
      </c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 spans="1:26" ht="13">
      <c r="A975" s="562" t="s">
        <v>3234</v>
      </c>
      <c r="B975" s="563" t="s">
        <v>3235</v>
      </c>
      <c r="C975" s="564" t="s">
        <v>353</v>
      </c>
      <c r="D975" s="565">
        <v>45028</v>
      </c>
      <c r="E975" s="565">
        <v>45037</v>
      </c>
      <c r="F975" s="566">
        <v>2340000</v>
      </c>
      <c r="G975" s="564" t="s">
        <v>1128</v>
      </c>
      <c r="H975" s="564" t="s">
        <v>1128</v>
      </c>
      <c r="I975" s="564" t="s">
        <v>45</v>
      </c>
      <c r="J975" s="564" t="s">
        <v>1069</v>
      </c>
      <c r="K975" s="564" t="s">
        <v>1090</v>
      </c>
      <c r="L975" s="564" t="s">
        <v>2098</v>
      </c>
      <c r="M975" s="564" t="s">
        <v>2098</v>
      </c>
      <c r="N975" s="564" t="s">
        <v>45</v>
      </c>
      <c r="O975" s="564" t="s">
        <v>2099</v>
      </c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 spans="1:26" ht="13">
      <c r="A976" s="562" t="s">
        <v>3236</v>
      </c>
      <c r="B976" s="563" t="s">
        <v>3237</v>
      </c>
      <c r="C976" s="564" t="s">
        <v>353</v>
      </c>
      <c r="D976" s="565">
        <v>45029</v>
      </c>
      <c r="E976" s="565">
        <v>45039</v>
      </c>
      <c r="F976" s="566">
        <v>981400</v>
      </c>
      <c r="G976" s="564" t="s">
        <v>349</v>
      </c>
      <c r="H976" s="564" t="s">
        <v>349</v>
      </c>
      <c r="I976" s="564" t="s">
        <v>170</v>
      </c>
      <c r="J976" s="564" t="s">
        <v>1069</v>
      </c>
      <c r="K976" s="564" t="s">
        <v>1105</v>
      </c>
      <c r="L976" s="564" t="s">
        <v>2098</v>
      </c>
      <c r="M976" s="564" t="s">
        <v>2098</v>
      </c>
      <c r="N976" s="564" t="s">
        <v>170</v>
      </c>
      <c r="O976" s="564" t="s">
        <v>2099</v>
      </c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 spans="1:26" ht="13">
      <c r="A977" s="562" t="s">
        <v>3238</v>
      </c>
      <c r="B977" s="563" t="s">
        <v>2824</v>
      </c>
      <c r="C977" s="564" t="s">
        <v>353</v>
      </c>
      <c r="D977" s="565">
        <v>45022</v>
      </c>
      <c r="E977" s="565">
        <v>45037</v>
      </c>
      <c r="F977" s="566">
        <v>1200000</v>
      </c>
      <c r="G977" s="564" t="s">
        <v>1128</v>
      </c>
      <c r="H977" s="564" t="s">
        <v>1128</v>
      </c>
      <c r="I977" s="564" t="s">
        <v>45</v>
      </c>
      <c r="J977" s="564" t="s">
        <v>1069</v>
      </c>
      <c r="K977" s="564" t="s">
        <v>1090</v>
      </c>
      <c r="L977" s="564" t="s">
        <v>2098</v>
      </c>
      <c r="M977" s="564" t="s">
        <v>2098</v>
      </c>
      <c r="N977" s="564" t="s">
        <v>45</v>
      </c>
      <c r="O977" s="564" t="s">
        <v>2099</v>
      </c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 spans="1:26" ht="13">
      <c r="A978" s="562" t="s">
        <v>3239</v>
      </c>
      <c r="B978" s="563" t="s">
        <v>3240</v>
      </c>
      <c r="C978" s="564" t="s">
        <v>1652</v>
      </c>
      <c r="D978" s="565">
        <v>45022</v>
      </c>
      <c r="E978" s="565">
        <v>45029</v>
      </c>
      <c r="F978" s="566">
        <v>4428000</v>
      </c>
      <c r="G978" s="564" t="s">
        <v>349</v>
      </c>
      <c r="H978" s="564" t="s">
        <v>349</v>
      </c>
      <c r="I978" s="564" t="s">
        <v>70</v>
      </c>
      <c r="J978" s="564" t="s">
        <v>1069</v>
      </c>
      <c r="K978" s="564" t="s">
        <v>1120</v>
      </c>
      <c r="L978" s="564" t="s">
        <v>2098</v>
      </c>
      <c r="M978" s="564" t="s">
        <v>2098</v>
      </c>
      <c r="N978" s="564" t="s">
        <v>70</v>
      </c>
      <c r="O978" s="564" t="s">
        <v>2099</v>
      </c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 spans="1:26" ht="13">
      <c r="A979" s="562" t="s">
        <v>3241</v>
      </c>
      <c r="B979" s="563" t="s">
        <v>3242</v>
      </c>
      <c r="C979" s="564" t="s">
        <v>1652</v>
      </c>
      <c r="D979" s="565">
        <v>45020</v>
      </c>
      <c r="E979" s="565">
        <v>45027</v>
      </c>
      <c r="F979" s="566">
        <v>2919000</v>
      </c>
      <c r="G979" s="564" t="s">
        <v>349</v>
      </c>
      <c r="H979" s="564" t="s">
        <v>349</v>
      </c>
      <c r="I979" s="564" t="s">
        <v>70</v>
      </c>
      <c r="J979" s="564" t="s">
        <v>1069</v>
      </c>
      <c r="K979" s="564" t="s">
        <v>1120</v>
      </c>
      <c r="L979" s="564" t="s">
        <v>2098</v>
      </c>
      <c r="M979" s="564" t="s">
        <v>2098</v>
      </c>
      <c r="N979" s="564" t="s">
        <v>70</v>
      </c>
      <c r="O979" s="564" t="s">
        <v>2099</v>
      </c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 spans="1:26" ht="13">
      <c r="A980" s="562" t="s">
        <v>3243</v>
      </c>
      <c r="B980" s="563" t="s">
        <v>3244</v>
      </c>
      <c r="C980" s="564" t="s">
        <v>353</v>
      </c>
      <c r="D980" s="565">
        <v>45014</v>
      </c>
      <c r="E980" s="565">
        <v>45044</v>
      </c>
      <c r="F980" s="566">
        <v>5800000</v>
      </c>
      <c r="G980" s="564" t="s">
        <v>1128</v>
      </c>
      <c r="H980" s="564" t="s">
        <v>1128</v>
      </c>
      <c r="I980" s="564" t="s">
        <v>45</v>
      </c>
      <c r="J980" s="564" t="s">
        <v>1069</v>
      </c>
      <c r="K980" s="564" t="s">
        <v>1090</v>
      </c>
      <c r="L980" s="564" t="s">
        <v>2098</v>
      </c>
      <c r="M980" s="564" t="s">
        <v>2098</v>
      </c>
      <c r="N980" s="564" t="s">
        <v>45</v>
      </c>
      <c r="O980" s="564" t="s">
        <v>2099</v>
      </c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 spans="1:26" ht="13">
      <c r="A981" s="562" t="s">
        <v>3245</v>
      </c>
      <c r="B981" s="563" t="s">
        <v>3246</v>
      </c>
      <c r="C981" s="564" t="s">
        <v>353</v>
      </c>
      <c r="D981" s="565">
        <v>45019</v>
      </c>
      <c r="E981" s="565">
        <v>45026</v>
      </c>
      <c r="F981" s="566">
        <v>228000</v>
      </c>
      <c r="G981" s="564" t="s">
        <v>349</v>
      </c>
      <c r="H981" s="564" t="s">
        <v>349</v>
      </c>
      <c r="I981" s="564" t="s">
        <v>64</v>
      </c>
      <c r="J981" s="564" t="s">
        <v>1069</v>
      </c>
      <c r="K981" s="564" t="s">
        <v>1090</v>
      </c>
      <c r="L981" s="564" t="s">
        <v>2098</v>
      </c>
      <c r="M981" s="564" t="s">
        <v>2098</v>
      </c>
      <c r="N981" s="564" t="s">
        <v>64</v>
      </c>
      <c r="O981" s="564" t="s">
        <v>2099</v>
      </c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 spans="1:26" ht="13">
      <c r="A982" s="562" t="s">
        <v>3247</v>
      </c>
      <c r="B982" s="563" t="s">
        <v>3248</v>
      </c>
      <c r="C982" s="564" t="s">
        <v>353</v>
      </c>
      <c r="D982" s="565">
        <v>45019</v>
      </c>
      <c r="E982" s="565">
        <v>45026</v>
      </c>
      <c r="F982" s="566">
        <v>228000</v>
      </c>
      <c r="G982" s="564" t="s">
        <v>349</v>
      </c>
      <c r="H982" s="564" t="s">
        <v>349</v>
      </c>
      <c r="I982" s="564" t="s">
        <v>64</v>
      </c>
      <c r="J982" s="564" t="s">
        <v>1069</v>
      </c>
      <c r="K982" s="564" t="s">
        <v>1090</v>
      </c>
      <c r="L982" s="564" t="s">
        <v>2098</v>
      </c>
      <c r="M982" s="564" t="s">
        <v>2098</v>
      </c>
      <c r="N982" s="564" t="s">
        <v>64</v>
      </c>
      <c r="O982" s="564" t="s">
        <v>2099</v>
      </c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 spans="1:26" ht="13">
      <c r="A983" s="562" t="s">
        <v>3249</v>
      </c>
      <c r="B983" s="563" t="s">
        <v>3250</v>
      </c>
      <c r="C983" s="564" t="s">
        <v>1652</v>
      </c>
      <c r="D983" s="565">
        <v>45019</v>
      </c>
      <c r="E983" s="565">
        <v>45048</v>
      </c>
      <c r="F983" s="566">
        <v>3018000</v>
      </c>
      <c r="G983" s="564" t="s">
        <v>349</v>
      </c>
      <c r="H983" s="564" t="s">
        <v>349</v>
      </c>
      <c r="I983" s="564" t="s">
        <v>70</v>
      </c>
      <c r="J983" s="564" t="s">
        <v>1069</v>
      </c>
      <c r="K983" s="564" t="s">
        <v>1120</v>
      </c>
      <c r="L983" s="564" t="s">
        <v>2098</v>
      </c>
      <c r="M983" s="564" t="s">
        <v>2098</v>
      </c>
      <c r="N983" s="564" t="s">
        <v>70</v>
      </c>
      <c r="O983" s="564" t="s">
        <v>2099</v>
      </c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 spans="1:26" ht="13">
      <c r="A984" s="562" t="s">
        <v>3251</v>
      </c>
      <c r="B984" s="563" t="s">
        <v>3252</v>
      </c>
      <c r="C984" s="564" t="s">
        <v>1652</v>
      </c>
      <c r="D984" s="565">
        <v>45015</v>
      </c>
      <c r="E984" s="565">
        <v>45044</v>
      </c>
      <c r="F984" s="566">
        <v>5985000</v>
      </c>
      <c r="G984" s="564" t="s">
        <v>349</v>
      </c>
      <c r="H984" s="564" t="s">
        <v>349</v>
      </c>
      <c r="I984" s="564" t="s">
        <v>1281</v>
      </c>
      <c r="J984" s="564" t="s">
        <v>1069</v>
      </c>
      <c r="K984" s="564" t="s">
        <v>1120</v>
      </c>
      <c r="L984" s="564" t="s">
        <v>2098</v>
      </c>
      <c r="M984" s="564" t="s">
        <v>2098</v>
      </c>
      <c r="N984" s="564" t="s">
        <v>1073</v>
      </c>
      <c r="O984" s="564" t="s">
        <v>2099</v>
      </c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 spans="1:26" ht="13">
      <c r="A985" s="562" t="s">
        <v>3253</v>
      </c>
      <c r="B985" s="563" t="s">
        <v>3254</v>
      </c>
      <c r="C985" s="564" t="s">
        <v>1652</v>
      </c>
      <c r="D985" s="565">
        <v>45015</v>
      </c>
      <c r="E985" s="565">
        <v>45044</v>
      </c>
      <c r="F985" s="566">
        <v>4410000</v>
      </c>
      <c r="G985" s="564" t="s">
        <v>349</v>
      </c>
      <c r="H985" s="564" t="s">
        <v>349</v>
      </c>
      <c r="I985" s="564" t="s">
        <v>70</v>
      </c>
      <c r="J985" s="564" t="s">
        <v>1069</v>
      </c>
      <c r="K985" s="564" t="s">
        <v>1120</v>
      </c>
      <c r="L985" s="564" t="s">
        <v>2098</v>
      </c>
      <c r="M985" s="564" t="s">
        <v>2098</v>
      </c>
      <c r="N985" s="564" t="s">
        <v>70</v>
      </c>
      <c r="O985" s="564" t="s">
        <v>2099</v>
      </c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 spans="1:26" ht="13">
      <c r="A986" s="562" t="s">
        <v>3255</v>
      </c>
      <c r="B986" s="563" t="s">
        <v>3256</v>
      </c>
      <c r="C986" s="564" t="s">
        <v>353</v>
      </c>
      <c r="D986" s="565">
        <v>45014</v>
      </c>
      <c r="E986" s="565">
        <v>45016</v>
      </c>
      <c r="F986" s="566">
        <v>23650000</v>
      </c>
      <c r="G986" s="564" t="s">
        <v>1128</v>
      </c>
      <c r="H986" s="564" t="s">
        <v>1128</v>
      </c>
      <c r="I986" s="564" t="s">
        <v>45</v>
      </c>
      <c r="J986" s="564" t="s">
        <v>1069</v>
      </c>
      <c r="K986" s="564" t="s">
        <v>1090</v>
      </c>
      <c r="L986" s="564" t="s">
        <v>2098</v>
      </c>
      <c r="M986" s="564" t="s">
        <v>2098</v>
      </c>
      <c r="N986" s="564" t="s">
        <v>45</v>
      </c>
      <c r="O986" s="564" t="s">
        <v>2099</v>
      </c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 spans="1:26" ht="13">
      <c r="A987" s="562" t="s">
        <v>3257</v>
      </c>
      <c r="B987" s="563" t="s">
        <v>3258</v>
      </c>
      <c r="C987" s="564" t="s">
        <v>1652</v>
      </c>
      <c r="D987" s="565">
        <v>45013</v>
      </c>
      <c r="E987" s="565">
        <v>45043</v>
      </c>
      <c r="F987" s="566">
        <v>1092000</v>
      </c>
      <c r="G987" s="564" t="s">
        <v>349</v>
      </c>
      <c r="H987" s="564" t="s">
        <v>349</v>
      </c>
      <c r="I987" s="564" t="s">
        <v>107</v>
      </c>
      <c r="J987" s="564" t="s">
        <v>1069</v>
      </c>
      <c r="K987" s="564" t="s">
        <v>1120</v>
      </c>
      <c r="L987" s="564" t="s">
        <v>2098</v>
      </c>
      <c r="M987" s="564" t="s">
        <v>2098</v>
      </c>
      <c r="N987" s="564" t="s">
        <v>1073</v>
      </c>
      <c r="O987" s="564" t="s">
        <v>2099</v>
      </c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 spans="1:26" ht="13">
      <c r="A988" s="562" t="s">
        <v>3259</v>
      </c>
      <c r="B988" s="563" t="s">
        <v>3260</v>
      </c>
      <c r="C988" s="564" t="s">
        <v>353</v>
      </c>
      <c r="D988" s="565">
        <v>45007</v>
      </c>
      <c r="E988" s="565">
        <v>45027</v>
      </c>
      <c r="F988" s="566">
        <v>1696000</v>
      </c>
      <c r="G988" s="564" t="s">
        <v>349</v>
      </c>
      <c r="H988" s="564" t="s">
        <v>349</v>
      </c>
      <c r="I988" s="564" t="s">
        <v>225</v>
      </c>
      <c r="J988" s="564" t="s">
        <v>1069</v>
      </c>
      <c r="K988" s="564" t="s">
        <v>1105</v>
      </c>
      <c r="L988" s="564" t="s">
        <v>2098</v>
      </c>
      <c r="M988" s="564" t="s">
        <v>2098</v>
      </c>
      <c r="N988" s="564" t="s">
        <v>225</v>
      </c>
      <c r="O988" s="564" t="s">
        <v>2099</v>
      </c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 spans="1:26" ht="13">
      <c r="A989" s="562" t="s">
        <v>3261</v>
      </c>
      <c r="B989" s="563" t="s">
        <v>3262</v>
      </c>
      <c r="C989" s="564" t="s">
        <v>1076</v>
      </c>
      <c r="D989" s="565">
        <v>44999</v>
      </c>
      <c r="E989" s="565">
        <v>45199</v>
      </c>
      <c r="F989" s="566">
        <v>7280000</v>
      </c>
      <c r="G989" s="564" t="s">
        <v>1077</v>
      </c>
      <c r="H989" s="564" t="s">
        <v>1077</v>
      </c>
      <c r="I989" s="564" t="s">
        <v>637</v>
      </c>
      <c r="J989" s="564" t="s">
        <v>1069</v>
      </c>
      <c r="K989" s="564" t="s">
        <v>1070</v>
      </c>
      <c r="L989" s="564" t="s">
        <v>2098</v>
      </c>
      <c r="M989" s="564" t="s">
        <v>2098</v>
      </c>
      <c r="N989" s="564" t="s">
        <v>1082</v>
      </c>
      <c r="O989" s="564" t="s">
        <v>2099</v>
      </c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 spans="1:26" ht="13">
      <c r="A990" s="562" t="s">
        <v>3263</v>
      </c>
      <c r="B990" s="563" t="s">
        <v>3264</v>
      </c>
      <c r="C990" s="564" t="s">
        <v>1652</v>
      </c>
      <c r="D990" s="565">
        <v>45001</v>
      </c>
      <c r="E990" s="565">
        <v>45030</v>
      </c>
      <c r="F990" s="566">
        <v>365000</v>
      </c>
      <c r="G990" s="564" t="s">
        <v>349</v>
      </c>
      <c r="H990" s="564" t="s">
        <v>349</v>
      </c>
      <c r="I990" s="564" t="s">
        <v>70</v>
      </c>
      <c r="J990" s="564" t="s">
        <v>1069</v>
      </c>
      <c r="K990" s="564" t="s">
        <v>1120</v>
      </c>
      <c r="L990" s="564" t="s">
        <v>2098</v>
      </c>
      <c r="M990" s="564" t="s">
        <v>2098</v>
      </c>
      <c r="N990" s="564" t="s">
        <v>70</v>
      </c>
      <c r="O990" s="564" t="s">
        <v>2099</v>
      </c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 spans="1:26" ht="13">
      <c r="A991" s="562" t="s">
        <v>3265</v>
      </c>
      <c r="B991" s="563" t="s">
        <v>3012</v>
      </c>
      <c r="C991" s="564" t="s">
        <v>353</v>
      </c>
      <c r="D991" s="565">
        <v>44994</v>
      </c>
      <c r="E991" s="565">
        <v>45023</v>
      </c>
      <c r="F991" s="566">
        <v>114000</v>
      </c>
      <c r="G991" s="564" t="s">
        <v>349</v>
      </c>
      <c r="H991" s="564" t="s">
        <v>349</v>
      </c>
      <c r="I991" s="564" t="s">
        <v>64</v>
      </c>
      <c r="J991" s="564" t="s">
        <v>1069</v>
      </c>
      <c r="K991" s="564" t="s">
        <v>1090</v>
      </c>
      <c r="L991" s="564" t="s">
        <v>2098</v>
      </c>
      <c r="M991" s="564" t="s">
        <v>2098</v>
      </c>
      <c r="N991" s="564" t="s">
        <v>64</v>
      </c>
      <c r="O991" s="564" t="s">
        <v>2099</v>
      </c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 spans="1:26" ht="13">
      <c r="A992" s="562" t="s">
        <v>3266</v>
      </c>
      <c r="B992" s="563" t="s">
        <v>3267</v>
      </c>
      <c r="C992" s="564" t="s">
        <v>353</v>
      </c>
      <c r="D992" s="565">
        <v>44993</v>
      </c>
      <c r="E992" s="565">
        <v>45023</v>
      </c>
      <c r="F992" s="566">
        <v>120000</v>
      </c>
      <c r="G992" s="564" t="s">
        <v>349</v>
      </c>
      <c r="H992" s="564" t="s">
        <v>349</v>
      </c>
      <c r="I992" s="564" t="s">
        <v>64</v>
      </c>
      <c r="J992" s="564" t="s">
        <v>1069</v>
      </c>
      <c r="K992" s="564" t="s">
        <v>1090</v>
      </c>
      <c r="L992" s="564" t="s">
        <v>2098</v>
      </c>
      <c r="M992" s="564" t="s">
        <v>2098</v>
      </c>
      <c r="N992" s="564" t="s">
        <v>64</v>
      </c>
      <c r="O992" s="564" t="s">
        <v>2099</v>
      </c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 spans="1:26" ht="13">
      <c r="A993" s="562" t="s">
        <v>3268</v>
      </c>
      <c r="B993" s="563" t="s">
        <v>3269</v>
      </c>
      <c r="C993" s="564" t="s">
        <v>2433</v>
      </c>
      <c r="D993" s="565">
        <v>44988</v>
      </c>
      <c r="E993" s="565">
        <v>45169</v>
      </c>
      <c r="F993" s="566">
        <v>993000</v>
      </c>
      <c r="G993" s="564" t="s">
        <v>1077</v>
      </c>
      <c r="H993" s="564" t="s">
        <v>1077</v>
      </c>
      <c r="I993" s="564" t="s">
        <v>637</v>
      </c>
      <c r="J993" s="564" t="s">
        <v>1069</v>
      </c>
      <c r="K993" s="564" t="s">
        <v>1070</v>
      </c>
      <c r="L993" s="564" t="s">
        <v>2098</v>
      </c>
      <c r="M993" s="564" t="s">
        <v>2098</v>
      </c>
      <c r="N993" s="564" t="s">
        <v>1082</v>
      </c>
      <c r="O993" s="564" t="s">
        <v>2099</v>
      </c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 spans="1:26" ht="13">
      <c r="A994" s="562" t="s">
        <v>3270</v>
      </c>
      <c r="B994" s="563" t="s">
        <v>3271</v>
      </c>
      <c r="C994" s="564" t="s">
        <v>1475</v>
      </c>
      <c r="D994" s="565">
        <v>44992</v>
      </c>
      <c r="E994" s="565">
        <v>45016</v>
      </c>
      <c r="F994" s="566">
        <v>1740000</v>
      </c>
      <c r="G994" s="564" t="s">
        <v>297</v>
      </c>
      <c r="H994" s="564" t="s">
        <v>297</v>
      </c>
      <c r="I994" s="564" t="s">
        <v>1247</v>
      </c>
      <c r="J994" s="564" t="s">
        <v>1069</v>
      </c>
      <c r="K994" s="564" t="s">
        <v>1070</v>
      </c>
      <c r="L994" s="564" t="s">
        <v>2098</v>
      </c>
      <c r="M994" s="564" t="s">
        <v>2098</v>
      </c>
      <c r="N994" s="564" t="s">
        <v>1073</v>
      </c>
      <c r="O994" s="564" t="s">
        <v>2099</v>
      </c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</row>
    <row r="995" spans="1:26" ht="13">
      <c r="A995" s="562" t="s">
        <v>3272</v>
      </c>
      <c r="B995" s="563" t="s">
        <v>3273</v>
      </c>
      <c r="C995" s="564" t="s">
        <v>353</v>
      </c>
      <c r="D995" s="565">
        <v>44991</v>
      </c>
      <c r="E995" s="565">
        <v>45016</v>
      </c>
      <c r="F995" s="566">
        <v>16500000</v>
      </c>
      <c r="G995" s="564" t="s">
        <v>349</v>
      </c>
      <c r="H995" s="564" t="s">
        <v>349</v>
      </c>
      <c r="I995" s="564" t="s">
        <v>257</v>
      </c>
      <c r="J995" s="564" t="s">
        <v>1069</v>
      </c>
      <c r="K995" s="564" t="s">
        <v>1209</v>
      </c>
      <c r="L995" s="564" t="s">
        <v>2098</v>
      </c>
      <c r="M995" s="564" t="s">
        <v>2098</v>
      </c>
      <c r="N995" s="564" t="s">
        <v>257</v>
      </c>
      <c r="O995" s="564" t="s">
        <v>2099</v>
      </c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</row>
    <row r="996" spans="1:26" ht="13">
      <c r="A996" s="562" t="s">
        <v>3274</v>
      </c>
      <c r="B996" s="563" t="s">
        <v>3275</v>
      </c>
      <c r="C996" s="564" t="s">
        <v>353</v>
      </c>
      <c r="D996" s="565">
        <v>44988</v>
      </c>
      <c r="E996" s="565">
        <v>45016</v>
      </c>
      <c r="F996" s="566">
        <v>659000</v>
      </c>
      <c r="G996" s="564" t="s">
        <v>349</v>
      </c>
      <c r="H996" s="564" t="s">
        <v>349</v>
      </c>
      <c r="I996" s="564" t="s">
        <v>203</v>
      </c>
      <c r="J996" s="564" t="s">
        <v>1069</v>
      </c>
      <c r="K996" s="564" t="s">
        <v>1090</v>
      </c>
      <c r="L996" s="564" t="s">
        <v>2098</v>
      </c>
      <c r="M996" s="564" t="s">
        <v>2098</v>
      </c>
      <c r="N996" s="564" t="s">
        <v>1073</v>
      </c>
      <c r="O996" s="564" t="s">
        <v>2099</v>
      </c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</row>
    <row r="997" spans="1:26" ht="13">
      <c r="A997" s="562" t="s">
        <v>3276</v>
      </c>
      <c r="B997" s="563" t="s">
        <v>3277</v>
      </c>
      <c r="C997" s="564" t="s">
        <v>1652</v>
      </c>
      <c r="D997" s="565">
        <v>44987</v>
      </c>
      <c r="E997" s="565">
        <v>45019</v>
      </c>
      <c r="F997" s="566">
        <v>1775000</v>
      </c>
      <c r="G997" s="564" t="s">
        <v>349</v>
      </c>
      <c r="H997" s="564" t="s">
        <v>349</v>
      </c>
      <c r="I997" s="564" t="s">
        <v>70</v>
      </c>
      <c r="J997" s="564" t="s">
        <v>1069</v>
      </c>
      <c r="K997" s="564" t="s">
        <v>1120</v>
      </c>
      <c r="L997" s="564" t="s">
        <v>2098</v>
      </c>
      <c r="M997" s="564" t="s">
        <v>2098</v>
      </c>
      <c r="N997" s="564" t="s">
        <v>70</v>
      </c>
      <c r="O997" s="564" t="s">
        <v>2099</v>
      </c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</row>
    <row r="998" spans="1:26" ht="13">
      <c r="A998" s="562" t="s">
        <v>3278</v>
      </c>
      <c r="B998" s="563" t="s">
        <v>3279</v>
      </c>
      <c r="C998" s="564" t="s">
        <v>1076</v>
      </c>
      <c r="D998" s="565">
        <v>44984</v>
      </c>
      <c r="E998" s="565">
        <v>45169</v>
      </c>
      <c r="F998" s="566">
        <v>13720000</v>
      </c>
      <c r="G998" s="564" t="s">
        <v>1077</v>
      </c>
      <c r="H998" s="564" t="s">
        <v>1077</v>
      </c>
      <c r="I998" s="564" t="s">
        <v>637</v>
      </c>
      <c r="J998" s="564" t="s">
        <v>1069</v>
      </c>
      <c r="K998" s="564" t="s">
        <v>1070</v>
      </c>
      <c r="L998" s="564" t="s">
        <v>2098</v>
      </c>
      <c r="M998" s="564" t="s">
        <v>2098</v>
      </c>
      <c r="N998" s="564" t="s">
        <v>1082</v>
      </c>
      <c r="O998" s="564" t="s">
        <v>2099</v>
      </c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</row>
    <row r="999" spans="1:26" ht="13">
      <c r="A999" s="562" t="s">
        <v>3280</v>
      </c>
      <c r="B999" s="563" t="s">
        <v>3178</v>
      </c>
      <c r="C999" s="564" t="s">
        <v>1475</v>
      </c>
      <c r="D999" s="565">
        <v>44984</v>
      </c>
      <c r="E999" s="565">
        <v>45016</v>
      </c>
      <c r="F999" s="566">
        <v>452766</v>
      </c>
      <c r="G999" s="564" t="s">
        <v>297</v>
      </c>
      <c r="H999" s="564" t="s">
        <v>297</v>
      </c>
      <c r="I999" s="564" t="s">
        <v>125</v>
      </c>
      <c r="J999" s="564" t="s">
        <v>1069</v>
      </c>
      <c r="K999" s="564" t="s">
        <v>1070</v>
      </c>
      <c r="L999" s="564" t="s">
        <v>2098</v>
      </c>
      <c r="M999" s="564" t="s">
        <v>2098</v>
      </c>
      <c r="N999" s="564" t="s">
        <v>1073</v>
      </c>
      <c r="O999" s="564" t="s">
        <v>2099</v>
      </c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</row>
    <row r="1000" spans="1:26" ht="13">
      <c r="A1000" s="562" t="s">
        <v>3281</v>
      </c>
      <c r="B1000" s="563" t="s">
        <v>3282</v>
      </c>
      <c r="C1000" s="564" t="s">
        <v>353</v>
      </c>
      <c r="D1000" s="565">
        <v>44977</v>
      </c>
      <c r="E1000" s="565">
        <v>44988</v>
      </c>
      <c r="F1000" s="566">
        <v>11640000</v>
      </c>
      <c r="G1000" s="564" t="s">
        <v>1128</v>
      </c>
      <c r="H1000" s="564" t="s">
        <v>1128</v>
      </c>
      <c r="I1000" s="564" t="s">
        <v>45</v>
      </c>
      <c r="J1000" s="564" t="s">
        <v>1069</v>
      </c>
      <c r="K1000" s="564" t="s">
        <v>1090</v>
      </c>
      <c r="L1000" s="564" t="s">
        <v>2098</v>
      </c>
      <c r="M1000" s="564" t="s">
        <v>2098</v>
      </c>
      <c r="N1000" s="564" t="s">
        <v>45</v>
      </c>
      <c r="O1000" s="564" t="s">
        <v>2099</v>
      </c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</row>
    <row r="1001" spans="1:26" ht="13">
      <c r="A1001" s="562" t="s">
        <v>3283</v>
      </c>
      <c r="B1001" s="563" t="s">
        <v>3284</v>
      </c>
      <c r="C1001" s="564" t="s">
        <v>1076</v>
      </c>
      <c r="D1001" s="565">
        <v>44977</v>
      </c>
      <c r="E1001" s="565">
        <v>45169</v>
      </c>
      <c r="F1001" s="566">
        <v>3710000</v>
      </c>
      <c r="G1001" s="564" t="s">
        <v>1077</v>
      </c>
      <c r="H1001" s="564" t="s">
        <v>1077</v>
      </c>
      <c r="I1001" s="564" t="s">
        <v>637</v>
      </c>
      <c r="J1001" s="564" t="s">
        <v>1069</v>
      </c>
      <c r="K1001" s="564" t="s">
        <v>1070</v>
      </c>
      <c r="L1001" s="564" t="s">
        <v>2098</v>
      </c>
      <c r="M1001" s="564" t="s">
        <v>2098</v>
      </c>
      <c r="N1001" s="564" t="s">
        <v>1082</v>
      </c>
      <c r="O1001" s="564" t="s">
        <v>2099</v>
      </c>
      <c r="P1001" s="23"/>
      <c r="Q1001" s="23"/>
      <c r="R1001" s="23"/>
      <c r="S1001" s="23"/>
      <c r="T1001" s="23"/>
      <c r="U1001" s="23"/>
      <c r="V1001" s="23"/>
      <c r="W1001" s="23"/>
      <c r="X1001" s="23"/>
      <c r="Y1001" s="23"/>
      <c r="Z1001" s="23"/>
    </row>
    <row r="1002" spans="1:26" ht="13">
      <c r="A1002" s="562" t="s">
        <v>3285</v>
      </c>
      <c r="B1002" s="563" t="s">
        <v>3286</v>
      </c>
      <c r="C1002" s="564" t="s">
        <v>1076</v>
      </c>
      <c r="D1002" s="565">
        <v>44973</v>
      </c>
      <c r="E1002" s="565">
        <v>45199</v>
      </c>
      <c r="F1002" s="566">
        <v>866000</v>
      </c>
      <c r="G1002" s="564" t="s">
        <v>1077</v>
      </c>
      <c r="H1002" s="564" t="s">
        <v>1077</v>
      </c>
      <c r="I1002" s="564" t="s">
        <v>637</v>
      </c>
      <c r="J1002" s="564" t="s">
        <v>1069</v>
      </c>
      <c r="K1002" s="564" t="s">
        <v>1070</v>
      </c>
      <c r="L1002" s="564" t="s">
        <v>2098</v>
      </c>
      <c r="M1002" s="564" t="s">
        <v>2098</v>
      </c>
      <c r="N1002" s="564" t="s">
        <v>1082</v>
      </c>
      <c r="O1002" s="564" t="s">
        <v>2099</v>
      </c>
      <c r="P1002" s="23"/>
      <c r="Q1002" s="23"/>
      <c r="R1002" s="23"/>
      <c r="S1002" s="23"/>
      <c r="T1002" s="23"/>
      <c r="U1002" s="23"/>
      <c r="V1002" s="23"/>
      <c r="W1002" s="23"/>
      <c r="X1002" s="23"/>
      <c r="Y1002" s="23"/>
      <c r="Z1002" s="23"/>
    </row>
    <row r="1003" spans="1:26" ht="13">
      <c r="A1003" s="562" t="s">
        <v>3287</v>
      </c>
      <c r="B1003" s="563" t="s">
        <v>3288</v>
      </c>
      <c r="C1003" s="564" t="s">
        <v>1076</v>
      </c>
      <c r="D1003" s="565">
        <v>44973</v>
      </c>
      <c r="E1003" s="565">
        <v>45169</v>
      </c>
      <c r="F1003" s="566">
        <v>795000</v>
      </c>
      <c r="G1003" s="564" t="s">
        <v>1077</v>
      </c>
      <c r="H1003" s="564" t="s">
        <v>1077</v>
      </c>
      <c r="I1003" s="564" t="s">
        <v>637</v>
      </c>
      <c r="J1003" s="564" t="s">
        <v>1069</v>
      </c>
      <c r="K1003" s="564" t="s">
        <v>1070</v>
      </c>
      <c r="L1003" s="564" t="s">
        <v>2098</v>
      </c>
      <c r="M1003" s="564" t="s">
        <v>2098</v>
      </c>
      <c r="N1003" s="564" t="s">
        <v>1082</v>
      </c>
      <c r="O1003" s="564" t="s">
        <v>2099</v>
      </c>
      <c r="P1003" s="23"/>
      <c r="Q1003" s="23"/>
      <c r="R1003" s="23"/>
      <c r="S1003" s="23"/>
      <c r="T1003" s="23"/>
      <c r="U1003" s="23"/>
      <c r="V1003" s="23"/>
      <c r="W1003" s="23"/>
      <c r="X1003" s="23"/>
      <c r="Y1003" s="23"/>
      <c r="Z1003" s="23"/>
    </row>
    <row r="1004" spans="1:26" ht="13">
      <c r="A1004" s="562" t="s">
        <v>3289</v>
      </c>
      <c r="B1004" s="563" t="s">
        <v>3290</v>
      </c>
      <c r="C1004" s="564" t="s">
        <v>1652</v>
      </c>
      <c r="D1004" s="565">
        <v>44973</v>
      </c>
      <c r="E1004" s="565">
        <v>45001</v>
      </c>
      <c r="F1004" s="566">
        <v>99000</v>
      </c>
      <c r="G1004" s="564" t="s">
        <v>349</v>
      </c>
      <c r="H1004" s="564" t="s">
        <v>349</v>
      </c>
      <c r="I1004" s="564" t="s">
        <v>70</v>
      </c>
      <c r="J1004" s="564" t="s">
        <v>1069</v>
      </c>
      <c r="K1004" s="564" t="s">
        <v>1120</v>
      </c>
      <c r="L1004" s="564" t="s">
        <v>2098</v>
      </c>
      <c r="M1004" s="564" t="s">
        <v>2098</v>
      </c>
      <c r="N1004" s="564" t="s">
        <v>70</v>
      </c>
      <c r="O1004" s="564" t="s">
        <v>2099</v>
      </c>
      <c r="P1004" s="23"/>
      <c r="Q1004" s="23"/>
      <c r="R1004" s="23"/>
      <c r="S1004" s="23"/>
      <c r="T1004" s="23"/>
      <c r="U1004" s="23"/>
      <c r="V1004" s="23"/>
      <c r="W1004" s="23"/>
      <c r="X1004" s="23"/>
      <c r="Y1004" s="23"/>
      <c r="Z1004" s="23"/>
    </row>
    <row r="1005" spans="1:26" ht="13">
      <c r="A1005" s="562" t="s">
        <v>3291</v>
      </c>
      <c r="B1005" s="563" t="s">
        <v>3292</v>
      </c>
      <c r="C1005" s="564" t="s">
        <v>1076</v>
      </c>
      <c r="D1005" s="565">
        <v>44971</v>
      </c>
      <c r="E1005" s="565">
        <v>45169</v>
      </c>
      <c r="F1005" s="566">
        <v>6272000</v>
      </c>
      <c r="G1005" s="564" t="s">
        <v>1077</v>
      </c>
      <c r="H1005" s="564" t="s">
        <v>1077</v>
      </c>
      <c r="I1005" s="564" t="s">
        <v>637</v>
      </c>
      <c r="J1005" s="564" t="s">
        <v>1069</v>
      </c>
      <c r="K1005" s="564" t="s">
        <v>1070</v>
      </c>
      <c r="L1005" s="564" t="s">
        <v>2098</v>
      </c>
      <c r="M1005" s="564" t="s">
        <v>2098</v>
      </c>
      <c r="N1005" s="564" t="s">
        <v>1082</v>
      </c>
      <c r="O1005" s="564" t="s">
        <v>2099</v>
      </c>
      <c r="P1005" s="23"/>
      <c r="Q1005" s="23"/>
      <c r="R1005" s="23"/>
      <c r="S1005" s="23"/>
      <c r="T1005" s="23"/>
      <c r="U1005" s="23"/>
      <c r="V1005" s="23"/>
      <c r="W1005" s="23"/>
      <c r="X1005" s="23"/>
      <c r="Y1005" s="23"/>
      <c r="Z1005" s="23"/>
    </row>
    <row r="1006" spans="1:26" ht="13">
      <c r="A1006" s="562" t="s">
        <v>3293</v>
      </c>
      <c r="B1006" s="563" t="s">
        <v>3294</v>
      </c>
      <c r="C1006" s="564" t="s">
        <v>1076</v>
      </c>
      <c r="D1006" s="565">
        <v>44971</v>
      </c>
      <c r="E1006" s="565">
        <v>45169</v>
      </c>
      <c r="F1006" s="566">
        <v>2987000</v>
      </c>
      <c r="G1006" s="564" t="s">
        <v>1077</v>
      </c>
      <c r="H1006" s="564" t="s">
        <v>1077</v>
      </c>
      <c r="I1006" s="564" t="s">
        <v>637</v>
      </c>
      <c r="J1006" s="564" t="s">
        <v>1069</v>
      </c>
      <c r="K1006" s="564" t="s">
        <v>1070</v>
      </c>
      <c r="L1006" s="564" t="s">
        <v>2098</v>
      </c>
      <c r="M1006" s="564" t="s">
        <v>2098</v>
      </c>
      <c r="N1006" s="564" t="s">
        <v>1082</v>
      </c>
      <c r="O1006" s="564" t="s">
        <v>2099</v>
      </c>
      <c r="P1006" s="23"/>
      <c r="Q1006" s="23"/>
      <c r="R1006" s="23"/>
      <c r="S1006" s="23"/>
      <c r="T1006" s="23"/>
      <c r="U1006" s="23"/>
      <c r="V1006" s="23"/>
      <c r="W1006" s="23"/>
      <c r="X1006" s="23"/>
      <c r="Y1006" s="23"/>
      <c r="Z1006" s="23"/>
    </row>
    <row r="1007" spans="1:26" ht="13">
      <c r="A1007" s="562" t="s">
        <v>3295</v>
      </c>
      <c r="B1007" s="563" t="s">
        <v>3296</v>
      </c>
      <c r="C1007" s="564" t="s">
        <v>1652</v>
      </c>
      <c r="D1007" s="565">
        <v>44972</v>
      </c>
      <c r="E1007" s="565">
        <v>44999</v>
      </c>
      <c r="F1007" s="566">
        <v>1509000</v>
      </c>
      <c r="G1007" s="564" t="s">
        <v>349</v>
      </c>
      <c r="H1007" s="564" t="s">
        <v>349</v>
      </c>
      <c r="I1007" s="564" t="s">
        <v>70</v>
      </c>
      <c r="J1007" s="564" t="s">
        <v>1069</v>
      </c>
      <c r="K1007" s="564" t="s">
        <v>1120</v>
      </c>
      <c r="L1007" s="564" t="s">
        <v>2098</v>
      </c>
      <c r="M1007" s="564" t="s">
        <v>2098</v>
      </c>
      <c r="N1007" s="564" t="s">
        <v>70</v>
      </c>
      <c r="O1007" s="564" t="s">
        <v>2099</v>
      </c>
      <c r="P1007" s="23"/>
      <c r="Q1007" s="23"/>
      <c r="R1007" s="23"/>
      <c r="S1007" s="23"/>
      <c r="T1007" s="23"/>
      <c r="U1007" s="23"/>
      <c r="V1007" s="23"/>
      <c r="W1007" s="23"/>
      <c r="X1007" s="23"/>
      <c r="Y1007" s="23"/>
      <c r="Z1007" s="23"/>
    </row>
    <row r="1008" spans="1:26" ht="13">
      <c r="A1008" s="562" t="s">
        <v>3297</v>
      </c>
      <c r="B1008" s="563" t="s">
        <v>3298</v>
      </c>
      <c r="C1008" s="564" t="s">
        <v>353</v>
      </c>
      <c r="D1008" s="565">
        <v>44971</v>
      </c>
      <c r="E1008" s="565">
        <v>44985</v>
      </c>
      <c r="F1008" s="566">
        <v>114000</v>
      </c>
      <c r="G1008" s="564" t="s">
        <v>349</v>
      </c>
      <c r="H1008" s="564" t="s">
        <v>349</v>
      </c>
      <c r="I1008" s="564" t="s">
        <v>64</v>
      </c>
      <c r="J1008" s="564" t="s">
        <v>1069</v>
      </c>
      <c r="K1008" s="564" t="s">
        <v>1090</v>
      </c>
      <c r="L1008" s="564" t="s">
        <v>2098</v>
      </c>
      <c r="M1008" s="564" t="s">
        <v>2098</v>
      </c>
      <c r="N1008" s="564" t="s">
        <v>64</v>
      </c>
      <c r="O1008" s="564" t="s">
        <v>2099</v>
      </c>
      <c r="P1008" s="23"/>
      <c r="Q1008" s="23"/>
      <c r="R1008" s="23"/>
      <c r="S1008" s="23"/>
      <c r="T1008" s="23"/>
      <c r="U1008" s="23"/>
      <c r="V1008" s="23"/>
      <c r="W1008" s="23"/>
      <c r="X1008" s="23"/>
      <c r="Y1008" s="23"/>
      <c r="Z1008" s="23"/>
    </row>
    <row r="1009" spans="1:26" ht="13">
      <c r="A1009" s="562" t="s">
        <v>3299</v>
      </c>
      <c r="B1009" s="563" t="s">
        <v>3300</v>
      </c>
      <c r="C1009" s="564" t="s">
        <v>1652</v>
      </c>
      <c r="D1009" s="565">
        <v>44971</v>
      </c>
      <c r="E1009" s="565">
        <v>44998</v>
      </c>
      <c r="F1009" s="566">
        <v>1569000</v>
      </c>
      <c r="G1009" s="564" t="s">
        <v>349</v>
      </c>
      <c r="H1009" s="564" t="s">
        <v>349</v>
      </c>
      <c r="I1009" s="564" t="s">
        <v>70</v>
      </c>
      <c r="J1009" s="564" t="s">
        <v>1069</v>
      </c>
      <c r="K1009" s="564" t="s">
        <v>1120</v>
      </c>
      <c r="L1009" s="564" t="s">
        <v>2098</v>
      </c>
      <c r="M1009" s="564" t="s">
        <v>2098</v>
      </c>
      <c r="N1009" s="564" t="s">
        <v>70</v>
      </c>
      <c r="O1009" s="564" t="s">
        <v>2099</v>
      </c>
      <c r="P1009" s="23"/>
      <c r="Q1009" s="23"/>
      <c r="R1009" s="23"/>
      <c r="S1009" s="23"/>
      <c r="T1009" s="23"/>
      <c r="U1009" s="23"/>
      <c r="V1009" s="23"/>
      <c r="W1009" s="23"/>
      <c r="X1009" s="23"/>
      <c r="Y1009" s="23"/>
      <c r="Z1009" s="23"/>
    </row>
    <row r="1010" spans="1:26" ht="13">
      <c r="A1010" s="562" t="s">
        <v>3301</v>
      </c>
      <c r="B1010" s="563" t="s">
        <v>3302</v>
      </c>
      <c r="C1010" s="564" t="s">
        <v>1652</v>
      </c>
      <c r="D1010" s="565">
        <v>44970</v>
      </c>
      <c r="E1010" s="565">
        <v>45016</v>
      </c>
      <c r="F1010" s="566">
        <v>301844</v>
      </c>
      <c r="G1010" s="564" t="s">
        <v>297</v>
      </c>
      <c r="H1010" s="564" t="s">
        <v>297</v>
      </c>
      <c r="I1010" s="564" t="s">
        <v>2671</v>
      </c>
      <c r="J1010" s="564" t="s">
        <v>1069</v>
      </c>
      <c r="K1010" s="564" t="s">
        <v>1120</v>
      </c>
      <c r="L1010" s="564" t="s">
        <v>2098</v>
      </c>
      <c r="M1010" s="564" t="s">
        <v>2098</v>
      </c>
      <c r="N1010" s="564" t="s">
        <v>1073</v>
      </c>
      <c r="O1010" s="564" t="s">
        <v>2099</v>
      </c>
      <c r="P1010" s="23"/>
      <c r="Q1010" s="23"/>
      <c r="R1010" s="23"/>
      <c r="S1010" s="23"/>
      <c r="T1010" s="23"/>
      <c r="U1010" s="23"/>
      <c r="V1010" s="23"/>
      <c r="W1010" s="23"/>
      <c r="X1010" s="23"/>
      <c r="Y1010" s="23"/>
      <c r="Z1010" s="23"/>
    </row>
    <row r="1011" spans="1:26" ht="13">
      <c r="A1011" s="562" t="s">
        <v>3303</v>
      </c>
      <c r="B1011" s="563" t="s">
        <v>3304</v>
      </c>
      <c r="C1011" s="564" t="s">
        <v>1652</v>
      </c>
      <c r="D1011" s="565">
        <v>44966</v>
      </c>
      <c r="E1011" s="565">
        <v>44993</v>
      </c>
      <c r="F1011" s="566">
        <v>4428000</v>
      </c>
      <c r="G1011" s="564" t="s">
        <v>349</v>
      </c>
      <c r="H1011" s="564" t="s">
        <v>349</v>
      </c>
      <c r="I1011" s="564" t="s">
        <v>70</v>
      </c>
      <c r="J1011" s="564" t="s">
        <v>1069</v>
      </c>
      <c r="K1011" s="564" t="s">
        <v>1120</v>
      </c>
      <c r="L1011" s="564" t="s">
        <v>2098</v>
      </c>
      <c r="M1011" s="564" t="s">
        <v>2098</v>
      </c>
      <c r="N1011" s="564" t="s">
        <v>70</v>
      </c>
      <c r="O1011" s="564" t="s">
        <v>2099</v>
      </c>
      <c r="P1011" s="23"/>
      <c r="Q1011" s="23"/>
      <c r="R1011" s="23"/>
      <c r="S1011" s="23"/>
      <c r="T1011" s="23"/>
      <c r="U1011" s="23"/>
      <c r="V1011" s="23"/>
      <c r="W1011" s="23"/>
      <c r="X1011" s="23"/>
      <c r="Y1011" s="23"/>
      <c r="Z1011" s="23"/>
    </row>
    <row r="1012" spans="1:26" ht="13">
      <c r="A1012" s="562" t="s">
        <v>3305</v>
      </c>
      <c r="B1012" s="563" t="s">
        <v>3306</v>
      </c>
      <c r="C1012" s="564" t="s">
        <v>353</v>
      </c>
      <c r="D1012" s="565">
        <v>44957</v>
      </c>
      <c r="E1012" s="565">
        <v>44974</v>
      </c>
      <c r="F1012" s="566">
        <v>20990000</v>
      </c>
      <c r="G1012" s="564" t="s">
        <v>1128</v>
      </c>
      <c r="H1012" s="564" t="s">
        <v>1128</v>
      </c>
      <c r="I1012" s="564" t="s">
        <v>45</v>
      </c>
      <c r="J1012" s="564" t="s">
        <v>1069</v>
      </c>
      <c r="K1012" s="564" t="s">
        <v>1090</v>
      </c>
      <c r="L1012" s="564" t="s">
        <v>2098</v>
      </c>
      <c r="M1012" s="564" t="s">
        <v>2098</v>
      </c>
      <c r="N1012" s="564" t="s">
        <v>45</v>
      </c>
      <c r="O1012" s="564" t="s">
        <v>2099</v>
      </c>
      <c r="P1012" s="23"/>
      <c r="Q1012" s="23"/>
      <c r="R1012" s="23"/>
      <c r="S1012" s="23"/>
      <c r="T1012" s="23"/>
      <c r="U1012" s="23"/>
      <c r="V1012" s="23"/>
      <c r="W1012" s="23"/>
      <c r="X1012" s="23"/>
      <c r="Y1012" s="23"/>
      <c r="Z1012" s="23"/>
    </row>
    <row r="1013" spans="1:26" ht="13">
      <c r="A1013" s="562" t="s">
        <v>3307</v>
      </c>
      <c r="B1013" s="563" t="s">
        <v>3308</v>
      </c>
      <c r="C1013" s="564" t="s">
        <v>1652</v>
      </c>
      <c r="D1013" s="565">
        <v>44963</v>
      </c>
      <c r="E1013" s="565">
        <v>44991</v>
      </c>
      <c r="F1013" s="566">
        <v>3189000</v>
      </c>
      <c r="G1013" s="564" t="s">
        <v>349</v>
      </c>
      <c r="H1013" s="564" t="s">
        <v>349</v>
      </c>
      <c r="I1013" s="564" t="s">
        <v>1719</v>
      </c>
      <c r="J1013" s="564" t="s">
        <v>1069</v>
      </c>
      <c r="K1013" s="564" t="s">
        <v>1120</v>
      </c>
      <c r="L1013" s="564" t="s">
        <v>2098</v>
      </c>
      <c r="M1013" s="564" t="s">
        <v>2098</v>
      </c>
      <c r="N1013" s="564" t="s">
        <v>1073</v>
      </c>
      <c r="O1013" s="564" t="s">
        <v>2099</v>
      </c>
      <c r="P1013" s="23"/>
      <c r="Q1013" s="23"/>
      <c r="R1013" s="23"/>
      <c r="S1013" s="23"/>
      <c r="T1013" s="23"/>
      <c r="U1013" s="23"/>
      <c r="V1013" s="23"/>
      <c r="W1013" s="23"/>
      <c r="X1013" s="23"/>
      <c r="Y1013" s="23"/>
      <c r="Z1013" s="23"/>
    </row>
    <row r="1014" spans="1:26" ht="13">
      <c r="A1014" s="562" t="s">
        <v>3309</v>
      </c>
      <c r="B1014" s="563" t="s">
        <v>3310</v>
      </c>
      <c r="C1014" s="564" t="s">
        <v>1652</v>
      </c>
      <c r="D1014" s="565">
        <v>44963</v>
      </c>
      <c r="E1014" s="565">
        <v>45016</v>
      </c>
      <c r="F1014" s="566">
        <v>1509220</v>
      </c>
      <c r="G1014" s="564" t="s">
        <v>297</v>
      </c>
      <c r="H1014" s="564" t="s">
        <v>297</v>
      </c>
      <c r="I1014" s="564" t="s">
        <v>107</v>
      </c>
      <c r="J1014" s="564" t="s">
        <v>1069</v>
      </c>
      <c r="K1014" s="564" t="s">
        <v>1120</v>
      </c>
      <c r="L1014" s="564" t="s">
        <v>2098</v>
      </c>
      <c r="M1014" s="564" t="s">
        <v>2098</v>
      </c>
      <c r="N1014" s="564" t="s">
        <v>1073</v>
      </c>
      <c r="O1014" s="564" t="s">
        <v>2099</v>
      </c>
      <c r="P1014" s="23"/>
      <c r="Q1014" s="23"/>
      <c r="R1014" s="23"/>
      <c r="S1014" s="23"/>
      <c r="T1014" s="23"/>
      <c r="U1014" s="23"/>
      <c r="V1014" s="23"/>
      <c r="W1014" s="23"/>
      <c r="X1014" s="23"/>
      <c r="Y1014" s="23"/>
      <c r="Z1014" s="23"/>
    </row>
    <row r="1015" spans="1:26" ht="13">
      <c r="A1015" s="562" t="s">
        <v>3311</v>
      </c>
      <c r="B1015" s="563" t="s">
        <v>432</v>
      </c>
      <c r="C1015" s="564" t="s">
        <v>1652</v>
      </c>
      <c r="D1015" s="565">
        <v>44959</v>
      </c>
      <c r="E1015" s="565">
        <v>44987</v>
      </c>
      <c r="F1015" s="566">
        <v>1995000</v>
      </c>
      <c r="G1015" s="564" t="s">
        <v>349</v>
      </c>
      <c r="H1015" s="564" t="s">
        <v>349</v>
      </c>
      <c r="I1015" s="564" t="s">
        <v>1281</v>
      </c>
      <c r="J1015" s="564" t="s">
        <v>1069</v>
      </c>
      <c r="K1015" s="564" t="s">
        <v>1120</v>
      </c>
      <c r="L1015" s="564" t="s">
        <v>2098</v>
      </c>
      <c r="M1015" s="564" t="s">
        <v>2098</v>
      </c>
      <c r="N1015" s="564" t="s">
        <v>1073</v>
      </c>
      <c r="O1015" s="564" t="s">
        <v>2099</v>
      </c>
      <c r="P1015" s="23"/>
      <c r="Q1015" s="23"/>
      <c r="R1015" s="23"/>
      <c r="S1015" s="23"/>
      <c r="T1015" s="23"/>
      <c r="U1015" s="23"/>
      <c r="V1015" s="23"/>
      <c r="W1015" s="23"/>
      <c r="X1015" s="23"/>
      <c r="Y1015" s="23"/>
      <c r="Z1015" s="23"/>
    </row>
    <row r="1016" spans="1:26" ht="13">
      <c r="A1016" s="562" t="s">
        <v>3312</v>
      </c>
      <c r="B1016" s="563" t="s">
        <v>3313</v>
      </c>
      <c r="C1016" s="564" t="s">
        <v>1652</v>
      </c>
      <c r="D1016" s="565">
        <v>44958</v>
      </c>
      <c r="E1016" s="565">
        <v>44985</v>
      </c>
      <c r="F1016" s="566">
        <v>99000</v>
      </c>
      <c r="G1016" s="564" t="s">
        <v>349</v>
      </c>
      <c r="H1016" s="564" t="s">
        <v>349</v>
      </c>
      <c r="I1016" s="564" t="s">
        <v>70</v>
      </c>
      <c r="J1016" s="564" t="s">
        <v>1069</v>
      </c>
      <c r="K1016" s="564" t="s">
        <v>1120</v>
      </c>
      <c r="L1016" s="564" t="s">
        <v>2098</v>
      </c>
      <c r="M1016" s="564" t="s">
        <v>2098</v>
      </c>
      <c r="N1016" s="564" t="s">
        <v>70</v>
      </c>
      <c r="O1016" s="564" t="s">
        <v>2099</v>
      </c>
      <c r="P1016" s="23"/>
      <c r="Q1016" s="23"/>
      <c r="R1016" s="23"/>
      <c r="S1016" s="23"/>
      <c r="T1016" s="23"/>
      <c r="U1016" s="23"/>
      <c r="V1016" s="23"/>
      <c r="W1016" s="23"/>
      <c r="X1016" s="23"/>
      <c r="Y1016" s="23"/>
      <c r="Z1016" s="23"/>
    </row>
    <row r="1017" spans="1:26" ht="13">
      <c r="A1017" s="562" t="s">
        <v>3314</v>
      </c>
      <c r="B1017" s="563" t="s">
        <v>3315</v>
      </c>
      <c r="C1017" s="564" t="s">
        <v>1652</v>
      </c>
      <c r="D1017" s="565">
        <v>44958</v>
      </c>
      <c r="E1017" s="565">
        <v>44985</v>
      </c>
      <c r="F1017" s="566">
        <v>3833000</v>
      </c>
      <c r="G1017" s="564" t="s">
        <v>349</v>
      </c>
      <c r="H1017" s="564" t="s">
        <v>349</v>
      </c>
      <c r="I1017" s="564" t="s">
        <v>70</v>
      </c>
      <c r="J1017" s="564" t="s">
        <v>1069</v>
      </c>
      <c r="K1017" s="564" t="s">
        <v>1120</v>
      </c>
      <c r="L1017" s="564" t="s">
        <v>2098</v>
      </c>
      <c r="M1017" s="564" t="s">
        <v>2098</v>
      </c>
      <c r="N1017" s="564" t="s">
        <v>70</v>
      </c>
      <c r="O1017" s="564" t="s">
        <v>2099</v>
      </c>
      <c r="P1017" s="23"/>
      <c r="Q1017" s="23"/>
      <c r="R1017" s="23"/>
      <c r="S1017" s="23"/>
      <c r="T1017" s="23"/>
      <c r="U1017" s="23"/>
      <c r="V1017" s="23"/>
      <c r="W1017" s="23"/>
      <c r="X1017" s="23"/>
      <c r="Y1017" s="23"/>
      <c r="Z1017" s="23"/>
    </row>
    <row r="1018" spans="1:26" ht="13">
      <c r="A1018" s="562" t="s">
        <v>3316</v>
      </c>
      <c r="B1018" s="563" t="s">
        <v>3298</v>
      </c>
      <c r="C1018" s="564" t="s">
        <v>353</v>
      </c>
      <c r="D1018" s="565">
        <v>44957</v>
      </c>
      <c r="E1018" s="565">
        <v>44985</v>
      </c>
      <c r="F1018" s="566">
        <v>114000</v>
      </c>
      <c r="G1018" s="564" t="s">
        <v>349</v>
      </c>
      <c r="H1018" s="564" t="s">
        <v>349</v>
      </c>
      <c r="I1018" s="564" t="s">
        <v>64</v>
      </c>
      <c r="J1018" s="564" t="s">
        <v>1069</v>
      </c>
      <c r="K1018" s="564" t="s">
        <v>1090</v>
      </c>
      <c r="L1018" s="564" t="s">
        <v>2098</v>
      </c>
      <c r="M1018" s="564" t="s">
        <v>2098</v>
      </c>
      <c r="N1018" s="564" t="s">
        <v>64</v>
      </c>
      <c r="O1018" s="564" t="s">
        <v>2099</v>
      </c>
      <c r="P1018" s="23"/>
      <c r="Q1018" s="23"/>
      <c r="R1018" s="23"/>
      <c r="S1018" s="23"/>
      <c r="T1018" s="23"/>
      <c r="U1018" s="23"/>
      <c r="V1018" s="23"/>
      <c r="W1018" s="23"/>
      <c r="X1018" s="23"/>
      <c r="Y1018" s="23"/>
      <c r="Z1018" s="23"/>
    </row>
    <row r="1019" spans="1:26" ht="13">
      <c r="A1019" s="562" t="s">
        <v>3317</v>
      </c>
      <c r="B1019" s="563" t="s">
        <v>3318</v>
      </c>
      <c r="C1019" s="564" t="s">
        <v>1652</v>
      </c>
      <c r="D1019" s="565">
        <v>44957</v>
      </c>
      <c r="E1019" s="565">
        <v>44985</v>
      </c>
      <c r="F1019" s="566">
        <v>2919000</v>
      </c>
      <c r="G1019" s="564" t="s">
        <v>349</v>
      </c>
      <c r="H1019" s="564" t="s">
        <v>349</v>
      </c>
      <c r="I1019" s="564" t="s">
        <v>70</v>
      </c>
      <c r="J1019" s="564" t="s">
        <v>1069</v>
      </c>
      <c r="K1019" s="564" t="s">
        <v>1120</v>
      </c>
      <c r="L1019" s="564" t="s">
        <v>2098</v>
      </c>
      <c r="M1019" s="564" t="s">
        <v>2098</v>
      </c>
      <c r="N1019" s="564" t="s">
        <v>70</v>
      </c>
      <c r="O1019" s="564" t="s">
        <v>2099</v>
      </c>
      <c r="P1019" s="23"/>
      <c r="Q1019" s="23"/>
      <c r="R1019" s="23"/>
      <c r="S1019" s="23"/>
      <c r="T1019" s="23"/>
      <c r="U1019" s="23"/>
      <c r="V1019" s="23"/>
      <c r="W1019" s="23"/>
      <c r="X1019" s="23"/>
      <c r="Y1019" s="23"/>
      <c r="Z1019" s="23"/>
    </row>
    <row r="1020" spans="1:26" ht="13">
      <c r="A1020" s="562" t="s">
        <v>3319</v>
      </c>
      <c r="B1020" s="563" t="s">
        <v>3320</v>
      </c>
      <c r="C1020" s="564" t="s">
        <v>353</v>
      </c>
      <c r="D1020" s="565">
        <v>44972</v>
      </c>
      <c r="E1020" s="565">
        <v>44972</v>
      </c>
      <c r="F1020" s="566">
        <v>20990000</v>
      </c>
      <c r="G1020" s="564" t="s">
        <v>1128</v>
      </c>
      <c r="H1020" s="564" t="s">
        <v>1128</v>
      </c>
      <c r="I1020" s="564" t="s">
        <v>45</v>
      </c>
      <c r="J1020" s="564" t="s">
        <v>1069</v>
      </c>
      <c r="K1020" s="564" t="s">
        <v>1090</v>
      </c>
      <c r="L1020" s="564" t="s">
        <v>2098</v>
      </c>
      <c r="M1020" s="564" t="s">
        <v>2098</v>
      </c>
      <c r="N1020" s="564" t="s">
        <v>45</v>
      </c>
      <c r="O1020" s="564" t="s">
        <v>2099</v>
      </c>
      <c r="P1020" s="23"/>
      <c r="Q1020" s="23"/>
      <c r="R1020" s="23"/>
      <c r="S1020" s="23"/>
      <c r="T1020" s="23"/>
      <c r="U1020" s="23"/>
      <c r="V1020" s="23"/>
      <c r="W1020" s="23"/>
      <c r="X1020" s="23"/>
      <c r="Y1020" s="23"/>
      <c r="Z1020" s="23"/>
    </row>
    <row r="1021" spans="1:26" ht="13">
      <c r="A1021" s="562" t="s">
        <v>3321</v>
      </c>
      <c r="B1021" s="563" t="s">
        <v>3322</v>
      </c>
      <c r="C1021" s="564" t="s">
        <v>1652</v>
      </c>
      <c r="D1021" s="565">
        <v>44953</v>
      </c>
      <c r="E1021" s="565">
        <v>45002</v>
      </c>
      <c r="F1021" s="566">
        <v>186408000</v>
      </c>
      <c r="G1021" s="564" t="s">
        <v>349</v>
      </c>
      <c r="H1021" s="564" t="s">
        <v>349</v>
      </c>
      <c r="I1021" s="564" t="s">
        <v>70</v>
      </c>
      <c r="J1021" s="564" t="s">
        <v>1069</v>
      </c>
      <c r="K1021" s="564" t="s">
        <v>1120</v>
      </c>
      <c r="L1021" s="564" t="s">
        <v>2098</v>
      </c>
      <c r="M1021" s="564" t="s">
        <v>2098</v>
      </c>
      <c r="N1021" s="564" t="s">
        <v>70</v>
      </c>
      <c r="O1021" s="564" t="s">
        <v>2099</v>
      </c>
      <c r="P1021" s="23"/>
      <c r="Q1021" s="23"/>
      <c r="R1021" s="23"/>
      <c r="S1021" s="23"/>
      <c r="T1021" s="23"/>
      <c r="U1021" s="23"/>
      <c r="V1021" s="23"/>
      <c r="W1021" s="23"/>
      <c r="X1021" s="23"/>
      <c r="Y1021" s="23"/>
      <c r="Z1021" s="23"/>
    </row>
    <row r="1022" spans="1:26" ht="13">
      <c r="A1022" s="562" t="s">
        <v>3323</v>
      </c>
      <c r="B1022" s="563" t="s">
        <v>3324</v>
      </c>
      <c r="C1022" s="564" t="s">
        <v>1652</v>
      </c>
      <c r="D1022" s="565">
        <v>44952</v>
      </c>
      <c r="E1022" s="565">
        <v>44981</v>
      </c>
      <c r="F1022" s="566">
        <v>99000</v>
      </c>
      <c r="G1022" s="564" t="s">
        <v>349</v>
      </c>
      <c r="H1022" s="564" t="s">
        <v>349</v>
      </c>
      <c r="I1022" s="564" t="s">
        <v>70</v>
      </c>
      <c r="J1022" s="564" t="s">
        <v>1069</v>
      </c>
      <c r="K1022" s="564" t="s">
        <v>1120</v>
      </c>
      <c r="L1022" s="564" t="s">
        <v>2098</v>
      </c>
      <c r="M1022" s="564" t="s">
        <v>2098</v>
      </c>
      <c r="N1022" s="564" t="s">
        <v>70</v>
      </c>
      <c r="O1022" s="564" t="s">
        <v>2099</v>
      </c>
      <c r="P1022" s="23"/>
      <c r="Q1022" s="23"/>
      <c r="R1022" s="23"/>
      <c r="S1022" s="23"/>
      <c r="T1022" s="23"/>
      <c r="U1022" s="23"/>
      <c r="V1022" s="23"/>
      <c r="W1022" s="23"/>
      <c r="X1022" s="23"/>
      <c r="Y1022" s="23"/>
      <c r="Z1022" s="23"/>
    </row>
    <row r="1023" spans="1:26" ht="13">
      <c r="A1023" s="562" t="s">
        <v>3325</v>
      </c>
      <c r="B1023" s="563" t="s">
        <v>3326</v>
      </c>
      <c r="C1023" s="564" t="s">
        <v>353</v>
      </c>
      <c r="D1023" s="565">
        <v>44939</v>
      </c>
      <c r="E1023" s="565">
        <v>45077</v>
      </c>
      <c r="F1023" s="566">
        <v>10200000</v>
      </c>
      <c r="G1023" s="564" t="s">
        <v>1128</v>
      </c>
      <c r="H1023" s="564" t="s">
        <v>1128</v>
      </c>
      <c r="I1023" s="564" t="s">
        <v>45</v>
      </c>
      <c r="J1023" s="564" t="s">
        <v>1069</v>
      </c>
      <c r="K1023" s="564" t="s">
        <v>1090</v>
      </c>
      <c r="L1023" s="564" t="s">
        <v>2098</v>
      </c>
      <c r="M1023" s="564" t="s">
        <v>2098</v>
      </c>
      <c r="N1023" s="564" t="s">
        <v>45</v>
      </c>
      <c r="O1023" s="564" t="s">
        <v>2099</v>
      </c>
      <c r="P1023" s="23"/>
      <c r="Q1023" s="23"/>
      <c r="R1023" s="23"/>
      <c r="S1023" s="23"/>
      <c r="T1023" s="23"/>
      <c r="U1023" s="23"/>
      <c r="V1023" s="23"/>
      <c r="W1023" s="23"/>
      <c r="X1023" s="23"/>
      <c r="Y1023" s="23"/>
      <c r="Z1023" s="23"/>
    </row>
    <row r="1024" spans="1:26" ht="13">
      <c r="A1024" s="562" t="s">
        <v>3327</v>
      </c>
      <c r="B1024" s="563" t="s">
        <v>3328</v>
      </c>
      <c r="C1024" s="564" t="s">
        <v>353</v>
      </c>
      <c r="D1024" s="565">
        <v>44944</v>
      </c>
      <c r="E1024" s="565">
        <v>44967</v>
      </c>
      <c r="F1024" s="566">
        <v>228000</v>
      </c>
      <c r="G1024" s="564" t="s">
        <v>349</v>
      </c>
      <c r="H1024" s="564" t="s">
        <v>349</v>
      </c>
      <c r="I1024" s="564" t="s">
        <v>64</v>
      </c>
      <c r="J1024" s="564" t="s">
        <v>1069</v>
      </c>
      <c r="K1024" s="564" t="s">
        <v>1090</v>
      </c>
      <c r="L1024" s="564" t="s">
        <v>2098</v>
      </c>
      <c r="M1024" s="564" t="s">
        <v>2098</v>
      </c>
      <c r="N1024" s="564" t="s">
        <v>64</v>
      </c>
      <c r="O1024" s="564" t="s">
        <v>2099</v>
      </c>
      <c r="P1024" s="23"/>
      <c r="Q1024" s="23"/>
      <c r="R1024" s="23"/>
      <c r="S1024" s="23"/>
      <c r="T1024" s="23"/>
      <c r="U1024" s="23"/>
      <c r="V1024" s="23"/>
      <c r="W1024" s="23"/>
      <c r="X1024" s="23"/>
      <c r="Y1024" s="23"/>
      <c r="Z1024" s="23"/>
    </row>
    <row r="1025" spans="1:26" ht="13">
      <c r="A1025" s="562" t="s">
        <v>3329</v>
      </c>
      <c r="B1025" s="563" t="s">
        <v>3330</v>
      </c>
      <c r="C1025" s="564" t="s">
        <v>1475</v>
      </c>
      <c r="D1025" s="565">
        <v>44939</v>
      </c>
      <c r="E1025" s="565">
        <v>44981</v>
      </c>
      <c r="F1025" s="566">
        <v>137700</v>
      </c>
      <c r="G1025" s="564" t="s">
        <v>1182</v>
      </c>
      <c r="H1025" s="564" t="s">
        <v>1182</v>
      </c>
      <c r="I1025" s="564" t="s">
        <v>2973</v>
      </c>
      <c r="J1025" s="564" t="s">
        <v>1069</v>
      </c>
      <c r="K1025" s="564" t="s">
        <v>1090</v>
      </c>
      <c r="L1025" s="564" t="s">
        <v>2098</v>
      </c>
      <c r="M1025" s="564" t="s">
        <v>2098</v>
      </c>
      <c r="N1025" s="564" t="s">
        <v>1073</v>
      </c>
      <c r="O1025" s="564" t="s">
        <v>2099</v>
      </c>
      <c r="P1025" s="23"/>
      <c r="Q1025" s="23"/>
      <c r="R1025" s="23"/>
      <c r="S1025" s="23"/>
      <c r="T1025" s="23"/>
      <c r="U1025" s="23"/>
      <c r="V1025" s="23"/>
      <c r="W1025" s="23"/>
      <c r="X1025" s="23"/>
      <c r="Y1025" s="23"/>
      <c r="Z1025" s="23"/>
    </row>
    <row r="1026" spans="1:26" ht="13">
      <c r="A1026" s="562" t="s">
        <v>3331</v>
      </c>
      <c r="B1026" s="563" t="s">
        <v>3332</v>
      </c>
      <c r="C1026" s="564" t="s">
        <v>1652</v>
      </c>
      <c r="D1026" s="565">
        <v>44935</v>
      </c>
      <c r="E1026" s="565">
        <v>45097</v>
      </c>
      <c r="F1026" s="566">
        <v>49000000</v>
      </c>
      <c r="G1026" s="564" t="s">
        <v>1182</v>
      </c>
      <c r="H1026" s="564" t="s">
        <v>1182</v>
      </c>
      <c r="I1026" s="564" t="s">
        <v>802</v>
      </c>
      <c r="J1026" s="564" t="s">
        <v>1069</v>
      </c>
      <c r="K1026" s="564" t="s">
        <v>1198</v>
      </c>
      <c r="L1026" s="564" t="s">
        <v>2098</v>
      </c>
      <c r="M1026" s="564" t="s">
        <v>2098</v>
      </c>
      <c r="N1026" s="564" t="s">
        <v>132</v>
      </c>
      <c r="O1026" s="564" t="s">
        <v>2099</v>
      </c>
      <c r="P1026" s="23"/>
      <c r="Q1026" s="23"/>
      <c r="R1026" s="23"/>
      <c r="S1026" s="23"/>
      <c r="T1026" s="23"/>
      <c r="U1026" s="23"/>
      <c r="V1026" s="23"/>
      <c r="W1026" s="23"/>
      <c r="X1026" s="23"/>
      <c r="Y1026" s="23"/>
      <c r="Z1026" s="23"/>
    </row>
    <row r="1027" spans="1:26" ht="13">
      <c r="A1027" s="562" t="s">
        <v>3333</v>
      </c>
      <c r="B1027" s="563" t="s">
        <v>3334</v>
      </c>
      <c r="C1027" s="564" t="s">
        <v>353</v>
      </c>
      <c r="D1027" s="565">
        <v>44931</v>
      </c>
      <c r="E1027" s="565">
        <v>44957</v>
      </c>
      <c r="F1027" s="566">
        <v>273700000</v>
      </c>
      <c r="G1027" s="564" t="s">
        <v>1128</v>
      </c>
      <c r="H1027" s="564" t="s">
        <v>1128</v>
      </c>
      <c r="I1027" s="564" t="s">
        <v>45</v>
      </c>
      <c r="J1027" s="564" t="s">
        <v>1069</v>
      </c>
      <c r="K1027" s="564" t="s">
        <v>1090</v>
      </c>
      <c r="L1027" s="564" t="s">
        <v>2098</v>
      </c>
      <c r="M1027" s="564" t="s">
        <v>2098</v>
      </c>
      <c r="N1027" s="564" t="s">
        <v>45</v>
      </c>
      <c r="O1027" s="564" t="s">
        <v>2099</v>
      </c>
      <c r="P1027" s="23"/>
      <c r="Q1027" s="23"/>
      <c r="R1027" s="23"/>
      <c r="S1027" s="23"/>
      <c r="T1027" s="23"/>
      <c r="U1027" s="23"/>
      <c r="V1027" s="23"/>
      <c r="W1027" s="23"/>
      <c r="X1027" s="23"/>
      <c r="Y1027" s="23"/>
      <c r="Z1027" s="23"/>
    </row>
    <row r="1028" spans="1:26" ht="13">
      <c r="A1028" s="562" t="s">
        <v>3335</v>
      </c>
      <c r="B1028" s="563" t="s">
        <v>3336</v>
      </c>
      <c r="C1028" s="564" t="s">
        <v>1652</v>
      </c>
      <c r="D1028" s="565">
        <v>44935</v>
      </c>
      <c r="E1028" s="565">
        <v>44965</v>
      </c>
      <c r="F1028" s="566">
        <v>1410000</v>
      </c>
      <c r="G1028" s="564" t="s">
        <v>349</v>
      </c>
      <c r="H1028" s="564" t="s">
        <v>349</v>
      </c>
      <c r="I1028" s="564" t="s">
        <v>70</v>
      </c>
      <c r="J1028" s="564" t="s">
        <v>1069</v>
      </c>
      <c r="K1028" s="564" t="s">
        <v>1120</v>
      </c>
      <c r="L1028" s="564" t="s">
        <v>2098</v>
      </c>
      <c r="M1028" s="564" t="s">
        <v>2098</v>
      </c>
      <c r="N1028" s="564" t="s">
        <v>70</v>
      </c>
      <c r="O1028" s="564" t="s">
        <v>2099</v>
      </c>
      <c r="P1028" s="23"/>
      <c r="Q1028" s="23"/>
      <c r="R1028" s="23"/>
      <c r="S1028" s="23"/>
      <c r="T1028" s="23"/>
      <c r="U1028" s="23"/>
      <c r="V1028" s="23"/>
      <c r="W1028" s="23"/>
      <c r="X1028" s="23"/>
      <c r="Y1028" s="23"/>
      <c r="Z1028" s="23"/>
    </row>
    <row r="1029" spans="1:26" ht="13">
      <c r="A1029" s="562" t="s">
        <v>3337</v>
      </c>
      <c r="B1029" s="563" t="s">
        <v>3338</v>
      </c>
      <c r="C1029" s="564" t="s">
        <v>353</v>
      </c>
      <c r="D1029" s="565">
        <v>44935</v>
      </c>
      <c r="E1029" s="565">
        <v>44985</v>
      </c>
      <c r="F1029" s="566">
        <v>48445962</v>
      </c>
      <c r="G1029" s="564" t="s">
        <v>297</v>
      </c>
      <c r="H1029" s="564" t="s">
        <v>297</v>
      </c>
      <c r="I1029" s="564" t="s">
        <v>64</v>
      </c>
      <c r="J1029" s="564" t="s">
        <v>1069</v>
      </c>
      <c r="K1029" s="564" t="s">
        <v>1090</v>
      </c>
      <c r="L1029" s="564" t="s">
        <v>2098</v>
      </c>
      <c r="M1029" s="564" t="s">
        <v>2098</v>
      </c>
      <c r="N1029" s="564" t="s">
        <v>64</v>
      </c>
      <c r="O1029" s="564" t="s">
        <v>2099</v>
      </c>
      <c r="P1029" s="23"/>
      <c r="Q1029" s="23"/>
      <c r="R1029" s="23"/>
      <c r="S1029" s="23"/>
      <c r="T1029" s="23"/>
      <c r="U1029" s="23"/>
      <c r="V1029" s="23"/>
      <c r="W1029" s="23"/>
      <c r="X1029" s="23"/>
      <c r="Y1029" s="23"/>
      <c r="Z1029" s="23"/>
    </row>
    <row r="1030" spans="1:26" ht="13">
      <c r="A1030" s="562" t="s">
        <v>3339</v>
      </c>
      <c r="B1030" s="563" t="s">
        <v>3340</v>
      </c>
      <c r="C1030" s="564" t="s">
        <v>1076</v>
      </c>
      <c r="D1030" s="565">
        <v>44931</v>
      </c>
      <c r="E1030" s="565">
        <v>45107</v>
      </c>
      <c r="F1030" s="566">
        <v>1096000</v>
      </c>
      <c r="G1030" s="564" t="s">
        <v>1077</v>
      </c>
      <c r="H1030" s="564" t="s">
        <v>1077</v>
      </c>
      <c r="I1030" s="564" t="s">
        <v>637</v>
      </c>
      <c r="J1030" s="564" t="s">
        <v>1069</v>
      </c>
      <c r="K1030" s="564" t="s">
        <v>1070</v>
      </c>
      <c r="L1030" s="564" t="s">
        <v>2098</v>
      </c>
      <c r="M1030" s="564" t="s">
        <v>2098</v>
      </c>
      <c r="N1030" s="564" t="s">
        <v>1082</v>
      </c>
      <c r="O1030" s="564" t="s">
        <v>2099</v>
      </c>
      <c r="P1030" s="23"/>
      <c r="Q1030" s="23"/>
      <c r="R1030" s="23"/>
      <c r="S1030" s="23"/>
      <c r="T1030" s="23"/>
      <c r="U1030" s="23"/>
      <c r="V1030" s="23"/>
      <c r="W1030" s="23"/>
      <c r="X1030" s="23"/>
      <c r="Y1030" s="23"/>
      <c r="Z1030" s="23"/>
    </row>
    <row r="1031" spans="1:26" ht="13">
      <c r="A1031" s="562" t="s">
        <v>3341</v>
      </c>
      <c r="B1031" s="563" t="s">
        <v>3342</v>
      </c>
      <c r="C1031" s="564" t="s">
        <v>353</v>
      </c>
      <c r="D1031" s="565">
        <v>44930</v>
      </c>
      <c r="E1031" s="565">
        <v>44957</v>
      </c>
      <c r="F1031" s="566">
        <v>36400</v>
      </c>
      <c r="G1031" s="564" t="s">
        <v>349</v>
      </c>
      <c r="H1031" s="564" t="s">
        <v>349</v>
      </c>
      <c r="I1031" s="564" t="s">
        <v>170</v>
      </c>
      <c r="J1031" s="564" t="s">
        <v>1069</v>
      </c>
      <c r="K1031" s="564" t="s">
        <v>1105</v>
      </c>
      <c r="L1031" s="564" t="s">
        <v>2098</v>
      </c>
      <c r="M1031" s="564" t="s">
        <v>2098</v>
      </c>
      <c r="N1031" s="564" t="s">
        <v>170</v>
      </c>
      <c r="O1031" s="564" t="s">
        <v>2099</v>
      </c>
      <c r="P1031" s="23"/>
      <c r="Q1031" s="23"/>
      <c r="R1031" s="23"/>
      <c r="S1031" s="23"/>
      <c r="T1031" s="23"/>
      <c r="U1031" s="23"/>
      <c r="V1031" s="23"/>
      <c r="W1031" s="23"/>
      <c r="X1031" s="23"/>
      <c r="Y1031" s="23"/>
      <c r="Z1031" s="23"/>
    </row>
    <row r="1032" spans="1:26" ht="13">
      <c r="A1032" s="562" t="s">
        <v>3343</v>
      </c>
      <c r="B1032" s="563" t="s">
        <v>3344</v>
      </c>
      <c r="C1032" s="564" t="s">
        <v>1475</v>
      </c>
      <c r="D1032" s="565">
        <v>44930</v>
      </c>
      <c r="E1032" s="565">
        <v>44967</v>
      </c>
      <c r="F1032" s="566">
        <v>530400</v>
      </c>
      <c r="G1032" s="564" t="s">
        <v>349</v>
      </c>
      <c r="H1032" s="564" t="s">
        <v>349</v>
      </c>
      <c r="I1032" s="564" t="s">
        <v>125</v>
      </c>
      <c r="J1032" s="564" t="s">
        <v>1069</v>
      </c>
      <c r="K1032" s="564" t="s">
        <v>1070</v>
      </c>
      <c r="L1032" s="564" t="s">
        <v>2098</v>
      </c>
      <c r="M1032" s="564" t="s">
        <v>2098</v>
      </c>
      <c r="N1032" s="564" t="s">
        <v>1073</v>
      </c>
      <c r="O1032" s="564" t="s">
        <v>2099</v>
      </c>
      <c r="P1032" s="23"/>
      <c r="Q1032" s="23"/>
      <c r="R1032" s="23"/>
      <c r="S1032" s="23"/>
      <c r="T1032" s="23"/>
      <c r="U1032" s="23"/>
      <c r="V1032" s="23"/>
      <c r="W1032" s="23"/>
      <c r="X1032" s="23"/>
      <c r="Y1032" s="23"/>
      <c r="Z1032" s="23"/>
    </row>
    <row r="1033" spans="1:26" ht="13">
      <c r="A1033" s="562" t="s">
        <v>3345</v>
      </c>
      <c r="B1033" s="563" t="s">
        <v>3346</v>
      </c>
      <c r="C1033" s="564" t="s">
        <v>1652</v>
      </c>
      <c r="D1033" s="565">
        <v>44928</v>
      </c>
      <c r="E1033" s="565">
        <v>44957</v>
      </c>
      <c r="F1033" s="566">
        <v>12420000</v>
      </c>
      <c r="G1033" s="564" t="s">
        <v>349</v>
      </c>
      <c r="H1033" s="564" t="s">
        <v>349</v>
      </c>
      <c r="I1033" s="564" t="s">
        <v>107</v>
      </c>
      <c r="J1033" s="564" t="s">
        <v>1069</v>
      </c>
      <c r="K1033" s="564" t="s">
        <v>1120</v>
      </c>
      <c r="L1033" s="564" t="s">
        <v>2098</v>
      </c>
      <c r="M1033" s="564" t="s">
        <v>2098</v>
      </c>
      <c r="N1033" s="564" t="s">
        <v>1073</v>
      </c>
      <c r="O1033" s="564" t="s">
        <v>2099</v>
      </c>
      <c r="P1033" s="23"/>
      <c r="Q1033" s="23"/>
      <c r="R1033" s="23"/>
      <c r="S1033" s="23"/>
      <c r="T1033" s="23"/>
      <c r="U1033" s="23"/>
      <c r="V1033" s="23"/>
      <c r="W1033" s="23"/>
      <c r="X1033" s="23"/>
      <c r="Y1033" s="23"/>
      <c r="Z1033" s="23"/>
    </row>
    <row r="1034" spans="1:26" ht="13">
      <c r="A1034" s="562" t="s">
        <v>3347</v>
      </c>
      <c r="B1034" s="563" t="s">
        <v>3348</v>
      </c>
      <c r="C1034" s="564" t="s">
        <v>1652</v>
      </c>
      <c r="D1034" s="565">
        <v>44928</v>
      </c>
      <c r="E1034" s="565">
        <v>44985</v>
      </c>
      <c r="F1034" s="566">
        <v>16600000</v>
      </c>
      <c r="G1034" s="564" t="s">
        <v>297</v>
      </c>
      <c r="H1034" s="564" t="s">
        <v>297</v>
      </c>
      <c r="I1034" s="564" t="s">
        <v>107</v>
      </c>
      <c r="J1034" s="564" t="s">
        <v>1069</v>
      </c>
      <c r="K1034" s="564" t="s">
        <v>1120</v>
      </c>
      <c r="L1034" s="564" t="s">
        <v>2098</v>
      </c>
      <c r="M1034" s="564" t="s">
        <v>2098</v>
      </c>
      <c r="N1034" s="564" t="s">
        <v>1073</v>
      </c>
      <c r="O1034" s="564" t="s">
        <v>2099</v>
      </c>
      <c r="P1034" s="23"/>
      <c r="Q1034" s="23"/>
      <c r="R1034" s="23"/>
      <c r="S1034" s="23"/>
      <c r="T1034" s="23"/>
      <c r="U1034" s="23"/>
      <c r="V1034" s="23"/>
      <c r="W1034" s="23"/>
      <c r="X1034" s="23"/>
      <c r="Y1034" s="23"/>
      <c r="Z1034" s="23"/>
    </row>
    <row r="1035" spans="1:26" ht="13">
      <c r="A1035" s="562" t="s">
        <v>3349</v>
      </c>
      <c r="B1035" s="563" t="s">
        <v>3350</v>
      </c>
      <c r="C1035" s="564" t="s">
        <v>1652</v>
      </c>
      <c r="D1035" s="565">
        <v>44928</v>
      </c>
      <c r="E1035" s="565">
        <v>44957</v>
      </c>
      <c r="F1035" s="566">
        <v>1330000</v>
      </c>
      <c r="G1035" s="564" t="s">
        <v>349</v>
      </c>
      <c r="H1035" s="564" t="s">
        <v>349</v>
      </c>
      <c r="I1035" s="564" t="s">
        <v>70</v>
      </c>
      <c r="J1035" s="564" t="s">
        <v>1069</v>
      </c>
      <c r="K1035" s="564" t="s">
        <v>1120</v>
      </c>
      <c r="L1035" s="564" t="s">
        <v>2098</v>
      </c>
      <c r="M1035" s="564" t="s">
        <v>2098</v>
      </c>
      <c r="N1035" s="564" t="s">
        <v>70</v>
      </c>
      <c r="O1035" s="564" t="s">
        <v>2099</v>
      </c>
      <c r="P1035" s="23"/>
      <c r="Q1035" s="23"/>
      <c r="R1035" s="23"/>
      <c r="S1035" s="23"/>
      <c r="T1035" s="23"/>
      <c r="U1035" s="23"/>
      <c r="V1035" s="23"/>
      <c r="W1035" s="23"/>
      <c r="X1035" s="23"/>
      <c r="Y1035" s="23"/>
      <c r="Z1035" s="23"/>
    </row>
    <row r="1036" spans="1:26" ht="13">
      <c r="A1036" s="562" t="s">
        <v>3351</v>
      </c>
      <c r="B1036" s="563" t="s">
        <v>3352</v>
      </c>
      <c r="C1036" s="564" t="s">
        <v>1076</v>
      </c>
      <c r="D1036" s="565">
        <v>44928</v>
      </c>
      <c r="E1036" s="565">
        <v>45107</v>
      </c>
      <c r="F1036" s="566">
        <v>866000</v>
      </c>
      <c r="G1036" s="564" t="s">
        <v>1077</v>
      </c>
      <c r="H1036" s="564" t="s">
        <v>1077</v>
      </c>
      <c r="I1036" s="564" t="s">
        <v>637</v>
      </c>
      <c r="J1036" s="564" t="s">
        <v>1069</v>
      </c>
      <c r="K1036" s="564" t="s">
        <v>1070</v>
      </c>
      <c r="L1036" s="564" t="s">
        <v>2098</v>
      </c>
      <c r="M1036" s="564" t="s">
        <v>2098</v>
      </c>
      <c r="N1036" s="564" t="s">
        <v>1082</v>
      </c>
      <c r="O1036" s="564" t="s">
        <v>2099</v>
      </c>
      <c r="P1036" s="23"/>
      <c r="Q1036" s="23"/>
      <c r="R1036" s="23"/>
      <c r="S1036" s="23"/>
      <c r="T1036" s="23"/>
      <c r="U1036" s="23"/>
      <c r="V1036" s="23"/>
      <c r="W1036" s="23"/>
      <c r="X1036" s="23"/>
      <c r="Y1036" s="23"/>
      <c r="Z1036" s="23"/>
    </row>
    <row r="1037" spans="1:26" ht="13">
      <c r="A1037" s="562" t="s">
        <v>3353</v>
      </c>
      <c r="B1037" s="563" t="s">
        <v>3354</v>
      </c>
      <c r="C1037" s="564" t="s">
        <v>1076</v>
      </c>
      <c r="D1037" s="565">
        <v>44928</v>
      </c>
      <c r="E1037" s="565">
        <v>45077</v>
      </c>
      <c r="F1037" s="566">
        <v>2987000</v>
      </c>
      <c r="G1037" s="564" t="s">
        <v>1077</v>
      </c>
      <c r="H1037" s="564" t="s">
        <v>1077</v>
      </c>
      <c r="I1037" s="564" t="s">
        <v>637</v>
      </c>
      <c r="J1037" s="564" t="s">
        <v>1069</v>
      </c>
      <c r="K1037" s="564" t="s">
        <v>1070</v>
      </c>
      <c r="L1037" s="564" t="s">
        <v>2098</v>
      </c>
      <c r="M1037" s="564" t="s">
        <v>2098</v>
      </c>
      <c r="N1037" s="564" t="s">
        <v>1082</v>
      </c>
      <c r="O1037" s="564" t="s">
        <v>2099</v>
      </c>
      <c r="P1037" s="23"/>
      <c r="Q1037" s="23"/>
      <c r="R1037" s="23"/>
      <c r="S1037" s="23"/>
      <c r="T1037" s="23"/>
      <c r="U1037" s="23"/>
      <c r="V1037" s="23"/>
      <c r="W1037" s="23"/>
      <c r="X1037" s="23"/>
      <c r="Y1037" s="23"/>
      <c r="Z1037" s="23"/>
    </row>
    <row r="1038" spans="1:26" ht="13">
      <c r="A1038" s="562" t="s">
        <v>3355</v>
      </c>
      <c r="B1038" s="563" t="s">
        <v>3356</v>
      </c>
      <c r="C1038" s="564" t="s">
        <v>1652</v>
      </c>
      <c r="D1038" s="565">
        <v>44923</v>
      </c>
      <c r="E1038" s="565">
        <v>44939</v>
      </c>
      <c r="F1038" s="566">
        <v>385000</v>
      </c>
      <c r="G1038" s="564" t="s">
        <v>349</v>
      </c>
      <c r="H1038" s="564" t="s">
        <v>349</v>
      </c>
      <c r="I1038" s="564" t="s">
        <v>70</v>
      </c>
      <c r="J1038" s="564" t="s">
        <v>1069</v>
      </c>
      <c r="K1038" s="564" t="s">
        <v>1120</v>
      </c>
      <c r="L1038" s="564" t="s">
        <v>2098</v>
      </c>
      <c r="M1038" s="564" t="s">
        <v>2098</v>
      </c>
      <c r="N1038" s="564" t="s">
        <v>70</v>
      </c>
      <c r="O1038" s="564" t="s">
        <v>2099</v>
      </c>
      <c r="P1038" s="23"/>
      <c r="Q1038" s="23"/>
      <c r="R1038" s="23"/>
      <c r="S1038" s="23"/>
      <c r="T1038" s="23"/>
      <c r="U1038" s="23"/>
      <c r="V1038" s="23"/>
      <c r="W1038" s="23"/>
      <c r="X1038" s="23"/>
      <c r="Y1038" s="23"/>
      <c r="Z1038" s="23"/>
    </row>
    <row r="1039" spans="1:26" ht="13">
      <c r="A1039" s="562" t="s">
        <v>3357</v>
      </c>
      <c r="B1039" s="563" t="s">
        <v>3298</v>
      </c>
      <c r="C1039" s="564" t="s">
        <v>353</v>
      </c>
      <c r="D1039" s="565">
        <v>44917</v>
      </c>
      <c r="E1039" s="565">
        <v>44939</v>
      </c>
      <c r="F1039" s="566">
        <v>114000</v>
      </c>
      <c r="G1039" s="564" t="s">
        <v>349</v>
      </c>
      <c r="H1039" s="564" t="s">
        <v>349</v>
      </c>
      <c r="I1039" s="564" t="s">
        <v>64</v>
      </c>
      <c r="J1039" s="564" t="s">
        <v>1069</v>
      </c>
      <c r="K1039" s="564" t="s">
        <v>1090</v>
      </c>
      <c r="L1039" s="564" t="s">
        <v>2098</v>
      </c>
      <c r="M1039" s="564" t="s">
        <v>2098</v>
      </c>
      <c r="N1039" s="564" t="s">
        <v>64</v>
      </c>
      <c r="O1039" s="564" t="s">
        <v>2099</v>
      </c>
      <c r="P1039" s="23"/>
      <c r="Q1039" s="23"/>
      <c r="R1039" s="23"/>
      <c r="S1039" s="23"/>
      <c r="T1039" s="23"/>
      <c r="U1039" s="23"/>
      <c r="V1039" s="23"/>
      <c r="W1039" s="23"/>
      <c r="X1039" s="23"/>
      <c r="Y1039" s="23"/>
      <c r="Z1039" s="23"/>
    </row>
    <row r="1040" spans="1:26" ht="13">
      <c r="A1040" s="562" t="s">
        <v>3358</v>
      </c>
      <c r="B1040" s="563" t="s">
        <v>3359</v>
      </c>
      <c r="C1040" s="564" t="s">
        <v>1652</v>
      </c>
      <c r="D1040" s="565">
        <v>44916</v>
      </c>
      <c r="E1040" s="565">
        <v>44977</v>
      </c>
      <c r="F1040" s="566">
        <v>99000</v>
      </c>
      <c r="G1040" s="564" t="s">
        <v>349</v>
      </c>
      <c r="H1040" s="564" t="s">
        <v>349</v>
      </c>
      <c r="I1040" s="564" t="s">
        <v>70</v>
      </c>
      <c r="J1040" s="564" t="s">
        <v>1069</v>
      </c>
      <c r="K1040" s="564" t="s">
        <v>1120</v>
      </c>
      <c r="L1040" s="564" t="s">
        <v>2098</v>
      </c>
      <c r="M1040" s="564" t="s">
        <v>2098</v>
      </c>
      <c r="N1040" s="564" t="s">
        <v>70</v>
      </c>
      <c r="O1040" s="564" t="s">
        <v>2099</v>
      </c>
      <c r="P1040" s="23"/>
      <c r="Q1040" s="23"/>
      <c r="R1040" s="23"/>
      <c r="S1040" s="23"/>
      <c r="T1040" s="23"/>
      <c r="U1040" s="23"/>
      <c r="V1040" s="23"/>
      <c r="W1040" s="23"/>
      <c r="X1040" s="23"/>
      <c r="Y1040" s="23"/>
      <c r="Z1040" s="23"/>
    </row>
    <row r="1041" spans="1:26" ht="13">
      <c r="A1041" s="562" t="s">
        <v>3360</v>
      </c>
      <c r="B1041" s="563" t="s">
        <v>3361</v>
      </c>
      <c r="C1041" s="564" t="s">
        <v>1652</v>
      </c>
      <c r="D1041" s="565">
        <v>44907</v>
      </c>
      <c r="E1041" s="565">
        <v>44937</v>
      </c>
      <c r="F1041" s="566">
        <v>163800</v>
      </c>
      <c r="G1041" s="564" t="s">
        <v>349</v>
      </c>
      <c r="H1041" s="564" t="s">
        <v>349</v>
      </c>
      <c r="I1041" s="564" t="s">
        <v>70</v>
      </c>
      <c r="J1041" s="564" t="s">
        <v>1069</v>
      </c>
      <c r="K1041" s="564" t="s">
        <v>1120</v>
      </c>
      <c r="L1041" s="564" t="s">
        <v>2098</v>
      </c>
      <c r="M1041" s="564" t="s">
        <v>2098</v>
      </c>
      <c r="N1041" s="564" t="s">
        <v>70</v>
      </c>
      <c r="O1041" s="564" t="s">
        <v>2099</v>
      </c>
      <c r="P1041" s="23"/>
      <c r="Q1041" s="23"/>
      <c r="R1041" s="23"/>
      <c r="S1041" s="23"/>
      <c r="T1041" s="23"/>
      <c r="U1041" s="23"/>
      <c r="V1041" s="23"/>
      <c r="W1041" s="23"/>
      <c r="X1041" s="23"/>
      <c r="Y1041" s="23"/>
      <c r="Z1041" s="23"/>
    </row>
    <row r="1042" spans="1:26" ht="13">
      <c r="A1042" s="562" t="s">
        <v>3362</v>
      </c>
      <c r="B1042" s="563" t="s">
        <v>3363</v>
      </c>
      <c r="C1042" s="564" t="s">
        <v>1076</v>
      </c>
      <c r="D1042" s="565">
        <v>44903</v>
      </c>
      <c r="E1042" s="565">
        <v>45077</v>
      </c>
      <c r="F1042" s="566">
        <v>2987000</v>
      </c>
      <c r="G1042" s="564" t="s">
        <v>1077</v>
      </c>
      <c r="H1042" s="564" t="s">
        <v>1077</v>
      </c>
      <c r="I1042" s="564" t="s">
        <v>637</v>
      </c>
      <c r="J1042" s="564" t="s">
        <v>1069</v>
      </c>
      <c r="K1042" s="564" t="s">
        <v>1070</v>
      </c>
      <c r="L1042" s="564" t="s">
        <v>2098</v>
      </c>
      <c r="M1042" s="564" t="s">
        <v>2098</v>
      </c>
      <c r="N1042" s="564" t="s">
        <v>1082</v>
      </c>
      <c r="O1042" s="564" t="s">
        <v>2099</v>
      </c>
      <c r="P1042" s="23"/>
      <c r="Q1042" s="23"/>
      <c r="R1042" s="23"/>
      <c r="S1042" s="23"/>
      <c r="T1042" s="23"/>
      <c r="U1042" s="23"/>
      <c r="V1042" s="23"/>
      <c r="W1042" s="23"/>
      <c r="X1042" s="23"/>
      <c r="Y1042" s="23"/>
      <c r="Z1042" s="23"/>
    </row>
    <row r="1043" spans="1:26" ht="13">
      <c r="A1043" s="562" t="s">
        <v>3364</v>
      </c>
      <c r="B1043" s="563" t="s">
        <v>3365</v>
      </c>
      <c r="C1043" s="564" t="s">
        <v>1652</v>
      </c>
      <c r="D1043" s="565">
        <v>44907</v>
      </c>
      <c r="E1043" s="565">
        <v>44937</v>
      </c>
      <c r="F1043" s="566">
        <v>1564000</v>
      </c>
      <c r="G1043" s="564" t="s">
        <v>349</v>
      </c>
      <c r="H1043" s="564" t="s">
        <v>349</v>
      </c>
      <c r="I1043" s="564" t="s">
        <v>70</v>
      </c>
      <c r="J1043" s="564" t="s">
        <v>1069</v>
      </c>
      <c r="K1043" s="564" t="s">
        <v>1120</v>
      </c>
      <c r="L1043" s="564" t="s">
        <v>2098</v>
      </c>
      <c r="M1043" s="564" t="s">
        <v>2098</v>
      </c>
      <c r="N1043" s="564" t="s">
        <v>70</v>
      </c>
      <c r="O1043" s="564" t="s">
        <v>2099</v>
      </c>
      <c r="P1043" s="23"/>
      <c r="Q1043" s="23"/>
      <c r="R1043" s="23"/>
      <c r="S1043" s="23"/>
      <c r="T1043" s="23"/>
      <c r="U1043" s="23"/>
      <c r="V1043" s="23"/>
      <c r="W1043" s="23"/>
      <c r="X1043" s="23"/>
      <c r="Y1043" s="23"/>
      <c r="Z1043" s="23"/>
    </row>
    <row r="1044" spans="1:26" ht="13">
      <c r="A1044" s="562" t="s">
        <v>3366</v>
      </c>
      <c r="B1044" s="563" t="s">
        <v>3367</v>
      </c>
      <c r="C1044" s="564" t="s">
        <v>353</v>
      </c>
      <c r="D1044" s="565">
        <v>44904</v>
      </c>
      <c r="E1044" s="565">
        <v>44918</v>
      </c>
      <c r="F1044" s="566">
        <v>1260000</v>
      </c>
      <c r="G1044" s="564" t="s">
        <v>1157</v>
      </c>
      <c r="H1044" s="564" t="s">
        <v>1157</v>
      </c>
      <c r="I1044" s="564" t="s">
        <v>170</v>
      </c>
      <c r="J1044" s="564" t="s">
        <v>1069</v>
      </c>
      <c r="K1044" s="564" t="s">
        <v>1105</v>
      </c>
      <c r="L1044" s="564" t="s">
        <v>2098</v>
      </c>
      <c r="M1044" s="564" t="s">
        <v>2098</v>
      </c>
      <c r="N1044" s="564" t="s">
        <v>170</v>
      </c>
      <c r="O1044" s="564" t="s">
        <v>2099</v>
      </c>
      <c r="P1044" s="23"/>
      <c r="Q1044" s="23"/>
      <c r="R1044" s="23"/>
      <c r="S1044" s="23"/>
      <c r="T1044" s="23"/>
      <c r="U1044" s="23"/>
      <c r="V1044" s="23"/>
      <c r="W1044" s="23"/>
      <c r="X1044" s="23"/>
      <c r="Y1044" s="23"/>
      <c r="Z1044" s="23"/>
    </row>
    <row r="1045" spans="1:26" ht="13">
      <c r="A1045" s="562" t="s">
        <v>3368</v>
      </c>
      <c r="B1045" s="563" t="s">
        <v>3369</v>
      </c>
      <c r="C1045" s="564" t="s">
        <v>353</v>
      </c>
      <c r="D1045" s="565">
        <v>44903</v>
      </c>
      <c r="E1045" s="565">
        <v>44957</v>
      </c>
      <c r="F1045" s="566">
        <v>7777120</v>
      </c>
      <c r="G1045" s="564" t="s">
        <v>349</v>
      </c>
      <c r="H1045" s="564" t="s">
        <v>349</v>
      </c>
      <c r="I1045" s="564" t="s">
        <v>121</v>
      </c>
      <c r="J1045" s="564" t="s">
        <v>1069</v>
      </c>
      <c r="K1045" s="564" t="s">
        <v>1105</v>
      </c>
      <c r="L1045" s="564" t="s">
        <v>2098</v>
      </c>
      <c r="M1045" s="564" t="s">
        <v>2098</v>
      </c>
      <c r="N1045" s="564" t="s">
        <v>1073</v>
      </c>
      <c r="O1045" s="564" t="s">
        <v>2099</v>
      </c>
      <c r="P1045" s="23"/>
      <c r="Q1045" s="23"/>
      <c r="R1045" s="23"/>
      <c r="S1045" s="23"/>
      <c r="T1045" s="23"/>
      <c r="U1045" s="23"/>
      <c r="V1045" s="23"/>
      <c r="W1045" s="23"/>
      <c r="X1045" s="23"/>
      <c r="Y1045" s="23"/>
      <c r="Z1045" s="23"/>
    </row>
    <row r="1046" spans="1:26" ht="13">
      <c r="A1046" s="562" t="s">
        <v>3370</v>
      </c>
      <c r="B1046" s="563" t="s">
        <v>3371</v>
      </c>
      <c r="C1046" s="564" t="s">
        <v>353</v>
      </c>
      <c r="D1046" s="565">
        <v>44894</v>
      </c>
      <c r="E1046" s="565">
        <v>44925</v>
      </c>
      <c r="F1046" s="566">
        <v>824200000</v>
      </c>
      <c r="G1046" s="564" t="s">
        <v>1182</v>
      </c>
      <c r="H1046" s="564" t="s">
        <v>1182</v>
      </c>
      <c r="I1046" s="564" t="s">
        <v>45</v>
      </c>
      <c r="J1046" s="564" t="s">
        <v>1069</v>
      </c>
      <c r="K1046" s="564" t="s">
        <v>1090</v>
      </c>
      <c r="L1046" s="564" t="s">
        <v>2098</v>
      </c>
      <c r="M1046" s="564" t="s">
        <v>2098</v>
      </c>
      <c r="N1046" s="564" t="s">
        <v>45</v>
      </c>
      <c r="O1046" s="564" t="s">
        <v>2099</v>
      </c>
      <c r="P1046" s="23"/>
      <c r="Q1046" s="23"/>
      <c r="R1046" s="23"/>
      <c r="S1046" s="23"/>
      <c r="T1046" s="23"/>
      <c r="U1046" s="23"/>
      <c r="V1046" s="23"/>
      <c r="W1046" s="23"/>
      <c r="X1046" s="23"/>
      <c r="Y1046" s="23"/>
      <c r="Z1046" s="23"/>
    </row>
    <row r="1047" spans="1:26" ht="13">
      <c r="A1047" s="562" t="s">
        <v>3372</v>
      </c>
      <c r="B1047" s="563" t="s">
        <v>3373</v>
      </c>
      <c r="C1047" s="564" t="s">
        <v>1652</v>
      </c>
      <c r="D1047" s="565">
        <v>44902</v>
      </c>
      <c r="E1047" s="565">
        <v>44932</v>
      </c>
      <c r="F1047" s="566">
        <v>420000</v>
      </c>
      <c r="G1047" s="564" t="s">
        <v>349</v>
      </c>
      <c r="H1047" s="564" t="s">
        <v>349</v>
      </c>
      <c r="I1047" s="564" t="s">
        <v>195</v>
      </c>
      <c r="J1047" s="564" t="s">
        <v>1069</v>
      </c>
      <c r="K1047" s="564" t="s">
        <v>1120</v>
      </c>
      <c r="L1047" s="564" t="s">
        <v>2098</v>
      </c>
      <c r="M1047" s="564" t="s">
        <v>2098</v>
      </c>
      <c r="N1047" s="564" t="s">
        <v>1073</v>
      </c>
      <c r="O1047" s="564" t="s">
        <v>2099</v>
      </c>
      <c r="P1047" s="23"/>
      <c r="Q1047" s="23"/>
      <c r="R1047" s="23"/>
      <c r="S1047" s="23"/>
      <c r="T1047" s="23"/>
      <c r="U1047" s="23"/>
      <c r="V1047" s="23"/>
      <c r="W1047" s="23"/>
      <c r="X1047" s="23"/>
      <c r="Y1047" s="23"/>
      <c r="Z1047" s="23"/>
    </row>
    <row r="1048" spans="1:26" ht="13">
      <c r="A1048" s="562" t="s">
        <v>3374</v>
      </c>
      <c r="B1048" s="563" t="s">
        <v>3375</v>
      </c>
      <c r="C1048" s="564" t="s">
        <v>353</v>
      </c>
      <c r="D1048" s="565">
        <v>44886</v>
      </c>
      <c r="E1048" s="565">
        <v>44925</v>
      </c>
      <c r="F1048" s="566">
        <v>2777000</v>
      </c>
      <c r="G1048" s="564" t="s">
        <v>1128</v>
      </c>
      <c r="H1048" s="564" t="s">
        <v>1128</v>
      </c>
      <c r="I1048" s="564" t="s">
        <v>64</v>
      </c>
      <c r="J1048" s="564" t="s">
        <v>1069</v>
      </c>
      <c r="K1048" s="564" t="s">
        <v>1090</v>
      </c>
      <c r="L1048" s="564" t="s">
        <v>2098</v>
      </c>
      <c r="M1048" s="564" t="s">
        <v>2098</v>
      </c>
      <c r="N1048" s="564" t="s">
        <v>64</v>
      </c>
      <c r="O1048" s="564" t="s">
        <v>2099</v>
      </c>
      <c r="P1048" s="23"/>
      <c r="Q1048" s="23"/>
      <c r="R1048" s="23"/>
      <c r="S1048" s="23"/>
      <c r="T1048" s="23"/>
      <c r="U1048" s="23"/>
      <c r="V1048" s="23"/>
      <c r="W1048" s="23"/>
      <c r="X1048" s="23"/>
      <c r="Y1048" s="23"/>
      <c r="Z1048" s="23"/>
    </row>
    <row r="1049" spans="1:26" ht="13">
      <c r="A1049" s="562" t="s">
        <v>3376</v>
      </c>
      <c r="B1049" s="563" t="s">
        <v>3377</v>
      </c>
      <c r="C1049" s="564" t="s">
        <v>3378</v>
      </c>
      <c r="D1049" s="565">
        <v>44886</v>
      </c>
      <c r="E1049" s="565">
        <v>44921</v>
      </c>
      <c r="F1049" s="566">
        <v>2777000</v>
      </c>
      <c r="G1049" s="564" t="s">
        <v>1128</v>
      </c>
      <c r="H1049" s="564" t="s">
        <v>1128</v>
      </c>
      <c r="I1049" s="564" t="s">
        <v>64</v>
      </c>
      <c r="J1049" s="564" t="s">
        <v>1069</v>
      </c>
      <c r="K1049" s="564" t="s">
        <v>1090</v>
      </c>
      <c r="L1049" s="564" t="s">
        <v>2098</v>
      </c>
      <c r="M1049" s="564" t="s">
        <v>2098</v>
      </c>
      <c r="N1049" s="564" t="s">
        <v>64</v>
      </c>
      <c r="O1049" s="564" t="s">
        <v>2099</v>
      </c>
      <c r="P1049" s="23"/>
      <c r="Q1049" s="23"/>
      <c r="R1049" s="23"/>
      <c r="S1049" s="23"/>
      <c r="T1049" s="23"/>
      <c r="U1049" s="23"/>
      <c r="V1049" s="23"/>
      <c r="W1049" s="23"/>
      <c r="X1049" s="23"/>
      <c r="Y1049" s="23"/>
      <c r="Z1049" s="23"/>
    </row>
    <row r="1050" spans="1:26" ht="13">
      <c r="A1050" s="562" t="s">
        <v>3379</v>
      </c>
      <c r="B1050" s="563" t="s">
        <v>3380</v>
      </c>
      <c r="C1050" s="564" t="s">
        <v>353</v>
      </c>
      <c r="D1050" s="565">
        <v>44876</v>
      </c>
      <c r="E1050" s="565">
        <v>44926</v>
      </c>
      <c r="F1050" s="566">
        <v>267000000</v>
      </c>
      <c r="G1050" s="564" t="s">
        <v>1128</v>
      </c>
      <c r="H1050" s="564" t="s">
        <v>1128</v>
      </c>
      <c r="I1050" s="564" t="s">
        <v>45</v>
      </c>
      <c r="J1050" s="564" t="s">
        <v>1069</v>
      </c>
      <c r="K1050" s="564" t="s">
        <v>1090</v>
      </c>
      <c r="L1050" s="564" t="s">
        <v>2098</v>
      </c>
      <c r="M1050" s="564" t="s">
        <v>2098</v>
      </c>
      <c r="N1050" s="564" t="s">
        <v>45</v>
      </c>
      <c r="O1050" s="564" t="s">
        <v>2099</v>
      </c>
      <c r="P1050" s="23"/>
      <c r="Q1050" s="23"/>
      <c r="R1050" s="23"/>
      <c r="S1050" s="23"/>
      <c r="T1050" s="23"/>
      <c r="U1050" s="23"/>
      <c r="V1050" s="23"/>
      <c r="W1050" s="23"/>
      <c r="X1050" s="23"/>
      <c r="Y1050" s="23"/>
      <c r="Z1050" s="23"/>
    </row>
    <row r="1051" spans="1:26" ht="13">
      <c r="A1051" s="562" t="s">
        <v>3381</v>
      </c>
      <c r="B1051" s="563" t="s">
        <v>3382</v>
      </c>
      <c r="C1051" s="564" t="s">
        <v>1652</v>
      </c>
      <c r="D1051" s="565">
        <v>44894</v>
      </c>
      <c r="E1051" s="565">
        <v>44923</v>
      </c>
      <c r="F1051" s="566">
        <v>1360000</v>
      </c>
      <c r="G1051" s="564" t="s">
        <v>349</v>
      </c>
      <c r="H1051" s="564" t="s">
        <v>349</v>
      </c>
      <c r="I1051" s="564" t="s">
        <v>70</v>
      </c>
      <c r="J1051" s="564" t="s">
        <v>1069</v>
      </c>
      <c r="K1051" s="564" t="s">
        <v>1120</v>
      </c>
      <c r="L1051" s="564" t="s">
        <v>2098</v>
      </c>
      <c r="M1051" s="564" t="s">
        <v>2098</v>
      </c>
      <c r="N1051" s="564" t="s">
        <v>70</v>
      </c>
      <c r="O1051" s="564" t="s">
        <v>2099</v>
      </c>
      <c r="P1051" s="23"/>
      <c r="Q1051" s="23"/>
      <c r="R1051" s="23"/>
      <c r="S1051" s="23"/>
      <c r="T1051" s="23"/>
      <c r="U1051" s="23"/>
      <c r="V1051" s="23"/>
      <c r="W1051" s="23"/>
      <c r="X1051" s="23"/>
      <c r="Y1051" s="23"/>
      <c r="Z1051" s="23"/>
    </row>
    <row r="1052" spans="1:26" ht="13">
      <c r="A1052" s="562" t="s">
        <v>3383</v>
      </c>
      <c r="B1052" s="563" t="s">
        <v>3384</v>
      </c>
      <c r="C1052" s="564" t="s">
        <v>3378</v>
      </c>
      <c r="D1052" s="565">
        <v>44876</v>
      </c>
      <c r="E1052" s="565">
        <v>44926</v>
      </c>
      <c r="F1052" s="566">
        <v>267000000</v>
      </c>
      <c r="G1052" s="564" t="s">
        <v>1128</v>
      </c>
      <c r="H1052" s="564" t="s">
        <v>1128</v>
      </c>
      <c r="I1052" s="564" t="s">
        <v>45</v>
      </c>
      <c r="J1052" s="564" t="s">
        <v>1069</v>
      </c>
      <c r="K1052" s="564" t="s">
        <v>1090</v>
      </c>
      <c r="L1052" s="564" t="s">
        <v>2098</v>
      </c>
      <c r="M1052" s="564" t="s">
        <v>2098</v>
      </c>
      <c r="N1052" s="564" t="s">
        <v>45</v>
      </c>
      <c r="O1052" s="564" t="s">
        <v>2099</v>
      </c>
      <c r="P1052" s="23"/>
      <c r="Q1052" s="23"/>
      <c r="R1052" s="23"/>
      <c r="S1052" s="23"/>
      <c r="T1052" s="23"/>
      <c r="U1052" s="23"/>
      <c r="V1052" s="23"/>
      <c r="W1052" s="23"/>
      <c r="X1052" s="23"/>
      <c r="Y1052" s="23"/>
      <c r="Z1052" s="23"/>
    </row>
    <row r="1053" spans="1:26" ht="13">
      <c r="A1053" s="562" t="s">
        <v>3385</v>
      </c>
      <c r="B1053" s="563" t="s">
        <v>3386</v>
      </c>
      <c r="C1053" s="564" t="s">
        <v>1475</v>
      </c>
      <c r="D1053" s="565">
        <v>44886</v>
      </c>
      <c r="E1053" s="565">
        <v>44911</v>
      </c>
      <c r="F1053" s="566">
        <v>936000</v>
      </c>
      <c r="G1053" s="564" t="s">
        <v>1182</v>
      </c>
      <c r="H1053" s="564" t="s">
        <v>1182</v>
      </c>
      <c r="I1053" s="564" t="s">
        <v>2586</v>
      </c>
      <c r="J1053" s="564" t="s">
        <v>1069</v>
      </c>
      <c r="K1053" s="564" t="s">
        <v>1070</v>
      </c>
      <c r="L1053" s="564" t="s">
        <v>2098</v>
      </c>
      <c r="M1053" s="564" t="s">
        <v>2098</v>
      </c>
      <c r="N1053" s="564" t="s">
        <v>1073</v>
      </c>
      <c r="O1053" s="564" t="s">
        <v>2099</v>
      </c>
      <c r="P1053" s="23"/>
      <c r="Q1053" s="23"/>
      <c r="R1053" s="23"/>
      <c r="S1053" s="23"/>
      <c r="T1053" s="23"/>
      <c r="U1053" s="23"/>
      <c r="V1053" s="23"/>
      <c r="W1053" s="23"/>
      <c r="X1053" s="23"/>
      <c r="Y1053" s="23"/>
      <c r="Z1053" s="23"/>
    </row>
    <row r="1054" spans="1:26" ht="13">
      <c r="A1054" s="562" t="s">
        <v>3387</v>
      </c>
      <c r="B1054" s="563" t="s">
        <v>3388</v>
      </c>
      <c r="C1054" s="564" t="s">
        <v>1652</v>
      </c>
      <c r="D1054" s="565">
        <v>44888</v>
      </c>
      <c r="E1054" s="565">
        <v>44917</v>
      </c>
      <c r="F1054" s="566">
        <v>4377000</v>
      </c>
      <c r="G1054" s="564" t="s">
        <v>349</v>
      </c>
      <c r="H1054" s="564" t="s">
        <v>349</v>
      </c>
      <c r="I1054" s="564" t="s">
        <v>70</v>
      </c>
      <c r="J1054" s="564" t="s">
        <v>1069</v>
      </c>
      <c r="K1054" s="564" t="s">
        <v>1120</v>
      </c>
      <c r="L1054" s="564" t="s">
        <v>2098</v>
      </c>
      <c r="M1054" s="564" t="s">
        <v>2098</v>
      </c>
      <c r="N1054" s="564" t="s">
        <v>70</v>
      </c>
      <c r="O1054" s="564" t="s">
        <v>2099</v>
      </c>
      <c r="P1054" s="23"/>
      <c r="Q1054" s="23"/>
      <c r="R1054" s="23"/>
      <c r="S1054" s="23"/>
      <c r="T1054" s="23"/>
      <c r="U1054" s="23"/>
      <c r="V1054" s="23"/>
      <c r="W1054" s="23"/>
      <c r="X1054" s="23"/>
      <c r="Y1054" s="23"/>
      <c r="Z1054" s="23"/>
    </row>
    <row r="1055" spans="1:26" ht="13">
      <c r="A1055" s="562" t="s">
        <v>3389</v>
      </c>
      <c r="B1055" s="563" t="s">
        <v>3390</v>
      </c>
      <c r="C1055" s="564" t="s">
        <v>1652</v>
      </c>
      <c r="D1055" s="565">
        <v>44887</v>
      </c>
      <c r="E1055" s="565">
        <v>44916</v>
      </c>
      <c r="F1055" s="566">
        <v>4377000</v>
      </c>
      <c r="G1055" s="564" t="s">
        <v>349</v>
      </c>
      <c r="H1055" s="564" t="s">
        <v>349</v>
      </c>
      <c r="I1055" s="564" t="s">
        <v>70</v>
      </c>
      <c r="J1055" s="564" t="s">
        <v>1069</v>
      </c>
      <c r="K1055" s="564" t="s">
        <v>1120</v>
      </c>
      <c r="L1055" s="564" t="s">
        <v>2098</v>
      </c>
      <c r="M1055" s="564" t="s">
        <v>2098</v>
      </c>
      <c r="N1055" s="564" t="s">
        <v>70</v>
      </c>
      <c r="O1055" s="564" t="s">
        <v>2099</v>
      </c>
      <c r="P1055" s="23"/>
      <c r="Q1055" s="23"/>
      <c r="R1055" s="23"/>
      <c r="S1055" s="23"/>
      <c r="T1055" s="23"/>
      <c r="U1055" s="23"/>
      <c r="V1055" s="23"/>
      <c r="W1055" s="23"/>
      <c r="X1055" s="23"/>
      <c r="Y1055" s="23"/>
      <c r="Z1055" s="23"/>
    </row>
    <row r="1056" spans="1:26" ht="13">
      <c r="A1056" s="562" t="s">
        <v>3391</v>
      </c>
      <c r="B1056" s="563" t="s">
        <v>3392</v>
      </c>
      <c r="C1056" s="564" t="s">
        <v>1652</v>
      </c>
      <c r="D1056" s="565">
        <v>44887</v>
      </c>
      <c r="E1056" s="565">
        <v>44916</v>
      </c>
      <c r="F1056" s="566">
        <v>4179000</v>
      </c>
      <c r="G1056" s="564" t="s">
        <v>349</v>
      </c>
      <c r="H1056" s="564" t="s">
        <v>349</v>
      </c>
      <c r="I1056" s="564" t="s">
        <v>70</v>
      </c>
      <c r="J1056" s="564" t="s">
        <v>1069</v>
      </c>
      <c r="K1056" s="564" t="s">
        <v>1120</v>
      </c>
      <c r="L1056" s="564" t="s">
        <v>2098</v>
      </c>
      <c r="M1056" s="564" t="s">
        <v>2098</v>
      </c>
      <c r="N1056" s="564" t="s">
        <v>70</v>
      </c>
      <c r="O1056" s="564" t="s">
        <v>2099</v>
      </c>
      <c r="P1056" s="23"/>
      <c r="Q1056" s="23"/>
      <c r="R1056" s="23"/>
      <c r="S1056" s="23"/>
      <c r="T1056" s="23"/>
      <c r="U1056" s="23"/>
      <c r="V1056" s="23"/>
      <c r="W1056" s="23"/>
      <c r="X1056" s="23"/>
      <c r="Y1056" s="23"/>
      <c r="Z1056" s="23"/>
    </row>
    <row r="1057" spans="1:26" ht="13">
      <c r="A1057" s="562" t="s">
        <v>3393</v>
      </c>
      <c r="B1057" s="563" t="s">
        <v>3394</v>
      </c>
      <c r="C1057" s="564" t="s">
        <v>1652</v>
      </c>
      <c r="D1057" s="565">
        <v>44882</v>
      </c>
      <c r="E1057" s="565">
        <v>44911</v>
      </c>
      <c r="F1057" s="566">
        <v>1459000</v>
      </c>
      <c r="G1057" s="564" t="s">
        <v>349</v>
      </c>
      <c r="H1057" s="564" t="s">
        <v>349</v>
      </c>
      <c r="I1057" s="564" t="s">
        <v>70</v>
      </c>
      <c r="J1057" s="564" t="s">
        <v>1069</v>
      </c>
      <c r="K1057" s="564" t="s">
        <v>1120</v>
      </c>
      <c r="L1057" s="564" t="s">
        <v>2098</v>
      </c>
      <c r="M1057" s="564" t="s">
        <v>2098</v>
      </c>
      <c r="N1057" s="564" t="s">
        <v>70</v>
      </c>
      <c r="O1057" s="564" t="s">
        <v>2099</v>
      </c>
      <c r="P1057" s="23"/>
      <c r="Q1057" s="23"/>
      <c r="R1057" s="23"/>
      <c r="S1057" s="23"/>
      <c r="T1057" s="23"/>
      <c r="U1057" s="23"/>
      <c r="V1057" s="23"/>
      <c r="W1057" s="23"/>
      <c r="X1057" s="23"/>
      <c r="Y1057" s="23"/>
      <c r="Z1057" s="23"/>
    </row>
    <row r="1058" spans="1:26" ht="13">
      <c r="A1058" s="562" t="s">
        <v>3395</v>
      </c>
      <c r="B1058" s="563" t="s">
        <v>3298</v>
      </c>
      <c r="C1058" s="564" t="s">
        <v>353</v>
      </c>
      <c r="D1058" s="565">
        <v>44881</v>
      </c>
      <c r="E1058" s="565">
        <v>44910</v>
      </c>
      <c r="F1058" s="566">
        <v>114000</v>
      </c>
      <c r="G1058" s="564" t="s">
        <v>349</v>
      </c>
      <c r="H1058" s="564" t="s">
        <v>349</v>
      </c>
      <c r="I1058" s="564" t="s">
        <v>64</v>
      </c>
      <c r="J1058" s="564" t="s">
        <v>1069</v>
      </c>
      <c r="K1058" s="564" t="s">
        <v>1090</v>
      </c>
      <c r="L1058" s="564" t="s">
        <v>2098</v>
      </c>
      <c r="M1058" s="564" t="s">
        <v>2098</v>
      </c>
      <c r="N1058" s="564" t="s">
        <v>64</v>
      </c>
      <c r="O1058" s="564" t="s">
        <v>2099</v>
      </c>
      <c r="P1058" s="23"/>
      <c r="Q1058" s="23"/>
      <c r="R1058" s="23"/>
      <c r="S1058" s="23"/>
      <c r="T1058" s="23"/>
      <c r="U1058" s="23"/>
      <c r="V1058" s="23"/>
      <c r="W1058" s="23"/>
      <c r="X1058" s="23"/>
      <c r="Y1058" s="23"/>
      <c r="Z1058" s="23"/>
    </row>
    <row r="1059" spans="1:26" ht="13">
      <c r="A1059" s="562" t="s">
        <v>3396</v>
      </c>
      <c r="B1059" s="563" t="s">
        <v>3397</v>
      </c>
      <c r="C1059" s="564" t="s">
        <v>353</v>
      </c>
      <c r="D1059" s="565">
        <v>44879</v>
      </c>
      <c r="E1059" s="565">
        <v>44926</v>
      </c>
      <c r="F1059" s="566">
        <v>182972000</v>
      </c>
      <c r="G1059" s="564" t="s">
        <v>1128</v>
      </c>
      <c r="H1059" s="564" t="s">
        <v>1128</v>
      </c>
      <c r="I1059" s="564" t="s">
        <v>45</v>
      </c>
      <c r="J1059" s="564" t="s">
        <v>1069</v>
      </c>
      <c r="K1059" s="564" t="s">
        <v>1090</v>
      </c>
      <c r="L1059" s="564" t="s">
        <v>2098</v>
      </c>
      <c r="M1059" s="564" t="s">
        <v>2098</v>
      </c>
      <c r="N1059" s="564" t="s">
        <v>45</v>
      </c>
      <c r="O1059" s="564" t="s">
        <v>2099</v>
      </c>
      <c r="P1059" s="23"/>
      <c r="Q1059" s="23"/>
      <c r="R1059" s="23"/>
      <c r="S1059" s="23"/>
      <c r="T1059" s="23"/>
      <c r="U1059" s="23"/>
      <c r="V1059" s="23"/>
      <c r="W1059" s="23"/>
      <c r="X1059" s="23"/>
      <c r="Y1059" s="23"/>
      <c r="Z1059" s="23"/>
    </row>
    <row r="1060" spans="1:26" ht="13">
      <c r="A1060" s="562" t="s">
        <v>3398</v>
      </c>
      <c r="B1060" s="563" t="s">
        <v>3399</v>
      </c>
      <c r="C1060" s="564" t="s">
        <v>353</v>
      </c>
      <c r="D1060" s="565">
        <v>44911</v>
      </c>
      <c r="E1060" s="565">
        <v>44967</v>
      </c>
      <c r="F1060" s="566">
        <v>13601600</v>
      </c>
      <c r="G1060" s="564" t="s">
        <v>1128</v>
      </c>
      <c r="H1060" s="564" t="s">
        <v>1128</v>
      </c>
      <c r="I1060" s="564" t="s">
        <v>64</v>
      </c>
      <c r="J1060" s="564" t="s">
        <v>1069</v>
      </c>
      <c r="K1060" s="564" t="s">
        <v>1090</v>
      </c>
      <c r="L1060" s="564" t="s">
        <v>2098</v>
      </c>
      <c r="M1060" s="564" t="s">
        <v>2098</v>
      </c>
      <c r="N1060" s="564" t="s">
        <v>64</v>
      </c>
      <c r="O1060" s="564" t="s">
        <v>2099</v>
      </c>
      <c r="P1060" s="23"/>
      <c r="Q1060" s="23"/>
      <c r="R1060" s="23"/>
      <c r="S1060" s="23"/>
      <c r="T1060" s="23"/>
      <c r="U1060" s="23"/>
      <c r="V1060" s="23"/>
      <c r="W1060" s="23"/>
      <c r="X1060" s="23"/>
      <c r="Y1060" s="23"/>
      <c r="Z1060" s="23"/>
    </row>
    <row r="1061" spans="1:26" ht="13">
      <c r="A1061" s="562" t="s">
        <v>3400</v>
      </c>
      <c r="B1061" s="563" t="s">
        <v>3401</v>
      </c>
      <c r="C1061" s="564" t="s">
        <v>1652</v>
      </c>
      <c r="D1061" s="565">
        <v>44874</v>
      </c>
      <c r="E1061" s="565">
        <v>44903</v>
      </c>
      <c r="F1061" s="566">
        <v>1601000</v>
      </c>
      <c r="G1061" s="564" t="s">
        <v>349</v>
      </c>
      <c r="H1061" s="564" t="s">
        <v>349</v>
      </c>
      <c r="I1061" s="564" t="s">
        <v>107</v>
      </c>
      <c r="J1061" s="564" t="s">
        <v>1069</v>
      </c>
      <c r="K1061" s="564" t="s">
        <v>1120</v>
      </c>
      <c r="L1061" s="564" t="s">
        <v>2098</v>
      </c>
      <c r="M1061" s="564" t="s">
        <v>2098</v>
      </c>
      <c r="N1061" s="564" t="s">
        <v>1073</v>
      </c>
      <c r="O1061" s="564" t="s">
        <v>2099</v>
      </c>
      <c r="P1061" s="23"/>
      <c r="Q1061" s="23"/>
      <c r="R1061" s="23"/>
      <c r="S1061" s="23"/>
      <c r="T1061" s="23"/>
      <c r="U1061" s="23"/>
      <c r="V1061" s="23"/>
      <c r="W1061" s="23"/>
      <c r="X1061" s="23"/>
      <c r="Y1061" s="23"/>
      <c r="Z1061" s="23"/>
    </row>
    <row r="1062" spans="1:26" ht="13">
      <c r="A1062" s="562" t="s">
        <v>3402</v>
      </c>
      <c r="B1062" s="563" t="s">
        <v>3403</v>
      </c>
      <c r="C1062" s="564" t="s">
        <v>1475</v>
      </c>
      <c r="D1062" s="565">
        <v>44874</v>
      </c>
      <c r="E1062" s="565">
        <v>44904</v>
      </c>
      <c r="F1062" s="566">
        <v>640000</v>
      </c>
      <c r="G1062" s="564" t="s">
        <v>1182</v>
      </c>
      <c r="H1062" s="564" t="s">
        <v>1182</v>
      </c>
      <c r="I1062" s="564" t="s">
        <v>146</v>
      </c>
      <c r="J1062" s="564" t="s">
        <v>1069</v>
      </c>
      <c r="K1062" s="564" t="s">
        <v>1070</v>
      </c>
      <c r="L1062" s="564" t="s">
        <v>2098</v>
      </c>
      <c r="M1062" s="564" t="s">
        <v>2098</v>
      </c>
      <c r="N1062" s="564" t="s">
        <v>1073</v>
      </c>
      <c r="O1062" s="564" t="s">
        <v>2099</v>
      </c>
      <c r="P1062" s="23"/>
      <c r="Q1062" s="23"/>
      <c r="R1062" s="23"/>
      <c r="S1062" s="23"/>
      <c r="T1062" s="23"/>
      <c r="U1062" s="23"/>
      <c r="V1062" s="23"/>
      <c r="W1062" s="23"/>
      <c r="X1062" s="23"/>
      <c r="Y1062" s="23"/>
      <c r="Z1062" s="23"/>
    </row>
    <row r="1063" spans="1:26" ht="13">
      <c r="A1063" s="562" t="s">
        <v>3404</v>
      </c>
      <c r="B1063" s="563" t="s">
        <v>3405</v>
      </c>
      <c r="C1063" s="564" t="s">
        <v>1475</v>
      </c>
      <c r="D1063" s="565">
        <v>44872</v>
      </c>
      <c r="E1063" s="565">
        <v>44925</v>
      </c>
      <c r="F1063" s="566">
        <v>40800000</v>
      </c>
      <c r="G1063" s="564" t="s">
        <v>1123</v>
      </c>
      <c r="H1063" s="564" t="s">
        <v>1123</v>
      </c>
      <c r="I1063" s="564" t="s">
        <v>1417</v>
      </c>
      <c r="J1063" s="564" t="s">
        <v>1069</v>
      </c>
      <c r="K1063" s="564" t="s">
        <v>1070</v>
      </c>
      <c r="L1063" s="564" t="s">
        <v>2098</v>
      </c>
      <c r="M1063" s="564" t="s">
        <v>2098</v>
      </c>
      <c r="N1063" s="564" t="s">
        <v>1082</v>
      </c>
      <c r="O1063" s="564" t="s">
        <v>2099</v>
      </c>
      <c r="P1063" s="23"/>
      <c r="Q1063" s="23"/>
      <c r="R1063" s="23"/>
      <c r="S1063" s="23"/>
      <c r="T1063" s="23"/>
      <c r="U1063" s="23"/>
      <c r="V1063" s="23"/>
      <c r="W1063" s="23"/>
      <c r="X1063" s="23"/>
      <c r="Y1063" s="23"/>
      <c r="Z1063" s="23"/>
    </row>
    <row r="1064" spans="1:26" ht="13">
      <c r="A1064" s="562" t="s">
        <v>3406</v>
      </c>
      <c r="B1064" s="563" t="s">
        <v>3407</v>
      </c>
      <c r="C1064" s="564" t="s">
        <v>1652</v>
      </c>
      <c r="D1064" s="565">
        <v>44873</v>
      </c>
      <c r="E1064" s="565">
        <v>44902</v>
      </c>
      <c r="F1064" s="566">
        <v>3184000</v>
      </c>
      <c r="G1064" s="564" t="s">
        <v>349</v>
      </c>
      <c r="H1064" s="564" t="s">
        <v>349</v>
      </c>
      <c r="I1064" s="564" t="s">
        <v>70</v>
      </c>
      <c r="J1064" s="564" t="s">
        <v>1069</v>
      </c>
      <c r="K1064" s="564" t="s">
        <v>1120</v>
      </c>
      <c r="L1064" s="564" t="s">
        <v>2098</v>
      </c>
      <c r="M1064" s="564" t="s">
        <v>2098</v>
      </c>
      <c r="N1064" s="564" t="s">
        <v>70</v>
      </c>
      <c r="O1064" s="564" t="s">
        <v>2099</v>
      </c>
      <c r="P1064" s="23"/>
      <c r="Q1064" s="23"/>
      <c r="R1064" s="23"/>
      <c r="S1064" s="23"/>
      <c r="T1064" s="23"/>
      <c r="U1064" s="23"/>
      <c r="V1064" s="23"/>
      <c r="W1064" s="23"/>
      <c r="X1064" s="23"/>
      <c r="Y1064" s="23"/>
      <c r="Z1064" s="23"/>
    </row>
    <row r="1065" spans="1:26" ht="13">
      <c r="A1065" s="562" t="s">
        <v>3408</v>
      </c>
      <c r="B1065" s="563" t="s">
        <v>3409</v>
      </c>
      <c r="C1065" s="564" t="s">
        <v>1652</v>
      </c>
      <c r="D1065" s="565">
        <v>44873</v>
      </c>
      <c r="E1065" s="565">
        <v>44902</v>
      </c>
      <c r="F1065" s="566">
        <v>4080000</v>
      </c>
      <c r="G1065" s="564" t="s">
        <v>349</v>
      </c>
      <c r="H1065" s="564" t="s">
        <v>349</v>
      </c>
      <c r="I1065" s="564" t="s">
        <v>70</v>
      </c>
      <c r="J1065" s="564" t="s">
        <v>1069</v>
      </c>
      <c r="K1065" s="564" t="s">
        <v>1120</v>
      </c>
      <c r="L1065" s="564" t="s">
        <v>2098</v>
      </c>
      <c r="M1065" s="564" t="s">
        <v>2098</v>
      </c>
      <c r="N1065" s="564" t="s">
        <v>70</v>
      </c>
      <c r="O1065" s="564" t="s">
        <v>2099</v>
      </c>
      <c r="P1065" s="23"/>
      <c r="Q1065" s="23"/>
      <c r="R1065" s="23"/>
      <c r="S1065" s="23"/>
      <c r="T1065" s="23"/>
      <c r="U1065" s="23"/>
      <c r="V1065" s="23"/>
      <c r="W1065" s="23"/>
      <c r="X1065" s="23"/>
      <c r="Y1065" s="23"/>
      <c r="Z1065" s="23"/>
    </row>
    <row r="1066" spans="1:26" ht="13">
      <c r="A1066" s="562" t="s">
        <v>3410</v>
      </c>
      <c r="B1066" s="563" t="s">
        <v>3018</v>
      </c>
      <c r="C1066" s="564" t="s">
        <v>353</v>
      </c>
      <c r="D1066" s="565">
        <v>44872</v>
      </c>
      <c r="E1066" s="565">
        <v>44888</v>
      </c>
      <c r="F1066" s="566">
        <v>450000</v>
      </c>
      <c r="G1066" s="564" t="s">
        <v>349</v>
      </c>
      <c r="H1066" s="564" t="s">
        <v>349</v>
      </c>
      <c r="I1066" s="564" t="s">
        <v>225</v>
      </c>
      <c r="J1066" s="564" t="s">
        <v>1069</v>
      </c>
      <c r="K1066" s="564" t="s">
        <v>1105</v>
      </c>
      <c r="L1066" s="564" t="s">
        <v>2098</v>
      </c>
      <c r="M1066" s="564" t="s">
        <v>2098</v>
      </c>
      <c r="N1066" s="564" t="s">
        <v>225</v>
      </c>
      <c r="O1066" s="564" t="s">
        <v>2099</v>
      </c>
      <c r="P1066" s="23"/>
      <c r="Q1066" s="23"/>
      <c r="R1066" s="23"/>
      <c r="S1066" s="23"/>
      <c r="T1066" s="23"/>
      <c r="U1066" s="23"/>
      <c r="V1066" s="23"/>
      <c r="W1066" s="23"/>
      <c r="X1066" s="23"/>
      <c r="Y1066" s="23"/>
      <c r="Z1066" s="23"/>
    </row>
    <row r="1067" spans="1:26" ht="13">
      <c r="A1067" s="562" t="s">
        <v>3411</v>
      </c>
      <c r="B1067" s="563" t="s">
        <v>3100</v>
      </c>
      <c r="C1067" s="564" t="s">
        <v>353</v>
      </c>
      <c r="D1067" s="565">
        <v>44872</v>
      </c>
      <c r="E1067" s="565">
        <v>44902</v>
      </c>
      <c r="F1067" s="566">
        <v>180000</v>
      </c>
      <c r="G1067" s="564" t="s">
        <v>349</v>
      </c>
      <c r="H1067" s="564" t="s">
        <v>349</v>
      </c>
      <c r="I1067" s="564" t="s">
        <v>45</v>
      </c>
      <c r="J1067" s="564" t="s">
        <v>1069</v>
      </c>
      <c r="K1067" s="564" t="s">
        <v>1090</v>
      </c>
      <c r="L1067" s="564" t="s">
        <v>2098</v>
      </c>
      <c r="M1067" s="564" t="s">
        <v>2098</v>
      </c>
      <c r="N1067" s="564" t="s">
        <v>45</v>
      </c>
      <c r="O1067" s="564" t="s">
        <v>2099</v>
      </c>
      <c r="P1067" s="23"/>
      <c r="Q1067" s="23"/>
      <c r="R1067" s="23"/>
      <c r="S1067" s="23"/>
      <c r="T1067" s="23"/>
      <c r="U1067" s="23"/>
      <c r="V1067" s="23"/>
      <c r="W1067" s="23"/>
      <c r="X1067" s="23"/>
      <c r="Y1067" s="23"/>
      <c r="Z1067" s="23"/>
    </row>
    <row r="1068" spans="1:26" ht="13">
      <c r="A1068" s="562" t="s">
        <v>3412</v>
      </c>
      <c r="B1068" s="563" t="s">
        <v>3413</v>
      </c>
      <c r="C1068" s="564" t="s">
        <v>1076</v>
      </c>
      <c r="D1068" s="565">
        <v>44868</v>
      </c>
      <c r="E1068" s="565">
        <v>45046</v>
      </c>
      <c r="F1068" s="566">
        <v>2594000</v>
      </c>
      <c r="G1068" s="564" t="s">
        <v>1077</v>
      </c>
      <c r="H1068" s="564" t="s">
        <v>1077</v>
      </c>
      <c r="I1068" s="564" t="s">
        <v>637</v>
      </c>
      <c r="J1068" s="564" t="s">
        <v>1069</v>
      </c>
      <c r="K1068" s="564" t="s">
        <v>1070</v>
      </c>
      <c r="L1068" s="564" t="s">
        <v>2098</v>
      </c>
      <c r="M1068" s="564" t="s">
        <v>2098</v>
      </c>
      <c r="N1068" s="564" t="s">
        <v>1082</v>
      </c>
      <c r="O1068" s="564" t="s">
        <v>2099</v>
      </c>
      <c r="P1068" s="23"/>
      <c r="Q1068" s="23"/>
      <c r="R1068" s="23"/>
      <c r="S1068" s="23"/>
      <c r="T1068" s="23"/>
      <c r="U1068" s="23"/>
      <c r="V1068" s="23"/>
      <c r="W1068" s="23"/>
      <c r="X1068" s="23"/>
      <c r="Y1068" s="23"/>
      <c r="Z1068" s="23"/>
    </row>
    <row r="1069" spans="1:26" ht="13">
      <c r="A1069" s="562" t="s">
        <v>3414</v>
      </c>
      <c r="B1069" s="563" t="s">
        <v>3415</v>
      </c>
      <c r="C1069" s="564" t="s">
        <v>1114</v>
      </c>
      <c r="D1069" s="565">
        <v>44867</v>
      </c>
      <c r="E1069" s="565">
        <v>44874</v>
      </c>
      <c r="F1069" s="566">
        <v>4500000</v>
      </c>
      <c r="G1069" s="564" t="s">
        <v>1116</v>
      </c>
      <c r="H1069" s="564" t="s">
        <v>1116</v>
      </c>
      <c r="I1069" s="564" t="s">
        <v>257</v>
      </c>
      <c r="J1069" s="564" t="s">
        <v>1069</v>
      </c>
      <c r="K1069" s="564" t="s">
        <v>1209</v>
      </c>
      <c r="L1069" s="564" t="s">
        <v>2098</v>
      </c>
      <c r="M1069" s="564" t="s">
        <v>2098</v>
      </c>
      <c r="N1069" s="564" t="s">
        <v>257</v>
      </c>
      <c r="O1069" s="564" t="s">
        <v>2099</v>
      </c>
      <c r="P1069" s="23"/>
      <c r="Q1069" s="23"/>
      <c r="R1069" s="23"/>
      <c r="S1069" s="23"/>
      <c r="T1069" s="23"/>
      <c r="U1069" s="23"/>
      <c r="V1069" s="23"/>
      <c r="W1069" s="23"/>
      <c r="X1069" s="23"/>
      <c r="Y1069" s="23"/>
      <c r="Z1069" s="23"/>
    </row>
    <row r="1070" spans="1:26" ht="13">
      <c r="A1070" s="562" t="s">
        <v>3416</v>
      </c>
      <c r="B1070" s="563" t="s">
        <v>3417</v>
      </c>
      <c r="C1070" s="564" t="s">
        <v>353</v>
      </c>
      <c r="D1070" s="565">
        <v>44866</v>
      </c>
      <c r="E1070" s="565">
        <v>44876</v>
      </c>
      <c r="F1070" s="566">
        <v>17739000</v>
      </c>
      <c r="G1070" s="564" t="s">
        <v>297</v>
      </c>
      <c r="H1070" s="564" t="s">
        <v>297</v>
      </c>
      <c r="I1070" s="564" t="s">
        <v>3418</v>
      </c>
      <c r="J1070" s="564" t="s">
        <v>1069</v>
      </c>
      <c r="K1070" s="564" t="s">
        <v>1802</v>
      </c>
      <c r="L1070" s="564" t="s">
        <v>2098</v>
      </c>
      <c r="M1070" s="564" t="s">
        <v>2098</v>
      </c>
      <c r="N1070" s="564" t="s">
        <v>1082</v>
      </c>
      <c r="O1070" s="564" t="s">
        <v>2099</v>
      </c>
      <c r="P1070" s="23"/>
      <c r="Q1070" s="23"/>
      <c r="R1070" s="23"/>
      <c r="S1070" s="23"/>
      <c r="T1070" s="23"/>
      <c r="U1070" s="23"/>
      <c r="V1070" s="23"/>
      <c r="W1070" s="23"/>
      <c r="X1070" s="23"/>
      <c r="Y1070" s="23"/>
      <c r="Z1070" s="23"/>
    </row>
    <row r="1071" spans="1:26" ht="13">
      <c r="A1071" s="562" t="s">
        <v>3419</v>
      </c>
      <c r="B1071" s="563" t="s">
        <v>3420</v>
      </c>
      <c r="C1071" s="564" t="s">
        <v>353</v>
      </c>
      <c r="D1071" s="565">
        <v>44861</v>
      </c>
      <c r="E1071" s="565">
        <v>44895</v>
      </c>
      <c r="F1071" s="566">
        <v>24000000</v>
      </c>
      <c r="G1071" s="564" t="s">
        <v>297</v>
      </c>
      <c r="H1071" s="564" t="s">
        <v>297</v>
      </c>
      <c r="I1071" s="564" t="s">
        <v>45</v>
      </c>
      <c r="J1071" s="564" t="s">
        <v>1069</v>
      </c>
      <c r="K1071" s="564" t="s">
        <v>1090</v>
      </c>
      <c r="L1071" s="564" t="s">
        <v>2098</v>
      </c>
      <c r="M1071" s="564" t="s">
        <v>2098</v>
      </c>
      <c r="N1071" s="564" t="s">
        <v>45</v>
      </c>
      <c r="O1071" s="564" t="s">
        <v>2099</v>
      </c>
      <c r="P1071" s="23"/>
      <c r="Q1071" s="23"/>
      <c r="R1071" s="23"/>
      <c r="S1071" s="23"/>
      <c r="T1071" s="23"/>
      <c r="U1071" s="23"/>
      <c r="V1071" s="23"/>
      <c r="W1071" s="23"/>
      <c r="X1071" s="23"/>
      <c r="Y1071" s="23"/>
      <c r="Z1071" s="23"/>
    </row>
    <row r="1072" spans="1:26" ht="13">
      <c r="A1072" s="562" t="s">
        <v>3421</v>
      </c>
      <c r="B1072" s="563" t="s">
        <v>3422</v>
      </c>
      <c r="C1072" s="564" t="s">
        <v>1652</v>
      </c>
      <c r="D1072" s="565">
        <v>44861</v>
      </c>
      <c r="E1072" s="565">
        <v>44890</v>
      </c>
      <c r="F1072" s="566">
        <v>1420000</v>
      </c>
      <c r="G1072" s="564" t="s">
        <v>349</v>
      </c>
      <c r="H1072" s="564" t="s">
        <v>349</v>
      </c>
      <c r="I1072" s="564" t="s">
        <v>70</v>
      </c>
      <c r="J1072" s="564" t="s">
        <v>1069</v>
      </c>
      <c r="K1072" s="564" t="s">
        <v>1120</v>
      </c>
      <c r="L1072" s="564" t="s">
        <v>2098</v>
      </c>
      <c r="M1072" s="564" t="s">
        <v>2098</v>
      </c>
      <c r="N1072" s="564" t="s">
        <v>70</v>
      </c>
      <c r="O1072" s="564" t="s">
        <v>2099</v>
      </c>
      <c r="P1072" s="23"/>
      <c r="Q1072" s="23"/>
      <c r="R1072" s="23"/>
      <c r="S1072" s="23"/>
      <c r="T1072" s="23"/>
      <c r="U1072" s="23"/>
      <c r="V1072" s="23"/>
      <c r="W1072" s="23"/>
      <c r="X1072" s="23"/>
      <c r="Y1072" s="23"/>
      <c r="Z1072" s="23"/>
    </row>
    <row r="1073" spans="1:26" ht="13">
      <c r="A1073" s="562" t="s">
        <v>3423</v>
      </c>
      <c r="B1073" s="563" t="s">
        <v>3424</v>
      </c>
      <c r="C1073" s="564" t="s">
        <v>1652</v>
      </c>
      <c r="D1073" s="565">
        <v>44860</v>
      </c>
      <c r="E1073" s="565">
        <v>44890</v>
      </c>
      <c r="F1073" s="566">
        <v>924000</v>
      </c>
      <c r="G1073" s="564" t="s">
        <v>349</v>
      </c>
      <c r="H1073" s="564" t="s">
        <v>349</v>
      </c>
      <c r="I1073" s="564" t="s">
        <v>70</v>
      </c>
      <c r="J1073" s="564" t="s">
        <v>1069</v>
      </c>
      <c r="K1073" s="564" t="s">
        <v>1120</v>
      </c>
      <c r="L1073" s="564" t="s">
        <v>2098</v>
      </c>
      <c r="M1073" s="564" t="s">
        <v>2098</v>
      </c>
      <c r="N1073" s="564" t="s">
        <v>70</v>
      </c>
      <c r="O1073" s="564" t="s">
        <v>2099</v>
      </c>
      <c r="P1073" s="23"/>
      <c r="Q1073" s="23"/>
      <c r="R1073" s="23"/>
      <c r="S1073" s="23"/>
      <c r="T1073" s="23"/>
      <c r="U1073" s="23"/>
      <c r="V1073" s="23"/>
      <c r="W1073" s="23"/>
      <c r="X1073" s="23"/>
      <c r="Y1073" s="23"/>
      <c r="Z1073" s="23"/>
    </row>
    <row r="1074" spans="1:26" ht="13">
      <c r="A1074" s="562" t="s">
        <v>3425</v>
      </c>
      <c r="B1074" s="563" t="s">
        <v>3426</v>
      </c>
      <c r="C1074" s="564" t="s">
        <v>1652</v>
      </c>
      <c r="D1074" s="565">
        <v>44860</v>
      </c>
      <c r="E1074" s="565">
        <v>44890</v>
      </c>
      <c r="F1074" s="566">
        <v>1459000</v>
      </c>
      <c r="G1074" s="564" t="s">
        <v>349</v>
      </c>
      <c r="H1074" s="564" t="s">
        <v>349</v>
      </c>
      <c r="I1074" s="564" t="s">
        <v>70</v>
      </c>
      <c r="J1074" s="564" t="s">
        <v>1069</v>
      </c>
      <c r="K1074" s="564" t="s">
        <v>1120</v>
      </c>
      <c r="L1074" s="564" t="s">
        <v>2098</v>
      </c>
      <c r="M1074" s="564" t="s">
        <v>2098</v>
      </c>
      <c r="N1074" s="564" t="s">
        <v>70</v>
      </c>
      <c r="O1074" s="564" t="s">
        <v>2099</v>
      </c>
      <c r="P1074" s="23"/>
      <c r="Q1074" s="23"/>
      <c r="R1074" s="23"/>
      <c r="S1074" s="23"/>
      <c r="T1074" s="23"/>
      <c r="U1074" s="23"/>
      <c r="V1074" s="23"/>
      <c r="W1074" s="23"/>
      <c r="X1074" s="23"/>
      <c r="Y1074" s="23"/>
      <c r="Z1074" s="23"/>
    </row>
    <row r="1075" spans="1:26" ht="13">
      <c r="A1075" s="562" t="s">
        <v>3427</v>
      </c>
      <c r="B1075" s="563" t="s">
        <v>3428</v>
      </c>
      <c r="C1075" s="564" t="s">
        <v>3378</v>
      </c>
      <c r="D1075" s="565">
        <v>44860</v>
      </c>
      <c r="E1075" s="565">
        <v>44890</v>
      </c>
      <c r="F1075" s="566">
        <v>924000</v>
      </c>
      <c r="G1075" s="564" t="s">
        <v>349</v>
      </c>
      <c r="H1075" s="564" t="s">
        <v>349</v>
      </c>
      <c r="I1075" s="564" t="s">
        <v>70</v>
      </c>
      <c r="J1075" s="564" t="s">
        <v>1069</v>
      </c>
      <c r="K1075" s="564" t="s">
        <v>1120</v>
      </c>
      <c r="L1075" s="564" t="s">
        <v>2098</v>
      </c>
      <c r="M1075" s="564" t="s">
        <v>2098</v>
      </c>
      <c r="N1075" s="564" t="s">
        <v>70</v>
      </c>
      <c r="O1075" s="564" t="s">
        <v>2099</v>
      </c>
      <c r="P1075" s="23"/>
      <c r="Q1075" s="23"/>
      <c r="R1075" s="23"/>
      <c r="S1075" s="23"/>
      <c r="T1075" s="23"/>
      <c r="U1075" s="23"/>
      <c r="V1075" s="23"/>
      <c r="W1075" s="23"/>
      <c r="X1075" s="23"/>
      <c r="Y1075" s="23"/>
      <c r="Z1075" s="23"/>
    </row>
    <row r="1076" spans="1:26" ht="13">
      <c r="A1076" s="562" t="s">
        <v>3429</v>
      </c>
      <c r="B1076" s="563" t="s">
        <v>3026</v>
      </c>
      <c r="C1076" s="564" t="s">
        <v>1475</v>
      </c>
      <c r="D1076" s="565">
        <v>44859</v>
      </c>
      <c r="E1076" s="565">
        <v>44876</v>
      </c>
      <c r="F1076" s="566">
        <v>395000</v>
      </c>
      <c r="G1076" s="564" t="s">
        <v>1182</v>
      </c>
      <c r="H1076" s="564" t="s">
        <v>1182</v>
      </c>
      <c r="I1076" s="564" t="s">
        <v>2586</v>
      </c>
      <c r="J1076" s="564" t="s">
        <v>1069</v>
      </c>
      <c r="K1076" s="564" t="s">
        <v>1070</v>
      </c>
      <c r="L1076" s="564" t="s">
        <v>2098</v>
      </c>
      <c r="M1076" s="564" t="s">
        <v>2098</v>
      </c>
      <c r="N1076" s="564" t="s">
        <v>1073</v>
      </c>
      <c r="O1076" s="564" t="s">
        <v>2099</v>
      </c>
      <c r="P1076" s="23"/>
      <c r="Q1076" s="23"/>
      <c r="R1076" s="23"/>
      <c r="S1076" s="23"/>
      <c r="T1076" s="23"/>
      <c r="U1076" s="23"/>
      <c r="V1076" s="23"/>
      <c r="W1076" s="23"/>
      <c r="X1076" s="23"/>
      <c r="Y1076" s="23"/>
      <c r="Z1076" s="23"/>
    </row>
    <row r="1077" spans="1:26" ht="13">
      <c r="A1077" s="562" t="s">
        <v>3430</v>
      </c>
      <c r="B1077" s="563" t="s">
        <v>3431</v>
      </c>
      <c r="C1077" s="564" t="s">
        <v>1475</v>
      </c>
      <c r="D1077" s="565">
        <v>44859</v>
      </c>
      <c r="E1077" s="565">
        <v>44895</v>
      </c>
      <c r="F1077" s="566">
        <v>333000</v>
      </c>
      <c r="G1077" s="564" t="s">
        <v>1123</v>
      </c>
      <c r="H1077" s="564" t="s">
        <v>1123</v>
      </c>
      <c r="I1077" s="564" t="s">
        <v>1581</v>
      </c>
      <c r="J1077" s="564" t="s">
        <v>1069</v>
      </c>
      <c r="K1077" s="564" t="s">
        <v>1070</v>
      </c>
      <c r="L1077" s="564" t="s">
        <v>2098</v>
      </c>
      <c r="M1077" s="564" t="s">
        <v>2098</v>
      </c>
      <c r="N1077" s="564" t="s">
        <v>1082</v>
      </c>
      <c r="O1077" s="564" t="s">
        <v>2099</v>
      </c>
      <c r="P1077" s="23"/>
      <c r="Q1077" s="23"/>
      <c r="R1077" s="23"/>
      <c r="S1077" s="23"/>
      <c r="T1077" s="23"/>
      <c r="U1077" s="23"/>
      <c r="V1077" s="23"/>
      <c r="W1077" s="23"/>
      <c r="X1077" s="23"/>
      <c r="Y1077" s="23"/>
      <c r="Z1077" s="23"/>
    </row>
    <row r="1078" spans="1:26" ht="13">
      <c r="A1078" s="562" t="s">
        <v>3432</v>
      </c>
      <c r="B1078" s="563" t="s">
        <v>3433</v>
      </c>
      <c r="C1078" s="564" t="s">
        <v>1652</v>
      </c>
      <c r="D1078" s="565">
        <v>44855</v>
      </c>
      <c r="E1078" s="565">
        <v>44886</v>
      </c>
      <c r="F1078" s="566">
        <v>4239000</v>
      </c>
      <c r="G1078" s="564" t="s">
        <v>349</v>
      </c>
      <c r="H1078" s="564" t="s">
        <v>349</v>
      </c>
      <c r="I1078" s="564" t="s">
        <v>70</v>
      </c>
      <c r="J1078" s="564" t="s">
        <v>1069</v>
      </c>
      <c r="K1078" s="564" t="s">
        <v>1120</v>
      </c>
      <c r="L1078" s="564" t="s">
        <v>2098</v>
      </c>
      <c r="M1078" s="564" t="s">
        <v>2098</v>
      </c>
      <c r="N1078" s="564" t="s">
        <v>70</v>
      </c>
      <c r="O1078" s="564" t="s">
        <v>2099</v>
      </c>
      <c r="P1078" s="23"/>
      <c r="Q1078" s="23"/>
      <c r="R1078" s="23"/>
      <c r="S1078" s="23"/>
      <c r="T1078" s="23"/>
      <c r="U1078" s="23"/>
      <c r="V1078" s="23"/>
      <c r="W1078" s="23"/>
      <c r="X1078" s="23"/>
      <c r="Y1078" s="23"/>
      <c r="Z1078" s="23"/>
    </row>
    <row r="1079" spans="1:26" ht="13">
      <c r="A1079" s="562" t="s">
        <v>3434</v>
      </c>
      <c r="B1079" s="563" t="s">
        <v>3178</v>
      </c>
      <c r="C1079" s="564" t="s">
        <v>1475</v>
      </c>
      <c r="D1079" s="565">
        <v>44854</v>
      </c>
      <c r="E1079" s="565">
        <v>44895</v>
      </c>
      <c r="F1079" s="566">
        <v>350200</v>
      </c>
      <c r="G1079" s="564" t="s">
        <v>297</v>
      </c>
      <c r="H1079" s="564" t="s">
        <v>297</v>
      </c>
      <c r="I1079" s="564" t="s">
        <v>125</v>
      </c>
      <c r="J1079" s="564" t="s">
        <v>1069</v>
      </c>
      <c r="K1079" s="564" t="s">
        <v>1070</v>
      </c>
      <c r="L1079" s="564" t="s">
        <v>2098</v>
      </c>
      <c r="M1079" s="564" t="s">
        <v>2098</v>
      </c>
      <c r="N1079" s="564" t="s">
        <v>1073</v>
      </c>
      <c r="O1079" s="564" t="s">
        <v>2099</v>
      </c>
      <c r="P1079" s="23"/>
      <c r="Q1079" s="23"/>
      <c r="R1079" s="23"/>
      <c r="S1079" s="23"/>
      <c r="T1079" s="23"/>
      <c r="U1079" s="23"/>
      <c r="V1079" s="23"/>
      <c r="W1079" s="23"/>
      <c r="X1079" s="23"/>
      <c r="Y1079" s="23"/>
      <c r="Z1079" s="23"/>
    </row>
    <row r="1080" spans="1:26" ht="13">
      <c r="A1080" s="562" t="s">
        <v>3435</v>
      </c>
      <c r="B1080" s="563" t="s">
        <v>3436</v>
      </c>
      <c r="C1080" s="564" t="s">
        <v>1652</v>
      </c>
      <c r="D1080" s="565">
        <v>44851</v>
      </c>
      <c r="E1080" s="565">
        <v>44882</v>
      </c>
      <c r="F1080" s="566">
        <v>2720000</v>
      </c>
      <c r="G1080" s="564" t="s">
        <v>349</v>
      </c>
      <c r="H1080" s="564" t="s">
        <v>349</v>
      </c>
      <c r="I1080" s="564" t="s">
        <v>70</v>
      </c>
      <c r="J1080" s="564" t="s">
        <v>1069</v>
      </c>
      <c r="K1080" s="564" t="s">
        <v>1120</v>
      </c>
      <c r="L1080" s="564" t="s">
        <v>2098</v>
      </c>
      <c r="M1080" s="564" t="s">
        <v>2098</v>
      </c>
      <c r="N1080" s="564" t="s">
        <v>70</v>
      </c>
      <c r="O1080" s="564" t="s">
        <v>2099</v>
      </c>
      <c r="P1080" s="23"/>
      <c r="Q1080" s="23"/>
      <c r="R1080" s="23"/>
      <c r="S1080" s="23"/>
      <c r="T1080" s="23"/>
      <c r="U1080" s="23"/>
      <c r="V1080" s="23"/>
      <c r="W1080" s="23"/>
      <c r="X1080" s="23"/>
      <c r="Y1080" s="23"/>
      <c r="Z1080" s="23"/>
    </row>
    <row r="1081" spans="1:26" ht="13">
      <c r="A1081" s="562" t="s">
        <v>3437</v>
      </c>
      <c r="B1081" s="563" t="s">
        <v>3438</v>
      </c>
      <c r="C1081" s="564" t="s">
        <v>353</v>
      </c>
      <c r="D1081" s="565">
        <v>44847</v>
      </c>
      <c r="E1081" s="565">
        <v>44876</v>
      </c>
      <c r="F1081" s="566">
        <v>585000</v>
      </c>
      <c r="G1081" s="564" t="s">
        <v>349</v>
      </c>
      <c r="H1081" s="564" t="s">
        <v>349</v>
      </c>
      <c r="I1081" s="564" t="s">
        <v>45</v>
      </c>
      <c r="J1081" s="564" t="s">
        <v>1069</v>
      </c>
      <c r="K1081" s="564" t="s">
        <v>1090</v>
      </c>
      <c r="L1081" s="564" t="s">
        <v>2098</v>
      </c>
      <c r="M1081" s="564" t="s">
        <v>2098</v>
      </c>
      <c r="N1081" s="564" t="s">
        <v>45</v>
      </c>
      <c r="O1081" s="564" t="s">
        <v>2099</v>
      </c>
      <c r="P1081" s="23"/>
      <c r="Q1081" s="23"/>
      <c r="R1081" s="23"/>
      <c r="S1081" s="23"/>
      <c r="T1081" s="23"/>
      <c r="U1081" s="23"/>
      <c r="V1081" s="23"/>
      <c r="W1081" s="23"/>
      <c r="X1081" s="23"/>
      <c r="Y1081" s="23"/>
      <c r="Z1081" s="23"/>
    </row>
    <row r="1082" spans="1:26" ht="13">
      <c r="A1082" s="562" t="s">
        <v>3439</v>
      </c>
      <c r="B1082" s="563" t="s">
        <v>3440</v>
      </c>
      <c r="C1082" s="564" t="s">
        <v>1652</v>
      </c>
      <c r="D1082" s="565">
        <v>44845</v>
      </c>
      <c r="E1082" s="565">
        <v>44876</v>
      </c>
      <c r="F1082" s="566">
        <v>852000</v>
      </c>
      <c r="G1082" s="564" t="s">
        <v>349</v>
      </c>
      <c r="H1082" s="564" t="s">
        <v>349</v>
      </c>
      <c r="I1082" s="564" t="s">
        <v>70</v>
      </c>
      <c r="J1082" s="564" t="s">
        <v>1069</v>
      </c>
      <c r="K1082" s="564" t="s">
        <v>1120</v>
      </c>
      <c r="L1082" s="564" t="s">
        <v>2098</v>
      </c>
      <c r="M1082" s="564" t="s">
        <v>2098</v>
      </c>
      <c r="N1082" s="564" t="s">
        <v>70</v>
      </c>
      <c r="O1082" s="564" t="s">
        <v>2099</v>
      </c>
      <c r="P1082" s="23"/>
      <c r="Q1082" s="23"/>
      <c r="R1082" s="23"/>
      <c r="S1082" s="23"/>
      <c r="T1082" s="23"/>
      <c r="U1082" s="23"/>
      <c r="V1082" s="23"/>
      <c r="W1082" s="23"/>
      <c r="X1082" s="23"/>
      <c r="Y1082" s="23"/>
      <c r="Z1082" s="23"/>
    </row>
    <row r="1083" spans="1:26" ht="13">
      <c r="A1083" s="562" t="s">
        <v>3441</v>
      </c>
      <c r="B1083" s="563" t="s">
        <v>3442</v>
      </c>
      <c r="C1083" s="564" t="s">
        <v>1652</v>
      </c>
      <c r="D1083" s="565">
        <v>44841</v>
      </c>
      <c r="E1083" s="565">
        <v>44872</v>
      </c>
      <c r="F1083" s="566">
        <v>1790000</v>
      </c>
      <c r="G1083" s="564" t="s">
        <v>349</v>
      </c>
      <c r="H1083" s="564" t="s">
        <v>349</v>
      </c>
      <c r="I1083" s="564" t="s">
        <v>1281</v>
      </c>
      <c r="J1083" s="564" t="s">
        <v>1069</v>
      </c>
      <c r="K1083" s="564" t="s">
        <v>1120</v>
      </c>
      <c r="L1083" s="564" t="s">
        <v>2098</v>
      </c>
      <c r="M1083" s="564" t="s">
        <v>2098</v>
      </c>
      <c r="N1083" s="564" t="s">
        <v>1073</v>
      </c>
      <c r="O1083" s="564" t="s">
        <v>2099</v>
      </c>
      <c r="P1083" s="23"/>
      <c r="Q1083" s="23"/>
      <c r="R1083" s="23"/>
      <c r="S1083" s="23"/>
      <c r="T1083" s="23"/>
      <c r="U1083" s="23"/>
      <c r="V1083" s="23"/>
      <c r="W1083" s="23"/>
      <c r="X1083" s="23"/>
      <c r="Y1083" s="23"/>
      <c r="Z1083" s="23"/>
    </row>
    <row r="1084" spans="1:26" ht="13">
      <c r="A1084" s="562" t="s">
        <v>3443</v>
      </c>
      <c r="B1084" s="563" t="s">
        <v>3444</v>
      </c>
      <c r="C1084" s="564" t="s">
        <v>1652</v>
      </c>
      <c r="D1084" s="565">
        <v>44841</v>
      </c>
      <c r="E1084" s="565">
        <v>44872</v>
      </c>
      <c r="F1084" s="566">
        <v>190000</v>
      </c>
      <c r="G1084" s="564" t="s">
        <v>349</v>
      </c>
      <c r="H1084" s="564" t="s">
        <v>349</v>
      </c>
      <c r="I1084" s="564" t="s">
        <v>70</v>
      </c>
      <c r="J1084" s="564" t="s">
        <v>1069</v>
      </c>
      <c r="K1084" s="564" t="s">
        <v>1120</v>
      </c>
      <c r="L1084" s="564" t="s">
        <v>2098</v>
      </c>
      <c r="M1084" s="564" t="s">
        <v>2098</v>
      </c>
      <c r="N1084" s="564" t="s">
        <v>70</v>
      </c>
      <c r="O1084" s="564" t="s">
        <v>2099</v>
      </c>
      <c r="P1084" s="23"/>
      <c r="Q1084" s="23"/>
      <c r="R1084" s="23"/>
      <c r="S1084" s="23"/>
      <c r="T1084" s="23"/>
      <c r="U1084" s="23"/>
      <c r="V1084" s="23"/>
      <c r="W1084" s="23"/>
      <c r="X1084" s="23"/>
      <c r="Y1084" s="23"/>
      <c r="Z1084" s="23"/>
    </row>
    <row r="1085" spans="1:26" ht="13">
      <c r="A1085" s="562" t="s">
        <v>3445</v>
      </c>
      <c r="B1085" s="563" t="s">
        <v>3446</v>
      </c>
      <c r="C1085" s="564" t="s">
        <v>1652</v>
      </c>
      <c r="D1085" s="565">
        <v>44840</v>
      </c>
      <c r="E1085" s="565">
        <v>44869</v>
      </c>
      <c r="F1085" s="566">
        <v>1459000</v>
      </c>
      <c r="G1085" s="564" t="s">
        <v>349</v>
      </c>
      <c r="H1085" s="564" t="s">
        <v>349</v>
      </c>
      <c r="I1085" s="564" t="s">
        <v>70</v>
      </c>
      <c r="J1085" s="564" t="s">
        <v>1069</v>
      </c>
      <c r="K1085" s="564" t="s">
        <v>1120</v>
      </c>
      <c r="L1085" s="564" t="s">
        <v>2098</v>
      </c>
      <c r="M1085" s="564" t="s">
        <v>2098</v>
      </c>
      <c r="N1085" s="564" t="s">
        <v>70</v>
      </c>
      <c r="O1085" s="564" t="s">
        <v>2099</v>
      </c>
      <c r="P1085" s="23"/>
      <c r="Q1085" s="23"/>
      <c r="R1085" s="23"/>
      <c r="S1085" s="23"/>
      <c r="T1085" s="23"/>
      <c r="U1085" s="23"/>
      <c r="V1085" s="23"/>
      <c r="W1085" s="23"/>
      <c r="X1085" s="23"/>
      <c r="Y1085" s="23"/>
      <c r="Z1085" s="23"/>
    </row>
    <row r="1086" spans="1:26" ht="13">
      <c r="A1086" s="562" t="s">
        <v>3447</v>
      </c>
      <c r="B1086" s="563" t="s">
        <v>3448</v>
      </c>
      <c r="C1086" s="564" t="s">
        <v>1475</v>
      </c>
      <c r="D1086" s="565">
        <v>44833</v>
      </c>
      <c r="E1086" s="565">
        <v>44862</v>
      </c>
      <c r="F1086" s="566">
        <v>117200</v>
      </c>
      <c r="G1086" s="564" t="s">
        <v>349</v>
      </c>
      <c r="H1086" s="564" t="s">
        <v>349</v>
      </c>
      <c r="I1086" s="564" t="s">
        <v>1149</v>
      </c>
      <c r="J1086" s="564" t="s">
        <v>1069</v>
      </c>
      <c r="K1086" s="564" t="s">
        <v>1070</v>
      </c>
      <c r="L1086" s="564" t="s">
        <v>2098</v>
      </c>
      <c r="M1086" s="564" t="s">
        <v>2098</v>
      </c>
      <c r="N1086" s="564" t="s">
        <v>1073</v>
      </c>
      <c r="O1086" s="564" t="s">
        <v>2099</v>
      </c>
      <c r="P1086" s="23"/>
      <c r="Q1086" s="23"/>
      <c r="R1086" s="23"/>
      <c r="S1086" s="23"/>
      <c r="T1086" s="23"/>
      <c r="U1086" s="23"/>
      <c r="V1086" s="23"/>
      <c r="W1086" s="23"/>
      <c r="X1086" s="23"/>
      <c r="Y1086" s="23"/>
      <c r="Z1086" s="23"/>
    </row>
    <row r="1087" spans="1:26" ht="13">
      <c r="A1087" s="562" t="s">
        <v>3449</v>
      </c>
      <c r="B1087" s="563" t="s">
        <v>3450</v>
      </c>
      <c r="C1087" s="564" t="s">
        <v>1652</v>
      </c>
      <c r="D1087" s="565">
        <v>44832</v>
      </c>
      <c r="E1087" s="565">
        <v>44862</v>
      </c>
      <c r="F1087" s="566">
        <v>2720000</v>
      </c>
      <c r="G1087" s="564" t="s">
        <v>349</v>
      </c>
      <c r="H1087" s="564" t="s">
        <v>349</v>
      </c>
      <c r="I1087" s="564" t="s">
        <v>70</v>
      </c>
      <c r="J1087" s="564" t="s">
        <v>1069</v>
      </c>
      <c r="K1087" s="564" t="s">
        <v>1120</v>
      </c>
      <c r="L1087" s="564" t="s">
        <v>2098</v>
      </c>
      <c r="M1087" s="564" t="s">
        <v>2098</v>
      </c>
      <c r="N1087" s="564" t="s">
        <v>70</v>
      </c>
      <c r="O1087" s="564" t="s">
        <v>2099</v>
      </c>
      <c r="P1087" s="23"/>
      <c r="Q1087" s="23"/>
      <c r="R1087" s="23"/>
      <c r="S1087" s="23"/>
      <c r="T1087" s="23"/>
      <c r="U1087" s="23"/>
      <c r="V1087" s="23"/>
      <c r="W1087" s="23"/>
      <c r="X1087" s="23"/>
      <c r="Y1087" s="23"/>
      <c r="Z1087" s="23"/>
    </row>
    <row r="1088" spans="1:26" ht="13">
      <c r="A1088" s="562" t="s">
        <v>3451</v>
      </c>
      <c r="B1088" s="563" t="s">
        <v>3452</v>
      </c>
      <c r="C1088" s="564" t="s">
        <v>1652</v>
      </c>
      <c r="D1088" s="565">
        <v>44827</v>
      </c>
      <c r="E1088" s="565">
        <v>44855</v>
      </c>
      <c r="F1088" s="566">
        <v>1329000</v>
      </c>
      <c r="G1088" s="564" t="s">
        <v>349</v>
      </c>
      <c r="H1088" s="564" t="s">
        <v>349</v>
      </c>
      <c r="I1088" s="564" t="s">
        <v>1223</v>
      </c>
      <c r="J1088" s="564" t="s">
        <v>1069</v>
      </c>
      <c r="K1088" s="564" t="s">
        <v>1120</v>
      </c>
      <c r="L1088" s="564" t="s">
        <v>2098</v>
      </c>
      <c r="M1088" s="564" t="s">
        <v>2098</v>
      </c>
      <c r="N1088" s="564" t="s">
        <v>1073</v>
      </c>
      <c r="O1088" s="564" t="s">
        <v>2099</v>
      </c>
      <c r="P1088" s="23"/>
      <c r="Q1088" s="23"/>
      <c r="R1088" s="23"/>
      <c r="S1088" s="23"/>
      <c r="T1088" s="23"/>
      <c r="U1088" s="23"/>
      <c r="V1088" s="23"/>
      <c r="W1088" s="23"/>
      <c r="X1088" s="23"/>
      <c r="Y1088" s="23"/>
      <c r="Z1088" s="23"/>
    </row>
    <row r="1089" spans="1:26" ht="13">
      <c r="A1089" s="562" t="s">
        <v>3453</v>
      </c>
      <c r="B1089" s="563" t="s">
        <v>3454</v>
      </c>
      <c r="C1089" s="564" t="s">
        <v>1652</v>
      </c>
      <c r="D1089" s="565">
        <v>44830</v>
      </c>
      <c r="E1089" s="565">
        <v>44860</v>
      </c>
      <c r="F1089" s="566">
        <v>163800</v>
      </c>
      <c r="G1089" s="564" t="s">
        <v>349</v>
      </c>
      <c r="H1089" s="564" t="s">
        <v>349</v>
      </c>
      <c r="I1089" s="564" t="s">
        <v>70</v>
      </c>
      <c r="J1089" s="564" t="s">
        <v>1069</v>
      </c>
      <c r="K1089" s="564" t="s">
        <v>1120</v>
      </c>
      <c r="L1089" s="564" t="s">
        <v>2098</v>
      </c>
      <c r="M1089" s="564" t="s">
        <v>2098</v>
      </c>
      <c r="N1089" s="564" t="s">
        <v>70</v>
      </c>
      <c r="O1089" s="564" t="s">
        <v>2099</v>
      </c>
      <c r="P1089" s="23"/>
      <c r="Q1089" s="23"/>
      <c r="R1089" s="23"/>
      <c r="S1089" s="23"/>
      <c r="T1089" s="23"/>
      <c r="U1089" s="23"/>
      <c r="V1089" s="23"/>
      <c r="W1089" s="23"/>
      <c r="X1089" s="23"/>
      <c r="Y1089" s="23"/>
      <c r="Z1089" s="23"/>
    </row>
    <row r="1090" spans="1:26" ht="13">
      <c r="A1090" s="562" t="s">
        <v>3455</v>
      </c>
      <c r="B1090" s="563" t="s">
        <v>3456</v>
      </c>
      <c r="C1090" s="564" t="s">
        <v>1652</v>
      </c>
      <c r="D1090" s="565">
        <v>44830</v>
      </c>
      <c r="E1090" s="565">
        <v>44860</v>
      </c>
      <c r="F1090" s="566">
        <v>91000</v>
      </c>
      <c r="G1090" s="564" t="s">
        <v>349</v>
      </c>
      <c r="H1090" s="564" t="s">
        <v>349</v>
      </c>
      <c r="I1090" s="564" t="s">
        <v>70</v>
      </c>
      <c r="J1090" s="564" t="s">
        <v>1069</v>
      </c>
      <c r="K1090" s="564" t="s">
        <v>1120</v>
      </c>
      <c r="L1090" s="564" t="s">
        <v>2098</v>
      </c>
      <c r="M1090" s="564" t="s">
        <v>2098</v>
      </c>
      <c r="N1090" s="564" t="s">
        <v>70</v>
      </c>
      <c r="O1090" s="564" t="s">
        <v>2099</v>
      </c>
      <c r="P1090" s="23"/>
      <c r="Q1090" s="23"/>
      <c r="R1090" s="23"/>
      <c r="S1090" s="23"/>
      <c r="T1090" s="23"/>
      <c r="U1090" s="23"/>
      <c r="V1090" s="23"/>
      <c r="W1090" s="23"/>
      <c r="X1090" s="23"/>
      <c r="Y1090" s="23"/>
      <c r="Z1090" s="23"/>
    </row>
    <row r="1091" spans="1:26" ht="13">
      <c r="A1091" s="562" t="s">
        <v>3457</v>
      </c>
      <c r="B1091" s="563" t="s">
        <v>3458</v>
      </c>
      <c r="C1091" s="564" t="s">
        <v>1652</v>
      </c>
      <c r="D1091" s="565">
        <v>44825</v>
      </c>
      <c r="E1091" s="565">
        <v>44855</v>
      </c>
      <c r="F1091" s="566">
        <v>578000</v>
      </c>
      <c r="G1091" s="564" t="s">
        <v>349</v>
      </c>
      <c r="H1091" s="564" t="s">
        <v>349</v>
      </c>
      <c r="I1091" s="564" t="s">
        <v>70</v>
      </c>
      <c r="J1091" s="564" t="s">
        <v>1069</v>
      </c>
      <c r="K1091" s="564" t="s">
        <v>1120</v>
      </c>
      <c r="L1091" s="564" t="s">
        <v>2098</v>
      </c>
      <c r="M1091" s="564" t="s">
        <v>2098</v>
      </c>
      <c r="N1091" s="564" t="s">
        <v>70</v>
      </c>
      <c r="O1091" s="564" t="s">
        <v>2099</v>
      </c>
      <c r="P1091" s="23"/>
      <c r="Q1091" s="23"/>
      <c r="R1091" s="23"/>
      <c r="S1091" s="23"/>
      <c r="T1091" s="23"/>
      <c r="U1091" s="23"/>
      <c r="V1091" s="23"/>
      <c r="W1091" s="23"/>
      <c r="X1091" s="23"/>
      <c r="Y1091" s="23"/>
      <c r="Z1091" s="23"/>
    </row>
    <row r="1092" spans="1:26" ht="13">
      <c r="A1092" s="562" t="s">
        <v>3459</v>
      </c>
      <c r="B1092" s="563" t="s">
        <v>3460</v>
      </c>
      <c r="C1092" s="564" t="s">
        <v>1652</v>
      </c>
      <c r="D1092" s="565">
        <v>44824</v>
      </c>
      <c r="E1092" s="565">
        <v>44854</v>
      </c>
      <c r="F1092" s="566">
        <v>2840000</v>
      </c>
      <c r="G1092" s="564" t="s">
        <v>349</v>
      </c>
      <c r="H1092" s="564" t="s">
        <v>349</v>
      </c>
      <c r="I1092" s="564" t="s">
        <v>70</v>
      </c>
      <c r="J1092" s="564" t="s">
        <v>1069</v>
      </c>
      <c r="K1092" s="564" t="s">
        <v>1120</v>
      </c>
      <c r="L1092" s="564" t="s">
        <v>2098</v>
      </c>
      <c r="M1092" s="564" t="s">
        <v>2098</v>
      </c>
      <c r="N1092" s="564" t="s">
        <v>70</v>
      </c>
      <c r="O1092" s="564" t="s">
        <v>2099</v>
      </c>
      <c r="P1092" s="23"/>
      <c r="Q1092" s="23"/>
      <c r="R1092" s="23"/>
      <c r="S1092" s="23"/>
      <c r="T1092" s="23"/>
      <c r="U1092" s="23"/>
      <c r="V1092" s="23"/>
      <c r="W1092" s="23"/>
      <c r="X1092" s="23"/>
      <c r="Y1092" s="23"/>
      <c r="Z1092" s="23"/>
    </row>
    <row r="1093" spans="1:26" ht="13">
      <c r="A1093" s="562" t="s">
        <v>3461</v>
      </c>
      <c r="B1093" s="563" t="s">
        <v>3462</v>
      </c>
      <c r="C1093" s="564" t="s">
        <v>353</v>
      </c>
      <c r="D1093" s="565">
        <v>44819</v>
      </c>
      <c r="E1093" s="565">
        <v>44864</v>
      </c>
      <c r="F1093" s="566">
        <v>45222000</v>
      </c>
      <c r="G1093" s="564" t="s">
        <v>1128</v>
      </c>
      <c r="H1093" s="564" t="s">
        <v>1128</v>
      </c>
      <c r="I1093" s="564" t="s">
        <v>45</v>
      </c>
      <c r="J1093" s="564" t="s">
        <v>1069</v>
      </c>
      <c r="K1093" s="564" t="s">
        <v>1090</v>
      </c>
      <c r="L1093" s="564" t="s">
        <v>2098</v>
      </c>
      <c r="M1093" s="564" t="s">
        <v>2098</v>
      </c>
      <c r="N1093" s="564" t="s">
        <v>45</v>
      </c>
      <c r="O1093" s="564" t="s">
        <v>2099</v>
      </c>
      <c r="P1093" s="23"/>
      <c r="Q1093" s="23"/>
      <c r="R1093" s="23"/>
      <c r="S1093" s="23"/>
      <c r="T1093" s="23"/>
      <c r="U1093" s="23"/>
      <c r="V1093" s="23"/>
      <c r="W1093" s="23"/>
      <c r="X1093" s="23"/>
      <c r="Y1093" s="23"/>
      <c r="Z1093" s="23"/>
    </row>
    <row r="1094" spans="1:26" ht="13">
      <c r="A1094" s="562" t="s">
        <v>3463</v>
      </c>
      <c r="B1094" s="563" t="s">
        <v>3464</v>
      </c>
      <c r="C1094" s="564" t="s">
        <v>353</v>
      </c>
      <c r="D1094" s="565">
        <v>44819</v>
      </c>
      <c r="E1094" s="565">
        <v>44834</v>
      </c>
      <c r="F1094" s="566">
        <v>431685000</v>
      </c>
      <c r="G1094" s="564" t="s">
        <v>1128</v>
      </c>
      <c r="H1094" s="564" t="s">
        <v>1128</v>
      </c>
      <c r="I1094" s="564" t="s">
        <v>45</v>
      </c>
      <c r="J1094" s="564" t="s">
        <v>1069</v>
      </c>
      <c r="K1094" s="564" t="s">
        <v>1090</v>
      </c>
      <c r="L1094" s="564" t="s">
        <v>2098</v>
      </c>
      <c r="M1094" s="564" t="s">
        <v>2098</v>
      </c>
      <c r="N1094" s="564" t="s">
        <v>45</v>
      </c>
      <c r="O1094" s="564" t="s">
        <v>2099</v>
      </c>
      <c r="P1094" s="23"/>
      <c r="Q1094" s="23"/>
      <c r="R1094" s="23"/>
      <c r="S1094" s="23"/>
      <c r="T1094" s="23"/>
      <c r="U1094" s="23"/>
      <c r="V1094" s="23"/>
      <c r="W1094" s="23"/>
      <c r="X1094" s="23"/>
      <c r="Y1094" s="23"/>
      <c r="Z1094" s="23"/>
    </row>
    <row r="1095" spans="1:26" ht="13">
      <c r="A1095" s="562" t="s">
        <v>3465</v>
      </c>
      <c r="B1095" s="563" t="s">
        <v>3466</v>
      </c>
      <c r="C1095" s="564" t="s">
        <v>1114</v>
      </c>
      <c r="D1095" s="565">
        <v>44820</v>
      </c>
      <c r="E1095" s="565">
        <v>44827</v>
      </c>
      <c r="F1095" s="566">
        <v>400000</v>
      </c>
      <c r="G1095" s="564" t="s">
        <v>1116</v>
      </c>
      <c r="H1095" s="564" t="s">
        <v>1116</v>
      </c>
      <c r="I1095" s="564" t="s">
        <v>70</v>
      </c>
      <c r="J1095" s="564" t="s">
        <v>1069</v>
      </c>
      <c r="K1095" s="564" t="s">
        <v>1120</v>
      </c>
      <c r="L1095" s="564" t="s">
        <v>2098</v>
      </c>
      <c r="M1095" s="564" t="s">
        <v>2098</v>
      </c>
      <c r="N1095" s="564" t="s">
        <v>70</v>
      </c>
      <c r="O1095" s="564" t="s">
        <v>2099</v>
      </c>
      <c r="P1095" s="23"/>
      <c r="Q1095" s="23"/>
      <c r="R1095" s="23"/>
      <c r="S1095" s="23"/>
      <c r="T1095" s="23"/>
      <c r="U1095" s="23"/>
      <c r="V1095" s="23"/>
      <c r="W1095" s="23"/>
      <c r="X1095" s="23"/>
      <c r="Y1095" s="23"/>
      <c r="Z1095" s="23"/>
    </row>
    <row r="1096" spans="1:26" ht="13">
      <c r="A1096" s="562" t="s">
        <v>3467</v>
      </c>
      <c r="B1096" s="563" t="s">
        <v>3468</v>
      </c>
      <c r="C1096" s="564" t="s">
        <v>1652</v>
      </c>
      <c r="D1096" s="565">
        <v>44820</v>
      </c>
      <c r="E1096" s="565">
        <v>44827</v>
      </c>
      <c r="F1096" s="566">
        <v>578000</v>
      </c>
      <c r="G1096" s="564" t="s">
        <v>349</v>
      </c>
      <c r="H1096" s="564" t="s">
        <v>349</v>
      </c>
      <c r="I1096" s="564" t="s">
        <v>70</v>
      </c>
      <c r="J1096" s="564" t="s">
        <v>1069</v>
      </c>
      <c r="K1096" s="564" t="s">
        <v>1120</v>
      </c>
      <c r="L1096" s="564" t="s">
        <v>2098</v>
      </c>
      <c r="M1096" s="564" t="s">
        <v>2098</v>
      </c>
      <c r="N1096" s="564" t="s">
        <v>70</v>
      </c>
      <c r="O1096" s="564" t="s">
        <v>2099</v>
      </c>
      <c r="P1096" s="23"/>
      <c r="Q1096" s="23"/>
      <c r="R1096" s="23"/>
      <c r="S1096" s="23"/>
      <c r="T1096" s="23"/>
      <c r="U1096" s="23"/>
      <c r="V1096" s="23"/>
      <c r="W1096" s="23"/>
      <c r="X1096" s="23"/>
      <c r="Y1096" s="23"/>
      <c r="Z1096" s="23"/>
    </row>
    <row r="1097" spans="1:26" ht="13">
      <c r="A1097" s="562" t="s">
        <v>3469</v>
      </c>
      <c r="B1097" s="563" t="s">
        <v>3470</v>
      </c>
      <c r="C1097" s="564" t="s">
        <v>1652</v>
      </c>
      <c r="D1097" s="565">
        <v>44818</v>
      </c>
      <c r="E1097" s="565">
        <v>44832</v>
      </c>
      <c r="F1097" s="566">
        <v>1360000</v>
      </c>
      <c r="G1097" s="564" t="s">
        <v>349</v>
      </c>
      <c r="H1097" s="564" t="s">
        <v>349</v>
      </c>
      <c r="I1097" s="564" t="s">
        <v>1223</v>
      </c>
      <c r="J1097" s="564" t="s">
        <v>1069</v>
      </c>
      <c r="K1097" s="564" t="s">
        <v>1120</v>
      </c>
      <c r="L1097" s="564" t="s">
        <v>2098</v>
      </c>
      <c r="M1097" s="564" t="s">
        <v>2098</v>
      </c>
      <c r="N1097" s="564" t="s">
        <v>1073</v>
      </c>
      <c r="O1097" s="564" t="s">
        <v>2099</v>
      </c>
      <c r="P1097" s="23"/>
      <c r="Q1097" s="23"/>
      <c r="R1097" s="23"/>
      <c r="S1097" s="23"/>
      <c r="T1097" s="23"/>
      <c r="U1097" s="23"/>
      <c r="V1097" s="23"/>
      <c r="W1097" s="23"/>
      <c r="X1097" s="23"/>
      <c r="Y1097" s="23"/>
      <c r="Z1097" s="23"/>
    </row>
    <row r="1098" spans="1:26" ht="13">
      <c r="A1098" s="562" t="s">
        <v>3471</v>
      </c>
      <c r="B1098" s="563" t="s">
        <v>3088</v>
      </c>
      <c r="C1098" s="564" t="s">
        <v>353</v>
      </c>
      <c r="D1098" s="565">
        <v>44819</v>
      </c>
      <c r="E1098" s="565">
        <v>44827</v>
      </c>
      <c r="F1098" s="566">
        <v>140000</v>
      </c>
      <c r="G1098" s="564" t="s">
        <v>1128</v>
      </c>
      <c r="H1098" s="564" t="s">
        <v>1128</v>
      </c>
      <c r="I1098" s="564" t="s">
        <v>45</v>
      </c>
      <c r="J1098" s="564" t="s">
        <v>1069</v>
      </c>
      <c r="K1098" s="564" t="s">
        <v>1090</v>
      </c>
      <c r="L1098" s="564" t="s">
        <v>2098</v>
      </c>
      <c r="M1098" s="564" t="s">
        <v>2098</v>
      </c>
      <c r="N1098" s="564" t="s">
        <v>45</v>
      </c>
      <c r="O1098" s="564" t="s">
        <v>2099</v>
      </c>
      <c r="P1098" s="23"/>
      <c r="Q1098" s="23"/>
      <c r="R1098" s="23"/>
      <c r="S1098" s="23"/>
      <c r="T1098" s="23"/>
      <c r="U1098" s="23"/>
      <c r="V1098" s="23"/>
      <c r="W1098" s="23"/>
      <c r="X1098" s="23"/>
      <c r="Y1098" s="23"/>
      <c r="Z1098" s="23"/>
    </row>
    <row r="1099" spans="1:26" ht="13">
      <c r="A1099" s="562" t="s">
        <v>3472</v>
      </c>
      <c r="B1099" s="563" t="s">
        <v>3473</v>
      </c>
      <c r="C1099" s="564" t="s">
        <v>1652</v>
      </c>
      <c r="D1099" s="565">
        <v>44818</v>
      </c>
      <c r="E1099" s="565">
        <v>44834</v>
      </c>
      <c r="F1099" s="566">
        <v>2819000</v>
      </c>
      <c r="G1099" s="564" t="s">
        <v>349</v>
      </c>
      <c r="H1099" s="564" t="s">
        <v>349</v>
      </c>
      <c r="I1099" s="564" t="s">
        <v>70</v>
      </c>
      <c r="J1099" s="564" t="s">
        <v>1069</v>
      </c>
      <c r="K1099" s="564" t="s">
        <v>1120</v>
      </c>
      <c r="L1099" s="564" t="s">
        <v>2098</v>
      </c>
      <c r="M1099" s="564" t="s">
        <v>2098</v>
      </c>
      <c r="N1099" s="564" t="s">
        <v>70</v>
      </c>
      <c r="O1099" s="564" t="s">
        <v>2099</v>
      </c>
      <c r="P1099" s="23"/>
      <c r="Q1099" s="23"/>
      <c r="R1099" s="23"/>
      <c r="S1099" s="23"/>
      <c r="T1099" s="23"/>
      <c r="U1099" s="23"/>
      <c r="V1099" s="23"/>
      <c r="W1099" s="23"/>
      <c r="X1099" s="23"/>
      <c r="Y1099" s="23"/>
      <c r="Z1099" s="23"/>
    </row>
    <row r="1100" spans="1:26" ht="13">
      <c r="A1100" s="562" t="s">
        <v>3474</v>
      </c>
      <c r="B1100" s="563" t="s">
        <v>3328</v>
      </c>
      <c r="C1100" s="564" t="s">
        <v>353</v>
      </c>
      <c r="D1100" s="565">
        <v>44817</v>
      </c>
      <c r="E1100" s="565">
        <v>44823</v>
      </c>
      <c r="F1100" s="566">
        <v>228000</v>
      </c>
      <c r="G1100" s="564" t="s">
        <v>349</v>
      </c>
      <c r="H1100" s="564" t="s">
        <v>349</v>
      </c>
      <c r="I1100" s="564" t="s">
        <v>64</v>
      </c>
      <c r="J1100" s="564" t="s">
        <v>1069</v>
      </c>
      <c r="K1100" s="564" t="s">
        <v>1090</v>
      </c>
      <c r="L1100" s="564" t="s">
        <v>2098</v>
      </c>
      <c r="M1100" s="564" t="s">
        <v>2098</v>
      </c>
      <c r="N1100" s="564" t="s">
        <v>64</v>
      </c>
      <c r="O1100" s="564" t="s">
        <v>2099</v>
      </c>
      <c r="P1100" s="23"/>
      <c r="Q1100" s="23"/>
      <c r="R1100" s="23"/>
      <c r="S1100" s="23"/>
      <c r="T1100" s="23"/>
      <c r="U1100" s="23"/>
      <c r="V1100" s="23"/>
      <c r="W1100" s="23"/>
      <c r="X1100" s="23"/>
      <c r="Y1100" s="23"/>
      <c r="Z1100" s="23"/>
    </row>
    <row r="1101" spans="1:26" ht="13">
      <c r="A1101" s="562" t="s">
        <v>3475</v>
      </c>
      <c r="B1101" s="563" t="s">
        <v>3476</v>
      </c>
      <c r="C1101" s="564" t="s">
        <v>353</v>
      </c>
      <c r="D1101" s="565">
        <v>44817</v>
      </c>
      <c r="E1101" s="565">
        <v>44823</v>
      </c>
      <c r="F1101" s="566">
        <v>342000</v>
      </c>
      <c r="G1101" s="564" t="s">
        <v>349</v>
      </c>
      <c r="H1101" s="564" t="s">
        <v>349</v>
      </c>
      <c r="I1101" s="564" t="s">
        <v>64</v>
      </c>
      <c r="J1101" s="564" t="s">
        <v>1069</v>
      </c>
      <c r="K1101" s="564" t="s">
        <v>1090</v>
      </c>
      <c r="L1101" s="564" t="s">
        <v>2098</v>
      </c>
      <c r="M1101" s="564" t="s">
        <v>2098</v>
      </c>
      <c r="N1101" s="564" t="s">
        <v>64</v>
      </c>
      <c r="O1101" s="564" t="s">
        <v>2099</v>
      </c>
      <c r="P1101" s="23"/>
      <c r="Q1101" s="23"/>
      <c r="R1101" s="23"/>
      <c r="S1101" s="23"/>
      <c r="T1101" s="23"/>
      <c r="U1101" s="23"/>
      <c r="V1101" s="23"/>
      <c r="W1101" s="23"/>
      <c r="X1101" s="23"/>
      <c r="Y1101" s="23"/>
      <c r="Z1101" s="23"/>
    </row>
    <row r="1102" spans="1:26" ht="13">
      <c r="A1102" s="562" t="s">
        <v>3477</v>
      </c>
      <c r="B1102" s="563" t="s">
        <v>3478</v>
      </c>
      <c r="C1102" s="564" t="s">
        <v>1652</v>
      </c>
      <c r="D1102" s="565">
        <v>44810</v>
      </c>
      <c r="E1102" s="565">
        <v>44834</v>
      </c>
      <c r="F1102" s="566">
        <v>1804560</v>
      </c>
      <c r="G1102" s="564" t="s">
        <v>297</v>
      </c>
      <c r="H1102" s="564" t="s">
        <v>297</v>
      </c>
      <c r="I1102" s="564" t="s">
        <v>1223</v>
      </c>
      <c r="J1102" s="564" t="s">
        <v>1069</v>
      </c>
      <c r="K1102" s="564" t="s">
        <v>1120</v>
      </c>
      <c r="L1102" s="564" t="s">
        <v>2098</v>
      </c>
      <c r="M1102" s="564" t="s">
        <v>2098</v>
      </c>
      <c r="N1102" s="564" t="s">
        <v>1073</v>
      </c>
      <c r="O1102" s="564" t="s">
        <v>2099</v>
      </c>
      <c r="P1102" s="23"/>
      <c r="Q1102" s="23"/>
      <c r="R1102" s="23"/>
      <c r="S1102" s="23"/>
      <c r="T1102" s="23"/>
      <c r="U1102" s="23"/>
      <c r="V1102" s="23"/>
      <c r="W1102" s="23"/>
      <c r="X1102" s="23"/>
      <c r="Y1102" s="23"/>
      <c r="Z1102" s="23"/>
    </row>
    <row r="1103" spans="1:26" ht="13">
      <c r="A1103" s="562" t="s">
        <v>3479</v>
      </c>
      <c r="B1103" s="563" t="s">
        <v>3373</v>
      </c>
      <c r="C1103" s="564" t="s">
        <v>1652</v>
      </c>
      <c r="D1103" s="565">
        <v>44811</v>
      </c>
      <c r="E1103" s="565">
        <v>44834</v>
      </c>
      <c r="F1103" s="566">
        <v>840000</v>
      </c>
      <c r="G1103" s="564" t="s">
        <v>349</v>
      </c>
      <c r="H1103" s="564" t="s">
        <v>349</v>
      </c>
      <c r="I1103" s="564" t="s">
        <v>195</v>
      </c>
      <c r="J1103" s="564" t="s">
        <v>1069</v>
      </c>
      <c r="K1103" s="564" t="s">
        <v>1120</v>
      </c>
      <c r="L1103" s="564" t="s">
        <v>2098</v>
      </c>
      <c r="M1103" s="564" t="s">
        <v>2098</v>
      </c>
      <c r="N1103" s="564" t="s">
        <v>1073</v>
      </c>
      <c r="O1103" s="564" t="s">
        <v>2099</v>
      </c>
      <c r="P1103" s="23"/>
      <c r="Q1103" s="23"/>
      <c r="R1103" s="23"/>
      <c r="S1103" s="23"/>
      <c r="T1103" s="23"/>
      <c r="U1103" s="23"/>
      <c r="V1103" s="23"/>
      <c r="W1103" s="23"/>
      <c r="X1103" s="23"/>
      <c r="Y1103" s="23"/>
      <c r="Z1103" s="23"/>
    </row>
    <row r="1104" spans="1:26" ht="13">
      <c r="A1104" s="562" t="s">
        <v>3480</v>
      </c>
      <c r="B1104" s="563" t="s">
        <v>3470</v>
      </c>
      <c r="C1104" s="564" t="s">
        <v>1652</v>
      </c>
      <c r="D1104" s="565">
        <v>44810</v>
      </c>
      <c r="E1104" s="565">
        <v>44824</v>
      </c>
      <c r="F1104" s="566">
        <v>1360000</v>
      </c>
      <c r="G1104" s="564" t="s">
        <v>349</v>
      </c>
      <c r="H1104" s="564" t="s">
        <v>349</v>
      </c>
      <c r="I1104" s="564" t="s">
        <v>1223</v>
      </c>
      <c r="J1104" s="564" t="s">
        <v>1069</v>
      </c>
      <c r="K1104" s="564" t="s">
        <v>1120</v>
      </c>
      <c r="L1104" s="564" t="s">
        <v>2098</v>
      </c>
      <c r="M1104" s="564" t="s">
        <v>2098</v>
      </c>
      <c r="N1104" s="564" t="s">
        <v>1073</v>
      </c>
      <c r="O1104" s="564" t="s">
        <v>2099</v>
      </c>
      <c r="P1104" s="23"/>
      <c r="Q1104" s="23"/>
      <c r="R1104" s="23"/>
      <c r="S1104" s="23"/>
      <c r="T1104" s="23"/>
      <c r="U1104" s="23"/>
      <c r="V1104" s="23"/>
      <c r="W1104" s="23"/>
      <c r="X1104" s="23"/>
      <c r="Y1104" s="23"/>
      <c r="Z1104" s="23"/>
    </row>
    <row r="1105" spans="1:26" ht="13">
      <c r="A1105" s="562" t="s">
        <v>3481</v>
      </c>
      <c r="B1105" s="563" t="s">
        <v>3482</v>
      </c>
      <c r="C1105" s="564" t="s">
        <v>1652</v>
      </c>
      <c r="D1105" s="565">
        <v>44804</v>
      </c>
      <c r="E1105" s="565">
        <v>44834</v>
      </c>
      <c r="F1105" s="566">
        <v>198000</v>
      </c>
      <c r="G1105" s="564" t="s">
        <v>349</v>
      </c>
      <c r="H1105" s="564" t="s">
        <v>349</v>
      </c>
      <c r="I1105" s="564" t="s">
        <v>1223</v>
      </c>
      <c r="J1105" s="564" t="s">
        <v>1069</v>
      </c>
      <c r="K1105" s="564" t="s">
        <v>1120</v>
      </c>
      <c r="L1105" s="564" t="s">
        <v>2098</v>
      </c>
      <c r="M1105" s="564" t="s">
        <v>2098</v>
      </c>
      <c r="N1105" s="564" t="s">
        <v>1073</v>
      </c>
      <c r="O1105" s="564" t="s">
        <v>2099</v>
      </c>
      <c r="P1105" s="23"/>
      <c r="Q1105" s="23"/>
      <c r="R1105" s="23"/>
      <c r="S1105" s="23"/>
      <c r="T1105" s="23"/>
      <c r="U1105" s="23"/>
      <c r="V1105" s="23"/>
      <c r="W1105" s="23"/>
      <c r="X1105" s="23"/>
      <c r="Y1105" s="23"/>
      <c r="Z1105" s="23"/>
    </row>
    <row r="1106" spans="1:26" ht="13">
      <c r="A1106" s="562" t="s">
        <v>3483</v>
      </c>
      <c r="B1106" s="563" t="s">
        <v>3470</v>
      </c>
      <c r="C1106" s="564" t="s">
        <v>1652</v>
      </c>
      <c r="D1106" s="565">
        <v>44802</v>
      </c>
      <c r="E1106" s="565">
        <v>44816</v>
      </c>
      <c r="F1106" s="566">
        <v>1360000</v>
      </c>
      <c r="G1106" s="564" t="s">
        <v>349</v>
      </c>
      <c r="H1106" s="564" t="s">
        <v>349</v>
      </c>
      <c r="I1106" s="564" t="s">
        <v>1223</v>
      </c>
      <c r="J1106" s="564" t="s">
        <v>1069</v>
      </c>
      <c r="K1106" s="564" t="s">
        <v>1120</v>
      </c>
      <c r="L1106" s="564" t="s">
        <v>2098</v>
      </c>
      <c r="M1106" s="564" t="s">
        <v>2098</v>
      </c>
      <c r="N1106" s="564" t="s">
        <v>1073</v>
      </c>
      <c r="O1106" s="564" t="s">
        <v>2099</v>
      </c>
      <c r="P1106" s="23"/>
      <c r="Q1106" s="23"/>
      <c r="R1106" s="23"/>
      <c r="S1106" s="23"/>
      <c r="T1106" s="23"/>
      <c r="U1106" s="23"/>
      <c r="V1106" s="23"/>
      <c r="W1106" s="23"/>
      <c r="X1106" s="23"/>
      <c r="Y1106" s="23"/>
      <c r="Z1106" s="23"/>
    </row>
    <row r="1107" spans="1:26" ht="13">
      <c r="A1107" s="562" t="s">
        <v>3484</v>
      </c>
      <c r="B1107" s="563" t="s">
        <v>3328</v>
      </c>
      <c r="C1107" s="564" t="s">
        <v>353</v>
      </c>
      <c r="D1107" s="565">
        <v>44798</v>
      </c>
      <c r="E1107" s="565">
        <v>44827</v>
      </c>
      <c r="F1107" s="566">
        <v>228000</v>
      </c>
      <c r="G1107" s="564" t="s">
        <v>297</v>
      </c>
      <c r="H1107" s="564" t="s">
        <v>297</v>
      </c>
      <c r="I1107" s="564" t="s">
        <v>64</v>
      </c>
      <c r="J1107" s="564" t="s">
        <v>1069</v>
      </c>
      <c r="K1107" s="564" t="s">
        <v>1090</v>
      </c>
      <c r="L1107" s="564" t="s">
        <v>2098</v>
      </c>
      <c r="M1107" s="564" t="s">
        <v>2098</v>
      </c>
      <c r="N1107" s="564" t="s">
        <v>64</v>
      </c>
      <c r="O1107" s="564" t="s">
        <v>2099</v>
      </c>
      <c r="P1107" s="23"/>
      <c r="Q1107" s="23"/>
      <c r="R1107" s="23"/>
      <c r="S1107" s="23"/>
      <c r="T1107" s="23"/>
      <c r="U1107" s="23"/>
      <c r="V1107" s="23"/>
      <c r="W1107" s="23"/>
      <c r="X1107" s="23"/>
      <c r="Y1107" s="23"/>
      <c r="Z1107" s="23"/>
    </row>
    <row r="1108" spans="1:26" ht="13">
      <c r="A1108" s="562" t="s">
        <v>3485</v>
      </c>
      <c r="B1108" s="563" t="s">
        <v>3486</v>
      </c>
      <c r="C1108" s="564" t="s">
        <v>1652</v>
      </c>
      <c r="D1108" s="565">
        <v>44798</v>
      </c>
      <c r="E1108" s="565">
        <v>44830</v>
      </c>
      <c r="F1108" s="566">
        <v>4140000</v>
      </c>
      <c r="G1108" s="564" t="s">
        <v>349</v>
      </c>
      <c r="H1108" s="564" t="s">
        <v>349</v>
      </c>
      <c r="I1108" s="564" t="s">
        <v>70</v>
      </c>
      <c r="J1108" s="564" t="s">
        <v>1069</v>
      </c>
      <c r="K1108" s="564" t="s">
        <v>1120</v>
      </c>
      <c r="L1108" s="564" t="s">
        <v>2098</v>
      </c>
      <c r="M1108" s="564" t="s">
        <v>2098</v>
      </c>
      <c r="N1108" s="564" t="s">
        <v>70</v>
      </c>
      <c r="O1108" s="564" t="s">
        <v>2099</v>
      </c>
      <c r="P1108" s="23"/>
      <c r="Q1108" s="23"/>
      <c r="R1108" s="23"/>
      <c r="S1108" s="23"/>
      <c r="T1108" s="23"/>
      <c r="U1108" s="23"/>
      <c r="V1108" s="23"/>
      <c r="W1108" s="23"/>
      <c r="X1108" s="23"/>
      <c r="Y1108" s="23"/>
      <c r="Z1108" s="23"/>
    </row>
    <row r="1109" spans="1:26" ht="13">
      <c r="A1109" s="562" t="s">
        <v>3487</v>
      </c>
      <c r="B1109" s="563" t="s">
        <v>3488</v>
      </c>
      <c r="C1109" s="564" t="s">
        <v>1652</v>
      </c>
      <c r="D1109" s="565">
        <v>44798</v>
      </c>
      <c r="E1109" s="565">
        <v>44830</v>
      </c>
      <c r="F1109" s="566">
        <v>495000</v>
      </c>
      <c r="G1109" s="564" t="s">
        <v>349</v>
      </c>
      <c r="H1109" s="564" t="s">
        <v>349</v>
      </c>
      <c r="I1109" s="564" t="s">
        <v>107</v>
      </c>
      <c r="J1109" s="564" t="s">
        <v>1069</v>
      </c>
      <c r="K1109" s="564" t="s">
        <v>1120</v>
      </c>
      <c r="L1109" s="564" t="s">
        <v>2098</v>
      </c>
      <c r="M1109" s="564" t="s">
        <v>2098</v>
      </c>
      <c r="N1109" s="564" t="s">
        <v>1073</v>
      </c>
      <c r="O1109" s="564" t="s">
        <v>2099</v>
      </c>
      <c r="P1109" s="23"/>
      <c r="Q1109" s="23"/>
      <c r="R1109" s="23"/>
      <c r="S1109" s="23"/>
      <c r="T1109" s="23"/>
      <c r="U1109" s="23"/>
      <c r="V1109" s="23"/>
      <c r="W1109" s="23"/>
      <c r="X1109" s="23"/>
      <c r="Y1109" s="23"/>
      <c r="Z1109" s="23"/>
    </row>
    <row r="1110" spans="1:26" ht="13">
      <c r="A1110" s="562" t="s">
        <v>3489</v>
      </c>
      <c r="B1110" s="563" t="s">
        <v>3490</v>
      </c>
      <c r="C1110" s="564" t="s">
        <v>353</v>
      </c>
      <c r="D1110" s="565">
        <v>44798</v>
      </c>
      <c r="E1110" s="565">
        <v>44804</v>
      </c>
      <c r="F1110" s="566">
        <v>239170000</v>
      </c>
      <c r="G1110" s="564" t="s">
        <v>1128</v>
      </c>
      <c r="H1110" s="564" t="s">
        <v>1128</v>
      </c>
      <c r="I1110" s="564" t="s">
        <v>45</v>
      </c>
      <c r="J1110" s="564" t="s">
        <v>1069</v>
      </c>
      <c r="K1110" s="564" t="s">
        <v>1090</v>
      </c>
      <c r="L1110" s="564" t="s">
        <v>2098</v>
      </c>
      <c r="M1110" s="564" t="s">
        <v>2098</v>
      </c>
      <c r="N1110" s="564" t="s">
        <v>45</v>
      </c>
      <c r="O1110" s="564" t="s">
        <v>2099</v>
      </c>
      <c r="P1110" s="23"/>
      <c r="Q1110" s="23"/>
      <c r="R1110" s="23"/>
      <c r="S1110" s="23"/>
      <c r="T1110" s="23"/>
      <c r="U1110" s="23"/>
      <c r="V1110" s="23"/>
      <c r="W1110" s="23"/>
      <c r="X1110" s="23"/>
      <c r="Y1110" s="23"/>
      <c r="Z1110" s="23"/>
    </row>
    <row r="1111" spans="1:26" ht="13">
      <c r="A1111" s="562" t="s">
        <v>3491</v>
      </c>
      <c r="B1111" s="563" t="s">
        <v>3492</v>
      </c>
      <c r="C1111" s="564" t="s">
        <v>1475</v>
      </c>
      <c r="D1111" s="565">
        <v>44798</v>
      </c>
      <c r="E1111" s="565">
        <v>44827</v>
      </c>
      <c r="F1111" s="566">
        <v>525300</v>
      </c>
      <c r="G1111" s="564" t="s">
        <v>297</v>
      </c>
      <c r="H1111" s="564" t="s">
        <v>297</v>
      </c>
      <c r="I1111" s="564" t="s">
        <v>125</v>
      </c>
      <c r="J1111" s="564" t="s">
        <v>1069</v>
      </c>
      <c r="K1111" s="564" t="s">
        <v>1070</v>
      </c>
      <c r="L1111" s="564" t="s">
        <v>2098</v>
      </c>
      <c r="M1111" s="564" t="s">
        <v>2098</v>
      </c>
      <c r="N1111" s="564" t="s">
        <v>1073</v>
      </c>
      <c r="O1111" s="564" t="s">
        <v>2099</v>
      </c>
      <c r="P1111" s="23"/>
      <c r="Q1111" s="23"/>
      <c r="R1111" s="23"/>
      <c r="S1111" s="23"/>
      <c r="T1111" s="23"/>
      <c r="U1111" s="23"/>
      <c r="V1111" s="23"/>
      <c r="W1111" s="23"/>
      <c r="X1111" s="23"/>
      <c r="Y1111" s="23"/>
      <c r="Z1111" s="23"/>
    </row>
    <row r="1112" spans="1:26" ht="13">
      <c r="A1112" s="562" t="s">
        <v>3493</v>
      </c>
      <c r="B1112" s="563" t="s">
        <v>3494</v>
      </c>
      <c r="C1112" s="564" t="s">
        <v>1652</v>
      </c>
      <c r="D1112" s="565">
        <v>44795</v>
      </c>
      <c r="E1112" s="565">
        <v>44813</v>
      </c>
      <c r="F1112" s="566">
        <v>1459000</v>
      </c>
      <c r="G1112" s="564" t="s">
        <v>297</v>
      </c>
      <c r="H1112" s="564" t="s">
        <v>297</v>
      </c>
      <c r="I1112" s="564" t="s">
        <v>70</v>
      </c>
      <c r="J1112" s="564" t="s">
        <v>1069</v>
      </c>
      <c r="K1112" s="564" t="s">
        <v>1120</v>
      </c>
      <c r="L1112" s="564" t="s">
        <v>2098</v>
      </c>
      <c r="M1112" s="564" t="s">
        <v>2098</v>
      </c>
      <c r="N1112" s="564" t="s">
        <v>70</v>
      </c>
      <c r="O1112" s="564" t="s">
        <v>2099</v>
      </c>
      <c r="P1112" s="23"/>
      <c r="Q1112" s="23"/>
      <c r="R1112" s="23"/>
      <c r="S1112" s="23"/>
      <c r="T1112" s="23"/>
      <c r="U1112" s="23"/>
      <c r="V1112" s="23"/>
      <c r="W1112" s="23"/>
      <c r="X1112" s="23"/>
      <c r="Y1112" s="23"/>
      <c r="Z1112" s="23"/>
    </row>
    <row r="1113" spans="1:26" ht="13">
      <c r="A1113" s="562" t="s">
        <v>3495</v>
      </c>
      <c r="B1113" s="563" t="s">
        <v>3496</v>
      </c>
      <c r="C1113" s="564" t="s">
        <v>1076</v>
      </c>
      <c r="D1113" s="565">
        <v>44791</v>
      </c>
      <c r="E1113" s="565">
        <v>44957</v>
      </c>
      <c r="F1113" s="566">
        <v>1096000</v>
      </c>
      <c r="G1113" s="564" t="s">
        <v>1077</v>
      </c>
      <c r="H1113" s="564" t="s">
        <v>1077</v>
      </c>
      <c r="I1113" s="564" t="s">
        <v>637</v>
      </c>
      <c r="J1113" s="564" t="s">
        <v>1069</v>
      </c>
      <c r="K1113" s="564" t="s">
        <v>1070</v>
      </c>
      <c r="L1113" s="564" t="s">
        <v>2098</v>
      </c>
      <c r="M1113" s="564" t="s">
        <v>2098</v>
      </c>
      <c r="N1113" s="564" t="s">
        <v>1082</v>
      </c>
      <c r="O1113" s="564" t="s">
        <v>2099</v>
      </c>
      <c r="P1113" s="23"/>
      <c r="Q1113" s="23"/>
      <c r="R1113" s="23"/>
      <c r="S1113" s="23"/>
      <c r="T1113" s="23"/>
      <c r="U1113" s="23"/>
      <c r="V1113" s="23"/>
      <c r="W1113" s="23"/>
      <c r="X1113" s="23"/>
      <c r="Y1113" s="23"/>
      <c r="Z1113" s="23"/>
    </row>
    <row r="1114" spans="1:26" ht="13">
      <c r="A1114" s="562" t="s">
        <v>3497</v>
      </c>
      <c r="B1114" s="563" t="s">
        <v>3498</v>
      </c>
      <c r="C1114" s="564" t="s">
        <v>1652</v>
      </c>
      <c r="D1114" s="565">
        <v>44789</v>
      </c>
      <c r="E1114" s="565">
        <v>44813</v>
      </c>
      <c r="F1114" s="566">
        <v>2150000</v>
      </c>
      <c r="G1114" s="564" t="s">
        <v>297</v>
      </c>
      <c r="H1114" s="564" t="s">
        <v>297</v>
      </c>
      <c r="I1114" s="564" t="s">
        <v>195</v>
      </c>
      <c r="J1114" s="564" t="s">
        <v>1069</v>
      </c>
      <c r="K1114" s="564" t="s">
        <v>1120</v>
      </c>
      <c r="L1114" s="564" t="s">
        <v>2098</v>
      </c>
      <c r="M1114" s="564" t="s">
        <v>2098</v>
      </c>
      <c r="N1114" s="564" t="s">
        <v>1073</v>
      </c>
      <c r="O1114" s="564" t="s">
        <v>2099</v>
      </c>
      <c r="P1114" s="23"/>
      <c r="Q1114" s="23"/>
      <c r="R1114" s="23"/>
      <c r="S1114" s="23"/>
      <c r="T1114" s="23"/>
      <c r="U1114" s="23"/>
      <c r="V1114" s="23"/>
      <c r="W1114" s="23"/>
      <c r="X1114" s="23"/>
      <c r="Y1114" s="23"/>
      <c r="Z1114" s="23"/>
    </row>
    <row r="1115" spans="1:26" ht="13">
      <c r="A1115" s="562" t="s">
        <v>3499</v>
      </c>
      <c r="B1115" s="563" t="s">
        <v>3500</v>
      </c>
      <c r="C1115" s="564" t="s">
        <v>1652</v>
      </c>
      <c r="D1115" s="565">
        <v>44789</v>
      </c>
      <c r="E1115" s="565">
        <v>44813</v>
      </c>
      <c r="F1115" s="566">
        <v>1459000</v>
      </c>
      <c r="G1115" s="564" t="s">
        <v>297</v>
      </c>
      <c r="H1115" s="564" t="s">
        <v>297</v>
      </c>
      <c r="I1115" s="564" t="s">
        <v>70</v>
      </c>
      <c r="J1115" s="564" t="s">
        <v>1069</v>
      </c>
      <c r="K1115" s="564" t="s">
        <v>1120</v>
      </c>
      <c r="L1115" s="564" t="s">
        <v>2098</v>
      </c>
      <c r="M1115" s="564" t="s">
        <v>2098</v>
      </c>
      <c r="N1115" s="564" t="s">
        <v>70</v>
      </c>
      <c r="O1115" s="564" t="s">
        <v>2099</v>
      </c>
      <c r="P1115" s="23"/>
      <c r="Q1115" s="23"/>
      <c r="R1115" s="23"/>
      <c r="S1115" s="23"/>
      <c r="T1115" s="23"/>
      <c r="U1115" s="23"/>
      <c r="V1115" s="23"/>
      <c r="W1115" s="23"/>
      <c r="X1115" s="23"/>
      <c r="Y1115" s="23"/>
      <c r="Z1115" s="23"/>
    </row>
    <row r="1116" spans="1:26" ht="13">
      <c r="A1116" s="562" t="s">
        <v>3501</v>
      </c>
      <c r="B1116" s="563" t="s">
        <v>3502</v>
      </c>
      <c r="C1116" s="564" t="s">
        <v>1652</v>
      </c>
      <c r="D1116" s="565">
        <v>44789</v>
      </c>
      <c r="E1116" s="565">
        <v>44813</v>
      </c>
      <c r="F1116" s="566">
        <v>1459000</v>
      </c>
      <c r="G1116" s="564" t="s">
        <v>297</v>
      </c>
      <c r="H1116" s="564" t="s">
        <v>297</v>
      </c>
      <c r="I1116" s="564" t="s">
        <v>70</v>
      </c>
      <c r="J1116" s="564" t="s">
        <v>1069</v>
      </c>
      <c r="K1116" s="564" t="s">
        <v>1120</v>
      </c>
      <c r="L1116" s="564" t="s">
        <v>2098</v>
      </c>
      <c r="M1116" s="564" t="s">
        <v>2098</v>
      </c>
      <c r="N1116" s="564" t="s">
        <v>70</v>
      </c>
      <c r="O1116" s="564" t="s">
        <v>2099</v>
      </c>
      <c r="P1116" s="23"/>
      <c r="Q1116" s="23"/>
      <c r="R1116" s="23"/>
      <c r="S1116" s="23"/>
      <c r="T1116" s="23"/>
      <c r="U1116" s="23"/>
      <c r="V1116" s="23"/>
      <c r="W1116" s="23"/>
      <c r="X1116" s="23"/>
      <c r="Y1116" s="23"/>
      <c r="Z1116" s="23"/>
    </row>
    <row r="1117" spans="1:26" ht="13">
      <c r="A1117" s="562" t="s">
        <v>3503</v>
      </c>
      <c r="B1117" s="563" t="s">
        <v>3504</v>
      </c>
      <c r="C1117" s="564" t="s">
        <v>353</v>
      </c>
      <c r="D1117" s="565">
        <v>44785</v>
      </c>
      <c r="E1117" s="565">
        <v>44806</v>
      </c>
      <c r="F1117" s="566">
        <v>76500</v>
      </c>
      <c r="G1117" s="564" t="s">
        <v>349</v>
      </c>
      <c r="H1117" s="564" t="s">
        <v>349</v>
      </c>
      <c r="I1117" s="564" t="s">
        <v>1586</v>
      </c>
      <c r="J1117" s="564" t="s">
        <v>1069</v>
      </c>
      <c r="K1117" s="564" t="s">
        <v>1090</v>
      </c>
      <c r="L1117" s="564" t="s">
        <v>2098</v>
      </c>
      <c r="M1117" s="564" t="s">
        <v>2098</v>
      </c>
      <c r="N1117" s="564" t="s">
        <v>1073</v>
      </c>
      <c r="O1117" s="564" t="s">
        <v>2099</v>
      </c>
      <c r="P1117" s="23"/>
      <c r="Q1117" s="23"/>
      <c r="R1117" s="23"/>
      <c r="S1117" s="23"/>
      <c r="T1117" s="23"/>
      <c r="U1117" s="23"/>
      <c r="V1117" s="23"/>
      <c r="W1117" s="23"/>
      <c r="X1117" s="23"/>
      <c r="Y1117" s="23"/>
      <c r="Z1117" s="23"/>
    </row>
    <row r="1118" spans="1:26" ht="13">
      <c r="A1118" s="562" t="s">
        <v>3505</v>
      </c>
      <c r="B1118" s="563" t="s">
        <v>3506</v>
      </c>
      <c r="C1118" s="564" t="s">
        <v>1076</v>
      </c>
      <c r="D1118" s="565">
        <v>44783</v>
      </c>
      <c r="E1118" s="565">
        <v>44957</v>
      </c>
      <c r="F1118" s="566">
        <v>1096000</v>
      </c>
      <c r="G1118" s="564" t="s">
        <v>1077</v>
      </c>
      <c r="H1118" s="564" t="s">
        <v>1077</v>
      </c>
      <c r="I1118" s="564" t="s">
        <v>637</v>
      </c>
      <c r="J1118" s="564" t="s">
        <v>1069</v>
      </c>
      <c r="K1118" s="564" t="s">
        <v>1070</v>
      </c>
      <c r="L1118" s="564" t="s">
        <v>2098</v>
      </c>
      <c r="M1118" s="564" t="s">
        <v>2098</v>
      </c>
      <c r="N1118" s="564" t="s">
        <v>1082</v>
      </c>
      <c r="O1118" s="564" t="s">
        <v>2099</v>
      </c>
      <c r="P1118" s="23"/>
      <c r="Q1118" s="23"/>
      <c r="R1118" s="23"/>
      <c r="S1118" s="23"/>
      <c r="T1118" s="23"/>
      <c r="U1118" s="23"/>
      <c r="V1118" s="23"/>
      <c r="W1118" s="23"/>
      <c r="X1118" s="23"/>
      <c r="Y1118" s="23"/>
      <c r="Z1118" s="23"/>
    </row>
    <row r="1119" spans="1:26" ht="13">
      <c r="A1119" s="562" t="s">
        <v>3507</v>
      </c>
      <c r="B1119" s="563" t="s">
        <v>3508</v>
      </c>
      <c r="C1119" s="564" t="s">
        <v>1076</v>
      </c>
      <c r="D1119" s="565">
        <v>44781</v>
      </c>
      <c r="E1119" s="565">
        <v>44957</v>
      </c>
      <c r="F1119" s="566">
        <v>866000</v>
      </c>
      <c r="G1119" s="564" t="s">
        <v>1077</v>
      </c>
      <c r="H1119" s="564" t="s">
        <v>1077</v>
      </c>
      <c r="I1119" s="564" t="s">
        <v>637</v>
      </c>
      <c r="J1119" s="564" t="s">
        <v>1069</v>
      </c>
      <c r="K1119" s="564" t="s">
        <v>1070</v>
      </c>
      <c r="L1119" s="564" t="s">
        <v>2098</v>
      </c>
      <c r="M1119" s="564" t="s">
        <v>2098</v>
      </c>
      <c r="N1119" s="564" t="s">
        <v>1082</v>
      </c>
      <c r="O1119" s="564" t="s">
        <v>2099</v>
      </c>
      <c r="P1119" s="23"/>
      <c r="Q1119" s="23"/>
      <c r="R1119" s="23"/>
      <c r="S1119" s="23"/>
      <c r="T1119" s="23"/>
      <c r="U1119" s="23"/>
      <c r="V1119" s="23"/>
      <c r="W1119" s="23"/>
      <c r="X1119" s="23"/>
      <c r="Y1119" s="23"/>
      <c r="Z1119" s="23"/>
    </row>
    <row r="1120" spans="1:26" ht="13">
      <c r="A1120" s="562" t="s">
        <v>3509</v>
      </c>
      <c r="B1120" s="563" t="s">
        <v>3510</v>
      </c>
      <c r="C1120" s="564" t="s">
        <v>1076</v>
      </c>
      <c r="D1120" s="565">
        <v>44777</v>
      </c>
      <c r="E1120" s="565">
        <v>44957</v>
      </c>
      <c r="F1120" s="566">
        <v>1096000</v>
      </c>
      <c r="G1120" s="564" t="s">
        <v>1077</v>
      </c>
      <c r="H1120" s="564" t="s">
        <v>1077</v>
      </c>
      <c r="I1120" s="564" t="s">
        <v>637</v>
      </c>
      <c r="J1120" s="564" t="s">
        <v>1069</v>
      </c>
      <c r="K1120" s="564" t="s">
        <v>1070</v>
      </c>
      <c r="L1120" s="564" t="s">
        <v>2098</v>
      </c>
      <c r="M1120" s="564" t="s">
        <v>2098</v>
      </c>
      <c r="N1120" s="564" t="s">
        <v>1082</v>
      </c>
      <c r="O1120" s="564" t="s">
        <v>2099</v>
      </c>
      <c r="P1120" s="23"/>
      <c r="Q1120" s="23"/>
      <c r="R1120" s="23"/>
      <c r="S1120" s="23"/>
      <c r="T1120" s="23"/>
      <c r="U1120" s="23"/>
      <c r="V1120" s="23"/>
      <c r="W1120" s="23"/>
      <c r="X1120" s="23"/>
      <c r="Y1120" s="23"/>
      <c r="Z1120" s="23"/>
    </row>
    <row r="1121" spans="1:26" ht="13">
      <c r="A1121" s="562" t="s">
        <v>3511</v>
      </c>
      <c r="B1121" s="563" t="s">
        <v>3512</v>
      </c>
      <c r="C1121" s="564" t="s">
        <v>1652</v>
      </c>
      <c r="D1121" s="565">
        <v>44775</v>
      </c>
      <c r="E1121" s="565">
        <v>44804</v>
      </c>
      <c r="F1121" s="566">
        <v>1558000</v>
      </c>
      <c r="G1121" s="564" t="s">
        <v>297</v>
      </c>
      <c r="H1121" s="564" t="s">
        <v>297</v>
      </c>
      <c r="I1121" s="564" t="s">
        <v>70</v>
      </c>
      <c r="J1121" s="564" t="s">
        <v>1069</v>
      </c>
      <c r="K1121" s="564" t="s">
        <v>1120</v>
      </c>
      <c r="L1121" s="564" t="s">
        <v>2098</v>
      </c>
      <c r="M1121" s="564" t="s">
        <v>2098</v>
      </c>
      <c r="N1121" s="564" t="s">
        <v>70</v>
      </c>
      <c r="O1121" s="564" t="s">
        <v>2099</v>
      </c>
      <c r="P1121" s="23"/>
      <c r="Q1121" s="23"/>
      <c r="R1121" s="23"/>
      <c r="S1121" s="23"/>
      <c r="T1121" s="23"/>
      <c r="U1121" s="23"/>
      <c r="V1121" s="23"/>
      <c r="W1121" s="23"/>
      <c r="X1121" s="23"/>
      <c r="Y1121" s="23"/>
      <c r="Z1121" s="23"/>
    </row>
    <row r="1122" spans="1:26" ht="13">
      <c r="A1122" s="562" t="s">
        <v>3513</v>
      </c>
      <c r="B1122" s="563" t="s">
        <v>3514</v>
      </c>
      <c r="C1122" s="564" t="s">
        <v>1076</v>
      </c>
      <c r="D1122" s="565">
        <v>44775</v>
      </c>
      <c r="E1122" s="565">
        <v>44957</v>
      </c>
      <c r="F1122" s="566">
        <v>2758000</v>
      </c>
      <c r="G1122" s="564" t="s">
        <v>1077</v>
      </c>
      <c r="H1122" s="564" t="s">
        <v>1077</v>
      </c>
      <c r="I1122" s="564" t="s">
        <v>637</v>
      </c>
      <c r="J1122" s="564" t="s">
        <v>1069</v>
      </c>
      <c r="K1122" s="564" t="s">
        <v>1070</v>
      </c>
      <c r="L1122" s="564" t="s">
        <v>2098</v>
      </c>
      <c r="M1122" s="564" t="s">
        <v>2098</v>
      </c>
      <c r="N1122" s="564" t="s">
        <v>1082</v>
      </c>
      <c r="O1122" s="564" t="s">
        <v>2099</v>
      </c>
      <c r="P1122" s="23"/>
      <c r="Q1122" s="23"/>
      <c r="R1122" s="23"/>
      <c r="S1122" s="23"/>
      <c r="T1122" s="23"/>
      <c r="U1122" s="23"/>
      <c r="V1122" s="23"/>
      <c r="W1122" s="23"/>
      <c r="X1122" s="23"/>
      <c r="Y1122" s="23"/>
      <c r="Z1122" s="23"/>
    </row>
    <row r="1123" spans="1:26" ht="13">
      <c r="A1123" s="562" t="s">
        <v>3515</v>
      </c>
      <c r="B1123" s="563" t="s">
        <v>3516</v>
      </c>
      <c r="C1123" s="564" t="s">
        <v>1475</v>
      </c>
      <c r="D1123" s="565">
        <v>44771</v>
      </c>
      <c r="E1123" s="565">
        <v>44804</v>
      </c>
      <c r="F1123" s="566">
        <v>522210</v>
      </c>
      <c r="G1123" s="564" t="s">
        <v>297</v>
      </c>
      <c r="H1123" s="564" t="s">
        <v>297</v>
      </c>
      <c r="I1123" s="564" t="s">
        <v>125</v>
      </c>
      <c r="J1123" s="564" t="s">
        <v>1069</v>
      </c>
      <c r="K1123" s="564" t="s">
        <v>1070</v>
      </c>
      <c r="L1123" s="564" t="s">
        <v>2098</v>
      </c>
      <c r="M1123" s="564" t="s">
        <v>2098</v>
      </c>
      <c r="N1123" s="564" t="s">
        <v>1073</v>
      </c>
      <c r="O1123" s="564" t="s">
        <v>2099</v>
      </c>
      <c r="P1123" s="23"/>
      <c r="Q1123" s="23"/>
      <c r="R1123" s="23"/>
      <c r="S1123" s="23"/>
      <c r="T1123" s="23"/>
      <c r="U1123" s="23"/>
      <c r="V1123" s="23"/>
      <c r="W1123" s="23"/>
      <c r="X1123" s="23"/>
      <c r="Y1123" s="23"/>
      <c r="Z1123" s="23"/>
    </row>
    <row r="1124" spans="1:26" ht="13">
      <c r="A1124" s="562" t="s">
        <v>3517</v>
      </c>
      <c r="B1124" s="563" t="s">
        <v>3518</v>
      </c>
      <c r="C1124" s="564" t="s">
        <v>1652</v>
      </c>
      <c r="D1124" s="565">
        <v>44774</v>
      </c>
      <c r="E1124" s="565">
        <v>44799</v>
      </c>
      <c r="F1124" s="566">
        <v>1115000</v>
      </c>
      <c r="G1124" s="564" t="s">
        <v>297</v>
      </c>
      <c r="H1124" s="564" t="s">
        <v>297</v>
      </c>
      <c r="I1124" s="564" t="s">
        <v>1223</v>
      </c>
      <c r="J1124" s="564" t="s">
        <v>1069</v>
      </c>
      <c r="K1124" s="564" t="s">
        <v>1120</v>
      </c>
      <c r="L1124" s="564" t="s">
        <v>2098</v>
      </c>
      <c r="M1124" s="564" t="s">
        <v>2098</v>
      </c>
      <c r="N1124" s="564" t="s">
        <v>1073</v>
      </c>
      <c r="O1124" s="564" t="s">
        <v>2099</v>
      </c>
      <c r="P1124" s="23"/>
      <c r="Q1124" s="23"/>
      <c r="R1124" s="23"/>
      <c r="S1124" s="23"/>
      <c r="T1124" s="23"/>
      <c r="U1124" s="23"/>
      <c r="V1124" s="23"/>
      <c r="W1124" s="23"/>
      <c r="X1124" s="23"/>
      <c r="Y1124" s="23"/>
      <c r="Z1124" s="23"/>
    </row>
    <row r="1125" spans="1:26" ht="13">
      <c r="A1125" s="562" t="s">
        <v>3519</v>
      </c>
      <c r="B1125" s="563" t="s">
        <v>3520</v>
      </c>
      <c r="C1125" s="564" t="s">
        <v>1076</v>
      </c>
      <c r="D1125" s="565">
        <v>44774</v>
      </c>
      <c r="E1125" s="565">
        <v>44957</v>
      </c>
      <c r="F1125" s="566">
        <v>866000</v>
      </c>
      <c r="G1125" s="564" t="s">
        <v>1077</v>
      </c>
      <c r="H1125" s="564" t="s">
        <v>1077</v>
      </c>
      <c r="I1125" s="564" t="s">
        <v>637</v>
      </c>
      <c r="J1125" s="564" t="s">
        <v>1069</v>
      </c>
      <c r="K1125" s="564" t="s">
        <v>1070</v>
      </c>
      <c r="L1125" s="564" t="s">
        <v>2098</v>
      </c>
      <c r="M1125" s="564" t="s">
        <v>2098</v>
      </c>
      <c r="N1125" s="564" t="s">
        <v>1082</v>
      </c>
      <c r="O1125" s="564" t="s">
        <v>2099</v>
      </c>
      <c r="P1125" s="23"/>
      <c r="Q1125" s="23"/>
      <c r="R1125" s="23"/>
      <c r="S1125" s="23"/>
      <c r="T1125" s="23"/>
      <c r="U1125" s="23"/>
      <c r="V1125" s="23"/>
      <c r="W1125" s="23"/>
      <c r="X1125" s="23"/>
      <c r="Y1125" s="23"/>
      <c r="Z1125" s="23"/>
    </row>
    <row r="1126" spans="1:26" ht="13">
      <c r="A1126" s="562" t="s">
        <v>3521</v>
      </c>
      <c r="B1126" s="563" t="s">
        <v>3522</v>
      </c>
      <c r="C1126" s="564" t="s">
        <v>353</v>
      </c>
      <c r="D1126" s="565">
        <v>44764</v>
      </c>
      <c r="E1126" s="565">
        <v>44792</v>
      </c>
      <c r="F1126" s="566">
        <v>6660000</v>
      </c>
      <c r="G1126" s="564" t="s">
        <v>1128</v>
      </c>
      <c r="H1126" s="564" t="s">
        <v>1128</v>
      </c>
      <c r="I1126" s="564" t="s">
        <v>3523</v>
      </c>
      <c r="J1126" s="564" t="s">
        <v>1069</v>
      </c>
      <c r="K1126" s="564" t="s">
        <v>1070</v>
      </c>
      <c r="L1126" s="564" t="s">
        <v>2098</v>
      </c>
      <c r="M1126" s="564" t="s">
        <v>2098</v>
      </c>
      <c r="N1126" s="564" t="s">
        <v>1082</v>
      </c>
      <c r="O1126" s="564" t="s">
        <v>2099</v>
      </c>
      <c r="P1126" s="23"/>
      <c r="Q1126" s="23"/>
      <c r="R1126" s="23"/>
      <c r="S1126" s="23"/>
      <c r="T1126" s="23"/>
      <c r="U1126" s="23"/>
      <c r="V1126" s="23"/>
      <c r="W1126" s="23"/>
      <c r="X1126" s="23"/>
      <c r="Y1126" s="23"/>
      <c r="Z1126" s="23"/>
    </row>
    <row r="1127" spans="1:26" ht="13">
      <c r="A1127" s="562" t="s">
        <v>3524</v>
      </c>
      <c r="B1127" s="563" t="s">
        <v>3525</v>
      </c>
      <c r="C1127" s="564" t="s">
        <v>1652</v>
      </c>
      <c r="D1127" s="565">
        <v>44770</v>
      </c>
      <c r="E1127" s="565">
        <v>44792</v>
      </c>
      <c r="F1127" s="566">
        <v>2412000</v>
      </c>
      <c r="G1127" s="564" t="s">
        <v>297</v>
      </c>
      <c r="H1127" s="564" t="s">
        <v>297</v>
      </c>
      <c r="I1127" s="564" t="s">
        <v>107</v>
      </c>
      <c r="J1127" s="564" t="s">
        <v>1069</v>
      </c>
      <c r="K1127" s="564" t="s">
        <v>1120</v>
      </c>
      <c r="L1127" s="564" t="s">
        <v>2098</v>
      </c>
      <c r="M1127" s="564" t="s">
        <v>2098</v>
      </c>
      <c r="N1127" s="564" t="s">
        <v>1073</v>
      </c>
      <c r="O1127" s="564" t="s">
        <v>2099</v>
      </c>
      <c r="P1127" s="23"/>
      <c r="Q1127" s="23"/>
      <c r="R1127" s="23"/>
      <c r="S1127" s="23"/>
      <c r="T1127" s="23"/>
      <c r="U1127" s="23"/>
      <c r="V1127" s="23"/>
      <c r="W1127" s="23"/>
      <c r="X1127" s="23"/>
      <c r="Y1127" s="23"/>
      <c r="Z1127" s="23"/>
    </row>
    <row r="1128" spans="1:26" ht="13">
      <c r="A1128" s="562" t="s">
        <v>3526</v>
      </c>
      <c r="B1128" s="563" t="s">
        <v>3527</v>
      </c>
      <c r="C1128" s="564" t="s">
        <v>1652</v>
      </c>
      <c r="D1128" s="565">
        <v>44769</v>
      </c>
      <c r="E1128" s="565">
        <v>44792</v>
      </c>
      <c r="F1128" s="566">
        <v>2780000</v>
      </c>
      <c r="G1128" s="564" t="s">
        <v>297</v>
      </c>
      <c r="H1128" s="564" t="s">
        <v>297</v>
      </c>
      <c r="I1128" s="564" t="s">
        <v>70</v>
      </c>
      <c r="J1128" s="564" t="s">
        <v>1069</v>
      </c>
      <c r="K1128" s="564" t="s">
        <v>1120</v>
      </c>
      <c r="L1128" s="564" t="s">
        <v>2098</v>
      </c>
      <c r="M1128" s="564" t="s">
        <v>2098</v>
      </c>
      <c r="N1128" s="564" t="s">
        <v>70</v>
      </c>
      <c r="O1128" s="564" t="s">
        <v>2099</v>
      </c>
      <c r="P1128" s="23"/>
      <c r="Q1128" s="23"/>
      <c r="R1128" s="23"/>
      <c r="S1128" s="23"/>
      <c r="T1128" s="23"/>
      <c r="U1128" s="23"/>
      <c r="V1128" s="23"/>
      <c r="W1128" s="23"/>
      <c r="X1128" s="23"/>
      <c r="Y1128" s="23"/>
      <c r="Z1128" s="23"/>
    </row>
    <row r="1129" spans="1:26" ht="13">
      <c r="A1129" s="562" t="s">
        <v>3528</v>
      </c>
      <c r="B1129" s="563" t="s">
        <v>3529</v>
      </c>
      <c r="C1129" s="564" t="s">
        <v>353</v>
      </c>
      <c r="D1129" s="565">
        <v>44769</v>
      </c>
      <c r="E1129" s="565">
        <v>44773</v>
      </c>
      <c r="F1129" s="566">
        <v>4001670855</v>
      </c>
      <c r="G1129" s="564" t="s">
        <v>297</v>
      </c>
      <c r="H1129" s="564" t="s">
        <v>297</v>
      </c>
      <c r="I1129" s="564" t="s">
        <v>45</v>
      </c>
      <c r="J1129" s="564" t="s">
        <v>1069</v>
      </c>
      <c r="K1129" s="564" t="s">
        <v>1090</v>
      </c>
      <c r="L1129" s="564" t="s">
        <v>2098</v>
      </c>
      <c r="M1129" s="564" t="s">
        <v>2098</v>
      </c>
      <c r="N1129" s="564" t="s">
        <v>45</v>
      </c>
      <c r="O1129" s="564" t="s">
        <v>2099</v>
      </c>
      <c r="P1129" s="23"/>
      <c r="Q1129" s="23"/>
      <c r="R1129" s="23"/>
      <c r="S1129" s="23"/>
      <c r="T1129" s="23"/>
      <c r="U1129" s="23"/>
      <c r="V1129" s="23"/>
      <c r="W1129" s="23"/>
      <c r="X1129" s="23"/>
      <c r="Y1129" s="23"/>
      <c r="Z1129" s="23"/>
    </row>
    <row r="1130" spans="1:26" ht="13">
      <c r="A1130" s="562" t="s">
        <v>3530</v>
      </c>
      <c r="B1130" s="563" t="s">
        <v>3518</v>
      </c>
      <c r="C1130" s="564" t="s">
        <v>1652</v>
      </c>
      <c r="D1130" s="565">
        <v>44768</v>
      </c>
      <c r="E1130" s="565">
        <v>44785</v>
      </c>
      <c r="F1130" s="566">
        <v>1214000</v>
      </c>
      <c r="G1130" s="564" t="s">
        <v>297</v>
      </c>
      <c r="H1130" s="564" t="s">
        <v>297</v>
      </c>
      <c r="I1130" s="564" t="s">
        <v>1223</v>
      </c>
      <c r="J1130" s="564" t="s">
        <v>1069</v>
      </c>
      <c r="K1130" s="564" t="s">
        <v>1120</v>
      </c>
      <c r="L1130" s="564" t="s">
        <v>2098</v>
      </c>
      <c r="M1130" s="564" t="s">
        <v>2098</v>
      </c>
      <c r="N1130" s="564" t="s">
        <v>1073</v>
      </c>
      <c r="O1130" s="564" t="s">
        <v>2099</v>
      </c>
      <c r="P1130" s="23"/>
      <c r="Q1130" s="23"/>
      <c r="R1130" s="23"/>
      <c r="S1130" s="23"/>
      <c r="T1130" s="23"/>
      <c r="U1130" s="23"/>
      <c r="V1130" s="23"/>
      <c r="W1130" s="23"/>
      <c r="X1130" s="23"/>
      <c r="Y1130" s="23"/>
      <c r="Z1130" s="23"/>
    </row>
    <row r="1131" spans="1:26" ht="13">
      <c r="A1131" s="562" t="s">
        <v>3531</v>
      </c>
      <c r="B1131" s="563" t="s">
        <v>3532</v>
      </c>
      <c r="C1131" s="564" t="s">
        <v>353</v>
      </c>
      <c r="D1131" s="565">
        <v>44763</v>
      </c>
      <c r="E1131" s="565">
        <v>44866</v>
      </c>
      <c r="F1131" s="566">
        <v>69299000</v>
      </c>
      <c r="G1131" s="564" t="s">
        <v>1128</v>
      </c>
      <c r="H1131" s="564" t="s">
        <v>1128</v>
      </c>
      <c r="I1131" s="564" t="s">
        <v>45</v>
      </c>
      <c r="J1131" s="564" t="s">
        <v>1069</v>
      </c>
      <c r="K1131" s="564" t="s">
        <v>1090</v>
      </c>
      <c r="L1131" s="564" t="s">
        <v>2098</v>
      </c>
      <c r="M1131" s="564" t="s">
        <v>2098</v>
      </c>
      <c r="N1131" s="564" t="s">
        <v>45</v>
      </c>
      <c r="O1131" s="564" t="s">
        <v>2099</v>
      </c>
      <c r="P1131" s="23"/>
      <c r="Q1131" s="23"/>
      <c r="R1131" s="23"/>
      <c r="S1131" s="23"/>
      <c r="T1131" s="23"/>
      <c r="U1131" s="23"/>
      <c r="V1131" s="23"/>
      <c r="W1131" s="23"/>
      <c r="X1131" s="23"/>
      <c r="Y1131" s="23"/>
      <c r="Z1131" s="23"/>
    </row>
    <row r="1132" spans="1:26" ht="13">
      <c r="A1132" s="562" t="s">
        <v>3533</v>
      </c>
      <c r="B1132" s="563" t="s">
        <v>3534</v>
      </c>
      <c r="C1132" s="564" t="s">
        <v>2475</v>
      </c>
      <c r="D1132" s="565">
        <v>44765</v>
      </c>
      <c r="E1132" s="565">
        <v>44765</v>
      </c>
      <c r="F1132" s="567"/>
      <c r="G1132" s="564" t="s">
        <v>3535</v>
      </c>
      <c r="H1132" s="564" t="s">
        <v>3535</v>
      </c>
      <c r="I1132" s="564" t="s">
        <v>125</v>
      </c>
      <c r="J1132" s="564" t="s">
        <v>1069</v>
      </c>
      <c r="K1132" s="564" t="s">
        <v>1070</v>
      </c>
      <c r="L1132" s="564" t="s">
        <v>2098</v>
      </c>
      <c r="M1132" s="564" t="s">
        <v>2098</v>
      </c>
      <c r="N1132" s="564" t="s">
        <v>1073</v>
      </c>
      <c r="O1132" s="564" t="s">
        <v>2099</v>
      </c>
      <c r="P1132" s="23"/>
      <c r="Q1132" s="23"/>
      <c r="R1132" s="23"/>
      <c r="S1132" s="23"/>
      <c r="T1132" s="23"/>
      <c r="U1132" s="23"/>
      <c r="V1132" s="23"/>
      <c r="W1132" s="23"/>
      <c r="X1132" s="23"/>
      <c r="Y1132" s="23"/>
      <c r="Z1132" s="23"/>
    </row>
    <row r="1133" spans="1:26" ht="13">
      <c r="A1133" s="562" t="s">
        <v>3536</v>
      </c>
      <c r="B1133" s="563" t="s">
        <v>3534</v>
      </c>
      <c r="C1133" s="564" t="s">
        <v>2475</v>
      </c>
      <c r="D1133" s="565">
        <v>44765</v>
      </c>
      <c r="E1133" s="565">
        <v>44765</v>
      </c>
      <c r="F1133" s="567"/>
      <c r="G1133" s="564" t="s">
        <v>3535</v>
      </c>
      <c r="H1133" s="564" t="s">
        <v>3535</v>
      </c>
      <c r="I1133" s="564" t="s">
        <v>125</v>
      </c>
      <c r="J1133" s="564" t="s">
        <v>1069</v>
      </c>
      <c r="K1133" s="564" t="s">
        <v>1070</v>
      </c>
      <c r="L1133" s="564" t="s">
        <v>2098</v>
      </c>
      <c r="M1133" s="564" t="s">
        <v>2098</v>
      </c>
      <c r="N1133" s="564" t="s">
        <v>1073</v>
      </c>
      <c r="O1133" s="564" t="s">
        <v>2099</v>
      </c>
      <c r="P1133" s="23"/>
      <c r="Q1133" s="23"/>
      <c r="R1133" s="23"/>
      <c r="S1133" s="23"/>
      <c r="T1133" s="23"/>
      <c r="U1133" s="23"/>
      <c r="V1133" s="23"/>
      <c r="W1133" s="23"/>
      <c r="X1133" s="23"/>
      <c r="Y1133" s="23"/>
      <c r="Z1133" s="23"/>
    </row>
    <row r="1134" spans="1:26" ht="13">
      <c r="A1134" s="562" t="s">
        <v>3537</v>
      </c>
      <c r="B1134" s="563" t="s">
        <v>3534</v>
      </c>
      <c r="C1134" s="564" t="s">
        <v>2475</v>
      </c>
      <c r="D1134" s="565">
        <v>44765</v>
      </c>
      <c r="E1134" s="565">
        <v>44765</v>
      </c>
      <c r="F1134" s="567"/>
      <c r="G1134" s="564" t="s">
        <v>3535</v>
      </c>
      <c r="H1134" s="564" t="s">
        <v>3535</v>
      </c>
      <c r="I1134" s="564" t="s">
        <v>125</v>
      </c>
      <c r="J1134" s="564" t="s">
        <v>1069</v>
      </c>
      <c r="K1134" s="564" t="s">
        <v>1070</v>
      </c>
      <c r="L1134" s="564" t="s">
        <v>2098</v>
      </c>
      <c r="M1134" s="564" t="s">
        <v>2098</v>
      </c>
      <c r="N1134" s="564" t="s">
        <v>1073</v>
      </c>
      <c r="O1134" s="564" t="s">
        <v>2099</v>
      </c>
      <c r="P1134" s="23"/>
      <c r="Q1134" s="23"/>
      <c r="R1134" s="23"/>
      <c r="S1134" s="23"/>
      <c r="T1134" s="23"/>
      <c r="U1134" s="23"/>
      <c r="V1134" s="23"/>
      <c r="W1134" s="23"/>
      <c r="X1134" s="23"/>
      <c r="Y1134" s="23"/>
      <c r="Z1134" s="23"/>
    </row>
    <row r="1135" spans="1:26" ht="13">
      <c r="A1135" s="562" t="s">
        <v>3538</v>
      </c>
      <c r="B1135" s="563" t="s">
        <v>3539</v>
      </c>
      <c r="C1135" s="564" t="s">
        <v>1652</v>
      </c>
      <c r="D1135" s="565">
        <v>44763</v>
      </c>
      <c r="E1135" s="565">
        <v>44792</v>
      </c>
      <c r="F1135" s="566">
        <v>3580000</v>
      </c>
      <c r="G1135" s="564" t="s">
        <v>297</v>
      </c>
      <c r="H1135" s="564" t="s">
        <v>297</v>
      </c>
      <c r="I1135" s="564" t="s">
        <v>1281</v>
      </c>
      <c r="J1135" s="564" t="s">
        <v>1069</v>
      </c>
      <c r="K1135" s="564" t="s">
        <v>1120</v>
      </c>
      <c r="L1135" s="564" t="s">
        <v>2098</v>
      </c>
      <c r="M1135" s="564" t="s">
        <v>2098</v>
      </c>
      <c r="N1135" s="564" t="s">
        <v>1073</v>
      </c>
      <c r="O1135" s="564" t="s">
        <v>2099</v>
      </c>
      <c r="P1135" s="23"/>
      <c r="Q1135" s="23"/>
      <c r="R1135" s="23"/>
      <c r="S1135" s="23"/>
      <c r="T1135" s="23"/>
      <c r="U1135" s="23"/>
      <c r="V1135" s="23"/>
      <c r="W1135" s="23"/>
      <c r="X1135" s="23"/>
      <c r="Y1135" s="23"/>
      <c r="Z1135" s="23"/>
    </row>
    <row r="1136" spans="1:26" ht="13">
      <c r="A1136" s="562" t="s">
        <v>3540</v>
      </c>
      <c r="B1136" s="563" t="s">
        <v>3541</v>
      </c>
      <c r="C1136" s="564" t="s">
        <v>1475</v>
      </c>
      <c r="D1136" s="565">
        <v>44762</v>
      </c>
      <c r="E1136" s="565">
        <v>44785</v>
      </c>
      <c r="F1136" s="566">
        <v>1670000</v>
      </c>
      <c r="G1136" s="564" t="s">
        <v>1182</v>
      </c>
      <c r="H1136" s="564" t="s">
        <v>1182</v>
      </c>
      <c r="I1136" s="564" t="s">
        <v>146</v>
      </c>
      <c r="J1136" s="564" t="s">
        <v>1069</v>
      </c>
      <c r="K1136" s="564" t="s">
        <v>1070</v>
      </c>
      <c r="L1136" s="564" t="s">
        <v>2098</v>
      </c>
      <c r="M1136" s="564" t="s">
        <v>2098</v>
      </c>
      <c r="N1136" s="564" t="s">
        <v>1073</v>
      </c>
      <c r="O1136" s="564" t="s">
        <v>2099</v>
      </c>
      <c r="P1136" s="23"/>
      <c r="Q1136" s="23"/>
      <c r="R1136" s="23"/>
      <c r="S1136" s="23"/>
      <c r="T1136" s="23"/>
      <c r="U1136" s="23"/>
      <c r="V1136" s="23"/>
      <c r="W1136" s="23"/>
      <c r="X1136" s="23"/>
      <c r="Y1136" s="23"/>
      <c r="Z1136" s="23"/>
    </row>
    <row r="1137" spans="1:26" ht="13">
      <c r="A1137" s="562" t="s">
        <v>3542</v>
      </c>
      <c r="B1137" s="563" t="s">
        <v>3543</v>
      </c>
      <c r="C1137" s="564" t="s">
        <v>1652</v>
      </c>
      <c r="D1137" s="565">
        <v>44762</v>
      </c>
      <c r="E1137" s="565">
        <v>44773</v>
      </c>
      <c r="F1137" s="566">
        <v>2170000</v>
      </c>
      <c r="G1137" s="564" t="s">
        <v>297</v>
      </c>
      <c r="H1137" s="564" t="s">
        <v>297</v>
      </c>
      <c r="I1137" s="564" t="s">
        <v>70</v>
      </c>
      <c r="J1137" s="564" t="s">
        <v>1069</v>
      </c>
      <c r="K1137" s="564" t="s">
        <v>1120</v>
      </c>
      <c r="L1137" s="564" t="s">
        <v>2098</v>
      </c>
      <c r="M1137" s="564" t="s">
        <v>2098</v>
      </c>
      <c r="N1137" s="564" t="s">
        <v>70</v>
      </c>
      <c r="O1137" s="564" t="s">
        <v>2099</v>
      </c>
      <c r="P1137" s="23"/>
      <c r="Q1137" s="23"/>
      <c r="R1137" s="23"/>
      <c r="S1137" s="23"/>
      <c r="T1137" s="23"/>
      <c r="U1137" s="23"/>
      <c r="V1137" s="23"/>
      <c r="W1137" s="23"/>
      <c r="X1137" s="23"/>
      <c r="Y1137" s="23"/>
      <c r="Z1137" s="23"/>
    </row>
    <row r="1138" spans="1:26" ht="13">
      <c r="A1138" s="562" t="s">
        <v>3544</v>
      </c>
      <c r="B1138" s="563" t="s">
        <v>3545</v>
      </c>
      <c r="C1138" s="564" t="s">
        <v>1475</v>
      </c>
      <c r="D1138" s="565">
        <v>44749</v>
      </c>
      <c r="E1138" s="565">
        <v>44773</v>
      </c>
      <c r="F1138" s="566">
        <v>20740000</v>
      </c>
      <c r="G1138" s="564" t="s">
        <v>1182</v>
      </c>
      <c r="H1138" s="564" t="s">
        <v>1182</v>
      </c>
      <c r="I1138" s="564" t="s">
        <v>146</v>
      </c>
      <c r="J1138" s="564" t="s">
        <v>1069</v>
      </c>
      <c r="K1138" s="564" t="s">
        <v>1070</v>
      </c>
      <c r="L1138" s="564" t="s">
        <v>2098</v>
      </c>
      <c r="M1138" s="564" t="s">
        <v>2098</v>
      </c>
      <c r="N1138" s="564" t="s">
        <v>1073</v>
      </c>
      <c r="O1138" s="564" t="s">
        <v>2099</v>
      </c>
      <c r="P1138" s="23"/>
      <c r="Q1138" s="23"/>
      <c r="R1138" s="23"/>
      <c r="S1138" s="23"/>
      <c r="T1138" s="23"/>
      <c r="U1138" s="23"/>
      <c r="V1138" s="23"/>
      <c r="W1138" s="23"/>
      <c r="X1138" s="23"/>
      <c r="Y1138" s="23"/>
      <c r="Z1138" s="23"/>
    </row>
    <row r="1139" spans="1:26" ht="13">
      <c r="A1139" s="562" t="s">
        <v>3546</v>
      </c>
      <c r="B1139" s="563" t="s">
        <v>3547</v>
      </c>
      <c r="C1139" s="564" t="s">
        <v>3378</v>
      </c>
      <c r="D1139" s="565">
        <v>44749</v>
      </c>
      <c r="E1139" s="565">
        <v>44773</v>
      </c>
      <c r="F1139" s="566">
        <v>20740000</v>
      </c>
      <c r="G1139" s="564" t="s">
        <v>1182</v>
      </c>
      <c r="H1139" s="564" t="s">
        <v>1182</v>
      </c>
      <c r="I1139" s="564" t="s">
        <v>146</v>
      </c>
      <c r="J1139" s="564" t="s">
        <v>1069</v>
      </c>
      <c r="K1139" s="564" t="s">
        <v>1070</v>
      </c>
      <c r="L1139" s="564" t="s">
        <v>2098</v>
      </c>
      <c r="M1139" s="564" t="s">
        <v>2098</v>
      </c>
      <c r="N1139" s="564" t="s">
        <v>1073</v>
      </c>
      <c r="O1139" s="564" t="s">
        <v>2099</v>
      </c>
      <c r="P1139" s="23"/>
      <c r="Q1139" s="23"/>
      <c r="R1139" s="23"/>
      <c r="S1139" s="23"/>
      <c r="T1139" s="23"/>
      <c r="U1139" s="23"/>
      <c r="V1139" s="23"/>
      <c r="W1139" s="23"/>
      <c r="X1139" s="23"/>
      <c r="Y1139" s="23"/>
      <c r="Z1139" s="23"/>
    </row>
    <row r="1140" spans="1:26" ht="13">
      <c r="A1140" s="562" t="s">
        <v>3548</v>
      </c>
      <c r="B1140" s="563" t="s">
        <v>3549</v>
      </c>
      <c r="C1140" s="564" t="s">
        <v>1652</v>
      </c>
      <c r="D1140" s="565">
        <v>44755</v>
      </c>
      <c r="E1140" s="565">
        <v>44785</v>
      </c>
      <c r="F1140" s="566">
        <v>1115000</v>
      </c>
      <c r="G1140" s="564" t="s">
        <v>297</v>
      </c>
      <c r="H1140" s="564" t="s">
        <v>297</v>
      </c>
      <c r="I1140" s="564" t="s">
        <v>70</v>
      </c>
      <c r="J1140" s="564" t="s">
        <v>1069</v>
      </c>
      <c r="K1140" s="564" t="s">
        <v>1120</v>
      </c>
      <c r="L1140" s="564" t="s">
        <v>2098</v>
      </c>
      <c r="M1140" s="564" t="s">
        <v>2098</v>
      </c>
      <c r="N1140" s="564" t="s">
        <v>70</v>
      </c>
      <c r="O1140" s="564" t="s">
        <v>2099</v>
      </c>
      <c r="P1140" s="23"/>
      <c r="Q1140" s="23"/>
      <c r="R1140" s="23"/>
      <c r="S1140" s="23"/>
      <c r="T1140" s="23"/>
      <c r="U1140" s="23"/>
      <c r="V1140" s="23"/>
      <c r="W1140" s="23"/>
      <c r="X1140" s="23"/>
      <c r="Y1140" s="23"/>
      <c r="Z1140" s="23"/>
    </row>
    <row r="1141" spans="1:26" ht="13">
      <c r="A1141" s="562" t="s">
        <v>3550</v>
      </c>
      <c r="B1141" s="563" t="s">
        <v>3551</v>
      </c>
      <c r="C1141" s="564" t="s">
        <v>1652</v>
      </c>
      <c r="D1141" s="565">
        <v>44749</v>
      </c>
      <c r="E1141" s="565">
        <v>44771</v>
      </c>
      <c r="F1141" s="566">
        <v>987000</v>
      </c>
      <c r="G1141" s="564" t="s">
        <v>297</v>
      </c>
      <c r="H1141" s="564" t="s">
        <v>297</v>
      </c>
      <c r="I1141" s="564" t="s">
        <v>70</v>
      </c>
      <c r="J1141" s="564" t="s">
        <v>1069</v>
      </c>
      <c r="K1141" s="564" t="s">
        <v>1120</v>
      </c>
      <c r="L1141" s="564" t="s">
        <v>2098</v>
      </c>
      <c r="M1141" s="564" t="s">
        <v>2098</v>
      </c>
      <c r="N1141" s="564" t="s">
        <v>70</v>
      </c>
      <c r="O1141" s="564" t="s">
        <v>2099</v>
      </c>
      <c r="P1141" s="23"/>
      <c r="Q1141" s="23"/>
      <c r="R1141" s="23"/>
      <c r="S1141" s="23"/>
      <c r="T1141" s="23"/>
      <c r="U1141" s="23"/>
      <c r="V1141" s="23"/>
      <c r="W1141" s="23"/>
      <c r="X1141" s="23"/>
      <c r="Y1141" s="23"/>
      <c r="Z1141" s="23"/>
    </row>
    <row r="1142" spans="1:26" ht="13">
      <c r="A1142" s="562" t="s">
        <v>3552</v>
      </c>
      <c r="B1142" s="563" t="s">
        <v>3553</v>
      </c>
      <c r="C1142" s="564" t="s">
        <v>353</v>
      </c>
      <c r="D1142" s="565">
        <v>44754</v>
      </c>
      <c r="E1142" s="565">
        <v>44773</v>
      </c>
      <c r="F1142" s="566">
        <v>180000</v>
      </c>
      <c r="G1142" s="564" t="s">
        <v>349</v>
      </c>
      <c r="H1142" s="564" t="s">
        <v>349</v>
      </c>
      <c r="I1142" s="564" t="s">
        <v>121</v>
      </c>
      <c r="J1142" s="564" t="s">
        <v>1069</v>
      </c>
      <c r="K1142" s="564" t="s">
        <v>1105</v>
      </c>
      <c r="L1142" s="564" t="s">
        <v>2098</v>
      </c>
      <c r="M1142" s="564" t="s">
        <v>2098</v>
      </c>
      <c r="N1142" s="564" t="s">
        <v>1073</v>
      </c>
      <c r="O1142" s="564" t="s">
        <v>2099</v>
      </c>
      <c r="P1142" s="23"/>
      <c r="Q1142" s="23"/>
      <c r="R1142" s="23"/>
      <c r="S1142" s="23"/>
      <c r="T1142" s="23"/>
      <c r="U1142" s="23"/>
      <c r="V1142" s="23"/>
      <c r="W1142" s="23"/>
      <c r="X1142" s="23"/>
      <c r="Y1142" s="23"/>
      <c r="Z1142" s="23"/>
    </row>
    <row r="1143" spans="1:26" ht="13">
      <c r="A1143" s="562" t="s">
        <v>3554</v>
      </c>
      <c r="B1143" s="563" t="s">
        <v>3555</v>
      </c>
      <c r="C1143" s="564" t="s">
        <v>1652</v>
      </c>
      <c r="D1143" s="565">
        <v>44754</v>
      </c>
      <c r="E1143" s="565">
        <v>44785</v>
      </c>
      <c r="F1143" s="566">
        <v>129500</v>
      </c>
      <c r="G1143" s="564" t="s">
        <v>297</v>
      </c>
      <c r="H1143" s="564" t="s">
        <v>297</v>
      </c>
      <c r="I1143" s="564" t="s">
        <v>195</v>
      </c>
      <c r="J1143" s="564" t="s">
        <v>1069</v>
      </c>
      <c r="K1143" s="564" t="s">
        <v>1120</v>
      </c>
      <c r="L1143" s="564" t="s">
        <v>2098</v>
      </c>
      <c r="M1143" s="564" t="s">
        <v>2098</v>
      </c>
      <c r="N1143" s="564" t="s">
        <v>1073</v>
      </c>
      <c r="O1143" s="564" t="s">
        <v>2099</v>
      </c>
      <c r="P1143" s="23"/>
      <c r="Q1143" s="23"/>
      <c r="R1143" s="23"/>
      <c r="S1143" s="23"/>
      <c r="T1143" s="23"/>
      <c r="U1143" s="23"/>
      <c r="V1143" s="23"/>
      <c r="W1143" s="23"/>
      <c r="X1143" s="23"/>
      <c r="Y1143" s="23"/>
      <c r="Z1143" s="23"/>
    </row>
    <row r="1144" spans="1:26" ht="13">
      <c r="A1144" s="562" t="s">
        <v>3556</v>
      </c>
      <c r="B1144" s="563" t="s">
        <v>3557</v>
      </c>
      <c r="C1144" s="564" t="s">
        <v>1652</v>
      </c>
      <c r="D1144" s="565">
        <v>44750</v>
      </c>
      <c r="E1144" s="565">
        <v>44771</v>
      </c>
      <c r="F1144" s="566">
        <v>1016000</v>
      </c>
      <c r="G1144" s="564" t="s">
        <v>297</v>
      </c>
      <c r="H1144" s="564" t="s">
        <v>297</v>
      </c>
      <c r="I1144" s="564" t="s">
        <v>1223</v>
      </c>
      <c r="J1144" s="564" t="s">
        <v>1069</v>
      </c>
      <c r="K1144" s="564" t="s">
        <v>1120</v>
      </c>
      <c r="L1144" s="564" t="s">
        <v>2098</v>
      </c>
      <c r="M1144" s="564" t="s">
        <v>2098</v>
      </c>
      <c r="N1144" s="564" t="s">
        <v>1073</v>
      </c>
      <c r="O1144" s="564" t="s">
        <v>2099</v>
      </c>
      <c r="P1144" s="23"/>
      <c r="Q1144" s="23"/>
      <c r="R1144" s="23"/>
      <c r="S1144" s="23"/>
      <c r="T1144" s="23"/>
      <c r="U1144" s="23"/>
      <c r="V1144" s="23"/>
      <c r="W1144" s="23"/>
      <c r="X1144" s="23"/>
      <c r="Y1144" s="23"/>
      <c r="Z1144" s="23"/>
    </row>
    <row r="1145" spans="1:26" ht="13">
      <c r="A1145" s="562" t="s">
        <v>3558</v>
      </c>
      <c r="B1145" s="563" t="s">
        <v>3559</v>
      </c>
      <c r="C1145" s="564" t="s">
        <v>1475</v>
      </c>
      <c r="D1145" s="565">
        <v>44750</v>
      </c>
      <c r="E1145" s="565">
        <v>44773</v>
      </c>
      <c r="F1145" s="566">
        <v>3256000</v>
      </c>
      <c r="G1145" s="564" t="s">
        <v>297</v>
      </c>
      <c r="H1145" s="564" t="s">
        <v>297</v>
      </c>
      <c r="I1145" s="564" t="s">
        <v>1247</v>
      </c>
      <c r="J1145" s="564" t="s">
        <v>1069</v>
      </c>
      <c r="K1145" s="564" t="s">
        <v>1070</v>
      </c>
      <c r="L1145" s="564" t="s">
        <v>2098</v>
      </c>
      <c r="M1145" s="564" t="s">
        <v>2098</v>
      </c>
      <c r="N1145" s="564" t="s">
        <v>1073</v>
      </c>
      <c r="O1145" s="564" t="s">
        <v>2099</v>
      </c>
      <c r="P1145" s="23"/>
      <c r="Q1145" s="23"/>
      <c r="R1145" s="23"/>
      <c r="S1145" s="23"/>
      <c r="T1145" s="23"/>
      <c r="U1145" s="23"/>
      <c r="V1145" s="23"/>
      <c r="W1145" s="23"/>
      <c r="X1145" s="23"/>
      <c r="Y1145" s="23"/>
      <c r="Z1145" s="23"/>
    </row>
    <row r="1146" spans="1:26" ht="13">
      <c r="A1146" s="562" t="s">
        <v>3560</v>
      </c>
      <c r="B1146" s="563" t="s">
        <v>3561</v>
      </c>
      <c r="C1146" s="564" t="s">
        <v>1475</v>
      </c>
      <c r="D1146" s="565">
        <v>44746</v>
      </c>
      <c r="E1146" s="565">
        <v>44875</v>
      </c>
      <c r="F1146" s="566">
        <v>8400000</v>
      </c>
      <c r="G1146" s="564" t="s">
        <v>1123</v>
      </c>
      <c r="H1146" s="564" t="s">
        <v>1123</v>
      </c>
      <c r="I1146" s="564" t="s">
        <v>1417</v>
      </c>
      <c r="J1146" s="564" t="s">
        <v>1069</v>
      </c>
      <c r="K1146" s="564" t="s">
        <v>1070</v>
      </c>
      <c r="L1146" s="564" t="s">
        <v>2098</v>
      </c>
      <c r="M1146" s="564" t="s">
        <v>2098</v>
      </c>
      <c r="N1146" s="564" t="s">
        <v>1082</v>
      </c>
      <c r="O1146" s="564" t="s">
        <v>2099</v>
      </c>
      <c r="P1146" s="23"/>
      <c r="Q1146" s="23"/>
      <c r="R1146" s="23"/>
      <c r="S1146" s="23"/>
      <c r="T1146" s="23"/>
      <c r="U1146" s="23"/>
      <c r="V1146" s="23"/>
      <c r="W1146" s="23"/>
      <c r="X1146" s="23"/>
      <c r="Y1146" s="23"/>
      <c r="Z1146" s="23"/>
    </row>
    <row r="1147" spans="1:26" ht="13">
      <c r="A1147" s="562" t="s">
        <v>3562</v>
      </c>
      <c r="B1147" s="563" t="s">
        <v>3563</v>
      </c>
      <c r="C1147" s="564" t="s">
        <v>1652</v>
      </c>
      <c r="D1147" s="565">
        <v>44746</v>
      </c>
      <c r="E1147" s="565">
        <v>44773</v>
      </c>
      <c r="F1147" s="566">
        <v>4533000</v>
      </c>
      <c r="G1147" s="564" t="s">
        <v>297</v>
      </c>
      <c r="H1147" s="564" t="s">
        <v>297</v>
      </c>
      <c r="I1147" s="564" t="s">
        <v>70</v>
      </c>
      <c r="J1147" s="564" t="s">
        <v>1069</v>
      </c>
      <c r="K1147" s="564" t="s">
        <v>1120</v>
      </c>
      <c r="L1147" s="564" t="s">
        <v>2098</v>
      </c>
      <c r="M1147" s="564" t="s">
        <v>2098</v>
      </c>
      <c r="N1147" s="564" t="s">
        <v>70</v>
      </c>
      <c r="O1147" s="564" t="s">
        <v>2099</v>
      </c>
      <c r="P1147" s="23"/>
      <c r="Q1147" s="23"/>
      <c r="R1147" s="23"/>
      <c r="S1147" s="23"/>
      <c r="T1147" s="23"/>
      <c r="U1147" s="23"/>
      <c r="V1147" s="23"/>
      <c r="W1147" s="23"/>
      <c r="X1147" s="23"/>
      <c r="Y1147" s="23"/>
      <c r="Z1147" s="23"/>
    </row>
    <row r="1148" spans="1:26" ht="13">
      <c r="A1148" s="562" t="s">
        <v>3564</v>
      </c>
      <c r="B1148" s="563" t="s">
        <v>3565</v>
      </c>
      <c r="C1148" s="564" t="s">
        <v>1652</v>
      </c>
      <c r="D1148" s="565">
        <v>44746</v>
      </c>
      <c r="E1148" s="565">
        <v>44773</v>
      </c>
      <c r="F1148" s="566">
        <v>4137000</v>
      </c>
      <c r="G1148" s="564" t="s">
        <v>297</v>
      </c>
      <c r="H1148" s="564" t="s">
        <v>297</v>
      </c>
      <c r="I1148" s="564" t="s">
        <v>70</v>
      </c>
      <c r="J1148" s="564" t="s">
        <v>1069</v>
      </c>
      <c r="K1148" s="564" t="s">
        <v>1120</v>
      </c>
      <c r="L1148" s="564" t="s">
        <v>2098</v>
      </c>
      <c r="M1148" s="564" t="s">
        <v>2098</v>
      </c>
      <c r="N1148" s="564" t="s">
        <v>70</v>
      </c>
      <c r="O1148" s="564" t="s">
        <v>2099</v>
      </c>
      <c r="P1148" s="23"/>
      <c r="Q1148" s="23"/>
      <c r="R1148" s="23"/>
      <c r="S1148" s="23"/>
      <c r="T1148" s="23"/>
      <c r="U1148" s="23"/>
      <c r="V1148" s="23"/>
      <c r="W1148" s="23"/>
      <c r="X1148" s="23"/>
      <c r="Y1148" s="23"/>
      <c r="Z1148" s="23"/>
    </row>
    <row r="1149" spans="1:26" ht="13">
      <c r="A1149" s="562" t="s">
        <v>3566</v>
      </c>
      <c r="B1149" s="563" t="s">
        <v>3567</v>
      </c>
      <c r="C1149" s="564" t="s">
        <v>1652</v>
      </c>
      <c r="D1149" s="565">
        <v>44746</v>
      </c>
      <c r="E1149" s="565">
        <v>44773</v>
      </c>
      <c r="F1149" s="566">
        <v>4361000</v>
      </c>
      <c r="G1149" s="564" t="s">
        <v>297</v>
      </c>
      <c r="H1149" s="564" t="s">
        <v>297</v>
      </c>
      <c r="I1149" s="564" t="s">
        <v>70</v>
      </c>
      <c r="J1149" s="564" t="s">
        <v>1069</v>
      </c>
      <c r="K1149" s="564" t="s">
        <v>1120</v>
      </c>
      <c r="L1149" s="564" t="s">
        <v>2098</v>
      </c>
      <c r="M1149" s="564" t="s">
        <v>2098</v>
      </c>
      <c r="N1149" s="564" t="s">
        <v>70</v>
      </c>
      <c r="O1149" s="564" t="s">
        <v>2099</v>
      </c>
      <c r="P1149" s="23"/>
      <c r="Q1149" s="23"/>
      <c r="R1149" s="23"/>
      <c r="S1149" s="23"/>
      <c r="T1149" s="23"/>
      <c r="U1149" s="23"/>
      <c r="V1149" s="23"/>
      <c r="W1149" s="23"/>
      <c r="X1149" s="23"/>
      <c r="Y1149" s="23"/>
      <c r="Z1149" s="23"/>
    </row>
    <row r="1150" spans="1:26" ht="13">
      <c r="A1150" s="562" t="s">
        <v>3568</v>
      </c>
      <c r="B1150" s="563" t="s">
        <v>3569</v>
      </c>
      <c r="C1150" s="564" t="s">
        <v>1652</v>
      </c>
      <c r="D1150" s="565">
        <v>44746</v>
      </c>
      <c r="E1150" s="565">
        <v>44773</v>
      </c>
      <c r="F1150" s="566">
        <v>1420000</v>
      </c>
      <c r="G1150" s="564" t="s">
        <v>297</v>
      </c>
      <c r="H1150" s="564" t="s">
        <v>297</v>
      </c>
      <c r="I1150" s="564" t="s">
        <v>70</v>
      </c>
      <c r="J1150" s="564" t="s">
        <v>1069</v>
      </c>
      <c r="K1150" s="564" t="s">
        <v>1120</v>
      </c>
      <c r="L1150" s="564" t="s">
        <v>2098</v>
      </c>
      <c r="M1150" s="564" t="s">
        <v>2098</v>
      </c>
      <c r="N1150" s="564" t="s">
        <v>70</v>
      </c>
      <c r="O1150" s="564" t="s">
        <v>2099</v>
      </c>
      <c r="P1150" s="23"/>
      <c r="Q1150" s="23"/>
      <c r="R1150" s="23"/>
      <c r="S1150" s="23"/>
      <c r="T1150" s="23"/>
      <c r="U1150" s="23"/>
      <c r="V1150" s="23"/>
      <c r="W1150" s="23"/>
      <c r="X1150" s="23"/>
      <c r="Y1150" s="23"/>
      <c r="Z1150" s="23"/>
    </row>
    <row r="1151" spans="1:26" ht="13">
      <c r="A1151" s="562" t="s">
        <v>3570</v>
      </c>
      <c r="B1151" s="563" t="s">
        <v>3571</v>
      </c>
      <c r="C1151" s="564" t="s">
        <v>1076</v>
      </c>
      <c r="D1151" s="565">
        <v>44743</v>
      </c>
      <c r="E1151" s="565">
        <v>44926</v>
      </c>
      <c r="F1151" s="566">
        <v>2987000</v>
      </c>
      <c r="G1151" s="564" t="s">
        <v>1077</v>
      </c>
      <c r="H1151" s="564" t="s">
        <v>1077</v>
      </c>
      <c r="I1151" s="564" t="s">
        <v>637</v>
      </c>
      <c r="J1151" s="564" t="s">
        <v>1069</v>
      </c>
      <c r="K1151" s="564" t="s">
        <v>1070</v>
      </c>
      <c r="L1151" s="564" t="s">
        <v>2098</v>
      </c>
      <c r="M1151" s="564" t="s">
        <v>2098</v>
      </c>
      <c r="N1151" s="564" t="s">
        <v>1082</v>
      </c>
      <c r="O1151" s="564" t="s">
        <v>2099</v>
      </c>
      <c r="P1151" s="23"/>
      <c r="Q1151" s="23"/>
      <c r="R1151" s="23"/>
      <c r="S1151" s="23"/>
      <c r="T1151" s="23"/>
      <c r="U1151" s="23"/>
      <c r="V1151" s="23"/>
      <c r="W1151" s="23"/>
      <c r="X1151" s="23"/>
      <c r="Y1151" s="23"/>
      <c r="Z1151" s="23"/>
    </row>
    <row r="1152" spans="1:26" ht="13">
      <c r="A1152" s="562" t="s">
        <v>3572</v>
      </c>
      <c r="B1152" s="563" t="s">
        <v>3573</v>
      </c>
      <c r="C1152" s="564" t="s">
        <v>2322</v>
      </c>
      <c r="D1152" s="565">
        <v>44728</v>
      </c>
      <c r="E1152" s="565">
        <v>44908</v>
      </c>
      <c r="F1152" s="566">
        <v>143045455</v>
      </c>
      <c r="G1152" s="564" t="s">
        <v>2428</v>
      </c>
      <c r="H1152" s="564" t="s">
        <v>2428</v>
      </c>
      <c r="I1152" s="564" t="s">
        <v>2761</v>
      </c>
      <c r="J1152" s="564" t="s">
        <v>1069</v>
      </c>
      <c r="K1152" s="564" t="s">
        <v>1209</v>
      </c>
      <c r="L1152" s="564" t="s">
        <v>2098</v>
      </c>
      <c r="M1152" s="564" t="s">
        <v>2098</v>
      </c>
      <c r="N1152" s="564" t="s">
        <v>2439</v>
      </c>
      <c r="O1152" s="564" t="s">
        <v>2099</v>
      </c>
      <c r="P1152" s="23"/>
      <c r="Q1152" s="23"/>
      <c r="R1152" s="23"/>
      <c r="S1152" s="23"/>
      <c r="T1152" s="23"/>
      <c r="U1152" s="23"/>
      <c r="V1152" s="23"/>
      <c r="W1152" s="23"/>
      <c r="X1152" s="23"/>
      <c r="Y1152" s="23"/>
      <c r="Z1152" s="23"/>
    </row>
    <row r="1153" spans="1:26" ht="13">
      <c r="A1153" s="562" t="s">
        <v>3574</v>
      </c>
      <c r="B1153" s="563" t="s">
        <v>3575</v>
      </c>
      <c r="C1153" s="564" t="s">
        <v>1076</v>
      </c>
      <c r="D1153" s="565">
        <v>44743</v>
      </c>
      <c r="E1153" s="565">
        <v>44926</v>
      </c>
      <c r="F1153" s="566">
        <v>1892000</v>
      </c>
      <c r="G1153" s="564" t="s">
        <v>1077</v>
      </c>
      <c r="H1153" s="564" t="s">
        <v>1077</v>
      </c>
      <c r="I1153" s="564" t="s">
        <v>637</v>
      </c>
      <c r="J1153" s="564" t="s">
        <v>1069</v>
      </c>
      <c r="K1153" s="564" t="s">
        <v>1070</v>
      </c>
      <c r="L1153" s="564" t="s">
        <v>2098</v>
      </c>
      <c r="M1153" s="564" t="s">
        <v>2098</v>
      </c>
      <c r="N1153" s="564" t="s">
        <v>1082</v>
      </c>
      <c r="O1153" s="564" t="s">
        <v>2099</v>
      </c>
      <c r="P1153" s="23"/>
      <c r="Q1153" s="23"/>
      <c r="R1153" s="23"/>
      <c r="S1153" s="23"/>
      <c r="T1153" s="23"/>
      <c r="U1153" s="23"/>
      <c r="V1153" s="23"/>
      <c r="W1153" s="23"/>
      <c r="X1153" s="23"/>
      <c r="Y1153" s="23"/>
      <c r="Z1153" s="23"/>
    </row>
    <row r="1154" spans="1:26" ht="13">
      <c r="A1154" s="562" t="s">
        <v>3576</v>
      </c>
      <c r="B1154" s="563" t="s">
        <v>3577</v>
      </c>
      <c r="C1154" s="564" t="s">
        <v>1652</v>
      </c>
      <c r="D1154" s="565">
        <v>44739</v>
      </c>
      <c r="E1154" s="565">
        <v>44757</v>
      </c>
      <c r="F1154" s="566">
        <v>4040000</v>
      </c>
      <c r="G1154" s="564" t="s">
        <v>297</v>
      </c>
      <c r="H1154" s="564" t="s">
        <v>297</v>
      </c>
      <c r="I1154" s="564" t="s">
        <v>70</v>
      </c>
      <c r="J1154" s="564" t="s">
        <v>1069</v>
      </c>
      <c r="K1154" s="564" t="s">
        <v>1120</v>
      </c>
      <c r="L1154" s="564" t="s">
        <v>2098</v>
      </c>
      <c r="M1154" s="564" t="s">
        <v>2098</v>
      </c>
      <c r="N1154" s="564" t="s">
        <v>70</v>
      </c>
      <c r="O1154" s="564" t="s">
        <v>2099</v>
      </c>
      <c r="P1154" s="23"/>
      <c r="Q1154" s="23"/>
      <c r="R1154" s="23"/>
      <c r="S1154" s="23"/>
      <c r="T1154" s="23"/>
      <c r="U1154" s="23"/>
      <c r="V1154" s="23"/>
      <c r="W1154" s="23"/>
      <c r="X1154" s="23"/>
      <c r="Y1154" s="23"/>
      <c r="Z1154" s="23"/>
    </row>
    <row r="1155" spans="1:26" ht="13">
      <c r="A1155" s="562" t="s">
        <v>3578</v>
      </c>
      <c r="B1155" s="563" t="s">
        <v>3579</v>
      </c>
      <c r="C1155" s="564" t="s">
        <v>1076</v>
      </c>
      <c r="D1155" s="565">
        <v>44739</v>
      </c>
      <c r="E1155" s="565">
        <v>44926</v>
      </c>
      <c r="F1155" s="566">
        <v>3784000</v>
      </c>
      <c r="G1155" s="564" t="s">
        <v>1077</v>
      </c>
      <c r="H1155" s="564" t="s">
        <v>1077</v>
      </c>
      <c r="I1155" s="564" t="s">
        <v>637</v>
      </c>
      <c r="J1155" s="564" t="s">
        <v>1069</v>
      </c>
      <c r="K1155" s="564" t="s">
        <v>1070</v>
      </c>
      <c r="L1155" s="564" t="s">
        <v>2098</v>
      </c>
      <c r="M1155" s="564" t="s">
        <v>2098</v>
      </c>
      <c r="N1155" s="564" t="s">
        <v>1082</v>
      </c>
      <c r="O1155" s="564" t="s">
        <v>2099</v>
      </c>
      <c r="P1155" s="23"/>
      <c r="Q1155" s="23"/>
      <c r="R1155" s="23"/>
      <c r="S1155" s="23"/>
      <c r="T1155" s="23"/>
      <c r="U1155" s="23"/>
      <c r="V1155" s="23"/>
      <c r="W1155" s="23"/>
      <c r="X1155" s="23"/>
      <c r="Y1155" s="23"/>
      <c r="Z1155" s="23"/>
    </row>
    <row r="1156" spans="1:26" ht="13">
      <c r="A1156" s="562" t="s">
        <v>3580</v>
      </c>
      <c r="B1156" s="563" t="s">
        <v>3154</v>
      </c>
      <c r="C1156" s="564" t="s">
        <v>1652</v>
      </c>
      <c r="D1156" s="565">
        <v>44732</v>
      </c>
      <c r="E1156" s="565">
        <v>44757</v>
      </c>
      <c r="F1156" s="566">
        <v>11649300</v>
      </c>
      <c r="G1156" s="564" t="s">
        <v>297</v>
      </c>
      <c r="H1156" s="564" t="s">
        <v>297</v>
      </c>
      <c r="I1156" s="564" t="s">
        <v>70</v>
      </c>
      <c r="J1156" s="564" t="s">
        <v>1069</v>
      </c>
      <c r="K1156" s="564" t="s">
        <v>1120</v>
      </c>
      <c r="L1156" s="564" t="s">
        <v>2098</v>
      </c>
      <c r="M1156" s="564" t="s">
        <v>2098</v>
      </c>
      <c r="N1156" s="564" t="s">
        <v>70</v>
      </c>
      <c r="O1156" s="564" t="s">
        <v>2099</v>
      </c>
      <c r="P1156" s="23"/>
      <c r="Q1156" s="23"/>
      <c r="R1156" s="23"/>
      <c r="S1156" s="23"/>
      <c r="T1156" s="23"/>
      <c r="U1156" s="23"/>
      <c r="V1156" s="23"/>
      <c r="W1156" s="23"/>
      <c r="X1156" s="23"/>
      <c r="Y1156" s="23"/>
      <c r="Z1156" s="23"/>
    </row>
    <row r="1157" spans="1:26" ht="13">
      <c r="A1157" s="562" t="s">
        <v>3581</v>
      </c>
      <c r="B1157" s="563" t="s">
        <v>3582</v>
      </c>
      <c r="C1157" s="564" t="s">
        <v>1652</v>
      </c>
      <c r="D1157" s="565">
        <v>44735</v>
      </c>
      <c r="E1157" s="565">
        <v>44804</v>
      </c>
      <c r="F1157" s="566">
        <v>59900000</v>
      </c>
      <c r="G1157" s="564" t="s">
        <v>297</v>
      </c>
      <c r="H1157" s="564" t="s">
        <v>297</v>
      </c>
      <c r="I1157" s="564" t="s">
        <v>1223</v>
      </c>
      <c r="J1157" s="564" t="s">
        <v>1069</v>
      </c>
      <c r="K1157" s="564" t="s">
        <v>1120</v>
      </c>
      <c r="L1157" s="564" t="s">
        <v>2098</v>
      </c>
      <c r="M1157" s="564" t="s">
        <v>2098</v>
      </c>
      <c r="N1157" s="564" t="s">
        <v>1073</v>
      </c>
      <c r="O1157" s="564" t="s">
        <v>2099</v>
      </c>
      <c r="P1157" s="23"/>
      <c r="Q1157" s="23"/>
      <c r="R1157" s="23"/>
      <c r="S1157" s="23"/>
      <c r="T1157" s="23"/>
      <c r="U1157" s="23"/>
      <c r="V1157" s="23"/>
      <c r="W1157" s="23"/>
      <c r="X1157" s="23"/>
      <c r="Y1157" s="23"/>
      <c r="Z1157" s="23"/>
    </row>
    <row r="1158" spans="1:26" ht="13">
      <c r="A1158" s="562" t="s">
        <v>3583</v>
      </c>
      <c r="B1158" s="563" t="s">
        <v>3584</v>
      </c>
      <c r="C1158" s="564" t="s">
        <v>1076</v>
      </c>
      <c r="D1158" s="565">
        <v>44733</v>
      </c>
      <c r="E1158" s="565">
        <v>44926</v>
      </c>
      <c r="F1158" s="566">
        <v>1892000</v>
      </c>
      <c r="G1158" s="564" t="s">
        <v>1077</v>
      </c>
      <c r="H1158" s="564" t="s">
        <v>1077</v>
      </c>
      <c r="I1158" s="564" t="s">
        <v>637</v>
      </c>
      <c r="J1158" s="564" t="s">
        <v>1069</v>
      </c>
      <c r="K1158" s="564" t="s">
        <v>1070</v>
      </c>
      <c r="L1158" s="564" t="s">
        <v>2098</v>
      </c>
      <c r="M1158" s="564" t="s">
        <v>2098</v>
      </c>
      <c r="N1158" s="564" t="s">
        <v>1082</v>
      </c>
      <c r="O1158" s="564" t="s">
        <v>2099</v>
      </c>
      <c r="P1158" s="23"/>
      <c r="Q1158" s="23"/>
      <c r="R1158" s="23"/>
      <c r="S1158" s="23"/>
      <c r="T1158" s="23"/>
      <c r="U1158" s="23"/>
      <c r="V1158" s="23"/>
      <c r="W1158" s="23"/>
      <c r="X1158" s="23"/>
      <c r="Y1158" s="23"/>
      <c r="Z1158" s="23"/>
    </row>
    <row r="1159" spans="1:26" ht="13">
      <c r="A1159" s="562" t="s">
        <v>3585</v>
      </c>
      <c r="B1159" s="563" t="s">
        <v>3586</v>
      </c>
      <c r="C1159" s="564" t="s">
        <v>1652</v>
      </c>
      <c r="D1159" s="565">
        <v>44729</v>
      </c>
      <c r="E1159" s="565">
        <v>44750</v>
      </c>
      <c r="F1159" s="566">
        <v>6680000</v>
      </c>
      <c r="G1159" s="564" t="s">
        <v>297</v>
      </c>
      <c r="H1159" s="564" t="s">
        <v>297</v>
      </c>
      <c r="I1159" s="564" t="s">
        <v>195</v>
      </c>
      <c r="J1159" s="564" t="s">
        <v>1069</v>
      </c>
      <c r="K1159" s="564" t="s">
        <v>1120</v>
      </c>
      <c r="L1159" s="564" t="s">
        <v>2098</v>
      </c>
      <c r="M1159" s="564" t="s">
        <v>2098</v>
      </c>
      <c r="N1159" s="564" t="s">
        <v>1073</v>
      </c>
      <c r="O1159" s="564" t="s">
        <v>2099</v>
      </c>
      <c r="P1159" s="23"/>
      <c r="Q1159" s="23"/>
      <c r="R1159" s="23"/>
      <c r="S1159" s="23"/>
      <c r="T1159" s="23"/>
      <c r="U1159" s="23"/>
      <c r="V1159" s="23"/>
      <c r="W1159" s="23"/>
      <c r="X1159" s="23"/>
      <c r="Y1159" s="23"/>
      <c r="Z1159" s="23"/>
    </row>
    <row r="1160" spans="1:26" ht="13">
      <c r="A1160" s="562" t="s">
        <v>3587</v>
      </c>
      <c r="B1160" s="563" t="s">
        <v>3588</v>
      </c>
      <c r="C1160" s="564" t="s">
        <v>353</v>
      </c>
      <c r="D1160" s="565">
        <v>44728</v>
      </c>
      <c r="E1160" s="565">
        <v>44750</v>
      </c>
      <c r="F1160" s="566">
        <v>858000</v>
      </c>
      <c r="G1160" s="564" t="s">
        <v>1182</v>
      </c>
      <c r="H1160" s="564" t="s">
        <v>1182</v>
      </c>
      <c r="I1160" s="564" t="s">
        <v>1230</v>
      </c>
      <c r="J1160" s="564" t="s">
        <v>1069</v>
      </c>
      <c r="K1160" s="564" t="s">
        <v>1090</v>
      </c>
      <c r="L1160" s="564" t="s">
        <v>2098</v>
      </c>
      <c r="M1160" s="564" t="s">
        <v>2098</v>
      </c>
      <c r="N1160" s="564" t="s">
        <v>1073</v>
      </c>
      <c r="O1160" s="564" t="s">
        <v>2099</v>
      </c>
      <c r="P1160" s="23"/>
      <c r="Q1160" s="23"/>
      <c r="R1160" s="23"/>
      <c r="S1160" s="23"/>
      <c r="T1160" s="23"/>
      <c r="U1160" s="23"/>
      <c r="V1160" s="23"/>
      <c r="W1160" s="23"/>
      <c r="X1160" s="23"/>
      <c r="Y1160" s="23"/>
      <c r="Z1160" s="23"/>
    </row>
    <row r="1161" spans="1:26" ht="13">
      <c r="A1161" s="562" t="s">
        <v>3589</v>
      </c>
      <c r="B1161" s="563" t="s">
        <v>3590</v>
      </c>
      <c r="C1161" s="564" t="s">
        <v>1076</v>
      </c>
      <c r="D1161" s="565">
        <v>44713</v>
      </c>
      <c r="E1161" s="565">
        <v>44865</v>
      </c>
      <c r="F1161" s="566">
        <v>795000</v>
      </c>
      <c r="G1161" s="564" t="s">
        <v>1077</v>
      </c>
      <c r="H1161" s="564" t="s">
        <v>1077</v>
      </c>
      <c r="I1161" s="564" t="s">
        <v>637</v>
      </c>
      <c r="J1161" s="564" t="s">
        <v>1069</v>
      </c>
      <c r="K1161" s="564" t="s">
        <v>1070</v>
      </c>
      <c r="L1161" s="564" t="s">
        <v>2098</v>
      </c>
      <c r="M1161" s="564" t="s">
        <v>2098</v>
      </c>
      <c r="N1161" s="564" t="s">
        <v>1082</v>
      </c>
      <c r="O1161" s="564" t="s">
        <v>2099</v>
      </c>
      <c r="P1161" s="23"/>
      <c r="Q1161" s="23"/>
      <c r="R1161" s="23"/>
      <c r="S1161" s="23"/>
      <c r="T1161" s="23"/>
      <c r="U1161" s="23"/>
      <c r="V1161" s="23"/>
      <c r="W1161" s="23"/>
      <c r="X1161" s="23"/>
      <c r="Y1161" s="23"/>
      <c r="Z1161" s="23"/>
    </row>
    <row r="1162" spans="1:26" ht="13">
      <c r="A1162" s="562" t="s">
        <v>3591</v>
      </c>
      <c r="B1162" s="563" t="s">
        <v>3592</v>
      </c>
      <c r="C1162" s="564" t="s">
        <v>1652</v>
      </c>
      <c r="D1162" s="565">
        <v>44727</v>
      </c>
      <c r="E1162" s="565">
        <v>44778</v>
      </c>
      <c r="F1162" s="566">
        <v>4557000</v>
      </c>
      <c r="G1162" s="564" t="s">
        <v>297</v>
      </c>
      <c r="H1162" s="564" t="s">
        <v>297</v>
      </c>
      <c r="I1162" s="564" t="s">
        <v>70</v>
      </c>
      <c r="J1162" s="564" t="s">
        <v>1069</v>
      </c>
      <c r="K1162" s="564" t="s">
        <v>1120</v>
      </c>
      <c r="L1162" s="564" t="s">
        <v>2098</v>
      </c>
      <c r="M1162" s="564" t="s">
        <v>2098</v>
      </c>
      <c r="N1162" s="564" t="s">
        <v>70</v>
      </c>
      <c r="O1162" s="564" t="s">
        <v>2099</v>
      </c>
      <c r="P1162" s="23"/>
      <c r="Q1162" s="23"/>
      <c r="R1162" s="23"/>
      <c r="S1162" s="23"/>
      <c r="T1162" s="23"/>
      <c r="U1162" s="23"/>
      <c r="V1162" s="23"/>
      <c r="W1162" s="23"/>
      <c r="X1162" s="23"/>
      <c r="Y1162" s="23"/>
      <c r="Z1162" s="23"/>
    </row>
    <row r="1163" spans="1:26" ht="13">
      <c r="A1163" s="562" t="s">
        <v>3593</v>
      </c>
      <c r="B1163" s="563" t="s">
        <v>3594</v>
      </c>
      <c r="C1163" s="564" t="s">
        <v>1652</v>
      </c>
      <c r="D1163" s="565">
        <v>44727</v>
      </c>
      <c r="E1163" s="565">
        <v>44750</v>
      </c>
      <c r="F1163" s="566">
        <v>2840000</v>
      </c>
      <c r="G1163" s="564" t="s">
        <v>297</v>
      </c>
      <c r="H1163" s="564" t="s">
        <v>297</v>
      </c>
      <c r="I1163" s="564" t="s">
        <v>70</v>
      </c>
      <c r="J1163" s="564" t="s">
        <v>1069</v>
      </c>
      <c r="K1163" s="564" t="s">
        <v>1120</v>
      </c>
      <c r="L1163" s="564" t="s">
        <v>2098</v>
      </c>
      <c r="M1163" s="564" t="s">
        <v>2098</v>
      </c>
      <c r="N1163" s="564" t="s">
        <v>70</v>
      </c>
      <c r="O1163" s="564" t="s">
        <v>2099</v>
      </c>
      <c r="P1163" s="23"/>
      <c r="Q1163" s="23"/>
      <c r="R1163" s="23"/>
      <c r="S1163" s="23"/>
      <c r="T1163" s="23"/>
      <c r="U1163" s="23"/>
      <c r="V1163" s="23"/>
      <c r="W1163" s="23"/>
      <c r="X1163" s="23"/>
      <c r="Y1163" s="23"/>
      <c r="Z1163" s="23"/>
    </row>
    <row r="1164" spans="1:26" ht="13">
      <c r="A1164" s="562" t="s">
        <v>3595</v>
      </c>
      <c r="B1164" s="563" t="s">
        <v>3596</v>
      </c>
      <c r="C1164" s="564" t="s">
        <v>353</v>
      </c>
      <c r="D1164" s="565">
        <v>44690</v>
      </c>
      <c r="E1164" s="565">
        <v>44773</v>
      </c>
      <c r="F1164" s="566">
        <v>306008000</v>
      </c>
      <c r="G1164" s="564" t="s">
        <v>1128</v>
      </c>
      <c r="H1164" s="564" t="s">
        <v>1128</v>
      </c>
      <c r="I1164" s="564" t="s">
        <v>45</v>
      </c>
      <c r="J1164" s="564" t="s">
        <v>1069</v>
      </c>
      <c r="K1164" s="564" t="s">
        <v>1090</v>
      </c>
      <c r="L1164" s="564" t="s">
        <v>2098</v>
      </c>
      <c r="M1164" s="564" t="s">
        <v>2098</v>
      </c>
      <c r="N1164" s="564" t="s">
        <v>45</v>
      </c>
      <c r="O1164" s="564" t="s">
        <v>2099</v>
      </c>
      <c r="P1164" s="23"/>
      <c r="Q1164" s="23"/>
      <c r="R1164" s="23"/>
      <c r="S1164" s="23"/>
      <c r="T1164" s="23"/>
      <c r="U1164" s="23"/>
      <c r="V1164" s="23"/>
      <c r="W1164" s="23"/>
      <c r="X1164" s="23"/>
      <c r="Y1164" s="23"/>
      <c r="Z1164" s="23"/>
    </row>
    <row r="1165" spans="1:26" ht="13">
      <c r="A1165" s="562" t="s">
        <v>3597</v>
      </c>
      <c r="B1165" s="563" t="s">
        <v>3598</v>
      </c>
      <c r="C1165" s="564" t="s">
        <v>353</v>
      </c>
      <c r="D1165" s="565">
        <v>44726</v>
      </c>
      <c r="E1165" s="565">
        <v>44773</v>
      </c>
      <c r="F1165" s="566">
        <v>3600000</v>
      </c>
      <c r="G1165" s="564" t="s">
        <v>1182</v>
      </c>
      <c r="H1165" s="564" t="s">
        <v>1182</v>
      </c>
      <c r="I1165" s="564" t="s">
        <v>64</v>
      </c>
      <c r="J1165" s="564" t="s">
        <v>1069</v>
      </c>
      <c r="K1165" s="564" t="s">
        <v>1090</v>
      </c>
      <c r="L1165" s="564" t="s">
        <v>2098</v>
      </c>
      <c r="M1165" s="564" t="s">
        <v>2098</v>
      </c>
      <c r="N1165" s="564" t="s">
        <v>64</v>
      </c>
      <c r="O1165" s="564" t="s">
        <v>2099</v>
      </c>
      <c r="P1165" s="23"/>
      <c r="Q1165" s="23"/>
      <c r="R1165" s="23"/>
      <c r="S1165" s="23"/>
      <c r="T1165" s="23"/>
      <c r="U1165" s="23"/>
      <c r="V1165" s="23"/>
      <c r="W1165" s="23"/>
      <c r="X1165" s="23"/>
      <c r="Y1165" s="23"/>
      <c r="Z1165" s="23"/>
    </row>
    <row r="1166" spans="1:26" ht="13">
      <c r="A1166" s="562" t="s">
        <v>3599</v>
      </c>
      <c r="B1166" s="563" t="s">
        <v>3600</v>
      </c>
      <c r="C1166" s="564" t="s">
        <v>1652</v>
      </c>
      <c r="D1166" s="565">
        <v>44725</v>
      </c>
      <c r="E1166" s="565">
        <v>44785</v>
      </c>
      <c r="F1166" s="566">
        <v>4854000</v>
      </c>
      <c r="G1166" s="564" t="s">
        <v>297</v>
      </c>
      <c r="H1166" s="564" t="s">
        <v>297</v>
      </c>
      <c r="I1166" s="564" t="s">
        <v>70</v>
      </c>
      <c r="J1166" s="564" t="s">
        <v>1069</v>
      </c>
      <c r="K1166" s="564" t="s">
        <v>1120</v>
      </c>
      <c r="L1166" s="564" t="s">
        <v>2098</v>
      </c>
      <c r="M1166" s="564" t="s">
        <v>2098</v>
      </c>
      <c r="N1166" s="564" t="s">
        <v>70</v>
      </c>
      <c r="O1166" s="564" t="s">
        <v>2099</v>
      </c>
      <c r="P1166" s="23"/>
      <c r="Q1166" s="23"/>
      <c r="R1166" s="23"/>
      <c r="S1166" s="23"/>
      <c r="T1166" s="23"/>
      <c r="U1166" s="23"/>
      <c r="V1166" s="23"/>
      <c r="W1166" s="23"/>
      <c r="X1166" s="23"/>
      <c r="Y1166" s="23"/>
      <c r="Z1166" s="23"/>
    </row>
    <row r="1167" spans="1:26" ht="13">
      <c r="A1167" s="562" t="s">
        <v>3601</v>
      </c>
      <c r="B1167" s="563" t="s">
        <v>3602</v>
      </c>
      <c r="C1167" s="564" t="s">
        <v>1076</v>
      </c>
      <c r="D1167" s="565">
        <v>44722</v>
      </c>
      <c r="E1167" s="565">
        <v>44926</v>
      </c>
      <c r="F1167" s="566">
        <v>1800000</v>
      </c>
      <c r="G1167" s="564" t="s">
        <v>1077</v>
      </c>
      <c r="H1167" s="564" t="s">
        <v>1077</v>
      </c>
      <c r="I1167" s="564" t="s">
        <v>637</v>
      </c>
      <c r="J1167" s="564" t="s">
        <v>1069</v>
      </c>
      <c r="K1167" s="564" t="s">
        <v>1070</v>
      </c>
      <c r="L1167" s="564" t="s">
        <v>2098</v>
      </c>
      <c r="M1167" s="564" t="s">
        <v>2098</v>
      </c>
      <c r="N1167" s="564" t="s">
        <v>1082</v>
      </c>
      <c r="O1167" s="564" t="s">
        <v>2099</v>
      </c>
      <c r="P1167" s="23"/>
      <c r="Q1167" s="23"/>
      <c r="R1167" s="23"/>
      <c r="S1167" s="23"/>
      <c r="T1167" s="23"/>
      <c r="U1167" s="23"/>
      <c r="V1167" s="23"/>
      <c r="W1167" s="23"/>
      <c r="X1167" s="23"/>
      <c r="Y1167" s="23"/>
      <c r="Z1167" s="23"/>
    </row>
    <row r="1168" spans="1:26" ht="13">
      <c r="A1168" s="562" t="s">
        <v>3603</v>
      </c>
      <c r="B1168" s="563" t="s">
        <v>3604</v>
      </c>
      <c r="C1168" s="564" t="s">
        <v>1076</v>
      </c>
      <c r="D1168" s="565">
        <v>44719</v>
      </c>
      <c r="E1168" s="565">
        <v>44926</v>
      </c>
      <c r="F1168" s="566">
        <v>2987000</v>
      </c>
      <c r="G1168" s="564" t="s">
        <v>1077</v>
      </c>
      <c r="H1168" s="564" t="s">
        <v>1077</v>
      </c>
      <c r="I1168" s="564" t="s">
        <v>637</v>
      </c>
      <c r="J1168" s="564" t="s">
        <v>1069</v>
      </c>
      <c r="K1168" s="564" t="s">
        <v>1070</v>
      </c>
      <c r="L1168" s="564" t="s">
        <v>2098</v>
      </c>
      <c r="M1168" s="564" t="s">
        <v>2098</v>
      </c>
      <c r="N1168" s="564" t="s">
        <v>1082</v>
      </c>
      <c r="O1168" s="564" t="s">
        <v>2099</v>
      </c>
      <c r="P1168" s="23"/>
      <c r="Q1168" s="23"/>
      <c r="R1168" s="23"/>
      <c r="S1168" s="23"/>
      <c r="T1168" s="23"/>
      <c r="U1168" s="23"/>
      <c r="V1168" s="23"/>
      <c r="W1168" s="23"/>
      <c r="X1168" s="23"/>
      <c r="Y1168" s="23"/>
      <c r="Z1168" s="23"/>
    </row>
    <row r="1169" spans="1:26" ht="13">
      <c r="A1169" s="562" t="s">
        <v>3605</v>
      </c>
      <c r="B1169" s="563" t="s">
        <v>3606</v>
      </c>
      <c r="C1169" s="564" t="s">
        <v>1652</v>
      </c>
      <c r="D1169" s="565">
        <v>44720</v>
      </c>
      <c r="E1169" s="565">
        <v>44773</v>
      </c>
      <c r="F1169" s="566">
        <v>41300000</v>
      </c>
      <c r="G1169" s="564" t="s">
        <v>1182</v>
      </c>
      <c r="H1169" s="564" t="s">
        <v>1182</v>
      </c>
      <c r="I1169" s="564" t="s">
        <v>802</v>
      </c>
      <c r="J1169" s="564" t="s">
        <v>1069</v>
      </c>
      <c r="K1169" s="564" t="s">
        <v>1198</v>
      </c>
      <c r="L1169" s="564" t="s">
        <v>2098</v>
      </c>
      <c r="M1169" s="564" t="s">
        <v>2098</v>
      </c>
      <c r="N1169" s="564" t="s">
        <v>132</v>
      </c>
      <c r="O1169" s="564" t="s">
        <v>2099</v>
      </c>
      <c r="P1169" s="23"/>
      <c r="Q1169" s="23"/>
      <c r="R1169" s="23"/>
      <c r="S1169" s="23"/>
      <c r="T1169" s="23"/>
      <c r="U1169" s="23"/>
      <c r="V1169" s="23"/>
      <c r="W1169" s="23"/>
      <c r="X1169" s="23"/>
      <c r="Y1169" s="23"/>
      <c r="Z1169" s="23"/>
    </row>
    <row r="1170" spans="1:26" ht="13">
      <c r="A1170" s="562" t="s">
        <v>3607</v>
      </c>
      <c r="B1170" s="563" t="s">
        <v>3608</v>
      </c>
      <c r="C1170" s="564" t="s">
        <v>1652</v>
      </c>
      <c r="D1170" s="565">
        <v>44714</v>
      </c>
      <c r="E1170" s="565">
        <v>44757</v>
      </c>
      <c r="F1170" s="566">
        <v>903000</v>
      </c>
      <c r="G1170" s="564" t="s">
        <v>297</v>
      </c>
      <c r="H1170" s="564" t="s">
        <v>297</v>
      </c>
      <c r="I1170" s="564" t="s">
        <v>70</v>
      </c>
      <c r="J1170" s="564" t="s">
        <v>1069</v>
      </c>
      <c r="K1170" s="564" t="s">
        <v>1120</v>
      </c>
      <c r="L1170" s="564" t="s">
        <v>2098</v>
      </c>
      <c r="M1170" s="564" t="s">
        <v>2098</v>
      </c>
      <c r="N1170" s="564" t="s">
        <v>70</v>
      </c>
      <c r="O1170" s="564" t="s">
        <v>2099</v>
      </c>
      <c r="P1170" s="23"/>
      <c r="Q1170" s="23"/>
      <c r="R1170" s="23"/>
      <c r="S1170" s="23"/>
      <c r="T1170" s="23"/>
      <c r="U1170" s="23"/>
      <c r="V1170" s="23"/>
      <c r="W1170" s="23"/>
      <c r="X1170" s="23"/>
      <c r="Y1170" s="23"/>
      <c r="Z1170" s="23"/>
    </row>
    <row r="1171" spans="1:26" ht="13">
      <c r="A1171" s="562" t="s">
        <v>3609</v>
      </c>
      <c r="B1171" s="563" t="s">
        <v>3610</v>
      </c>
      <c r="C1171" s="564" t="s">
        <v>1652</v>
      </c>
      <c r="D1171" s="565">
        <v>44720</v>
      </c>
      <c r="E1171" s="565">
        <v>44750</v>
      </c>
      <c r="F1171" s="566">
        <v>166500</v>
      </c>
      <c r="G1171" s="564" t="s">
        <v>297</v>
      </c>
      <c r="H1171" s="564" t="s">
        <v>297</v>
      </c>
      <c r="I1171" s="564" t="s">
        <v>70</v>
      </c>
      <c r="J1171" s="564" t="s">
        <v>1069</v>
      </c>
      <c r="K1171" s="564" t="s">
        <v>1120</v>
      </c>
      <c r="L1171" s="564" t="s">
        <v>2098</v>
      </c>
      <c r="M1171" s="564" t="s">
        <v>2098</v>
      </c>
      <c r="N1171" s="564" t="s">
        <v>70</v>
      </c>
      <c r="O1171" s="564" t="s">
        <v>2099</v>
      </c>
      <c r="P1171" s="23"/>
      <c r="Q1171" s="23"/>
      <c r="R1171" s="23"/>
      <c r="S1171" s="23"/>
      <c r="T1171" s="23"/>
      <c r="U1171" s="23"/>
      <c r="V1171" s="23"/>
      <c r="W1171" s="23"/>
      <c r="X1171" s="23"/>
      <c r="Y1171" s="23"/>
      <c r="Z1171" s="23"/>
    </row>
    <row r="1172" spans="1:26" ht="13">
      <c r="A1172" s="562" t="s">
        <v>3611</v>
      </c>
      <c r="B1172" s="563" t="s">
        <v>3612</v>
      </c>
      <c r="C1172" s="564" t="s">
        <v>353</v>
      </c>
      <c r="D1172" s="565">
        <v>44719</v>
      </c>
      <c r="E1172" s="565">
        <v>44750</v>
      </c>
      <c r="F1172" s="566">
        <v>345000</v>
      </c>
      <c r="G1172" s="564" t="s">
        <v>297</v>
      </c>
      <c r="H1172" s="564" t="s">
        <v>297</v>
      </c>
      <c r="I1172" s="564" t="s">
        <v>45</v>
      </c>
      <c r="J1172" s="564" t="s">
        <v>1069</v>
      </c>
      <c r="K1172" s="564" t="s">
        <v>1090</v>
      </c>
      <c r="L1172" s="564" t="s">
        <v>2098</v>
      </c>
      <c r="M1172" s="564" t="s">
        <v>2098</v>
      </c>
      <c r="N1172" s="564" t="s">
        <v>45</v>
      </c>
      <c r="O1172" s="564" t="s">
        <v>2099</v>
      </c>
      <c r="P1172" s="23"/>
      <c r="Q1172" s="23"/>
      <c r="R1172" s="23"/>
      <c r="S1172" s="23"/>
      <c r="T1172" s="23"/>
      <c r="U1172" s="23"/>
      <c r="V1172" s="23"/>
      <c r="W1172" s="23"/>
      <c r="X1172" s="23"/>
      <c r="Y1172" s="23"/>
      <c r="Z1172" s="23"/>
    </row>
    <row r="1173" spans="1:26" ht="13">
      <c r="A1173" s="562" t="s">
        <v>3613</v>
      </c>
      <c r="B1173" s="563" t="s">
        <v>3614</v>
      </c>
      <c r="C1173" s="564" t="s">
        <v>1652</v>
      </c>
      <c r="D1173" s="565">
        <v>44715</v>
      </c>
      <c r="E1173" s="565">
        <v>44778</v>
      </c>
      <c r="F1173" s="566">
        <v>1321000</v>
      </c>
      <c r="G1173" s="564" t="s">
        <v>297</v>
      </c>
      <c r="H1173" s="564" t="s">
        <v>297</v>
      </c>
      <c r="I1173" s="564" t="s">
        <v>107</v>
      </c>
      <c r="J1173" s="564" t="s">
        <v>1069</v>
      </c>
      <c r="K1173" s="564" t="s">
        <v>1120</v>
      </c>
      <c r="L1173" s="564" t="s">
        <v>2098</v>
      </c>
      <c r="M1173" s="564" t="s">
        <v>2098</v>
      </c>
      <c r="N1173" s="564" t="s">
        <v>1073</v>
      </c>
      <c r="O1173" s="564" t="s">
        <v>2099</v>
      </c>
      <c r="P1173" s="23"/>
      <c r="Q1173" s="23"/>
      <c r="R1173" s="23"/>
      <c r="S1173" s="23"/>
      <c r="T1173" s="23"/>
      <c r="U1173" s="23"/>
      <c r="V1173" s="23"/>
      <c r="W1173" s="23"/>
      <c r="X1173" s="23"/>
      <c r="Y1173" s="23"/>
      <c r="Z1173" s="23"/>
    </row>
    <row r="1174" spans="1:26" ht="13">
      <c r="A1174" s="562" t="s">
        <v>3615</v>
      </c>
      <c r="B1174" s="563" t="s">
        <v>3616</v>
      </c>
      <c r="C1174" s="564" t="s">
        <v>3378</v>
      </c>
      <c r="D1174" s="565">
        <v>44714</v>
      </c>
      <c r="E1174" s="565">
        <v>44742</v>
      </c>
      <c r="F1174" s="566">
        <v>903000</v>
      </c>
      <c r="G1174" s="564" t="s">
        <v>297</v>
      </c>
      <c r="H1174" s="564" t="s">
        <v>297</v>
      </c>
      <c r="I1174" s="564" t="s">
        <v>70</v>
      </c>
      <c r="J1174" s="564" t="s">
        <v>1069</v>
      </c>
      <c r="K1174" s="564" t="s">
        <v>1120</v>
      </c>
      <c r="L1174" s="564" t="s">
        <v>2098</v>
      </c>
      <c r="M1174" s="564" t="s">
        <v>2098</v>
      </c>
      <c r="N1174" s="564" t="s">
        <v>70</v>
      </c>
      <c r="O1174" s="564" t="s">
        <v>2099</v>
      </c>
      <c r="P1174" s="23"/>
      <c r="Q1174" s="23"/>
      <c r="R1174" s="23"/>
      <c r="S1174" s="23"/>
      <c r="T1174" s="23"/>
      <c r="U1174" s="23"/>
      <c r="V1174" s="23"/>
      <c r="W1174" s="23"/>
      <c r="X1174" s="23"/>
      <c r="Y1174" s="23"/>
      <c r="Z1174" s="23"/>
    </row>
    <row r="1175" spans="1:26" ht="13">
      <c r="A1175" s="562" t="s">
        <v>3617</v>
      </c>
      <c r="B1175" s="563" t="s">
        <v>3618</v>
      </c>
      <c r="C1175" s="564" t="s">
        <v>1652</v>
      </c>
      <c r="D1175" s="565">
        <v>44714</v>
      </c>
      <c r="E1175" s="565">
        <v>44736</v>
      </c>
      <c r="F1175" s="566">
        <v>4458000</v>
      </c>
      <c r="G1175" s="564" t="s">
        <v>297</v>
      </c>
      <c r="H1175" s="564" t="s">
        <v>297</v>
      </c>
      <c r="I1175" s="564" t="s">
        <v>70</v>
      </c>
      <c r="J1175" s="564" t="s">
        <v>1069</v>
      </c>
      <c r="K1175" s="564" t="s">
        <v>1120</v>
      </c>
      <c r="L1175" s="564" t="s">
        <v>2098</v>
      </c>
      <c r="M1175" s="564" t="s">
        <v>2098</v>
      </c>
      <c r="N1175" s="564" t="s">
        <v>70</v>
      </c>
      <c r="O1175" s="564" t="s">
        <v>2099</v>
      </c>
      <c r="P1175" s="23"/>
      <c r="Q1175" s="23"/>
      <c r="R1175" s="23"/>
      <c r="S1175" s="23"/>
      <c r="T1175" s="23"/>
      <c r="U1175" s="23"/>
      <c r="V1175" s="23"/>
      <c r="W1175" s="23"/>
      <c r="X1175" s="23"/>
      <c r="Y1175" s="23"/>
      <c r="Z1175" s="23"/>
    </row>
    <row r="1176" spans="1:26" ht="13">
      <c r="A1176" s="562" t="s">
        <v>3619</v>
      </c>
      <c r="B1176" s="563" t="s">
        <v>3620</v>
      </c>
      <c r="C1176" s="564" t="s">
        <v>1475</v>
      </c>
      <c r="D1176" s="565">
        <v>44699</v>
      </c>
      <c r="E1176" s="565">
        <v>44804</v>
      </c>
      <c r="F1176" s="566">
        <v>97000</v>
      </c>
      <c r="G1176" s="564" t="s">
        <v>1123</v>
      </c>
      <c r="H1176" s="564" t="s">
        <v>1123</v>
      </c>
      <c r="I1176" s="564" t="s">
        <v>3621</v>
      </c>
      <c r="J1176" s="564" t="s">
        <v>1069</v>
      </c>
      <c r="K1176" s="564" t="s">
        <v>1070</v>
      </c>
      <c r="L1176" s="564" t="s">
        <v>2098</v>
      </c>
      <c r="M1176" s="564" t="s">
        <v>2098</v>
      </c>
      <c r="N1176" s="564" t="s">
        <v>1082</v>
      </c>
      <c r="O1176" s="564" t="s">
        <v>2099</v>
      </c>
      <c r="P1176" s="23"/>
      <c r="Q1176" s="23"/>
      <c r="R1176" s="23"/>
      <c r="S1176" s="23"/>
      <c r="T1176" s="23"/>
      <c r="U1176" s="23"/>
      <c r="V1176" s="23"/>
      <c r="W1176" s="23"/>
      <c r="X1176" s="23"/>
      <c r="Y1176" s="23"/>
      <c r="Z1176" s="23"/>
    </row>
    <row r="1177" spans="1:26" ht="13">
      <c r="A1177" s="562" t="s">
        <v>3622</v>
      </c>
      <c r="B1177" s="563" t="s">
        <v>3623</v>
      </c>
      <c r="C1177" s="564" t="s">
        <v>1652</v>
      </c>
      <c r="D1177" s="565">
        <v>44708</v>
      </c>
      <c r="E1177" s="565">
        <v>44729</v>
      </c>
      <c r="F1177" s="566">
        <v>2500000</v>
      </c>
      <c r="G1177" s="564" t="s">
        <v>297</v>
      </c>
      <c r="H1177" s="564" t="s">
        <v>297</v>
      </c>
      <c r="I1177" s="564" t="s">
        <v>70</v>
      </c>
      <c r="J1177" s="564" t="s">
        <v>1069</v>
      </c>
      <c r="K1177" s="564" t="s">
        <v>1120</v>
      </c>
      <c r="L1177" s="564" t="s">
        <v>2098</v>
      </c>
      <c r="M1177" s="564" t="s">
        <v>2098</v>
      </c>
      <c r="N1177" s="564" t="s">
        <v>70</v>
      </c>
      <c r="O1177" s="564" t="s">
        <v>2099</v>
      </c>
      <c r="P1177" s="23"/>
      <c r="Q1177" s="23"/>
      <c r="R1177" s="23"/>
      <c r="S1177" s="23"/>
      <c r="T1177" s="23"/>
      <c r="U1177" s="23"/>
      <c r="V1177" s="23"/>
      <c r="W1177" s="23"/>
      <c r="X1177" s="23"/>
      <c r="Y1177" s="23"/>
      <c r="Z1177" s="23"/>
    </row>
    <row r="1178" spans="1:26" ht="13">
      <c r="A1178" s="562" t="s">
        <v>3624</v>
      </c>
      <c r="B1178" s="563" t="s">
        <v>3625</v>
      </c>
      <c r="C1178" s="564" t="s">
        <v>353</v>
      </c>
      <c r="D1178" s="565">
        <v>44705</v>
      </c>
      <c r="E1178" s="565">
        <v>44722</v>
      </c>
      <c r="F1178" s="566">
        <v>276000</v>
      </c>
      <c r="G1178" s="564" t="s">
        <v>297</v>
      </c>
      <c r="H1178" s="564" t="s">
        <v>297</v>
      </c>
      <c r="I1178" s="564" t="s">
        <v>45</v>
      </c>
      <c r="J1178" s="564" t="s">
        <v>1069</v>
      </c>
      <c r="K1178" s="564" t="s">
        <v>1090</v>
      </c>
      <c r="L1178" s="564" t="s">
        <v>2098</v>
      </c>
      <c r="M1178" s="564" t="s">
        <v>2098</v>
      </c>
      <c r="N1178" s="564" t="s">
        <v>45</v>
      </c>
      <c r="O1178" s="564" t="s">
        <v>2099</v>
      </c>
      <c r="P1178" s="23"/>
      <c r="Q1178" s="23"/>
      <c r="R1178" s="23"/>
      <c r="S1178" s="23"/>
      <c r="T1178" s="23"/>
      <c r="U1178" s="23"/>
      <c r="V1178" s="23"/>
      <c r="W1178" s="23"/>
      <c r="X1178" s="23"/>
      <c r="Y1178" s="23"/>
      <c r="Z1178" s="23"/>
    </row>
    <row r="1179" spans="1:26" ht="13">
      <c r="A1179" s="562" t="s">
        <v>3626</v>
      </c>
      <c r="B1179" s="563" t="s">
        <v>3627</v>
      </c>
      <c r="C1179" s="564" t="s">
        <v>1652</v>
      </c>
      <c r="D1179" s="565">
        <v>44705</v>
      </c>
      <c r="E1179" s="565">
        <v>44742</v>
      </c>
      <c r="F1179" s="566">
        <v>4054000</v>
      </c>
      <c r="G1179" s="564" t="s">
        <v>297</v>
      </c>
      <c r="H1179" s="564" t="s">
        <v>297</v>
      </c>
      <c r="I1179" s="564" t="s">
        <v>70</v>
      </c>
      <c r="J1179" s="564" t="s">
        <v>1069</v>
      </c>
      <c r="K1179" s="564" t="s">
        <v>1120</v>
      </c>
      <c r="L1179" s="564" t="s">
        <v>2098</v>
      </c>
      <c r="M1179" s="564" t="s">
        <v>2098</v>
      </c>
      <c r="N1179" s="564" t="s">
        <v>70</v>
      </c>
      <c r="O1179" s="564" t="s">
        <v>2099</v>
      </c>
      <c r="P1179" s="23"/>
      <c r="Q1179" s="23"/>
      <c r="R1179" s="23"/>
      <c r="S1179" s="23"/>
      <c r="T1179" s="23"/>
      <c r="U1179" s="23"/>
      <c r="V1179" s="23"/>
      <c r="W1179" s="23"/>
      <c r="X1179" s="23"/>
      <c r="Y1179" s="23"/>
      <c r="Z1179" s="23"/>
    </row>
    <row r="1180" spans="1:26" ht="13">
      <c r="A1180" s="562" t="s">
        <v>3628</v>
      </c>
      <c r="B1180" s="563" t="s">
        <v>3629</v>
      </c>
      <c r="C1180" s="564" t="s">
        <v>1652</v>
      </c>
      <c r="D1180" s="565">
        <v>44704</v>
      </c>
      <c r="E1180" s="565">
        <v>44742</v>
      </c>
      <c r="F1180" s="566">
        <v>4557000</v>
      </c>
      <c r="G1180" s="564" t="s">
        <v>297</v>
      </c>
      <c r="H1180" s="564" t="s">
        <v>297</v>
      </c>
      <c r="I1180" s="564" t="s">
        <v>70</v>
      </c>
      <c r="J1180" s="564" t="s">
        <v>1069</v>
      </c>
      <c r="K1180" s="564" t="s">
        <v>1120</v>
      </c>
      <c r="L1180" s="564" t="s">
        <v>2098</v>
      </c>
      <c r="M1180" s="564" t="s">
        <v>2098</v>
      </c>
      <c r="N1180" s="564" t="s">
        <v>70</v>
      </c>
      <c r="O1180" s="564" t="s">
        <v>2099</v>
      </c>
      <c r="P1180" s="23"/>
      <c r="Q1180" s="23"/>
      <c r="R1180" s="23"/>
      <c r="S1180" s="23"/>
      <c r="T1180" s="23"/>
      <c r="U1180" s="23"/>
      <c r="V1180" s="23"/>
      <c r="W1180" s="23"/>
      <c r="X1180" s="23"/>
      <c r="Y1180" s="23"/>
      <c r="Z1180" s="23"/>
    </row>
    <row r="1181" spans="1:26" ht="13">
      <c r="A1181" s="562" t="s">
        <v>3630</v>
      </c>
      <c r="B1181" s="563" t="s">
        <v>3631</v>
      </c>
      <c r="C1181" s="564" t="s">
        <v>353</v>
      </c>
      <c r="D1181" s="565">
        <v>44693</v>
      </c>
      <c r="E1181" s="565">
        <v>44712</v>
      </c>
      <c r="F1181" s="566">
        <v>150700</v>
      </c>
      <c r="G1181" s="564" t="s">
        <v>1182</v>
      </c>
      <c r="H1181" s="564" t="s">
        <v>1182</v>
      </c>
      <c r="I1181" s="564" t="s">
        <v>1161</v>
      </c>
      <c r="J1181" s="564" t="s">
        <v>1069</v>
      </c>
      <c r="K1181" s="564" t="s">
        <v>1090</v>
      </c>
      <c r="L1181" s="564" t="s">
        <v>2098</v>
      </c>
      <c r="M1181" s="564" t="s">
        <v>2098</v>
      </c>
      <c r="N1181" s="564" t="s">
        <v>1073</v>
      </c>
      <c r="O1181" s="564" t="s">
        <v>2099</v>
      </c>
      <c r="P1181" s="23"/>
      <c r="Q1181" s="23"/>
      <c r="R1181" s="23"/>
      <c r="S1181" s="23"/>
      <c r="T1181" s="23"/>
      <c r="U1181" s="23"/>
      <c r="V1181" s="23"/>
      <c r="W1181" s="23"/>
      <c r="X1181" s="23"/>
      <c r="Y1181" s="23"/>
      <c r="Z1181" s="23"/>
    </row>
    <row r="1182" spans="1:26" ht="13">
      <c r="A1182" s="562" t="s">
        <v>3632</v>
      </c>
      <c r="B1182" s="563" t="s">
        <v>3633</v>
      </c>
      <c r="C1182" s="564" t="s">
        <v>1652</v>
      </c>
      <c r="D1182" s="565">
        <v>44701</v>
      </c>
      <c r="E1182" s="565">
        <v>44722</v>
      </c>
      <c r="F1182" s="566">
        <v>9509000</v>
      </c>
      <c r="G1182" s="564" t="s">
        <v>297</v>
      </c>
      <c r="H1182" s="564" t="s">
        <v>297</v>
      </c>
      <c r="I1182" s="564" t="s">
        <v>1223</v>
      </c>
      <c r="J1182" s="564" t="s">
        <v>1069</v>
      </c>
      <c r="K1182" s="564" t="s">
        <v>1120</v>
      </c>
      <c r="L1182" s="564" t="s">
        <v>2098</v>
      </c>
      <c r="M1182" s="564" t="s">
        <v>2098</v>
      </c>
      <c r="N1182" s="564" t="s">
        <v>1073</v>
      </c>
      <c r="O1182" s="564" t="s">
        <v>2099</v>
      </c>
      <c r="P1182" s="23"/>
      <c r="Q1182" s="23"/>
      <c r="R1182" s="23"/>
      <c r="S1182" s="23"/>
      <c r="T1182" s="23"/>
      <c r="U1182" s="23"/>
      <c r="V1182" s="23"/>
      <c r="W1182" s="23"/>
      <c r="X1182" s="23"/>
      <c r="Y1182" s="23"/>
      <c r="Z1182" s="23"/>
    </row>
    <row r="1183" spans="1:26" ht="13">
      <c r="A1183" s="562" t="s">
        <v>3634</v>
      </c>
      <c r="B1183" s="563" t="s">
        <v>3635</v>
      </c>
      <c r="C1183" s="564" t="s">
        <v>1475</v>
      </c>
      <c r="D1183" s="565">
        <v>44693</v>
      </c>
      <c r="E1183" s="565">
        <v>44712</v>
      </c>
      <c r="F1183" s="566">
        <v>480000</v>
      </c>
      <c r="G1183" s="564" t="s">
        <v>1182</v>
      </c>
      <c r="H1183" s="564" t="s">
        <v>1182</v>
      </c>
      <c r="I1183" s="564" t="s">
        <v>1247</v>
      </c>
      <c r="J1183" s="564" t="s">
        <v>1069</v>
      </c>
      <c r="K1183" s="564" t="s">
        <v>1070</v>
      </c>
      <c r="L1183" s="564" t="s">
        <v>2098</v>
      </c>
      <c r="M1183" s="564" t="s">
        <v>2098</v>
      </c>
      <c r="N1183" s="564" t="s">
        <v>1073</v>
      </c>
      <c r="O1183" s="564" t="s">
        <v>2099</v>
      </c>
      <c r="P1183" s="23"/>
      <c r="Q1183" s="23"/>
      <c r="R1183" s="23"/>
      <c r="S1183" s="23"/>
      <c r="T1183" s="23"/>
      <c r="U1183" s="23"/>
      <c r="V1183" s="23"/>
      <c r="W1183" s="23"/>
      <c r="X1183" s="23"/>
      <c r="Y1183" s="23"/>
      <c r="Z1183" s="23"/>
    </row>
    <row r="1184" spans="1:26" ht="13">
      <c r="A1184" s="562" t="s">
        <v>3636</v>
      </c>
      <c r="B1184" s="563" t="s">
        <v>3637</v>
      </c>
      <c r="C1184" s="564" t="s">
        <v>1076</v>
      </c>
      <c r="D1184" s="565">
        <v>44697</v>
      </c>
      <c r="E1184" s="565">
        <v>44895</v>
      </c>
      <c r="F1184" s="566">
        <v>1732000</v>
      </c>
      <c r="G1184" s="564" t="s">
        <v>1077</v>
      </c>
      <c r="H1184" s="564" t="s">
        <v>1077</v>
      </c>
      <c r="I1184" s="564" t="s">
        <v>637</v>
      </c>
      <c r="J1184" s="564" t="s">
        <v>1069</v>
      </c>
      <c r="K1184" s="564" t="s">
        <v>1070</v>
      </c>
      <c r="L1184" s="564" t="s">
        <v>2098</v>
      </c>
      <c r="M1184" s="564" t="s">
        <v>2098</v>
      </c>
      <c r="N1184" s="564" t="s">
        <v>1082</v>
      </c>
      <c r="O1184" s="564" t="s">
        <v>2099</v>
      </c>
      <c r="P1184" s="23"/>
      <c r="Q1184" s="23"/>
      <c r="R1184" s="23"/>
      <c r="S1184" s="23"/>
      <c r="T1184" s="23"/>
      <c r="U1184" s="23"/>
      <c r="V1184" s="23"/>
      <c r="W1184" s="23"/>
      <c r="X1184" s="23"/>
      <c r="Y1184" s="23"/>
      <c r="Z1184" s="23"/>
    </row>
    <row r="1185" spans="1:26" ht="13">
      <c r="A1185" s="562" t="s">
        <v>3638</v>
      </c>
      <c r="B1185" s="563" t="s">
        <v>3639</v>
      </c>
      <c r="C1185" s="564" t="s">
        <v>3378</v>
      </c>
      <c r="D1185" s="565">
        <v>44693</v>
      </c>
      <c r="E1185" s="565">
        <v>44712</v>
      </c>
      <c r="F1185" s="566">
        <v>150700</v>
      </c>
      <c r="G1185" s="564" t="s">
        <v>1182</v>
      </c>
      <c r="H1185" s="564" t="s">
        <v>1182</v>
      </c>
      <c r="I1185" s="564" t="s">
        <v>1161</v>
      </c>
      <c r="J1185" s="564" t="s">
        <v>1069</v>
      </c>
      <c r="K1185" s="564" t="s">
        <v>1090</v>
      </c>
      <c r="L1185" s="564" t="s">
        <v>2098</v>
      </c>
      <c r="M1185" s="564" t="s">
        <v>2098</v>
      </c>
      <c r="N1185" s="564" t="s">
        <v>1073</v>
      </c>
      <c r="O1185" s="564" t="s">
        <v>2099</v>
      </c>
      <c r="P1185" s="23"/>
      <c r="Q1185" s="23"/>
      <c r="R1185" s="23"/>
      <c r="S1185" s="23"/>
      <c r="T1185" s="23"/>
      <c r="U1185" s="23"/>
      <c r="V1185" s="23"/>
      <c r="W1185" s="23"/>
      <c r="X1185" s="23"/>
      <c r="Y1185" s="23"/>
      <c r="Z1185" s="23"/>
    </row>
    <row r="1186" spans="1:26" ht="13">
      <c r="A1186" s="562" t="s">
        <v>3640</v>
      </c>
      <c r="B1186" s="563" t="s">
        <v>3641</v>
      </c>
      <c r="C1186" s="564" t="s">
        <v>1076</v>
      </c>
      <c r="D1186" s="565">
        <v>44693</v>
      </c>
      <c r="E1186" s="565">
        <v>44895</v>
      </c>
      <c r="F1186" s="566">
        <v>3784000</v>
      </c>
      <c r="G1186" s="564" t="s">
        <v>1077</v>
      </c>
      <c r="H1186" s="564" t="s">
        <v>1077</v>
      </c>
      <c r="I1186" s="564" t="s">
        <v>637</v>
      </c>
      <c r="J1186" s="564" t="s">
        <v>1069</v>
      </c>
      <c r="K1186" s="564" t="s">
        <v>1070</v>
      </c>
      <c r="L1186" s="564" t="s">
        <v>2098</v>
      </c>
      <c r="M1186" s="564" t="s">
        <v>2098</v>
      </c>
      <c r="N1186" s="564" t="s">
        <v>1082</v>
      </c>
      <c r="O1186" s="564" t="s">
        <v>2099</v>
      </c>
      <c r="P1186" s="23"/>
      <c r="Q1186" s="23"/>
      <c r="R1186" s="23"/>
      <c r="S1186" s="23"/>
      <c r="T1186" s="23"/>
      <c r="U1186" s="23"/>
      <c r="V1186" s="23"/>
      <c r="W1186" s="23"/>
      <c r="X1186" s="23"/>
      <c r="Y1186" s="23"/>
      <c r="Z1186" s="23"/>
    </row>
    <row r="1187" spans="1:26" ht="13">
      <c r="A1187" s="562" t="s">
        <v>3642</v>
      </c>
      <c r="B1187" s="563" t="s">
        <v>3643</v>
      </c>
      <c r="C1187" s="564" t="s">
        <v>1076</v>
      </c>
      <c r="D1187" s="565">
        <v>44685</v>
      </c>
      <c r="E1187" s="565">
        <v>44895</v>
      </c>
      <c r="F1187" s="566">
        <v>6272000</v>
      </c>
      <c r="G1187" s="564" t="s">
        <v>1077</v>
      </c>
      <c r="H1187" s="564" t="s">
        <v>1077</v>
      </c>
      <c r="I1187" s="564" t="s">
        <v>637</v>
      </c>
      <c r="J1187" s="564" t="s">
        <v>1069</v>
      </c>
      <c r="K1187" s="564" t="s">
        <v>1070</v>
      </c>
      <c r="L1187" s="564" t="s">
        <v>2098</v>
      </c>
      <c r="M1187" s="564" t="s">
        <v>2098</v>
      </c>
      <c r="N1187" s="564" t="s">
        <v>1082</v>
      </c>
      <c r="O1187" s="564" t="s">
        <v>2099</v>
      </c>
      <c r="P1187" s="23"/>
      <c r="Q1187" s="23"/>
      <c r="R1187" s="23"/>
      <c r="S1187" s="23"/>
      <c r="T1187" s="23"/>
      <c r="U1187" s="23"/>
      <c r="V1187" s="23"/>
      <c r="W1187" s="23"/>
      <c r="X1187" s="23"/>
      <c r="Y1187" s="23"/>
      <c r="Z1187" s="23"/>
    </row>
    <row r="1188" spans="1:26" ht="13">
      <c r="A1188" s="562" t="s">
        <v>3644</v>
      </c>
      <c r="B1188" s="563" t="s">
        <v>3645</v>
      </c>
      <c r="C1188" s="564" t="s">
        <v>1076</v>
      </c>
      <c r="D1188" s="565">
        <v>44685</v>
      </c>
      <c r="E1188" s="565">
        <v>44895</v>
      </c>
      <c r="F1188" s="566">
        <v>866000</v>
      </c>
      <c r="G1188" s="564" t="s">
        <v>1077</v>
      </c>
      <c r="H1188" s="564" t="s">
        <v>1077</v>
      </c>
      <c r="I1188" s="564" t="s">
        <v>637</v>
      </c>
      <c r="J1188" s="564" t="s">
        <v>1069</v>
      </c>
      <c r="K1188" s="564" t="s">
        <v>1070</v>
      </c>
      <c r="L1188" s="564" t="s">
        <v>2098</v>
      </c>
      <c r="M1188" s="564" t="s">
        <v>2098</v>
      </c>
      <c r="N1188" s="564" t="s">
        <v>1082</v>
      </c>
      <c r="O1188" s="564" t="s">
        <v>2099</v>
      </c>
      <c r="P1188" s="23"/>
      <c r="Q1188" s="23"/>
      <c r="R1188" s="23"/>
      <c r="S1188" s="23"/>
      <c r="T1188" s="23"/>
      <c r="U1188" s="23"/>
      <c r="V1188" s="23"/>
      <c r="W1188" s="23"/>
      <c r="X1188" s="23"/>
      <c r="Y1188" s="23"/>
      <c r="Z1188" s="23"/>
    </row>
    <row r="1189" spans="1:26" ht="13">
      <c r="A1189" s="562" t="s">
        <v>3646</v>
      </c>
      <c r="B1189" s="563" t="s">
        <v>3647</v>
      </c>
      <c r="C1189" s="564" t="s">
        <v>1652</v>
      </c>
      <c r="D1189" s="565">
        <v>44687</v>
      </c>
      <c r="E1189" s="565">
        <v>44712</v>
      </c>
      <c r="F1189" s="566">
        <v>1206000</v>
      </c>
      <c r="G1189" s="564" t="s">
        <v>297</v>
      </c>
      <c r="H1189" s="564" t="s">
        <v>297</v>
      </c>
      <c r="I1189" s="564" t="s">
        <v>107</v>
      </c>
      <c r="J1189" s="564" t="s">
        <v>1069</v>
      </c>
      <c r="K1189" s="564" t="s">
        <v>1120</v>
      </c>
      <c r="L1189" s="564" t="s">
        <v>2098</v>
      </c>
      <c r="M1189" s="564" t="s">
        <v>2098</v>
      </c>
      <c r="N1189" s="564" t="s">
        <v>1073</v>
      </c>
      <c r="O1189" s="564" t="s">
        <v>2099</v>
      </c>
      <c r="P1189" s="23"/>
      <c r="Q1189" s="23"/>
      <c r="R1189" s="23"/>
      <c r="S1189" s="23"/>
      <c r="T1189" s="23"/>
      <c r="U1189" s="23"/>
      <c r="V1189" s="23"/>
      <c r="W1189" s="23"/>
      <c r="X1189" s="23"/>
      <c r="Y1189" s="23"/>
      <c r="Z1189" s="23"/>
    </row>
    <row r="1190" spans="1:26" ht="13">
      <c r="A1190" s="562" t="s">
        <v>3648</v>
      </c>
      <c r="B1190" s="563" t="s">
        <v>3649</v>
      </c>
      <c r="C1190" s="564" t="s">
        <v>1652</v>
      </c>
      <c r="D1190" s="565">
        <v>44684</v>
      </c>
      <c r="E1190" s="565">
        <v>44712</v>
      </c>
      <c r="F1190" s="566">
        <v>2105000</v>
      </c>
      <c r="G1190" s="564" t="s">
        <v>297</v>
      </c>
      <c r="H1190" s="564" t="s">
        <v>297</v>
      </c>
      <c r="I1190" s="564" t="s">
        <v>70</v>
      </c>
      <c r="J1190" s="564" t="s">
        <v>1069</v>
      </c>
      <c r="K1190" s="564" t="s">
        <v>1120</v>
      </c>
      <c r="L1190" s="564" t="s">
        <v>2098</v>
      </c>
      <c r="M1190" s="564" t="s">
        <v>2098</v>
      </c>
      <c r="N1190" s="564" t="s">
        <v>70</v>
      </c>
      <c r="O1190" s="564" t="s">
        <v>2099</v>
      </c>
      <c r="P1190" s="23"/>
      <c r="Q1190" s="23"/>
      <c r="R1190" s="23"/>
      <c r="S1190" s="23"/>
      <c r="T1190" s="23"/>
      <c r="U1190" s="23"/>
      <c r="V1190" s="23"/>
      <c r="W1190" s="23"/>
      <c r="X1190" s="23"/>
      <c r="Y1190" s="23"/>
      <c r="Z1190" s="23"/>
    </row>
    <row r="1191" spans="1:26" ht="13">
      <c r="A1191" s="562" t="s">
        <v>3650</v>
      </c>
      <c r="B1191" s="563" t="s">
        <v>3651</v>
      </c>
      <c r="C1191" s="564" t="s">
        <v>1076</v>
      </c>
      <c r="D1191" s="565">
        <v>44683</v>
      </c>
      <c r="E1191" s="565">
        <v>44865</v>
      </c>
      <c r="F1191" s="566">
        <v>1892000</v>
      </c>
      <c r="G1191" s="564" t="s">
        <v>1077</v>
      </c>
      <c r="H1191" s="564" t="s">
        <v>1077</v>
      </c>
      <c r="I1191" s="564" t="s">
        <v>637</v>
      </c>
      <c r="J1191" s="564" t="s">
        <v>1069</v>
      </c>
      <c r="K1191" s="564" t="s">
        <v>1070</v>
      </c>
      <c r="L1191" s="564" t="s">
        <v>2098</v>
      </c>
      <c r="M1191" s="564" t="s">
        <v>2098</v>
      </c>
      <c r="N1191" s="564" t="s">
        <v>1082</v>
      </c>
      <c r="O1191" s="564" t="s">
        <v>2099</v>
      </c>
      <c r="P1191" s="23"/>
      <c r="Q1191" s="23"/>
      <c r="R1191" s="23"/>
      <c r="S1191" s="23"/>
      <c r="T1191" s="23"/>
      <c r="U1191" s="23"/>
      <c r="V1191" s="23"/>
      <c r="W1191" s="23"/>
      <c r="X1191" s="23"/>
      <c r="Y1191" s="23"/>
      <c r="Z1191" s="23"/>
    </row>
    <row r="1192" spans="1:26" ht="13">
      <c r="A1192" s="562" t="s">
        <v>3652</v>
      </c>
      <c r="B1192" s="563" t="s">
        <v>3653</v>
      </c>
      <c r="C1192" s="564" t="s">
        <v>1652</v>
      </c>
      <c r="D1192" s="565">
        <v>44683</v>
      </c>
      <c r="E1192" s="565">
        <v>44708</v>
      </c>
      <c r="F1192" s="566">
        <v>1790000</v>
      </c>
      <c r="G1192" s="564" t="s">
        <v>297</v>
      </c>
      <c r="H1192" s="564" t="s">
        <v>297</v>
      </c>
      <c r="I1192" s="564" t="s">
        <v>1281</v>
      </c>
      <c r="J1192" s="564" t="s">
        <v>1069</v>
      </c>
      <c r="K1192" s="564" t="s">
        <v>1120</v>
      </c>
      <c r="L1192" s="564" t="s">
        <v>2098</v>
      </c>
      <c r="M1192" s="564" t="s">
        <v>2098</v>
      </c>
      <c r="N1192" s="564" t="s">
        <v>1073</v>
      </c>
      <c r="O1192" s="564" t="s">
        <v>2099</v>
      </c>
      <c r="P1192" s="23"/>
      <c r="Q1192" s="23"/>
      <c r="R1192" s="23"/>
      <c r="S1192" s="23"/>
      <c r="T1192" s="23"/>
      <c r="U1192" s="23"/>
      <c r="V1192" s="23"/>
      <c r="W1192" s="23"/>
      <c r="X1192" s="23"/>
      <c r="Y1192" s="23"/>
      <c r="Z1192" s="23"/>
    </row>
    <row r="1193" spans="1:26" ht="13">
      <c r="A1193" s="562" t="s">
        <v>3654</v>
      </c>
      <c r="B1193" s="563" t="s">
        <v>3655</v>
      </c>
      <c r="C1193" s="564" t="s">
        <v>1652</v>
      </c>
      <c r="D1193" s="565">
        <v>44680</v>
      </c>
      <c r="E1193" s="565">
        <v>44694</v>
      </c>
      <c r="F1193" s="566">
        <v>2910000</v>
      </c>
      <c r="G1193" s="564" t="s">
        <v>297</v>
      </c>
      <c r="H1193" s="564" t="s">
        <v>297</v>
      </c>
      <c r="I1193" s="564" t="s">
        <v>70</v>
      </c>
      <c r="J1193" s="564" t="s">
        <v>1069</v>
      </c>
      <c r="K1193" s="564" t="s">
        <v>1120</v>
      </c>
      <c r="L1193" s="564" t="s">
        <v>2098</v>
      </c>
      <c r="M1193" s="564" t="s">
        <v>2098</v>
      </c>
      <c r="N1193" s="564" t="s">
        <v>70</v>
      </c>
      <c r="O1193" s="564" t="s">
        <v>2099</v>
      </c>
      <c r="P1193" s="23"/>
      <c r="Q1193" s="23"/>
      <c r="R1193" s="23"/>
      <c r="S1193" s="23"/>
      <c r="T1193" s="23"/>
      <c r="U1193" s="23"/>
      <c r="V1193" s="23"/>
      <c r="W1193" s="23"/>
      <c r="X1193" s="23"/>
      <c r="Y1193" s="23"/>
      <c r="Z1193" s="23"/>
    </row>
    <row r="1194" spans="1:26" ht="13">
      <c r="A1194" s="562" t="s">
        <v>3656</v>
      </c>
      <c r="B1194" s="563" t="s">
        <v>3657</v>
      </c>
      <c r="C1194" s="564" t="s">
        <v>1652</v>
      </c>
      <c r="D1194" s="565">
        <v>44678</v>
      </c>
      <c r="E1194" s="565">
        <v>44701</v>
      </c>
      <c r="F1194" s="566">
        <v>1790000</v>
      </c>
      <c r="G1194" s="564" t="s">
        <v>297</v>
      </c>
      <c r="H1194" s="564" t="s">
        <v>297</v>
      </c>
      <c r="I1194" s="564" t="s">
        <v>1281</v>
      </c>
      <c r="J1194" s="564" t="s">
        <v>1069</v>
      </c>
      <c r="K1194" s="564" t="s">
        <v>1120</v>
      </c>
      <c r="L1194" s="564" t="s">
        <v>2098</v>
      </c>
      <c r="M1194" s="564" t="s">
        <v>2098</v>
      </c>
      <c r="N1194" s="564" t="s">
        <v>1073</v>
      </c>
      <c r="O1194" s="564" t="s">
        <v>2099</v>
      </c>
      <c r="P1194" s="23"/>
      <c r="Q1194" s="23"/>
      <c r="R1194" s="23"/>
      <c r="S1194" s="23"/>
      <c r="T1194" s="23"/>
      <c r="U1194" s="23"/>
      <c r="V1194" s="23"/>
      <c r="W1194" s="23"/>
      <c r="X1194" s="23"/>
      <c r="Y1194" s="23"/>
      <c r="Z1194" s="23"/>
    </row>
    <row r="1195" spans="1:26" ht="13">
      <c r="A1195" s="562" t="s">
        <v>3658</v>
      </c>
      <c r="B1195" s="563" t="s">
        <v>3659</v>
      </c>
      <c r="C1195" s="564" t="s">
        <v>1652</v>
      </c>
      <c r="D1195" s="565">
        <v>44673</v>
      </c>
      <c r="E1195" s="565">
        <v>44701</v>
      </c>
      <c r="F1195" s="566">
        <v>4179000</v>
      </c>
      <c r="G1195" s="564" t="s">
        <v>297</v>
      </c>
      <c r="H1195" s="564" t="s">
        <v>297</v>
      </c>
      <c r="I1195" s="564" t="s">
        <v>70</v>
      </c>
      <c r="J1195" s="564" t="s">
        <v>1069</v>
      </c>
      <c r="K1195" s="564" t="s">
        <v>1120</v>
      </c>
      <c r="L1195" s="564" t="s">
        <v>2098</v>
      </c>
      <c r="M1195" s="564" t="s">
        <v>2098</v>
      </c>
      <c r="N1195" s="564" t="s">
        <v>70</v>
      </c>
      <c r="O1195" s="564" t="s">
        <v>2099</v>
      </c>
      <c r="P1195" s="23"/>
      <c r="Q1195" s="23"/>
      <c r="R1195" s="23"/>
      <c r="S1195" s="23"/>
      <c r="T1195" s="23"/>
      <c r="U1195" s="23"/>
      <c r="V1195" s="23"/>
      <c r="W1195" s="23"/>
      <c r="X1195" s="23"/>
      <c r="Y1195" s="23"/>
      <c r="Z1195" s="23"/>
    </row>
    <row r="1196" spans="1:26" ht="13">
      <c r="A1196" s="562" t="s">
        <v>3660</v>
      </c>
      <c r="B1196" s="563" t="s">
        <v>3661</v>
      </c>
      <c r="C1196" s="564" t="s">
        <v>1652</v>
      </c>
      <c r="D1196" s="565">
        <v>44671</v>
      </c>
      <c r="E1196" s="565">
        <v>44701</v>
      </c>
      <c r="F1196" s="566">
        <v>9335000</v>
      </c>
      <c r="G1196" s="564" t="s">
        <v>297</v>
      </c>
      <c r="H1196" s="564" t="s">
        <v>297</v>
      </c>
      <c r="I1196" s="564" t="s">
        <v>70</v>
      </c>
      <c r="J1196" s="564" t="s">
        <v>1069</v>
      </c>
      <c r="K1196" s="564" t="s">
        <v>1120</v>
      </c>
      <c r="L1196" s="564" t="s">
        <v>2098</v>
      </c>
      <c r="M1196" s="564" t="s">
        <v>2098</v>
      </c>
      <c r="N1196" s="564" t="s">
        <v>70</v>
      </c>
      <c r="O1196" s="564" t="s">
        <v>2099</v>
      </c>
      <c r="P1196" s="23"/>
      <c r="Q1196" s="23"/>
      <c r="R1196" s="23"/>
      <c r="S1196" s="23"/>
      <c r="T1196" s="23"/>
      <c r="U1196" s="23"/>
      <c r="V1196" s="23"/>
      <c r="W1196" s="23"/>
      <c r="X1196" s="23"/>
      <c r="Y1196" s="23"/>
      <c r="Z1196" s="23"/>
    </row>
    <row r="1197" spans="1:26" ht="13">
      <c r="A1197" s="562" t="s">
        <v>3662</v>
      </c>
      <c r="B1197" s="563" t="s">
        <v>3663</v>
      </c>
      <c r="C1197" s="564" t="s">
        <v>1652</v>
      </c>
      <c r="D1197" s="565">
        <v>44663</v>
      </c>
      <c r="E1197" s="565">
        <v>44687</v>
      </c>
      <c r="F1197" s="566">
        <v>1179350</v>
      </c>
      <c r="G1197" s="564" t="s">
        <v>297</v>
      </c>
      <c r="H1197" s="564" t="s">
        <v>297</v>
      </c>
      <c r="I1197" s="564" t="s">
        <v>70</v>
      </c>
      <c r="J1197" s="564" t="s">
        <v>1069</v>
      </c>
      <c r="K1197" s="564" t="s">
        <v>1120</v>
      </c>
      <c r="L1197" s="564" t="s">
        <v>2098</v>
      </c>
      <c r="M1197" s="564" t="s">
        <v>2098</v>
      </c>
      <c r="N1197" s="564" t="s">
        <v>70</v>
      </c>
      <c r="O1197" s="564" t="s">
        <v>2099</v>
      </c>
      <c r="P1197" s="23"/>
      <c r="Q1197" s="23"/>
      <c r="R1197" s="23"/>
      <c r="S1197" s="23"/>
      <c r="T1197" s="23"/>
      <c r="U1197" s="23"/>
      <c r="V1197" s="23"/>
      <c r="W1197" s="23"/>
      <c r="X1197" s="23"/>
      <c r="Y1197" s="23"/>
      <c r="Z1197" s="23"/>
    </row>
    <row r="1198" spans="1:26" ht="13">
      <c r="A1198" s="562" t="s">
        <v>3664</v>
      </c>
      <c r="B1198" s="563" t="s">
        <v>3665</v>
      </c>
      <c r="C1198" s="564" t="s">
        <v>1652</v>
      </c>
      <c r="D1198" s="565">
        <v>44665</v>
      </c>
      <c r="E1198" s="565">
        <v>44694</v>
      </c>
      <c r="F1198" s="566">
        <v>148000</v>
      </c>
      <c r="G1198" s="564" t="s">
        <v>297</v>
      </c>
      <c r="H1198" s="564" t="s">
        <v>297</v>
      </c>
      <c r="I1198" s="564" t="s">
        <v>195</v>
      </c>
      <c r="J1198" s="564" t="s">
        <v>1069</v>
      </c>
      <c r="K1198" s="564" t="s">
        <v>1120</v>
      </c>
      <c r="L1198" s="564" t="s">
        <v>2098</v>
      </c>
      <c r="M1198" s="564" t="s">
        <v>2098</v>
      </c>
      <c r="N1198" s="564" t="s">
        <v>1073</v>
      </c>
      <c r="O1198" s="564" t="s">
        <v>2099</v>
      </c>
      <c r="P1198" s="23"/>
      <c r="Q1198" s="23"/>
      <c r="R1198" s="23"/>
      <c r="S1198" s="23"/>
      <c r="T1198" s="23"/>
      <c r="U1198" s="23"/>
      <c r="V1198" s="23"/>
      <c r="W1198" s="23"/>
      <c r="X1198" s="23"/>
      <c r="Y1198" s="23"/>
      <c r="Z1198" s="23"/>
    </row>
    <row r="1199" spans="1:26" ht="13">
      <c r="A1199" s="562" t="s">
        <v>3666</v>
      </c>
      <c r="B1199" s="563" t="s">
        <v>3667</v>
      </c>
      <c r="C1199" s="564" t="s">
        <v>353</v>
      </c>
      <c r="D1199" s="565">
        <v>44664</v>
      </c>
      <c r="E1199" s="565">
        <v>44680</v>
      </c>
      <c r="F1199" s="566">
        <v>276000</v>
      </c>
      <c r="G1199" s="564" t="s">
        <v>297</v>
      </c>
      <c r="H1199" s="564" t="s">
        <v>297</v>
      </c>
      <c r="I1199" s="564" t="s">
        <v>45</v>
      </c>
      <c r="J1199" s="564" t="s">
        <v>1069</v>
      </c>
      <c r="K1199" s="564" t="s">
        <v>1090</v>
      </c>
      <c r="L1199" s="564" t="s">
        <v>2098</v>
      </c>
      <c r="M1199" s="564" t="s">
        <v>2098</v>
      </c>
      <c r="N1199" s="564" t="s">
        <v>45</v>
      </c>
      <c r="O1199" s="564" t="s">
        <v>2099</v>
      </c>
      <c r="P1199" s="23"/>
      <c r="Q1199" s="23"/>
      <c r="R1199" s="23"/>
      <c r="S1199" s="23"/>
      <c r="T1199" s="23"/>
      <c r="U1199" s="23"/>
      <c r="V1199" s="23"/>
      <c r="W1199" s="23"/>
      <c r="X1199" s="23"/>
      <c r="Y1199" s="23"/>
      <c r="Z1199" s="23"/>
    </row>
    <row r="1200" spans="1:26" ht="13">
      <c r="A1200" s="562" t="s">
        <v>3668</v>
      </c>
      <c r="B1200" s="563" t="s">
        <v>3669</v>
      </c>
      <c r="C1200" s="564" t="s">
        <v>353</v>
      </c>
      <c r="D1200" s="565">
        <v>44627</v>
      </c>
      <c r="E1200" s="565">
        <v>44680</v>
      </c>
      <c r="F1200" s="566">
        <v>386774000</v>
      </c>
      <c r="G1200" s="564" t="s">
        <v>1128</v>
      </c>
      <c r="H1200" s="564" t="s">
        <v>1128</v>
      </c>
      <c r="I1200" s="564" t="s">
        <v>45</v>
      </c>
      <c r="J1200" s="564" t="s">
        <v>1069</v>
      </c>
      <c r="K1200" s="564" t="s">
        <v>1090</v>
      </c>
      <c r="L1200" s="564" t="s">
        <v>2098</v>
      </c>
      <c r="M1200" s="564" t="s">
        <v>2098</v>
      </c>
      <c r="N1200" s="564" t="s">
        <v>45</v>
      </c>
      <c r="O1200" s="564" t="s">
        <v>2099</v>
      </c>
      <c r="P1200" s="23"/>
      <c r="Q1200" s="23"/>
      <c r="R1200" s="23"/>
      <c r="S1200" s="23"/>
      <c r="T1200" s="23"/>
      <c r="U1200" s="23"/>
      <c r="V1200" s="23"/>
      <c r="W1200" s="23"/>
      <c r="X1200" s="23"/>
      <c r="Y1200" s="23"/>
      <c r="Z1200" s="23"/>
    </row>
    <row r="1201" spans="1:26" ht="13">
      <c r="A1201" s="562" t="s">
        <v>3670</v>
      </c>
      <c r="B1201" s="563" t="s">
        <v>3671</v>
      </c>
      <c r="C1201" s="564" t="s">
        <v>353</v>
      </c>
      <c r="D1201" s="565">
        <v>44627</v>
      </c>
      <c r="E1201" s="565">
        <v>44680</v>
      </c>
      <c r="F1201" s="566">
        <v>59300000</v>
      </c>
      <c r="G1201" s="564" t="s">
        <v>1128</v>
      </c>
      <c r="H1201" s="564" t="s">
        <v>1128</v>
      </c>
      <c r="I1201" s="564" t="s">
        <v>45</v>
      </c>
      <c r="J1201" s="564" t="s">
        <v>1069</v>
      </c>
      <c r="K1201" s="564" t="s">
        <v>1090</v>
      </c>
      <c r="L1201" s="564" t="s">
        <v>2098</v>
      </c>
      <c r="M1201" s="564" t="s">
        <v>2098</v>
      </c>
      <c r="N1201" s="564" t="s">
        <v>45</v>
      </c>
      <c r="O1201" s="564" t="s">
        <v>2099</v>
      </c>
      <c r="P1201" s="23"/>
      <c r="Q1201" s="23"/>
      <c r="R1201" s="23"/>
      <c r="S1201" s="23"/>
      <c r="T1201" s="23"/>
      <c r="U1201" s="23"/>
      <c r="V1201" s="23"/>
      <c r="W1201" s="23"/>
      <c r="X1201" s="23"/>
      <c r="Y1201" s="23"/>
      <c r="Z1201" s="23"/>
    </row>
    <row r="1202" spans="1:26" ht="13">
      <c r="A1202" s="562" t="s">
        <v>3672</v>
      </c>
      <c r="B1202" s="563" t="s">
        <v>3673</v>
      </c>
      <c r="C1202" s="564" t="s">
        <v>353</v>
      </c>
      <c r="D1202" s="565">
        <v>44627</v>
      </c>
      <c r="E1202" s="565">
        <v>44680</v>
      </c>
      <c r="F1202" s="566">
        <v>41712000</v>
      </c>
      <c r="G1202" s="564" t="s">
        <v>1128</v>
      </c>
      <c r="H1202" s="564" t="s">
        <v>1128</v>
      </c>
      <c r="I1202" s="564" t="s">
        <v>45</v>
      </c>
      <c r="J1202" s="564" t="s">
        <v>1069</v>
      </c>
      <c r="K1202" s="564" t="s">
        <v>1090</v>
      </c>
      <c r="L1202" s="564" t="s">
        <v>2098</v>
      </c>
      <c r="M1202" s="564" t="s">
        <v>2098</v>
      </c>
      <c r="N1202" s="564" t="s">
        <v>45</v>
      </c>
      <c r="O1202" s="564" t="s">
        <v>2099</v>
      </c>
      <c r="P1202" s="23"/>
      <c r="Q1202" s="23"/>
      <c r="R1202" s="23"/>
      <c r="S1202" s="23"/>
      <c r="T1202" s="23"/>
      <c r="U1202" s="23"/>
      <c r="V1202" s="23"/>
      <c r="W1202" s="23"/>
      <c r="X1202" s="23"/>
      <c r="Y1202" s="23"/>
      <c r="Z1202" s="23"/>
    </row>
    <row r="1203" spans="1:26" ht="13">
      <c r="A1203" s="562" t="s">
        <v>3674</v>
      </c>
      <c r="B1203" s="563" t="s">
        <v>3675</v>
      </c>
      <c r="C1203" s="564" t="s">
        <v>1652</v>
      </c>
      <c r="D1203" s="565">
        <v>44657</v>
      </c>
      <c r="E1203" s="565">
        <v>44680</v>
      </c>
      <c r="F1203" s="566">
        <v>2720000</v>
      </c>
      <c r="G1203" s="564" t="s">
        <v>297</v>
      </c>
      <c r="H1203" s="564" t="s">
        <v>297</v>
      </c>
      <c r="I1203" s="564" t="s">
        <v>70</v>
      </c>
      <c r="J1203" s="564" t="s">
        <v>1069</v>
      </c>
      <c r="K1203" s="564" t="s">
        <v>1120</v>
      </c>
      <c r="L1203" s="564" t="s">
        <v>2098</v>
      </c>
      <c r="M1203" s="564" t="s">
        <v>2098</v>
      </c>
      <c r="N1203" s="564" t="s">
        <v>70</v>
      </c>
      <c r="O1203" s="564" t="s">
        <v>2099</v>
      </c>
      <c r="P1203" s="23"/>
      <c r="Q1203" s="23"/>
      <c r="R1203" s="23"/>
      <c r="S1203" s="23"/>
      <c r="T1203" s="23"/>
      <c r="U1203" s="23"/>
      <c r="V1203" s="23"/>
      <c r="W1203" s="23"/>
      <c r="X1203" s="23"/>
      <c r="Y1203" s="23"/>
      <c r="Z1203" s="23"/>
    </row>
    <row r="1204" spans="1:26" ht="13">
      <c r="A1204" s="562" t="s">
        <v>3676</v>
      </c>
      <c r="B1204" s="563" t="s">
        <v>3677</v>
      </c>
      <c r="C1204" s="564" t="s">
        <v>1652</v>
      </c>
      <c r="D1204" s="565">
        <v>44657</v>
      </c>
      <c r="E1204" s="565">
        <v>44687</v>
      </c>
      <c r="F1204" s="566">
        <v>3188000</v>
      </c>
      <c r="G1204" s="564" t="s">
        <v>297</v>
      </c>
      <c r="H1204" s="564" t="s">
        <v>297</v>
      </c>
      <c r="I1204" s="564" t="s">
        <v>195</v>
      </c>
      <c r="J1204" s="564" t="s">
        <v>1069</v>
      </c>
      <c r="K1204" s="564" t="s">
        <v>1120</v>
      </c>
      <c r="L1204" s="564" t="s">
        <v>2098</v>
      </c>
      <c r="M1204" s="564" t="s">
        <v>2098</v>
      </c>
      <c r="N1204" s="564" t="s">
        <v>1073</v>
      </c>
      <c r="O1204" s="564" t="s">
        <v>2099</v>
      </c>
      <c r="P1204" s="23"/>
      <c r="Q1204" s="23"/>
      <c r="R1204" s="23"/>
      <c r="S1204" s="23"/>
      <c r="T1204" s="23"/>
      <c r="U1204" s="23"/>
      <c r="V1204" s="23"/>
      <c r="W1204" s="23"/>
      <c r="X1204" s="23"/>
      <c r="Y1204" s="23"/>
      <c r="Z1204" s="23"/>
    </row>
    <row r="1205" spans="1:26" ht="13">
      <c r="A1205" s="562" t="s">
        <v>3678</v>
      </c>
      <c r="B1205" s="563" t="s">
        <v>3679</v>
      </c>
      <c r="C1205" s="564" t="s">
        <v>353</v>
      </c>
      <c r="D1205" s="565">
        <v>44649</v>
      </c>
      <c r="E1205" s="565">
        <v>44670</v>
      </c>
      <c r="F1205" s="566">
        <v>215925000</v>
      </c>
      <c r="G1205" s="564" t="s">
        <v>1128</v>
      </c>
      <c r="H1205" s="564" t="s">
        <v>1128</v>
      </c>
      <c r="I1205" s="564" t="s">
        <v>45</v>
      </c>
      <c r="J1205" s="564" t="s">
        <v>1069</v>
      </c>
      <c r="K1205" s="564" t="s">
        <v>1090</v>
      </c>
      <c r="L1205" s="564" t="s">
        <v>2098</v>
      </c>
      <c r="M1205" s="564" t="s">
        <v>2098</v>
      </c>
      <c r="N1205" s="564" t="s">
        <v>45</v>
      </c>
      <c r="O1205" s="564" t="s">
        <v>2099</v>
      </c>
      <c r="P1205" s="23"/>
      <c r="Q1205" s="23"/>
      <c r="R1205" s="23"/>
      <c r="S1205" s="23"/>
      <c r="T1205" s="23"/>
      <c r="U1205" s="23"/>
      <c r="V1205" s="23"/>
      <c r="W1205" s="23"/>
      <c r="X1205" s="23"/>
      <c r="Y1205" s="23"/>
      <c r="Z1205" s="23"/>
    </row>
    <row r="1206" spans="1:26" ht="13">
      <c r="A1206" s="562" t="s">
        <v>3680</v>
      </c>
      <c r="B1206" s="563" t="s">
        <v>3681</v>
      </c>
      <c r="C1206" s="564" t="s">
        <v>1652</v>
      </c>
      <c r="D1206" s="565">
        <v>44656</v>
      </c>
      <c r="E1206" s="565">
        <v>44680</v>
      </c>
      <c r="F1206" s="566">
        <v>1459000</v>
      </c>
      <c r="G1206" s="564" t="s">
        <v>297</v>
      </c>
      <c r="H1206" s="564" t="s">
        <v>297</v>
      </c>
      <c r="I1206" s="564" t="s">
        <v>70</v>
      </c>
      <c r="J1206" s="564" t="s">
        <v>1069</v>
      </c>
      <c r="K1206" s="564" t="s">
        <v>1120</v>
      </c>
      <c r="L1206" s="564" t="s">
        <v>2098</v>
      </c>
      <c r="M1206" s="564" t="s">
        <v>2098</v>
      </c>
      <c r="N1206" s="564" t="s">
        <v>70</v>
      </c>
      <c r="O1206" s="564" t="s">
        <v>2099</v>
      </c>
      <c r="P1206" s="23"/>
      <c r="Q1206" s="23"/>
      <c r="R1206" s="23"/>
      <c r="S1206" s="23"/>
      <c r="T1206" s="23"/>
      <c r="U1206" s="23"/>
      <c r="V1206" s="23"/>
      <c r="W1206" s="23"/>
      <c r="X1206" s="23"/>
      <c r="Y1206" s="23"/>
      <c r="Z1206" s="23"/>
    </row>
    <row r="1207" spans="1:26" ht="13">
      <c r="A1207" s="562" t="s">
        <v>3682</v>
      </c>
      <c r="B1207" s="563" t="s">
        <v>3683</v>
      </c>
      <c r="C1207" s="564" t="s">
        <v>353</v>
      </c>
      <c r="D1207" s="565">
        <v>44645</v>
      </c>
      <c r="E1207" s="565">
        <v>44666</v>
      </c>
      <c r="F1207" s="566">
        <v>2070000</v>
      </c>
      <c r="G1207" s="564" t="s">
        <v>1128</v>
      </c>
      <c r="H1207" s="564" t="s">
        <v>1128</v>
      </c>
      <c r="I1207" s="564" t="s">
        <v>45</v>
      </c>
      <c r="J1207" s="564" t="s">
        <v>1069</v>
      </c>
      <c r="K1207" s="564" t="s">
        <v>1090</v>
      </c>
      <c r="L1207" s="564" t="s">
        <v>2098</v>
      </c>
      <c r="M1207" s="564" t="s">
        <v>2098</v>
      </c>
      <c r="N1207" s="564" t="s">
        <v>45</v>
      </c>
      <c r="O1207" s="564" t="s">
        <v>2099</v>
      </c>
      <c r="P1207" s="23"/>
      <c r="Q1207" s="23"/>
      <c r="R1207" s="23"/>
      <c r="S1207" s="23"/>
      <c r="T1207" s="23"/>
      <c r="U1207" s="23"/>
      <c r="V1207" s="23"/>
      <c r="W1207" s="23"/>
      <c r="X1207" s="23"/>
      <c r="Y1207" s="23"/>
      <c r="Z1207" s="23"/>
    </row>
    <row r="1208" spans="1:26" ht="13">
      <c r="A1208" s="562" t="s">
        <v>3684</v>
      </c>
      <c r="B1208" s="563" t="s">
        <v>3685</v>
      </c>
      <c r="C1208" s="564" t="s">
        <v>1652</v>
      </c>
      <c r="D1208" s="565">
        <v>44645</v>
      </c>
      <c r="E1208" s="565">
        <v>44678</v>
      </c>
      <c r="F1208" s="566">
        <v>1459000</v>
      </c>
      <c r="G1208" s="564" t="s">
        <v>297</v>
      </c>
      <c r="H1208" s="564" t="s">
        <v>297</v>
      </c>
      <c r="I1208" s="564" t="s">
        <v>70</v>
      </c>
      <c r="J1208" s="564" t="s">
        <v>1069</v>
      </c>
      <c r="K1208" s="564" t="s">
        <v>1120</v>
      </c>
      <c r="L1208" s="564" t="s">
        <v>2098</v>
      </c>
      <c r="M1208" s="564" t="s">
        <v>2098</v>
      </c>
      <c r="N1208" s="564" t="s">
        <v>70</v>
      </c>
      <c r="O1208" s="564" t="s">
        <v>2099</v>
      </c>
      <c r="P1208" s="23"/>
      <c r="Q1208" s="23"/>
      <c r="R1208" s="23"/>
      <c r="S1208" s="23"/>
      <c r="T1208" s="23"/>
      <c r="U1208" s="23"/>
      <c r="V1208" s="23"/>
      <c r="W1208" s="23"/>
      <c r="X1208" s="23"/>
      <c r="Y1208" s="23"/>
      <c r="Z1208" s="23"/>
    </row>
    <row r="1209" spans="1:26" ht="13">
      <c r="A1209" s="562" t="s">
        <v>3686</v>
      </c>
      <c r="B1209" s="563" t="s">
        <v>3687</v>
      </c>
      <c r="C1209" s="564" t="s">
        <v>1652</v>
      </c>
      <c r="D1209" s="565">
        <v>44644</v>
      </c>
      <c r="E1209" s="565">
        <v>44652</v>
      </c>
      <c r="F1209" s="566">
        <v>1469120</v>
      </c>
      <c r="G1209" s="564" t="s">
        <v>3688</v>
      </c>
      <c r="H1209" s="564" t="s">
        <v>3688</v>
      </c>
      <c r="I1209" s="564" t="s">
        <v>257</v>
      </c>
      <c r="J1209" s="564" t="s">
        <v>1069</v>
      </c>
      <c r="K1209" s="564" t="s">
        <v>1209</v>
      </c>
      <c r="L1209" s="564" t="s">
        <v>2098</v>
      </c>
      <c r="M1209" s="564" t="s">
        <v>2098</v>
      </c>
      <c r="N1209" s="564" t="s">
        <v>257</v>
      </c>
      <c r="O1209" s="564" t="s">
        <v>2099</v>
      </c>
      <c r="P1209" s="23"/>
      <c r="Q1209" s="23"/>
      <c r="R1209" s="23"/>
      <c r="S1209" s="23"/>
      <c r="T1209" s="23"/>
      <c r="U1209" s="23"/>
      <c r="V1209" s="23"/>
      <c r="W1209" s="23"/>
      <c r="X1209" s="23"/>
      <c r="Y1209" s="23"/>
      <c r="Z1209" s="23"/>
    </row>
    <row r="1210" spans="1:26" ht="13">
      <c r="A1210" s="562" t="s">
        <v>3689</v>
      </c>
      <c r="B1210" s="563" t="s">
        <v>3690</v>
      </c>
      <c r="C1210" s="564" t="s">
        <v>1652</v>
      </c>
      <c r="D1210" s="565">
        <v>44638</v>
      </c>
      <c r="E1210" s="565">
        <v>44651</v>
      </c>
      <c r="F1210" s="566">
        <v>7925000</v>
      </c>
      <c r="G1210" s="564" t="s">
        <v>297</v>
      </c>
      <c r="H1210" s="564" t="s">
        <v>297</v>
      </c>
      <c r="I1210" s="564" t="s">
        <v>195</v>
      </c>
      <c r="J1210" s="564" t="s">
        <v>1069</v>
      </c>
      <c r="K1210" s="564" t="s">
        <v>1120</v>
      </c>
      <c r="L1210" s="564" t="s">
        <v>2098</v>
      </c>
      <c r="M1210" s="564" t="s">
        <v>2098</v>
      </c>
      <c r="N1210" s="564" t="s">
        <v>1073</v>
      </c>
      <c r="O1210" s="564" t="s">
        <v>2099</v>
      </c>
      <c r="P1210" s="23"/>
      <c r="Q1210" s="23"/>
      <c r="R1210" s="23"/>
      <c r="S1210" s="23"/>
      <c r="T1210" s="23"/>
      <c r="U1210" s="23"/>
      <c r="V1210" s="23"/>
      <c r="W1210" s="23"/>
      <c r="X1210" s="23"/>
      <c r="Y1210" s="23"/>
      <c r="Z1210" s="23"/>
    </row>
    <row r="1211" spans="1:26" ht="13">
      <c r="A1211" s="562" t="s">
        <v>3691</v>
      </c>
      <c r="B1211" s="563" t="s">
        <v>3692</v>
      </c>
      <c r="C1211" s="564" t="s">
        <v>1652</v>
      </c>
      <c r="D1211" s="565">
        <v>44641</v>
      </c>
      <c r="E1211" s="565">
        <v>44666</v>
      </c>
      <c r="F1211" s="566">
        <v>3934000</v>
      </c>
      <c r="G1211" s="564" t="s">
        <v>297</v>
      </c>
      <c r="H1211" s="564" t="s">
        <v>297</v>
      </c>
      <c r="I1211" s="564" t="s">
        <v>70</v>
      </c>
      <c r="J1211" s="564" t="s">
        <v>1069</v>
      </c>
      <c r="K1211" s="564" t="s">
        <v>1120</v>
      </c>
      <c r="L1211" s="564" t="s">
        <v>2098</v>
      </c>
      <c r="M1211" s="564" t="s">
        <v>2098</v>
      </c>
      <c r="N1211" s="564" t="s">
        <v>70</v>
      </c>
      <c r="O1211" s="564" t="s">
        <v>2099</v>
      </c>
      <c r="P1211" s="23"/>
      <c r="Q1211" s="23"/>
      <c r="R1211" s="23"/>
      <c r="S1211" s="23"/>
      <c r="T1211" s="23"/>
      <c r="U1211" s="23"/>
      <c r="V1211" s="23"/>
      <c r="W1211" s="23"/>
      <c r="X1211" s="23"/>
      <c r="Y1211" s="23"/>
      <c r="Z1211" s="23"/>
    </row>
    <row r="1212" spans="1:26" ht="13">
      <c r="A1212" s="562" t="s">
        <v>3693</v>
      </c>
      <c r="B1212" s="563" t="s">
        <v>3694</v>
      </c>
      <c r="C1212" s="564" t="s">
        <v>1076</v>
      </c>
      <c r="D1212" s="565">
        <v>44638</v>
      </c>
      <c r="E1212" s="565">
        <v>44834</v>
      </c>
      <c r="F1212" s="566">
        <v>2987000</v>
      </c>
      <c r="G1212" s="564" t="s">
        <v>1077</v>
      </c>
      <c r="H1212" s="564" t="s">
        <v>1077</v>
      </c>
      <c r="I1212" s="564" t="s">
        <v>637</v>
      </c>
      <c r="J1212" s="564" t="s">
        <v>1069</v>
      </c>
      <c r="K1212" s="564" t="s">
        <v>1070</v>
      </c>
      <c r="L1212" s="564" t="s">
        <v>2098</v>
      </c>
      <c r="M1212" s="564" t="s">
        <v>2098</v>
      </c>
      <c r="N1212" s="564" t="s">
        <v>1082</v>
      </c>
      <c r="O1212" s="564" t="s">
        <v>2099</v>
      </c>
      <c r="P1212" s="23"/>
      <c r="Q1212" s="23"/>
      <c r="R1212" s="23"/>
      <c r="S1212" s="23"/>
      <c r="T1212" s="23"/>
      <c r="U1212" s="23"/>
      <c r="V1212" s="23"/>
      <c r="W1212" s="23"/>
      <c r="X1212" s="23"/>
      <c r="Y1212" s="23"/>
      <c r="Z1212" s="23"/>
    </row>
    <row r="1213" spans="1:26" ht="13">
      <c r="A1213" s="562" t="s">
        <v>3695</v>
      </c>
      <c r="B1213" s="563" t="s">
        <v>3696</v>
      </c>
      <c r="C1213" s="564" t="s">
        <v>353</v>
      </c>
      <c r="D1213" s="565">
        <v>44637</v>
      </c>
      <c r="E1213" s="565">
        <v>44652</v>
      </c>
      <c r="F1213" s="566">
        <v>1378000</v>
      </c>
      <c r="G1213" s="564" t="s">
        <v>297</v>
      </c>
      <c r="H1213" s="564" t="s">
        <v>297</v>
      </c>
      <c r="I1213" s="564" t="s">
        <v>225</v>
      </c>
      <c r="J1213" s="564" t="s">
        <v>1069</v>
      </c>
      <c r="K1213" s="564" t="s">
        <v>1105</v>
      </c>
      <c r="L1213" s="564" t="s">
        <v>2098</v>
      </c>
      <c r="M1213" s="564" t="s">
        <v>2098</v>
      </c>
      <c r="N1213" s="564" t="s">
        <v>225</v>
      </c>
      <c r="O1213" s="564" t="s">
        <v>2099</v>
      </c>
      <c r="P1213" s="23"/>
      <c r="Q1213" s="23"/>
      <c r="R1213" s="23"/>
      <c r="S1213" s="23"/>
      <c r="T1213" s="23"/>
      <c r="U1213" s="23"/>
      <c r="V1213" s="23"/>
      <c r="W1213" s="23"/>
      <c r="X1213" s="23"/>
      <c r="Y1213" s="23"/>
      <c r="Z1213" s="23"/>
    </row>
    <row r="1214" spans="1:26" ht="13">
      <c r="A1214" s="562" t="s">
        <v>3697</v>
      </c>
      <c r="B1214" s="563" t="s">
        <v>3698</v>
      </c>
      <c r="C1214" s="564" t="s">
        <v>1652</v>
      </c>
      <c r="D1214" s="565">
        <v>44637</v>
      </c>
      <c r="E1214" s="565">
        <v>44651</v>
      </c>
      <c r="F1214" s="566">
        <v>1790000</v>
      </c>
      <c r="G1214" s="564" t="s">
        <v>297</v>
      </c>
      <c r="H1214" s="564" t="s">
        <v>297</v>
      </c>
      <c r="I1214" s="564" t="s">
        <v>1281</v>
      </c>
      <c r="J1214" s="564" t="s">
        <v>1069</v>
      </c>
      <c r="K1214" s="564" t="s">
        <v>1120</v>
      </c>
      <c r="L1214" s="564" t="s">
        <v>2098</v>
      </c>
      <c r="M1214" s="564" t="s">
        <v>2098</v>
      </c>
      <c r="N1214" s="564" t="s">
        <v>1073</v>
      </c>
      <c r="O1214" s="564" t="s">
        <v>2099</v>
      </c>
      <c r="P1214" s="23"/>
      <c r="Q1214" s="23"/>
      <c r="R1214" s="23"/>
      <c r="S1214" s="23"/>
      <c r="T1214" s="23"/>
      <c r="U1214" s="23"/>
      <c r="V1214" s="23"/>
      <c r="W1214" s="23"/>
      <c r="X1214" s="23"/>
      <c r="Y1214" s="23"/>
      <c r="Z1214" s="23"/>
    </row>
    <row r="1215" spans="1:26" ht="13">
      <c r="A1215" s="562" t="s">
        <v>3699</v>
      </c>
      <c r="B1215" s="563" t="s">
        <v>3700</v>
      </c>
      <c r="C1215" s="564" t="s">
        <v>1652</v>
      </c>
      <c r="D1215" s="565">
        <v>44636</v>
      </c>
      <c r="E1215" s="565">
        <v>44659</v>
      </c>
      <c r="F1215" s="566">
        <v>1448000</v>
      </c>
      <c r="G1215" s="564" t="s">
        <v>297</v>
      </c>
      <c r="H1215" s="564" t="s">
        <v>297</v>
      </c>
      <c r="I1215" s="564" t="s">
        <v>70</v>
      </c>
      <c r="J1215" s="564" t="s">
        <v>1069</v>
      </c>
      <c r="K1215" s="564" t="s">
        <v>1120</v>
      </c>
      <c r="L1215" s="564" t="s">
        <v>2098</v>
      </c>
      <c r="M1215" s="564" t="s">
        <v>2098</v>
      </c>
      <c r="N1215" s="564" t="s">
        <v>70</v>
      </c>
      <c r="O1215" s="564" t="s">
        <v>2099</v>
      </c>
      <c r="P1215" s="23"/>
      <c r="Q1215" s="23"/>
      <c r="R1215" s="23"/>
      <c r="S1215" s="23"/>
      <c r="T1215" s="23"/>
      <c r="U1215" s="23"/>
      <c r="V1215" s="23"/>
      <c r="W1215" s="23"/>
      <c r="X1215" s="23"/>
      <c r="Y1215" s="23"/>
      <c r="Z1215" s="23"/>
    </row>
    <row r="1216" spans="1:26" ht="13">
      <c r="A1216" s="562" t="s">
        <v>3701</v>
      </c>
      <c r="B1216" s="563" t="s">
        <v>3702</v>
      </c>
      <c r="C1216" s="564" t="s">
        <v>353</v>
      </c>
      <c r="D1216" s="565">
        <v>44624</v>
      </c>
      <c r="E1216" s="565">
        <v>44651</v>
      </c>
      <c r="F1216" s="566">
        <v>75862000</v>
      </c>
      <c r="G1216" s="564" t="s">
        <v>1128</v>
      </c>
      <c r="H1216" s="564" t="s">
        <v>1128</v>
      </c>
      <c r="I1216" s="564" t="s">
        <v>45</v>
      </c>
      <c r="J1216" s="564" t="s">
        <v>1069</v>
      </c>
      <c r="K1216" s="564" t="s">
        <v>1090</v>
      </c>
      <c r="L1216" s="564" t="s">
        <v>2098</v>
      </c>
      <c r="M1216" s="564" t="s">
        <v>2098</v>
      </c>
      <c r="N1216" s="564" t="s">
        <v>45</v>
      </c>
      <c r="O1216" s="564" t="s">
        <v>2099</v>
      </c>
      <c r="P1216" s="23"/>
      <c r="Q1216" s="23"/>
      <c r="R1216" s="23"/>
      <c r="S1216" s="23"/>
      <c r="T1216" s="23"/>
      <c r="U1216" s="23"/>
      <c r="V1216" s="23"/>
      <c r="W1216" s="23"/>
      <c r="X1216" s="23"/>
      <c r="Y1216" s="23"/>
      <c r="Z1216" s="23"/>
    </row>
    <row r="1217" spans="1:26" ht="13">
      <c r="A1217" s="562" t="s">
        <v>3703</v>
      </c>
      <c r="B1217" s="563" t="s">
        <v>3704</v>
      </c>
      <c r="C1217" s="564" t="s">
        <v>353</v>
      </c>
      <c r="D1217" s="565">
        <v>44624</v>
      </c>
      <c r="E1217" s="565">
        <v>44649</v>
      </c>
      <c r="F1217" s="566">
        <v>6640000</v>
      </c>
      <c r="G1217" s="564" t="s">
        <v>1128</v>
      </c>
      <c r="H1217" s="564" t="s">
        <v>1128</v>
      </c>
      <c r="I1217" s="564" t="s">
        <v>45</v>
      </c>
      <c r="J1217" s="564" t="s">
        <v>1069</v>
      </c>
      <c r="K1217" s="564" t="s">
        <v>1090</v>
      </c>
      <c r="L1217" s="564" t="s">
        <v>2098</v>
      </c>
      <c r="M1217" s="564" t="s">
        <v>2098</v>
      </c>
      <c r="N1217" s="564" t="s">
        <v>45</v>
      </c>
      <c r="O1217" s="564" t="s">
        <v>2099</v>
      </c>
      <c r="P1217" s="23"/>
      <c r="Q1217" s="23"/>
      <c r="R1217" s="23"/>
      <c r="S1217" s="23"/>
      <c r="T1217" s="23"/>
      <c r="U1217" s="23"/>
      <c r="V1217" s="23"/>
      <c r="W1217" s="23"/>
      <c r="X1217" s="23"/>
      <c r="Y1217" s="23"/>
      <c r="Z1217" s="23"/>
    </row>
    <row r="1218" spans="1:26" ht="13">
      <c r="A1218" s="562" t="s">
        <v>3705</v>
      </c>
      <c r="B1218" s="563" t="s">
        <v>3706</v>
      </c>
      <c r="C1218" s="564" t="s">
        <v>353</v>
      </c>
      <c r="D1218" s="565">
        <v>44622</v>
      </c>
      <c r="E1218" s="565">
        <v>44649</v>
      </c>
      <c r="F1218" s="566">
        <v>104230000</v>
      </c>
      <c r="G1218" s="564" t="s">
        <v>1128</v>
      </c>
      <c r="H1218" s="564" t="s">
        <v>1128</v>
      </c>
      <c r="I1218" s="564" t="s">
        <v>45</v>
      </c>
      <c r="J1218" s="564" t="s">
        <v>1069</v>
      </c>
      <c r="K1218" s="564" t="s">
        <v>1090</v>
      </c>
      <c r="L1218" s="564" t="s">
        <v>2098</v>
      </c>
      <c r="M1218" s="564" t="s">
        <v>2098</v>
      </c>
      <c r="N1218" s="564" t="s">
        <v>45</v>
      </c>
      <c r="O1218" s="564" t="s">
        <v>2099</v>
      </c>
      <c r="P1218" s="23"/>
      <c r="Q1218" s="23"/>
      <c r="R1218" s="23"/>
      <c r="S1218" s="23"/>
      <c r="T1218" s="23"/>
      <c r="U1218" s="23"/>
      <c r="V1218" s="23"/>
      <c r="W1218" s="23"/>
      <c r="X1218" s="23"/>
      <c r="Y1218" s="23"/>
      <c r="Z1218" s="23"/>
    </row>
    <row r="1219" spans="1:26" ht="13">
      <c r="A1219" s="562" t="s">
        <v>3707</v>
      </c>
      <c r="B1219" s="563" t="s">
        <v>3708</v>
      </c>
      <c r="C1219" s="564" t="s">
        <v>353</v>
      </c>
      <c r="D1219" s="565">
        <v>44624</v>
      </c>
      <c r="E1219" s="565">
        <v>44649</v>
      </c>
      <c r="F1219" s="566">
        <v>23110000</v>
      </c>
      <c r="G1219" s="564" t="s">
        <v>1128</v>
      </c>
      <c r="H1219" s="564" t="s">
        <v>1128</v>
      </c>
      <c r="I1219" s="564" t="s">
        <v>45</v>
      </c>
      <c r="J1219" s="564" t="s">
        <v>1069</v>
      </c>
      <c r="K1219" s="564" t="s">
        <v>1090</v>
      </c>
      <c r="L1219" s="564" t="s">
        <v>2098</v>
      </c>
      <c r="M1219" s="564" t="s">
        <v>2098</v>
      </c>
      <c r="N1219" s="564" t="s">
        <v>45</v>
      </c>
      <c r="O1219" s="564" t="s">
        <v>2099</v>
      </c>
      <c r="P1219" s="23"/>
      <c r="Q1219" s="23"/>
      <c r="R1219" s="23"/>
      <c r="S1219" s="23"/>
      <c r="T1219" s="23"/>
      <c r="U1219" s="23"/>
      <c r="V1219" s="23"/>
      <c r="W1219" s="23"/>
      <c r="X1219" s="23"/>
      <c r="Y1219" s="23"/>
      <c r="Z1219" s="23"/>
    </row>
    <row r="1220" spans="1:26" ht="13">
      <c r="A1220" s="562" t="s">
        <v>3709</v>
      </c>
      <c r="B1220" s="563" t="s">
        <v>3710</v>
      </c>
      <c r="C1220" s="564" t="s">
        <v>353</v>
      </c>
      <c r="D1220" s="565">
        <v>44624</v>
      </c>
      <c r="E1220" s="565">
        <v>44651</v>
      </c>
      <c r="F1220" s="566">
        <v>2200000</v>
      </c>
      <c r="G1220" s="564" t="s">
        <v>1128</v>
      </c>
      <c r="H1220" s="564" t="s">
        <v>1128</v>
      </c>
      <c r="I1220" s="564" t="s">
        <v>45</v>
      </c>
      <c r="J1220" s="564" t="s">
        <v>1069</v>
      </c>
      <c r="K1220" s="564" t="s">
        <v>1090</v>
      </c>
      <c r="L1220" s="564" t="s">
        <v>2098</v>
      </c>
      <c r="M1220" s="564" t="s">
        <v>2098</v>
      </c>
      <c r="N1220" s="564" t="s">
        <v>45</v>
      </c>
      <c r="O1220" s="564" t="s">
        <v>2099</v>
      </c>
      <c r="P1220" s="23"/>
      <c r="Q1220" s="23"/>
      <c r="R1220" s="23"/>
      <c r="S1220" s="23"/>
      <c r="T1220" s="23"/>
      <c r="U1220" s="23"/>
      <c r="V1220" s="23"/>
      <c r="W1220" s="23"/>
      <c r="X1220" s="23"/>
      <c r="Y1220" s="23"/>
      <c r="Z1220" s="23"/>
    </row>
    <row r="1221" spans="1:26" ht="13">
      <c r="A1221" s="562" t="s">
        <v>3711</v>
      </c>
      <c r="B1221" s="563" t="s">
        <v>3712</v>
      </c>
      <c r="C1221" s="564" t="s">
        <v>353</v>
      </c>
      <c r="D1221" s="565">
        <v>44624</v>
      </c>
      <c r="E1221" s="565">
        <v>44651</v>
      </c>
      <c r="F1221" s="566">
        <v>8600000</v>
      </c>
      <c r="G1221" s="564" t="s">
        <v>1128</v>
      </c>
      <c r="H1221" s="564" t="s">
        <v>1128</v>
      </c>
      <c r="I1221" s="564" t="s">
        <v>45</v>
      </c>
      <c r="J1221" s="564" t="s">
        <v>1069</v>
      </c>
      <c r="K1221" s="564" t="s">
        <v>1090</v>
      </c>
      <c r="L1221" s="564" t="s">
        <v>2098</v>
      </c>
      <c r="M1221" s="564" t="s">
        <v>2098</v>
      </c>
      <c r="N1221" s="564" t="s">
        <v>45</v>
      </c>
      <c r="O1221" s="564" t="s">
        <v>2099</v>
      </c>
      <c r="P1221" s="23"/>
      <c r="Q1221" s="23"/>
      <c r="R1221" s="23"/>
      <c r="S1221" s="23"/>
      <c r="T1221" s="23"/>
      <c r="U1221" s="23"/>
      <c r="V1221" s="23"/>
      <c r="W1221" s="23"/>
      <c r="X1221" s="23"/>
      <c r="Y1221" s="23"/>
      <c r="Z1221" s="23"/>
    </row>
    <row r="1222" spans="1:26" ht="13">
      <c r="A1222" s="562" t="s">
        <v>3713</v>
      </c>
      <c r="B1222" s="563" t="s">
        <v>3714</v>
      </c>
      <c r="C1222" s="564" t="s">
        <v>1652</v>
      </c>
      <c r="D1222" s="565">
        <v>44623</v>
      </c>
      <c r="E1222" s="565">
        <v>44659</v>
      </c>
      <c r="F1222" s="566">
        <v>6888000</v>
      </c>
      <c r="G1222" s="564" t="s">
        <v>297</v>
      </c>
      <c r="H1222" s="564" t="s">
        <v>297</v>
      </c>
      <c r="I1222" s="564" t="s">
        <v>70</v>
      </c>
      <c r="J1222" s="564" t="s">
        <v>1069</v>
      </c>
      <c r="K1222" s="564" t="s">
        <v>1120</v>
      </c>
      <c r="L1222" s="564" t="s">
        <v>2098</v>
      </c>
      <c r="M1222" s="564" t="s">
        <v>2098</v>
      </c>
      <c r="N1222" s="564" t="s">
        <v>70</v>
      </c>
      <c r="O1222" s="564" t="s">
        <v>2099</v>
      </c>
      <c r="P1222" s="23"/>
      <c r="Q1222" s="23"/>
      <c r="R1222" s="23"/>
      <c r="S1222" s="23"/>
      <c r="T1222" s="23"/>
      <c r="U1222" s="23"/>
      <c r="V1222" s="23"/>
      <c r="W1222" s="23"/>
      <c r="X1222" s="23"/>
      <c r="Y1222" s="23"/>
      <c r="Z1222" s="23"/>
    </row>
    <row r="1223" spans="1:26" ht="13">
      <c r="A1223" s="562" t="s">
        <v>3715</v>
      </c>
      <c r="B1223" s="563" t="s">
        <v>3716</v>
      </c>
      <c r="C1223" s="564" t="s">
        <v>1652</v>
      </c>
      <c r="D1223" s="565">
        <v>44624</v>
      </c>
      <c r="E1223" s="565">
        <v>44659</v>
      </c>
      <c r="F1223" s="566">
        <v>7294000</v>
      </c>
      <c r="G1223" s="564" t="s">
        <v>297</v>
      </c>
      <c r="H1223" s="564" t="s">
        <v>297</v>
      </c>
      <c r="I1223" s="564" t="s">
        <v>195</v>
      </c>
      <c r="J1223" s="564" t="s">
        <v>1069</v>
      </c>
      <c r="K1223" s="564" t="s">
        <v>1120</v>
      </c>
      <c r="L1223" s="564" t="s">
        <v>2098</v>
      </c>
      <c r="M1223" s="564" t="s">
        <v>2098</v>
      </c>
      <c r="N1223" s="564" t="s">
        <v>1073</v>
      </c>
      <c r="O1223" s="564" t="s">
        <v>2099</v>
      </c>
      <c r="P1223" s="23"/>
      <c r="Q1223" s="23"/>
      <c r="R1223" s="23"/>
      <c r="S1223" s="23"/>
      <c r="T1223" s="23"/>
      <c r="U1223" s="23"/>
      <c r="V1223" s="23"/>
      <c r="W1223" s="23"/>
      <c r="X1223" s="23"/>
      <c r="Y1223" s="23"/>
      <c r="Z1223" s="23"/>
    </row>
    <row r="1224" spans="1:26" ht="13">
      <c r="A1224" s="562" t="s">
        <v>3717</v>
      </c>
      <c r="B1224" s="563" t="s">
        <v>3718</v>
      </c>
      <c r="C1224" s="564" t="s">
        <v>1076</v>
      </c>
      <c r="D1224" s="565">
        <v>44620</v>
      </c>
      <c r="E1224" s="565">
        <v>44834</v>
      </c>
      <c r="F1224" s="566">
        <v>795000</v>
      </c>
      <c r="G1224" s="564" t="s">
        <v>1077</v>
      </c>
      <c r="H1224" s="564" t="s">
        <v>1077</v>
      </c>
      <c r="I1224" s="564" t="s">
        <v>637</v>
      </c>
      <c r="J1224" s="564" t="s">
        <v>1069</v>
      </c>
      <c r="K1224" s="564" t="s">
        <v>1070</v>
      </c>
      <c r="L1224" s="564" t="s">
        <v>2098</v>
      </c>
      <c r="M1224" s="564" t="s">
        <v>2098</v>
      </c>
      <c r="N1224" s="564" t="s">
        <v>1082</v>
      </c>
      <c r="O1224" s="564" t="s">
        <v>2099</v>
      </c>
      <c r="P1224" s="23"/>
      <c r="Q1224" s="23"/>
      <c r="R1224" s="23"/>
      <c r="S1224" s="23"/>
      <c r="T1224" s="23"/>
      <c r="U1224" s="23"/>
      <c r="V1224" s="23"/>
      <c r="W1224" s="23"/>
      <c r="X1224" s="23"/>
      <c r="Y1224" s="23"/>
      <c r="Z1224" s="23"/>
    </row>
    <row r="1225" spans="1:26" ht="13">
      <c r="A1225" s="562" t="s">
        <v>3719</v>
      </c>
      <c r="B1225" s="563" t="s">
        <v>3720</v>
      </c>
      <c r="C1225" s="564" t="s">
        <v>1652</v>
      </c>
      <c r="D1225" s="565">
        <v>44616</v>
      </c>
      <c r="E1225" s="565">
        <v>44804</v>
      </c>
      <c r="F1225" s="566">
        <v>10408560</v>
      </c>
      <c r="G1225" s="564" t="s">
        <v>297</v>
      </c>
      <c r="H1225" s="564" t="s">
        <v>297</v>
      </c>
      <c r="I1225" s="564" t="s">
        <v>70</v>
      </c>
      <c r="J1225" s="564" t="s">
        <v>1069</v>
      </c>
      <c r="K1225" s="564" t="s">
        <v>1120</v>
      </c>
      <c r="L1225" s="564" t="s">
        <v>2098</v>
      </c>
      <c r="M1225" s="564" t="s">
        <v>2098</v>
      </c>
      <c r="N1225" s="564" t="s">
        <v>70</v>
      </c>
      <c r="O1225" s="564" t="s">
        <v>2099</v>
      </c>
      <c r="P1225" s="23"/>
      <c r="Q1225" s="23"/>
      <c r="R1225" s="23"/>
      <c r="S1225" s="23"/>
      <c r="T1225" s="23"/>
      <c r="U1225" s="23"/>
      <c r="V1225" s="23"/>
      <c r="W1225" s="23"/>
      <c r="X1225" s="23"/>
      <c r="Y1225" s="23"/>
      <c r="Z1225" s="23"/>
    </row>
    <row r="1226" spans="1:26" ht="13">
      <c r="A1226" s="562" t="s">
        <v>3721</v>
      </c>
      <c r="B1226" s="563" t="s">
        <v>3722</v>
      </c>
      <c r="C1226" s="564" t="s">
        <v>1652</v>
      </c>
      <c r="D1226" s="565">
        <v>44616</v>
      </c>
      <c r="E1226" s="565">
        <v>44644</v>
      </c>
      <c r="F1226" s="566">
        <v>3203000</v>
      </c>
      <c r="G1226" s="564" t="s">
        <v>297</v>
      </c>
      <c r="H1226" s="564" t="s">
        <v>297</v>
      </c>
      <c r="I1226" s="564" t="s">
        <v>70</v>
      </c>
      <c r="J1226" s="564" t="s">
        <v>1069</v>
      </c>
      <c r="K1226" s="564" t="s">
        <v>1120</v>
      </c>
      <c r="L1226" s="564" t="s">
        <v>2098</v>
      </c>
      <c r="M1226" s="564" t="s">
        <v>2098</v>
      </c>
      <c r="N1226" s="564" t="s">
        <v>70</v>
      </c>
      <c r="O1226" s="564" t="s">
        <v>2099</v>
      </c>
      <c r="P1226" s="23"/>
      <c r="Q1226" s="23"/>
      <c r="R1226" s="23"/>
      <c r="S1226" s="23"/>
      <c r="T1226" s="23"/>
      <c r="U1226" s="23"/>
      <c r="V1226" s="23"/>
      <c r="W1226" s="23"/>
      <c r="X1226" s="23"/>
      <c r="Y1226" s="23"/>
      <c r="Z1226" s="23"/>
    </row>
    <row r="1227" spans="1:26" ht="13">
      <c r="A1227" s="562" t="s">
        <v>3723</v>
      </c>
      <c r="B1227" s="563" t="s">
        <v>3724</v>
      </c>
      <c r="C1227" s="564" t="s">
        <v>1652</v>
      </c>
      <c r="D1227" s="565">
        <v>44614</v>
      </c>
      <c r="E1227" s="565">
        <v>44644</v>
      </c>
      <c r="F1227" s="566">
        <v>1281000</v>
      </c>
      <c r="G1227" s="564" t="s">
        <v>297</v>
      </c>
      <c r="H1227" s="564" t="s">
        <v>297</v>
      </c>
      <c r="I1227" s="564" t="s">
        <v>1719</v>
      </c>
      <c r="J1227" s="564" t="s">
        <v>1069</v>
      </c>
      <c r="K1227" s="564" t="s">
        <v>1120</v>
      </c>
      <c r="L1227" s="564" t="s">
        <v>2098</v>
      </c>
      <c r="M1227" s="564" t="s">
        <v>2098</v>
      </c>
      <c r="N1227" s="564" t="s">
        <v>1073</v>
      </c>
      <c r="O1227" s="564" t="s">
        <v>2099</v>
      </c>
      <c r="P1227" s="23"/>
      <c r="Q1227" s="23"/>
      <c r="R1227" s="23"/>
      <c r="S1227" s="23"/>
      <c r="T1227" s="23"/>
      <c r="U1227" s="23"/>
      <c r="V1227" s="23"/>
      <c r="W1227" s="23"/>
      <c r="X1227" s="23"/>
      <c r="Y1227" s="23"/>
      <c r="Z1227" s="23"/>
    </row>
    <row r="1228" spans="1:26" ht="13">
      <c r="A1228" s="562" t="s">
        <v>3725</v>
      </c>
      <c r="B1228" s="563" t="s">
        <v>3726</v>
      </c>
      <c r="C1228" s="564" t="s">
        <v>353</v>
      </c>
      <c r="D1228" s="565">
        <v>44616</v>
      </c>
      <c r="E1228" s="565">
        <v>44635</v>
      </c>
      <c r="F1228" s="566">
        <v>10190000</v>
      </c>
      <c r="G1228" s="564" t="s">
        <v>1128</v>
      </c>
      <c r="H1228" s="564" t="s">
        <v>1128</v>
      </c>
      <c r="I1228" s="564" t="s">
        <v>45</v>
      </c>
      <c r="J1228" s="564" t="s">
        <v>1069</v>
      </c>
      <c r="K1228" s="564" t="s">
        <v>1090</v>
      </c>
      <c r="L1228" s="564" t="s">
        <v>2098</v>
      </c>
      <c r="M1228" s="564" t="s">
        <v>2098</v>
      </c>
      <c r="N1228" s="564" t="s">
        <v>45</v>
      </c>
      <c r="O1228" s="564" t="s">
        <v>2099</v>
      </c>
      <c r="P1228" s="23"/>
      <c r="Q1228" s="23"/>
      <c r="R1228" s="23"/>
      <c r="S1228" s="23"/>
      <c r="T1228" s="23"/>
      <c r="U1228" s="23"/>
      <c r="V1228" s="23"/>
      <c r="W1228" s="23"/>
      <c r="X1228" s="23"/>
      <c r="Y1228" s="23"/>
      <c r="Z1228" s="23"/>
    </row>
    <row r="1229" spans="1:26" ht="13">
      <c r="A1229" s="562" t="s">
        <v>3727</v>
      </c>
      <c r="B1229" s="563" t="s">
        <v>3728</v>
      </c>
      <c r="C1229" s="564" t="s">
        <v>1652</v>
      </c>
      <c r="D1229" s="565">
        <v>44614</v>
      </c>
      <c r="E1229" s="565">
        <v>44638</v>
      </c>
      <c r="F1229" s="566">
        <v>1139000</v>
      </c>
      <c r="G1229" s="564" t="s">
        <v>297</v>
      </c>
      <c r="H1229" s="564" t="s">
        <v>297</v>
      </c>
      <c r="I1229" s="564" t="s">
        <v>1223</v>
      </c>
      <c r="J1229" s="564" t="s">
        <v>1069</v>
      </c>
      <c r="K1229" s="564" t="s">
        <v>1120</v>
      </c>
      <c r="L1229" s="564" t="s">
        <v>2098</v>
      </c>
      <c r="M1229" s="564" t="s">
        <v>2098</v>
      </c>
      <c r="N1229" s="564" t="s">
        <v>1073</v>
      </c>
      <c r="O1229" s="564" t="s">
        <v>2099</v>
      </c>
      <c r="P1229" s="23"/>
      <c r="Q1229" s="23"/>
      <c r="R1229" s="23"/>
      <c r="S1229" s="23"/>
      <c r="T1229" s="23"/>
      <c r="U1229" s="23"/>
      <c r="V1229" s="23"/>
      <c r="W1229" s="23"/>
      <c r="X1229" s="23"/>
      <c r="Y1229" s="23"/>
      <c r="Z1229" s="23"/>
    </row>
    <row r="1230" spans="1:26" ht="13">
      <c r="A1230" s="562" t="s">
        <v>3729</v>
      </c>
      <c r="B1230" s="563" t="s">
        <v>3730</v>
      </c>
      <c r="C1230" s="564" t="s">
        <v>1652</v>
      </c>
      <c r="D1230" s="565">
        <v>44614</v>
      </c>
      <c r="E1230" s="565">
        <v>44631</v>
      </c>
      <c r="F1230" s="566">
        <v>23120000</v>
      </c>
      <c r="G1230" s="564" t="s">
        <v>297</v>
      </c>
      <c r="H1230" s="564" t="s">
        <v>297</v>
      </c>
      <c r="I1230" s="564" t="s">
        <v>70</v>
      </c>
      <c r="J1230" s="564" t="s">
        <v>1069</v>
      </c>
      <c r="K1230" s="564" t="s">
        <v>1120</v>
      </c>
      <c r="L1230" s="564" t="s">
        <v>2098</v>
      </c>
      <c r="M1230" s="564" t="s">
        <v>2098</v>
      </c>
      <c r="N1230" s="564" t="s">
        <v>70</v>
      </c>
      <c r="O1230" s="564" t="s">
        <v>2099</v>
      </c>
      <c r="P1230" s="23"/>
      <c r="Q1230" s="23"/>
      <c r="R1230" s="23"/>
      <c r="S1230" s="23"/>
      <c r="T1230" s="23"/>
      <c r="U1230" s="23"/>
      <c r="V1230" s="23"/>
      <c r="W1230" s="23"/>
      <c r="X1230" s="23"/>
      <c r="Y1230" s="23"/>
      <c r="Z1230" s="23"/>
    </row>
    <row r="1231" spans="1:26" ht="13">
      <c r="A1231" s="562" t="s">
        <v>3731</v>
      </c>
      <c r="B1231" s="563" t="s">
        <v>3732</v>
      </c>
      <c r="C1231" s="564" t="s">
        <v>1652</v>
      </c>
      <c r="D1231" s="565">
        <v>44610</v>
      </c>
      <c r="E1231" s="565">
        <v>44631</v>
      </c>
      <c r="F1231" s="566">
        <v>1139000</v>
      </c>
      <c r="G1231" s="564" t="s">
        <v>297</v>
      </c>
      <c r="H1231" s="564" t="s">
        <v>297</v>
      </c>
      <c r="I1231" s="564" t="s">
        <v>1223</v>
      </c>
      <c r="J1231" s="564" t="s">
        <v>1069</v>
      </c>
      <c r="K1231" s="564" t="s">
        <v>1120</v>
      </c>
      <c r="L1231" s="564" t="s">
        <v>2098</v>
      </c>
      <c r="M1231" s="564" t="s">
        <v>2098</v>
      </c>
      <c r="N1231" s="564" t="s">
        <v>1073</v>
      </c>
      <c r="O1231" s="564" t="s">
        <v>2099</v>
      </c>
      <c r="P1231" s="23"/>
      <c r="Q1231" s="23"/>
      <c r="R1231" s="23"/>
      <c r="S1231" s="23"/>
      <c r="T1231" s="23"/>
      <c r="U1231" s="23"/>
      <c r="V1231" s="23"/>
      <c r="W1231" s="23"/>
      <c r="X1231" s="23"/>
      <c r="Y1231" s="23"/>
      <c r="Z1231" s="23"/>
    </row>
    <row r="1232" spans="1:26" ht="13">
      <c r="A1232" s="562" t="s">
        <v>3733</v>
      </c>
      <c r="B1232" s="563" t="s">
        <v>3734</v>
      </c>
      <c r="C1232" s="564" t="s">
        <v>353</v>
      </c>
      <c r="D1232" s="565">
        <v>44613</v>
      </c>
      <c r="E1232" s="565">
        <v>44624</v>
      </c>
      <c r="F1232" s="566">
        <v>15500000</v>
      </c>
      <c r="G1232" s="564" t="s">
        <v>1128</v>
      </c>
      <c r="H1232" s="564" t="s">
        <v>1128</v>
      </c>
      <c r="I1232" s="564" t="s">
        <v>45</v>
      </c>
      <c r="J1232" s="564" t="s">
        <v>1069</v>
      </c>
      <c r="K1232" s="564" t="s">
        <v>1090</v>
      </c>
      <c r="L1232" s="564" t="s">
        <v>2098</v>
      </c>
      <c r="M1232" s="564" t="s">
        <v>2098</v>
      </c>
      <c r="N1232" s="564" t="s">
        <v>45</v>
      </c>
      <c r="O1232" s="564" t="s">
        <v>2099</v>
      </c>
      <c r="P1232" s="23"/>
      <c r="Q1232" s="23"/>
      <c r="R1232" s="23"/>
      <c r="S1232" s="23"/>
      <c r="T1232" s="23"/>
      <c r="U1232" s="23"/>
      <c r="V1232" s="23"/>
      <c r="W1232" s="23"/>
      <c r="X1232" s="23"/>
      <c r="Y1232" s="23"/>
      <c r="Z1232" s="23"/>
    </row>
    <row r="1233" spans="1:26" ht="13">
      <c r="A1233" s="562" t="s">
        <v>3735</v>
      </c>
      <c r="B1233" s="563" t="s">
        <v>3736</v>
      </c>
      <c r="C1233" s="564" t="s">
        <v>1652</v>
      </c>
      <c r="D1233" s="565">
        <v>44609</v>
      </c>
      <c r="E1233" s="565">
        <v>44638</v>
      </c>
      <c r="F1233" s="566">
        <v>4338000</v>
      </c>
      <c r="G1233" s="564" t="s">
        <v>297</v>
      </c>
      <c r="H1233" s="564" t="s">
        <v>297</v>
      </c>
      <c r="I1233" s="564" t="s">
        <v>70</v>
      </c>
      <c r="J1233" s="564" t="s">
        <v>1069</v>
      </c>
      <c r="K1233" s="564" t="s">
        <v>1120</v>
      </c>
      <c r="L1233" s="564" t="s">
        <v>2098</v>
      </c>
      <c r="M1233" s="564" t="s">
        <v>2098</v>
      </c>
      <c r="N1233" s="564" t="s">
        <v>70</v>
      </c>
      <c r="O1233" s="564" t="s">
        <v>2099</v>
      </c>
      <c r="P1233" s="23"/>
      <c r="Q1233" s="23"/>
      <c r="R1233" s="23"/>
      <c r="S1233" s="23"/>
      <c r="T1233" s="23"/>
      <c r="U1233" s="23"/>
      <c r="V1233" s="23"/>
      <c r="W1233" s="23"/>
      <c r="X1233" s="23"/>
      <c r="Y1233" s="23"/>
      <c r="Z1233" s="23"/>
    </row>
    <row r="1234" spans="1:26" ht="13">
      <c r="A1234" s="562" t="s">
        <v>3737</v>
      </c>
      <c r="B1234" s="563" t="s">
        <v>2824</v>
      </c>
      <c r="C1234" s="564" t="s">
        <v>353</v>
      </c>
      <c r="D1234" s="565">
        <v>44608</v>
      </c>
      <c r="E1234" s="565">
        <v>44620</v>
      </c>
      <c r="F1234" s="566">
        <v>1200000</v>
      </c>
      <c r="G1234" s="564" t="s">
        <v>1128</v>
      </c>
      <c r="H1234" s="564" t="s">
        <v>1128</v>
      </c>
      <c r="I1234" s="564" t="s">
        <v>45</v>
      </c>
      <c r="J1234" s="564" t="s">
        <v>1069</v>
      </c>
      <c r="K1234" s="564" t="s">
        <v>1090</v>
      </c>
      <c r="L1234" s="564" t="s">
        <v>2098</v>
      </c>
      <c r="M1234" s="564" t="s">
        <v>2098</v>
      </c>
      <c r="N1234" s="564" t="s">
        <v>45</v>
      </c>
      <c r="O1234" s="564" t="s">
        <v>2099</v>
      </c>
      <c r="P1234" s="23"/>
      <c r="Q1234" s="23"/>
      <c r="R1234" s="23"/>
      <c r="S1234" s="23"/>
      <c r="T1234" s="23"/>
      <c r="U1234" s="23"/>
      <c r="V1234" s="23"/>
      <c r="W1234" s="23"/>
      <c r="X1234" s="23"/>
      <c r="Y1234" s="23"/>
      <c r="Z1234" s="23"/>
    </row>
    <row r="1235" spans="1:26" ht="13">
      <c r="A1235" s="562" t="s">
        <v>3738</v>
      </c>
      <c r="B1235" s="563" t="s">
        <v>3739</v>
      </c>
      <c r="C1235" s="564" t="s">
        <v>353</v>
      </c>
      <c r="D1235" s="565">
        <v>44607</v>
      </c>
      <c r="E1235" s="565">
        <v>44631</v>
      </c>
      <c r="F1235" s="566">
        <v>967500</v>
      </c>
      <c r="G1235" s="564" t="s">
        <v>297</v>
      </c>
      <c r="H1235" s="564" t="s">
        <v>297</v>
      </c>
      <c r="I1235" s="564" t="s">
        <v>45</v>
      </c>
      <c r="J1235" s="564" t="s">
        <v>1069</v>
      </c>
      <c r="K1235" s="564" t="s">
        <v>1090</v>
      </c>
      <c r="L1235" s="564" t="s">
        <v>2098</v>
      </c>
      <c r="M1235" s="564" t="s">
        <v>2098</v>
      </c>
      <c r="N1235" s="564" t="s">
        <v>45</v>
      </c>
      <c r="O1235" s="564" t="s">
        <v>2099</v>
      </c>
      <c r="P1235" s="23"/>
      <c r="Q1235" s="23"/>
      <c r="R1235" s="23"/>
      <c r="S1235" s="23"/>
      <c r="T1235" s="23"/>
      <c r="U1235" s="23"/>
      <c r="V1235" s="23"/>
      <c r="W1235" s="23"/>
      <c r="X1235" s="23"/>
      <c r="Y1235" s="23"/>
      <c r="Z1235" s="23"/>
    </row>
    <row r="1236" spans="1:26" ht="13">
      <c r="A1236" s="562" t="s">
        <v>3740</v>
      </c>
      <c r="B1236" s="563" t="s">
        <v>3741</v>
      </c>
      <c r="C1236" s="564" t="s">
        <v>1076</v>
      </c>
      <c r="D1236" s="565">
        <v>44609</v>
      </c>
      <c r="E1236" s="565">
        <v>44804</v>
      </c>
      <c r="F1236" s="566">
        <v>866000</v>
      </c>
      <c r="G1236" s="564" t="s">
        <v>1077</v>
      </c>
      <c r="H1236" s="564" t="s">
        <v>1077</v>
      </c>
      <c r="I1236" s="564" t="s">
        <v>637</v>
      </c>
      <c r="J1236" s="564" t="s">
        <v>1069</v>
      </c>
      <c r="K1236" s="564" t="s">
        <v>1070</v>
      </c>
      <c r="L1236" s="564" t="s">
        <v>2098</v>
      </c>
      <c r="M1236" s="564" t="s">
        <v>2098</v>
      </c>
      <c r="N1236" s="564" t="s">
        <v>1082</v>
      </c>
      <c r="O1236" s="564" t="s">
        <v>2099</v>
      </c>
      <c r="P1236" s="23"/>
      <c r="Q1236" s="23"/>
      <c r="R1236" s="23"/>
      <c r="S1236" s="23"/>
      <c r="T1236" s="23"/>
      <c r="U1236" s="23"/>
      <c r="V1236" s="23"/>
      <c r="W1236" s="23"/>
      <c r="X1236" s="23"/>
      <c r="Y1236" s="23"/>
      <c r="Z1236" s="23"/>
    </row>
    <row r="1237" spans="1:26" ht="13">
      <c r="A1237" s="562" t="s">
        <v>3742</v>
      </c>
      <c r="B1237" s="563" t="s">
        <v>3743</v>
      </c>
      <c r="C1237" s="564" t="s">
        <v>1652</v>
      </c>
      <c r="D1237" s="565">
        <v>44603</v>
      </c>
      <c r="E1237" s="565">
        <v>44638</v>
      </c>
      <c r="F1237" s="566">
        <v>6883200</v>
      </c>
      <c r="G1237" s="564" t="s">
        <v>297</v>
      </c>
      <c r="H1237" s="564" t="s">
        <v>297</v>
      </c>
      <c r="I1237" s="564" t="s">
        <v>70</v>
      </c>
      <c r="J1237" s="564" t="s">
        <v>1069</v>
      </c>
      <c r="K1237" s="564" t="s">
        <v>1120</v>
      </c>
      <c r="L1237" s="564" t="s">
        <v>2098</v>
      </c>
      <c r="M1237" s="564" t="s">
        <v>2098</v>
      </c>
      <c r="N1237" s="564" t="s">
        <v>70</v>
      </c>
      <c r="O1237" s="564" t="s">
        <v>2099</v>
      </c>
      <c r="P1237" s="23"/>
      <c r="Q1237" s="23"/>
      <c r="R1237" s="23"/>
      <c r="S1237" s="23"/>
      <c r="T1237" s="23"/>
      <c r="U1237" s="23"/>
      <c r="V1237" s="23"/>
      <c r="W1237" s="23"/>
      <c r="X1237" s="23"/>
      <c r="Y1237" s="23"/>
      <c r="Z1237" s="23"/>
    </row>
    <row r="1238" spans="1:26" ht="13">
      <c r="A1238" s="562" t="s">
        <v>3744</v>
      </c>
      <c r="B1238" s="563" t="s">
        <v>3745</v>
      </c>
      <c r="C1238" s="564" t="s">
        <v>2433</v>
      </c>
      <c r="D1238" s="565">
        <v>44607</v>
      </c>
      <c r="E1238" s="565">
        <v>44804</v>
      </c>
      <c r="F1238" s="566">
        <v>2057000</v>
      </c>
      <c r="G1238" s="564" t="s">
        <v>1077</v>
      </c>
      <c r="H1238" s="564" t="s">
        <v>1077</v>
      </c>
      <c r="I1238" s="564" t="s">
        <v>637</v>
      </c>
      <c r="J1238" s="564" t="s">
        <v>1069</v>
      </c>
      <c r="K1238" s="564" t="s">
        <v>1070</v>
      </c>
      <c r="L1238" s="564" t="s">
        <v>2098</v>
      </c>
      <c r="M1238" s="564" t="s">
        <v>2098</v>
      </c>
      <c r="N1238" s="564" t="s">
        <v>1082</v>
      </c>
      <c r="O1238" s="564" t="s">
        <v>2099</v>
      </c>
      <c r="P1238" s="23"/>
      <c r="Q1238" s="23"/>
      <c r="R1238" s="23"/>
      <c r="S1238" s="23"/>
      <c r="T1238" s="23"/>
      <c r="U1238" s="23"/>
      <c r="V1238" s="23"/>
      <c r="W1238" s="23"/>
      <c r="X1238" s="23"/>
      <c r="Y1238" s="23"/>
      <c r="Z1238" s="23"/>
    </row>
    <row r="1239" spans="1:26" ht="13">
      <c r="A1239" s="562" t="s">
        <v>3746</v>
      </c>
      <c r="B1239" s="563" t="s">
        <v>3747</v>
      </c>
      <c r="C1239" s="564" t="s">
        <v>1652</v>
      </c>
      <c r="D1239" s="565">
        <v>44603</v>
      </c>
      <c r="E1239" s="565">
        <v>44631</v>
      </c>
      <c r="F1239" s="566">
        <v>4080000</v>
      </c>
      <c r="G1239" s="564" t="s">
        <v>297</v>
      </c>
      <c r="H1239" s="564" t="s">
        <v>297</v>
      </c>
      <c r="I1239" s="564" t="s">
        <v>70</v>
      </c>
      <c r="J1239" s="564" t="s">
        <v>1069</v>
      </c>
      <c r="K1239" s="564" t="s">
        <v>1120</v>
      </c>
      <c r="L1239" s="564" t="s">
        <v>2098</v>
      </c>
      <c r="M1239" s="564" t="s">
        <v>2098</v>
      </c>
      <c r="N1239" s="564" t="s">
        <v>70</v>
      </c>
      <c r="O1239" s="564" t="s">
        <v>2099</v>
      </c>
      <c r="P1239" s="23"/>
      <c r="Q1239" s="23"/>
      <c r="R1239" s="23"/>
      <c r="S1239" s="23"/>
      <c r="T1239" s="23"/>
      <c r="U1239" s="23"/>
      <c r="V1239" s="23"/>
      <c r="W1239" s="23"/>
      <c r="X1239" s="23"/>
      <c r="Y1239" s="23"/>
      <c r="Z1239" s="23"/>
    </row>
    <row r="1240" spans="1:26" ht="13">
      <c r="A1240" s="562" t="s">
        <v>3748</v>
      </c>
      <c r="B1240" s="563" t="s">
        <v>3749</v>
      </c>
      <c r="C1240" s="564" t="s">
        <v>1652</v>
      </c>
      <c r="D1240" s="565">
        <v>44603</v>
      </c>
      <c r="E1240" s="565">
        <v>44638</v>
      </c>
      <c r="F1240" s="566">
        <v>3066000</v>
      </c>
      <c r="G1240" s="564" t="s">
        <v>297</v>
      </c>
      <c r="H1240" s="564" t="s">
        <v>297</v>
      </c>
      <c r="I1240" s="564" t="s">
        <v>70</v>
      </c>
      <c r="J1240" s="564" t="s">
        <v>1069</v>
      </c>
      <c r="K1240" s="564" t="s">
        <v>1120</v>
      </c>
      <c r="L1240" s="564" t="s">
        <v>2098</v>
      </c>
      <c r="M1240" s="564" t="s">
        <v>2098</v>
      </c>
      <c r="N1240" s="564" t="s">
        <v>70</v>
      </c>
      <c r="O1240" s="564" t="s">
        <v>2099</v>
      </c>
      <c r="P1240" s="23"/>
      <c r="Q1240" s="23"/>
      <c r="R1240" s="23"/>
      <c r="S1240" s="23"/>
      <c r="T1240" s="23"/>
      <c r="U1240" s="23"/>
      <c r="V1240" s="23"/>
      <c r="W1240" s="23"/>
      <c r="X1240" s="23"/>
      <c r="Y1240" s="23"/>
      <c r="Z1240" s="23"/>
    </row>
    <row r="1241" spans="1:26" ht="13">
      <c r="A1241" s="562" t="s">
        <v>3750</v>
      </c>
      <c r="B1241" s="563" t="s">
        <v>3751</v>
      </c>
      <c r="C1241" s="564" t="s">
        <v>1652</v>
      </c>
      <c r="D1241" s="565">
        <v>44603</v>
      </c>
      <c r="E1241" s="565">
        <v>44638</v>
      </c>
      <c r="F1241" s="566">
        <v>1618000</v>
      </c>
      <c r="G1241" s="564" t="s">
        <v>297</v>
      </c>
      <c r="H1241" s="564" t="s">
        <v>297</v>
      </c>
      <c r="I1241" s="564" t="s">
        <v>70</v>
      </c>
      <c r="J1241" s="564" t="s">
        <v>1069</v>
      </c>
      <c r="K1241" s="564" t="s">
        <v>1120</v>
      </c>
      <c r="L1241" s="564" t="s">
        <v>2098</v>
      </c>
      <c r="M1241" s="564" t="s">
        <v>2098</v>
      </c>
      <c r="N1241" s="564" t="s">
        <v>70</v>
      </c>
      <c r="O1241" s="564" t="s">
        <v>2099</v>
      </c>
      <c r="P1241" s="23"/>
      <c r="Q1241" s="23"/>
      <c r="R1241" s="23"/>
      <c r="S1241" s="23"/>
      <c r="T1241" s="23"/>
      <c r="U1241" s="23"/>
      <c r="V1241" s="23"/>
      <c r="W1241" s="23"/>
      <c r="X1241" s="23"/>
      <c r="Y1241" s="23"/>
      <c r="Z1241" s="23"/>
    </row>
    <row r="1242" spans="1:26" ht="13">
      <c r="A1242" s="562" t="s">
        <v>3752</v>
      </c>
      <c r="B1242" s="563" t="s">
        <v>3753</v>
      </c>
      <c r="C1242" s="564" t="s">
        <v>1076</v>
      </c>
      <c r="D1242" s="565">
        <v>44601</v>
      </c>
      <c r="E1242" s="565">
        <v>44804</v>
      </c>
      <c r="F1242" s="566">
        <v>1096000</v>
      </c>
      <c r="G1242" s="564" t="s">
        <v>1077</v>
      </c>
      <c r="H1242" s="564" t="s">
        <v>1077</v>
      </c>
      <c r="I1242" s="564" t="s">
        <v>637</v>
      </c>
      <c r="J1242" s="564" t="s">
        <v>1069</v>
      </c>
      <c r="K1242" s="564" t="s">
        <v>1070</v>
      </c>
      <c r="L1242" s="564" t="s">
        <v>2098</v>
      </c>
      <c r="M1242" s="564" t="s">
        <v>2098</v>
      </c>
      <c r="N1242" s="564" t="s">
        <v>1082</v>
      </c>
      <c r="O1242" s="564" t="s">
        <v>2099</v>
      </c>
      <c r="P1242" s="23"/>
      <c r="Q1242" s="23"/>
      <c r="R1242" s="23"/>
      <c r="S1242" s="23"/>
      <c r="T1242" s="23"/>
      <c r="U1242" s="23"/>
      <c r="V1242" s="23"/>
      <c r="W1242" s="23"/>
      <c r="X1242" s="23"/>
      <c r="Y1242" s="23"/>
      <c r="Z1242" s="23"/>
    </row>
    <row r="1243" spans="1:26" ht="13">
      <c r="A1243" s="562" t="s">
        <v>3754</v>
      </c>
      <c r="B1243" s="563" t="s">
        <v>3755</v>
      </c>
      <c r="C1243" s="564" t="s">
        <v>353</v>
      </c>
      <c r="D1243" s="565">
        <v>44601</v>
      </c>
      <c r="E1243" s="565">
        <v>44620</v>
      </c>
      <c r="F1243" s="566">
        <v>20000000</v>
      </c>
      <c r="G1243" s="564" t="s">
        <v>1128</v>
      </c>
      <c r="H1243" s="564" t="s">
        <v>1128</v>
      </c>
      <c r="I1243" s="564" t="s">
        <v>45</v>
      </c>
      <c r="J1243" s="564" t="s">
        <v>1069</v>
      </c>
      <c r="K1243" s="564" t="s">
        <v>1090</v>
      </c>
      <c r="L1243" s="564" t="s">
        <v>2098</v>
      </c>
      <c r="M1243" s="564" t="s">
        <v>2098</v>
      </c>
      <c r="N1243" s="564" t="s">
        <v>45</v>
      </c>
      <c r="O1243" s="564" t="s">
        <v>2099</v>
      </c>
      <c r="P1243" s="23"/>
      <c r="Q1243" s="23"/>
      <c r="R1243" s="23"/>
      <c r="S1243" s="23"/>
      <c r="T1243" s="23"/>
      <c r="U1243" s="23"/>
      <c r="V1243" s="23"/>
      <c r="W1243" s="23"/>
      <c r="X1243" s="23"/>
      <c r="Y1243" s="23"/>
      <c r="Z1243" s="23"/>
    </row>
    <row r="1244" spans="1:26" ht="13">
      <c r="A1244" s="562" t="s">
        <v>3756</v>
      </c>
      <c r="B1244" s="563" t="s">
        <v>3757</v>
      </c>
      <c r="C1244" s="564" t="s">
        <v>1652</v>
      </c>
      <c r="D1244" s="565">
        <v>44601</v>
      </c>
      <c r="E1244" s="565">
        <v>44631</v>
      </c>
      <c r="F1244" s="566">
        <v>4344000</v>
      </c>
      <c r="G1244" s="564" t="s">
        <v>297</v>
      </c>
      <c r="H1244" s="564" t="s">
        <v>297</v>
      </c>
      <c r="I1244" s="564" t="s">
        <v>70</v>
      </c>
      <c r="J1244" s="564" t="s">
        <v>1069</v>
      </c>
      <c r="K1244" s="564" t="s">
        <v>1120</v>
      </c>
      <c r="L1244" s="564" t="s">
        <v>2098</v>
      </c>
      <c r="M1244" s="564" t="s">
        <v>2098</v>
      </c>
      <c r="N1244" s="564" t="s">
        <v>70</v>
      </c>
      <c r="O1244" s="564" t="s">
        <v>2099</v>
      </c>
      <c r="P1244" s="23"/>
      <c r="Q1244" s="23"/>
      <c r="R1244" s="23"/>
      <c r="S1244" s="23"/>
      <c r="T1244" s="23"/>
      <c r="U1244" s="23"/>
      <c r="V1244" s="23"/>
      <c r="W1244" s="23"/>
      <c r="X1244" s="23"/>
      <c r="Y1244" s="23"/>
      <c r="Z1244" s="23"/>
    </row>
    <row r="1245" spans="1:26" ht="13">
      <c r="A1245" s="562" t="s">
        <v>3758</v>
      </c>
      <c r="B1245" s="563" t="s">
        <v>3759</v>
      </c>
      <c r="C1245" s="564" t="s">
        <v>3378</v>
      </c>
      <c r="D1245" s="565">
        <v>44600</v>
      </c>
      <c r="E1245" s="565">
        <v>44631</v>
      </c>
      <c r="F1245" s="566">
        <v>1139000</v>
      </c>
      <c r="G1245" s="564" t="s">
        <v>297</v>
      </c>
      <c r="H1245" s="564" t="s">
        <v>297</v>
      </c>
      <c r="I1245" s="564" t="s">
        <v>1223</v>
      </c>
      <c r="J1245" s="564" t="s">
        <v>1069</v>
      </c>
      <c r="K1245" s="564" t="s">
        <v>1120</v>
      </c>
      <c r="L1245" s="564" t="s">
        <v>2098</v>
      </c>
      <c r="M1245" s="564" t="s">
        <v>2098</v>
      </c>
      <c r="N1245" s="564" t="s">
        <v>1073</v>
      </c>
      <c r="O1245" s="564" t="s">
        <v>2099</v>
      </c>
      <c r="P1245" s="23"/>
      <c r="Q1245" s="23"/>
      <c r="R1245" s="23"/>
      <c r="S1245" s="23"/>
      <c r="T1245" s="23"/>
      <c r="U1245" s="23"/>
      <c r="V1245" s="23"/>
      <c r="W1245" s="23"/>
      <c r="X1245" s="23"/>
      <c r="Y1245" s="23"/>
      <c r="Z1245" s="23"/>
    </row>
    <row r="1246" spans="1:26" ht="13">
      <c r="A1246" s="562" t="s">
        <v>3760</v>
      </c>
      <c r="B1246" s="563" t="s">
        <v>3761</v>
      </c>
      <c r="C1246" s="564" t="s">
        <v>1652</v>
      </c>
      <c r="D1246" s="565">
        <v>44599</v>
      </c>
      <c r="E1246" s="565">
        <v>44631</v>
      </c>
      <c r="F1246" s="566">
        <v>6829000</v>
      </c>
      <c r="G1246" s="564" t="s">
        <v>297</v>
      </c>
      <c r="H1246" s="564" t="s">
        <v>297</v>
      </c>
      <c r="I1246" s="564" t="s">
        <v>70</v>
      </c>
      <c r="J1246" s="564" t="s">
        <v>1069</v>
      </c>
      <c r="K1246" s="564" t="s">
        <v>1120</v>
      </c>
      <c r="L1246" s="564" t="s">
        <v>2098</v>
      </c>
      <c r="M1246" s="564" t="s">
        <v>2098</v>
      </c>
      <c r="N1246" s="564" t="s">
        <v>70</v>
      </c>
      <c r="O1246" s="564" t="s">
        <v>2099</v>
      </c>
      <c r="P1246" s="23"/>
      <c r="Q1246" s="23"/>
      <c r="R1246" s="23"/>
      <c r="S1246" s="23"/>
      <c r="T1246" s="23"/>
      <c r="U1246" s="23"/>
      <c r="V1246" s="23"/>
      <c r="W1246" s="23"/>
      <c r="X1246" s="23"/>
      <c r="Y1246" s="23"/>
      <c r="Z1246" s="23"/>
    </row>
    <row r="1247" spans="1:26" ht="13">
      <c r="A1247" s="562" t="s">
        <v>3762</v>
      </c>
      <c r="B1247" s="563" t="s">
        <v>3763</v>
      </c>
      <c r="C1247" s="564" t="s">
        <v>2322</v>
      </c>
      <c r="D1247" s="565">
        <v>44586</v>
      </c>
      <c r="E1247" s="565">
        <v>44651</v>
      </c>
      <c r="F1247" s="566">
        <v>7324000</v>
      </c>
      <c r="G1247" s="564" t="s">
        <v>1640</v>
      </c>
      <c r="H1247" s="564" t="s">
        <v>1640</v>
      </c>
      <c r="I1247" s="564" t="s">
        <v>45</v>
      </c>
      <c r="J1247" s="564" t="s">
        <v>1069</v>
      </c>
      <c r="K1247" s="564" t="s">
        <v>1090</v>
      </c>
      <c r="L1247" s="564" t="s">
        <v>2098</v>
      </c>
      <c r="M1247" s="564" t="s">
        <v>2098</v>
      </c>
      <c r="N1247" s="564" t="s">
        <v>45</v>
      </c>
      <c r="O1247" s="564" t="s">
        <v>2099</v>
      </c>
      <c r="P1247" s="23"/>
      <c r="Q1247" s="23"/>
      <c r="R1247" s="23"/>
      <c r="S1247" s="23"/>
      <c r="T1247" s="23"/>
      <c r="U1247" s="23"/>
      <c r="V1247" s="23"/>
      <c r="W1247" s="23"/>
      <c r="X1247" s="23"/>
      <c r="Y1247" s="23"/>
      <c r="Z1247" s="23"/>
    </row>
    <row r="1248" spans="1:26" ht="13">
      <c r="A1248" s="562" t="s">
        <v>3764</v>
      </c>
      <c r="B1248" s="563" t="s">
        <v>3765</v>
      </c>
      <c r="C1248" s="564" t="s">
        <v>1652</v>
      </c>
      <c r="D1248" s="565">
        <v>44589</v>
      </c>
      <c r="E1248" s="565">
        <v>44610</v>
      </c>
      <c r="F1248" s="566">
        <v>2356000</v>
      </c>
      <c r="G1248" s="564" t="s">
        <v>297</v>
      </c>
      <c r="H1248" s="564" t="s">
        <v>297</v>
      </c>
      <c r="I1248" s="564" t="s">
        <v>70</v>
      </c>
      <c r="J1248" s="564" t="s">
        <v>1069</v>
      </c>
      <c r="K1248" s="564" t="s">
        <v>1120</v>
      </c>
      <c r="L1248" s="564" t="s">
        <v>2098</v>
      </c>
      <c r="M1248" s="564" t="s">
        <v>2098</v>
      </c>
      <c r="N1248" s="564" t="s">
        <v>70</v>
      </c>
      <c r="O1248" s="564" t="s">
        <v>2099</v>
      </c>
      <c r="P1248" s="23"/>
      <c r="Q1248" s="23"/>
      <c r="R1248" s="23"/>
      <c r="S1248" s="23"/>
      <c r="T1248" s="23"/>
      <c r="U1248" s="23"/>
      <c r="V1248" s="23"/>
      <c r="W1248" s="23"/>
      <c r="X1248" s="23"/>
      <c r="Y1248" s="23"/>
      <c r="Z1248" s="23"/>
    </row>
    <row r="1249" spans="1:26" ht="13">
      <c r="A1249" s="562" t="s">
        <v>3766</v>
      </c>
      <c r="B1249" s="563" t="s">
        <v>3767</v>
      </c>
      <c r="C1249" s="564" t="s">
        <v>1076</v>
      </c>
      <c r="D1249" s="565">
        <v>44586</v>
      </c>
      <c r="E1249" s="565">
        <v>44773</v>
      </c>
      <c r="F1249" s="566">
        <v>1986000</v>
      </c>
      <c r="G1249" s="564" t="s">
        <v>1077</v>
      </c>
      <c r="H1249" s="564" t="s">
        <v>1077</v>
      </c>
      <c r="I1249" s="564" t="s">
        <v>637</v>
      </c>
      <c r="J1249" s="564" t="s">
        <v>1069</v>
      </c>
      <c r="K1249" s="564" t="s">
        <v>1070</v>
      </c>
      <c r="L1249" s="564" t="s">
        <v>2098</v>
      </c>
      <c r="M1249" s="564" t="s">
        <v>2098</v>
      </c>
      <c r="N1249" s="564" t="s">
        <v>1082</v>
      </c>
      <c r="O1249" s="564" t="s">
        <v>2099</v>
      </c>
      <c r="P1249" s="23"/>
      <c r="Q1249" s="23"/>
      <c r="R1249" s="23"/>
      <c r="S1249" s="23"/>
      <c r="T1249" s="23"/>
      <c r="U1249" s="23"/>
      <c r="V1249" s="23"/>
      <c r="W1249" s="23"/>
      <c r="X1249" s="23"/>
      <c r="Y1249" s="23"/>
      <c r="Z1249" s="23"/>
    </row>
    <row r="1250" spans="1:26" ht="13">
      <c r="A1250" s="562" t="s">
        <v>3768</v>
      </c>
      <c r="B1250" s="563" t="s">
        <v>3769</v>
      </c>
      <c r="C1250" s="564" t="s">
        <v>353</v>
      </c>
      <c r="D1250" s="565">
        <v>44586</v>
      </c>
      <c r="E1250" s="565">
        <v>44596</v>
      </c>
      <c r="F1250" s="566">
        <v>297000</v>
      </c>
      <c r="G1250" s="564" t="s">
        <v>297</v>
      </c>
      <c r="H1250" s="564" t="s">
        <v>297</v>
      </c>
      <c r="I1250" s="564" t="s">
        <v>64</v>
      </c>
      <c r="J1250" s="564" t="s">
        <v>1069</v>
      </c>
      <c r="K1250" s="564" t="s">
        <v>1090</v>
      </c>
      <c r="L1250" s="564" t="s">
        <v>2098</v>
      </c>
      <c r="M1250" s="564" t="s">
        <v>2098</v>
      </c>
      <c r="N1250" s="564" t="s">
        <v>64</v>
      </c>
      <c r="O1250" s="564" t="s">
        <v>2099</v>
      </c>
      <c r="P1250" s="23"/>
      <c r="Q1250" s="23"/>
      <c r="R1250" s="23"/>
      <c r="S1250" s="23"/>
      <c r="T1250" s="23"/>
      <c r="U1250" s="23"/>
      <c r="V1250" s="23"/>
      <c r="W1250" s="23"/>
      <c r="X1250" s="23"/>
      <c r="Y1250" s="23"/>
      <c r="Z1250" s="23"/>
    </row>
    <row r="1251" spans="1:26" ht="13">
      <c r="A1251" s="562" t="s">
        <v>3770</v>
      </c>
      <c r="B1251" s="563" t="s">
        <v>3771</v>
      </c>
      <c r="C1251" s="564" t="s">
        <v>1652</v>
      </c>
      <c r="D1251" s="565">
        <v>44587</v>
      </c>
      <c r="E1251" s="565">
        <v>44610</v>
      </c>
      <c r="F1251" s="566">
        <v>88000</v>
      </c>
      <c r="G1251" s="564" t="s">
        <v>297</v>
      </c>
      <c r="H1251" s="564" t="s">
        <v>297</v>
      </c>
      <c r="I1251" s="564" t="s">
        <v>70</v>
      </c>
      <c r="J1251" s="564" t="s">
        <v>1069</v>
      </c>
      <c r="K1251" s="564" t="s">
        <v>1120</v>
      </c>
      <c r="L1251" s="564" t="s">
        <v>2098</v>
      </c>
      <c r="M1251" s="564" t="s">
        <v>2098</v>
      </c>
      <c r="N1251" s="564" t="s">
        <v>70</v>
      </c>
      <c r="O1251" s="564" t="s">
        <v>2099</v>
      </c>
      <c r="P1251" s="23"/>
      <c r="Q1251" s="23"/>
      <c r="R1251" s="23"/>
      <c r="S1251" s="23"/>
      <c r="T1251" s="23"/>
      <c r="U1251" s="23"/>
      <c r="V1251" s="23"/>
      <c r="W1251" s="23"/>
      <c r="X1251" s="23"/>
      <c r="Y1251" s="23"/>
      <c r="Z1251" s="23"/>
    </row>
    <row r="1252" spans="1:26" ht="13">
      <c r="A1252" s="562" t="s">
        <v>3772</v>
      </c>
      <c r="B1252" s="563" t="s">
        <v>3773</v>
      </c>
      <c r="C1252" s="564" t="s">
        <v>1652</v>
      </c>
      <c r="D1252" s="565">
        <v>44582</v>
      </c>
      <c r="E1252" s="565">
        <v>44620</v>
      </c>
      <c r="F1252" s="566">
        <v>12528000</v>
      </c>
      <c r="G1252" s="564" t="s">
        <v>297</v>
      </c>
      <c r="H1252" s="564" t="s">
        <v>297</v>
      </c>
      <c r="I1252" s="564" t="s">
        <v>107</v>
      </c>
      <c r="J1252" s="564" t="s">
        <v>1069</v>
      </c>
      <c r="K1252" s="564" t="s">
        <v>1120</v>
      </c>
      <c r="L1252" s="564" t="s">
        <v>2098</v>
      </c>
      <c r="M1252" s="564" t="s">
        <v>2098</v>
      </c>
      <c r="N1252" s="564" t="s">
        <v>1073</v>
      </c>
      <c r="O1252" s="564" t="s">
        <v>2099</v>
      </c>
      <c r="P1252" s="23"/>
      <c r="Q1252" s="23"/>
      <c r="R1252" s="23"/>
      <c r="S1252" s="23"/>
      <c r="T1252" s="23"/>
      <c r="U1252" s="23"/>
      <c r="V1252" s="23"/>
      <c r="W1252" s="23"/>
      <c r="X1252" s="23"/>
      <c r="Y1252" s="23"/>
      <c r="Z1252" s="23"/>
    </row>
    <row r="1253" spans="1:26" ht="13">
      <c r="A1253" s="562" t="s">
        <v>3774</v>
      </c>
      <c r="B1253" s="563" t="s">
        <v>3775</v>
      </c>
      <c r="C1253" s="564" t="s">
        <v>1652</v>
      </c>
      <c r="D1253" s="565">
        <v>44575</v>
      </c>
      <c r="E1253" s="565">
        <v>44603</v>
      </c>
      <c r="F1253" s="566">
        <v>1448000</v>
      </c>
      <c r="G1253" s="564" t="s">
        <v>297</v>
      </c>
      <c r="H1253" s="564" t="s">
        <v>297</v>
      </c>
      <c r="I1253" s="564" t="s">
        <v>70</v>
      </c>
      <c r="J1253" s="564" t="s">
        <v>1069</v>
      </c>
      <c r="K1253" s="564" t="s">
        <v>1120</v>
      </c>
      <c r="L1253" s="564" t="s">
        <v>2098</v>
      </c>
      <c r="M1253" s="564" t="s">
        <v>2098</v>
      </c>
      <c r="N1253" s="564" t="s">
        <v>70</v>
      </c>
      <c r="O1253" s="564" t="s">
        <v>2099</v>
      </c>
      <c r="P1253" s="23"/>
      <c r="Q1253" s="23"/>
      <c r="R1253" s="23"/>
      <c r="S1253" s="23"/>
      <c r="T1253" s="23"/>
      <c r="U1253" s="23"/>
      <c r="V1253" s="23"/>
      <c r="W1253" s="23"/>
      <c r="X1253" s="23"/>
      <c r="Y1253" s="23"/>
      <c r="Z1253" s="23"/>
    </row>
    <row r="1254" spans="1:26" ht="13">
      <c r="A1254" s="562" t="s">
        <v>3776</v>
      </c>
      <c r="B1254" s="563" t="s">
        <v>3777</v>
      </c>
      <c r="C1254" s="564" t="s">
        <v>1652</v>
      </c>
      <c r="D1254" s="565">
        <v>44572</v>
      </c>
      <c r="E1254" s="565">
        <v>44603</v>
      </c>
      <c r="F1254" s="566">
        <v>1448000</v>
      </c>
      <c r="G1254" s="564" t="s">
        <v>297</v>
      </c>
      <c r="H1254" s="564" t="s">
        <v>297</v>
      </c>
      <c r="I1254" s="564" t="s">
        <v>70</v>
      </c>
      <c r="J1254" s="564" t="s">
        <v>1069</v>
      </c>
      <c r="K1254" s="564" t="s">
        <v>1120</v>
      </c>
      <c r="L1254" s="564" t="s">
        <v>2098</v>
      </c>
      <c r="M1254" s="564" t="s">
        <v>2098</v>
      </c>
      <c r="N1254" s="564" t="s">
        <v>70</v>
      </c>
      <c r="O1254" s="564" t="s">
        <v>2099</v>
      </c>
      <c r="P1254" s="23"/>
      <c r="Q1254" s="23"/>
      <c r="R1254" s="23"/>
      <c r="S1254" s="23"/>
      <c r="T1254" s="23"/>
      <c r="U1254" s="23"/>
      <c r="V1254" s="23"/>
      <c r="W1254" s="23"/>
      <c r="X1254" s="23"/>
      <c r="Y1254" s="23"/>
      <c r="Z1254" s="23"/>
    </row>
    <row r="1255" spans="1:26" ht="13">
      <c r="A1255" s="562" t="s">
        <v>3778</v>
      </c>
      <c r="B1255" s="563" t="s">
        <v>3779</v>
      </c>
      <c r="C1255" s="564" t="s">
        <v>1652</v>
      </c>
      <c r="D1255" s="565">
        <v>44572</v>
      </c>
      <c r="E1255" s="565">
        <v>44602</v>
      </c>
      <c r="F1255" s="566">
        <v>1084000</v>
      </c>
      <c r="G1255" s="564" t="s">
        <v>297</v>
      </c>
      <c r="H1255" s="564" t="s">
        <v>297</v>
      </c>
      <c r="I1255" s="564" t="s">
        <v>1223</v>
      </c>
      <c r="J1255" s="564" t="s">
        <v>1069</v>
      </c>
      <c r="K1255" s="564" t="s">
        <v>1120</v>
      </c>
      <c r="L1255" s="564" t="s">
        <v>2098</v>
      </c>
      <c r="M1255" s="564" t="s">
        <v>2098</v>
      </c>
      <c r="N1255" s="564" t="s">
        <v>1073</v>
      </c>
      <c r="O1255" s="564" t="s">
        <v>2099</v>
      </c>
      <c r="P1255" s="23"/>
      <c r="Q1255" s="23"/>
      <c r="R1255" s="23"/>
      <c r="S1255" s="23"/>
      <c r="T1255" s="23"/>
      <c r="U1255" s="23"/>
      <c r="V1255" s="23"/>
      <c r="W1255" s="23"/>
      <c r="X1255" s="23"/>
      <c r="Y1255" s="23"/>
      <c r="Z1255" s="23"/>
    </row>
    <row r="1256" spans="1:26" ht="13">
      <c r="A1256" s="562" t="s">
        <v>3780</v>
      </c>
      <c r="B1256" s="563" t="s">
        <v>3781</v>
      </c>
      <c r="C1256" s="564" t="s">
        <v>1652</v>
      </c>
      <c r="D1256" s="565">
        <v>44568</v>
      </c>
      <c r="E1256" s="565">
        <v>44592</v>
      </c>
      <c r="F1256" s="566">
        <v>176000</v>
      </c>
      <c r="G1256" s="564" t="s">
        <v>297</v>
      </c>
      <c r="H1256" s="564" t="s">
        <v>297</v>
      </c>
      <c r="I1256" s="564" t="s">
        <v>70</v>
      </c>
      <c r="J1256" s="564" t="s">
        <v>1069</v>
      </c>
      <c r="K1256" s="564" t="s">
        <v>1120</v>
      </c>
      <c r="L1256" s="564" t="s">
        <v>2098</v>
      </c>
      <c r="M1256" s="564" t="s">
        <v>2098</v>
      </c>
      <c r="N1256" s="564" t="s">
        <v>70</v>
      </c>
      <c r="O1256" s="564" t="s">
        <v>2099</v>
      </c>
      <c r="P1256" s="23"/>
      <c r="Q1256" s="23"/>
      <c r="R1256" s="23"/>
      <c r="S1256" s="23"/>
      <c r="T1256" s="23"/>
      <c r="U1256" s="23"/>
      <c r="V1256" s="23"/>
      <c r="W1256" s="23"/>
      <c r="X1256" s="23"/>
      <c r="Y1256" s="23"/>
      <c r="Z1256" s="23"/>
    </row>
    <row r="1257" spans="1:26" ht="13">
      <c r="A1257" s="562" t="s">
        <v>3782</v>
      </c>
      <c r="B1257" s="563" t="s">
        <v>3783</v>
      </c>
      <c r="C1257" s="564" t="s">
        <v>1652</v>
      </c>
      <c r="D1257" s="565">
        <v>44566</v>
      </c>
      <c r="E1257" s="565">
        <v>44589</v>
      </c>
      <c r="F1257" s="566">
        <v>2808000</v>
      </c>
      <c r="G1257" s="564" t="s">
        <v>297</v>
      </c>
      <c r="H1257" s="564" t="s">
        <v>297</v>
      </c>
      <c r="I1257" s="564" t="s">
        <v>70</v>
      </c>
      <c r="J1257" s="564" t="s">
        <v>1069</v>
      </c>
      <c r="K1257" s="564" t="s">
        <v>1120</v>
      </c>
      <c r="L1257" s="564" t="s">
        <v>2098</v>
      </c>
      <c r="M1257" s="564" t="s">
        <v>2098</v>
      </c>
      <c r="N1257" s="564" t="s">
        <v>70</v>
      </c>
      <c r="O1257" s="564" t="s">
        <v>2099</v>
      </c>
      <c r="P1257" s="23"/>
      <c r="Q1257" s="23"/>
      <c r="R1257" s="23"/>
      <c r="S1257" s="23"/>
      <c r="T1257" s="23"/>
      <c r="U1257" s="23"/>
      <c r="V1257" s="23"/>
      <c r="W1257" s="23"/>
      <c r="X1257" s="23"/>
      <c r="Y1257" s="23"/>
      <c r="Z1257" s="23"/>
    </row>
    <row r="1258" spans="1:26" ht="13">
      <c r="A1258" s="562" t="s">
        <v>3784</v>
      </c>
      <c r="B1258" s="563" t="s">
        <v>3785</v>
      </c>
      <c r="C1258" s="564" t="s">
        <v>1652</v>
      </c>
      <c r="D1258" s="565">
        <v>44566</v>
      </c>
      <c r="E1258" s="565">
        <v>44589</v>
      </c>
      <c r="F1258" s="566">
        <v>176000</v>
      </c>
      <c r="G1258" s="564" t="s">
        <v>297</v>
      </c>
      <c r="H1258" s="564" t="s">
        <v>297</v>
      </c>
      <c r="I1258" s="564" t="s">
        <v>70</v>
      </c>
      <c r="J1258" s="564" t="s">
        <v>1069</v>
      </c>
      <c r="K1258" s="564" t="s">
        <v>1120</v>
      </c>
      <c r="L1258" s="564" t="s">
        <v>2098</v>
      </c>
      <c r="M1258" s="564" t="s">
        <v>2098</v>
      </c>
      <c r="N1258" s="564" t="s">
        <v>70</v>
      </c>
      <c r="O1258" s="564" t="s">
        <v>2099</v>
      </c>
      <c r="P1258" s="23"/>
      <c r="Q1258" s="23"/>
      <c r="R1258" s="23"/>
      <c r="S1258" s="23"/>
      <c r="T1258" s="23"/>
      <c r="U1258" s="23"/>
      <c r="V1258" s="23"/>
      <c r="W1258" s="23"/>
      <c r="X1258" s="23"/>
      <c r="Y1258" s="23"/>
      <c r="Z1258" s="23"/>
    </row>
    <row r="1259" spans="1:26" ht="13">
      <c r="A1259" s="562" t="s">
        <v>3786</v>
      </c>
      <c r="B1259" s="563" t="s">
        <v>3787</v>
      </c>
      <c r="C1259" s="564" t="s">
        <v>1652</v>
      </c>
      <c r="D1259" s="565">
        <v>44564</v>
      </c>
      <c r="E1259" s="565">
        <v>44582</v>
      </c>
      <c r="F1259" s="566">
        <v>4080000</v>
      </c>
      <c r="G1259" s="564" t="s">
        <v>297</v>
      </c>
      <c r="H1259" s="564" t="s">
        <v>297</v>
      </c>
      <c r="I1259" s="564" t="s">
        <v>70</v>
      </c>
      <c r="J1259" s="564" t="s">
        <v>1069</v>
      </c>
      <c r="K1259" s="564" t="s">
        <v>1120</v>
      </c>
      <c r="L1259" s="564" t="s">
        <v>2098</v>
      </c>
      <c r="M1259" s="564" t="s">
        <v>2098</v>
      </c>
      <c r="N1259" s="564" t="s">
        <v>70</v>
      </c>
      <c r="O1259" s="564" t="s">
        <v>2099</v>
      </c>
      <c r="P1259" s="23"/>
      <c r="Q1259" s="23"/>
      <c r="R1259" s="23"/>
      <c r="S1259" s="23"/>
      <c r="T1259" s="23"/>
      <c r="U1259" s="23"/>
      <c r="V1259" s="23"/>
      <c r="W1259" s="23"/>
      <c r="X1259" s="23"/>
      <c r="Y1259" s="23"/>
      <c r="Z1259" s="23"/>
    </row>
    <row r="1260" spans="1:26" ht="13">
      <c r="A1260" s="562" t="s">
        <v>3788</v>
      </c>
      <c r="B1260" s="563" t="s">
        <v>3789</v>
      </c>
      <c r="C1260" s="564" t="s">
        <v>1652</v>
      </c>
      <c r="D1260" s="565">
        <v>44564</v>
      </c>
      <c r="E1260" s="565">
        <v>44575</v>
      </c>
      <c r="F1260" s="566">
        <v>2720000</v>
      </c>
      <c r="G1260" s="564" t="s">
        <v>297</v>
      </c>
      <c r="H1260" s="564" t="s">
        <v>297</v>
      </c>
      <c r="I1260" s="564" t="s">
        <v>70</v>
      </c>
      <c r="J1260" s="564" t="s">
        <v>1069</v>
      </c>
      <c r="K1260" s="564" t="s">
        <v>1120</v>
      </c>
      <c r="L1260" s="564" t="s">
        <v>2098</v>
      </c>
      <c r="M1260" s="564" t="s">
        <v>2098</v>
      </c>
      <c r="N1260" s="564" t="s">
        <v>70</v>
      </c>
      <c r="O1260" s="564" t="s">
        <v>2099</v>
      </c>
      <c r="P1260" s="23"/>
      <c r="Q1260" s="23"/>
      <c r="R1260" s="23"/>
      <c r="S1260" s="23"/>
      <c r="T1260" s="23"/>
      <c r="U1260" s="23"/>
      <c r="V1260" s="23"/>
      <c r="W1260" s="23"/>
      <c r="X1260" s="23"/>
      <c r="Y1260" s="23"/>
      <c r="Z1260" s="23"/>
    </row>
    <row r="1261" spans="1:26" ht="13">
      <c r="A1261" s="562" t="s">
        <v>3790</v>
      </c>
      <c r="B1261" s="563" t="s">
        <v>3791</v>
      </c>
      <c r="C1261" s="564" t="s">
        <v>1652</v>
      </c>
      <c r="D1261" s="565">
        <v>44564</v>
      </c>
      <c r="E1261" s="565">
        <v>44589</v>
      </c>
      <c r="F1261" s="566">
        <v>3400000</v>
      </c>
      <c r="G1261" s="564" t="s">
        <v>297</v>
      </c>
      <c r="H1261" s="564" t="s">
        <v>297</v>
      </c>
      <c r="I1261" s="564" t="s">
        <v>70</v>
      </c>
      <c r="J1261" s="564" t="s">
        <v>1069</v>
      </c>
      <c r="K1261" s="564" t="s">
        <v>1120</v>
      </c>
      <c r="L1261" s="564" t="s">
        <v>2098</v>
      </c>
      <c r="M1261" s="564" t="s">
        <v>2098</v>
      </c>
      <c r="N1261" s="564" t="s">
        <v>70</v>
      </c>
      <c r="O1261" s="564" t="s">
        <v>2099</v>
      </c>
      <c r="P1261" s="23"/>
      <c r="Q1261" s="23"/>
      <c r="R1261" s="23"/>
      <c r="S1261" s="23"/>
      <c r="T1261" s="23"/>
      <c r="U1261" s="23"/>
      <c r="V1261" s="23"/>
      <c r="W1261" s="23"/>
      <c r="X1261" s="23"/>
      <c r="Y1261" s="23"/>
      <c r="Z1261" s="23"/>
    </row>
    <row r="1262" spans="1:26" ht="13">
      <c r="A1262" s="562" t="s">
        <v>3792</v>
      </c>
      <c r="B1262" s="563" t="s">
        <v>3793</v>
      </c>
      <c r="C1262" s="564" t="s">
        <v>1076</v>
      </c>
      <c r="D1262" s="565">
        <v>44564</v>
      </c>
      <c r="E1262" s="565">
        <v>44773</v>
      </c>
      <c r="F1262" s="566">
        <v>1987000</v>
      </c>
      <c r="G1262" s="564" t="s">
        <v>1077</v>
      </c>
      <c r="H1262" s="564" t="s">
        <v>1077</v>
      </c>
      <c r="I1262" s="564" t="s">
        <v>637</v>
      </c>
      <c r="J1262" s="564" t="s">
        <v>1069</v>
      </c>
      <c r="K1262" s="564" t="s">
        <v>1070</v>
      </c>
      <c r="L1262" s="564" t="s">
        <v>2098</v>
      </c>
      <c r="M1262" s="564" t="s">
        <v>2098</v>
      </c>
      <c r="N1262" s="564" t="s">
        <v>1082</v>
      </c>
      <c r="O1262" s="564" t="s">
        <v>2099</v>
      </c>
      <c r="P1262" s="23"/>
      <c r="Q1262" s="23"/>
      <c r="R1262" s="23"/>
      <c r="S1262" s="23"/>
      <c r="T1262" s="23"/>
      <c r="U1262" s="23"/>
      <c r="V1262" s="23"/>
      <c r="W1262" s="23"/>
      <c r="X1262" s="23"/>
      <c r="Y1262" s="23"/>
      <c r="Z1262" s="23"/>
    </row>
    <row r="1263" spans="1:26" ht="13">
      <c r="A1263" s="562" t="s">
        <v>3794</v>
      </c>
      <c r="B1263" s="563" t="s">
        <v>3795</v>
      </c>
      <c r="C1263" s="564" t="s">
        <v>1652</v>
      </c>
      <c r="D1263" s="565">
        <v>44559</v>
      </c>
      <c r="E1263" s="565">
        <v>44575</v>
      </c>
      <c r="F1263" s="566">
        <v>264000</v>
      </c>
      <c r="G1263" s="564" t="s">
        <v>297</v>
      </c>
      <c r="H1263" s="564" t="s">
        <v>297</v>
      </c>
      <c r="I1263" s="564" t="s">
        <v>70</v>
      </c>
      <c r="J1263" s="564" t="s">
        <v>1069</v>
      </c>
      <c r="K1263" s="564" t="s">
        <v>1120</v>
      </c>
      <c r="L1263" s="564" t="s">
        <v>2098</v>
      </c>
      <c r="M1263" s="564" t="s">
        <v>2098</v>
      </c>
      <c r="N1263" s="564" t="s">
        <v>70</v>
      </c>
      <c r="O1263" s="564" t="s">
        <v>2099</v>
      </c>
      <c r="P1263" s="23"/>
      <c r="Q1263" s="23"/>
      <c r="R1263" s="23"/>
      <c r="S1263" s="23"/>
      <c r="T1263" s="23"/>
      <c r="U1263" s="23"/>
      <c r="V1263" s="23"/>
      <c r="W1263" s="23"/>
      <c r="X1263" s="23"/>
      <c r="Y1263" s="23"/>
      <c r="Z1263" s="23"/>
    </row>
    <row r="1264" spans="1:26" ht="13">
      <c r="A1264" s="562" t="s">
        <v>3796</v>
      </c>
      <c r="B1264" s="563" t="s">
        <v>3344</v>
      </c>
      <c r="C1264" s="564" t="s">
        <v>1475</v>
      </c>
      <c r="D1264" s="565">
        <v>44557</v>
      </c>
      <c r="E1264" s="565">
        <v>44596</v>
      </c>
      <c r="F1264" s="566">
        <v>540600</v>
      </c>
      <c r="G1264" s="564" t="s">
        <v>297</v>
      </c>
      <c r="H1264" s="564" t="s">
        <v>297</v>
      </c>
      <c r="I1264" s="564" t="s">
        <v>125</v>
      </c>
      <c r="J1264" s="564" t="s">
        <v>1069</v>
      </c>
      <c r="K1264" s="564" t="s">
        <v>1070</v>
      </c>
      <c r="L1264" s="564" t="s">
        <v>2098</v>
      </c>
      <c r="M1264" s="564" t="s">
        <v>2098</v>
      </c>
      <c r="N1264" s="564" t="s">
        <v>1073</v>
      </c>
      <c r="O1264" s="564" t="s">
        <v>2099</v>
      </c>
      <c r="P1264" s="23"/>
      <c r="Q1264" s="23"/>
      <c r="R1264" s="23"/>
      <c r="S1264" s="23"/>
      <c r="T1264" s="23"/>
      <c r="U1264" s="23"/>
      <c r="V1264" s="23"/>
      <c r="W1264" s="23"/>
      <c r="X1264" s="23"/>
      <c r="Y1264" s="23"/>
      <c r="Z1264" s="23"/>
    </row>
    <row r="1265" spans="1:26" ht="13">
      <c r="A1265" s="562" t="s">
        <v>3797</v>
      </c>
      <c r="B1265" s="563" t="s">
        <v>3798</v>
      </c>
      <c r="C1265" s="564" t="s">
        <v>1652</v>
      </c>
      <c r="D1265" s="565">
        <v>44553</v>
      </c>
      <c r="E1265" s="565">
        <v>44575</v>
      </c>
      <c r="F1265" s="566">
        <v>9608000</v>
      </c>
      <c r="G1265" s="564" t="s">
        <v>297</v>
      </c>
      <c r="H1265" s="564" t="s">
        <v>297</v>
      </c>
      <c r="I1265" s="564" t="s">
        <v>70</v>
      </c>
      <c r="J1265" s="564" t="s">
        <v>1069</v>
      </c>
      <c r="K1265" s="564" t="s">
        <v>1120</v>
      </c>
      <c r="L1265" s="564" t="s">
        <v>2098</v>
      </c>
      <c r="M1265" s="564" t="s">
        <v>2098</v>
      </c>
      <c r="N1265" s="564" t="s">
        <v>70</v>
      </c>
      <c r="O1265" s="564" t="s">
        <v>2099</v>
      </c>
      <c r="P1265" s="23"/>
      <c r="Q1265" s="23"/>
      <c r="R1265" s="23"/>
      <c r="S1265" s="23"/>
      <c r="T1265" s="23"/>
      <c r="U1265" s="23"/>
      <c r="V1265" s="23"/>
      <c r="W1265" s="23"/>
      <c r="X1265" s="23"/>
      <c r="Y1265" s="23"/>
      <c r="Z1265" s="23"/>
    </row>
    <row r="1266" spans="1:26" ht="13">
      <c r="A1266" s="562" t="s">
        <v>3799</v>
      </c>
      <c r="B1266" s="563" t="s">
        <v>3800</v>
      </c>
      <c r="C1266" s="564" t="s">
        <v>353</v>
      </c>
      <c r="D1266" s="565">
        <v>44547</v>
      </c>
      <c r="E1266" s="565">
        <v>44712</v>
      </c>
      <c r="F1266" s="566">
        <v>243890000</v>
      </c>
      <c r="G1266" s="564" t="s">
        <v>1182</v>
      </c>
      <c r="H1266" s="564" t="s">
        <v>1182</v>
      </c>
      <c r="I1266" s="564" t="s">
        <v>3801</v>
      </c>
      <c r="J1266" s="564" t="s">
        <v>1069</v>
      </c>
      <c r="K1266" s="564" t="s">
        <v>1802</v>
      </c>
      <c r="L1266" s="564" t="s">
        <v>2098</v>
      </c>
      <c r="M1266" s="564" t="s">
        <v>2098</v>
      </c>
      <c r="N1266" s="564" t="s">
        <v>1082</v>
      </c>
      <c r="O1266" s="564" t="s">
        <v>2099</v>
      </c>
      <c r="P1266" s="23"/>
      <c r="Q1266" s="23"/>
      <c r="R1266" s="23"/>
      <c r="S1266" s="23"/>
      <c r="T1266" s="23"/>
      <c r="U1266" s="23"/>
      <c r="V1266" s="23"/>
      <c r="W1266" s="23"/>
      <c r="X1266" s="23"/>
      <c r="Y1266" s="23"/>
      <c r="Z1266" s="23"/>
    </row>
    <row r="1267" spans="1:26" ht="13">
      <c r="A1267" s="562" t="s">
        <v>3802</v>
      </c>
      <c r="B1267" s="563" t="s">
        <v>3803</v>
      </c>
      <c r="C1267" s="564" t="s">
        <v>1652</v>
      </c>
      <c r="D1267" s="565">
        <v>44550</v>
      </c>
      <c r="E1267" s="565">
        <v>44561</v>
      </c>
      <c r="F1267" s="566">
        <v>1448000</v>
      </c>
      <c r="G1267" s="564" t="s">
        <v>297</v>
      </c>
      <c r="H1267" s="564" t="s">
        <v>297</v>
      </c>
      <c r="I1267" s="564" t="s">
        <v>70</v>
      </c>
      <c r="J1267" s="564" t="s">
        <v>1069</v>
      </c>
      <c r="K1267" s="564" t="s">
        <v>1120</v>
      </c>
      <c r="L1267" s="564" t="s">
        <v>2098</v>
      </c>
      <c r="M1267" s="564" t="s">
        <v>2098</v>
      </c>
      <c r="N1267" s="564" t="s">
        <v>70</v>
      </c>
      <c r="O1267" s="564" t="s">
        <v>2099</v>
      </c>
      <c r="P1267" s="23"/>
      <c r="Q1267" s="23"/>
      <c r="R1267" s="23"/>
      <c r="S1267" s="23"/>
      <c r="T1267" s="23"/>
      <c r="U1267" s="23"/>
      <c r="V1267" s="23"/>
      <c r="W1267" s="23"/>
      <c r="X1267" s="23"/>
      <c r="Y1267" s="23"/>
      <c r="Z1267" s="23"/>
    </row>
    <row r="1268" spans="1:26" ht="13">
      <c r="A1268" s="562" t="s">
        <v>3804</v>
      </c>
      <c r="B1268" s="563" t="s">
        <v>3805</v>
      </c>
      <c r="C1268" s="564" t="s">
        <v>1652</v>
      </c>
      <c r="D1268" s="565">
        <v>44550</v>
      </c>
      <c r="E1268" s="565">
        <v>44561</v>
      </c>
      <c r="F1268" s="566">
        <v>2896000</v>
      </c>
      <c r="G1268" s="564" t="s">
        <v>297</v>
      </c>
      <c r="H1268" s="564" t="s">
        <v>297</v>
      </c>
      <c r="I1268" s="564" t="s">
        <v>70</v>
      </c>
      <c r="J1268" s="564" t="s">
        <v>1069</v>
      </c>
      <c r="K1268" s="564" t="s">
        <v>1120</v>
      </c>
      <c r="L1268" s="564" t="s">
        <v>2098</v>
      </c>
      <c r="M1268" s="564" t="s">
        <v>2098</v>
      </c>
      <c r="N1268" s="564" t="s">
        <v>70</v>
      </c>
      <c r="O1268" s="564" t="s">
        <v>2099</v>
      </c>
      <c r="P1268" s="23"/>
      <c r="Q1268" s="23"/>
      <c r="R1268" s="23"/>
      <c r="S1268" s="23"/>
      <c r="T1268" s="23"/>
      <c r="U1268" s="23"/>
      <c r="V1268" s="23"/>
      <c r="W1268" s="23"/>
      <c r="X1268" s="23"/>
      <c r="Y1268" s="23"/>
      <c r="Z1268" s="23"/>
    </row>
    <row r="1269" spans="1:26" ht="13">
      <c r="A1269" s="562" t="s">
        <v>3806</v>
      </c>
      <c r="B1269" s="563" t="s">
        <v>3807</v>
      </c>
      <c r="C1269" s="564" t="s">
        <v>1652</v>
      </c>
      <c r="D1269" s="565">
        <v>44547</v>
      </c>
      <c r="E1269" s="565">
        <v>44561</v>
      </c>
      <c r="F1269" s="566">
        <v>2200000</v>
      </c>
      <c r="G1269" s="564" t="s">
        <v>297</v>
      </c>
      <c r="H1269" s="564" t="s">
        <v>297</v>
      </c>
      <c r="I1269" s="564" t="s">
        <v>70</v>
      </c>
      <c r="J1269" s="564" t="s">
        <v>1069</v>
      </c>
      <c r="K1269" s="564" t="s">
        <v>1120</v>
      </c>
      <c r="L1269" s="564" t="s">
        <v>2098</v>
      </c>
      <c r="M1269" s="564" t="s">
        <v>2098</v>
      </c>
      <c r="N1269" s="564" t="s">
        <v>70</v>
      </c>
      <c r="O1269" s="564" t="s">
        <v>2099</v>
      </c>
      <c r="P1269" s="23"/>
      <c r="Q1269" s="23"/>
      <c r="R1269" s="23"/>
      <c r="S1269" s="23"/>
      <c r="T1269" s="23"/>
      <c r="U1269" s="23"/>
      <c r="V1269" s="23"/>
      <c r="W1269" s="23"/>
      <c r="X1269" s="23"/>
      <c r="Y1269" s="23"/>
      <c r="Z1269" s="23"/>
    </row>
    <row r="1270" spans="1:26" ht="13">
      <c r="A1270" s="562" t="s">
        <v>3808</v>
      </c>
      <c r="B1270" s="563" t="s">
        <v>3809</v>
      </c>
      <c r="C1270" s="564" t="s">
        <v>1652</v>
      </c>
      <c r="D1270" s="565">
        <v>44550</v>
      </c>
      <c r="E1270" s="565">
        <v>44561</v>
      </c>
      <c r="F1270" s="566">
        <v>4344000</v>
      </c>
      <c r="G1270" s="564" t="s">
        <v>297</v>
      </c>
      <c r="H1270" s="564" t="s">
        <v>297</v>
      </c>
      <c r="I1270" s="564" t="s">
        <v>70</v>
      </c>
      <c r="J1270" s="564" t="s">
        <v>1069</v>
      </c>
      <c r="K1270" s="564" t="s">
        <v>1120</v>
      </c>
      <c r="L1270" s="564" t="s">
        <v>2098</v>
      </c>
      <c r="M1270" s="564" t="s">
        <v>2098</v>
      </c>
      <c r="N1270" s="564" t="s">
        <v>70</v>
      </c>
      <c r="O1270" s="564" t="s">
        <v>2099</v>
      </c>
      <c r="P1270" s="23"/>
      <c r="Q1270" s="23"/>
      <c r="R1270" s="23"/>
      <c r="S1270" s="23"/>
      <c r="T1270" s="23"/>
      <c r="U1270" s="23"/>
      <c r="V1270" s="23"/>
      <c r="W1270" s="23"/>
      <c r="X1270" s="23"/>
      <c r="Y1270" s="23"/>
      <c r="Z1270" s="23"/>
    </row>
    <row r="1271" spans="1:26" ht="13">
      <c r="A1271" s="562" t="s">
        <v>3810</v>
      </c>
      <c r="B1271" s="563" t="s">
        <v>3811</v>
      </c>
      <c r="C1271" s="564" t="s">
        <v>1475</v>
      </c>
      <c r="D1271" s="565">
        <v>44547</v>
      </c>
      <c r="E1271" s="565">
        <v>44561</v>
      </c>
      <c r="F1271" s="566">
        <v>609000</v>
      </c>
      <c r="G1271" s="564" t="s">
        <v>1123</v>
      </c>
      <c r="H1271" s="564" t="s">
        <v>1123</v>
      </c>
      <c r="I1271" s="564" t="s">
        <v>1581</v>
      </c>
      <c r="J1271" s="564" t="s">
        <v>1069</v>
      </c>
      <c r="K1271" s="564" t="s">
        <v>1070</v>
      </c>
      <c r="L1271" s="564" t="s">
        <v>2098</v>
      </c>
      <c r="M1271" s="564" t="s">
        <v>2098</v>
      </c>
      <c r="N1271" s="564" t="s">
        <v>1082</v>
      </c>
      <c r="O1271" s="564" t="s">
        <v>2099</v>
      </c>
      <c r="P1271" s="23"/>
      <c r="Q1271" s="23"/>
      <c r="R1271" s="23"/>
      <c r="S1271" s="23"/>
      <c r="T1271" s="23"/>
      <c r="U1271" s="23"/>
      <c r="V1271" s="23"/>
      <c r="W1271" s="23"/>
      <c r="X1271" s="23"/>
      <c r="Y1271" s="23"/>
      <c r="Z1271" s="23"/>
    </row>
    <row r="1272" spans="1:26" ht="13">
      <c r="A1272" s="562" t="s">
        <v>3812</v>
      </c>
      <c r="B1272" s="563" t="s">
        <v>3813</v>
      </c>
      <c r="C1272" s="564" t="s">
        <v>1076</v>
      </c>
      <c r="D1272" s="565">
        <v>44545</v>
      </c>
      <c r="E1272" s="565">
        <v>44742</v>
      </c>
      <c r="F1272" s="566">
        <v>900000</v>
      </c>
      <c r="G1272" s="564" t="s">
        <v>1077</v>
      </c>
      <c r="H1272" s="564" t="s">
        <v>1077</v>
      </c>
      <c r="I1272" s="564" t="s">
        <v>637</v>
      </c>
      <c r="J1272" s="564" t="s">
        <v>1069</v>
      </c>
      <c r="K1272" s="564" t="s">
        <v>1070</v>
      </c>
      <c r="L1272" s="564" t="s">
        <v>2098</v>
      </c>
      <c r="M1272" s="564" t="s">
        <v>2098</v>
      </c>
      <c r="N1272" s="564" t="s">
        <v>1082</v>
      </c>
      <c r="O1272" s="564" t="s">
        <v>2099</v>
      </c>
      <c r="P1272" s="23"/>
      <c r="Q1272" s="23"/>
      <c r="R1272" s="23"/>
      <c r="S1272" s="23"/>
      <c r="T1272" s="23"/>
      <c r="U1272" s="23"/>
      <c r="V1272" s="23"/>
      <c r="W1272" s="23"/>
      <c r="X1272" s="23"/>
      <c r="Y1272" s="23"/>
      <c r="Z1272" s="23"/>
    </row>
    <row r="1273" spans="1:26" ht="13">
      <c r="A1273" s="562" t="s">
        <v>3814</v>
      </c>
      <c r="B1273" s="563" t="s">
        <v>3815</v>
      </c>
      <c r="C1273" s="564" t="s">
        <v>353</v>
      </c>
      <c r="D1273" s="565">
        <v>44544</v>
      </c>
      <c r="E1273" s="565">
        <v>44561</v>
      </c>
      <c r="F1273" s="566">
        <v>7478000</v>
      </c>
      <c r="G1273" s="564" t="s">
        <v>297</v>
      </c>
      <c r="H1273" s="564" t="s">
        <v>297</v>
      </c>
      <c r="I1273" s="564" t="s">
        <v>121</v>
      </c>
      <c r="J1273" s="564" t="s">
        <v>1069</v>
      </c>
      <c r="K1273" s="564" t="s">
        <v>1105</v>
      </c>
      <c r="L1273" s="564" t="s">
        <v>2098</v>
      </c>
      <c r="M1273" s="564" t="s">
        <v>2098</v>
      </c>
      <c r="N1273" s="564" t="s">
        <v>1073</v>
      </c>
      <c r="O1273" s="564" t="s">
        <v>2099</v>
      </c>
      <c r="P1273" s="23"/>
      <c r="Q1273" s="23"/>
      <c r="R1273" s="23"/>
      <c r="S1273" s="23"/>
      <c r="T1273" s="23"/>
      <c r="U1273" s="23"/>
      <c r="V1273" s="23"/>
      <c r="W1273" s="23"/>
      <c r="X1273" s="23"/>
      <c r="Y1273" s="23"/>
      <c r="Z1273" s="23"/>
    </row>
    <row r="1274" spans="1:26" ht="13">
      <c r="A1274" s="562" t="s">
        <v>3816</v>
      </c>
      <c r="B1274" s="563" t="s">
        <v>3817</v>
      </c>
      <c r="C1274" s="564" t="s">
        <v>1076</v>
      </c>
      <c r="D1274" s="565">
        <v>44544</v>
      </c>
      <c r="E1274" s="565">
        <v>44742</v>
      </c>
      <c r="F1274" s="566">
        <v>2192000</v>
      </c>
      <c r="G1274" s="564" t="s">
        <v>1077</v>
      </c>
      <c r="H1274" s="564" t="s">
        <v>1077</v>
      </c>
      <c r="I1274" s="564" t="s">
        <v>637</v>
      </c>
      <c r="J1274" s="564" t="s">
        <v>1069</v>
      </c>
      <c r="K1274" s="564" t="s">
        <v>1070</v>
      </c>
      <c r="L1274" s="564" t="s">
        <v>2098</v>
      </c>
      <c r="M1274" s="564" t="s">
        <v>2098</v>
      </c>
      <c r="N1274" s="564" t="s">
        <v>1082</v>
      </c>
      <c r="O1274" s="564" t="s">
        <v>2099</v>
      </c>
      <c r="P1274" s="23"/>
      <c r="Q1274" s="23"/>
      <c r="R1274" s="23"/>
      <c r="S1274" s="23"/>
      <c r="T1274" s="23"/>
      <c r="U1274" s="23"/>
      <c r="V1274" s="23"/>
      <c r="W1274" s="23"/>
      <c r="X1274" s="23"/>
      <c r="Y1274" s="23"/>
      <c r="Z1274" s="23"/>
    </row>
    <row r="1275" spans="1:26" ht="13">
      <c r="A1275" s="562" t="s">
        <v>3818</v>
      </c>
      <c r="B1275" s="563" t="s">
        <v>3819</v>
      </c>
      <c r="C1275" s="564" t="s">
        <v>353</v>
      </c>
      <c r="D1275" s="565">
        <v>44540</v>
      </c>
      <c r="E1275" s="565">
        <v>44554</v>
      </c>
      <c r="F1275" s="566">
        <v>1260000</v>
      </c>
      <c r="G1275" s="564" t="s">
        <v>1157</v>
      </c>
      <c r="H1275" s="564" t="s">
        <v>1157</v>
      </c>
      <c r="I1275" s="564" t="s">
        <v>170</v>
      </c>
      <c r="J1275" s="564" t="s">
        <v>1069</v>
      </c>
      <c r="K1275" s="564" t="s">
        <v>1105</v>
      </c>
      <c r="L1275" s="564" t="s">
        <v>2098</v>
      </c>
      <c r="M1275" s="564" t="s">
        <v>2098</v>
      </c>
      <c r="N1275" s="564" t="s">
        <v>170</v>
      </c>
      <c r="O1275" s="564" t="s">
        <v>2099</v>
      </c>
      <c r="P1275" s="23"/>
      <c r="Q1275" s="23"/>
      <c r="R1275" s="23"/>
      <c r="S1275" s="23"/>
      <c r="T1275" s="23"/>
      <c r="U1275" s="23"/>
      <c r="V1275" s="23"/>
      <c r="W1275" s="23"/>
      <c r="X1275" s="23"/>
      <c r="Y1275" s="23"/>
      <c r="Z1275" s="23"/>
    </row>
    <row r="1276" spans="1:26" ht="13">
      <c r="A1276" s="562" t="s">
        <v>3820</v>
      </c>
      <c r="B1276" s="563" t="s">
        <v>3821</v>
      </c>
      <c r="C1276" s="564" t="s">
        <v>1475</v>
      </c>
      <c r="D1276" s="565">
        <v>44539</v>
      </c>
      <c r="E1276" s="565">
        <v>44561</v>
      </c>
      <c r="F1276" s="566">
        <v>740000</v>
      </c>
      <c r="G1276" s="564" t="s">
        <v>297</v>
      </c>
      <c r="H1276" s="564" t="s">
        <v>297</v>
      </c>
      <c r="I1276" s="564" t="s">
        <v>2586</v>
      </c>
      <c r="J1276" s="564" t="s">
        <v>1069</v>
      </c>
      <c r="K1276" s="564" t="s">
        <v>1070</v>
      </c>
      <c r="L1276" s="564" t="s">
        <v>2098</v>
      </c>
      <c r="M1276" s="564" t="s">
        <v>2098</v>
      </c>
      <c r="N1276" s="564" t="s">
        <v>1073</v>
      </c>
      <c r="O1276" s="564" t="s">
        <v>2099</v>
      </c>
      <c r="P1276" s="23"/>
      <c r="Q1276" s="23"/>
      <c r="R1276" s="23"/>
      <c r="S1276" s="23"/>
      <c r="T1276" s="23"/>
      <c r="U1276" s="23"/>
      <c r="V1276" s="23"/>
      <c r="W1276" s="23"/>
      <c r="X1276" s="23"/>
      <c r="Y1276" s="23"/>
      <c r="Z1276" s="23"/>
    </row>
    <row r="1277" spans="1:26" ht="13">
      <c r="A1277" s="562" t="s">
        <v>3822</v>
      </c>
      <c r="B1277" s="563" t="s">
        <v>3823</v>
      </c>
      <c r="C1277" s="564" t="s">
        <v>1475</v>
      </c>
      <c r="D1277" s="565">
        <v>44539</v>
      </c>
      <c r="E1277" s="565">
        <v>44561</v>
      </c>
      <c r="F1277" s="566">
        <v>740000</v>
      </c>
      <c r="G1277" s="564" t="s">
        <v>297</v>
      </c>
      <c r="H1277" s="564" t="s">
        <v>297</v>
      </c>
      <c r="I1277" s="564" t="s">
        <v>3824</v>
      </c>
      <c r="J1277" s="564" t="s">
        <v>1069</v>
      </c>
      <c r="K1277" s="564" t="s">
        <v>1070</v>
      </c>
      <c r="L1277" s="564" t="s">
        <v>2098</v>
      </c>
      <c r="M1277" s="564" t="s">
        <v>2098</v>
      </c>
      <c r="N1277" s="564" t="s">
        <v>1073</v>
      </c>
      <c r="O1277" s="564" t="s">
        <v>2099</v>
      </c>
      <c r="P1277" s="23"/>
      <c r="Q1277" s="23"/>
      <c r="R1277" s="23"/>
      <c r="S1277" s="23"/>
      <c r="T1277" s="23"/>
      <c r="U1277" s="23"/>
      <c r="V1277" s="23"/>
      <c r="W1277" s="23"/>
      <c r="X1277" s="23"/>
      <c r="Y1277" s="23"/>
      <c r="Z1277" s="23"/>
    </row>
    <row r="1278" spans="1:26" ht="13">
      <c r="A1278" s="562" t="s">
        <v>3825</v>
      </c>
      <c r="B1278" s="563" t="s">
        <v>3826</v>
      </c>
      <c r="C1278" s="564" t="s">
        <v>353</v>
      </c>
      <c r="D1278" s="565">
        <v>44368</v>
      </c>
      <c r="E1278" s="565">
        <v>44525</v>
      </c>
      <c r="F1278" s="566">
        <v>58749990</v>
      </c>
      <c r="G1278" s="564" t="s">
        <v>2428</v>
      </c>
      <c r="H1278" s="564" t="s">
        <v>2428</v>
      </c>
      <c r="I1278" s="564" t="s">
        <v>2761</v>
      </c>
      <c r="J1278" s="564" t="s">
        <v>1069</v>
      </c>
      <c r="K1278" s="564" t="s">
        <v>1209</v>
      </c>
      <c r="L1278" s="564" t="s">
        <v>2098</v>
      </c>
      <c r="M1278" s="564" t="s">
        <v>2098</v>
      </c>
      <c r="N1278" s="564" t="s">
        <v>2439</v>
      </c>
      <c r="O1278" s="564" t="s">
        <v>2099</v>
      </c>
      <c r="P1278" s="23"/>
      <c r="Q1278" s="23"/>
      <c r="R1278" s="23"/>
      <c r="S1278" s="23"/>
      <c r="T1278" s="23"/>
      <c r="U1278" s="23"/>
      <c r="V1278" s="23"/>
      <c r="W1278" s="23"/>
      <c r="X1278" s="23"/>
      <c r="Y1278" s="23"/>
      <c r="Z1278" s="23"/>
    </row>
    <row r="1279" spans="1:26" ht="13">
      <c r="A1279" s="562" t="s">
        <v>3827</v>
      </c>
      <c r="B1279" s="563" t="s">
        <v>3828</v>
      </c>
      <c r="C1279" s="564" t="s">
        <v>353</v>
      </c>
      <c r="D1279" s="565">
        <v>44533</v>
      </c>
      <c r="E1279" s="565">
        <v>44557</v>
      </c>
      <c r="F1279" s="566">
        <v>13670000</v>
      </c>
      <c r="G1279" s="564" t="s">
        <v>1128</v>
      </c>
      <c r="H1279" s="564" t="s">
        <v>1128</v>
      </c>
      <c r="I1279" s="564" t="s">
        <v>45</v>
      </c>
      <c r="J1279" s="564" t="s">
        <v>1069</v>
      </c>
      <c r="K1279" s="564" t="s">
        <v>1090</v>
      </c>
      <c r="L1279" s="564" t="s">
        <v>2098</v>
      </c>
      <c r="M1279" s="564" t="s">
        <v>2098</v>
      </c>
      <c r="N1279" s="564" t="s">
        <v>45</v>
      </c>
      <c r="O1279" s="564" t="s">
        <v>2099</v>
      </c>
      <c r="P1279" s="23"/>
      <c r="Q1279" s="23"/>
      <c r="R1279" s="23"/>
      <c r="S1279" s="23"/>
      <c r="T1279" s="23"/>
      <c r="U1279" s="23"/>
      <c r="V1279" s="23"/>
      <c r="W1279" s="23"/>
      <c r="X1279" s="23"/>
      <c r="Y1279" s="23"/>
      <c r="Z1279" s="23"/>
    </row>
    <row r="1280" spans="1:26" ht="13">
      <c r="A1280" s="562" t="s">
        <v>3829</v>
      </c>
      <c r="B1280" s="563" t="s">
        <v>3830</v>
      </c>
      <c r="C1280" s="564" t="s">
        <v>353</v>
      </c>
      <c r="D1280" s="565">
        <v>44533</v>
      </c>
      <c r="E1280" s="565">
        <v>44557</v>
      </c>
      <c r="F1280" s="566">
        <v>8400000</v>
      </c>
      <c r="G1280" s="564" t="s">
        <v>1128</v>
      </c>
      <c r="H1280" s="564" t="s">
        <v>1128</v>
      </c>
      <c r="I1280" s="564" t="s">
        <v>45</v>
      </c>
      <c r="J1280" s="564" t="s">
        <v>1069</v>
      </c>
      <c r="K1280" s="564" t="s">
        <v>1090</v>
      </c>
      <c r="L1280" s="564" t="s">
        <v>2098</v>
      </c>
      <c r="M1280" s="564" t="s">
        <v>2098</v>
      </c>
      <c r="N1280" s="564" t="s">
        <v>45</v>
      </c>
      <c r="O1280" s="564" t="s">
        <v>2099</v>
      </c>
      <c r="P1280" s="23"/>
      <c r="Q1280" s="23"/>
      <c r="R1280" s="23"/>
      <c r="S1280" s="23"/>
      <c r="T1280" s="23"/>
      <c r="U1280" s="23"/>
      <c r="V1280" s="23"/>
      <c r="W1280" s="23"/>
      <c r="X1280" s="23"/>
      <c r="Y1280" s="23"/>
      <c r="Z1280" s="23"/>
    </row>
    <row r="1281" spans="1:26" ht="13">
      <c r="A1281" s="562" t="s">
        <v>3831</v>
      </c>
      <c r="B1281" s="563" t="s">
        <v>3832</v>
      </c>
      <c r="C1281" s="564" t="s">
        <v>353</v>
      </c>
      <c r="D1281" s="565">
        <v>44533</v>
      </c>
      <c r="E1281" s="565">
        <v>44557</v>
      </c>
      <c r="F1281" s="566">
        <v>32000000</v>
      </c>
      <c r="G1281" s="564" t="s">
        <v>1128</v>
      </c>
      <c r="H1281" s="564" t="s">
        <v>1128</v>
      </c>
      <c r="I1281" s="564" t="s">
        <v>45</v>
      </c>
      <c r="J1281" s="564" t="s">
        <v>1069</v>
      </c>
      <c r="K1281" s="564" t="s">
        <v>1090</v>
      </c>
      <c r="L1281" s="564" t="s">
        <v>2098</v>
      </c>
      <c r="M1281" s="564" t="s">
        <v>2098</v>
      </c>
      <c r="N1281" s="564" t="s">
        <v>45</v>
      </c>
      <c r="O1281" s="564" t="s">
        <v>2099</v>
      </c>
      <c r="P1281" s="23"/>
      <c r="Q1281" s="23"/>
      <c r="R1281" s="23"/>
      <c r="S1281" s="23"/>
      <c r="T1281" s="23"/>
      <c r="U1281" s="23"/>
      <c r="V1281" s="23"/>
      <c r="W1281" s="23"/>
      <c r="X1281" s="23"/>
      <c r="Y1281" s="23"/>
      <c r="Z1281" s="23"/>
    </row>
    <row r="1282" spans="1:26" ht="13">
      <c r="A1282" s="562" t="s">
        <v>3833</v>
      </c>
      <c r="B1282" s="563" t="s">
        <v>3834</v>
      </c>
      <c r="C1282" s="564" t="s">
        <v>353</v>
      </c>
      <c r="D1282" s="565">
        <v>44533</v>
      </c>
      <c r="E1282" s="565">
        <v>44557</v>
      </c>
      <c r="F1282" s="566">
        <v>19602000</v>
      </c>
      <c r="G1282" s="564" t="s">
        <v>1128</v>
      </c>
      <c r="H1282" s="564" t="s">
        <v>1128</v>
      </c>
      <c r="I1282" s="564" t="s">
        <v>45</v>
      </c>
      <c r="J1282" s="564" t="s">
        <v>1069</v>
      </c>
      <c r="K1282" s="564" t="s">
        <v>1090</v>
      </c>
      <c r="L1282" s="564" t="s">
        <v>2098</v>
      </c>
      <c r="M1282" s="564" t="s">
        <v>2098</v>
      </c>
      <c r="N1282" s="564" t="s">
        <v>45</v>
      </c>
      <c r="O1282" s="564" t="s">
        <v>2099</v>
      </c>
      <c r="P1282" s="23"/>
      <c r="Q1282" s="23"/>
      <c r="R1282" s="23"/>
      <c r="S1282" s="23"/>
      <c r="T1282" s="23"/>
      <c r="U1282" s="23"/>
      <c r="V1282" s="23"/>
      <c r="W1282" s="23"/>
      <c r="X1282" s="23"/>
      <c r="Y1282" s="23"/>
      <c r="Z1282" s="23"/>
    </row>
    <row r="1283" spans="1:26" ht="13">
      <c r="A1283" s="562" t="s">
        <v>3835</v>
      </c>
      <c r="B1283" s="563" t="s">
        <v>3836</v>
      </c>
      <c r="C1283" s="564" t="s">
        <v>3378</v>
      </c>
      <c r="D1283" s="565">
        <v>44531</v>
      </c>
      <c r="E1283" s="565">
        <v>44561</v>
      </c>
      <c r="F1283" s="566">
        <v>1820000</v>
      </c>
      <c r="G1283" s="564" t="s">
        <v>1128</v>
      </c>
      <c r="H1283" s="564" t="s">
        <v>1128</v>
      </c>
      <c r="I1283" s="564" t="s">
        <v>45</v>
      </c>
      <c r="J1283" s="564" t="s">
        <v>1069</v>
      </c>
      <c r="K1283" s="564" t="s">
        <v>1090</v>
      </c>
      <c r="L1283" s="564" t="s">
        <v>2098</v>
      </c>
      <c r="M1283" s="564" t="s">
        <v>2098</v>
      </c>
      <c r="N1283" s="564" t="s">
        <v>45</v>
      </c>
      <c r="O1283" s="564" t="s">
        <v>2099</v>
      </c>
      <c r="P1283" s="23"/>
      <c r="Q1283" s="23"/>
      <c r="R1283" s="23"/>
      <c r="S1283" s="23"/>
      <c r="T1283" s="23"/>
      <c r="U1283" s="23"/>
      <c r="V1283" s="23"/>
      <c r="W1283" s="23"/>
      <c r="X1283" s="23"/>
      <c r="Y1283" s="23"/>
      <c r="Z1283" s="23"/>
    </row>
    <row r="1284" spans="1:26" ht="13">
      <c r="A1284" s="562" t="s">
        <v>3837</v>
      </c>
      <c r="B1284" s="563" t="s">
        <v>3838</v>
      </c>
      <c r="C1284" s="564" t="s">
        <v>1652</v>
      </c>
      <c r="D1284" s="565">
        <v>44538</v>
      </c>
      <c r="E1284" s="565">
        <v>44554</v>
      </c>
      <c r="F1284" s="566">
        <v>4080000</v>
      </c>
      <c r="G1284" s="564" t="s">
        <v>297</v>
      </c>
      <c r="H1284" s="564" t="s">
        <v>297</v>
      </c>
      <c r="I1284" s="564" t="s">
        <v>70</v>
      </c>
      <c r="J1284" s="564" t="s">
        <v>1069</v>
      </c>
      <c r="K1284" s="564" t="s">
        <v>1120</v>
      </c>
      <c r="L1284" s="564" t="s">
        <v>2098</v>
      </c>
      <c r="M1284" s="564" t="s">
        <v>2098</v>
      </c>
      <c r="N1284" s="564" t="s">
        <v>70</v>
      </c>
      <c r="O1284" s="564" t="s">
        <v>2099</v>
      </c>
      <c r="P1284" s="23"/>
      <c r="Q1284" s="23"/>
      <c r="R1284" s="23"/>
      <c r="S1284" s="23"/>
      <c r="T1284" s="23"/>
      <c r="U1284" s="23"/>
      <c r="V1284" s="23"/>
      <c r="W1284" s="23"/>
      <c r="X1284" s="23"/>
      <c r="Y1284" s="23"/>
      <c r="Z1284" s="23"/>
    </row>
    <row r="1285" spans="1:26" ht="13">
      <c r="A1285" s="562" t="s">
        <v>3839</v>
      </c>
      <c r="B1285" s="563" t="s">
        <v>3840</v>
      </c>
      <c r="C1285" s="564" t="s">
        <v>1652</v>
      </c>
      <c r="D1285" s="565">
        <v>44537</v>
      </c>
      <c r="E1285" s="565">
        <v>44561</v>
      </c>
      <c r="F1285" s="566">
        <v>1254000</v>
      </c>
      <c r="G1285" s="564" t="s">
        <v>297</v>
      </c>
      <c r="H1285" s="564" t="s">
        <v>297</v>
      </c>
      <c r="I1285" s="564" t="s">
        <v>107</v>
      </c>
      <c r="J1285" s="564" t="s">
        <v>1069</v>
      </c>
      <c r="K1285" s="564" t="s">
        <v>1120</v>
      </c>
      <c r="L1285" s="564" t="s">
        <v>2098</v>
      </c>
      <c r="M1285" s="564" t="s">
        <v>2098</v>
      </c>
      <c r="N1285" s="564" t="s">
        <v>1073</v>
      </c>
      <c r="O1285" s="564" t="s">
        <v>2099</v>
      </c>
      <c r="P1285" s="23"/>
      <c r="Q1285" s="23"/>
      <c r="R1285" s="23"/>
      <c r="S1285" s="23"/>
      <c r="T1285" s="23"/>
      <c r="U1285" s="23"/>
      <c r="V1285" s="23"/>
      <c r="W1285" s="23"/>
      <c r="X1285" s="23"/>
      <c r="Y1285" s="23"/>
      <c r="Z1285" s="23"/>
    </row>
    <row r="1286" spans="1:26" ht="13">
      <c r="A1286" s="562" t="s">
        <v>3841</v>
      </c>
      <c r="B1286" s="563" t="s">
        <v>3842</v>
      </c>
      <c r="C1286" s="564" t="s">
        <v>1076</v>
      </c>
      <c r="D1286" s="565">
        <v>44536</v>
      </c>
      <c r="E1286" s="565">
        <v>44712</v>
      </c>
      <c r="F1286" s="566">
        <v>542000</v>
      </c>
      <c r="G1286" s="564" t="s">
        <v>1077</v>
      </c>
      <c r="H1286" s="564" t="s">
        <v>1077</v>
      </c>
      <c r="I1286" s="564" t="s">
        <v>637</v>
      </c>
      <c r="J1286" s="564" t="s">
        <v>1069</v>
      </c>
      <c r="K1286" s="564" t="s">
        <v>1070</v>
      </c>
      <c r="L1286" s="564" t="s">
        <v>2098</v>
      </c>
      <c r="M1286" s="564" t="s">
        <v>2098</v>
      </c>
      <c r="N1286" s="564" t="s">
        <v>1082</v>
      </c>
      <c r="O1286" s="564" t="s">
        <v>2099</v>
      </c>
      <c r="P1286" s="23"/>
      <c r="Q1286" s="23"/>
      <c r="R1286" s="23"/>
      <c r="S1286" s="23"/>
      <c r="T1286" s="23"/>
      <c r="U1286" s="23"/>
      <c r="V1286" s="23"/>
      <c r="W1286" s="23"/>
      <c r="X1286" s="23"/>
      <c r="Y1286" s="23"/>
      <c r="Z1286" s="23"/>
    </row>
    <row r="1287" spans="1:26" ht="13">
      <c r="A1287" s="562" t="s">
        <v>3843</v>
      </c>
      <c r="B1287" s="563" t="s">
        <v>3844</v>
      </c>
      <c r="C1287" s="564" t="s">
        <v>1652</v>
      </c>
      <c r="D1287" s="565">
        <v>44532</v>
      </c>
      <c r="E1287" s="565">
        <v>44561</v>
      </c>
      <c r="F1287" s="566">
        <v>1448000</v>
      </c>
      <c r="G1287" s="564" t="s">
        <v>297</v>
      </c>
      <c r="H1287" s="564" t="s">
        <v>297</v>
      </c>
      <c r="I1287" s="564" t="s">
        <v>70</v>
      </c>
      <c r="J1287" s="564" t="s">
        <v>1069</v>
      </c>
      <c r="K1287" s="564" t="s">
        <v>1120</v>
      </c>
      <c r="L1287" s="564" t="s">
        <v>2098</v>
      </c>
      <c r="M1287" s="564" t="s">
        <v>2098</v>
      </c>
      <c r="N1287" s="564" t="s">
        <v>70</v>
      </c>
      <c r="O1287" s="564" t="s">
        <v>2099</v>
      </c>
      <c r="P1287" s="23"/>
      <c r="Q1287" s="23"/>
      <c r="R1287" s="23"/>
      <c r="S1287" s="23"/>
      <c r="T1287" s="23"/>
      <c r="U1287" s="23"/>
      <c r="V1287" s="23"/>
      <c r="W1287" s="23"/>
      <c r="X1287" s="23"/>
      <c r="Y1287" s="23"/>
      <c r="Z1287" s="23"/>
    </row>
    <row r="1288" spans="1:26" ht="13">
      <c r="A1288" s="562" t="s">
        <v>3845</v>
      </c>
      <c r="B1288" s="563" t="s">
        <v>3846</v>
      </c>
      <c r="C1288" s="564" t="s">
        <v>1475</v>
      </c>
      <c r="D1288" s="565">
        <v>44531</v>
      </c>
      <c r="E1288" s="565">
        <v>44561</v>
      </c>
      <c r="F1288" s="566">
        <v>540600</v>
      </c>
      <c r="G1288" s="564" t="s">
        <v>297</v>
      </c>
      <c r="H1288" s="564" t="s">
        <v>297</v>
      </c>
      <c r="I1288" s="564" t="s">
        <v>2586</v>
      </c>
      <c r="J1288" s="564" t="s">
        <v>1069</v>
      </c>
      <c r="K1288" s="564" t="s">
        <v>1070</v>
      </c>
      <c r="L1288" s="564" t="s">
        <v>2098</v>
      </c>
      <c r="M1288" s="564" t="s">
        <v>2098</v>
      </c>
      <c r="N1288" s="564" t="s">
        <v>1073</v>
      </c>
      <c r="O1288" s="564" t="s">
        <v>2099</v>
      </c>
      <c r="P1288" s="23"/>
      <c r="Q1288" s="23"/>
      <c r="R1288" s="23"/>
      <c r="S1288" s="23"/>
      <c r="T1288" s="23"/>
      <c r="U1288" s="23"/>
      <c r="V1288" s="23"/>
      <c r="W1288" s="23"/>
      <c r="X1288" s="23"/>
      <c r="Y1288" s="23"/>
      <c r="Z1288" s="23"/>
    </row>
    <row r="1289" spans="1:26" ht="13">
      <c r="A1289" s="562" t="s">
        <v>3847</v>
      </c>
      <c r="B1289" s="563" t="s">
        <v>3848</v>
      </c>
      <c r="C1289" s="564" t="s">
        <v>1475</v>
      </c>
      <c r="D1289" s="565">
        <v>44531</v>
      </c>
      <c r="E1289" s="565">
        <v>44561</v>
      </c>
      <c r="F1289" s="566">
        <v>1155400</v>
      </c>
      <c r="G1289" s="564" t="s">
        <v>297</v>
      </c>
      <c r="H1289" s="564" t="s">
        <v>297</v>
      </c>
      <c r="I1289" s="564" t="s">
        <v>3824</v>
      </c>
      <c r="J1289" s="564" t="s">
        <v>1069</v>
      </c>
      <c r="K1289" s="564" t="s">
        <v>1070</v>
      </c>
      <c r="L1289" s="564" t="s">
        <v>2098</v>
      </c>
      <c r="M1289" s="564" t="s">
        <v>2098</v>
      </c>
      <c r="N1289" s="564" t="s">
        <v>1073</v>
      </c>
      <c r="O1289" s="564" t="s">
        <v>2099</v>
      </c>
      <c r="P1289" s="23"/>
      <c r="Q1289" s="23"/>
      <c r="R1289" s="23"/>
      <c r="S1289" s="23"/>
      <c r="T1289" s="23"/>
      <c r="U1289" s="23"/>
      <c r="V1289" s="23"/>
      <c r="W1289" s="23"/>
      <c r="X1289" s="23"/>
      <c r="Y1289" s="23"/>
      <c r="Z1289" s="23"/>
    </row>
    <row r="1290" spans="1:26" ht="13">
      <c r="A1290" s="562" t="s">
        <v>3849</v>
      </c>
      <c r="B1290" s="563" t="s">
        <v>3850</v>
      </c>
      <c r="C1290" s="564" t="s">
        <v>1652</v>
      </c>
      <c r="D1290" s="565">
        <v>44529</v>
      </c>
      <c r="E1290" s="565">
        <v>44543</v>
      </c>
      <c r="F1290" s="566">
        <v>4344000</v>
      </c>
      <c r="G1290" s="564" t="s">
        <v>297</v>
      </c>
      <c r="H1290" s="564" t="s">
        <v>297</v>
      </c>
      <c r="I1290" s="564" t="s">
        <v>70</v>
      </c>
      <c r="J1290" s="564" t="s">
        <v>1069</v>
      </c>
      <c r="K1290" s="564" t="s">
        <v>1120</v>
      </c>
      <c r="L1290" s="564" t="s">
        <v>2098</v>
      </c>
      <c r="M1290" s="564" t="s">
        <v>2098</v>
      </c>
      <c r="N1290" s="564" t="s">
        <v>70</v>
      </c>
      <c r="O1290" s="564" t="s">
        <v>2099</v>
      </c>
      <c r="P1290" s="23"/>
      <c r="Q1290" s="23"/>
      <c r="R1290" s="23"/>
      <c r="S1290" s="23"/>
      <c r="T1290" s="23"/>
      <c r="U1290" s="23"/>
      <c r="V1290" s="23"/>
      <c r="W1290" s="23"/>
      <c r="X1290" s="23"/>
      <c r="Y1290" s="23"/>
      <c r="Z1290" s="23"/>
    </row>
    <row r="1291" spans="1:26" ht="13">
      <c r="A1291" s="562" t="s">
        <v>3851</v>
      </c>
      <c r="B1291" s="563" t="s">
        <v>3852</v>
      </c>
      <c r="C1291" s="564" t="s">
        <v>2322</v>
      </c>
      <c r="D1291" s="565">
        <v>44526</v>
      </c>
      <c r="E1291" s="565">
        <v>44529</v>
      </c>
      <c r="F1291" s="566">
        <v>486600</v>
      </c>
      <c r="G1291" s="564" t="s">
        <v>1640</v>
      </c>
      <c r="H1291" s="564" t="s">
        <v>1640</v>
      </c>
      <c r="I1291" s="564" t="s">
        <v>3853</v>
      </c>
      <c r="J1291" s="564" t="s">
        <v>1069</v>
      </c>
      <c r="K1291" s="564" t="s">
        <v>1070</v>
      </c>
      <c r="L1291" s="564" t="s">
        <v>2098</v>
      </c>
      <c r="M1291" s="564" t="s">
        <v>2098</v>
      </c>
      <c r="N1291" s="564" t="s">
        <v>1082</v>
      </c>
      <c r="O1291" s="564" t="s">
        <v>2099</v>
      </c>
      <c r="P1291" s="23"/>
      <c r="Q1291" s="23"/>
      <c r="R1291" s="23"/>
      <c r="S1291" s="23"/>
      <c r="T1291" s="23"/>
      <c r="U1291" s="23"/>
      <c r="V1291" s="23"/>
      <c r="W1291" s="23"/>
      <c r="X1291" s="23"/>
      <c r="Y1291" s="23"/>
      <c r="Z1291" s="23"/>
    </row>
    <row r="1292" spans="1:26" ht="13">
      <c r="A1292" s="562" t="s">
        <v>3854</v>
      </c>
      <c r="B1292" s="563" t="s">
        <v>3855</v>
      </c>
      <c r="C1292" s="564" t="s">
        <v>1652</v>
      </c>
      <c r="D1292" s="565">
        <v>44518</v>
      </c>
      <c r="E1292" s="565">
        <v>44533</v>
      </c>
      <c r="F1292" s="566">
        <v>2984000</v>
      </c>
      <c r="G1292" s="564" t="s">
        <v>297</v>
      </c>
      <c r="H1292" s="564" t="s">
        <v>297</v>
      </c>
      <c r="I1292" s="564" t="s">
        <v>70</v>
      </c>
      <c r="J1292" s="564" t="s">
        <v>1069</v>
      </c>
      <c r="K1292" s="564" t="s">
        <v>1120</v>
      </c>
      <c r="L1292" s="564" t="s">
        <v>2098</v>
      </c>
      <c r="M1292" s="564" t="s">
        <v>2098</v>
      </c>
      <c r="N1292" s="564" t="s">
        <v>70</v>
      </c>
      <c r="O1292" s="564" t="s">
        <v>2099</v>
      </c>
      <c r="P1292" s="23"/>
      <c r="Q1292" s="23"/>
      <c r="R1292" s="23"/>
      <c r="S1292" s="23"/>
      <c r="T1292" s="23"/>
      <c r="U1292" s="23"/>
      <c r="V1292" s="23"/>
      <c r="W1292" s="23"/>
      <c r="X1292" s="23"/>
      <c r="Y1292" s="23"/>
      <c r="Z1292" s="23"/>
    </row>
    <row r="1293" spans="1:26" ht="13">
      <c r="A1293" s="562" t="s">
        <v>3856</v>
      </c>
      <c r="B1293" s="563" t="s">
        <v>3857</v>
      </c>
      <c r="C1293" s="564" t="s">
        <v>1652</v>
      </c>
      <c r="D1293" s="565">
        <v>44517</v>
      </c>
      <c r="E1293" s="565">
        <v>44561</v>
      </c>
      <c r="F1293" s="566">
        <v>9545455</v>
      </c>
      <c r="G1293" s="564" t="s">
        <v>1182</v>
      </c>
      <c r="H1293" s="564" t="s">
        <v>1182</v>
      </c>
      <c r="I1293" s="564" t="s">
        <v>802</v>
      </c>
      <c r="J1293" s="564" t="s">
        <v>1069</v>
      </c>
      <c r="K1293" s="564" t="s">
        <v>1198</v>
      </c>
      <c r="L1293" s="564" t="s">
        <v>2098</v>
      </c>
      <c r="M1293" s="564" t="s">
        <v>2098</v>
      </c>
      <c r="N1293" s="564" t="s">
        <v>132</v>
      </c>
      <c r="O1293" s="564" t="s">
        <v>2099</v>
      </c>
      <c r="P1293" s="23"/>
      <c r="Q1293" s="23"/>
      <c r="R1293" s="23"/>
      <c r="S1293" s="23"/>
      <c r="T1293" s="23"/>
      <c r="U1293" s="23"/>
      <c r="V1293" s="23"/>
      <c r="W1293" s="23"/>
      <c r="X1293" s="23"/>
      <c r="Y1293" s="23"/>
      <c r="Z1293" s="23"/>
    </row>
    <row r="1294" spans="1:26" ht="13">
      <c r="A1294" s="562" t="s">
        <v>3858</v>
      </c>
      <c r="B1294" s="563" t="s">
        <v>3859</v>
      </c>
      <c r="C1294" s="564" t="s">
        <v>1652</v>
      </c>
      <c r="D1294" s="565">
        <v>44516</v>
      </c>
      <c r="E1294" s="565">
        <v>44561</v>
      </c>
      <c r="F1294" s="566">
        <v>76840000</v>
      </c>
      <c r="G1294" s="564" t="s">
        <v>297</v>
      </c>
      <c r="H1294" s="564" t="s">
        <v>297</v>
      </c>
      <c r="I1294" s="564" t="s">
        <v>1281</v>
      </c>
      <c r="J1294" s="564" t="s">
        <v>1069</v>
      </c>
      <c r="K1294" s="564" t="s">
        <v>1120</v>
      </c>
      <c r="L1294" s="564" t="s">
        <v>2098</v>
      </c>
      <c r="M1294" s="564" t="s">
        <v>2098</v>
      </c>
      <c r="N1294" s="564" t="s">
        <v>1073</v>
      </c>
      <c r="O1294" s="564" t="s">
        <v>2099</v>
      </c>
      <c r="P1294" s="23"/>
      <c r="Q1294" s="23"/>
      <c r="R1294" s="23"/>
      <c r="S1294" s="23"/>
      <c r="T1294" s="23"/>
      <c r="U1294" s="23"/>
      <c r="V1294" s="23"/>
      <c r="W1294" s="23"/>
      <c r="X1294" s="23"/>
      <c r="Y1294" s="23"/>
      <c r="Z1294" s="23"/>
    </row>
    <row r="1295" spans="1:26" ht="13">
      <c r="A1295" s="562" t="s">
        <v>3860</v>
      </c>
      <c r="B1295" s="563" t="s">
        <v>3861</v>
      </c>
      <c r="C1295" s="564" t="s">
        <v>1475</v>
      </c>
      <c r="D1295" s="565">
        <v>44516</v>
      </c>
      <c r="E1295" s="565">
        <v>44712</v>
      </c>
      <c r="F1295" s="566">
        <v>1732000</v>
      </c>
      <c r="G1295" s="564" t="s">
        <v>1077</v>
      </c>
      <c r="H1295" s="564" t="s">
        <v>1077</v>
      </c>
      <c r="I1295" s="564" t="s">
        <v>637</v>
      </c>
      <c r="J1295" s="564" t="s">
        <v>1069</v>
      </c>
      <c r="K1295" s="564" t="s">
        <v>1070</v>
      </c>
      <c r="L1295" s="564" t="s">
        <v>2098</v>
      </c>
      <c r="M1295" s="564" t="s">
        <v>2098</v>
      </c>
      <c r="N1295" s="564" t="s">
        <v>1082</v>
      </c>
      <c r="O1295" s="564" t="s">
        <v>2099</v>
      </c>
      <c r="P1295" s="23"/>
      <c r="Q1295" s="23"/>
      <c r="R1295" s="23"/>
      <c r="S1295" s="23"/>
      <c r="T1295" s="23"/>
      <c r="U1295" s="23"/>
      <c r="V1295" s="23"/>
      <c r="W1295" s="23"/>
      <c r="X1295" s="23"/>
      <c r="Y1295" s="23"/>
      <c r="Z1295" s="23"/>
    </row>
    <row r="1296" spans="1:26" ht="13">
      <c r="A1296" s="562" t="s">
        <v>3862</v>
      </c>
      <c r="B1296" s="563" t="s">
        <v>3863</v>
      </c>
      <c r="C1296" s="564" t="s">
        <v>353</v>
      </c>
      <c r="D1296" s="565">
        <v>44512</v>
      </c>
      <c r="E1296" s="565">
        <v>44561</v>
      </c>
      <c r="F1296" s="566">
        <v>145200000</v>
      </c>
      <c r="G1296" s="564" t="s">
        <v>1182</v>
      </c>
      <c r="H1296" s="564" t="s">
        <v>1182</v>
      </c>
      <c r="I1296" s="564" t="s">
        <v>3864</v>
      </c>
      <c r="J1296" s="564" t="s">
        <v>1069</v>
      </c>
      <c r="K1296" s="564" t="s">
        <v>1070</v>
      </c>
      <c r="L1296" s="564" t="s">
        <v>2098</v>
      </c>
      <c r="M1296" s="564" t="s">
        <v>2098</v>
      </c>
      <c r="N1296" s="564" t="s">
        <v>1082</v>
      </c>
      <c r="O1296" s="564" t="s">
        <v>2099</v>
      </c>
      <c r="P1296" s="23"/>
      <c r="Q1296" s="23"/>
      <c r="R1296" s="23"/>
      <c r="S1296" s="23"/>
      <c r="T1296" s="23"/>
      <c r="U1296" s="23"/>
      <c r="V1296" s="23"/>
      <c r="W1296" s="23"/>
      <c r="X1296" s="23"/>
      <c r="Y1296" s="23"/>
      <c r="Z1296" s="23"/>
    </row>
    <row r="1297" spans="1:26" ht="13">
      <c r="A1297" s="562" t="s">
        <v>3865</v>
      </c>
      <c r="B1297" s="563" t="s">
        <v>3866</v>
      </c>
      <c r="C1297" s="564" t="s">
        <v>353</v>
      </c>
      <c r="D1297" s="565">
        <v>44516</v>
      </c>
      <c r="E1297" s="565">
        <v>44540</v>
      </c>
      <c r="F1297" s="566">
        <v>76500</v>
      </c>
      <c r="G1297" s="564" t="s">
        <v>297</v>
      </c>
      <c r="H1297" s="564" t="s">
        <v>297</v>
      </c>
      <c r="I1297" s="564" t="s">
        <v>1586</v>
      </c>
      <c r="J1297" s="564" t="s">
        <v>1069</v>
      </c>
      <c r="K1297" s="564" t="s">
        <v>1090</v>
      </c>
      <c r="L1297" s="564" t="s">
        <v>2098</v>
      </c>
      <c r="M1297" s="564" t="s">
        <v>2098</v>
      </c>
      <c r="N1297" s="564" t="s">
        <v>1073</v>
      </c>
      <c r="O1297" s="564" t="s">
        <v>2099</v>
      </c>
      <c r="P1297" s="23"/>
      <c r="Q1297" s="23"/>
      <c r="R1297" s="23"/>
      <c r="S1297" s="23"/>
      <c r="T1297" s="23"/>
      <c r="U1297" s="23"/>
      <c r="V1297" s="23"/>
      <c r="W1297" s="23"/>
      <c r="X1297" s="23"/>
      <c r="Y1297" s="23"/>
      <c r="Z1297" s="23"/>
    </row>
    <row r="1298" spans="1:26" ht="13">
      <c r="A1298" s="562" t="s">
        <v>3867</v>
      </c>
      <c r="B1298" s="563" t="s">
        <v>3868</v>
      </c>
      <c r="C1298" s="564" t="s">
        <v>1652</v>
      </c>
      <c r="D1298" s="565">
        <v>44516</v>
      </c>
      <c r="E1298" s="565">
        <v>44530</v>
      </c>
      <c r="F1298" s="566">
        <v>1448000</v>
      </c>
      <c r="G1298" s="564" t="s">
        <v>297</v>
      </c>
      <c r="H1298" s="564" t="s">
        <v>297</v>
      </c>
      <c r="I1298" s="564" t="s">
        <v>1223</v>
      </c>
      <c r="J1298" s="564" t="s">
        <v>1069</v>
      </c>
      <c r="K1298" s="564" t="s">
        <v>1120</v>
      </c>
      <c r="L1298" s="564" t="s">
        <v>2098</v>
      </c>
      <c r="M1298" s="564" t="s">
        <v>2098</v>
      </c>
      <c r="N1298" s="564" t="s">
        <v>1073</v>
      </c>
      <c r="O1298" s="564" t="s">
        <v>2099</v>
      </c>
      <c r="P1298" s="23"/>
      <c r="Q1298" s="23"/>
      <c r="R1298" s="23"/>
      <c r="S1298" s="23"/>
      <c r="T1298" s="23"/>
      <c r="U1298" s="23"/>
      <c r="V1298" s="23"/>
      <c r="W1298" s="23"/>
      <c r="X1298" s="23"/>
      <c r="Y1298" s="23"/>
      <c r="Z1298" s="23"/>
    </row>
    <row r="1299" spans="1:26" ht="13">
      <c r="A1299" s="562" t="s">
        <v>3869</v>
      </c>
      <c r="B1299" s="563" t="s">
        <v>3870</v>
      </c>
      <c r="C1299" s="564" t="s">
        <v>353</v>
      </c>
      <c r="D1299" s="565">
        <v>44516</v>
      </c>
      <c r="E1299" s="565">
        <v>44540</v>
      </c>
      <c r="F1299" s="566">
        <v>390600</v>
      </c>
      <c r="G1299" s="564" t="s">
        <v>297</v>
      </c>
      <c r="H1299" s="564" t="s">
        <v>297</v>
      </c>
      <c r="I1299" s="564" t="s">
        <v>2973</v>
      </c>
      <c r="J1299" s="564" t="s">
        <v>1069</v>
      </c>
      <c r="K1299" s="564" t="s">
        <v>1090</v>
      </c>
      <c r="L1299" s="564" t="s">
        <v>2098</v>
      </c>
      <c r="M1299" s="564" t="s">
        <v>2098</v>
      </c>
      <c r="N1299" s="564" t="s">
        <v>1073</v>
      </c>
      <c r="O1299" s="564" t="s">
        <v>2099</v>
      </c>
      <c r="P1299" s="23"/>
      <c r="Q1299" s="23"/>
      <c r="R1299" s="23"/>
      <c r="S1299" s="23"/>
      <c r="T1299" s="23"/>
      <c r="U1299" s="23"/>
      <c r="V1299" s="23"/>
      <c r="W1299" s="23"/>
      <c r="X1299" s="23"/>
      <c r="Y1299" s="23"/>
      <c r="Z1299" s="23"/>
    </row>
    <row r="1300" spans="1:26" ht="13">
      <c r="A1300" s="562" t="s">
        <v>3871</v>
      </c>
      <c r="B1300" s="563" t="s">
        <v>3872</v>
      </c>
      <c r="C1300" s="564" t="s">
        <v>353</v>
      </c>
      <c r="D1300" s="565">
        <v>44515</v>
      </c>
      <c r="E1300" s="565">
        <v>44530</v>
      </c>
      <c r="F1300" s="566">
        <v>287500</v>
      </c>
      <c r="G1300" s="564" t="s">
        <v>297</v>
      </c>
      <c r="H1300" s="564" t="s">
        <v>297</v>
      </c>
      <c r="I1300" s="564" t="s">
        <v>45</v>
      </c>
      <c r="J1300" s="564" t="s">
        <v>1069</v>
      </c>
      <c r="K1300" s="564" t="s">
        <v>1090</v>
      </c>
      <c r="L1300" s="564" t="s">
        <v>2098</v>
      </c>
      <c r="M1300" s="564" t="s">
        <v>2098</v>
      </c>
      <c r="N1300" s="564" t="s">
        <v>45</v>
      </c>
      <c r="O1300" s="564" t="s">
        <v>2099</v>
      </c>
      <c r="P1300" s="23"/>
      <c r="Q1300" s="23"/>
      <c r="R1300" s="23"/>
      <c r="S1300" s="23"/>
      <c r="T1300" s="23"/>
      <c r="U1300" s="23"/>
      <c r="V1300" s="23"/>
      <c r="W1300" s="23"/>
      <c r="X1300" s="23"/>
      <c r="Y1300" s="23"/>
      <c r="Z1300" s="23"/>
    </row>
    <row r="1301" spans="1:26" ht="13">
      <c r="A1301" s="562" t="s">
        <v>3873</v>
      </c>
      <c r="B1301" s="563" t="s">
        <v>3874</v>
      </c>
      <c r="C1301" s="564" t="s">
        <v>1652</v>
      </c>
      <c r="D1301" s="565">
        <v>44512</v>
      </c>
      <c r="E1301" s="565">
        <v>44526</v>
      </c>
      <c r="F1301" s="566">
        <v>176000</v>
      </c>
      <c r="G1301" s="564" t="s">
        <v>297</v>
      </c>
      <c r="H1301" s="564" t="s">
        <v>297</v>
      </c>
      <c r="I1301" s="564" t="s">
        <v>70</v>
      </c>
      <c r="J1301" s="564" t="s">
        <v>1069</v>
      </c>
      <c r="K1301" s="564" t="s">
        <v>1120</v>
      </c>
      <c r="L1301" s="564" t="s">
        <v>2098</v>
      </c>
      <c r="M1301" s="564" t="s">
        <v>2098</v>
      </c>
      <c r="N1301" s="564" t="s">
        <v>70</v>
      </c>
      <c r="O1301" s="564" t="s">
        <v>2099</v>
      </c>
      <c r="P1301" s="23"/>
      <c r="Q1301" s="23"/>
      <c r="R1301" s="23"/>
      <c r="S1301" s="23"/>
      <c r="T1301" s="23"/>
      <c r="U1301" s="23"/>
      <c r="V1301" s="23"/>
      <c r="W1301" s="23"/>
      <c r="X1301" s="23"/>
      <c r="Y1301" s="23"/>
      <c r="Z1301" s="23"/>
    </row>
    <row r="1302" spans="1:26" ht="13">
      <c r="A1302" s="562" t="s">
        <v>3875</v>
      </c>
      <c r="B1302" s="563" t="s">
        <v>3876</v>
      </c>
      <c r="C1302" s="564" t="s">
        <v>353</v>
      </c>
      <c r="D1302" s="565">
        <v>44511</v>
      </c>
      <c r="E1302" s="565">
        <v>44530</v>
      </c>
      <c r="F1302" s="566">
        <v>24000000</v>
      </c>
      <c r="G1302" s="564" t="s">
        <v>1128</v>
      </c>
      <c r="H1302" s="564" t="s">
        <v>1128</v>
      </c>
      <c r="I1302" s="564" t="s">
        <v>45</v>
      </c>
      <c r="J1302" s="564" t="s">
        <v>1069</v>
      </c>
      <c r="K1302" s="564" t="s">
        <v>1090</v>
      </c>
      <c r="L1302" s="564" t="s">
        <v>2098</v>
      </c>
      <c r="M1302" s="564" t="s">
        <v>2098</v>
      </c>
      <c r="N1302" s="564" t="s">
        <v>45</v>
      </c>
      <c r="O1302" s="564" t="s">
        <v>2099</v>
      </c>
      <c r="P1302" s="23"/>
      <c r="Q1302" s="23"/>
      <c r="R1302" s="23"/>
      <c r="S1302" s="23"/>
      <c r="T1302" s="23"/>
      <c r="U1302" s="23"/>
      <c r="V1302" s="23"/>
      <c r="W1302" s="23"/>
      <c r="X1302" s="23"/>
      <c r="Y1302" s="23"/>
      <c r="Z1302" s="23"/>
    </row>
    <row r="1303" spans="1:26" ht="13">
      <c r="A1303" s="562" t="s">
        <v>3877</v>
      </c>
      <c r="B1303" s="563" t="s">
        <v>3878</v>
      </c>
      <c r="C1303" s="564" t="s">
        <v>1652</v>
      </c>
      <c r="D1303" s="565">
        <v>44510</v>
      </c>
      <c r="E1303" s="565">
        <v>44523</v>
      </c>
      <c r="F1303" s="566">
        <v>1448000</v>
      </c>
      <c r="G1303" s="564" t="s">
        <v>297</v>
      </c>
      <c r="H1303" s="564" t="s">
        <v>297</v>
      </c>
      <c r="I1303" s="564" t="s">
        <v>70</v>
      </c>
      <c r="J1303" s="564" t="s">
        <v>1069</v>
      </c>
      <c r="K1303" s="564" t="s">
        <v>1120</v>
      </c>
      <c r="L1303" s="564" t="s">
        <v>2098</v>
      </c>
      <c r="M1303" s="564" t="s">
        <v>2098</v>
      </c>
      <c r="N1303" s="564" t="s">
        <v>70</v>
      </c>
      <c r="O1303" s="564" t="s">
        <v>2099</v>
      </c>
      <c r="P1303" s="23"/>
      <c r="Q1303" s="23"/>
      <c r="R1303" s="23"/>
      <c r="S1303" s="23"/>
      <c r="T1303" s="23"/>
      <c r="U1303" s="23"/>
      <c r="V1303" s="23"/>
      <c r="W1303" s="23"/>
      <c r="X1303" s="23"/>
      <c r="Y1303" s="23"/>
      <c r="Z1303" s="23"/>
    </row>
    <row r="1304" spans="1:26" ht="13">
      <c r="A1304" s="562" t="s">
        <v>3879</v>
      </c>
      <c r="B1304" s="563" t="s">
        <v>3880</v>
      </c>
      <c r="C1304" s="564" t="s">
        <v>1652</v>
      </c>
      <c r="D1304" s="565">
        <v>44510</v>
      </c>
      <c r="E1304" s="565">
        <v>44524</v>
      </c>
      <c r="F1304" s="566">
        <v>1166000</v>
      </c>
      <c r="G1304" s="564" t="s">
        <v>297</v>
      </c>
      <c r="H1304" s="564" t="s">
        <v>297</v>
      </c>
      <c r="I1304" s="564" t="s">
        <v>107</v>
      </c>
      <c r="J1304" s="564" t="s">
        <v>1069</v>
      </c>
      <c r="K1304" s="564" t="s">
        <v>1120</v>
      </c>
      <c r="L1304" s="564" t="s">
        <v>2098</v>
      </c>
      <c r="M1304" s="564" t="s">
        <v>2098</v>
      </c>
      <c r="N1304" s="564" t="s">
        <v>1073</v>
      </c>
      <c r="O1304" s="564" t="s">
        <v>2099</v>
      </c>
      <c r="P1304" s="23"/>
      <c r="Q1304" s="23"/>
      <c r="R1304" s="23"/>
      <c r="S1304" s="23"/>
      <c r="T1304" s="23"/>
      <c r="U1304" s="23"/>
      <c r="V1304" s="23"/>
      <c r="W1304" s="23"/>
      <c r="X1304" s="23"/>
      <c r="Y1304" s="23"/>
      <c r="Z1304" s="23"/>
    </row>
    <row r="1305" spans="1:26" ht="13">
      <c r="A1305" s="562" t="s">
        <v>3881</v>
      </c>
      <c r="B1305" s="563" t="s">
        <v>3882</v>
      </c>
      <c r="C1305" s="564" t="s">
        <v>1652</v>
      </c>
      <c r="D1305" s="565">
        <v>44510</v>
      </c>
      <c r="E1305" s="565">
        <v>44523</v>
      </c>
      <c r="F1305" s="566">
        <v>1536000</v>
      </c>
      <c r="G1305" s="564" t="s">
        <v>297</v>
      </c>
      <c r="H1305" s="564" t="s">
        <v>297</v>
      </c>
      <c r="I1305" s="564" t="s">
        <v>70</v>
      </c>
      <c r="J1305" s="564" t="s">
        <v>1069</v>
      </c>
      <c r="K1305" s="564" t="s">
        <v>1120</v>
      </c>
      <c r="L1305" s="564" t="s">
        <v>2098</v>
      </c>
      <c r="M1305" s="564" t="s">
        <v>2098</v>
      </c>
      <c r="N1305" s="564" t="s">
        <v>70</v>
      </c>
      <c r="O1305" s="564" t="s">
        <v>2099</v>
      </c>
      <c r="P1305" s="23"/>
      <c r="Q1305" s="23"/>
      <c r="R1305" s="23"/>
      <c r="S1305" s="23"/>
      <c r="T1305" s="23"/>
      <c r="U1305" s="23"/>
      <c r="V1305" s="23"/>
      <c r="W1305" s="23"/>
      <c r="X1305" s="23"/>
      <c r="Y1305" s="23"/>
      <c r="Z1305" s="23"/>
    </row>
    <row r="1306" spans="1:26" ht="13">
      <c r="A1306" s="562" t="s">
        <v>3883</v>
      </c>
      <c r="B1306" s="563" t="s">
        <v>3884</v>
      </c>
      <c r="C1306" s="564" t="s">
        <v>1652</v>
      </c>
      <c r="D1306" s="565">
        <v>44508</v>
      </c>
      <c r="E1306" s="565">
        <v>44561</v>
      </c>
      <c r="F1306" s="566">
        <v>320050000</v>
      </c>
      <c r="G1306" s="564" t="s">
        <v>297</v>
      </c>
      <c r="H1306" s="564" t="s">
        <v>297</v>
      </c>
      <c r="I1306" s="564" t="s">
        <v>70</v>
      </c>
      <c r="J1306" s="564" t="s">
        <v>1069</v>
      </c>
      <c r="K1306" s="564" t="s">
        <v>1120</v>
      </c>
      <c r="L1306" s="564" t="s">
        <v>2098</v>
      </c>
      <c r="M1306" s="564" t="s">
        <v>2098</v>
      </c>
      <c r="N1306" s="564" t="s">
        <v>70</v>
      </c>
      <c r="O1306" s="564" t="s">
        <v>2099</v>
      </c>
      <c r="P1306" s="23"/>
      <c r="Q1306" s="23"/>
      <c r="R1306" s="23"/>
      <c r="S1306" s="23"/>
      <c r="T1306" s="23"/>
      <c r="U1306" s="23"/>
      <c r="V1306" s="23"/>
      <c r="W1306" s="23"/>
      <c r="X1306" s="23"/>
      <c r="Y1306" s="23"/>
      <c r="Z1306" s="23"/>
    </row>
    <row r="1307" spans="1:26" ht="13">
      <c r="A1307" s="562" t="s">
        <v>3885</v>
      </c>
      <c r="B1307" s="563" t="s">
        <v>3018</v>
      </c>
      <c r="C1307" s="564" t="s">
        <v>353</v>
      </c>
      <c r="D1307" s="565">
        <v>44508</v>
      </c>
      <c r="E1307" s="565">
        <v>44530</v>
      </c>
      <c r="F1307" s="566">
        <v>450000</v>
      </c>
      <c r="G1307" s="564" t="s">
        <v>297</v>
      </c>
      <c r="H1307" s="564" t="s">
        <v>297</v>
      </c>
      <c r="I1307" s="564" t="s">
        <v>225</v>
      </c>
      <c r="J1307" s="564" t="s">
        <v>1069</v>
      </c>
      <c r="K1307" s="564" t="s">
        <v>1105</v>
      </c>
      <c r="L1307" s="564" t="s">
        <v>2098</v>
      </c>
      <c r="M1307" s="564" t="s">
        <v>2098</v>
      </c>
      <c r="N1307" s="564" t="s">
        <v>225</v>
      </c>
      <c r="O1307" s="564" t="s">
        <v>2099</v>
      </c>
      <c r="P1307" s="23"/>
      <c r="Q1307" s="23"/>
      <c r="R1307" s="23"/>
      <c r="S1307" s="23"/>
      <c r="T1307" s="23"/>
      <c r="U1307" s="23"/>
      <c r="V1307" s="23"/>
      <c r="W1307" s="23"/>
      <c r="X1307" s="23"/>
      <c r="Y1307" s="23"/>
      <c r="Z1307" s="23"/>
    </row>
    <row r="1308" spans="1:26" ht="13">
      <c r="A1308" s="562" t="s">
        <v>3886</v>
      </c>
      <c r="B1308" s="563" t="s">
        <v>3887</v>
      </c>
      <c r="C1308" s="564" t="s">
        <v>1652</v>
      </c>
      <c r="D1308" s="565">
        <v>44505</v>
      </c>
      <c r="E1308" s="565">
        <v>44515</v>
      </c>
      <c r="F1308" s="566">
        <v>4256000</v>
      </c>
      <c r="G1308" s="564" t="s">
        <v>297</v>
      </c>
      <c r="H1308" s="564" t="s">
        <v>297</v>
      </c>
      <c r="I1308" s="564" t="s">
        <v>70</v>
      </c>
      <c r="J1308" s="564" t="s">
        <v>1069</v>
      </c>
      <c r="K1308" s="564" t="s">
        <v>1120</v>
      </c>
      <c r="L1308" s="564" t="s">
        <v>2098</v>
      </c>
      <c r="M1308" s="564" t="s">
        <v>2098</v>
      </c>
      <c r="N1308" s="564" t="s">
        <v>70</v>
      </c>
      <c r="O1308" s="564" t="s">
        <v>2099</v>
      </c>
      <c r="P1308" s="23"/>
      <c r="Q1308" s="23"/>
      <c r="R1308" s="23"/>
      <c r="S1308" s="23"/>
      <c r="T1308" s="23"/>
      <c r="U1308" s="23"/>
      <c r="V1308" s="23"/>
      <c r="W1308" s="23"/>
      <c r="X1308" s="23"/>
      <c r="Y1308" s="23"/>
      <c r="Z1308" s="23"/>
    </row>
    <row r="1309" spans="1:26" ht="13">
      <c r="A1309" s="562" t="s">
        <v>3888</v>
      </c>
      <c r="B1309" s="563" t="s">
        <v>3889</v>
      </c>
      <c r="C1309" s="564" t="s">
        <v>1475</v>
      </c>
      <c r="D1309" s="565">
        <v>44504</v>
      </c>
      <c r="E1309" s="565">
        <v>44530</v>
      </c>
      <c r="F1309" s="566">
        <v>1200000</v>
      </c>
      <c r="G1309" s="564" t="s">
        <v>297</v>
      </c>
      <c r="H1309" s="564" t="s">
        <v>297</v>
      </c>
      <c r="I1309" s="564" t="s">
        <v>3824</v>
      </c>
      <c r="J1309" s="564" t="s">
        <v>1069</v>
      </c>
      <c r="K1309" s="564" t="s">
        <v>1070</v>
      </c>
      <c r="L1309" s="564" t="s">
        <v>2098</v>
      </c>
      <c r="M1309" s="564" t="s">
        <v>2098</v>
      </c>
      <c r="N1309" s="564" t="s">
        <v>1073</v>
      </c>
      <c r="O1309" s="564" t="s">
        <v>2099</v>
      </c>
      <c r="P1309" s="23"/>
      <c r="Q1309" s="23"/>
      <c r="R1309" s="23"/>
      <c r="S1309" s="23"/>
      <c r="T1309" s="23"/>
      <c r="U1309" s="23"/>
      <c r="V1309" s="23"/>
      <c r="W1309" s="23"/>
      <c r="X1309" s="23"/>
      <c r="Y1309" s="23"/>
      <c r="Z1309" s="23"/>
    </row>
    <row r="1310" spans="1:26" ht="13">
      <c r="A1310" s="562" t="s">
        <v>3890</v>
      </c>
      <c r="B1310" s="563" t="s">
        <v>3026</v>
      </c>
      <c r="C1310" s="564" t="s">
        <v>1475</v>
      </c>
      <c r="D1310" s="565">
        <v>44497</v>
      </c>
      <c r="E1310" s="565">
        <v>44519</v>
      </c>
      <c r="F1310" s="566">
        <v>390000</v>
      </c>
      <c r="G1310" s="564" t="s">
        <v>297</v>
      </c>
      <c r="H1310" s="564" t="s">
        <v>297</v>
      </c>
      <c r="I1310" s="564" t="s">
        <v>2586</v>
      </c>
      <c r="J1310" s="564" t="s">
        <v>1069</v>
      </c>
      <c r="K1310" s="564" t="s">
        <v>1070</v>
      </c>
      <c r="L1310" s="564" t="s">
        <v>2098</v>
      </c>
      <c r="M1310" s="564" t="s">
        <v>2098</v>
      </c>
      <c r="N1310" s="564" t="s">
        <v>1073</v>
      </c>
      <c r="O1310" s="564" t="s">
        <v>2099</v>
      </c>
      <c r="P1310" s="23"/>
      <c r="Q1310" s="23"/>
      <c r="R1310" s="23"/>
      <c r="S1310" s="23"/>
      <c r="T1310" s="23"/>
      <c r="U1310" s="23"/>
      <c r="V1310" s="23"/>
      <c r="W1310" s="23"/>
      <c r="X1310" s="23"/>
      <c r="Y1310" s="23"/>
      <c r="Z1310" s="23"/>
    </row>
    <row r="1311" spans="1:26" ht="13">
      <c r="A1311" s="562" t="s">
        <v>3891</v>
      </c>
      <c r="B1311" s="563" t="s">
        <v>3892</v>
      </c>
      <c r="C1311" s="564" t="s">
        <v>1475</v>
      </c>
      <c r="D1311" s="565">
        <v>44497</v>
      </c>
      <c r="E1311" s="565">
        <v>44519</v>
      </c>
      <c r="F1311" s="566">
        <v>390000</v>
      </c>
      <c r="G1311" s="564" t="s">
        <v>297</v>
      </c>
      <c r="H1311" s="564" t="s">
        <v>297</v>
      </c>
      <c r="I1311" s="564" t="s">
        <v>3824</v>
      </c>
      <c r="J1311" s="564" t="s">
        <v>1069</v>
      </c>
      <c r="K1311" s="564" t="s">
        <v>1070</v>
      </c>
      <c r="L1311" s="564" t="s">
        <v>2098</v>
      </c>
      <c r="M1311" s="564" t="s">
        <v>2098</v>
      </c>
      <c r="N1311" s="564" t="s">
        <v>1073</v>
      </c>
      <c r="O1311" s="564" t="s">
        <v>2099</v>
      </c>
      <c r="P1311" s="23"/>
      <c r="Q1311" s="23"/>
      <c r="R1311" s="23"/>
      <c r="S1311" s="23"/>
      <c r="T1311" s="23"/>
      <c r="U1311" s="23"/>
      <c r="V1311" s="23"/>
      <c r="W1311" s="23"/>
      <c r="X1311" s="23"/>
      <c r="Y1311" s="23"/>
      <c r="Z1311" s="23"/>
    </row>
    <row r="1312" spans="1:26" ht="13">
      <c r="A1312" s="562" t="s">
        <v>3893</v>
      </c>
      <c r="B1312" s="563" t="s">
        <v>3894</v>
      </c>
      <c r="C1312" s="564" t="s">
        <v>1652</v>
      </c>
      <c r="D1312" s="565">
        <v>44497</v>
      </c>
      <c r="E1312" s="565">
        <v>44510</v>
      </c>
      <c r="F1312" s="566">
        <v>2896000</v>
      </c>
      <c r="G1312" s="564" t="s">
        <v>297</v>
      </c>
      <c r="H1312" s="564" t="s">
        <v>297</v>
      </c>
      <c r="I1312" s="564" t="s">
        <v>70</v>
      </c>
      <c r="J1312" s="564" t="s">
        <v>1069</v>
      </c>
      <c r="K1312" s="564" t="s">
        <v>1120</v>
      </c>
      <c r="L1312" s="564" t="s">
        <v>2098</v>
      </c>
      <c r="M1312" s="564" t="s">
        <v>2098</v>
      </c>
      <c r="N1312" s="564" t="s">
        <v>70</v>
      </c>
      <c r="O1312" s="564" t="s">
        <v>2099</v>
      </c>
      <c r="P1312" s="23"/>
      <c r="Q1312" s="23"/>
      <c r="R1312" s="23"/>
      <c r="S1312" s="23"/>
      <c r="T1312" s="23"/>
      <c r="U1312" s="23"/>
      <c r="V1312" s="23"/>
      <c r="W1312" s="23"/>
      <c r="X1312" s="23"/>
      <c r="Y1312" s="23"/>
      <c r="Z1312" s="23"/>
    </row>
    <row r="1313" spans="1:26" ht="13">
      <c r="A1313" s="562" t="s">
        <v>3895</v>
      </c>
      <c r="B1313" s="563" t="s">
        <v>3896</v>
      </c>
      <c r="C1313" s="564" t="s">
        <v>1652</v>
      </c>
      <c r="D1313" s="565">
        <v>44497</v>
      </c>
      <c r="E1313" s="565">
        <v>44508</v>
      </c>
      <c r="F1313" s="566">
        <v>1190000</v>
      </c>
      <c r="G1313" s="564" t="s">
        <v>297</v>
      </c>
      <c r="H1313" s="564" t="s">
        <v>297</v>
      </c>
      <c r="I1313" s="564" t="s">
        <v>70</v>
      </c>
      <c r="J1313" s="564" t="s">
        <v>1069</v>
      </c>
      <c r="K1313" s="564" t="s">
        <v>1120</v>
      </c>
      <c r="L1313" s="564" t="s">
        <v>2098</v>
      </c>
      <c r="M1313" s="564" t="s">
        <v>2098</v>
      </c>
      <c r="N1313" s="564" t="s">
        <v>70</v>
      </c>
      <c r="O1313" s="564" t="s">
        <v>2099</v>
      </c>
      <c r="P1313" s="23"/>
      <c r="Q1313" s="23"/>
      <c r="R1313" s="23"/>
      <c r="S1313" s="23"/>
      <c r="T1313" s="23"/>
      <c r="U1313" s="23"/>
      <c r="V1313" s="23"/>
      <c r="W1313" s="23"/>
      <c r="X1313" s="23"/>
      <c r="Y1313" s="23"/>
      <c r="Z1313" s="23"/>
    </row>
    <row r="1314" spans="1:26" ht="13">
      <c r="A1314" s="562" t="s">
        <v>3897</v>
      </c>
      <c r="B1314" s="563" t="s">
        <v>3898</v>
      </c>
      <c r="C1314" s="564" t="s">
        <v>1652</v>
      </c>
      <c r="D1314" s="565">
        <v>44497</v>
      </c>
      <c r="E1314" s="565">
        <v>44508</v>
      </c>
      <c r="F1314" s="566">
        <v>1190000</v>
      </c>
      <c r="G1314" s="564" t="s">
        <v>297</v>
      </c>
      <c r="H1314" s="564" t="s">
        <v>297</v>
      </c>
      <c r="I1314" s="564" t="s">
        <v>70</v>
      </c>
      <c r="J1314" s="564" t="s">
        <v>1069</v>
      </c>
      <c r="K1314" s="564" t="s">
        <v>1120</v>
      </c>
      <c r="L1314" s="564" t="s">
        <v>2098</v>
      </c>
      <c r="M1314" s="564" t="s">
        <v>2098</v>
      </c>
      <c r="N1314" s="564" t="s">
        <v>70</v>
      </c>
      <c r="O1314" s="564" t="s">
        <v>2099</v>
      </c>
      <c r="P1314" s="23"/>
      <c r="Q1314" s="23"/>
      <c r="R1314" s="23"/>
      <c r="S1314" s="23"/>
      <c r="T1314" s="23"/>
      <c r="U1314" s="23"/>
      <c r="V1314" s="23"/>
      <c r="W1314" s="23"/>
      <c r="X1314" s="23"/>
      <c r="Y1314" s="23"/>
      <c r="Z1314" s="23"/>
    </row>
    <row r="1315" spans="1:26" ht="13">
      <c r="A1315" s="562" t="s">
        <v>3899</v>
      </c>
      <c r="B1315" s="563" t="s">
        <v>3900</v>
      </c>
      <c r="C1315" s="564" t="s">
        <v>1475</v>
      </c>
      <c r="D1315" s="565">
        <v>44490</v>
      </c>
      <c r="E1315" s="565">
        <v>44500</v>
      </c>
      <c r="F1315" s="566">
        <v>174000</v>
      </c>
      <c r="G1315" s="564" t="s">
        <v>1123</v>
      </c>
      <c r="H1315" s="564" t="s">
        <v>1123</v>
      </c>
      <c r="I1315" s="564" t="s">
        <v>1581</v>
      </c>
      <c r="J1315" s="564" t="s">
        <v>1069</v>
      </c>
      <c r="K1315" s="564" t="s">
        <v>1070</v>
      </c>
      <c r="L1315" s="564" t="s">
        <v>2098</v>
      </c>
      <c r="M1315" s="564" t="s">
        <v>2098</v>
      </c>
      <c r="N1315" s="564" t="s">
        <v>1082</v>
      </c>
      <c r="O1315" s="564" t="s">
        <v>2099</v>
      </c>
      <c r="P1315" s="23"/>
      <c r="Q1315" s="23"/>
      <c r="R1315" s="23"/>
      <c r="S1315" s="23"/>
      <c r="T1315" s="23"/>
      <c r="U1315" s="23"/>
      <c r="V1315" s="23"/>
      <c r="W1315" s="23"/>
      <c r="X1315" s="23"/>
      <c r="Y1315" s="23"/>
      <c r="Z1315" s="23"/>
    </row>
    <row r="1316" spans="1:26" ht="13">
      <c r="A1316" s="562" t="s">
        <v>3901</v>
      </c>
      <c r="B1316" s="563" t="s">
        <v>3902</v>
      </c>
      <c r="C1316" s="564" t="s">
        <v>1475</v>
      </c>
      <c r="D1316" s="565">
        <v>44487</v>
      </c>
      <c r="E1316" s="565">
        <v>44494</v>
      </c>
      <c r="F1316" s="566">
        <v>687500</v>
      </c>
      <c r="G1316" s="564" t="s">
        <v>1400</v>
      </c>
      <c r="H1316" s="564" t="s">
        <v>1400</v>
      </c>
      <c r="I1316" s="564" t="s">
        <v>125</v>
      </c>
      <c r="J1316" s="564" t="s">
        <v>1069</v>
      </c>
      <c r="K1316" s="564" t="s">
        <v>1070</v>
      </c>
      <c r="L1316" s="564" t="s">
        <v>2098</v>
      </c>
      <c r="M1316" s="564" t="s">
        <v>2098</v>
      </c>
      <c r="N1316" s="564" t="s">
        <v>1073</v>
      </c>
      <c r="O1316" s="564" t="s">
        <v>2099</v>
      </c>
      <c r="P1316" s="23"/>
      <c r="Q1316" s="23"/>
      <c r="R1316" s="23"/>
      <c r="S1316" s="23"/>
      <c r="T1316" s="23"/>
      <c r="U1316" s="23"/>
      <c r="V1316" s="23"/>
      <c r="W1316" s="23"/>
      <c r="X1316" s="23"/>
      <c r="Y1316" s="23"/>
      <c r="Z1316" s="23"/>
    </row>
    <row r="1317" spans="1:26" ht="13">
      <c r="A1317" s="562" t="s">
        <v>3903</v>
      </c>
      <c r="B1317" s="563" t="s">
        <v>3904</v>
      </c>
      <c r="C1317" s="564" t="s">
        <v>1652</v>
      </c>
      <c r="D1317" s="565">
        <v>44490</v>
      </c>
      <c r="E1317" s="565">
        <v>44498</v>
      </c>
      <c r="F1317" s="566">
        <v>88000</v>
      </c>
      <c r="G1317" s="564" t="s">
        <v>297</v>
      </c>
      <c r="H1317" s="564" t="s">
        <v>297</v>
      </c>
      <c r="I1317" s="564" t="s">
        <v>70</v>
      </c>
      <c r="J1317" s="564" t="s">
        <v>1069</v>
      </c>
      <c r="K1317" s="564" t="s">
        <v>1120</v>
      </c>
      <c r="L1317" s="564" t="s">
        <v>2098</v>
      </c>
      <c r="M1317" s="564" t="s">
        <v>2098</v>
      </c>
      <c r="N1317" s="564" t="s">
        <v>70</v>
      </c>
      <c r="O1317" s="564" t="s">
        <v>2099</v>
      </c>
      <c r="P1317" s="23"/>
      <c r="Q1317" s="23"/>
      <c r="R1317" s="23"/>
      <c r="S1317" s="23"/>
      <c r="T1317" s="23"/>
      <c r="U1317" s="23"/>
      <c r="V1317" s="23"/>
      <c r="W1317" s="23"/>
      <c r="X1317" s="23"/>
      <c r="Y1317" s="23"/>
      <c r="Z1317" s="23"/>
    </row>
    <row r="1318" spans="1:26" ht="13">
      <c r="A1318" s="562" t="s">
        <v>3905</v>
      </c>
      <c r="B1318" s="563" t="s">
        <v>3906</v>
      </c>
      <c r="C1318" s="564" t="s">
        <v>1652</v>
      </c>
      <c r="D1318" s="565">
        <v>44489</v>
      </c>
      <c r="E1318" s="565">
        <v>44497</v>
      </c>
      <c r="F1318" s="566">
        <v>2896000</v>
      </c>
      <c r="G1318" s="564" t="s">
        <v>297</v>
      </c>
      <c r="H1318" s="564" t="s">
        <v>297</v>
      </c>
      <c r="I1318" s="564" t="s">
        <v>70</v>
      </c>
      <c r="J1318" s="564" t="s">
        <v>1069</v>
      </c>
      <c r="K1318" s="564" t="s">
        <v>1120</v>
      </c>
      <c r="L1318" s="564" t="s">
        <v>2098</v>
      </c>
      <c r="M1318" s="564" t="s">
        <v>2098</v>
      </c>
      <c r="N1318" s="564" t="s">
        <v>70</v>
      </c>
      <c r="O1318" s="564" t="s">
        <v>2099</v>
      </c>
      <c r="P1318" s="23"/>
      <c r="Q1318" s="23"/>
      <c r="R1318" s="23"/>
      <c r="S1318" s="23"/>
      <c r="T1318" s="23"/>
      <c r="U1318" s="23"/>
      <c r="V1318" s="23"/>
      <c r="W1318" s="23"/>
      <c r="X1318" s="23"/>
      <c r="Y1318" s="23"/>
      <c r="Z1318" s="23"/>
    </row>
    <row r="1319" spans="1:26" ht="13">
      <c r="A1319" s="562" t="s">
        <v>3907</v>
      </c>
      <c r="B1319" s="563" t="s">
        <v>3908</v>
      </c>
      <c r="C1319" s="564" t="s">
        <v>353</v>
      </c>
      <c r="D1319" s="565">
        <v>44483</v>
      </c>
      <c r="E1319" s="565">
        <v>44489</v>
      </c>
      <c r="F1319" s="566">
        <v>40502000</v>
      </c>
      <c r="G1319" s="564" t="s">
        <v>1128</v>
      </c>
      <c r="H1319" s="564" t="s">
        <v>1128</v>
      </c>
      <c r="I1319" s="564" t="s">
        <v>45</v>
      </c>
      <c r="J1319" s="564" t="s">
        <v>1069</v>
      </c>
      <c r="K1319" s="564" t="s">
        <v>1090</v>
      </c>
      <c r="L1319" s="564" t="s">
        <v>2098</v>
      </c>
      <c r="M1319" s="564" t="s">
        <v>2098</v>
      </c>
      <c r="N1319" s="564" t="s">
        <v>45</v>
      </c>
      <c r="O1319" s="564" t="s">
        <v>2099</v>
      </c>
      <c r="P1319" s="23"/>
      <c r="Q1319" s="23"/>
      <c r="R1319" s="23"/>
      <c r="S1319" s="23"/>
      <c r="T1319" s="23"/>
      <c r="U1319" s="23"/>
      <c r="V1319" s="23"/>
      <c r="W1319" s="23"/>
      <c r="X1319" s="23"/>
      <c r="Y1319" s="23"/>
      <c r="Z1319" s="23"/>
    </row>
    <row r="1320" spans="1:26" ht="13">
      <c r="A1320" s="562" t="s">
        <v>3909</v>
      </c>
      <c r="B1320" s="563" t="s">
        <v>3910</v>
      </c>
      <c r="C1320" s="564" t="s">
        <v>353</v>
      </c>
      <c r="D1320" s="565">
        <v>44481</v>
      </c>
      <c r="E1320" s="565">
        <v>44557</v>
      </c>
      <c r="F1320" s="566">
        <v>109300000</v>
      </c>
      <c r="G1320" s="564" t="s">
        <v>1128</v>
      </c>
      <c r="H1320" s="564" t="s">
        <v>1128</v>
      </c>
      <c r="I1320" s="564" t="s">
        <v>45</v>
      </c>
      <c r="J1320" s="564" t="s">
        <v>1069</v>
      </c>
      <c r="K1320" s="564" t="s">
        <v>1090</v>
      </c>
      <c r="L1320" s="564" t="s">
        <v>2098</v>
      </c>
      <c r="M1320" s="564" t="s">
        <v>2098</v>
      </c>
      <c r="N1320" s="564" t="s">
        <v>45</v>
      </c>
      <c r="O1320" s="564" t="s">
        <v>2099</v>
      </c>
      <c r="P1320" s="23"/>
      <c r="Q1320" s="23"/>
      <c r="R1320" s="23"/>
      <c r="S1320" s="23"/>
      <c r="T1320" s="23"/>
      <c r="U1320" s="23"/>
      <c r="V1320" s="23"/>
      <c r="W1320" s="23"/>
      <c r="X1320" s="23"/>
      <c r="Y1320" s="23"/>
      <c r="Z1320" s="23"/>
    </row>
    <row r="1321" spans="1:26" ht="13">
      <c r="A1321" s="562" t="s">
        <v>3911</v>
      </c>
      <c r="B1321" s="563" t="s">
        <v>3912</v>
      </c>
      <c r="C1321" s="564" t="s">
        <v>1475</v>
      </c>
      <c r="D1321" s="565">
        <v>44488</v>
      </c>
      <c r="E1321" s="565">
        <v>44530</v>
      </c>
      <c r="F1321" s="566">
        <v>5200000</v>
      </c>
      <c r="G1321" s="564" t="s">
        <v>297</v>
      </c>
      <c r="H1321" s="564" t="s">
        <v>297</v>
      </c>
      <c r="I1321" s="564" t="s">
        <v>1247</v>
      </c>
      <c r="J1321" s="564" t="s">
        <v>1069</v>
      </c>
      <c r="K1321" s="564" t="s">
        <v>1070</v>
      </c>
      <c r="L1321" s="564" t="s">
        <v>2098</v>
      </c>
      <c r="M1321" s="564" t="s">
        <v>2098</v>
      </c>
      <c r="N1321" s="564" t="s">
        <v>1073</v>
      </c>
      <c r="O1321" s="564" t="s">
        <v>2099</v>
      </c>
      <c r="P1321" s="23"/>
      <c r="Q1321" s="23"/>
      <c r="R1321" s="23"/>
      <c r="S1321" s="23"/>
      <c r="T1321" s="23"/>
      <c r="U1321" s="23"/>
      <c r="V1321" s="23"/>
      <c r="W1321" s="23"/>
      <c r="X1321" s="23"/>
      <c r="Y1321" s="23"/>
      <c r="Z1321" s="23"/>
    </row>
    <row r="1322" spans="1:26" ht="13">
      <c r="A1322" s="562" t="s">
        <v>3913</v>
      </c>
      <c r="B1322" s="563" t="s">
        <v>3914</v>
      </c>
      <c r="C1322" s="564" t="s">
        <v>3915</v>
      </c>
      <c r="D1322" s="565">
        <v>44487</v>
      </c>
      <c r="E1322" s="565">
        <v>44498</v>
      </c>
      <c r="F1322" s="566">
        <v>687500</v>
      </c>
      <c r="G1322" s="564" t="s">
        <v>1400</v>
      </c>
      <c r="H1322" s="564" t="s">
        <v>1400</v>
      </c>
      <c r="I1322" s="564" t="s">
        <v>125</v>
      </c>
      <c r="J1322" s="564" t="s">
        <v>1069</v>
      </c>
      <c r="K1322" s="564" t="s">
        <v>1070</v>
      </c>
      <c r="L1322" s="564" t="s">
        <v>2098</v>
      </c>
      <c r="M1322" s="564" t="s">
        <v>2098</v>
      </c>
      <c r="N1322" s="564" t="s">
        <v>1073</v>
      </c>
      <c r="O1322" s="564" t="s">
        <v>2099</v>
      </c>
      <c r="P1322" s="23"/>
      <c r="Q1322" s="23"/>
      <c r="R1322" s="23"/>
      <c r="S1322" s="23"/>
      <c r="T1322" s="23"/>
      <c r="U1322" s="23"/>
      <c r="V1322" s="23"/>
      <c r="W1322" s="23"/>
      <c r="X1322" s="23"/>
      <c r="Y1322" s="23"/>
      <c r="Z1322" s="23"/>
    </row>
    <row r="1323" spans="1:26" ht="13">
      <c r="A1323" s="562" t="s">
        <v>3916</v>
      </c>
      <c r="B1323" s="563" t="s">
        <v>3917</v>
      </c>
      <c r="C1323" s="564" t="s">
        <v>1652</v>
      </c>
      <c r="D1323" s="565">
        <v>44484</v>
      </c>
      <c r="E1323" s="565">
        <v>44494</v>
      </c>
      <c r="F1323" s="566">
        <v>88000</v>
      </c>
      <c r="G1323" s="564" t="s">
        <v>297</v>
      </c>
      <c r="H1323" s="564" t="s">
        <v>297</v>
      </c>
      <c r="I1323" s="564" t="s">
        <v>70</v>
      </c>
      <c r="J1323" s="564" t="s">
        <v>1069</v>
      </c>
      <c r="K1323" s="564" t="s">
        <v>1120</v>
      </c>
      <c r="L1323" s="564" t="s">
        <v>2098</v>
      </c>
      <c r="M1323" s="564" t="s">
        <v>2098</v>
      </c>
      <c r="N1323" s="564" t="s">
        <v>70</v>
      </c>
      <c r="O1323" s="564" t="s">
        <v>2099</v>
      </c>
      <c r="P1323" s="23"/>
      <c r="Q1323" s="23"/>
      <c r="R1323" s="23"/>
      <c r="S1323" s="23"/>
      <c r="T1323" s="23"/>
      <c r="U1323" s="23"/>
      <c r="V1323" s="23"/>
      <c r="W1323" s="23"/>
      <c r="X1323" s="23"/>
      <c r="Y1323" s="23"/>
      <c r="Z1323" s="23"/>
    </row>
    <row r="1324" spans="1:26" ht="13">
      <c r="A1324" s="562" t="s">
        <v>3918</v>
      </c>
      <c r="B1324" s="563" t="s">
        <v>3919</v>
      </c>
      <c r="C1324" s="564" t="s">
        <v>1076</v>
      </c>
      <c r="D1324" s="565">
        <v>44482</v>
      </c>
      <c r="E1324" s="565">
        <v>44663</v>
      </c>
      <c r="F1324" s="566">
        <v>1278200</v>
      </c>
      <c r="G1324" s="564" t="s">
        <v>1077</v>
      </c>
      <c r="H1324" s="564" t="s">
        <v>1077</v>
      </c>
      <c r="I1324" s="564" t="s">
        <v>637</v>
      </c>
      <c r="J1324" s="564" t="s">
        <v>1069</v>
      </c>
      <c r="K1324" s="564" t="s">
        <v>1070</v>
      </c>
      <c r="L1324" s="564" t="s">
        <v>2098</v>
      </c>
      <c r="M1324" s="564" t="s">
        <v>2098</v>
      </c>
      <c r="N1324" s="564" t="s">
        <v>1082</v>
      </c>
      <c r="O1324" s="564" t="s">
        <v>2099</v>
      </c>
      <c r="P1324" s="23"/>
      <c r="Q1324" s="23"/>
      <c r="R1324" s="23"/>
      <c r="S1324" s="23"/>
      <c r="T1324" s="23"/>
      <c r="U1324" s="23"/>
      <c r="V1324" s="23"/>
      <c r="W1324" s="23"/>
      <c r="X1324" s="23"/>
      <c r="Y1324" s="23"/>
      <c r="Z1324" s="23"/>
    </row>
    <row r="1325" spans="1:26" ht="13">
      <c r="A1325" s="562" t="s">
        <v>3920</v>
      </c>
      <c r="B1325" s="563" t="s">
        <v>3921</v>
      </c>
      <c r="C1325" s="564" t="s">
        <v>1652</v>
      </c>
      <c r="D1325" s="565">
        <v>44484</v>
      </c>
      <c r="E1325" s="565">
        <v>44530</v>
      </c>
      <c r="F1325" s="566">
        <v>990000</v>
      </c>
      <c r="G1325" s="564" t="s">
        <v>297</v>
      </c>
      <c r="H1325" s="564" t="s">
        <v>297</v>
      </c>
      <c r="I1325" s="564" t="s">
        <v>70</v>
      </c>
      <c r="J1325" s="564" t="s">
        <v>1069</v>
      </c>
      <c r="K1325" s="564" t="s">
        <v>1120</v>
      </c>
      <c r="L1325" s="564" t="s">
        <v>2098</v>
      </c>
      <c r="M1325" s="564" t="s">
        <v>2098</v>
      </c>
      <c r="N1325" s="564" t="s">
        <v>70</v>
      </c>
      <c r="O1325" s="564" t="s">
        <v>2099</v>
      </c>
      <c r="P1325" s="23"/>
      <c r="Q1325" s="23"/>
      <c r="R1325" s="23"/>
      <c r="S1325" s="23"/>
      <c r="T1325" s="23"/>
      <c r="U1325" s="23"/>
      <c r="V1325" s="23"/>
      <c r="W1325" s="23"/>
      <c r="X1325" s="23"/>
      <c r="Y1325" s="23"/>
      <c r="Z1325" s="23"/>
    </row>
    <row r="1326" spans="1:26" ht="13">
      <c r="A1326" s="562" t="s">
        <v>3922</v>
      </c>
      <c r="B1326" s="563" t="s">
        <v>3923</v>
      </c>
      <c r="C1326" s="564" t="s">
        <v>1652</v>
      </c>
      <c r="D1326" s="565">
        <v>44482</v>
      </c>
      <c r="E1326" s="565">
        <v>44491</v>
      </c>
      <c r="F1326" s="566">
        <v>4020000</v>
      </c>
      <c r="G1326" s="564" t="s">
        <v>297</v>
      </c>
      <c r="H1326" s="564" t="s">
        <v>297</v>
      </c>
      <c r="I1326" s="564" t="s">
        <v>70</v>
      </c>
      <c r="J1326" s="564" t="s">
        <v>1069</v>
      </c>
      <c r="K1326" s="564" t="s">
        <v>1120</v>
      </c>
      <c r="L1326" s="564" t="s">
        <v>2098</v>
      </c>
      <c r="M1326" s="564" t="s">
        <v>2098</v>
      </c>
      <c r="N1326" s="564" t="s">
        <v>70</v>
      </c>
      <c r="O1326" s="564" t="s">
        <v>2099</v>
      </c>
      <c r="P1326" s="23"/>
      <c r="Q1326" s="23"/>
      <c r="R1326" s="23"/>
      <c r="S1326" s="23"/>
      <c r="T1326" s="23"/>
      <c r="U1326" s="23"/>
      <c r="V1326" s="23"/>
      <c r="W1326" s="23"/>
      <c r="X1326" s="23"/>
      <c r="Y1326" s="23"/>
      <c r="Z1326" s="23"/>
    </row>
    <row r="1327" spans="1:26" ht="13">
      <c r="A1327" s="562" t="s">
        <v>3924</v>
      </c>
      <c r="B1327" s="563" t="s">
        <v>3925</v>
      </c>
      <c r="C1327" s="564" t="s">
        <v>1652</v>
      </c>
      <c r="D1327" s="565">
        <v>44482</v>
      </c>
      <c r="E1327" s="565">
        <v>44498</v>
      </c>
      <c r="F1327" s="566">
        <v>1990000</v>
      </c>
      <c r="G1327" s="564" t="s">
        <v>297</v>
      </c>
      <c r="H1327" s="564" t="s">
        <v>297</v>
      </c>
      <c r="I1327" s="564" t="s">
        <v>70</v>
      </c>
      <c r="J1327" s="564" t="s">
        <v>1069</v>
      </c>
      <c r="K1327" s="564" t="s">
        <v>1120</v>
      </c>
      <c r="L1327" s="564" t="s">
        <v>2098</v>
      </c>
      <c r="M1327" s="564" t="s">
        <v>2098</v>
      </c>
      <c r="N1327" s="564" t="s">
        <v>70</v>
      </c>
      <c r="O1327" s="564" t="s">
        <v>2099</v>
      </c>
      <c r="P1327" s="23"/>
      <c r="Q1327" s="23"/>
      <c r="R1327" s="23"/>
      <c r="S1327" s="23"/>
      <c r="T1327" s="23"/>
      <c r="U1327" s="23"/>
      <c r="V1327" s="23"/>
      <c r="W1327" s="23"/>
      <c r="X1327" s="23"/>
      <c r="Y1327" s="23"/>
      <c r="Z1327" s="23"/>
    </row>
    <row r="1328" spans="1:26" ht="13">
      <c r="A1328" s="562" t="s">
        <v>3926</v>
      </c>
      <c r="B1328" s="563" t="s">
        <v>3927</v>
      </c>
      <c r="C1328" s="564" t="s">
        <v>1652</v>
      </c>
      <c r="D1328" s="565">
        <v>44482</v>
      </c>
      <c r="E1328" s="565">
        <v>44491</v>
      </c>
      <c r="F1328" s="566">
        <v>1043000</v>
      </c>
      <c r="G1328" s="564" t="s">
        <v>297</v>
      </c>
      <c r="H1328" s="564" t="s">
        <v>297</v>
      </c>
      <c r="I1328" s="564" t="s">
        <v>1223</v>
      </c>
      <c r="J1328" s="564" t="s">
        <v>1069</v>
      </c>
      <c r="K1328" s="564" t="s">
        <v>1120</v>
      </c>
      <c r="L1328" s="564" t="s">
        <v>2098</v>
      </c>
      <c r="M1328" s="564" t="s">
        <v>2098</v>
      </c>
      <c r="N1328" s="564" t="s">
        <v>1073</v>
      </c>
      <c r="O1328" s="564" t="s">
        <v>2099</v>
      </c>
      <c r="P1328" s="23"/>
      <c r="Q1328" s="23"/>
      <c r="R1328" s="23"/>
      <c r="S1328" s="23"/>
      <c r="T1328" s="23"/>
      <c r="U1328" s="23"/>
      <c r="V1328" s="23"/>
      <c r="W1328" s="23"/>
      <c r="X1328" s="23"/>
      <c r="Y1328" s="23"/>
      <c r="Z1328" s="23"/>
    </row>
    <row r="1329" spans="1:26" ht="13">
      <c r="A1329" s="562" t="s">
        <v>3928</v>
      </c>
      <c r="B1329" s="563" t="s">
        <v>3929</v>
      </c>
      <c r="C1329" s="564" t="s">
        <v>2322</v>
      </c>
      <c r="D1329" s="565">
        <v>44483</v>
      </c>
      <c r="E1329" s="565">
        <v>44488</v>
      </c>
      <c r="F1329" s="566">
        <v>47130970</v>
      </c>
      <c r="G1329" s="564" t="s">
        <v>1640</v>
      </c>
      <c r="H1329" s="564" t="s">
        <v>1640</v>
      </c>
      <c r="I1329" s="564" t="s">
        <v>3853</v>
      </c>
      <c r="J1329" s="564" t="s">
        <v>1069</v>
      </c>
      <c r="K1329" s="564" t="s">
        <v>1070</v>
      </c>
      <c r="L1329" s="564" t="s">
        <v>2098</v>
      </c>
      <c r="M1329" s="564" t="s">
        <v>2098</v>
      </c>
      <c r="N1329" s="564" t="s">
        <v>1082</v>
      </c>
      <c r="O1329" s="564" t="s">
        <v>2099</v>
      </c>
      <c r="P1329" s="23"/>
      <c r="Q1329" s="23"/>
      <c r="R1329" s="23"/>
      <c r="S1329" s="23"/>
      <c r="T1329" s="23"/>
      <c r="U1329" s="23"/>
      <c r="V1329" s="23"/>
      <c r="W1329" s="23"/>
      <c r="X1329" s="23"/>
      <c r="Y1329" s="23"/>
      <c r="Z1329" s="23"/>
    </row>
    <row r="1330" spans="1:26" ht="13">
      <c r="A1330" s="562" t="s">
        <v>3930</v>
      </c>
      <c r="B1330" s="563" t="s">
        <v>3931</v>
      </c>
      <c r="C1330" s="564" t="s">
        <v>1652</v>
      </c>
      <c r="D1330" s="565">
        <v>44477</v>
      </c>
      <c r="E1330" s="565">
        <v>44487</v>
      </c>
      <c r="F1330" s="566">
        <v>4344000</v>
      </c>
      <c r="G1330" s="564" t="s">
        <v>297</v>
      </c>
      <c r="H1330" s="564" t="s">
        <v>297</v>
      </c>
      <c r="I1330" s="564" t="s">
        <v>70</v>
      </c>
      <c r="J1330" s="564" t="s">
        <v>1069</v>
      </c>
      <c r="K1330" s="564" t="s">
        <v>1120</v>
      </c>
      <c r="L1330" s="564" t="s">
        <v>2098</v>
      </c>
      <c r="M1330" s="564" t="s">
        <v>2098</v>
      </c>
      <c r="N1330" s="564" t="s">
        <v>70</v>
      </c>
      <c r="O1330" s="564" t="s">
        <v>2099</v>
      </c>
      <c r="P1330" s="23"/>
      <c r="Q1330" s="23"/>
      <c r="R1330" s="23"/>
      <c r="S1330" s="23"/>
      <c r="T1330" s="23"/>
      <c r="U1330" s="23"/>
      <c r="V1330" s="23"/>
      <c r="W1330" s="23"/>
      <c r="X1330" s="23"/>
      <c r="Y1330" s="23"/>
      <c r="Z1330" s="23"/>
    </row>
    <row r="1331" spans="1:26" ht="13">
      <c r="A1331" s="562" t="s">
        <v>3932</v>
      </c>
      <c r="B1331" s="563" t="s">
        <v>3933</v>
      </c>
      <c r="C1331" s="564" t="s">
        <v>1076</v>
      </c>
      <c r="D1331" s="565">
        <v>44477</v>
      </c>
      <c r="E1331" s="565">
        <v>44561</v>
      </c>
      <c r="F1331" s="566">
        <v>8200000</v>
      </c>
      <c r="G1331" s="564" t="s">
        <v>1077</v>
      </c>
      <c r="H1331" s="564" t="s">
        <v>1077</v>
      </c>
      <c r="I1331" s="564" t="s">
        <v>637</v>
      </c>
      <c r="J1331" s="564" t="s">
        <v>1069</v>
      </c>
      <c r="K1331" s="564" t="s">
        <v>1070</v>
      </c>
      <c r="L1331" s="564" t="s">
        <v>2098</v>
      </c>
      <c r="M1331" s="564" t="s">
        <v>2098</v>
      </c>
      <c r="N1331" s="564" t="s">
        <v>1082</v>
      </c>
      <c r="O1331" s="564" t="s">
        <v>2099</v>
      </c>
      <c r="P1331" s="23"/>
      <c r="Q1331" s="23"/>
      <c r="R1331" s="23"/>
      <c r="S1331" s="23"/>
      <c r="T1331" s="23"/>
      <c r="U1331" s="23"/>
      <c r="V1331" s="23"/>
      <c r="W1331" s="23"/>
      <c r="X1331" s="23"/>
      <c r="Y1331" s="23"/>
      <c r="Z1331" s="23"/>
    </row>
    <row r="1332" spans="1:26" ht="13">
      <c r="A1332" s="562" t="s">
        <v>3934</v>
      </c>
      <c r="B1332" s="563" t="s">
        <v>3929</v>
      </c>
      <c r="C1332" s="564" t="s">
        <v>3935</v>
      </c>
      <c r="D1332" s="565">
        <v>44476</v>
      </c>
      <c r="E1332" s="565">
        <v>44484</v>
      </c>
      <c r="F1332" s="566">
        <v>47129760</v>
      </c>
      <c r="G1332" s="564" t="s">
        <v>1640</v>
      </c>
      <c r="H1332" s="564" t="s">
        <v>1640</v>
      </c>
      <c r="I1332" s="564" t="s">
        <v>3853</v>
      </c>
      <c r="J1332" s="564" t="s">
        <v>1069</v>
      </c>
      <c r="K1332" s="564" t="s">
        <v>1070</v>
      </c>
      <c r="L1332" s="564" t="s">
        <v>2098</v>
      </c>
      <c r="M1332" s="564" t="s">
        <v>2098</v>
      </c>
      <c r="N1332" s="564" t="s">
        <v>1082</v>
      </c>
      <c r="O1332" s="564" t="s">
        <v>2099</v>
      </c>
      <c r="P1332" s="23"/>
      <c r="Q1332" s="23"/>
      <c r="R1332" s="23"/>
      <c r="S1332" s="23"/>
      <c r="T1332" s="23"/>
      <c r="U1332" s="23"/>
      <c r="V1332" s="23"/>
      <c r="W1332" s="23"/>
      <c r="X1332" s="23"/>
      <c r="Y1332" s="23"/>
      <c r="Z1332" s="23"/>
    </row>
    <row r="1333" spans="1:26" ht="13">
      <c r="A1333" s="562" t="s">
        <v>3936</v>
      </c>
      <c r="B1333" s="563" t="s">
        <v>3937</v>
      </c>
      <c r="C1333" s="564" t="s">
        <v>353</v>
      </c>
      <c r="D1333" s="565">
        <v>44475</v>
      </c>
      <c r="E1333" s="565">
        <v>44491</v>
      </c>
      <c r="F1333" s="566">
        <v>287500</v>
      </c>
      <c r="G1333" s="564" t="s">
        <v>297</v>
      </c>
      <c r="H1333" s="564" t="s">
        <v>297</v>
      </c>
      <c r="I1333" s="564" t="s">
        <v>45</v>
      </c>
      <c r="J1333" s="564" t="s">
        <v>1069</v>
      </c>
      <c r="K1333" s="564" t="s">
        <v>1090</v>
      </c>
      <c r="L1333" s="564" t="s">
        <v>2098</v>
      </c>
      <c r="M1333" s="564" t="s">
        <v>2098</v>
      </c>
      <c r="N1333" s="564" t="s">
        <v>45</v>
      </c>
      <c r="O1333" s="564" t="s">
        <v>2099</v>
      </c>
      <c r="P1333" s="23"/>
      <c r="Q1333" s="23"/>
      <c r="R1333" s="23"/>
      <c r="S1333" s="23"/>
      <c r="T1333" s="23"/>
      <c r="U1333" s="23"/>
      <c r="V1333" s="23"/>
      <c r="W1333" s="23"/>
      <c r="X1333" s="23"/>
      <c r="Y1333" s="23"/>
      <c r="Z1333" s="23"/>
    </row>
    <row r="1334" spans="1:26" ht="13">
      <c r="A1334" s="562" t="s">
        <v>3938</v>
      </c>
      <c r="B1334" s="563" t="s">
        <v>3939</v>
      </c>
      <c r="C1334" s="564" t="s">
        <v>1652</v>
      </c>
      <c r="D1334" s="565">
        <v>44475</v>
      </c>
      <c r="E1334" s="565">
        <v>44481</v>
      </c>
      <c r="F1334" s="566">
        <v>1448000</v>
      </c>
      <c r="G1334" s="564" t="s">
        <v>297</v>
      </c>
      <c r="H1334" s="564" t="s">
        <v>297</v>
      </c>
      <c r="I1334" s="564" t="s">
        <v>70</v>
      </c>
      <c r="J1334" s="564" t="s">
        <v>1069</v>
      </c>
      <c r="K1334" s="564" t="s">
        <v>1120</v>
      </c>
      <c r="L1334" s="564" t="s">
        <v>2098</v>
      </c>
      <c r="M1334" s="564" t="s">
        <v>2098</v>
      </c>
      <c r="N1334" s="564" t="s">
        <v>70</v>
      </c>
      <c r="O1334" s="564" t="s">
        <v>2099</v>
      </c>
      <c r="P1334" s="23"/>
      <c r="Q1334" s="23"/>
      <c r="R1334" s="23"/>
      <c r="S1334" s="23"/>
      <c r="T1334" s="23"/>
      <c r="U1334" s="23"/>
      <c r="V1334" s="23"/>
      <c r="W1334" s="23"/>
      <c r="X1334" s="23"/>
      <c r="Y1334" s="23"/>
      <c r="Z1334" s="23"/>
    </row>
    <row r="1335" spans="1:26" ht="13">
      <c r="A1335" s="562" t="s">
        <v>3940</v>
      </c>
      <c r="B1335" s="563" t="s">
        <v>3941</v>
      </c>
      <c r="C1335" s="564" t="s">
        <v>1076</v>
      </c>
      <c r="D1335" s="565">
        <v>44474</v>
      </c>
      <c r="E1335" s="565">
        <v>44533</v>
      </c>
      <c r="F1335" s="566">
        <v>1096000</v>
      </c>
      <c r="G1335" s="564" t="s">
        <v>1077</v>
      </c>
      <c r="H1335" s="564" t="s">
        <v>1077</v>
      </c>
      <c r="I1335" s="564" t="s">
        <v>637</v>
      </c>
      <c r="J1335" s="564" t="s">
        <v>1069</v>
      </c>
      <c r="K1335" s="564" t="s">
        <v>1070</v>
      </c>
      <c r="L1335" s="564" t="s">
        <v>2098</v>
      </c>
      <c r="M1335" s="564" t="s">
        <v>2098</v>
      </c>
      <c r="N1335" s="564" t="s">
        <v>1082</v>
      </c>
      <c r="O1335" s="564" t="s">
        <v>2099</v>
      </c>
      <c r="P1335" s="23"/>
      <c r="Q1335" s="23"/>
      <c r="R1335" s="23"/>
      <c r="S1335" s="23"/>
      <c r="T1335" s="23"/>
      <c r="U1335" s="23"/>
      <c r="V1335" s="23"/>
      <c r="W1335" s="23"/>
      <c r="X1335" s="23"/>
      <c r="Y1335" s="23"/>
      <c r="Z1335" s="23"/>
    </row>
    <row r="1336" spans="1:26" ht="13">
      <c r="A1336" s="562" t="s">
        <v>3942</v>
      </c>
      <c r="B1336" s="563" t="s">
        <v>3943</v>
      </c>
      <c r="C1336" s="564" t="s">
        <v>1652</v>
      </c>
      <c r="D1336" s="565">
        <v>44468</v>
      </c>
      <c r="E1336" s="565">
        <v>44477</v>
      </c>
      <c r="F1336" s="566">
        <v>4344000</v>
      </c>
      <c r="G1336" s="564" t="s">
        <v>297</v>
      </c>
      <c r="H1336" s="564" t="s">
        <v>297</v>
      </c>
      <c r="I1336" s="564" t="s">
        <v>70</v>
      </c>
      <c r="J1336" s="564" t="s">
        <v>1069</v>
      </c>
      <c r="K1336" s="564" t="s">
        <v>1120</v>
      </c>
      <c r="L1336" s="564" t="s">
        <v>2098</v>
      </c>
      <c r="M1336" s="564" t="s">
        <v>2098</v>
      </c>
      <c r="N1336" s="564" t="s">
        <v>70</v>
      </c>
      <c r="O1336" s="564" t="s">
        <v>2099</v>
      </c>
      <c r="P1336" s="23"/>
      <c r="Q1336" s="23"/>
      <c r="R1336" s="23"/>
      <c r="S1336" s="23"/>
      <c r="T1336" s="23"/>
      <c r="U1336" s="23"/>
      <c r="V1336" s="23"/>
      <c r="W1336" s="23"/>
      <c r="X1336" s="23"/>
      <c r="Y1336" s="23"/>
      <c r="Z1336" s="23"/>
    </row>
    <row r="1337" spans="1:26" ht="13">
      <c r="A1337" s="562" t="s">
        <v>3944</v>
      </c>
      <c r="B1337" s="563" t="s">
        <v>3945</v>
      </c>
      <c r="C1337" s="564" t="s">
        <v>1652</v>
      </c>
      <c r="D1337" s="565">
        <v>44468</v>
      </c>
      <c r="E1337" s="565">
        <v>44477</v>
      </c>
      <c r="F1337" s="566">
        <v>4168000</v>
      </c>
      <c r="G1337" s="564" t="s">
        <v>297</v>
      </c>
      <c r="H1337" s="564" t="s">
        <v>297</v>
      </c>
      <c r="I1337" s="564" t="s">
        <v>70</v>
      </c>
      <c r="J1337" s="564" t="s">
        <v>1069</v>
      </c>
      <c r="K1337" s="564" t="s">
        <v>1120</v>
      </c>
      <c r="L1337" s="564" t="s">
        <v>2098</v>
      </c>
      <c r="M1337" s="564" t="s">
        <v>2098</v>
      </c>
      <c r="N1337" s="564" t="s">
        <v>70</v>
      </c>
      <c r="O1337" s="564" t="s">
        <v>2099</v>
      </c>
      <c r="P1337" s="23"/>
      <c r="Q1337" s="23"/>
      <c r="R1337" s="23"/>
      <c r="S1337" s="23"/>
      <c r="T1337" s="23"/>
      <c r="U1337" s="23"/>
      <c r="V1337" s="23"/>
      <c r="W1337" s="23"/>
      <c r="X1337" s="23"/>
      <c r="Y1337" s="23"/>
      <c r="Z1337" s="23"/>
    </row>
    <row r="1338" spans="1:26" ht="13">
      <c r="A1338" s="562" t="s">
        <v>3946</v>
      </c>
      <c r="B1338" s="563" t="s">
        <v>3947</v>
      </c>
      <c r="C1338" s="564" t="s">
        <v>1652</v>
      </c>
      <c r="D1338" s="565">
        <v>44468</v>
      </c>
      <c r="E1338" s="565">
        <v>44477</v>
      </c>
      <c r="F1338" s="566">
        <v>4168000</v>
      </c>
      <c r="G1338" s="564" t="s">
        <v>297</v>
      </c>
      <c r="H1338" s="564" t="s">
        <v>297</v>
      </c>
      <c r="I1338" s="564" t="s">
        <v>70</v>
      </c>
      <c r="J1338" s="564" t="s">
        <v>1069</v>
      </c>
      <c r="K1338" s="564" t="s">
        <v>1120</v>
      </c>
      <c r="L1338" s="564" t="s">
        <v>2098</v>
      </c>
      <c r="M1338" s="564" t="s">
        <v>2098</v>
      </c>
      <c r="N1338" s="564" t="s">
        <v>70</v>
      </c>
      <c r="O1338" s="564" t="s">
        <v>2099</v>
      </c>
      <c r="P1338" s="23"/>
      <c r="Q1338" s="23"/>
      <c r="R1338" s="23"/>
      <c r="S1338" s="23"/>
      <c r="T1338" s="23"/>
      <c r="U1338" s="23"/>
      <c r="V1338" s="23"/>
      <c r="W1338" s="23"/>
      <c r="X1338" s="23"/>
      <c r="Y1338" s="23"/>
      <c r="Z1338" s="23"/>
    </row>
    <row r="1339" spans="1:26" ht="13">
      <c r="A1339" s="562" t="s">
        <v>3948</v>
      </c>
      <c r="B1339" s="563" t="s">
        <v>3949</v>
      </c>
      <c r="C1339" s="564" t="s">
        <v>1076</v>
      </c>
      <c r="D1339" s="565">
        <v>44468</v>
      </c>
      <c r="E1339" s="565">
        <v>44530</v>
      </c>
      <c r="F1339" s="566">
        <v>2010000</v>
      </c>
      <c r="G1339" s="564" t="s">
        <v>1077</v>
      </c>
      <c r="H1339" s="564" t="s">
        <v>1077</v>
      </c>
      <c r="I1339" s="564" t="s">
        <v>637</v>
      </c>
      <c r="J1339" s="564" t="s">
        <v>1069</v>
      </c>
      <c r="K1339" s="564" t="s">
        <v>1070</v>
      </c>
      <c r="L1339" s="564" t="s">
        <v>2098</v>
      </c>
      <c r="M1339" s="564" t="s">
        <v>2098</v>
      </c>
      <c r="N1339" s="564" t="s">
        <v>1082</v>
      </c>
      <c r="O1339" s="564" t="s">
        <v>2099</v>
      </c>
      <c r="P1339" s="23"/>
      <c r="Q1339" s="23"/>
      <c r="R1339" s="23"/>
      <c r="S1339" s="23"/>
      <c r="T1339" s="23"/>
      <c r="U1339" s="23"/>
      <c r="V1339" s="23"/>
      <c r="W1339" s="23"/>
      <c r="X1339" s="23"/>
      <c r="Y1339" s="23"/>
      <c r="Z1339" s="23"/>
    </row>
    <row r="1340" spans="1:26" ht="13">
      <c r="A1340" s="562" t="s">
        <v>3950</v>
      </c>
      <c r="B1340" s="563" t="s">
        <v>3951</v>
      </c>
      <c r="C1340" s="564" t="s">
        <v>1652</v>
      </c>
      <c r="D1340" s="565">
        <v>44466</v>
      </c>
      <c r="E1340" s="565">
        <v>44475</v>
      </c>
      <c r="F1340" s="566">
        <v>4344000</v>
      </c>
      <c r="G1340" s="564" t="s">
        <v>297</v>
      </c>
      <c r="H1340" s="564" t="s">
        <v>297</v>
      </c>
      <c r="I1340" s="564" t="s">
        <v>70</v>
      </c>
      <c r="J1340" s="564" t="s">
        <v>1069</v>
      </c>
      <c r="K1340" s="564" t="s">
        <v>1120</v>
      </c>
      <c r="L1340" s="564" t="s">
        <v>2098</v>
      </c>
      <c r="M1340" s="564" t="s">
        <v>2098</v>
      </c>
      <c r="N1340" s="564" t="s">
        <v>70</v>
      </c>
      <c r="O1340" s="564" t="s">
        <v>2099</v>
      </c>
      <c r="P1340" s="23"/>
      <c r="Q1340" s="23"/>
      <c r="R1340" s="23"/>
      <c r="S1340" s="23"/>
      <c r="T1340" s="23"/>
      <c r="U1340" s="23"/>
      <c r="V1340" s="23"/>
      <c r="W1340" s="23"/>
      <c r="X1340" s="23"/>
      <c r="Y1340" s="23"/>
      <c r="Z1340" s="23"/>
    </row>
    <row r="1341" spans="1:26" ht="13">
      <c r="A1341" s="562" t="s">
        <v>3952</v>
      </c>
      <c r="B1341" s="563" t="s">
        <v>3953</v>
      </c>
      <c r="C1341" s="564" t="s">
        <v>1652</v>
      </c>
      <c r="D1341" s="565">
        <v>44454</v>
      </c>
      <c r="E1341" s="565">
        <v>44484</v>
      </c>
      <c r="F1341" s="566">
        <v>6363636</v>
      </c>
      <c r="G1341" s="564" t="s">
        <v>1182</v>
      </c>
      <c r="H1341" s="564" t="s">
        <v>1182</v>
      </c>
      <c r="I1341" s="564" t="s">
        <v>802</v>
      </c>
      <c r="J1341" s="564" t="s">
        <v>1069</v>
      </c>
      <c r="K1341" s="564" t="s">
        <v>1198</v>
      </c>
      <c r="L1341" s="564" t="s">
        <v>2098</v>
      </c>
      <c r="M1341" s="564" t="s">
        <v>2098</v>
      </c>
      <c r="N1341" s="564" t="s">
        <v>132</v>
      </c>
      <c r="O1341" s="564" t="s">
        <v>2099</v>
      </c>
      <c r="P1341" s="23"/>
      <c r="Q1341" s="23"/>
      <c r="R1341" s="23"/>
      <c r="S1341" s="23"/>
      <c r="T1341" s="23"/>
      <c r="U1341" s="23"/>
      <c r="V1341" s="23"/>
      <c r="W1341" s="23"/>
      <c r="X1341" s="23"/>
      <c r="Y1341" s="23"/>
      <c r="Z1341" s="23"/>
    </row>
    <row r="1342" spans="1:26" ht="13">
      <c r="A1342" s="562" t="s">
        <v>3954</v>
      </c>
      <c r="B1342" s="563" t="s">
        <v>3955</v>
      </c>
      <c r="C1342" s="564" t="s">
        <v>1076</v>
      </c>
      <c r="D1342" s="565">
        <v>44455</v>
      </c>
      <c r="E1342" s="565">
        <v>44543</v>
      </c>
      <c r="F1342" s="566">
        <v>5070000</v>
      </c>
      <c r="G1342" s="564" t="s">
        <v>1077</v>
      </c>
      <c r="H1342" s="564" t="s">
        <v>1077</v>
      </c>
      <c r="I1342" s="564" t="s">
        <v>637</v>
      </c>
      <c r="J1342" s="564" t="s">
        <v>1069</v>
      </c>
      <c r="K1342" s="564" t="s">
        <v>1070</v>
      </c>
      <c r="L1342" s="564" t="s">
        <v>2098</v>
      </c>
      <c r="M1342" s="564" t="s">
        <v>2098</v>
      </c>
      <c r="N1342" s="564" t="s">
        <v>1082</v>
      </c>
      <c r="O1342" s="564" t="s">
        <v>2099</v>
      </c>
      <c r="P1342" s="23"/>
      <c r="Q1342" s="23"/>
      <c r="R1342" s="23"/>
      <c r="S1342" s="23"/>
      <c r="T1342" s="23"/>
      <c r="U1342" s="23"/>
      <c r="V1342" s="23"/>
      <c r="W1342" s="23"/>
      <c r="X1342" s="23"/>
      <c r="Y1342" s="23"/>
      <c r="Z1342" s="23"/>
    </row>
    <row r="1343" spans="1:26" ht="13">
      <c r="A1343" s="562" t="s">
        <v>3956</v>
      </c>
      <c r="B1343" s="563" t="s">
        <v>3957</v>
      </c>
      <c r="C1343" s="564" t="s">
        <v>1652</v>
      </c>
      <c r="D1343" s="565">
        <v>44454</v>
      </c>
      <c r="E1343" s="565">
        <v>44470</v>
      </c>
      <c r="F1343" s="566">
        <v>1360000</v>
      </c>
      <c r="G1343" s="564" t="s">
        <v>297</v>
      </c>
      <c r="H1343" s="564" t="s">
        <v>297</v>
      </c>
      <c r="I1343" s="564" t="s">
        <v>70</v>
      </c>
      <c r="J1343" s="564" t="s">
        <v>1069</v>
      </c>
      <c r="K1343" s="564" t="s">
        <v>1120</v>
      </c>
      <c r="L1343" s="564" t="s">
        <v>2098</v>
      </c>
      <c r="M1343" s="564" t="s">
        <v>2098</v>
      </c>
      <c r="N1343" s="564" t="s">
        <v>70</v>
      </c>
      <c r="O1343" s="564" t="s">
        <v>2099</v>
      </c>
      <c r="P1343" s="23"/>
      <c r="Q1343" s="23"/>
      <c r="R1343" s="23"/>
      <c r="S1343" s="23"/>
      <c r="T1343" s="23"/>
      <c r="U1343" s="23"/>
      <c r="V1343" s="23"/>
      <c r="W1343" s="23"/>
      <c r="X1343" s="23"/>
      <c r="Y1343" s="23"/>
      <c r="Z1343" s="23"/>
    </row>
    <row r="1344" spans="1:26" ht="13">
      <c r="A1344" s="562" t="s">
        <v>3958</v>
      </c>
      <c r="B1344" s="563" t="s">
        <v>3959</v>
      </c>
      <c r="C1344" s="564" t="s">
        <v>1076</v>
      </c>
      <c r="D1344" s="565">
        <v>44454</v>
      </c>
      <c r="E1344" s="565">
        <v>44515</v>
      </c>
      <c r="F1344" s="566">
        <v>1096000</v>
      </c>
      <c r="G1344" s="564" t="s">
        <v>1077</v>
      </c>
      <c r="H1344" s="564" t="s">
        <v>1077</v>
      </c>
      <c r="I1344" s="564" t="s">
        <v>637</v>
      </c>
      <c r="J1344" s="564" t="s">
        <v>1069</v>
      </c>
      <c r="K1344" s="564" t="s">
        <v>1070</v>
      </c>
      <c r="L1344" s="564" t="s">
        <v>2098</v>
      </c>
      <c r="M1344" s="564" t="s">
        <v>2098</v>
      </c>
      <c r="N1344" s="564" t="s">
        <v>1082</v>
      </c>
      <c r="O1344" s="564" t="s">
        <v>2099</v>
      </c>
      <c r="P1344" s="23"/>
      <c r="Q1344" s="23"/>
      <c r="R1344" s="23"/>
      <c r="S1344" s="23"/>
      <c r="T1344" s="23"/>
      <c r="U1344" s="23"/>
      <c r="V1344" s="23"/>
      <c r="W1344" s="23"/>
      <c r="X1344" s="23"/>
      <c r="Y1344" s="23"/>
      <c r="Z1344" s="23"/>
    </row>
    <row r="1345" spans="1:26" ht="13">
      <c r="A1345" s="562" t="s">
        <v>3960</v>
      </c>
      <c r="B1345" s="563" t="s">
        <v>3961</v>
      </c>
      <c r="C1345" s="564" t="s">
        <v>1652</v>
      </c>
      <c r="D1345" s="565">
        <v>44453</v>
      </c>
      <c r="E1345" s="565">
        <v>44477</v>
      </c>
      <c r="F1345" s="566">
        <v>4168000</v>
      </c>
      <c r="G1345" s="564" t="s">
        <v>297</v>
      </c>
      <c r="H1345" s="564" t="s">
        <v>297</v>
      </c>
      <c r="I1345" s="564" t="s">
        <v>70</v>
      </c>
      <c r="J1345" s="564" t="s">
        <v>1069</v>
      </c>
      <c r="K1345" s="564" t="s">
        <v>1120</v>
      </c>
      <c r="L1345" s="564" t="s">
        <v>2098</v>
      </c>
      <c r="M1345" s="564" t="s">
        <v>2098</v>
      </c>
      <c r="N1345" s="564" t="s">
        <v>70</v>
      </c>
      <c r="O1345" s="564" t="s">
        <v>2099</v>
      </c>
      <c r="P1345" s="23"/>
      <c r="Q1345" s="23"/>
      <c r="R1345" s="23"/>
      <c r="S1345" s="23"/>
      <c r="T1345" s="23"/>
      <c r="U1345" s="23"/>
      <c r="V1345" s="23"/>
      <c r="W1345" s="23"/>
      <c r="X1345" s="23"/>
      <c r="Y1345" s="23"/>
      <c r="Z1345" s="23"/>
    </row>
    <row r="1346" spans="1:26" ht="13">
      <c r="A1346" s="562" t="s">
        <v>3962</v>
      </c>
      <c r="B1346" s="563" t="s">
        <v>3963</v>
      </c>
      <c r="C1346" s="564" t="s">
        <v>1076</v>
      </c>
      <c r="D1346" s="565">
        <v>44452</v>
      </c>
      <c r="E1346" s="565">
        <v>44540</v>
      </c>
      <c r="F1346" s="566">
        <v>1987000</v>
      </c>
      <c r="G1346" s="564" t="s">
        <v>1077</v>
      </c>
      <c r="H1346" s="564" t="s">
        <v>1077</v>
      </c>
      <c r="I1346" s="564" t="s">
        <v>637</v>
      </c>
      <c r="J1346" s="564" t="s">
        <v>1069</v>
      </c>
      <c r="K1346" s="564" t="s">
        <v>1070</v>
      </c>
      <c r="L1346" s="564" t="s">
        <v>2098</v>
      </c>
      <c r="M1346" s="564" t="s">
        <v>2098</v>
      </c>
      <c r="N1346" s="564" t="s">
        <v>1082</v>
      </c>
      <c r="O1346" s="564" t="s">
        <v>2099</v>
      </c>
      <c r="P1346" s="23"/>
      <c r="Q1346" s="23"/>
      <c r="R1346" s="23"/>
      <c r="S1346" s="23"/>
      <c r="T1346" s="23"/>
      <c r="U1346" s="23"/>
      <c r="V1346" s="23"/>
      <c r="W1346" s="23"/>
      <c r="X1346" s="23"/>
      <c r="Y1346" s="23"/>
      <c r="Z1346" s="23"/>
    </row>
    <row r="1347" spans="1:26" ht="13">
      <c r="A1347" s="562" t="s">
        <v>3964</v>
      </c>
      <c r="B1347" s="563" t="s">
        <v>3965</v>
      </c>
      <c r="C1347" s="564" t="s">
        <v>353</v>
      </c>
      <c r="D1347" s="565">
        <v>44449</v>
      </c>
      <c r="E1347" s="565">
        <v>44456</v>
      </c>
      <c r="F1347" s="566">
        <v>967500</v>
      </c>
      <c r="G1347" s="564" t="s">
        <v>297</v>
      </c>
      <c r="H1347" s="564" t="s">
        <v>297</v>
      </c>
      <c r="I1347" s="564" t="s">
        <v>45</v>
      </c>
      <c r="J1347" s="564" t="s">
        <v>1069</v>
      </c>
      <c r="K1347" s="564" t="s">
        <v>1090</v>
      </c>
      <c r="L1347" s="564" t="s">
        <v>2098</v>
      </c>
      <c r="M1347" s="564" t="s">
        <v>2098</v>
      </c>
      <c r="N1347" s="564" t="s">
        <v>45</v>
      </c>
      <c r="O1347" s="564" t="s">
        <v>2099</v>
      </c>
      <c r="P1347" s="23"/>
      <c r="Q1347" s="23"/>
      <c r="R1347" s="23"/>
      <c r="S1347" s="23"/>
      <c r="T1347" s="23"/>
      <c r="U1347" s="23"/>
      <c r="V1347" s="23"/>
      <c r="W1347" s="23"/>
      <c r="X1347" s="23"/>
      <c r="Y1347" s="23"/>
      <c r="Z1347" s="23"/>
    </row>
    <row r="1348" spans="1:26" ht="13">
      <c r="A1348" s="562" t="s">
        <v>3966</v>
      </c>
      <c r="B1348" s="563" t="s">
        <v>3967</v>
      </c>
      <c r="C1348" s="564" t="s">
        <v>1652</v>
      </c>
      <c r="D1348" s="565">
        <v>44448</v>
      </c>
      <c r="E1348" s="565">
        <v>44455</v>
      </c>
      <c r="F1348" s="566">
        <v>4168000</v>
      </c>
      <c r="G1348" s="564" t="s">
        <v>297</v>
      </c>
      <c r="H1348" s="564" t="s">
        <v>297</v>
      </c>
      <c r="I1348" s="564" t="s">
        <v>70</v>
      </c>
      <c r="J1348" s="564" t="s">
        <v>1069</v>
      </c>
      <c r="K1348" s="564" t="s">
        <v>1120</v>
      </c>
      <c r="L1348" s="564" t="s">
        <v>2098</v>
      </c>
      <c r="M1348" s="564" t="s">
        <v>2098</v>
      </c>
      <c r="N1348" s="564" t="s">
        <v>70</v>
      </c>
      <c r="O1348" s="564" t="s">
        <v>2099</v>
      </c>
      <c r="P1348" s="23"/>
      <c r="Q1348" s="23"/>
      <c r="R1348" s="23"/>
      <c r="S1348" s="23"/>
      <c r="T1348" s="23"/>
      <c r="U1348" s="23"/>
      <c r="V1348" s="23"/>
      <c r="W1348" s="23"/>
      <c r="X1348" s="23"/>
      <c r="Y1348" s="23"/>
      <c r="Z1348" s="23"/>
    </row>
    <row r="1349" spans="1:26" ht="13">
      <c r="A1349" s="562" t="s">
        <v>3968</v>
      </c>
      <c r="B1349" s="563" t="s">
        <v>3969</v>
      </c>
      <c r="C1349" s="564" t="s">
        <v>1652</v>
      </c>
      <c r="D1349" s="565">
        <v>44445</v>
      </c>
      <c r="E1349" s="565">
        <v>44456</v>
      </c>
      <c r="F1349" s="566">
        <v>4256000</v>
      </c>
      <c r="G1349" s="564" t="s">
        <v>297</v>
      </c>
      <c r="H1349" s="564" t="s">
        <v>297</v>
      </c>
      <c r="I1349" s="564" t="s">
        <v>70</v>
      </c>
      <c r="J1349" s="564" t="s">
        <v>1069</v>
      </c>
      <c r="K1349" s="564" t="s">
        <v>1120</v>
      </c>
      <c r="L1349" s="564" t="s">
        <v>2098</v>
      </c>
      <c r="M1349" s="564" t="s">
        <v>2098</v>
      </c>
      <c r="N1349" s="564" t="s">
        <v>70</v>
      </c>
      <c r="O1349" s="564" t="s">
        <v>2099</v>
      </c>
      <c r="P1349" s="23"/>
      <c r="Q1349" s="23"/>
      <c r="R1349" s="23"/>
      <c r="S1349" s="23"/>
      <c r="T1349" s="23"/>
      <c r="U1349" s="23"/>
      <c r="V1349" s="23"/>
      <c r="W1349" s="23"/>
      <c r="X1349" s="23"/>
      <c r="Y1349" s="23"/>
      <c r="Z1349" s="23"/>
    </row>
    <row r="1350" spans="1:26" ht="13">
      <c r="A1350" s="562" t="s">
        <v>3970</v>
      </c>
      <c r="B1350" s="563" t="s">
        <v>3971</v>
      </c>
      <c r="C1350" s="564" t="s">
        <v>1652</v>
      </c>
      <c r="D1350" s="565">
        <v>44445</v>
      </c>
      <c r="E1350" s="565">
        <v>44456</v>
      </c>
      <c r="F1350" s="566">
        <v>4256000</v>
      </c>
      <c r="G1350" s="564" t="s">
        <v>297</v>
      </c>
      <c r="H1350" s="564" t="s">
        <v>297</v>
      </c>
      <c r="I1350" s="564" t="s">
        <v>70</v>
      </c>
      <c r="J1350" s="564" t="s">
        <v>1069</v>
      </c>
      <c r="K1350" s="564" t="s">
        <v>1120</v>
      </c>
      <c r="L1350" s="564" t="s">
        <v>2098</v>
      </c>
      <c r="M1350" s="564" t="s">
        <v>2098</v>
      </c>
      <c r="N1350" s="564" t="s">
        <v>70</v>
      </c>
      <c r="O1350" s="564" t="s">
        <v>2099</v>
      </c>
      <c r="P1350" s="23"/>
      <c r="Q1350" s="23"/>
      <c r="R1350" s="23"/>
      <c r="S1350" s="23"/>
      <c r="T1350" s="23"/>
      <c r="U1350" s="23"/>
      <c r="V1350" s="23"/>
      <c r="W1350" s="23"/>
      <c r="X1350" s="23"/>
      <c r="Y1350" s="23"/>
      <c r="Z1350" s="23"/>
    </row>
    <row r="1351" spans="1:26" ht="13">
      <c r="A1351" s="562" t="s">
        <v>3972</v>
      </c>
      <c r="B1351" s="563" t="s">
        <v>3973</v>
      </c>
      <c r="C1351" s="564" t="s">
        <v>1652</v>
      </c>
      <c r="D1351" s="565">
        <v>44441</v>
      </c>
      <c r="E1351" s="565">
        <v>44449</v>
      </c>
      <c r="F1351" s="566">
        <v>1190000</v>
      </c>
      <c r="G1351" s="564" t="s">
        <v>297</v>
      </c>
      <c r="H1351" s="564" t="s">
        <v>297</v>
      </c>
      <c r="I1351" s="564" t="s">
        <v>70</v>
      </c>
      <c r="J1351" s="564" t="s">
        <v>1069</v>
      </c>
      <c r="K1351" s="564" t="s">
        <v>1120</v>
      </c>
      <c r="L1351" s="564" t="s">
        <v>2098</v>
      </c>
      <c r="M1351" s="564" t="s">
        <v>2098</v>
      </c>
      <c r="N1351" s="564" t="s">
        <v>70</v>
      </c>
      <c r="O1351" s="564" t="s">
        <v>2099</v>
      </c>
      <c r="P1351" s="23"/>
      <c r="Q1351" s="23"/>
      <c r="R1351" s="23"/>
      <c r="S1351" s="23"/>
      <c r="T1351" s="23"/>
      <c r="U1351" s="23"/>
      <c r="V1351" s="23"/>
      <c r="W1351" s="23"/>
      <c r="X1351" s="23"/>
      <c r="Y1351" s="23"/>
      <c r="Z1351" s="23"/>
    </row>
    <row r="1352" spans="1:26" ht="13">
      <c r="A1352" s="562" t="s">
        <v>3974</v>
      </c>
      <c r="B1352" s="563" t="s">
        <v>3975</v>
      </c>
      <c r="C1352" s="564" t="s">
        <v>1652</v>
      </c>
      <c r="D1352" s="565">
        <v>44441</v>
      </c>
      <c r="E1352" s="565">
        <v>44452</v>
      </c>
      <c r="F1352" s="566">
        <v>2896000</v>
      </c>
      <c r="G1352" s="564" t="s">
        <v>297</v>
      </c>
      <c r="H1352" s="564" t="s">
        <v>297</v>
      </c>
      <c r="I1352" s="564" t="s">
        <v>1223</v>
      </c>
      <c r="J1352" s="564" t="s">
        <v>1069</v>
      </c>
      <c r="K1352" s="564" t="s">
        <v>1120</v>
      </c>
      <c r="L1352" s="564" t="s">
        <v>2098</v>
      </c>
      <c r="M1352" s="564" t="s">
        <v>2098</v>
      </c>
      <c r="N1352" s="564" t="s">
        <v>1073</v>
      </c>
      <c r="O1352" s="564" t="s">
        <v>2099</v>
      </c>
      <c r="P1352" s="23"/>
      <c r="Q1352" s="23"/>
      <c r="R1352" s="23"/>
      <c r="S1352" s="23"/>
      <c r="T1352" s="23"/>
      <c r="U1352" s="23"/>
      <c r="V1352" s="23"/>
      <c r="W1352" s="23"/>
      <c r="X1352" s="23"/>
      <c r="Y1352" s="23"/>
      <c r="Z1352" s="23"/>
    </row>
    <row r="1353" spans="1:26" ht="13">
      <c r="A1353" s="562" t="s">
        <v>3976</v>
      </c>
      <c r="B1353" s="563" t="s">
        <v>3977</v>
      </c>
      <c r="C1353" s="564" t="s">
        <v>1652</v>
      </c>
      <c r="D1353" s="565">
        <v>44440</v>
      </c>
      <c r="E1353" s="565">
        <v>44449</v>
      </c>
      <c r="F1353" s="566">
        <v>4080000</v>
      </c>
      <c r="G1353" s="564" t="s">
        <v>297</v>
      </c>
      <c r="H1353" s="564" t="s">
        <v>297</v>
      </c>
      <c r="I1353" s="564" t="s">
        <v>70</v>
      </c>
      <c r="J1353" s="564" t="s">
        <v>1069</v>
      </c>
      <c r="K1353" s="564" t="s">
        <v>1120</v>
      </c>
      <c r="L1353" s="564" t="s">
        <v>2098</v>
      </c>
      <c r="M1353" s="564" t="s">
        <v>2098</v>
      </c>
      <c r="N1353" s="564" t="s">
        <v>70</v>
      </c>
      <c r="O1353" s="564" t="s">
        <v>2099</v>
      </c>
      <c r="P1353" s="23"/>
      <c r="Q1353" s="23"/>
      <c r="R1353" s="23"/>
      <c r="S1353" s="23"/>
      <c r="T1353" s="23"/>
      <c r="U1353" s="23"/>
      <c r="V1353" s="23"/>
      <c r="W1353" s="23"/>
      <c r="X1353" s="23"/>
      <c r="Y1353" s="23"/>
      <c r="Z1353" s="23"/>
    </row>
    <row r="1354" spans="1:26" ht="13">
      <c r="A1354" s="562" t="s">
        <v>3978</v>
      </c>
      <c r="B1354" s="563" t="s">
        <v>3979</v>
      </c>
      <c r="C1354" s="564" t="s">
        <v>1652</v>
      </c>
      <c r="D1354" s="565">
        <v>44435</v>
      </c>
      <c r="E1354" s="565">
        <v>44445</v>
      </c>
      <c r="F1354" s="566">
        <v>3090000</v>
      </c>
      <c r="G1354" s="564" t="s">
        <v>297</v>
      </c>
      <c r="H1354" s="564" t="s">
        <v>297</v>
      </c>
      <c r="I1354" s="564" t="s">
        <v>1281</v>
      </c>
      <c r="J1354" s="564" t="s">
        <v>1069</v>
      </c>
      <c r="K1354" s="564" t="s">
        <v>1120</v>
      </c>
      <c r="L1354" s="564" t="s">
        <v>2098</v>
      </c>
      <c r="M1354" s="564" t="s">
        <v>2098</v>
      </c>
      <c r="N1354" s="564" t="s">
        <v>1073</v>
      </c>
      <c r="O1354" s="564" t="s">
        <v>2099</v>
      </c>
      <c r="P1354" s="23"/>
      <c r="Q1354" s="23"/>
      <c r="R1354" s="23"/>
      <c r="S1354" s="23"/>
      <c r="T1354" s="23"/>
      <c r="U1354" s="23"/>
      <c r="V1354" s="23"/>
      <c r="W1354" s="23"/>
      <c r="X1354" s="23"/>
      <c r="Y1354" s="23"/>
      <c r="Z1354" s="23"/>
    </row>
    <row r="1355" spans="1:26" ht="13">
      <c r="A1355" s="562" t="s">
        <v>3980</v>
      </c>
      <c r="B1355" s="563" t="s">
        <v>3981</v>
      </c>
      <c r="C1355" s="564" t="s">
        <v>1076</v>
      </c>
      <c r="D1355" s="565">
        <v>44438</v>
      </c>
      <c r="E1355" s="565">
        <v>44529</v>
      </c>
      <c r="F1355" s="566">
        <v>1096000</v>
      </c>
      <c r="G1355" s="564" t="s">
        <v>1077</v>
      </c>
      <c r="H1355" s="564" t="s">
        <v>1077</v>
      </c>
      <c r="I1355" s="564" t="s">
        <v>637</v>
      </c>
      <c r="J1355" s="564" t="s">
        <v>1069</v>
      </c>
      <c r="K1355" s="564" t="s">
        <v>1070</v>
      </c>
      <c r="L1355" s="564" t="s">
        <v>2098</v>
      </c>
      <c r="M1355" s="564" t="s">
        <v>2098</v>
      </c>
      <c r="N1355" s="564" t="s">
        <v>1082</v>
      </c>
      <c r="O1355" s="564" t="s">
        <v>2099</v>
      </c>
      <c r="P1355" s="23"/>
      <c r="Q1355" s="23"/>
      <c r="R1355" s="23"/>
      <c r="S1355" s="23"/>
      <c r="T1355" s="23"/>
      <c r="U1355" s="23"/>
      <c r="V1355" s="23"/>
      <c r="W1355" s="23"/>
      <c r="X1355" s="23"/>
      <c r="Y1355" s="23"/>
      <c r="Z1355" s="23"/>
    </row>
    <row r="1356" spans="1:26" ht="13">
      <c r="A1356" s="562" t="s">
        <v>3982</v>
      </c>
      <c r="B1356" s="563" t="s">
        <v>3983</v>
      </c>
      <c r="C1356" s="564" t="s">
        <v>353</v>
      </c>
      <c r="D1356" s="565">
        <v>44410</v>
      </c>
      <c r="E1356" s="565">
        <v>44466</v>
      </c>
      <c r="F1356" s="566">
        <v>226783000</v>
      </c>
      <c r="G1356" s="564" t="s">
        <v>1128</v>
      </c>
      <c r="H1356" s="564" t="s">
        <v>1128</v>
      </c>
      <c r="I1356" s="564" t="s">
        <v>45</v>
      </c>
      <c r="J1356" s="564" t="s">
        <v>1069</v>
      </c>
      <c r="K1356" s="564" t="s">
        <v>1090</v>
      </c>
      <c r="L1356" s="564" t="s">
        <v>2098</v>
      </c>
      <c r="M1356" s="564" t="s">
        <v>2098</v>
      </c>
      <c r="N1356" s="564" t="s">
        <v>45</v>
      </c>
      <c r="O1356" s="564" t="s">
        <v>2099</v>
      </c>
      <c r="P1356" s="23"/>
      <c r="Q1356" s="23"/>
      <c r="R1356" s="23"/>
      <c r="S1356" s="23"/>
      <c r="T1356" s="23"/>
      <c r="U1356" s="23"/>
      <c r="V1356" s="23"/>
      <c r="W1356" s="23"/>
      <c r="X1356" s="23"/>
      <c r="Y1356" s="23"/>
      <c r="Z1356" s="23"/>
    </row>
    <row r="1357" spans="1:26" ht="13">
      <c r="A1357" s="562" t="s">
        <v>3984</v>
      </c>
      <c r="B1357" s="563" t="s">
        <v>3985</v>
      </c>
      <c r="C1357" s="564" t="s">
        <v>353</v>
      </c>
      <c r="D1357" s="565">
        <v>44410</v>
      </c>
      <c r="E1357" s="565">
        <v>44466</v>
      </c>
      <c r="F1357" s="566">
        <v>11510000</v>
      </c>
      <c r="G1357" s="564" t="s">
        <v>1128</v>
      </c>
      <c r="H1357" s="564" t="s">
        <v>1128</v>
      </c>
      <c r="I1357" s="564" t="s">
        <v>45</v>
      </c>
      <c r="J1357" s="564" t="s">
        <v>1069</v>
      </c>
      <c r="K1357" s="564" t="s">
        <v>1090</v>
      </c>
      <c r="L1357" s="564" t="s">
        <v>2098</v>
      </c>
      <c r="M1357" s="564" t="s">
        <v>2098</v>
      </c>
      <c r="N1357" s="564" t="s">
        <v>45</v>
      </c>
      <c r="O1357" s="564" t="s">
        <v>2099</v>
      </c>
      <c r="P1357" s="23"/>
      <c r="Q1357" s="23"/>
      <c r="R1357" s="23"/>
      <c r="S1357" s="23"/>
      <c r="T1357" s="23"/>
      <c r="U1357" s="23"/>
      <c r="V1357" s="23"/>
      <c r="W1357" s="23"/>
      <c r="X1357" s="23"/>
      <c r="Y1357" s="23"/>
      <c r="Z1357" s="23"/>
    </row>
    <row r="1358" spans="1:26" ht="13">
      <c r="A1358" s="562" t="s">
        <v>3986</v>
      </c>
      <c r="B1358" s="563" t="s">
        <v>3987</v>
      </c>
      <c r="C1358" s="564" t="s">
        <v>2322</v>
      </c>
      <c r="D1358" s="565">
        <v>44431</v>
      </c>
      <c r="E1358" s="565">
        <v>44455</v>
      </c>
      <c r="F1358" s="566">
        <v>82709085</v>
      </c>
      <c r="G1358" s="564" t="s">
        <v>2428</v>
      </c>
      <c r="H1358" s="564" t="s">
        <v>2428</v>
      </c>
      <c r="I1358" s="564" t="s">
        <v>3988</v>
      </c>
      <c r="J1358" s="564" t="s">
        <v>1069</v>
      </c>
      <c r="K1358" s="564" t="s">
        <v>1209</v>
      </c>
      <c r="L1358" s="564" t="s">
        <v>2098</v>
      </c>
      <c r="M1358" s="564" t="s">
        <v>2098</v>
      </c>
      <c r="N1358" s="564" t="s">
        <v>1082</v>
      </c>
      <c r="O1358" s="564" t="s">
        <v>2099</v>
      </c>
      <c r="P1358" s="23"/>
      <c r="Q1358" s="23"/>
      <c r="R1358" s="23"/>
      <c r="S1358" s="23"/>
      <c r="T1358" s="23"/>
      <c r="U1358" s="23"/>
      <c r="V1358" s="23"/>
      <c r="W1358" s="23"/>
      <c r="X1358" s="23"/>
      <c r="Y1358" s="23"/>
      <c r="Z1358" s="23"/>
    </row>
    <row r="1359" spans="1:26" ht="13">
      <c r="A1359" s="562" t="s">
        <v>3989</v>
      </c>
      <c r="B1359" s="563" t="s">
        <v>3990</v>
      </c>
      <c r="C1359" s="564" t="s">
        <v>353</v>
      </c>
      <c r="D1359" s="565">
        <v>44410</v>
      </c>
      <c r="E1359" s="565">
        <v>44480</v>
      </c>
      <c r="F1359" s="566">
        <v>4720000</v>
      </c>
      <c r="G1359" s="564" t="s">
        <v>1128</v>
      </c>
      <c r="H1359" s="564" t="s">
        <v>1128</v>
      </c>
      <c r="I1359" s="564" t="s">
        <v>45</v>
      </c>
      <c r="J1359" s="564" t="s">
        <v>1069</v>
      </c>
      <c r="K1359" s="564" t="s">
        <v>1090</v>
      </c>
      <c r="L1359" s="564" t="s">
        <v>2098</v>
      </c>
      <c r="M1359" s="564" t="s">
        <v>2098</v>
      </c>
      <c r="N1359" s="564" t="s">
        <v>45</v>
      </c>
      <c r="O1359" s="564" t="s">
        <v>2099</v>
      </c>
      <c r="P1359" s="23"/>
      <c r="Q1359" s="23"/>
      <c r="R1359" s="23"/>
      <c r="S1359" s="23"/>
      <c r="T1359" s="23"/>
      <c r="U1359" s="23"/>
      <c r="V1359" s="23"/>
      <c r="W1359" s="23"/>
      <c r="X1359" s="23"/>
      <c r="Y1359" s="23"/>
      <c r="Z1359" s="23"/>
    </row>
    <row r="1360" spans="1:26" ht="13">
      <c r="A1360" s="562" t="s">
        <v>3991</v>
      </c>
      <c r="B1360" s="563" t="s">
        <v>3992</v>
      </c>
      <c r="C1360" s="564" t="s">
        <v>1652</v>
      </c>
      <c r="D1360" s="565">
        <v>44432</v>
      </c>
      <c r="E1360" s="565">
        <v>44488</v>
      </c>
      <c r="F1360" s="566">
        <v>54200000</v>
      </c>
      <c r="G1360" s="564" t="s">
        <v>1182</v>
      </c>
      <c r="H1360" s="564" t="s">
        <v>1182</v>
      </c>
      <c r="I1360" s="564" t="s">
        <v>802</v>
      </c>
      <c r="J1360" s="564" t="s">
        <v>1069</v>
      </c>
      <c r="K1360" s="564" t="s">
        <v>1198</v>
      </c>
      <c r="L1360" s="564" t="s">
        <v>2098</v>
      </c>
      <c r="M1360" s="564" t="s">
        <v>2098</v>
      </c>
      <c r="N1360" s="564" t="s">
        <v>132</v>
      </c>
      <c r="O1360" s="564" t="s">
        <v>2099</v>
      </c>
      <c r="P1360" s="23"/>
      <c r="Q1360" s="23"/>
      <c r="R1360" s="23"/>
      <c r="S1360" s="23"/>
      <c r="T1360" s="23"/>
      <c r="U1360" s="23"/>
      <c r="V1360" s="23"/>
      <c r="W1360" s="23"/>
      <c r="X1360" s="23"/>
      <c r="Y1360" s="23"/>
      <c r="Z1360" s="23"/>
    </row>
    <row r="1361" spans="1:26" ht="13">
      <c r="A1361" s="562" t="s">
        <v>3993</v>
      </c>
      <c r="B1361" s="563" t="s">
        <v>3994</v>
      </c>
      <c r="C1361" s="564" t="s">
        <v>353</v>
      </c>
      <c r="D1361" s="565">
        <v>44410</v>
      </c>
      <c r="E1361" s="565">
        <v>44466</v>
      </c>
      <c r="F1361" s="566">
        <v>136789000</v>
      </c>
      <c r="G1361" s="564" t="s">
        <v>1128</v>
      </c>
      <c r="H1361" s="564" t="s">
        <v>1128</v>
      </c>
      <c r="I1361" s="564" t="s">
        <v>45</v>
      </c>
      <c r="J1361" s="564" t="s">
        <v>1069</v>
      </c>
      <c r="K1361" s="564" t="s">
        <v>1090</v>
      </c>
      <c r="L1361" s="564" t="s">
        <v>2098</v>
      </c>
      <c r="M1361" s="564" t="s">
        <v>2098</v>
      </c>
      <c r="N1361" s="564" t="s">
        <v>45</v>
      </c>
      <c r="O1361" s="564" t="s">
        <v>2099</v>
      </c>
      <c r="P1361" s="23"/>
      <c r="Q1361" s="23"/>
      <c r="R1361" s="23"/>
      <c r="S1361" s="23"/>
      <c r="T1361" s="23"/>
      <c r="U1361" s="23"/>
      <c r="V1361" s="23"/>
      <c r="W1361" s="23"/>
      <c r="X1361" s="23"/>
      <c r="Y1361" s="23"/>
      <c r="Z1361" s="23"/>
    </row>
    <row r="1362" spans="1:26" ht="13">
      <c r="A1362" s="562" t="s">
        <v>3995</v>
      </c>
      <c r="B1362" s="563" t="s">
        <v>3996</v>
      </c>
      <c r="C1362" s="564" t="s">
        <v>353</v>
      </c>
      <c r="D1362" s="565">
        <v>44410</v>
      </c>
      <c r="E1362" s="565">
        <v>44466</v>
      </c>
      <c r="F1362" s="566">
        <v>13900000</v>
      </c>
      <c r="G1362" s="564" t="s">
        <v>1128</v>
      </c>
      <c r="H1362" s="564" t="s">
        <v>1128</v>
      </c>
      <c r="I1362" s="564" t="s">
        <v>45</v>
      </c>
      <c r="J1362" s="564" t="s">
        <v>1069</v>
      </c>
      <c r="K1362" s="564" t="s">
        <v>1090</v>
      </c>
      <c r="L1362" s="564" t="s">
        <v>2098</v>
      </c>
      <c r="M1362" s="564" t="s">
        <v>2098</v>
      </c>
      <c r="N1362" s="564" t="s">
        <v>45</v>
      </c>
      <c r="O1362" s="564" t="s">
        <v>2099</v>
      </c>
      <c r="P1362" s="23"/>
      <c r="Q1362" s="23"/>
      <c r="R1362" s="23"/>
      <c r="S1362" s="23"/>
      <c r="T1362" s="23"/>
      <c r="U1362" s="23"/>
      <c r="V1362" s="23"/>
      <c r="W1362" s="23"/>
      <c r="X1362" s="23"/>
      <c r="Y1362" s="23"/>
      <c r="Z1362" s="23"/>
    </row>
    <row r="1363" spans="1:26" ht="13">
      <c r="A1363" s="562" t="s">
        <v>3997</v>
      </c>
      <c r="B1363" s="563" t="s">
        <v>3998</v>
      </c>
      <c r="C1363" s="564" t="s">
        <v>1652</v>
      </c>
      <c r="D1363" s="565">
        <v>44431</v>
      </c>
      <c r="E1363" s="565">
        <v>44439</v>
      </c>
      <c r="F1363" s="566">
        <v>1360000</v>
      </c>
      <c r="G1363" s="564" t="s">
        <v>297</v>
      </c>
      <c r="H1363" s="564" t="s">
        <v>297</v>
      </c>
      <c r="I1363" s="564" t="s">
        <v>70</v>
      </c>
      <c r="J1363" s="564" t="s">
        <v>1069</v>
      </c>
      <c r="K1363" s="564" t="s">
        <v>1120</v>
      </c>
      <c r="L1363" s="564" t="s">
        <v>2098</v>
      </c>
      <c r="M1363" s="564" t="s">
        <v>2098</v>
      </c>
      <c r="N1363" s="564" t="s">
        <v>70</v>
      </c>
      <c r="O1363" s="564" t="s">
        <v>2099</v>
      </c>
      <c r="P1363" s="23"/>
      <c r="Q1363" s="23"/>
      <c r="R1363" s="23"/>
      <c r="S1363" s="23"/>
      <c r="T1363" s="23"/>
      <c r="U1363" s="23"/>
      <c r="V1363" s="23"/>
      <c r="W1363" s="23"/>
      <c r="X1363" s="23"/>
      <c r="Y1363" s="23"/>
      <c r="Z1363" s="23"/>
    </row>
    <row r="1364" spans="1:26" ht="13">
      <c r="A1364" s="562" t="s">
        <v>3999</v>
      </c>
      <c r="B1364" s="563" t="s">
        <v>4000</v>
      </c>
      <c r="C1364" s="564" t="s">
        <v>1652</v>
      </c>
      <c r="D1364" s="565">
        <v>44428</v>
      </c>
      <c r="E1364" s="565">
        <v>44435</v>
      </c>
      <c r="F1364" s="566">
        <v>176000</v>
      </c>
      <c r="G1364" s="564" t="s">
        <v>297</v>
      </c>
      <c r="H1364" s="564" t="s">
        <v>297</v>
      </c>
      <c r="I1364" s="564" t="s">
        <v>70</v>
      </c>
      <c r="J1364" s="564" t="s">
        <v>1069</v>
      </c>
      <c r="K1364" s="564" t="s">
        <v>1120</v>
      </c>
      <c r="L1364" s="564" t="s">
        <v>2098</v>
      </c>
      <c r="M1364" s="564" t="s">
        <v>2098</v>
      </c>
      <c r="N1364" s="564" t="s">
        <v>70</v>
      </c>
      <c r="O1364" s="564" t="s">
        <v>2099</v>
      </c>
      <c r="P1364" s="23"/>
      <c r="Q1364" s="23"/>
      <c r="R1364" s="23"/>
      <c r="S1364" s="23"/>
      <c r="T1364" s="23"/>
      <c r="U1364" s="23"/>
      <c r="V1364" s="23"/>
      <c r="W1364" s="23"/>
      <c r="X1364" s="23"/>
      <c r="Y1364" s="23"/>
      <c r="Z1364" s="23"/>
    </row>
    <row r="1365" spans="1:26" ht="13">
      <c r="A1365" s="562" t="s">
        <v>4001</v>
      </c>
      <c r="B1365" s="563" t="s">
        <v>4002</v>
      </c>
      <c r="C1365" s="564" t="s">
        <v>353</v>
      </c>
      <c r="D1365" s="565">
        <v>44410</v>
      </c>
      <c r="E1365" s="565">
        <v>44438</v>
      </c>
      <c r="F1365" s="566">
        <v>6410000</v>
      </c>
      <c r="G1365" s="564" t="s">
        <v>1128</v>
      </c>
      <c r="H1365" s="564" t="s">
        <v>1128</v>
      </c>
      <c r="I1365" s="564" t="s">
        <v>45</v>
      </c>
      <c r="J1365" s="564" t="s">
        <v>1069</v>
      </c>
      <c r="K1365" s="564" t="s">
        <v>1090</v>
      </c>
      <c r="L1365" s="564" t="s">
        <v>2098</v>
      </c>
      <c r="M1365" s="564" t="s">
        <v>2098</v>
      </c>
      <c r="N1365" s="564" t="s">
        <v>45</v>
      </c>
      <c r="O1365" s="564" t="s">
        <v>2099</v>
      </c>
      <c r="P1365" s="23"/>
      <c r="Q1365" s="23"/>
      <c r="R1365" s="23"/>
      <c r="S1365" s="23"/>
      <c r="T1365" s="23"/>
      <c r="U1365" s="23"/>
      <c r="V1365" s="23"/>
      <c r="W1365" s="23"/>
      <c r="X1365" s="23"/>
      <c r="Y1365" s="23"/>
      <c r="Z1365" s="23"/>
    </row>
    <row r="1366" spans="1:26" ht="13">
      <c r="A1366" s="562" t="s">
        <v>4003</v>
      </c>
      <c r="B1366" s="563" t="s">
        <v>4004</v>
      </c>
      <c r="C1366" s="564" t="s">
        <v>353</v>
      </c>
      <c r="D1366" s="565">
        <v>44410</v>
      </c>
      <c r="E1366" s="565">
        <v>44438</v>
      </c>
      <c r="F1366" s="566">
        <v>232270000</v>
      </c>
      <c r="G1366" s="564" t="s">
        <v>1128</v>
      </c>
      <c r="H1366" s="564" t="s">
        <v>1128</v>
      </c>
      <c r="I1366" s="564" t="s">
        <v>45</v>
      </c>
      <c r="J1366" s="564" t="s">
        <v>1069</v>
      </c>
      <c r="K1366" s="564" t="s">
        <v>1090</v>
      </c>
      <c r="L1366" s="564" t="s">
        <v>2098</v>
      </c>
      <c r="M1366" s="564" t="s">
        <v>2098</v>
      </c>
      <c r="N1366" s="564" t="s">
        <v>45</v>
      </c>
      <c r="O1366" s="564" t="s">
        <v>2099</v>
      </c>
      <c r="P1366" s="23"/>
      <c r="Q1366" s="23"/>
      <c r="R1366" s="23"/>
      <c r="S1366" s="23"/>
      <c r="T1366" s="23"/>
      <c r="U1366" s="23"/>
      <c r="V1366" s="23"/>
      <c r="W1366" s="23"/>
      <c r="X1366" s="23"/>
      <c r="Y1366" s="23"/>
      <c r="Z1366" s="23"/>
    </row>
    <row r="1367" spans="1:26" ht="13">
      <c r="A1367" s="562" t="s">
        <v>4005</v>
      </c>
      <c r="B1367" s="563" t="s">
        <v>4006</v>
      </c>
      <c r="C1367" s="564" t="s">
        <v>353</v>
      </c>
      <c r="D1367" s="565">
        <v>44410</v>
      </c>
      <c r="E1367" s="565">
        <v>44468</v>
      </c>
      <c r="F1367" s="566">
        <v>42115000</v>
      </c>
      <c r="G1367" s="564" t="s">
        <v>1128</v>
      </c>
      <c r="H1367" s="564" t="s">
        <v>1128</v>
      </c>
      <c r="I1367" s="564" t="s">
        <v>45</v>
      </c>
      <c r="J1367" s="564" t="s">
        <v>1069</v>
      </c>
      <c r="K1367" s="564" t="s">
        <v>1090</v>
      </c>
      <c r="L1367" s="564" t="s">
        <v>2098</v>
      </c>
      <c r="M1367" s="564" t="s">
        <v>2098</v>
      </c>
      <c r="N1367" s="564" t="s">
        <v>45</v>
      </c>
      <c r="O1367" s="564" t="s">
        <v>2099</v>
      </c>
      <c r="P1367" s="23"/>
      <c r="Q1367" s="23"/>
      <c r="R1367" s="23"/>
      <c r="S1367" s="23"/>
      <c r="T1367" s="23"/>
      <c r="U1367" s="23"/>
      <c r="V1367" s="23"/>
      <c r="W1367" s="23"/>
      <c r="X1367" s="23"/>
      <c r="Y1367" s="23"/>
      <c r="Z1367" s="23"/>
    </row>
    <row r="1368" spans="1:26" ht="13">
      <c r="A1368" s="562" t="s">
        <v>4007</v>
      </c>
      <c r="B1368" s="563" t="s">
        <v>4008</v>
      </c>
      <c r="C1368" s="564" t="s">
        <v>1076</v>
      </c>
      <c r="D1368" s="565">
        <v>44427</v>
      </c>
      <c r="E1368" s="565">
        <v>44518</v>
      </c>
      <c r="F1368" s="566">
        <v>866000</v>
      </c>
      <c r="G1368" s="564" t="s">
        <v>1077</v>
      </c>
      <c r="H1368" s="564" t="s">
        <v>1077</v>
      </c>
      <c r="I1368" s="564" t="s">
        <v>637</v>
      </c>
      <c r="J1368" s="564" t="s">
        <v>1069</v>
      </c>
      <c r="K1368" s="564" t="s">
        <v>1070</v>
      </c>
      <c r="L1368" s="564" t="s">
        <v>2098</v>
      </c>
      <c r="M1368" s="564" t="s">
        <v>2098</v>
      </c>
      <c r="N1368" s="564" t="s">
        <v>1082</v>
      </c>
      <c r="O1368" s="564" t="s">
        <v>2099</v>
      </c>
      <c r="P1368" s="23"/>
      <c r="Q1368" s="23"/>
      <c r="R1368" s="23"/>
      <c r="S1368" s="23"/>
      <c r="T1368" s="23"/>
      <c r="U1368" s="23"/>
      <c r="V1368" s="23"/>
      <c r="W1368" s="23"/>
      <c r="X1368" s="23"/>
      <c r="Y1368" s="23"/>
      <c r="Z1368" s="23"/>
    </row>
    <row r="1369" spans="1:26" ht="13">
      <c r="A1369" s="562" t="s">
        <v>4009</v>
      </c>
      <c r="B1369" s="563" t="s">
        <v>4010</v>
      </c>
      <c r="C1369" s="564" t="s">
        <v>353</v>
      </c>
      <c r="D1369" s="565">
        <v>44419</v>
      </c>
      <c r="E1369" s="565">
        <v>44439</v>
      </c>
      <c r="F1369" s="566">
        <v>140000</v>
      </c>
      <c r="G1369" s="564" t="s">
        <v>1128</v>
      </c>
      <c r="H1369" s="564" t="s">
        <v>1128</v>
      </c>
      <c r="I1369" s="564" t="s">
        <v>45</v>
      </c>
      <c r="J1369" s="564" t="s">
        <v>1069</v>
      </c>
      <c r="K1369" s="564" t="s">
        <v>1090</v>
      </c>
      <c r="L1369" s="564" t="s">
        <v>2098</v>
      </c>
      <c r="M1369" s="564" t="s">
        <v>2098</v>
      </c>
      <c r="N1369" s="564" t="s">
        <v>45</v>
      </c>
      <c r="O1369" s="564" t="s">
        <v>2099</v>
      </c>
      <c r="P1369" s="23"/>
      <c r="Q1369" s="23"/>
      <c r="R1369" s="23"/>
      <c r="S1369" s="23"/>
      <c r="T1369" s="23"/>
      <c r="U1369" s="23"/>
      <c r="V1369" s="23"/>
      <c r="W1369" s="23"/>
      <c r="X1369" s="23"/>
      <c r="Y1369" s="23"/>
      <c r="Z1369" s="23"/>
    </row>
    <row r="1370" spans="1:26" ht="13">
      <c r="A1370" s="562" t="s">
        <v>4011</v>
      </c>
      <c r="B1370" s="563" t="s">
        <v>4012</v>
      </c>
      <c r="C1370" s="564" t="s">
        <v>1652</v>
      </c>
      <c r="D1370" s="565">
        <v>44425</v>
      </c>
      <c r="E1370" s="565">
        <v>44433</v>
      </c>
      <c r="F1370" s="566">
        <v>1448000</v>
      </c>
      <c r="G1370" s="564" t="s">
        <v>297</v>
      </c>
      <c r="H1370" s="564" t="s">
        <v>297</v>
      </c>
      <c r="I1370" s="564" t="s">
        <v>70</v>
      </c>
      <c r="J1370" s="564" t="s">
        <v>1069</v>
      </c>
      <c r="K1370" s="564" t="s">
        <v>1120</v>
      </c>
      <c r="L1370" s="564" t="s">
        <v>2098</v>
      </c>
      <c r="M1370" s="564" t="s">
        <v>2098</v>
      </c>
      <c r="N1370" s="564" t="s">
        <v>70</v>
      </c>
      <c r="O1370" s="564" t="s">
        <v>2099</v>
      </c>
      <c r="P1370" s="23"/>
      <c r="Q1370" s="23"/>
      <c r="R1370" s="23"/>
      <c r="S1370" s="23"/>
      <c r="T1370" s="23"/>
      <c r="U1370" s="23"/>
      <c r="V1370" s="23"/>
      <c r="W1370" s="23"/>
      <c r="X1370" s="23"/>
      <c r="Y1370" s="23"/>
      <c r="Z1370" s="23"/>
    </row>
    <row r="1371" spans="1:26" ht="13">
      <c r="A1371" s="562" t="s">
        <v>4013</v>
      </c>
      <c r="B1371" s="563" t="s">
        <v>4014</v>
      </c>
      <c r="C1371" s="564" t="s">
        <v>1652</v>
      </c>
      <c r="D1371" s="565">
        <v>44421</v>
      </c>
      <c r="E1371" s="565">
        <v>44428</v>
      </c>
      <c r="F1371" s="566">
        <v>4080000</v>
      </c>
      <c r="G1371" s="564" t="s">
        <v>297</v>
      </c>
      <c r="H1371" s="564" t="s">
        <v>297</v>
      </c>
      <c r="I1371" s="564" t="s">
        <v>70</v>
      </c>
      <c r="J1371" s="564" t="s">
        <v>1069</v>
      </c>
      <c r="K1371" s="564" t="s">
        <v>1120</v>
      </c>
      <c r="L1371" s="564" t="s">
        <v>2098</v>
      </c>
      <c r="M1371" s="564" t="s">
        <v>2098</v>
      </c>
      <c r="N1371" s="564" t="s">
        <v>70</v>
      </c>
      <c r="O1371" s="564" t="s">
        <v>2099</v>
      </c>
      <c r="P1371" s="23"/>
      <c r="Q1371" s="23"/>
      <c r="R1371" s="23"/>
      <c r="S1371" s="23"/>
      <c r="T1371" s="23"/>
      <c r="U1371" s="23"/>
      <c r="V1371" s="23"/>
      <c r="W1371" s="23"/>
      <c r="X1371" s="23"/>
      <c r="Y1371" s="23"/>
      <c r="Z1371" s="23"/>
    </row>
    <row r="1372" spans="1:26" ht="13">
      <c r="A1372" s="562" t="s">
        <v>4015</v>
      </c>
      <c r="B1372" s="563" t="s">
        <v>3088</v>
      </c>
      <c r="C1372" s="564" t="s">
        <v>3378</v>
      </c>
      <c r="D1372" s="565">
        <v>44419</v>
      </c>
      <c r="E1372" s="565">
        <v>44439</v>
      </c>
      <c r="F1372" s="566">
        <v>140000</v>
      </c>
      <c r="G1372" s="564" t="s">
        <v>1128</v>
      </c>
      <c r="H1372" s="564" t="s">
        <v>1128</v>
      </c>
      <c r="I1372" s="564" t="s">
        <v>45</v>
      </c>
      <c r="J1372" s="564" t="s">
        <v>1069</v>
      </c>
      <c r="K1372" s="564" t="s">
        <v>1090</v>
      </c>
      <c r="L1372" s="564" t="s">
        <v>2098</v>
      </c>
      <c r="M1372" s="564" t="s">
        <v>2098</v>
      </c>
      <c r="N1372" s="564" t="s">
        <v>45</v>
      </c>
      <c r="O1372" s="564" t="s">
        <v>2099</v>
      </c>
      <c r="P1372" s="23"/>
      <c r="Q1372" s="23"/>
      <c r="R1372" s="23"/>
      <c r="S1372" s="23"/>
      <c r="T1372" s="23"/>
      <c r="U1372" s="23"/>
      <c r="V1372" s="23"/>
      <c r="W1372" s="23"/>
      <c r="X1372" s="23"/>
      <c r="Y1372" s="23"/>
      <c r="Z1372" s="23"/>
    </row>
    <row r="1373" spans="1:26" ht="13">
      <c r="A1373" s="562" t="s">
        <v>4016</v>
      </c>
      <c r="B1373" s="563" t="s">
        <v>4017</v>
      </c>
      <c r="C1373" s="564" t="s">
        <v>1652</v>
      </c>
      <c r="D1373" s="565">
        <v>44417</v>
      </c>
      <c r="E1373" s="565">
        <v>44425</v>
      </c>
      <c r="F1373" s="566">
        <v>3960000</v>
      </c>
      <c r="G1373" s="564" t="s">
        <v>297</v>
      </c>
      <c r="H1373" s="564" t="s">
        <v>297</v>
      </c>
      <c r="I1373" s="564" t="s">
        <v>70</v>
      </c>
      <c r="J1373" s="564" t="s">
        <v>1069</v>
      </c>
      <c r="K1373" s="564" t="s">
        <v>1120</v>
      </c>
      <c r="L1373" s="564" t="s">
        <v>2098</v>
      </c>
      <c r="M1373" s="564" t="s">
        <v>2098</v>
      </c>
      <c r="N1373" s="564" t="s">
        <v>70</v>
      </c>
      <c r="O1373" s="564" t="s">
        <v>2099</v>
      </c>
      <c r="P1373" s="23"/>
      <c r="Q1373" s="23"/>
      <c r="R1373" s="23"/>
      <c r="S1373" s="23"/>
      <c r="T1373" s="23"/>
      <c r="U1373" s="23"/>
      <c r="V1373" s="23"/>
      <c r="W1373" s="23"/>
      <c r="X1373" s="23"/>
      <c r="Y1373" s="23"/>
      <c r="Z1373" s="23"/>
    </row>
    <row r="1374" spans="1:26" ht="13">
      <c r="A1374" s="562" t="s">
        <v>4018</v>
      </c>
      <c r="B1374" s="563" t="s">
        <v>4019</v>
      </c>
      <c r="C1374" s="564" t="s">
        <v>1652</v>
      </c>
      <c r="D1374" s="565">
        <v>44417</v>
      </c>
      <c r="E1374" s="565">
        <v>44426</v>
      </c>
      <c r="F1374" s="566">
        <v>440000</v>
      </c>
      <c r="G1374" s="564" t="s">
        <v>297</v>
      </c>
      <c r="H1374" s="564" t="s">
        <v>297</v>
      </c>
      <c r="I1374" s="564" t="s">
        <v>107</v>
      </c>
      <c r="J1374" s="564" t="s">
        <v>1069</v>
      </c>
      <c r="K1374" s="564" t="s">
        <v>1120</v>
      </c>
      <c r="L1374" s="564" t="s">
        <v>2098</v>
      </c>
      <c r="M1374" s="564" t="s">
        <v>2098</v>
      </c>
      <c r="N1374" s="564" t="s">
        <v>1073</v>
      </c>
      <c r="O1374" s="564" t="s">
        <v>2099</v>
      </c>
      <c r="P1374" s="23"/>
      <c r="Q1374" s="23"/>
      <c r="R1374" s="23"/>
      <c r="S1374" s="23"/>
      <c r="T1374" s="23"/>
      <c r="U1374" s="23"/>
      <c r="V1374" s="23"/>
      <c r="W1374" s="23"/>
      <c r="X1374" s="23"/>
      <c r="Y1374" s="23"/>
      <c r="Z1374" s="23"/>
    </row>
    <row r="1375" spans="1:26" ht="13">
      <c r="A1375" s="562" t="s">
        <v>4020</v>
      </c>
      <c r="B1375" s="563" t="s">
        <v>4021</v>
      </c>
      <c r="C1375" s="564" t="s">
        <v>1652</v>
      </c>
      <c r="D1375" s="565">
        <v>44414</v>
      </c>
      <c r="E1375" s="565">
        <v>44425</v>
      </c>
      <c r="F1375" s="566">
        <v>4048000</v>
      </c>
      <c r="G1375" s="564" t="s">
        <v>297</v>
      </c>
      <c r="H1375" s="564" t="s">
        <v>297</v>
      </c>
      <c r="I1375" s="564" t="s">
        <v>70</v>
      </c>
      <c r="J1375" s="564" t="s">
        <v>1069</v>
      </c>
      <c r="K1375" s="564" t="s">
        <v>1120</v>
      </c>
      <c r="L1375" s="564" t="s">
        <v>2098</v>
      </c>
      <c r="M1375" s="564" t="s">
        <v>2098</v>
      </c>
      <c r="N1375" s="564" t="s">
        <v>70</v>
      </c>
      <c r="O1375" s="564" t="s">
        <v>2099</v>
      </c>
      <c r="P1375" s="23"/>
      <c r="Q1375" s="23"/>
      <c r="R1375" s="23"/>
      <c r="S1375" s="23"/>
      <c r="T1375" s="23"/>
      <c r="U1375" s="23"/>
      <c r="V1375" s="23"/>
      <c r="W1375" s="23"/>
      <c r="X1375" s="23"/>
      <c r="Y1375" s="23"/>
      <c r="Z1375" s="23"/>
    </row>
    <row r="1376" spans="1:26" ht="13">
      <c r="A1376" s="562" t="s">
        <v>4022</v>
      </c>
      <c r="B1376" s="563" t="s">
        <v>4023</v>
      </c>
      <c r="C1376" s="564" t="s">
        <v>1475</v>
      </c>
      <c r="D1376" s="565">
        <v>44413</v>
      </c>
      <c r="E1376" s="565">
        <v>44439</v>
      </c>
      <c r="F1376" s="566">
        <v>87000</v>
      </c>
      <c r="G1376" s="564" t="s">
        <v>1123</v>
      </c>
      <c r="H1376" s="564" t="s">
        <v>1123</v>
      </c>
      <c r="I1376" s="564" t="s">
        <v>1581</v>
      </c>
      <c r="J1376" s="564" t="s">
        <v>1069</v>
      </c>
      <c r="K1376" s="564" t="s">
        <v>1070</v>
      </c>
      <c r="L1376" s="564" t="s">
        <v>2098</v>
      </c>
      <c r="M1376" s="564" t="s">
        <v>2098</v>
      </c>
      <c r="N1376" s="564" t="s">
        <v>1082</v>
      </c>
      <c r="O1376" s="564" t="s">
        <v>2099</v>
      </c>
      <c r="P1376" s="23"/>
      <c r="Q1376" s="23"/>
      <c r="R1376" s="23"/>
      <c r="S1376" s="23"/>
      <c r="T1376" s="23"/>
      <c r="U1376" s="23"/>
      <c r="V1376" s="23"/>
      <c r="W1376" s="23"/>
      <c r="X1376" s="23"/>
      <c r="Y1376" s="23"/>
      <c r="Z1376" s="23"/>
    </row>
    <row r="1377" spans="1:26" ht="13">
      <c r="A1377" s="562" t="s">
        <v>4024</v>
      </c>
      <c r="B1377" s="563" t="s">
        <v>4025</v>
      </c>
      <c r="C1377" s="564" t="s">
        <v>1076</v>
      </c>
      <c r="D1377" s="565">
        <v>44413</v>
      </c>
      <c r="E1377" s="565">
        <v>44504</v>
      </c>
      <c r="F1377" s="566">
        <v>1822000</v>
      </c>
      <c r="G1377" s="564" t="s">
        <v>1077</v>
      </c>
      <c r="H1377" s="564" t="s">
        <v>1077</v>
      </c>
      <c r="I1377" s="564" t="s">
        <v>637</v>
      </c>
      <c r="J1377" s="564" t="s">
        <v>1069</v>
      </c>
      <c r="K1377" s="564" t="s">
        <v>1070</v>
      </c>
      <c r="L1377" s="564" t="s">
        <v>2098</v>
      </c>
      <c r="M1377" s="564" t="s">
        <v>2098</v>
      </c>
      <c r="N1377" s="564" t="s">
        <v>1082</v>
      </c>
      <c r="O1377" s="564" t="s">
        <v>2099</v>
      </c>
      <c r="P1377" s="23"/>
      <c r="Q1377" s="23"/>
      <c r="R1377" s="23"/>
      <c r="S1377" s="23"/>
      <c r="T1377" s="23"/>
      <c r="U1377" s="23"/>
      <c r="V1377" s="23"/>
      <c r="W1377" s="23"/>
      <c r="X1377" s="23"/>
      <c r="Y1377" s="23"/>
      <c r="Z1377" s="23"/>
    </row>
    <row r="1378" spans="1:26" ht="13">
      <c r="A1378" s="562" t="s">
        <v>4026</v>
      </c>
      <c r="B1378" s="563" t="s">
        <v>4027</v>
      </c>
      <c r="C1378" s="564" t="s">
        <v>1475</v>
      </c>
      <c r="D1378" s="565">
        <v>44411</v>
      </c>
      <c r="E1378" s="565">
        <v>44439</v>
      </c>
      <c r="F1378" s="566">
        <v>174000</v>
      </c>
      <c r="G1378" s="564" t="s">
        <v>1123</v>
      </c>
      <c r="H1378" s="564" t="s">
        <v>1123</v>
      </c>
      <c r="I1378" s="564" t="s">
        <v>1581</v>
      </c>
      <c r="J1378" s="564" t="s">
        <v>1069</v>
      </c>
      <c r="K1378" s="564" t="s">
        <v>1070</v>
      </c>
      <c r="L1378" s="564" t="s">
        <v>2098</v>
      </c>
      <c r="M1378" s="564" t="s">
        <v>2098</v>
      </c>
      <c r="N1378" s="564" t="s">
        <v>1082</v>
      </c>
      <c r="O1378" s="564" t="s">
        <v>2099</v>
      </c>
      <c r="P1378" s="23"/>
      <c r="Q1378" s="23"/>
      <c r="R1378" s="23"/>
      <c r="S1378" s="23"/>
      <c r="T1378" s="23"/>
      <c r="U1378" s="23"/>
      <c r="V1378" s="23"/>
      <c r="W1378" s="23"/>
      <c r="X1378" s="23"/>
      <c r="Y1378" s="23"/>
      <c r="Z1378" s="23"/>
    </row>
    <row r="1379" spans="1:26" ht="13">
      <c r="A1379" s="562" t="s">
        <v>4028</v>
      </c>
      <c r="B1379" s="563" t="s">
        <v>4029</v>
      </c>
      <c r="C1379" s="564" t="s">
        <v>1652</v>
      </c>
      <c r="D1379" s="565">
        <v>44410</v>
      </c>
      <c r="E1379" s="565">
        <v>44418</v>
      </c>
      <c r="F1379" s="566">
        <v>1555000</v>
      </c>
      <c r="G1379" s="564" t="s">
        <v>297</v>
      </c>
      <c r="H1379" s="564" t="s">
        <v>297</v>
      </c>
      <c r="I1379" s="564" t="s">
        <v>1223</v>
      </c>
      <c r="J1379" s="564" t="s">
        <v>1069</v>
      </c>
      <c r="K1379" s="564" t="s">
        <v>1120</v>
      </c>
      <c r="L1379" s="564" t="s">
        <v>2098</v>
      </c>
      <c r="M1379" s="564" t="s">
        <v>2098</v>
      </c>
      <c r="N1379" s="564" t="s">
        <v>1073</v>
      </c>
      <c r="O1379" s="564" t="s">
        <v>2099</v>
      </c>
      <c r="P1379" s="23"/>
      <c r="Q1379" s="23"/>
      <c r="R1379" s="23"/>
      <c r="S1379" s="23"/>
      <c r="T1379" s="23"/>
      <c r="U1379" s="23"/>
      <c r="V1379" s="23"/>
      <c r="W1379" s="23"/>
      <c r="X1379" s="23"/>
      <c r="Y1379" s="23"/>
      <c r="Z1379" s="23"/>
    </row>
    <row r="1380" spans="1:26" ht="13">
      <c r="A1380" s="562" t="s">
        <v>4030</v>
      </c>
      <c r="B1380" s="563" t="s">
        <v>4031</v>
      </c>
      <c r="C1380" s="564" t="s">
        <v>1652</v>
      </c>
      <c r="D1380" s="565">
        <v>44411</v>
      </c>
      <c r="E1380" s="565">
        <v>44419</v>
      </c>
      <c r="F1380" s="566">
        <v>2816000</v>
      </c>
      <c r="G1380" s="564" t="s">
        <v>297</v>
      </c>
      <c r="H1380" s="564" t="s">
        <v>297</v>
      </c>
      <c r="I1380" s="564" t="s">
        <v>70</v>
      </c>
      <c r="J1380" s="564" t="s">
        <v>1069</v>
      </c>
      <c r="K1380" s="564" t="s">
        <v>1120</v>
      </c>
      <c r="L1380" s="564" t="s">
        <v>2098</v>
      </c>
      <c r="M1380" s="564" t="s">
        <v>2098</v>
      </c>
      <c r="N1380" s="564" t="s">
        <v>70</v>
      </c>
      <c r="O1380" s="564" t="s">
        <v>2099</v>
      </c>
      <c r="P1380" s="23"/>
      <c r="Q1380" s="23"/>
      <c r="R1380" s="23"/>
      <c r="S1380" s="23"/>
      <c r="T1380" s="23"/>
      <c r="U1380" s="23"/>
      <c r="V1380" s="23"/>
      <c r="W1380" s="23"/>
      <c r="X1380" s="23"/>
      <c r="Y1380" s="23"/>
      <c r="Z1380" s="23"/>
    </row>
    <row r="1381" spans="1:26" ht="13">
      <c r="A1381" s="562" t="s">
        <v>4032</v>
      </c>
      <c r="B1381" s="563" t="s">
        <v>4033</v>
      </c>
      <c r="C1381" s="564" t="s">
        <v>353</v>
      </c>
      <c r="D1381" s="565">
        <v>44410</v>
      </c>
      <c r="E1381" s="565">
        <v>44418</v>
      </c>
      <c r="F1381" s="566">
        <v>114000000</v>
      </c>
      <c r="G1381" s="564" t="s">
        <v>1128</v>
      </c>
      <c r="H1381" s="564" t="s">
        <v>1128</v>
      </c>
      <c r="I1381" s="564" t="s">
        <v>45</v>
      </c>
      <c r="J1381" s="564" t="s">
        <v>1069</v>
      </c>
      <c r="K1381" s="564" t="s">
        <v>1090</v>
      </c>
      <c r="L1381" s="564" t="s">
        <v>2098</v>
      </c>
      <c r="M1381" s="564" t="s">
        <v>2098</v>
      </c>
      <c r="N1381" s="564" t="s">
        <v>45</v>
      </c>
      <c r="O1381" s="564" t="s">
        <v>2099</v>
      </c>
      <c r="P1381" s="23"/>
      <c r="Q1381" s="23"/>
      <c r="R1381" s="23"/>
      <c r="S1381" s="23"/>
      <c r="T1381" s="23"/>
      <c r="U1381" s="23"/>
      <c r="V1381" s="23"/>
      <c r="W1381" s="23"/>
      <c r="X1381" s="23"/>
      <c r="Y1381" s="23"/>
      <c r="Z1381" s="23"/>
    </row>
    <row r="1382" spans="1:26" ht="13">
      <c r="A1382" s="562" t="s">
        <v>4034</v>
      </c>
      <c r="B1382" s="563" t="s">
        <v>4035</v>
      </c>
      <c r="C1382" s="564" t="s">
        <v>353</v>
      </c>
      <c r="D1382" s="565">
        <v>44410</v>
      </c>
      <c r="E1382" s="565">
        <v>44418</v>
      </c>
      <c r="F1382" s="566">
        <v>1800000</v>
      </c>
      <c r="G1382" s="564" t="s">
        <v>1128</v>
      </c>
      <c r="H1382" s="564" t="s">
        <v>1128</v>
      </c>
      <c r="I1382" s="564" t="s">
        <v>45</v>
      </c>
      <c r="J1382" s="564" t="s">
        <v>1069</v>
      </c>
      <c r="K1382" s="564" t="s">
        <v>1090</v>
      </c>
      <c r="L1382" s="564" t="s">
        <v>2098</v>
      </c>
      <c r="M1382" s="564" t="s">
        <v>2098</v>
      </c>
      <c r="N1382" s="564" t="s">
        <v>45</v>
      </c>
      <c r="O1382" s="564" t="s">
        <v>2099</v>
      </c>
      <c r="P1382" s="23"/>
      <c r="Q1382" s="23"/>
      <c r="R1382" s="23"/>
      <c r="S1382" s="23"/>
      <c r="T1382" s="23"/>
      <c r="U1382" s="23"/>
      <c r="V1382" s="23"/>
      <c r="W1382" s="23"/>
      <c r="X1382" s="23"/>
      <c r="Y1382" s="23"/>
      <c r="Z1382" s="23"/>
    </row>
    <row r="1383" spans="1:26" ht="13">
      <c r="A1383" s="562" t="s">
        <v>4036</v>
      </c>
      <c r="B1383" s="563" t="s">
        <v>4037</v>
      </c>
      <c r="C1383" s="564" t="s">
        <v>353</v>
      </c>
      <c r="D1383" s="565">
        <v>44410</v>
      </c>
      <c r="E1383" s="565">
        <v>44412</v>
      </c>
      <c r="F1383" s="566">
        <v>29677000</v>
      </c>
      <c r="G1383" s="564" t="s">
        <v>1128</v>
      </c>
      <c r="H1383" s="564" t="s">
        <v>1128</v>
      </c>
      <c r="I1383" s="564" t="s">
        <v>45</v>
      </c>
      <c r="J1383" s="564" t="s">
        <v>1069</v>
      </c>
      <c r="K1383" s="564" t="s">
        <v>1090</v>
      </c>
      <c r="L1383" s="564" t="s">
        <v>2098</v>
      </c>
      <c r="M1383" s="564" t="s">
        <v>2098</v>
      </c>
      <c r="N1383" s="564" t="s">
        <v>45</v>
      </c>
      <c r="O1383" s="564" t="s">
        <v>2099</v>
      </c>
      <c r="P1383" s="23"/>
      <c r="Q1383" s="23"/>
      <c r="R1383" s="23"/>
      <c r="S1383" s="23"/>
      <c r="T1383" s="23"/>
      <c r="U1383" s="23"/>
      <c r="V1383" s="23"/>
      <c r="W1383" s="23"/>
      <c r="X1383" s="23"/>
      <c r="Y1383" s="23"/>
      <c r="Z1383" s="23"/>
    </row>
    <row r="1384" spans="1:26" ht="13">
      <c r="A1384" s="562" t="s">
        <v>4038</v>
      </c>
      <c r="B1384" s="563" t="s">
        <v>4039</v>
      </c>
      <c r="C1384" s="564" t="s">
        <v>1475</v>
      </c>
      <c r="D1384" s="565">
        <v>44407</v>
      </c>
      <c r="E1384" s="565">
        <v>44439</v>
      </c>
      <c r="F1384" s="566">
        <v>87000</v>
      </c>
      <c r="G1384" s="564" t="s">
        <v>1123</v>
      </c>
      <c r="H1384" s="564" t="s">
        <v>1123</v>
      </c>
      <c r="I1384" s="564" t="s">
        <v>1581</v>
      </c>
      <c r="J1384" s="564" t="s">
        <v>1069</v>
      </c>
      <c r="K1384" s="564" t="s">
        <v>1070</v>
      </c>
      <c r="L1384" s="564" t="s">
        <v>2098</v>
      </c>
      <c r="M1384" s="564" t="s">
        <v>2098</v>
      </c>
      <c r="N1384" s="564" t="s">
        <v>1082</v>
      </c>
      <c r="O1384" s="564" t="s">
        <v>2099</v>
      </c>
      <c r="P1384" s="23"/>
      <c r="Q1384" s="23"/>
      <c r="R1384" s="23"/>
      <c r="S1384" s="23"/>
      <c r="T1384" s="23"/>
      <c r="U1384" s="23"/>
      <c r="V1384" s="23"/>
      <c r="W1384" s="23"/>
      <c r="X1384" s="23"/>
      <c r="Y1384" s="23"/>
      <c r="Z1384" s="23"/>
    </row>
    <row r="1385" spans="1:26" ht="13">
      <c r="A1385" s="562" t="s">
        <v>4040</v>
      </c>
      <c r="B1385" s="563" t="s">
        <v>4041</v>
      </c>
      <c r="C1385" s="564" t="s">
        <v>2433</v>
      </c>
      <c r="D1385" s="565">
        <v>44405</v>
      </c>
      <c r="E1385" s="565">
        <v>44496</v>
      </c>
      <c r="F1385" s="566">
        <v>1987000</v>
      </c>
      <c r="G1385" s="564" t="s">
        <v>1077</v>
      </c>
      <c r="H1385" s="564" t="s">
        <v>1077</v>
      </c>
      <c r="I1385" s="564" t="s">
        <v>637</v>
      </c>
      <c r="J1385" s="564" t="s">
        <v>1069</v>
      </c>
      <c r="K1385" s="564" t="s">
        <v>1070</v>
      </c>
      <c r="L1385" s="564" t="s">
        <v>2098</v>
      </c>
      <c r="M1385" s="564" t="s">
        <v>2098</v>
      </c>
      <c r="N1385" s="564" t="s">
        <v>1082</v>
      </c>
      <c r="O1385" s="564" t="s">
        <v>2099</v>
      </c>
      <c r="P1385" s="23"/>
      <c r="Q1385" s="23"/>
      <c r="R1385" s="23"/>
      <c r="S1385" s="23"/>
      <c r="T1385" s="23"/>
      <c r="U1385" s="23"/>
      <c r="V1385" s="23"/>
      <c r="W1385" s="23"/>
      <c r="X1385" s="23"/>
      <c r="Y1385" s="23"/>
      <c r="Z1385" s="23"/>
    </row>
    <row r="1386" spans="1:26" ht="13">
      <c r="A1386" s="562" t="s">
        <v>4042</v>
      </c>
      <c r="B1386" s="563" t="s">
        <v>4043</v>
      </c>
      <c r="C1386" s="564" t="s">
        <v>353</v>
      </c>
      <c r="D1386" s="565">
        <v>44400</v>
      </c>
      <c r="E1386" s="565">
        <v>44407</v>
      </c>
      <c r="F1386" s="566">
        <v>27400000</v>
      </c>
      <c r="G1386" s="564" t="s">
        <v>1128</v>
      </c>
      <c r="H1386" s="564" t="s">
        <v>1128</v>
      </c>
      <c r="I1386" s="564" t="s">
        <v>45</v>
      </c>
      <c r="J1386" s="564" t="s">
        <v>1069</v>
      </c>
      <c r="K1386" s="564" t="s">
        <v>1090</v>
      </c>
      <c r="L1386" s="564" t="s">
        <v>2098</v>
      </c>
      <c r="M1386" s="564" t="s">
        <v>2098</v>
      </c>
      <c r="N1386" s="564" t="s">
        <v>45</v>
      </c>
      <c r="O1386" s="564" t="s">
        <v>2099</v>
      </c>
      <c r="P1386" s="23"/>
      <c r="Q1386" s="23"/>
      <c r="R1386" s="23"/>
      <c r="S1386" s="23"/>
      <c r="T1386" s="23"/>
      <c r="U1386" s="23"/>
      <c r="V1386" s="23"/>
      <c r="W1386" s="23"/>
      <c r="X1386" s="23"/>
      <c r="Y1386" s="23"/>
      <c r="Z1386" s="23"/>
    </row>
    <row r="1387" spans="1:26" ht="13">
      <c r="A1387" s="562" t="s">
        <v>4044</v>
      </c>
      <c r="B1387" s="563" t="s">
        <v>4045</v>
      </c>
      <c r="C1387" s="564" t="s">
        <v>1652</v>
      </c>
      <c r="D1387" s="565">
        <v>44400</v>
      </c>
      <c r="E1387" s="565">
        <v>44462</v>
      </c>
      <c r="F1387" s="566">
        <v>35450000</v>
      </c>
      <c r="G1387" s="564" t="s">
        <v>1182</v>
      </c>
      <c r="H1387" s="564" t="s">
        <v>1182</v>
      </c>
      <c r="I1387" s="564" t="s">
        <v>802</v>
      </c>
      <c r="J1387" s="564" t="s">
        <v>1069</v>
      </c>
      <c r="K1387" s="564" t="s">
        <v>1198</v>
      </c>
      <c r="L1387" s="564" t="s">
        <v>2098</v>
      </c>
      <c r="M1387" s="564" t="s">
        <v>2098</v>
      </c>
      <c r="N1387" s="564" t="s">
        <v>132</v>
      </c>
      <c r="O1387" s="564" t="s">
        <v>2099</v>
      </c>
      <c r="P1387" s="23"/>
      <c r="Q1387" s="23"/>
      <c r="R1387" s="23"/>
      <c r="S1387" s="23"/>
      <c r="T1387" s="23"/>
      <c r="U1387" s="23"/>
      <c r="V1387" s="23"/>
      <c r="W1387" s="23"/>
      <c r="X1387" s="23"/>
      <c r="Y1387" s="23"/>
      <c r="Z1387" s="23"/>
    </row>
    <row r="1388" spans="1:26" ht="13">
      <c r="A1388" s="562" t="s">
        <v>4046</v>
      </c>
      <c r="B1388" s="563" t="s">
        <v>4047</v>
      </c>
      <c r="C1388" s="564" t="s">
        <v>1652</v>
      </c>
      <c r="D1388" s="565">
        <v>44403</v>
      </c>
      <c r="E1388" s="565">
        <v>44414</v>
      </c>
      <c r="F1388" s="566">
        <v>4048000</v>
      </c>
      <c r="G1388" s="564" t="s">
        <v>297</v>
      </c>
      <c r="H1388" s="564" t="s">
        <v>297</v>
      </c>
      <c r="I1388" s="564" t="s">
        <v>70</v>
      </c>
      <c r="J1388" s="564" t="s">
        <v>1069</v>
      </c>
      <c r="K1388" s="564" t="s">
        <v>1120</v>
      </c>
      <c r="L1388" s="564" t="s">
        <v>2098</v>
      </c>
      <c r="M1388" s="564" t="s">
        <v>2098</v>
      </c>
      <c r="N1388" s="564" t="s">
        <v>70</v>
      </c>
      <c r="O1388" s="564" t="s">
        <v>2099</v>
      </c>
      <c r="P1388" s="23"/>
      <c r="Q1388" s="23"/>
      <c r="R1388" s="23"/>
      <c r="S1388" s="23"/>
      <c r="T1388" s="23"/>
      <c r="U1388" s="23"/>
      <c r="V1388" s="23"/>
      <c r="W1388" s="23"/>
      <c r="X1388" s="23"/>
      <c r="Y1388" s="23"/>
      <c r="Z1388" s="23"/>
    </row>
    <row r="1389" spans="1:26" ht="13">
      <c r="A1389" s="562" t="s">
        <v>4048</v>
      </c>
      <c r="B1389" s="563" t="s">
        <v>4049</v>
      </c>
      <c r="C1389" s="564" t="s">
        <v>1652</v>
      </c>
      <c r="D1389" s="565">
        <v>44400</v>
      </c>
      <c r="E1389" s="565">
        <v>44414</v>
      </c>
      <c r="F1389" s="566">
        <v>2420000</v>
      </c>
      <c r="G1389" s="564" t="s">
        <v>297</v>
      </c>
      <c r="H1389" s="564" t="s">
        <v>297</v>
      </c>
      <c r="I1389" s="564" t="s">
        <v>107</v>
      </c>
      <c r="J1389" s="564" t="s">
        <v>1069</v>
      </c>
      <c r="K1389" s="564" t="s">
        <v>1120</v>
      </c>
      <c r="L1389" s="564" t="s">
        <v>2098</v>
      </c>
      <c r="M1389" s="564" t="s">
        <v>2098</v>
      </c>
      <c r="N1389" s="564" t="s">
        <v>1073</v>
      </c>
      <c r="O1389" s="564" t="s">
        <v>2099</v>
      </c>
      <c r="P1389" s="23"/>
      <c r="Q1389" s="23"/>
      <c r="R1389" s="23"/>
      <c r="S1389" s="23"/>
      <c r="T1389" s="23"/>
      <c r="U1389" s="23"/>
      <c r="V1389" s="23"/>
      <c r="W1389" s="23"/>
      <c r="X1389" s="23"/>
      <c r="Y1389" s="23"/>
      <c r="Z1389" s="23"/>
    </row>
    <row r="1390" spans="1:26" ht="13">
      <c r="A1390" s="562" t="s">
        <v>4050</v>
      </c>
      <c r="B1390" s="563" t="s">
        <v>4051</v>
      </c>
      <c r="C1390" s="564" t="s">
        <v>1076</v>
      </c>
      <c r="D1390" s="565">
        <v>44403</v>
      </c>
      <c r="E1390" s="565">
        <v>44494</v>
      </c>
      <c r="F1390" s="566">
        <v>2192000</v>
      </c>
      <c r="G1390" s="564" t="s">
        <v>1077</v>
      </c>
      <c r="H1390" s="564" t="s">
        <v>1077</v>
      </c>
      <c r="I1390" s="564" t="s">
        <v>637</v>
      </c>
      <c r="J1390" s="564" t="s">
        <v>1069</v>
      </c>
      <c r="K1390" s="564" t="s">
        <v>1070</v>
      </c>
      <c r="L1390" s="564" t="s">
        <v>2098</v>
      </c>
      <c r="M1390" s="564" t="s">
        <v>2098</v>
      </c>
      <c r="N1390" s="564" t="s">
        <v>1082</v>
      </c>
      <c r="O1390" s="564" t="s">
        <v>2099</v>
      </c>
      <c r="P1390" s="23"/>
      <c r="Q1390" s="23"/>
      <c r="R1390" s="23"/>
      <c r="S1390" s="23"/>
      <c r="T1390" s="23"/>
      <c r="U1390" s="23"/>
      <c r="V1390" s="23"/>
      <c r="W1390" s="23"/>
      <c r="X1390" s="23"/>
      <c r="Y1390" s="23"/>
      <c r="Z1390" s="23"/>
    </row>
    <row r="1391" spans="1:26" ht="13">
      <c r="A1391" s="562" t="s">
        <v>4052</v>
      </c>
      <c r="B1391" s="563" t="s">
        <v>4053</v>
      </c>
      <c r="C1391" s="564" t="s">
        <v>1475</v>
      </c>
      <c r="D1391" s="565">
        <v>44391</v>
      </c>
      <c r="E1391" s="565">
        <v>44407</v>
      </c>
      <c r="F1391" s="566">
        <v>85072000</v>
      </c>
      <c r="G1391" s="564" t="s">
        <v>2876</v>
      </c>
      <c r="H1391" s="564" t="s">
        <v>2876</v>
      </c>
      <c r="I1391" s="564" t="s">
        <v>4054</v>
      </c>
      <c r="J1391" s="564" t="s">
        <v>1069</v>
      </c>
      <c r="K1391" s="564" t="s">
        <v>2878</v>
      </c>
      <c r="L1391" s="564" t="s">
        <v>2098</v>
      </c>
      <c r="M1391" s="564" t="s">
        <v>2098</v>
      </c>
      <c r="N1391" s="564" t="s">
        <v>1368</v>
      </c>
      <c r="O1391" s="564" t="s">
        <v>2099</v>
      </c>
      <c r="P1391" s="23"/>
      <c r="Q1391" s="23"/>
      <c r="R1391" s="23"/>
      <c r="S1391" s="23"/>
      <c r="T1391" s="23"/>
      <c r="U1391" s="23"/>
      <c r="V1391" s="23"/>
      <c r="W1391" s="23"/>
      <c r="X1391" s="23"/>
      <c r="Y1391" s="23"/>
      <c r="Z1391" s="23"/>
    </row>
    <row r="1392" spans="1:26" ht="13">
      <c r="A1392" s="562" t="s">
        <v>4055</v>
      </c>
      <c r="B1392" s="563" t="s">
        <v>3963</v>
      </c>
      <c r="C1392" s="564" t="s">
        <v>1076</v>
      </c>
      <c r="D1392" s="565">
        <v>44397</v>
      </c>
      <c r="E1392" s="565">
        <v>44488</v>
      </c>
      <c r="F1392" s="566">
        <v>3974000</v>
      </c>
      <c r="G1392" s="564" t="s">
        <v>1077</v>
      </c>
      <c r="H1392" s="564" t="s">
        <v>1077</v>
      </c>
      <c r="I1392" s="564" t="s">
        <v>637</v>
      </c>
      <c r="J1392" s="564" t="s">
        <v>1069</v>
      </c>
      <c r="K1392" s="564" t="s">
        <v>1070</v>
      </c>
      <c r="L1392" s="564" t="s">
        <v>2098</v>
      </c>
      <c r="M1392" s="564" t="s">
        <v>2098</v>
      </c>
      <c r="N1392" s="564" t="s">
        <v>1082</v>
      </c>
      <c r="O1392" s="564" t="s">
        <v>2099</v>
      </c>
      <c r="P1392" s="23"/>
      <c r="Q1392" s="23"/>
      <c r="R1392" s="23"/>
      <c r="S1392" s="23"/>
      <c r="T1392" s="23"/>
      <c r="U1392" s="23"/>
      <c r="V1392" s="23"/>
      <c r="W1392" s="23"/>
      <c r="X1392" s="23"/>
      <c r="Y1392" s="23"/>
      <c r="Z1392" s="23"/>
    </row>
    <row r="1393" spans="1:26" ht="13">
      <c r="A1393" s="562" t="s">
        <v>4056</v>
      </c>
      <c r="B1393" s="563" t="s">
        <v>4057</v>
      </c>
      <c r="C1393" s="564" t="s">
        <v>1652</v>
      </c>
      <c r="D1393" s="565">
        <v>44398</v>
      </c>
      <c r="E1393" s="565">
        <v>44407</v>
      </c>
      <c r="F1393" s="566">
        <v>4224000</v>
      </c>
      <c r="G1393" s="564" t="s">
        <v>297</v>
      </c>
      <c r="H1393" s="564" t="s">
        <v>297</v>
      </c>
      <c r="I1393" s="564" t="s">
        <v>70</v>
      </c>
      <c r="J1393" s="564" t="s">
        <v>1069</v>
      </c>
      <c r="K1393" s="564" t="s">
        <v>1120</v>
      </c>
      <c r="L1393" s="564" t="s">
        <v>2098</v>
      </c>
      <c r="M1393" s="564" t="s">
        <v>2098</v>
      </c>
      <c r="N1393" s="564" t="s">
        <v>70</v>
      </c>
      <c r="O1393" s="564" t="s">
        <v>2099</v>
      </c>
      <c r="P1393" s="23"/>
      <c r="Q1393" s="23"/>
      <c r="R1393" s="23"/>
      <c r="S1393" s="23"/>
      <c r="T1393" s="23"/>
      <c r="U1393" s="23"/>
      <c r="V1393" s="23"/>
      <c r="W1393" s="23"/>
      <c r="X1393" s="23"/>
      <c r="Y1393" s="23"/>
      <c r="Z1393" s="23"/>
    </row>
    <row r="1394" spans="1:26" ht="13">
      <c r="A1394" s="562" t="s">
        <v>4058</v>
      </c>
      <c r="B1394" s="563" t="s">
        <v>4059</v>
      </c>
      <c r="C1394" s="564" t="s">
        <v>353</v>
      </c>
      <c r="D1394" s="565">
        <v>44397</v>
      </c>
      <c r="E1394" s="565">
        <v>44407</v>
      </c>
      <c r="F1394" s="566">
        <v>180000</v>
      </c>
      <c r="G1394" s="564" t="s">
        <v>297</v>
      </c>
      <c r="H1394" s="564" t="s">
        <v>297</v>
      </c>
      <c r="I1394" s="564" t="s">
        <v>121</v>
      </c>
      <c r="J1394" s="564" t="s">
        <v>1069</v>
      </c>
      <c r="K1394" s="564" t="s">
        <v>1105</v>
      </c>
      <c r="L1394" s="564" t="s">
        <v>2098</v>
      </c>
      <c r="M1394" s="564" t="s">
        <v>2098</v>
      </c>
      <c r="N1394" s="564" t="s">
        <v>1073</v>
      </c>
      <c r="O1394" s="564" t="s">
        <v>2099</v>
      </c>
      <c r="P1394" s="23"/>
      <c r="Q1394" s="23"/>
      <c r="R1394" s="23"/>
      <c r="S1394" s="23"/>
      <c r="T1394" s="23"/>
      <c r="U1394" s="23"/>
      <c r="V1394" s="23"/>
      <c r="W1394" s="23"/>
      <c r="X1394" s="23"/>
      <c r="Y1394" s="23"/>
      <c r="Z1394" s="23"/>
    </row>
    <row r="1395" spans="1:26" ht="13">
      <c r="A1395" s="562" t="s">
        <v>4060</v>
      </c>
      <c r="B1395" s="563" t="s">
        <v>4061</v>
      </c>
      <c r="C1395" s="564" t="s">
        <v>1652</v>
      </c>
      <c r="D1395" s="565">
        <v>44397</v>
      </c>
      <c r="E1395" s="565">
        <v>44407</v>
      </c>
      <c r="F1395" s="566">
        <v>4638000</v>
      </c>
      <c r="G1395" s="564" t="s">
        <v>297</v>
      </c>
      <c r="H1395" s="564" t="s">
        <v>297</v>
      </c>
      <c r="I1395" s="564" t="s">
        <v>70</v>
      </c>
      <c r="J1395" s="564" t="s">
        <v>1069</v>
      </c>
      <c r="K1395" s="564" t="s">
        <v>1120</v>
      </c>
      <c r="L1395" s="564" t="s">
        <v>2098</v>
      </c>
      <c r="M1395" s="564" t="s">
        <v>2098</v>
      </c>
      <c r="N1395" s="564" t="s">
        <v>70</v>
      </c>
      <c r="O1395" s="564" t="s">
        <v>2099</v>
      </c>
      <c r="P1395" s="23"/>
      <c r="Q1395" s="23"/>
      <c r="R1395" s="23"/>
      <c r="S1395" s="23"/>
      <c r="T1395" s="23"/>
      <c r="U1395" s="23"/>
      <c r="V1395" s="23"/>
      <c r="W1395" s="23"/>
      <c r="X1395" s="23"/>
      <c r="Y1395" s="23"/>
      <c r="Z1395" s="23"/>
    </row>
    <row r="1396" spans="1:26" ht="13">
      <c r="A1396" s="562" t="s">
        <v>4062</v>
      </c>
      <c r="B1396" s="563" t="s">
        <v>4053</v>
      </c>
      <c r="C1396" s="564" t="s">
        <v>2437</v>
      </c>
      <c r="D1396" s="565">
        <v>44391</v>
      </c>
      <c r="E1396" s="565">
        <v>44348</v>
      </c>
      <c r="F1396" s="566">
        <v>85072000</v>
      </c>
      <c r="G1396" s="564" t="s">
        <v>2876</v>
      </c>
      <c r="H1396" s="564" t="s">
        <v>2876</v>
      </c>
      <c r="I1396" s="564" t="s">
        <v>4054</v>
      </c>
      <c r="J1396" s="564" t="s">
        <v>1069</v>
      </c>
      <c r="K1396" s="564" t="s">
        <v>2878</v>
      </c>
      <c r="L1396" s="564" t="s">
        <v>2098</v>
      </c>
      <c r="M1396" s="564" t="s">
        <v>2098</v>
      </c>
      <c r="N1396" s="564" t="s">
        <v>1368</v>
      </c>
      <c r="O1396" s="564" t="s">
        <v>2099</v>
      </c>
      <c r="P1396" s="23"/>
      <c r="Q1396" s="23"/>
      <c r="R1396" s="23"/>
      <c r="S1396" s="23"/>
      <c r="T1396" s="23"/>
      <c r="U1396" s="23"/>
      <c r="V1396" s="23"/>
      <c r="W1396" s="23"/>
      <c r="X1396" s="23"/>
      <c r="Y1396" s="23"/>
      <c r="Z1396" s="23"/>
    </row>
    <row r="1397" spans="1:26" ht="13">
      <c r="A1397" s="562" t="s">
        <v>4063</v>
      </c>
      <c r="B1397" s="563" t="s">
        <v>4064</v>
      </c>
      <c r="C1397" s="564" t="s">
        <v>1652</v>
      </c>
      <c r="D1397" s="565">
        <v>44392</v>
      </c>
      <c r="E1397" s="565">
        <v>44399</v>
      </c>
      <c r="F1397" s="566">
        <v>4136000</v>
      </c>
      <c r="G1397" s="564" t="s">
        <v>297</v>
      </c>
      <c r="H1397" s="564" t="s">
        <v>297</v>
      </c>
      <c r="I1397" s="564" t="s">
        <v>70</v>
      </c>
      <c r="J1397" s="564" t="s">
        <v>1069</v>
      </c>
      <c r="K1397" s="564" t="s">
        <v>1120</v>
      </c>
      <c r="L1397" s="564" t="s">
        <v>2098</v>
      </c>
      <c r="M1397" s="564" t="s">
        <v>2098</v>
      </c>
      <c r="N1397" s="564" t="s">
        <v>70</v>
      </c>
      <c r="O1397" s="564" t="s">
        <v>2099</v>
      </c>
      <c r="P1397" s="23"/>
      <c r="Q1397" s="23"/>
      <c r="R1397" s="23"/>
      <c r="S1397" s="23"/>
      <c r="T1397" s="23"/>
      <c r="U1397" s="23"/>
      <c r="V1397" s="23"/>
      <c r="W1397" s="23"/>
      <c r="X1397" s="23"/>
      <c r="Y1397" s="23"/>
      <c r="Z1397" s="23"/>
    </row>
    <row r="1398" spans="1:26" ht="13">
      <c r="A1398" s="562" t="s">
        <v>4065</v>
      </c>
      <c r="B1398" s="563" t="s">
        <v>4066</v>
      </c>
      <c r="C1398" s="564" t="s">
        <v>1652</v>
      </c>
      <c r="D1398" s="565">
        <v>44384</v>
      </c>
      <c r="E1398" s="565">
        <v>44400</v>
      </c>
      <c r="F1398" s="566">
        <v>1600000</v>
      </c>
      <c r="G1398" s="564" t="s">
        <v>297</v>
      </c>
      <c r="H1398" s="564" t="s">
        <v>297</v>
      </c>
      <c r="I1398" s="564" t="s">
        <v>70</v>
      </c>
      <c r="J1398" s="564" t="s">
        <v>1069</v>
      </c>
      <c r="K1398" s="564" t="s">
        <v>1120</v>
      </c>
      <c r="L1398" s="564" t="s">
        <v>2098</v>
      </c>
      <c r="M1398" s="564" t="s">
        <v>2098</v>
      </c>
      <c r="N1398" s="564" t="s">
        <v>70</v>
      </c>
      <c r="O1398" s="564" t="s">
        <v>2099</v>
      </c>
      <c r="P1398" s="23"/>
      <c r="Q1398" s="23"/>
      <c r="R1398" s="23"/>
      <c r="S1398" s="23"/>
      <c r="T1398" s="23"/>
      <c r="U1398" s="23"/>
      <c r="V1398" s="23"/>
      <c r="W1398" s="23"/>
      <c r="X1398" s="23"/>
      <c r="Y1398" s="23"/>
      <c r="Z1398" s="23"/>
    </row>
    <row r="1399" spans="1:26" ht="13">
      <c r="A1399" s="562" t="s">
        <v>4067</v>
      </c>
      <c r="B1399" s="563" t="s">
        <v>4068</v>
      </c>
      <c r="C1399" s="564" t="s">
        <v>1652</v>
      </c>
      <c r="D1399" s="565">
        <v>44385</v>
      </c>
      <c r="E1399" s="565">
        <v>44396</v>
      </c>
      <c r="F1399" s="566">
        <v>2816000</v>
      </c>
      <c r="G1399" s="564" t="s">
        <v>297</v>
      </c>
      <c r="H1399" s="564" t="s">
        <v>297</v>
      </c>
      <c r="I1399" s="564" t="s">
        <v>70</v>
      </c>
      <c r="J1399" s="564" t="s">
        <v>1069</v>
      </c>
      <c r="K1399" s="564" t="s">
        <v>1120</v>
      </c>
      <c r="L1399" s="564" t="s">
        <v>2098</v>
      </c>
      <c r="M1399" s="564" t="s">
        <v>2098</v>
      </c>
      <c r="N1399" s="564" t="s">
        <v>70</v>
      </c>
      <c r="O1399" s="564" t="s">
        <v>2099</v>
      </c>
      <c r="P1399" s="23"/>
      <c r="Q1399" s="23"/>
      <c r="R1399" s="23"/>
      <c r="S1399" s="23"/>
      <c r="T1399" s="23"/>
      <c r="U1399" s="23"/>
      <c r="V1399" s="23"/>
      <c r="W1399" s="23"/>
      <c r="X1399" s="23"/>
      <c r="Y1399" s="23"/>
      <c r="Z1399" s="23"/>
    </row>
    <row r="1400" spans="1:26" ht="13">
      <c r="A1400" s="562" t="s">
        <v>4069</v>
      </c>
      <c r="B1400" s="563" t="s">
        <v>4070</v>
      </c>
      <c r="C1400" s="564" t="s">
        <v>1652</v>
      </c>
      <c r="D1400" s="565">
        <v>44385</v>
      </c>
      <c r="E1400" s="565">
        <v>44392</v>
      </c>
      <c r="F1400" s="566">
        <v>1870000</v>
      </c>
      <c r="G1400" s="564" t="s">
        <v>297</v>
      </c>
      <c r="H1400" s="564" t="s">
        <v>297</v>
      </c>
      <c r="I1400" s="564" t="s">
        <v>70</v>
      </c>
      <c r="J1400" s="564" t="s">
        <v>1069</v>
      </c>
      <c r="K1400" s="564" t="s">
        <v>1120</v>
      </c>
      <c r="L1400" s="564" t="s">
        <v>2098</v>
      </c>
      <c r="M1400" s="564" t="s">
        <v>2098</v>
      </c>
      <c r="N1400" s="564" t="s">
        <v>70</v>
      </c>
      <c r="O1400" s="564" t="s">
        <v>2099</v>
      </c>
      <c r="P1400" s="23"/>
      <c r="Q1400" s="23"/>
      <c r="R1400" s="23"/>
      <c r="S1400" s="23"/>
      <c r="T1400" s="23"/>
      <c r="U1400" s="23"/>
      <c r="V1400" s="23"/>
      <c r="W1400" s="23"/>
      <c r="X1400" s="23"/>
      <c r="Y1400" s="23"/>
      <c r="Z1400" s="23"/>
    </row>
    <row r="1401" spans="1:26" ht="13">
      <c r="A1401" s="562" t="s">
        <v>4071</v>
      </c>
      <c r="B1401" s="563" t="s">
        <v>4072</v>
      </c>
      <c r="C1401" s="564" t="s">
        <v>3378</v>
      </c>
      <c r="D1401" s="565">
        <v>44384</v>
      </c>
      <c r="E1401" s="565">
        <v>44391</v>
      </c>
      <c r="F1401" s="566">
        <v>1600000</v>
      </c>
      <c r="G1401" s="564" t="s">
        <v>297</v>
      </c>
      <c r="H1401" s="564" t="s">
        <v>297</v>
      </c>
      <c r="I1401" s="564" t="s">
        <v>70</v>
      </c>
      <c r="J1401" s="564" t="s">
        <v>1069</v>
      </c>
      <c r="K1401" s="564" t="s">
        <v>1120</v>
      </c>
      <c r="L1401" s="564" t="s">
        <v>2098</v>
      </c>
      <c r="M1401" s="564" t="s">
        <v>2098</v>
      </c>
      <c r="N1401" s="564" t="s">
        <v>70</v>
      </c>
      <c r="O1401" s="564" t="s">
        <v>2099</v>
      </c>
      <c r="P1401" s="23"/>
      <c r="Q1401" s="23"/>
      <c r="R1401" s="23"/>
      <c r="S1401" s="23"/>
      <c r="T1401" s="23"/>
      <c r="U1401" s="23"/>
      <c r="V1401" s="23"/>
      <c r="W1401" s="23"/>
      <c r="X1401" s="23"/>
      <c r="Y1401" s="23"/>
      <c r="Z1401" s="23"/>
    </row>
    <row r="1402" spans="1:26" ht="13">
      <c r="A1402" s="562" t="s">
        <v>4073</v>
      </c>
      <c r="B1402" s="563" t="s">
        <v>4074</v>
      </c>
      <c r="C1402" s="564" t="s">
        <v>353</v>
      </c>
      <c r="D1402" s="565">
        <v>44383</v>
      </c>
      <c r="E1402" s="565">
        <v>44407</v>
      </c>
      <c r="F1402" s="566">
        <v>20000000</v>
      </c>
      <c r="G1402" s="564" t="s">
        <v>297</v>
      </c>
      <c r="H1402" s="564" t="s">
        <v>297</v>
      </c>
      <c r="I1402" s="564" t="s">
        <v>4075</v>
      </c>
      <c r="J1402" s="564" t="s">
        <v>1069</v>
      </c>
      <c r="K1402" s="564" t="s">
        <v>1070</v>
      </c>
      <c r="L1402" s="564" t="s">
        <v>2098</v>
      </c>
      <c r="M1402" s="564" t="s">
        <v>2098</v>
      </c>
      <c r="N1402" s="564" t="s">
        <v>1082</v>
      </c>
      <c r="O1402" s="564" t="s">
        <v>2099</v>
      </c>
      <c r="P1402" s="23"/>
      <c r="Q1402" s="23"/>
      <c r="R1402" s="23"/>
      <c r="S1402" s="23"/>
      <c r="T1402" s="23"/>
      <c r="U1402" s="23"/>
      <c r="V1402" s="23"/>
      <c r="W1402" s="23"/>
      <c r="X1402" s="23"/>
      <c r="Y1402" s="23"/>
      <c r="Z1402" s="23"/>
    </row>
    <row r="1403" spans="1:26" ht="13">
      <c r="A1403" s="562" t="s">
        <v>4076</v>
      </c>
      <c r="B1403" s="563" t="s">
        <v>4077</v>
      </c>
      <c r="C1403" s="564" t="s">
        <v>1076</v>
      </c>
      <c r="D1403" s="565">
        <v>44384</v>
      </c>
      <c r="E1403" s="565">
        <v>44475</v>
      </c>
      <c r="F1403" s="566">
        <v>1987000</v>
      </c>
      <c r="G1403" s="564" t="s">
        <v>1077</v>
      </c>
      <c r="H1403" s="564" t="s">
        <v>1077</v>
      </c>
      <c r="I1403" s="564" t="s">
        <v>637</v>
      </c>
      <c r="J1403" s="564" t="s">
        <v>1069</v>
      </c>
      <c r="K1403" s="564" t="s">
        <v>1070</v>
      </c>
      <c r="L1403" s="564" t="s">
        <v>2098</v>
      </c>
      <c r="M1403" s="564" t="s">
        <v>2098</v>
      </c>
      <c r="N1403" s="564" t="s">
        <v>1082</v>
      </c>
      <c r="O1403" s="564" t="s">
        <v>2099</v>
      </c>
      <c r="P1403" s="23"/>
      <c r="Q1403" s="23"/>
      <c r="R1403" s="23"/>
      <c r="S1403" s="23"/>
      <c r="T1403" s="23"/>
      <c r="U1403" s="23"/>
      <c r="V1403" s="23"/>
      <c r="W1403" s="23"/>
      <c r="X1403" s="23"/>
      <c r="Y1403" s="23"/>
      <c r="Z1403" s="23"/>
    </row>
    <row r="1404" spans="1:26" ht="13">
      <c r="A1404" s="562" t="s">
        <v>4078</v>
      </c>
      <c r="B1404" s="563" t="s">
        <v>4079</v>
      </c>
      <c r="C1404" s="564" t="s">
        <v>1652</v>
      </c>
      <c r="D1404" s="565">
        <v>44383</v>
      </c>
      <c r="E1404" s="565">
        <v>44390</v>
      </c>
      <c r="F1404" s="566">
        <v>176000</v>
      </c>
      <c r="G1404" s="564" t="s">
        <v>297</v>
      </c>
      <c r="H1404" s="564" t="s">
        <v>297</v>
      </c>
      <c r="I1404" s="564" t="s">
        <v>70</v>
      </c>
      <c r="J1404" s="564" t="s">
        <v>1069</v>
      </c>
      <c r="K1404" s="564" t="s">
        <v>1120</v>
      </c>
      <c r="L1404" s="564" t="s">
        <v>2098</v>
      </c>
      <c r="M1404" s="564" t="s">
        <v>2098</v>
      </c>
      <c r="N1404" s="564" t="s">
        <v>70</v>
      </c>
      <c r="O1404" s="564" t="s">
        <v>2099</v>
      </c>
      <c r="P1404" s="23"/>
      <c r="Q1404" s="23"/>
      <c r="R1404" s="23"/>
      <c r="S1404" s="23"/>
      <c r="T1404" s="23"/>
      <c r="U1404" s="23"/>
      <c r="V1404" s="23"/>
      <c r="W1404" s="23"/>
      <c r="X1404" s="23"/>
      <c r="Y1404" s="23"/>
      <c r="Z1404" s="23"/>
    </row>
    <row r="1405" spans="1:26" ht="13">
      <c r="A1405" s="562" t="s">
        <v>4080</v>
      </c>
      <c r="B1405" s="563" t="s">
        <v>4081</v>
      </c>
      <c r="C1405" s="564" t="s">
        <v>2322</v>
      </c>
      <c r="D1405" s="565">
        <v>44384</v>
      </c>
      <c r="E1405" s="565">
        <v>44518</v>
      </c>
      <c r="F1405" s="566">
        <v>58749990</v>
      </c>
      <c r="G1405" s="564" t="s">
        <v>2428</v>
      </c>
      <c r="H1405" s="564" t="s">
        <v>2428</v>
      </c>
      <c r="I1405" s="564" t="s">
        <v>2761</v>
      </c>
      <c r="J1405" s="564" t="s">
        <v>1069</v>
      </c>
      <c r="K1405" s="564" t="s">
        <v>1209</v>
      </c>
      <c r="L1405" s="564" t="s">
        <v>2098</v>
      </c>
      <c r="M1405" s="564" t="s">
        <v>2098</v>
      </c>
      <c r="N1405" s="564" t="s">
        <v>2439</v>
      </c>
      <c r="O1405" s="564" t="s">
        <v>2099</v>
      </c>
      <c r="P1405" s="23"/>
      <c r="Q1405" s="23"/>
      <c r="R1405" s="23"/>
      <c r="S1405" s="23"/>
      <c r="T1405" s="23"/>
      <c r="U1405" s="23"/>
      <c r="V1405" s="23"/>
      <c r="W1405" s="23"/>
      <c r="X1405" s="23"/>
      <c r="Y1405" s="23"/>
      <c r="Z1405" s="23"/>
    </row>
    <row r="1406" spans="1:26" ht="13">
      <c r="A1406" s="562" t="s">
        <v>4082</v>
      </c>
      <c r="B1406" s="563" t="s">
        <v>4083</v>
      </c>
      <c r="C1406" s="564" t="s">
        <v>1652</v>
      </c>
      <c r="D1406" s="565">
        <v>44382</v>
      </c>
      <c r="E1406" s="565">
        <v>44417</v>
      </c>
      <c r="F1406" s="566">
        <v>84700000</v>
      </c>
      <c r="G1406" s="564" t="s">
        <v>1182</v>
      </c>
      <c r="H1406" s="564" t="s">
        <v>1182</v>
      </c>
      <c r="I1406" s="564" t="s">
        <v>802</v>
      </c>
      <c r="J1406" s="564" t="s">
        <v>1069</v>
      </c>
      <c r="K1406" s="564" t="s">
        <v>1198</v>
      </c>
      <c r="L1406" s="564" t="s">
        <v>2098</v>
      </c>
      <c r="M1406" s="564" t="s">
        <v>2098</v>
      </c>
      <c r="N1406" s="564" t="s">
        <v>132</v>
      </c>
      <c r="O1406" s="564" t="s">
        <v>2099</v>
      </c>
      <c r="P1406" s="23"/>
      <c r="Q1406" s="23"/>
      <c r="R1406" s="23"/>
      <c r="S1406" s="23"/>
      <c r="T1406" s="23"/>
      <c r="U1406" s="23"/>
      <c r="V1406" s="23"/>
      <c r="W1406" s="23"/>
      <c r="X1406" s="23"/>
      <c r="Y1406" s="23"/>
      <c r="Z1406" s="23"/>
    </row>
    <row r="1407" spans="1:26" ht="13">
      <c r="A1407" s="562" t="s">
        <v>4084</v>
      </c>
      <c r="B1407" s="563" t="s">
        <v>4085</v>
      </c>
      <c r="C1407" s="564" t="s">
        <v>1652</v>
      </c>
      <c r="D1407" s="565">
        <v>44382</v>
      </c>
      <c r="E1407" s="565">
        <v>44417</v>
      </c>
      <c r="F1407" s="566">
        <v>19000000</v>
      </c>
      <c r="G1407" s="564" t="s">
        <v>1182</v>
      </c>
      <c r="H1407" s="564" t="s">
        <v>1182</v>
      </c>
      <c r="I1407" s="564" t="s">
        <v>802</v>
      </c>
      <c r="J1407" s="564" t="s">
        <v>1069</v>
      </c>
      <c r="K1407" s="564" t="s">
        <v>1198</v>
      </c>
      <c r="L1407" s="564" t="s">
        <v>2098</v>
      </c>
      <c r="M1407" s="564" t="s">
        <v>2098</v>
      </c>
      <c r="N1407" s="564" t="s">
        <v>132</v>
      </c>
      <c r="O1407" s="564" t="s">
        <v>2099</v>
      </c>
      <c r="P1407" s="23"/>
      <c r="Q1407" s="23"/>
      <c r="R1407" s="23"/>
      <c r="S1407" s="23"/>
      <c r="T1407" s="23"/>
      <c r="U1407" s="23"/>
      <c r="V1407" s="23"/>
      <c r="W1407" s="23"/>
      <c r="X1407" s="23"/>
      <c r="Y1407" s="23"/>
      <c r="Z1407" s="23"/>
    </row>
    <row r="1408" spans="1:26" ht="13">
      <c r="A1408" s="562" t="s">
        <v>4086</v>
      </c>
      <c r="B1408" s="563" t="s">
        <v>4087</v>
      </c>
      <c r="C1408" s="564" t="s">
        <v>1652</v>
      </c>
      <c r="D1408" s="565">
        <v>44379</v>
      </c>
      <c r="E1408" s="565">
        <v>44386</v>
      </c>
      <c r="F1408" s="566">
        <v>3960000</v>
      </c>
      <c r="G1408" s="564" t="s">
        <v>297</v>
      </c>
      <c r="H1408" s="564" t="s">
        <v>297</v>
      </c>
      <c r="I1408" s="564" t="s">
        <v>70</v>
      </c>
      <c r="J1408" s="564" t="s">
        <v>1069</v>
      </c>
      <c r="K1408" s="564" t="s">
        <v>1120</v>
      </c>
      <c r="L1408" s="564" t="s">
        <v>2098</v>
      </c>
      <c r="M1408" s="564" t="s">
        <v>2098</v>
      </c>
      <c r="N1408" s="564" t="s">
        <v>70</v>
      </c>
      <c r="O1408" s="564" t="s">
        <v>2099</v>
      </c>
      <c r="P1408" s="23"/>
      <c r="Q1408" s="23"/>
      <c r="R1408" s="23"/>
      <c r="S1408" s="23"/>
      <c r="T1408" s="23"/>
      <c r="U1408" s="23"/>
      <c r="V1408" s="23"/>
      <c r="W1408" s="23"/>
      <c r="X1408" s="23"/>
      <c r="Y1408" s="23"/>
      <c r="Z1408" s="23"/>
    </row>
    <row r="1409" spans="1:26" ht="13">
      <c r="A1409" s="562" t="s">
        <v>4088</v>
      </c>
      <c r="B1409" s="563" t="s">
        <v>4089</v>
      </c>
      <c r="C1409" s="564" t="s">
        <v>353</v>
      </c>
      <c r="D1409" s="565">
        <v>44378</v>
      </c>
      <c r="E1409" s="565">
        <v>44386</v>
      </c>
      <c r="F1409" s="566">
        <v>858000</v>
      </c>
      <c r="G1409" s="564" t="s">
        <v>297</v>
      </c>
      <c r="H1409" s="564" t="s">
        <v>297</v>
      </c>
      <c r="I1409" s="564" t="s">
        <v>1230</v>
      </c>
      <c r="J1409" s="564" t="s">
        <v>1069</v>
      </c>
      <c r="K1409" s="564" t="s">
        <v>1090</v>
      </c>
      <c r="L1409" s="564" t="s">
        <v>2098</v>
      </c>
      <c r="M1409" s="564" t="s">
        <v>2098</v>
      </c>
      <c r="N1409" s="564" t="s">
        <v>1073</v>
      </c>
      <c r="O1409" s="564" t="s">
        <v>2099</v>
      </c>
      <c r="P1409" s="23"/>
      <c r="Q1409" s="23"/>
      <c r="R1409" s="23"/>
      <c r="S1409" s="23"/>
      <c r="T1409" s="23"/>
      <c r="U1409" s="23"/>
      <c r="V1409" s="23"/>
      <c r="W1409" s="23"/>
      <c r="X1409" s="23"/>
      <c r="Y1409" s="23"/>
      <c r="Z1409" s="23"/>
    </row>
    <row r="1410" spans="1:26" ht="13">
      <c r="A1410" s="562" t="s">
        <v>4090</v>
      </c>
      <c r="B1410" s="563" t="s">
        <v>4091</v>
      </c>
      <c r="C1410" s="564" t="s">
        <v>1652</v>
      </c>
      <c r="D1410" s="565">
        <v>44377</v>
      </c>
      <c r="E1410" s="565">
        <v>44419</v>
      </c>
      <c r="F1410" s="566">
        <v>8100000</v>
      </c>
      <c r="G1410" s="564" t="s">
        <v>1182</v>
      </c>
      <c r="H1410" s="564" t="s">
        <v>1182</v>
      </c>
      <c r="I1410" s="564" t="s">
        <v>802</v>
      </c>
      <c r="J1410" s="564" t="s">
        <v>1069</v>
      </c>
      <c r="K1410" s="564" t="s">
        <v>1198</v>
      </c>
      <c r="L1410" s="564" t="s">
        <v>2098</v>
      </c>
      <c r="M1410" s="564" t="s">
        <v>2098</v>
      </c>
      <c r="N1410" s="564" t="s">
        <v>132</v>
      </c>
      <c r="O1410" s="564" t="s">
        <v>2099</v>
      </c>
      <c r="P1410" s="23"/>
      <c r="Q1410" s="23"/>
      <c r="R1410" s="23"/>
      <c r="S1410" s="23"/>
      <c r="T1410" s="23"/>
      <c r="U1410" s="23"/>
      <c r="V1410" s="23"/>
      <c r="W1410" s="23"/>
      <c r="X1410" s="23"/>
      <c r="Y1410" s="23"/>
      <c r="Z1410" s="23"/>
    </row>
    <row r="1411" spans="1:26" ht="13">
      <c r="A1411" s="562" t="s">
        <v>4092</v>
      </c>
      <c r="B1411" s="563" t="s">
        <v>4093</v>
      </c>
      <c r="C1411" s="564" t="s">
        <v>353</v>
      </c>
      <c r="D1411" s="565">
        <v>44377</v>
      </c>
      <c r="E1411" s="565">
        <v>44393</v>
      </c>
      <c r="F1411" s="566">
        <v>3600000</v>
      </c>
      <c r="G1411" s="564" t="s">
        <v>297</v>
      </c>
      <c r="H1411" s="564" t="s">
        <v>297</v>
      </c>
      <c r="I1411" s="564" t="s">
        <v>64</v>
      </c>
      <c r="J1411" s="564" t="s">
        <v>1069</v>
      </c>
      <c r="K1411" s="564" t="s">
        <v>1090</v>
      </c>
      <c r="L1411" s="564" t="s">
        <v>2098</v>
      </c>
      <c r="M1411" s="564" t="s">
        <v>2098</v>
      </c>
      <c r="N1411" s="564" t="s">
        <v>64</v>
      </c>
      <c r="O1411" s="564" t="s">
        <v>2099</v>
      </c>
      <c r="P1411" s="23"/>
      <c r="Q1411" s="23"/>
      <c r="R1411" s="23"/>
      <c r="S1411" s="23"/>
      <c r="T1411" s="23"/>
      <c r="U1411" s="23"/>
      <c r="V1411" s="23"/>
      <c r="W1411" s="23"/>
      <c r="X1411" s="23"/>
      <c r="Y1411" s="23"/>
      <c r="Z1411" s="23"/>
    </row>
    <row r="1412" spans="1:26" ht="13">
      <c r="A1412" s="562" t="s">
        <v>4094</v>
      </c>
      <c r="B1412" s="563" t="s">
        <v>4095</v>
      </c>
      <c r="C1412" s="564" t="s">
        <v>353</v>
      </c>
      <c r="D1412" s="565">
        <v>44362</v>
      </c>
      <c r="E1412" s="565">
        <v>44377</v>
      </c>
      <c r="F1412" s="566">
        <v>3399480720</v>
      </c>
      <c r="G1412" s="564" t="s">
        <v>297</v>
      </c>
      <c r="H1412" s="564" t="s">
        <v>297</v>
      </c>
      <c r="I1412" s="564" t="s">
        <v>45</v>
      </c>
      <c r="J1412" s="564" t="s">
        <v>1069</v>
      </c>
      <c r="K1412" s="564" t="s">
        <v>1090</v>
      </c>
      <c r="L1412" s="564" t="s">
        <v>2098</v>
      </c>
      <c r="M1412" s="564" t="s">
        <v>2098</v>
      </c>
      <c r="N1412" s="564" t="s">
        <v>45</v>
      </c>
      <c r="O1412" s="564" t="s">
        <v>2099</v>
      </c>
      <c r="P1412" s="23"/>
      <c r="Q1412" s="23"/>
      <c r="R1412" s="23"/>
      <c r="S1412" s="23"/>
      <c r="T1412" s="23"/>
      <c r="U1412" s="23"/>
      <c r="V1412" s="23"/>
      <c r="W1412" s="23"/>
      <c r="X1412" s="23"/>
      <c r="Y1412" s="23"/>
      <c r="Z1412" s="23"/>
    </row>
    <row r="1413" spans="1:26" ht="13">
      <c r="A1413" s="562" t="s">
        <v>4096</v>
      </c>
      <c r="B1413" s="563" t="s">
        <v>4097</v>
      </c>
      <c r="C1413" s="564" t="s">
        <v>1652</v>
      </c>
      <c r="D1413" s="565">
        <v>44376</v>
      </c>
      <c r="E1413" s="565">
        <v>44386</v>
      </c>
      <c r="F1413" s="566">
        <v>1870000</v>
      </c>
      <c r="G1413" s="564" t="s">
        <v>297</v>
      </c>
      <c r="H1413" s="564" t="s">
        <v>297</v>
      </c>
      <c r="I1413" s="564" t="s">
        <v>70</v>
      </c>
      <c r="J1413" s="564" t="s">
        <v>1069</v>
      </c>
      <c r="K1413" s="564" t="s">
        <v>1120</v>
      </c>
      <c r="L1413" s="564" t="s">
        <v>2098</v>
      </c>
      <c r="M1413" s="564" t="s">
        <v>2098</v>
      </c>
      <c r="N1413" s="564" t="s">
        <v>70</v>
      </c>
      <c r="O1413" s="564" t="s">
        <v>2099</v>
      </c>
      <c r="P1413" s="23"/>
      <c r="Q1413" s="23"/>
      <c r="R1413" s="23"/>
      <c r="S1413" s="23"/>
      <c r="T1413" s="23"/>
      <c r="U1413" s="23"/>
      <c r="V1413" s="23"/>
      <c r="W1413" s="23"/>
      <c r="X1413" s="23"/>
      <c r="Y1413" s="23"/>
      <c r="Z1413" s="23"/>
    </row>
    <row r="1414" spans="1:26" ht="13">
      <c r="A1414" s="562" t="s">
        <v>4098</v>
      </c>
      <c r="B1414" s="563" t="s">
        <v>4039</v>
      </c>
      <c r="C1414" s="564" t="s">
        <v>1475</v>
      </c>
      <c r="D1414" s="565">
        <v>44365</v>
      </c>
      <c r="E1414" s="565">
        <v>44392</v>
      </c>
      <c r="F1414" s="566">
        <v>87000</v>
      </c>
      <c r="G1414" s="564" t="s">
        <v>1123</v>
      </c>
      <c r="H1414" s="564" t="s">
        <v>1123</v>
      </c>
      <c r="I1414" s="564" t="s">
        <v>1581</v>
      </c>
      <c r="J1414" s="564" t="s">
        <v>1069</v>
      </c>
      <c r="K1414" s="564" t="s">
        <v>1070</v>
      </c>
      <c r="L1414" s="564" t="s">
        <v>2098</v>
      </c>
      <c r="M1414" s="564" t="s">
        <v>2098</v>
      </c>
      <c r="N1414" s="564" t="s">
        <v>1082</v>
      </c>
      <c r="O1414" s="564" t="s">
        <v>2099</v>
      </c>
      <c r="P1414" s="23"/>
      <c r="Q1414" s="23"/>
      <c r="R1414" s="23"/>
      <c r="S1414" s="23"/>
      <c r="T1414" s="23"/>
      <c r="U1414" s="23"/>
      <c r="V1414" s="23"/>
      <c r="W1414" s="23"/>
      <c r="X1414" s="23"/>
      <c r="Y1414" s="23"/>
      <c r="Z1414" s="23"/>
    </row>
    <row r="1415" spans="1:26" ht="13">
      <c r="A1415" s="562" t="s">
        <v>4099</v>
      </c>
      <c r="B1415" s="563" t="s">
        <v>4100</v>
      </c>
      <c r="C1415" s="564" t="s">
        <v>1076</v>
      </c>
      <c r="D1415" s="565">
        <v>44372</v>
      </c>
      <c r="E1415" s="565">
        <v>44463</v>
      </c>
      <c r="F1415" s="566">
        <v>1987000</v>
      </c>
      <c r="G1415" s="564" t="s">
        <v>1077</v>
      </c>
      <c r="H1415" s="564" t="s">
        <v>1077</v>
      </c>
      <c r="I1415" s="564" t="s">
        <v>637</v>
      </c>
      <c r="J1415" s="564" t="s">
        <v>1069</v>
      </c>
      <c r="K1415" s="564" t="s">
        <v>1070</v>
      </c>
      <c r="L1415" s="564" t="s">
        <v>2098</v>
      </c>
      <c r="M1415" s="564" t="s">
        <v>2098</v>
      </c>
      <c r="N1415" s="564" t="s">
        <v>1082</v>
      </c>
      <c r="O1415" s="564" t="s">
        <v>2099</v>
      </c>
      <c r="P1415" s="23"/>
      <c r="Q1415" s="23"/>
      <c r="R1415" s="23"/>
      <c r="S1415" s="23"/>
      <c r="T1415" s="23"/>
      <c r="U1415" s="23"/>
      <c r="V1415" s="23"/>
      <c r="W1415" s="23"/>
      <c r="X1415" s="23"/>
      <c r="Y1415" s="23"/>
      <c r="Z1415" s="23"/>
    </row>
    <row r="1416" spans="1:26" ht="13">
      <c r="A1416" s="562" t="s">
        <v>4101</v>
      </c>
      <c r="B1416" s="563" t="s">
        <v>4102</v>
      </c>
      <c r="C1416" s="564" t="s">
        <v>1114</v>
      </c>
      <c r="D1416" s="565">
        <v>44358</v>
      </c>
      <c r="E1416" s="565">
        <v>44393</v>
      </c>
      <c r="F1416" s="566">
        <v>92775000</v>
      </c>
      <c r="G1416" s="564" t="s">
        <v>1116</v>
      </c>
      <c r="H1416" s="564" t="s">
        <v>1116</v>
      </c>
      <c r="I1416" s="564" t="s">
        <v>70</v>
      </c>
      <c r="J1416" s="564" t="s">
        <v>1069</v>
      </c>
      <c r="K1416" s="564" t="s">
        <v>1120</v>
      </c>
      <c r="L1416" s="564" t="s">
        <v>2098</v>
      </c>
      <c r="M1416" s="564" t="s">
        <v>2098</v>
      </c>
      <c r="N1416" s="564" t="s">
        <v>70</v>
      </c>
      <c r="O1416" s="564" t="s">
        <v>2099</v>
      </c>
      <c r="P1416" s="23"/>
      <c r="Q1416" s="23"/>
      <c r="R1416" s="23"/>
      <c r="S1416" s="23"/>
      <c r="T1416" s="23"/>
      <c r="U1416" s="23"/>
      <c r="V1416" s="23"/>
      <c r="W1416" s="23"/>
      <c r="X1416" s="23"/>
      <c r="Y1416" s="23"/>
      <c r="Z1416" s="23"/>
    </row>
    <row r="1417" spans="1:26" ht="13">
      <c r="A1417" s="562" t="s">
        <v>4103</v>
      </c>
      <c r="B1417" s="563" t="s">
        <v>4104</v>
      </c>
      <c r="C1417" s="564" t="s">
        <v>1652</v>
      </c>
      <c r="D1417" s="565">
        <v>44368</v>
      </c>
      <c r="E1417" s="565">
        <v>44410</v>
      </c>
      <c r="F1417" s="566">
        <v>17500000</v>
      </c>
      <c r="G1417" s="564" t="s">
        <v>1182</v>
      </c>
      <c r="H1417" s="564" t="s">
        <v>1182</v>
      </c>
      <c r="I1417" s="564" t="s">
        <v>802</v>
      </c>
      <c r="J1417" s="564" t="s">
        <v>1069</v>
      </c>
      <c r="K1417" s="564" t="s">
        <v>1198</v>
      </c>
      <c r="L1417" s="564" t="s">
        <v>2098</v>
      </c>
      <c r="M1417" s="564" t="s">
        <v>2098</v>
      </c>
      <c r="N1417" s="564" t="s">
        <v>132</v>
      </c>
      <c r="O1417" s="564" t="s">
        <v>2099</v>
      </c>
      <c r="P1417" s="23"/>
      <c r="Q1417" s="23"/>
      <c r="R1417" s="23"/>
      <c r="S1417" s="23"/>
      <c r="T1417" s="23"/>
      <c r="U1417" s="23"/>
      <c r="V1417" s="23"/>
      <c r="W1417" s="23"/>
      <c r="X1417" s="23"/>
      <c r="Y1417" s="23"/>
      <c r="Z1417" s="23"/>
    </row>
    <row r="1418" spans="1:26" ht="13">
      <c r="A1418" s="562" t="s">
        <v>4105</v>
      </c>
      <c r="B1418" s="563" t="s">
        <v>4106</v>
      </c>
      <c r="C1418" s="564" t="s">
        <v>1652</v>
      </c>
      <c r="D1418" s="565">
        <v>44368</v>
      </c>
      <c r="E1418" s="565">
        <v>44398</v>
      </c>
      <c r="F1418" s="566">
        <v>29400000</v>
      </c>
      <c r="G1418" s="564" t="s">
        <v>1182</v>
      </c>
      <c r="H1418" s="564" t="s">
        <v>1182</v>
      </c>
      <c r="I1418" s="564" t="s">
        <v>802</v>
      </c>
      <c r="J1418" s="564" t="s">
        <v>1069</v>
      </c>
      <c r="K1418" s="564" t="s">
        <v>1198</v>
      </c>
      <c r="L1418" s="564" t="s">
        <v>2098</v>
      </c>
      <c r="M1418" s="564" t="s">
        <v>2098</v>
      </c>
      <c r="N1418" s="564" t="s">
        <v>132</v>
      </c>
      <c r="O1418" s="564" t="s">
        <v>2099</v>
      </c>
      <c r="P1418" s="23"/>
      <c r="Q1418" s="23"/>
      <c r="R1418" s="23"/>
      <c r="S1418" s="23"/>
      <c r="T1418" s="23"/>
      <c r="U1418" s="23"/>
      <c r="V1418" s="23"/>
      <c r="W1418" s="23"/>
      <c r="X1418" s="23"/>
      <c r="Y1418" s="23"/>
      <c r="Z1418" s="23"/>
    </row>
    <row r="1419" spans="1:26" ht="13">
      <c r="A1419" s="562" t="s">
        <v>4107</v>
      </c>
      <c r="B1419" s="563" t="s">
        <v>4108</v>
      </c>
      <c r="C1419" s="564" t="s">
        <v>353</v>
      </c>
      <c r="D1419" s="565">
        <v>44364</v>
      </c>
      <c r="E1419" s="565">
        <v>44394</v>
      </c>
      <c r="F1419" s="566">
        <v>15600000</v>
      </c>
      <c r="G1419" s="564" t="s">
        <v>1128</v>
      </c>
      <c r="H1419" s="564" t="s">
        <v>1128</v>
      </c>
      <c r="I1419" s="564" t="s">
        <v>45</v>
      </c>
      <c r="J1419" s="564" t="s">
        <v>1069</v>
      </c>
      <c r="K1419" s="564" t="s">
        <v>1090</v>
      </c>
      <c r="L1419" s="564" t="s">
        <v>2098</v>
      </c>
      <c r="M1419" s="564" t="s">
        <v>2098</v>
      </c>
      <c r="N1419" s="564" t="s">
        <v>45</v>
      </c>
      <c r="O1419" s="564" t="s">
        <v>2099</v>
      </c>
      <c r="P1419" s="23"/>
      <c r="Q1419" s="23"/>
      <c r="R1419" s="23"/>
      <c r="S1419" s="23"/>
      <c r="T1419" s="23"/>
      <c r="U1419" s="23"/>
      <c r="V1419" s="23"/>
      <c r="W1419" s="23"/>
      <c r="X1419" s="23"/>
      <c r="Y1419" s="23"/>
      <c r="Z1419" s="23"/>
    </row>
    <row r="1420" spans="1:26" ht="13">
      <c r="A1420" s="562" t="s">
        <v>4109</v>
      </c>
      <c r="B1420" s="563" t="s">
        <v>4110</v>
      </c>
      <c r="C1420" s="564" t="s">
        <v>1652</v>
      </c>
      <c r="D1420" s="565">
        <v>44365</v>
      </c>
      <c r="E1420" s="565">
        <v>44377</v>
      </c>
      <c r="F1420" s="566">
        <v>955000</v>
      </c>
      <c r="G1420" s="564" t="s">
        <v>297</v>
      </c>
      <c r="H1420" s="564" t="s">
        <v>297</v>
      </c>
      <c r="I1420" s="564" t="s">
        <v>2671</v>
      </c>
      <c r="J1420" s="564" t="s">
        <v>1069</v>
      </c>
      <c r="K1420" s="564" t="s">
        <v>1120</v>
      </c>
      <c r="L1420" s="564" t="s">
        <v>2098</v>
      </c>
      <c r="M1420" s="564" t="s">
        <v>2098</v>
      </c>
      <c r="N1420" s="564" t="s">
        <v>1073</v>
      </c>
      <c r="O1420" s="564" t="s">
        <v>2099</v>
      </c>
      <c r="P1420" s="23"/>
      <c r="Q1420" s="23"/>
      <c r="R1420" s="23"/>
      <c r="S1420" s="23"/>
      <c r="T1420" s="23"/>
      <c r="U1420" s="23"/>
      <c r="V1420" s="23"/>
      <c r="W1420" s="23"/>
      <c r="X1420" s="23"/>
      <c r="Y1420" s="23"/>
      <c r="Z1420" s="23"/>
    </row>
    <row r="1421" spans="1:26" ht="13">
      <c r="A1421" s="562" t="s">
        <v>4111</v>
      </c>
      <c r="B1421" s="563" t="s">
        <v>4112</v>
      </c>
      <c r="C1421" s="564" t="s">
        <v>1652</v>
      </c>
      <c r="D1421" s="565">
        <v>44363</v>
      </c>
      <c r="E1421" s="565">
        <v>44371</v>
      </c>
      <c r="F1421" s="566">
        <v>3960000</v>
      </c>
      <c r="G1421" s="564" t="s">
        <v>297</v>
      </c>
      <c r="H1421" s="564" t="s">
        <v>297</v>
      </c>
      <c r="I1421" s="564" t="s">
        <v>70</v>
      </c>
      <c r="J1421" s="564" t="s">
        <v>1069</v>
      </c>
      <c r="K1421" s="564" t="s">
        <v>1120</v>
      </c>
      <c r="L1421" s="564" t="s">
        <v>2098</v>
      </c>
      <c r="M1421" s="564" t="s">
        <v>2098</v>
      </c>
      <c r="N1421" s="564" t="s">
        <v>70</v>
      </c>
      <c r="O1421" s="564" t="s">
        <v>2099</v>
      </c>
      <c r="P1421" s="23"/>
      <c r="Q1421" s="23"/>
      <c r="R1421" s="23"/>
      <c r="S1421" s="23"/>
      <c r="T1421" s="23"/>
      <c r="U1421" s="23"/>
      <c r="V1421" s="23"/>
      <c r="W1421" s="23"/>
      <c r="X1421" s="23"/>
      <c r="Y1421" s="23"/>
      <c r="Z1421" s="23"/>
    </row>
    <row r="1422" spans="1:26" ht="13">
      <c r="A1422" s="562" t="s">
        <v>4113</v>
      </c>
      <c r="B1422" s="563" t="s">
        <v>4114</v>
      </c>
      <c r="C1422" s="564" t="s">
        <v>1076</v>
      </c>
      <c r="D1422" s="565">
        <v>44361</v>
      </c>
      <c r="E1422" s="565">
        <v>44452</v>
      </c>
      <c r="F1422" s="566">
        <v>542000</v>
      </c>
      <c r="G1422" s="564" t="s">
        <v>1077</v>
      </c>
      <c r="H1422" s="564" t="s">
        <v>1077</v>
      </c>
      <c r="I1422" s="564" t="s">
        <v>637</v>
      </c>
      <c r="J1422" s="564" t="s">
        <v>1069</v>
      </c>
      <c r="K1422" s="564" t="s">
        <v>1070</v>
      </c>
      <c r="L1422" s="564" t="s">
        <v>2098</v>
      </c>
      <c r="M1422" s="564" t="s">
        <v>2098</v>
      </c>
      <c r="N1422" s="564" t="s">
        <v>1082</v>
      </c>
      <c r="O1422" s="564" t="s">
        <v>2099</v>
      </c>
      <c r="P1422" s="23"/>
      <c r="Q1422" s="23"/>
      <c r="R1422" s="23"/>
      <c r="S1422" s="23"/>
      <c r="T1422" s="23"/>
      <c r="U1422" s="23"/>
      <c r="V1422" s="23"/>
      <c r="W1422" s="23"/>
      <c r="X1422" s="23"/>
      <c r="Y1422" s="23"/>
      <c r="Z1422" s="23"/>
    </row>
    <row r="1423" spans="1:26" ht="13">
      <c r="A1423" s="562" t="s">
        <v>4115</v>
      </c>
      <c r="B1423" s="563" t="s">
        <v>4116</v>
      </c>
      <c r="C1423" s="564" t="s">
        <v>1076</v>
      </c>
      <c r="D1423" s="565">
        <v>44355</v>
      </c>
      <c r="E1423" s="565">
        <v>44446</v>
      </c>
      <c r="F1423" s="566">
        <v>44711000</v>
      </c>
      <c r="G1423" s="564" t="s">
        <v>1077</v>
      </c>
      <c r="H1423" s="564" t="s">
        <v>1077</v>
      </c>
      <c r="I1423" s="564" t="s">
        <v>637</v>
      </c>
      <c r="J1423" s="564" t="s">
        <v>1069</v>
      </c>
      <c r="K1423" s="564" t="s">
        <v>1070</v>
      </c>
      <c r="L1423" s="564" t="s">
        <v>2098</v>
      </c>
      <c r="M1423" s="564" t="s">
        <v>2098</v>
      </c>
      <c r="N1423" s="564" t="s">
        <v>1082</v>
      </c>
      <c r="O1423" s="564" t="s">
        <v>2099</v>
      </c>
      <c r="P1423" s="23"/>
      <c r="Q1423" s="23"/>
      <c r="R1423" s="23"/>
      <c r="S1423" s="23"/>
      <c r="T1423" s="23"/>
      <c r="U1423" s="23"/>
      <c r="V1423" s="23"/>
      <c r="W1423" s="23"/>
      <c r="X1423" s="23"/>
      <c r="Y1423" s="23"/>
      <c r="Z1423" s="23"/>
    </row>
    <row r="1424" spans="1:26" ht="13">
      <c r="A1424" s="562" t="s">
        <v>4117</v>
      </c>
      <c r="B1424" s="563" t="s">
        <v>4118</v>
      </c>
      <c r="C1424" s="564" t="s">
        <v>1076</v>
      </c>
      <c r="D1424" s="565">
        <v>44357</v>
      </c>
      <c r="E1424" s="565">
        <v>44448</v>
      </c>
      <c r="F1424" s="566">
        <v>795000</v>
      </c>
      <c r="G1424" s="564" t="s">
        <v>1077</v>
      </c>
      <c r="H1424" s="564" t="s">
        <v>1077</v>
      </c>
      <c r="I1424" s="564" t="s">
        <v>637</v>
      </c>
      <c r="J1424" s="564" t="s">
        <v>1069</v>
      </c>
      <c r="K1424" s="564" t="s">
        <v>1070</v>
      </c>
      <c r="L1424" s="564" t="s">
        <v>2098</v>
      </c>
      <c r="M1424" s="564" t="s">
        <v>2098</v>
      </c>
      <c r="N1424" s="564" t="s">
        <v>1082</v>
      </c>
      <c r="O1424" s="564" t="s">
        <v>2099</v>
      </c>
      <c r="P1424" s="23"/>
      <c r="Q1424" s="23"/>
      <c r="R1424" s="23"/>
      <c r="S1424" s="23"/>
      <c r="T1424" s="23"/>
      <c r="U1424" s="23"/>
      <c r="V1424" s="23"/>
      <c r="W1424" s="23"/>
      <c r="X1424" s="23"/>
      <c r="Y1424" s="23"/>
      <c r="Z1424" s="23"/>
    </row>
    <row r="1425" spans="1:26" ht="13">
      <c r="A1425" s="562" t="s">
        <v>4119</v>
      </c>
      <c r="B1425" s="563" t="s">
        <v>4120</v>
      </c>
      <c r="C1425" s="564" t="s">
        <v>1652</v>
      </c>
      <c r="D1425" s="565">
        <v>44356</v>
      </c>
      <c r="E1425" s="565">
        <v>44364</v>
      </c>
      <c r="F1425" s="566">
        <v>1870000</v>
      </c>
      <c r="G1425" s="564" t="s">
        <v>297</v>
      </c>
      <c r="H1425" s="564" t="s">
        <v>297</v>
      </c>
      <c r="I1425" s="564" t="s">
        <v>70</v>
      </c>
      <c r="J1425" s="564" t="s">
        <v>1069</v>
      </c>
      <c r="K1425" s="564" t="s">
        <v>1120</v>
      </c>
      <c r="L1425" s="564" t="s">
        <v>2098</v>
      </c>
      <c r="M1425" s="564" t="s">
        <v>2098</v>
      </c>
      <c r="N1425" s="564" t="s">
        <v>70</v>
      </c>
      <c r="O1425" s="564" t="s">
        <v>2099</v>
      </c>
      <c r="P1425" s="23"/>
      <c r="Q1425" s="23"/>
      <c r="R1425" s="23"/>
      <c r="S1425" s="23"/>
      <c r="T1425" s="23"/>
      <c r="U1425" s="23"/>
      <c r="V1425" s="23"/>
      <c r="W1425" s="23"/>
      <c r="X1425" s="23"/>
      <c r="Y1425" s="23"/>
      <c r="Z1425" s="23"/>
    </row>
    <row r="1426" spans="1:26" ht="13">
      <c r="A1426" s="562" t="s">
        <v>4121</v>
      </c>
      <c r="B1426" s="563" t="s">
        <v>4122</v>
      </c>
      <c r="C1426" s="564" t="s">
        <v>1652</v>
      </c>
      <c r="D1426" s="565">
        <v>44357</v>
      </c>
      <c r="E1426" s="565">
        <v>44364</v>
      </c>
      <c r="F1426" s="566">
        <v>2870000</v>
      </c>
      <c r="G1426" s="564" t="s">
        <v>297</v>
      </c>
      <c r="H1426" s="564" t="s">
        <v>297</v>
      </c>
      <c r="I1426" s="564" t="s">
        <v>70</v>
      </c>
      <c r="J1426" s="564" t="s">
        <v>1069</v>
      </c>
      <c r="K1426" s="564" t="s">
        <v>1120</v>
      </c>
      <c r="L1426" s="564" t="s">
        <v>2098</v>
      </c>
      <c r="M1426" s="564" t="s">
        <v>2098</v>
      </c>
      <c r="N1426" s="564" t="s">
        <v>70</v>
      </c>
      <c r="O1426" s="564" t="s">
        <v>2099</v>
      </c>
      <c r="P1426" s="23"/>
      <c r="Q1426" s="23"/>
      <c r="R1426" s="23"/>
      <c r="S1426" s="23"/>
      <c r="T1426" s="23"/>
      <c r="U1426" s="23"/>
      <c r="V1426" s="23"/>
      <c r="W1426" s="23"/>
      <c r="X1426" s="23"/>
      <c r="Y1426" s="23"/>
      <c r="Z1426" s="23"/>
    </row>
    <row r="1427" spans="1:26" ht="13">
      <c r="A1427" s="562" t="s">
        <v>4123</v>
      </c>
      <c r="B1427" s="563" t="s">
        <v>4124</v>
      </c>
      <c r="C1427" s="564" t="s">
        <v>1652</v>
      </c>
      <c r="D1427" s="565">
        <v>44354</v>
      </c>
      <c r="E1427" s="565">
        <v>44384</v>
      </c>
      <c r="F1427" s="566">
        <v>1972728</v>
      </c>
      <c r="G1427" s="564" t="s">
        <v>1182</v>
      </c>
      <c r="H1427" s="564" t="s">
        <v>1182</v>
      </c>
      <c r="I1427" s="564" t="s">
        <v>802</v>
      </c>
      <c r="J1427" s="564" t="s">
        <v>1069</v>
      </c>
      <c r="K1427" s="564" t="s">
        <v>1198</v>
      </c>
      <c r="L1427" s="564" t="s">
        <v>2098</v>
      </c>
      <c r="M1427" s="564" t="s">
        <v>2098</v>
      </c>
      <c r="N1427" s="564" t="s">
        <v>132</v>
      </c>
      <c r="O1427" s="564" t="s">
        <v>2099</v>
      </c>
      <c r="P1427" s="23"/>
      <c r="Q1427" s="23"/>
      <c r="R1427" s="23"/>
      <c r="S1427" s="23"/>
      <c r="T1427" s="23"/>
      <c r="U1427" s="23"/>
      <c r="V1427" s="23"/>
      <c r="W1427" s="23"/>
      <c r="X1427" s="23"/>
      <c r="Y1427" s="23"/>
      <c r="Z1427" s="23"/>
    </row>
    <row r="1428" spans="1:26" ht="13">
      <c r="A1428" s="562" t="s">
        <v>4125</v>
      </c>
      <c r="B1428" s="563" t="s">
        <v>4126</v>
      </c>
      <c r="C1428" s="564" t="s">
        <v>1076</v>
      </c>
      <c r="D1428" s="565">
        <v>44355</v>
      </c>
      <c r="E1428" s="565">
        <v>44446</v>
      </c>
      <c r="F1428" s="566">
        <v>1987000</v>
      </c>
      <c r="G1428" s="564" t="s">
        <v>1077</v>
      </c>
      <c r="H1428" s="564" t="s">
        <v>1077</v>
      </c>
      <c r="I1428" s="564" t="s">
        <v>637</v>
      </c>
      <c r="J1428" s="564" t="s">
        <v>1069</v>
      </c>
      <c r="K1428" s="564" t="s">
        <v>1070</v>
      </c>
      <c r="L1428" s="564" t="s">
        <v>2098</v>
      </c>
      <c r="M1428" s="564" t="s">
        <v>2098</v>
      </c>
      <c r="N1428" s="564" t="s">
        <v>1082</v>
      </c>
      <c r="O1428" s="564" t="s">
        <v>2099</v>
      </c>
      <c r="P1428" s="23"/>
      <c r="Q1428" s="23"/>
      <c r="R1428" s="23"/>
      <c r="S1428" s="23"/>
      <c r="T1428" s="23"/>
      <c r="U1428" s="23"/>
      <c r="V1428" s="23"/>
      <c r="W1428" s="23"/>
      <c r="X1428" s="23"/>
      <c r="Y1428" s="23"/>
      <c r="Z1428" s="23"/>
    </row>
    <row r="1429" spans="1:26" ht="13">
      <c r="A1429" s="562" t="s">
        <v>4127</v>
      </c>
      <c r="B1429" s="563" t="s">
        <v>4128</v>
      </c>
      <c r="C1429" s="564" t="s">
        <v>1652</v>
      </c>
      <c r="D1429" s="565">
        <v>44354</v>
      </c>
      <c r="E1429" s="565">
        <v>44362</v>
      </c>
      <c r="F1429" s="566">
        <v>1000000</v>
      </c>
      <c r="G1429" s="564" t="s">
        <v>297</v>
      </c>
      <c r="H1429" s="564" t="s">
        <v>297</v>
      </c>
      <c r="I1429" s="564" t="s">
        <v>70</v>
      </c>
      <c r="J1429" s="564" t="s">
        <v>1069</v>
      </c>
      <c r="K1429" s="564" t="s">
        <v>1120</v>
      </c>
      <c r="L1429" s="564" t="s">
        <v>2098</v>
      </c>
      <c r="M1429" s="564" t="s">
        <v>2098</v>
      </c>
      <c r="N1429" s="564" t="s">
        <v>70</v>
      </c>
      <c r="O1429" s="564" t="s">
        <v>2099</v>
      </c>
      <c r="P1429" s="23"/>
      <c r="Q1429" s="23"/>
      <c r="R1429" s="23"/>
      <c r="S1429" s="23"/>
      <c r="T1429" s="23"/>
      <c r="U1429" s="23"/>
      <c r="V1429" s="23"/>
      <c r="W1429" s="23"/>
      <c r="X1429" s="23"/>
      <c r="Y1429" s="23"/>
      <c r="Z1429" s="23"/>
    </row>
    <row r="1430" spans="1:26" ht="13">
      <c r="A1430" s="562" t="s">
        <v>4129</v>
      </c>
      <c r="B1430" s="563" t="s">
        <v>4130</v>
      </c>
      <c r="C1430" s="564" t="s">
        <v>1076</v>
      </c>
      <c r="D1430" s="565">
        <v>44351</v>
      </c>
      <c r="E1430" s="565">
        <v>44442</v>
      </c>
      <c r="F1430" s="566">
        <v>1987000</v>
      </c>
      <c r="G1430" s="564" t="s">
        <v>1077</v>
      </c>
      <c r="H1430" s="564" t="s">
        <v>1077</v>
      </c>
      <c r="I1430" s="564" t="s">
        <v>637</v>
      </c>
      <c r="J1430" s="564" t="s">
        <v>1069</v>
      </c>
      <c r="K1430" s="564" t="s">
        <v>1070</v>
      </c>
      <c r="L1430" s="564" t="s">
        <v>2098</v>
      </c>
      <c r="M1430" s="564" t="s">
        <v>2098</v>
      </c>
      <c r="N1430" s="564" t="s">
        <v>1082</v>
      </c>
      <c r="O1430" s="564" t="s">
        <v>2099</v>
      </c>
      <c r="P1430" s="23"/>
      <c r="Q1430" s="23"/>
      <c r="R1430" s="23"/>
      <c r="S1430" s="23"/>
      <c r="T1430" s="23"/>
      <c r="U1430" s="23"/>
      <c r="V1430" s="23"/>
      <c r="W1430" s="23"/>
      <c r="X1430" s="23"/>
      <c r="Y1430" s="23"/>
      <c r="Z1430" s="23"/>
    </row>
    <row r="1431" spans="1:26" ht="13">
      <c r="A1431" s="562" t="s">
        <v>4131</v>
      </c>
      <c r="B1431" s="563" t="s">
        <v>4132</v>
      </c>
      <c r="C1431" s="564" t="s">
        <v>353</v>
      </c>
      <c r="D1431" s="565">
        <v>44294</v>
      </c>
      <c r="E1431" s="565">
        <v>44358</v>
      </c>
      <c r="F1431" s="566">
        <v>7690000</v>
      </c>
      <c r="G1431" s="564" t="s">
        <v>1128</v>
      </c>
      <c r="H1431" s="564" t="s">
        <v>1128</v>
      </c>
      <c r="I1431" s="564" t="s">
        <v>45</v>
      </c>
      <c r="J1431" s="564" t="s">
        <v>1069</v>
      </c>
      <c r="K1431" s="564" t="s">
        <v>1090</v>
      </c>
      <c r="L1431" s="564" t="s">
        <v>2098</v>
      </c>
      <c r="M1431" s="564" t="s">
        <v>2098</v>
      </c>
      <c r="N1431" s="564" t="s">
        <v>45</v>
      </c>
      <c r="O1431" s="564" t="s">
        <v>2099</v>
      </c>
      <c r="P1431" s="23"/>
      <c r="Q1431" s="23"/>
      <c r="R1431" s="23"/>
      <c r="S1431" s="23"/>
      <c r="T1431" s="23"/>
      <c r="U1431" s="23"/>
      <c r="V1431" s="23"/>
      <c r="W1431" s="23"/>
      <c r="X1431" s="23"/>
      <c r="Y1431" s="23"/>
      <c r="Z1431" s="23"/>
    </row>
    <row r="1432" spans="1:26" ht="13">
      <c r="A1432" s="562" t="s">
        <v>4133</v>
      </c>
      <c r="B1432" s="563" t="s">
        <v>4134</v>
      </c>
      <c r="C1432" s="564" t="s">
        <v>1475</v>
      </c>
      <c r="D1432" s="565">
        <v>44349</v>
      </c>
      <c r="E1432" s="565">
        <v>44374</v>
      </c>
      <c r="F1432" s="566">
        <v>3000000</v>
      </c>
      <c r="G1432" s="564" t="s">
        <v>1123</v>
      </c>
      <c r="H1432" s="564" t="s">
        <v>1123</v>
      </c>
      <c r="I1432" s="564" t="s">
        <v>1771</v>
      </c>
      <c r="J1432" s="564" t="s">
        <v>1069</v>
      </c>
      <c r="K1432" s="564" t="s">
        <v>1070</v>
      </c>
      <c r="L1432" s="564" t="s">
        <v>2098</v>
      </c>
      <c r="M1432" s="564" t="s">
        <v>2098</v>
      </c>
      <c r="N1432" s="564" t="s">
        <v>1082</v>
      </c>
      <c r="O1432" s="564" t="s">
        <v>2099</v>
      </c>
      <c r="P1432" s="23"/>
      <c r="Q1432" s="23"/>
      <c r="R1432" s="23"/>
      <c r="S1432" s="23"/>
      <c r="T1432" s="23"/>
      <c r="U1432" s="23"/>
      <c r="V1432" s="23"/>
      <c r="W1432" s="23"/>
      <c r="X1432" s="23"/>
      <c r="Y1432" s="23"/>
      <c r="Z1432" s="23"/>
    </row>
    <row r="1433" spans="1:26" ht="13">
      <c r="A1433" s="562" t="s">
        <v>4135</v>
      </c>
      <c r="B1433" s="563" t="s">
        <v>4136</v>
      </c>
      <c r="C1433" s="564" t="s">
        <v>1652</v>
      </c>
      <c r="D1433" s="565">
        <v>44350</v>
      </c>
      <c r="E1433" s="565">
        <v>44361</v>
      </c>
      <c r="F1433" s="566">
        <v>1473000</v>
      </c>
      <c r="G1433" s="564" t="s">
        <v>297</v>
      </c>
      <c r="H1433" s="564" t="s">
        <v>297</v>
      </c>
      <c r="I1433" s="564" t="s">
        <v>70</v>
      </c>
      <c r="J1433" s="564" t="s">
        <v>1069</v>
      </c>
      <c r="K1433" s="564" t="s">
        <v>1120</v>
      </c>
      <c r="L1433" s="564" t="s">
        <v>2098</v>
      </c>
      <c r="M1433" s="564" t="s">
        <v>2098</v>
      </c>
      <c r="N1433" s="564" t="s">
        <v>70</v>
      </c>
      <c r="O1433" s="564" t="s">
        <v>2099</v>
      </c>
      <c r="P1433" s="23"/>
      <c r="Q1433" s="23"/>
      <c r="R1433" s="23"/>
      <c r="S1433" s="23"/>
      <c r="T1433" s="23"/>
      <c r="U1433" s="23"/>
      <c r="V1433" s="23"/>
      <c r="W1433" s="23"/>
      <c r="X1433" s="23"/>
      <c r="Y1433" s="23"/>
      <c r="Z1433" s="23"/>
    </row>
    <row r="1434" spans="1:26" ht="13">
      <c r="A1434" s="562" t="s">
        <v>4137</v>
      </c>
      <c r="B1434" s="563" t="s">
        <v>4138</v>
      </c>
      <c r="C1434" s="564" t="s">
        <v>353</v>
      </c>
      <c r="D1434" s="565">
        <v>44294</v>
      </c>
      <c r="E1434" s="565">
        <v>44375</v>
      </c>
      <c r="F1434" s="566">
        <v>85116000</v>
      </c>
      <c r="G1434" s="564" t="s">
        <v>1128</v>
      </c>
      <c r="H1434" s="564" t="s">
        <v>1128</v>
      </c>
      <c r="I1434" s="564" t="s">
        <v>45</v>
      </c>
      <c r="J1434" s="564" t="s">
        <v>1069</v>
      </c>
      <c r="K1434" s="564" t="s">
        <v>1090</v>
      </c>
      <c r="L1434" s="564" t="s">
        <v>2098</v>
      </c>
      <c r="M1434" s="564" t="s">
        <v>2098</v>
      </c>
      <c r="N1434" s="564" t="s">
        <v>45</v>
      </c>
      <c r="O1434" s="564" t="s">
        <v>2099</v>
      </c>
      <c r="P1434" s="23"/>
      <c r="Q1434" s="23"/>
      <c r="R1434" s="23"/>
      <c r="S1434" s="23"/>
      <c r="T1434" s="23"/>
      <c r="U1434" s="23"/>
      <c r="V1434" s="23"/>
      <c r="W1434" s="23"/>
      <c r="X1434" s="23"/>
      <c r="Y1434" s="23"/>
      <c r="Z1434" s="23"/>
    </row>
    <row r="1435" spans="1:26" ht="13">
      <c r="A1435" s="562" t="s">
        <v>4139</v>
      </c>
      <c r="B1435" s="563" t="s">
        <v>4140</v>
      </c>
      <c r="C1435" s="564" t="s">
        <v>1652</v>
      </c>
      <c r="D1435" s="565">
        <v>44344</v>
      </c>
      <c r="E1435" s="565">
        <v>44351</v>
      </c>
      <c r="F1435" s="566">
        <v>1408000</v>
      </c>
      <c r="G1435" s="564" t="s">
        <v>297</v>
      </c>
      <c r="H1435" s="564" t="s">
        <v>297</v>
      </c>
      <c r="I1435" s="564" t="s">
        <v>70</v>
      </c>
      <c r="J1435" s="564" t="s">
        <v>1069</v>
      </c>
      <c r="K1435" s="564" t="s">
        <v>1120</v>
      </c>
      <c r="L1435" s="564" t="s">
        <v>2098</v>
      </c>
      <c r="M1435" s="564" t="s">
        <v>2098</v>
      </c>
      <c r="N1435" s="564" t="s">
        <v>70</v>
      </c>
      <c r="O1435" s="564" t="s">
        <v>2099</v>
      </c>
      <c r="P1435" s="23"/>
      <c r="Q1435" s="23"/>
      <c r="R1435" s="23"/>
      <c r="S1435" s="23"/>
      <c r="T1435" s="23"/>
      <c r="U1435" s="23"/>
      <c r="V1435" s="23"/>
      <c r="W1435" s="23"/>
      <c r="X1435" s="23"/>
      <c r="Y1435" s="23"/>
      <c r="Z1435" s="23"/>
    </row>
    <row r="1436" spans="1:26" ht="13">
      <c r="A1436" s="562" t="s">
        <v>4141</v>
      </c>
      <c r="B1436" s="563" t="s">
        <v>4142</v>
      </c>
      <c r="C1436" s="564" t="s">
        <v>1652</v>
      </c>
      <c r="D1436" s="565">
        <v>44343</v>
      </c>
      <c r="E1436" s="565">
        <v>44351</v>
      </c>
      <c r="F1436" s="566">
        <v>4048000</v>
      </c>
      <c r="G1436" s="564" t="s">
        <v>297</v>
      </c>
      <c r="H1436" s="564" t="s">
        <v>297</v>
      </c>
      <c r="I1436" s="564" t="s">
        <v>70</v>
      </c>
      <c r="J1436" s="564" t="s">
        <v>1069</v>
      </c>
      <c r="K1436" s="564" t="s">
        <v>1120</v>
      </c>
      <c r="L1436" s="564" t="s">
        <v>2098</v>
      </c>
      <c r="M1436" s="564" t="s">
        <v>2098</v>
      </c>
      <c r="N1436" s="564" t="s">
        <v>70</v>
      </c>
      <c r="O1436" s="564" t="s">
        <v>2099</v>
      </c>
      <c r="P1436" s="23"/>
      <c r="Q1436" s="23"/>
      <c r="R1436" s="23"/>
      <c r="S1436" s="23"/>
      <c r="T1436" s="23"/>
      <c r="U1436" s="23"/>
      <c r="V1436" s="23"/>
      <c r="W1436" s="23"/>
      <c r="X1436" s="23"/>
      <c r="Y1436" s="23"/>
      <c r="Z1436" s="23"/>
    </row>
    <row r="1437" spans="1:26" ht="13">
      <c r="A1437" s="562" t="s">
        <v>4143</v>
      </c>
      <c r="B1437" s="563" t="s">
        <v>4144</v>
      </c>
      <c r="C1437" s="564" t="s">
        <v>1652</v>
      </c>
      <c r="D1437" s="565">
        <v>44341</v>
      </c>
      <c r="E1437" s="565">
        <v>44347</v>
      </c>
      <c r="F1437" s="566">
        <v>352000</v>
      </c>
      <c r="G1437" s="564" t="s">
        <v>297</v>
      </c>
      <c r="H1437" s="564" t="s">
        <v>297</v>
      </c>
      <c r="I1437" s="564" t="s">
        <v>70</v>
      </c>
      <c r="J1437" s="564" t="s">
        <v>1069</v>
      </c>
      <c r="K1437" s="564" t="s">
        <v>1120</v>
      </c>
      <c r="L1437" s="564" t="s">
        <v>2098</v>
      </c>
      <c r="M1437" s="564" t="s">
        <v>2098</v>
      </c>
      <c r="N1437" s="564" t="s">
        <v>70</v>
      </c>
      <c r="O1437" s="564" t="s">
        <v>2099</v>
      </c>
      <c r="P1437" s="23"/>
      <c r="Q1437" s="23"/>
      <c r="R1437" s="23"/>
      <c r="S1437" s="23"/>
      <c r="T1437" s="23"/>
      <c r="U1437" s="23"/>
      <c r="V1437" s="23"/>
      <c r="W1437" s="23"/>
      <c r="X1437" s="23"/>
      <c r="Y1437" s="23"/>
      <c r="Z1437" s="23"/>
    </row>
    <row r="1438" spans="1:26" ht="13">
      <c r="A1438" s="562" t="s">
        <v>4145</v>
      </c>
      <c r="B1438" s="563" t="s">
        <v>4146</v>
      </c>
      <c r="C1438" s="564" t="s">
        <v>1652</v>
      </c>
      <c r="D1438" s="565">
        <v>44341</v>
      </c>
      <c r="E1438" s="565">
        <v>44347</v>
      </c>
      <c r="F1438" s="566">
        <v>1490000</v>
      </c>
      <c r="G1438" s="564" t="s">
        <v>297</v>
      </c>
      <c r="H1438" s="564" t="s">
        <v>297</v>
      </c>
      <c r="I1438" s="564" t="s">
        <v>70</v>
      </c>
      <c r="J1438" s="564" t="s">
        <v>1069</v>
      </c>
      <c r="K1438" s="564" t="s">
        <v>1120</v>
      </c>
      <c r="L1438" s="564" t="s">
        <v>2098</v>
      </c>
      <c r="M1438" s="564" t="s">
        <v>2098</v>
      </c>
      <c r="N1438" s="564" t="s">
        <v>70</v>
      </c>
      <c r="O1438" s="564" t="s">
        <v>2099</v>
      </c>
      <c r="P1438" s="23"/>
      <c r="Q1438" s="23"/>
      <c r="R1438" s="23"/>
      <c r="S1438" s="23"/>
      <c r="T1438" s="23"/>
      <c r="U1438" s="23"/>
      <c r="V1438" s="23"/>
      <c r="W1438" s="23"/>
      <c r="X1438" s="23"/>
      <c r="Y1438" s="23"/>
      <c r="Z1438" s="23"/>
    </row>
    <row r="1439" spans="1:26" ht="13">
      <c r="A1439" s="562" t="s">
        <v>4147</v>
      </c>
      <c r="B1439" s="563" t="s">
        <v>4148</v>
      </c>
      <c r="C1439" s="564" t="s">
        <v>1076</v>
      </c>
      <c r="D1439" s="565">
        <v>44334</v>
      </c>
      <c r="E1439" s="565">
        <v>44427</v>
      </c>
      <c r="F1439" s="566">
        <v>1987000</v>
      </c>
      <c r="G1439" s="564" t="s">
        <v>1077</v>
      </c>
      <c r="H1439" s="564" t="s">
        <v>1077</v>
      </c>
      <c r="I1439" s="564" t="s">
        <v>637</v>
      </c>
      <c r="J1439" s="564" t="s">
        <v>1069</v>
      </c>
      <c r="K1439" s="564" t="s">
        <v>1070</v>
      </c>
      <c r="L1439" s="564" t="s">
        <v>2098</v>
      </c>
      <c r="M1439" s="564" t="s">
        <v>2098</v>
      </c>
      <c r="N1439" s="564" t="s">
        <v>1082</v>
      </c>
      <c r="O1439" s="564" t="s">
        <v>2099</v>
      </c>
      <c r="P1439" s="23"/>
      <c r="Q1439" s="23"/>
      <c r="R1439" s="23"/>
      <c r="S1439" s="23"/>
      <c r="T1439" s="23"/>
      <c r="U1439" s="23"/>
      <c r="V1439" s="23"/>
      <c r="W1439" s="23"/>
      <c r="X1439" s="23"/>
      <c r="Y1439" s="23"/>
      <c r="Z1439" s="23"/>
    </row>
    <row r="1440" spans="1:26" ht="13">
      <c r="A1440" s="562" t="s">
        <v>4149</v>
      </c>
      <c r="B1440" s="563" t="s">
        <v>3635</v>
      </c>
      <c r="C1440" s="564" t="s">
        <v>1475</v>
      </c>
      <c r="D1440" s="565">
        <v>44330</v>
      </c>
      <c r="E1440" s="565">
        <v>44347</v>
      </c>
      <c r="F1440" s="566">
        <v>480000</v>
      </c>
      <c r="G1440" s="564" t="s">
        <v>297</v>
      </c>
      <c r="H1440" s="564" t="s">
        <v>297</v>
      </c>
      <c r="I1440" s="564" t="s">
        <v>1247</v>
      </c>
      <c r="J1440" s="564" t="s">
        <v>1069</v>
      </c>
      <c r="K1440" s="564" t="s">
        <v>1070</v>
      </c>
      <c r="L1440" s="564" t="s">
        <v>2098</v>
      </c>
      <c r="M1440" s="564" t="s">
        <v>2098</v>
      </c>
      <c r="N1440" s="564" t="s">
        <v>1073</v>
      </c>
      <c r="O1440" s="564" t="s">
        <v>2099</v>
      </c>
      <c r="P1440" s="23"/>
      <c r="Q1440" s="23"/>
      <c r="R1440" s="23"/>
      <c r="S1440" s="23"/>
      <c r="T1440" s="23"/>
      <c r="U1440" s="23"/>
      <c r="V1440" s="23"/>
      <c r="W1440" s="23"/>
      <c r="X1440" s="23"/>
      <c r="Y1440" s="23"/>
      <c r="Z1440" s="23"/>
    </row>
    <row r="1441" spans="1:26" ht="13">
      <c r="A1441" s="562" t="s">
        <v>4150</v>
      </c>
      <c r="B1441" s="563" t="s">
        <v>4151</v>
      </c>
      <c r="C1441" s="564" t="s">
        <v>1652</v>
      </c>
      <c r="D1441" s="565">
        <v>44329</v>
      </c>
      <c r="E1441" s="565">
        <v>44340</v>
      </c>
      <c r="F1441" s="566">
        <v>3820000</v>
      </c>
      <c r="G1441" s="564" t="s">
        <v>297</v>
      </c>
      <c r="H1441" s="564" t="s">
        <v>297</v>
      </c>
      <c r="I1441" s="564" t="s">
        <v>70</v>
      </c>
      <c r="J1441" s="564" t="s">
        <v>1069</v>
      </c>
      <c r="K1441" s="564" t="s">
        <v>1120</v>
      </c>
      <c r="L1441" s="564" t="s">
        <v>2098</v>
      </c>
      <c r="M1441" s="564" t="s">
        <v>2098</v>
      </c>
      <c r="N1441" s="564" t="s">
        <v>70</v>
      </c>
      <c r="O1441" s="564" t="s">
        <v>2099</v>
      </c>
      <c r="P1441" s="23"/>
      <c r="Q1441" s="23"/>
      <c r="R1441" s="23"/>
      <c r="S1441" s="23"/>
      <c r="T1441" s="23"/>
      <c r="U1441" s="23"/>
      <c r="V1441" s="23"/>
      <c r="W1441" s="23"/>
      <c r="X1441" s="23"/>
      <c r="Y1441" s="23"/>
      <c r="Z1441" s="23"/>
    </row>
    <row r="1442" spans="1:26" ht="13">
      <c r="A1442" s="562" t="s">
        <v>4152</v>
      </c>
      <c r="B1442" s="563" t="s">
        <v>4153</v>
      </c>
      <c r="C1442" s="564" t="s">
        <v>1652</v>
      </c>
      <c r="D1442" s="565">
        <v>44329</v>
      </c>
      <c r="E1442" s="565">
        <v>44347</v>
      </c>
      <c r="F1442" s="566">
        <v>4160000</v>
      </c>
      <c r="G1442" s="564" t="s">
        <v>297</v>
      </c>
      <c r="H1442" s="564" t="s">
        <v>297</v>
      </c>
      <c r="I1442" s="564" t="s">
        <v>107</v>
      </c>
      <c r="J1442" s="564" t="s">
        <v>1069</v>
      </c>
      <c r="K1442" s="564" t="s">
        <v>1120</v>
      </c>
      <c r="L1442" s="564" t="s">
        <v>2098</v>
      </c>
      <c r="M1442" s="564" t="s">
        <v>2098</v>
      </c>
      <c r="N1442" s="564" t="s">
        <v>1073</v>
      </c>
      <c r="O1442" s="564" t="s">
        <v>2099</v>
      </c>
      <c r="P1442" s="23"/>
      <c r="Q1442" s="23"/>
      <c r="R1442" s="23"/>
      <c r="S1442" s="23"/>
      <c r="T1442" s="23"/>
      <c r="U1442" s="23"/>
      <c r="V1442" s="23"/>
      <c r="W1442" s="23"/>
      <c r="X1442" s="23"/>
      <c r="Y1442" s="23"/>
      <c r="Z1442" s="23"/>
    </row>
    <row r="1443" spans="1:26" ht="13">
      <c r="A1443" s="562" t="s">
        <v>4154</v>
      </c>
      <c r="B1443" s="563" t="s">
        <v>4155</v>
      </c>
      <c r="C1443" s="564" t="s">
        <v>1652</v>
      </c>
      <c r="D1443" s="565">
        <v>44330</v>
      </c>
      <c r="E1443" s="565">
        <v>44347</v>
      </c>
      <c r="F1443" s="566">
        <v>2875000</v>
      </c>
      <c r="G1443" s="564" t="s">
        <v>297</v>
      </c>
      <c r="H1443" s="564" t="s">
        <v>297</v>
      </c>
      <c r="I1443" s="564" t="s">
        <v>70</v>
      </c>
      <c r="J1443" s="564" t="s">
        <v>1069</v>
      </c>
      <c r="K1443" s="564" t="s">
        <v>1120</v>
      </c>
      <c r="L1443" s="564" t="s">
        <v>2098</v>
      </c>
      <c r="M1443" s="564" t="s">
        <v>2098</v>
      </c>
      <c r="N1443" s="564" t="s">
        <v>70</v>
      </c>
      <c r="O1443" s="564" t="s">
        <v>2099</v>
      </c>
      <c r="P1443" s="23"/>
      <c r="Q1443" s="23"/>
      <c r="R1443" s="23"/>
      <c r="S1443" s="23"/>
      <c r="T1443" s="23"/>
      <c r="U1443" s="23"/>
      <c r="V1443" s="23"/>
      <c r="W1443" s="23"/>
      <c r="X1443" s="23"/>
      <c r="Y1443" s="23"/>
      <c r="Z1443" s="23"/>
    </row>
    <row r="1444" spans="1:26" ht="13">
      <c r="A1444" s="562" t="s">
        <v>4156</v>
      </c>
      <c r="B1444" s="563" t="s">
        <v>4157</v>
      </c>
      <c r="C1444" s="564" t="s">
        <v>1652</v>
      </c>
      <c r="D1444" s="565">
        <v>44323</v>
      </c>
      <c r="E1444" s="565">
        <v>44347</v>
      </c>
      <c r="F1444" s="566">
        <v>49930000</v>
      </c>
      <c r="G1444" s="564" t="s">
        <v>297</v>
      </c>
      <c r="H1444" s="564" t="s">
        <v>297</v>
      </c>
      <c r="I1444" s="564" t="s">
        <v>107</v>
      </c>
      <c r="J1444" s="564" t="s">
        <v>1069</v>
      </c>
      <c r="K1444" s="564" t="s">
        <v>1120</v>
      </c>
      <c r="L1444" s="564" t="s">
        <v>2098</v>
      </c>
      <c r="M1444" s="564" t="s">
        <v>2098</v>
      </c>
      <c r="N1444" s="564" t="s">
        <v>1073</v>
      </c>
      <c r="O1444" s="564" t="s">
        <v>2099</v>
      </c>
      <c r="P1444" s="23"/>
      <c r="Q1444" s="23"/>
      <c r="R1444" s="23"/>
      <c r="S1444" s="23"/>
      <c r="T1444" s="23"/>
      <c r="U1444" s="23"/>
      <c r="V1444" s="23"/>
      <c r="W1444" s="23"/>
      <c r="X1444" s="23"/>
      <c r="Y1444" s="23"/>
      <c r="Z1444" s="23"/>
    </row>
    <row r="1445" spans="1:26" ht="13">
      <c r="A1445" s="562" t="s">
        <v>4158</v>
      </c>
      <c r="B1445" s="563" t="s">
        <v>3639</v>
      </c>
      <c r="C1445" s="564" t="s">
        <v>353</v>
      </c>
      <c r="D1445" s="565">
        <v>44322</v>
      </c>
      <c r="E1445" s="565">
        <v>44347</v>
      </c>
      <c r="F1445" s="566">
        <v>150700</v>
      </c>
      <c r="G1445" s="564" t="s">
        <v>297</v>
      </c>
      <c r="H1445" s="564" t="s">
        <v>297</v>
      </c>
      <c r="I1445" s="564" t="s">
        <v>1161</v>
      </c>
      <c r="J1445" s="564" t="s">
        <v>1069</v>
      </c>
      <c r="K1445" s="564" t="s">
        <v>1090</v>
      </c>
      <c r="L1445" s="564" t="s">
        <v>2098</v>
      </c>
      <c r="M1445" s="564" t="s">
        <v>2098</v>
      </c>
      <c r="N1445" s="564" t="s">
        <v>1073</v>
      </c>
      <c r="O1445" s="564" t="s">
        <v>2099</v>
      </c>
      <c r="P1445" s="23"/>
      <c r="Q1445" s="23"/>
      <c r="R1445" s="23"/>
      <c r="S1445" s="23"/>
      <c r="T1445" s="23"/>
      <c r="U1445" s="23"/>
      <c r="V1445" s="23"/>
      <c r="W1445" s="23"/>
      <c r="X1445" s="23"/>
      <c r="Y1445" s="23"/>
      <c r="Z1445" s="23"/>
    </row>
    <row r="1446" spans="1:26" ht="13">
      <c r="A1446" s="562" t="s">
        <v>4159</v>
      </c>
      <c r="B1446" s="563" t="s">
        <v>4160</v>
      </c>
      <c r="C1446" s="564" t="s">
        <v>1475</v>
      </c>
      <c r="D1446" s="565">
        <v>44322</v>
      </c>
      <c r="E1446" s="565">
        <v>44347</v>
      </c>
      <c r="F1446" s="566">
        <v>10727000</v>
      </c>
      <c r="G1446" s="564" t="s">
        <v>1123</v>
      </c>
      <c r="H1446" s="564" t="s">
        <v>1123</v>
      </c>
      <c r="I1446" s="564" t="s">
        <v>1771</v>
      </c>
      <c r="J1446" s="564" t="s">
        <v>1069</v>
      </c>
      <c r="K1446" s="564" t="s">
        <v>1070</v>
      </c>
      <c r="L1446" s="564" t="s">
        <v>2098</v>
      </c>
      <c r="M1446" s="564" t="s">
        <v>2098</v>
      </c>
      <c r="N1446" s="564" t="s">
        <v>1082</v>
      </c>
      <c r="O1446" s="564" t="s">
        <v>2099</v>
      </c>
      <c r="P1446" s="23"/>
      <c r="Q1446" s="23"/>
      <c r="R1446" s="23"/>
      <c r="S1446" s="23"/>
      <c r="T1446" s="23"/>
      <c r="U1446" s="23"/>
      <c r="V1446" s="23"/>
      <c r="W1446" s="23"/>
      <c r="X1446" s="23"/>
      <c r="Y1446" s="23"/>
      <c r="Z1446" s="23"/>
    </row>
    <row r="1447" spans="1:26" ht="13">
      <c r="A1447" s="562" t="s">
        <v>4161</v>
      </c>
      <c r="B1447" s="563" t="s">
        <v>4162</v>
      </c>
      <c r="C1447" s="564" t="s">
        <v>1475</v>
      </c>
      <c r="D1447" s="565">
        <v>44313</v>
      </c>
      <c r="E1447" s="565">
        <v>44347</v>
      </c>
      <c r="F1447" s="566">
        <v>522000</v>
      </c>
      <c r="G1447" s="564" t="s">
        <v>1123</v>
      </c>
      <c r="H1447" s="564" t="s">
        <v>1123</v>
      </c>
      <c r="I1447" s="564" t="s">
        <v>1581</v>
      </c>
      <c r="J1447" s="564" t="s">
        <v>1069</v>
      </c>
      <c r="K1447" s="564" t="s">
        <v>1070</v>
      </c>
      <c r="L1447" s="564" t="s">
        <v>2098</v>
      </c>
      <c r="M1447" s="564" t="s">
        <v>2098</v>
      </c>
      <c r="N1447" s="564" t="s">
        <v>1082</v>
      </c>
      <c r="O1447" s="564" t="s">
        <v>2099</v>
      </c>
      <c r="P1447" s="23"/>
      <c r="Q1447" s="23"/>
      <c r="R1447" s="23"/>
      <c r="S1447" s="23"/>
      <c r="T1447" s="23"/>
      <c r="U1447" s="23"/>
      <c r="V1447" s="23"/>
      <c r="W1447" s="23"/>
      <c r="X1447" s="23"/>
      <c r="Y1447" s="23"/>
      <c r="Z1447" s="23"/>
    </row>
    <row r="1448" spans="1:26" ht="13">
      <c r="A1448" s="562" t="s">
        <v>4163</v>
      </c>
      <c r="B1448" s="563" t="s">
        <v>4164</v>
      </c>
      <c r="C1448" s="564" t="s">
        <v>1076</v>
      </c>
      <c r="D1448" s="565">
        <v>44320</v>
      </c>
      <c r="E1448" s="565">
        <v>44382</v>
      </c>
      <c r="F1448" s="566">
        <v>1987000</v>
      </c>
      <c r="G1448" s="564" t="s">
        <v>1077</v>
      </c>
      <c r="H1448" s="564" t="s">
        <v>1077</v>
      </c>
      <c r="I1448" s="564" t="s">
        <v>637</v>
      </c>
      <c r="J1448" s="564" t="s">
        <v>1069</v>
      </c>
      <c r="K1448" s="564" t="s">
        <v>1070</v>
      </c>
      <c r="L1448" s="564" t="s">
        <v>2098</v>
      </c>
      <c r="M1448" s="564" t="s">
        <v>2098</v>
      </c>
      <c r="N1448" s="564" t="s">
        <v>1082</v>
      </c>
      <c r="O1448" s="564" t="s">
        <v>2099</v>
      </c>
      <c r="P1448" s="23"/>
      <c r="Q1448" s="23"/>
      <c r="R1448" s="23"/>
      <c r="S1448" s="23"/>
      <c r="T1448" s="23"/>
      <c r="U1448" s="23"/>
      <c r="V1448" s="23"/>
      <c r="W1448" s="23"/>
      <c r="X1448" s="23"/>
      <c r="Y1448" s="23"/>
      <c r="Z1448" s="23"/>
    </row>
    <row r="1449" spans="1:26" ht="13">
      <c r="A1449" s="562" t="s">
        <v>4165</v>
      </c>
      <c r="B1449" s="563" t="s">
        <v>4166</v>
      </c>
      <c r="C1449" s="564" t="s">
        <v>353</v>
      </c>
      <c r="D1449" s="565">
        <v>44294</v>
      </c>
      <c r="E1449" s="565">
        <v>44369</v>
      </c>
      <c r="F1449" s="566">
        <v>77000000</v>
      </c>
      <c r="G1449" s="564" t="s">
        <v>1128</v>
      </c>
      <c r="H1449" s="564" t="s">
        <v>1128</v>
      </c>
      <c r="I1449" s="564" t="s">
        <v>45</v>
      </c>
      <c r="J1449" s="564" t="s">
        <v>1069</v>
      </c>
      <c r="K1449" s="564" t="s">
        <v>1090</v>
      </c>
      <c r="L1449" s="564" t="s">
        <v>2098</v>
      </c>
      <c r="M1449" s="564" t="s">
        <v>2098</v>
      </c>
      <c r="N1449" s="564" t="s">
        <v>45</v>
      </c>
      <c r="O1449" s="564" t="s">
        <v>2099</v>
      </c>
      <c r="P1449" s="23"/>
      <c r="Q1449" s="23"/>
      <c r="R1449" s="23"/>
      <c r="S1449" s="23"/>
      <c r="T1449" s="23"/>
      <c r="U1449" s="23"/>
      <c r="V1449" s="23"/>
      <c r="W1449" s="23"/>
      <c r="X1449" s="23"/>
      <c r="Y1449" s="23"/>
      <c r="Z1449" s="23"/>
    </row>
    <row r="1450" spans="1:26" ht="13">
      <c r="A1450" s="562" t="s">
        <v>4167</v>
      </c>
      <c r="B1450" s="563" t="s">
        <v>4168</v>
      </c>
      <c r="C1450" s="564" t="s">
        <v>353</v>
      </c>
      <c r="D1450" s="565">
        <v>44294</v>
      </c>
      <c r="E1450" s="565">
        <v>44369</v>
      </c>
      <c r="F1450" s="566">
        <v>5970000</v>
      </c>
      <c r="G1450" s="564" t="s">
        <v>1128</v>
      </c>
      <c r="H1450" s="564" t="s">
        <v>1128</v>
      </c>
      <c r="I1450" s="564" t="s">
        <v>45</v>
      </c>
      <c r="J1450" s="564" t="s">
        <v>1069</v>
      </c>
      <c r="K1450" s="564" t="s">
        <v>1090</v>
      </c>
      <c r="L1450" s="564" t="s">
        <v>2098</v>
      </c>
      <c r="M1450" s="564" t="s">
        <v>2098</v>
      </c>
      <c r="N1450" s="564" t="s">
        <v>45</v>
      </c>
      <c r="O1450" s="564" t="s">
        <v>2099</v>
      </c>
      <c r="P1450" s="23"/>
      <c r="Q1450" s="23"/>
      <c r="R1450" s="23"/>
      <c r="S1450" s="23"/>
      <c r="T1450" s="23"/>
      <c r="U1450" s="23"/>
      <c r="V1450" s="23"/>
      <c r="W1450" s="23"/>
      <c r="X1450" s="23"/>
      <c r="Y1450" s="23"/>
      <c r="Z1450" s="23"/>
    </row>
    <row r="1451" spans="1:26" ht="13">
      <c r="A1451" s="562" t="s">
        <v>4169</v>
      </c>
      <c r="B1451" s="563" t="s">
        <v>4170</v>
      </c>
      <c r="C1451" s="564" t="s">
        <v>353</v>
      </c>
      <c r="D1451" s="565">
        <v>44294</v>
      </c>
      <c r="E1451" s="565">
        <v>44369</v>
      </c>
      <c r="F1451" s="566">
        <v>19698000</v>
      </c>
      <c r="G1451" s="564" t="s">
        <v>1128</v>
      </c>
      <c r="H1451" s="564" t="s">
        <v>1128</v>
      </c>
      <c r="I1451" s="564" t="s">
        <v>45</v>
      </c>
      <c r="J1451" s="564" t="s">
        <v>1069</v>
      </c>
      <c r="K1451" s="564" t="s">
        <v>1090</v>
      </c>
      <c r="L1451" s="564" t="s">
        <v>2098</v>
      </c>
      <c r="M1451" s="564" t="s">
        <v>2098</v>
      </c>
      <c r="N1451" s="564" t="s">
        <v>45</v>
      </c>
      <c r="O1451" s="564" t="s">
        <v>2099</v>
      </c>
      <c r="P1451" s="23"/>
      <c r="Q1451" s="23"/>
      <c r="R1451" s="23"/>
      <c r="S1451" s="23"/>
      <c r="T1451" s="23"/>
      <c r="U1451" s="23"/>
      <c r="V1451" s="23"/>
      <c r="W1451" s="23"/>
      <c r="X1451" s="23"/>
      <c r="Y1451" s="23"/>
      <c r="Z1451" s="23"/>
    </row>
    <row r="1452" spans="1:26" ht="13">
      <c r="A1452" s="562" t="s">
        <v>4171</v>
      </c>
      <c r="B1452" s="563" t="s">
        <v>4172</v>
      </c>
      <c r="C1452" s="564" t="s">
        <v>1652</v>
      </c>
      <c r="D1452" s="565">
        <v>44315</v>
      </c>
      <c r="E1452" s="565">
        <v>44328</v>
      </c>
      <c r="F1452" s="566">
        <v>1320000</v>
      </c>
      <c r="G1452" s="564" t="s">
        <v>297</v>
      </c>
      <c r="H1452" s="564" t="s">
        <v>297</v>
      </c>
      <c r="I1452" s="564" t="s">
        <v>70</v>
      </c>
      <c r="J1452" s="564" t="s">
        <v>1069</v>
      </c>
      <c r="K1452" s="564" t="s">
        <v>1120</v>
      </c>
      <c r="L1452" s="564" t="s">
        <v>2098</v>
      </c>
      <c r="M1452" s="564" t="s">
        <v>2098</v>
      </c>
      <c r="N1452" s="564" t="s">
        <v>70</v>
      </c>
      <c r="O1452" s="564" t="s">
        <v>2099</v>
      </c>
      <c r="P1452" s="23"/>
      <c r="Q1452" s="23"/>
      <c r="R1452" s="23"/>
      <c r="S1452" s="23"/>
      <c r="T1452" s="23"/>
      <c r="U1452" s="23"/>
      <c r="V1452" s="23"/>
      <c r="W1452" s="23"/>
      <c r="X1452" s="23"/>
      <c r="Y1452" s="23"/>
      <c r="Z1452" s="23"/>
    </row>
    <row r="1453" spans="1:26" ht="13">
      <c r="A1453" s="562" t="s">
        <v>4173</v>
      </c>
      <c r="B1453" s="563" t="s">
        <v>4174</v>
      </c>
      <c r="C1453" s="564" t="s">
        <v>1076</v>
      </c>
      <c r="D1453" s="565">
        <v>44314</v>
      </c>
      <c r="E1453" s="565">
        <v>44377</v>
      </c>
      <c r="F1453" s="566">
        <v>3625000</v>
      </c>
      <c r="G1453" s="564" t="s">
        <v>1077</v>
      </c>
      <c r="H1453" s="564" t="s">
        <v>1077</v>
      </c>
      <c r="I1453" s="564" t="s">
        <v>637</v>
      </c>
      <c r="J1453" s="564" t="s">
        <v>1069</v>
      </c>
      <c r="K1453" s="564" t="s">
        <v>1070</v>
      </c>
      <c r="L1453" s="564" t="s">
        <v>2098</v>
      </c>
      <c r="M1453" s="564" t="s">
        <v>2098</v>
      </c>
      <c r="N1453" s="564" t="s">
        <v>1082</v>
      </c>
      <c r="O1453" s="564" t="s">
        <v>2099</v>
      </c>
      <c r="P1453" s="23"/>
      <c r="Q1453" s="23"/>
      <c r="R1453" s="23"/>
      <c r="S1453" s="23"/>
      <c r="T1453" s="23"/>
      <c r="U1453" s="23"/>
      <c r="V1453" s="23"/>
      <c r="W1453" s="23"/>
      <c r="X1453" s="23"/>
      <c r="Y1453" s="23"/>
      <c r="Z1453" s="23"/>
    </row>
    <row r="1454" spans="1:26" ht="13">
      <c r="A1454" s="562" t="s">
        <v>4175</v>
      </c>
      <c r="B1454" s="563" t="s">
        <v>4176</v>
      </c>
      <c r="C1454" s="564" t="s">
        <v>1652</v>
      </c>
      <c r="D1454" s="565">
        <v>44312</v>
      </c>
      <c r="E1454" s="565">
        <v>44323</v>
      </c>
      <c r="F1454" s="566">
        <v>1000000</v>
      </c>
      <c r="G1454" s="564" t="s">
        <v>297</v>
      </c>
      <c r="H1454" s="564" t="s">
        <v>297</v>
      </c>
      <c r="I1454" s="564" t="s">
        <v>70</v>
      </c>
      <c r="J1454" s="564" t="s">
        <v>1069</v>
      </c>
      <c r="K1454" s="564" t="s">
        <v>1120</v>
      </c>
      <c r="L1454" s="564" t="s">
        <v>2098</v>
      </c>
      <c r="M1454" s="564" t="s">
        <v>2098</v>
      </c>
      <c r="N1454" s="564" t="s">
        <v>70</v>
      </c>
      <c r="O1454" s="564" t="s">
        <v>2099</v>
      </c>
      <c r="P1454" s="23"/>
      <c r="Q1454" s="23"/>
      <c r="R1454" s="23"/>
      <c r="S1454" s="23"/>
      <c r="T1454" s="23"/>
      <c r="U1454" s="23"/>
      <c r="V1454" s="23"/>
      <c r="W1454" s="23"/>
      <c r="X1454" s="23"/>
      <c r="Y1454" s="23"/>
      <c r="Z1454" s="23"/>
    </row>
    <row r="1455" spans="1:26" ht="13">
      <c r="A1455" s="562" t="s">
        <v>4177</v>
      </c>
      <c r="B1455" s="563" t="s">
        <v>4178</v>
      </c>
      <c r="C1455" s="564" t="s">
        <v>1652</v>
      </c>
      <c r="D1455" s="565">
        <v>44309</v>
      </c>
      <c r="E1455" s="565">
        <v>44316</v>
      </c>
      <c r="F1455" s="566">
        <v>35828000</v>
      </c>
      <c r="G1455" s="564" t="s">
        <v>297</v>
      </c>
      <c r="H1455" s="564" t="s">
        <v>297</v>
      </c>
      <c r="I1455" s="564" t="s">
        <v>70</v>
      </c>
      <c r="J1455" s="564" t="s">
        <v>1069</v>
      </c>
      <c r="K1455" s="564" t="s">
        <v>1120</v>
      </c>
      <c r="L1455" s="564" t="s">
        <v>2098</v>
      </c>
      <c r="M1455" s="564" t="s">
        <v>2098</v>
      </c>
      <c r="N1455" s="564" t="s">
        <v>70</v>
      </c>
      <c r="O1455" s="564" t="s">
        <v>2099</v>
      </c>
      <c r="P1455" s="23"/>
      <c r="Q1455" s="23"/>
      <c r="R1455" s="23"/>
      <c r="S1455" s="23"/>
      <c r="T1455" s="23"/>
      <c r="U1455" s="23"/>
      <c r="V1455" s="23"/>
      <c r="W1455" s="23"/>
      <c r="X1455" s="23"/>
      <c r="Y1455" s="23"/>
      <c r="Z1455" s="23"/>
    </row>
    <row r="1456" spans="1:26" ht="13">
      <c r="A1456" s="562" t="s">
        <v>4179</v>
      </c>
      <c r="B1456" s="563" t="s">
        <v>4180</v>
      </c>
      <c r="C1456" s="564" t="s">
        <v>1652</v>
      </c>
      <c r="D1456" s="565">
        <v>44308</v>
      </c>
      <c r="E1456" s="565">
        <v>44316</v>
      </c>
      <c r="F1456" s="566">
        <v>2363000</v>
      </c>
      <c r="G1456" s="564" t="s">
        <v>297</v>
      </c>
      <c r="H1456" s="564" t="s">
        <v>297</v>
      </c>
      <c r="I1456" s="564" t="s">
        <v>70</v>
      </c>
      <c r="J1456" s="564" t="s">
        <v>1069</v>
      </c>
      <c r="K1456" s="564" t="s">
        <v>1120</v>
      </c>
      <c r="L1456" s="564" t="s">
        <v>2098</v>
      </c>
      <c r="M1456" s="564" t="s">
        <v>2098</v>
      </c>
      <c r="N1456" s="564" t="s">
        <v>70</v>
      </c>
      <c r="O1456" s="564" t="s">
        <v>2099</v>
      </c>
      <c r="P1456" s="23"/>
      <c r="Q1456" s="23"/>
      <c r="R1456" s="23"/>
      <c r="S1456" s="23"/>
      <c r="T1456" s="23"/>
      <c r="U1456" s="23"/>
      <c r="V1456" s="23"/>
      <c r="W1456" s="23"/>
      <c r="X1456" s="23"/>
      <c r="Y1456" s="23"/>
      <c r="Z1456" s="23"/>
    </row>
    <row r="1457" spans="1:26" ht="13">
      <c r="A1457" s="562" t="s">
        <v>4181</v>
      </c>
      <c r="B1457" s="563" t="s">
        <v>4182</v>
      </c>
      <c r="C1457" s="564" t="s">
        <v>353</v>
      </c>
      <c r="D1457" s="565">
        <v>44306</v>
      </c>
      <c r="E1457" s="565">
        <v>44316</v>
      </c>
      <c r="F1457" s="566">
        <v>1123400</v>
      </c>
      <c r="G1457" s="564" t="s">
        <v>297</v>
      </c>
      <c r="H1457" s="564" t="s">
        <v>297</v>
      </c>
      <c r="I1457" s="564" t="s">
        <v>45</v>
      </c>
      <c r="J1457" s="564" t="s">
        <v>1069</v>
      </c>
      <c r="K1457" s="564" t="s">
        <v>1090</v>
      </c>
      <c r="L1457" s="564" t="s">
        <v>2098</v>
      </c>
      <c r="M1457" s="564" t="s">
        <v>2098</v>
      </c>
      <c r="N1457" s="564" t="s">
        <v>45</v>
      </c>
      <c r="O1457" s="564" t="s">
        <v>2099</v>
      </c>
      <c r="P1457" s="23"/>
      <c r="Q1457" s="23"/>
      <c r="R1457" s="23"/>
      <c r="S1457" s="23"/>
      <c r="T1457" s="23"/>
      <c r="U1457" s="23"/>
      <c r="V1457" s="23"/>
      <c r="W1457" s="23"/>
      <c r="X1457" s="23"/>
      <c r="Y1457" s="23"/>
      <c r="Z1457" s="23"/>
    </row>
    <row r="1458" spans="1:26" ht="13">
      <c r="A1458" s="562" t="s">
        <v>4183</v>
      </c>
      <c r="B1458" s="563" t="s">
        <v>3669</v>
      </c>
      <c r="C1458" s="564" t="s">
        <v>353</v>
      </c>
      <c r="D1458" s="565">
        <v>44294</v>
      </c>
      <c r="E1458" s="565">
        <v>44314</v>
      </c>
      <c r="F1458" s="566">
        <v>386774000</v>
      </c>
      <c r="G1458" s="564" t="s">
        <v>1128</v>
      </c>
      <c r="H1458" s="564" t="s">
        <v>1128</v>
      </c>
      <c r="I1458" s="564" t="s">
        <v>45</v>
      </c>
      <c r="J1458" s="564" t="s">
        <v>1069</v>
      </c>
      <c r="K1458" s="564" t="s">
        <v>1090</v>
      </c>
      <c r="L1458" s="564" t="s">
        <v>2098</v>
      </c>
      <c r="M1458" s="564" t="s">
        <v>2098</v>
      </c>
      <c r="N1458" s="564" t="s">
        <v>45</v>
      </c>
      <c r="O1458" s="564" t="s">
        <v>2099</v>
      </c>
      <c r="P1458" s="23"/>
      <c r="Q1458" s="23"/>
      <c r="R1458" s="23"/>
      <c r="S1458" s="23"/>
      <c r="T1458" s="23"/>
      <c r="U1458" s="23"/>
      <c r="V1458" s="23"/>
      <c r="W1458" s="23"/>
      <c r="X1458" s="23"/>
      <c r="Y1458" s="23"/>
      <c r="Z1458" s="23"/>
    </row>
    <row r="1459" spans="1:26" ht="13">
      <c r="A1459" s="562" t="s">
        <v>4184</v>
      </c>
      <c r="B1459" s="563" t="s">
        <v>3671</v>
      </c>
      <c r="C1459" s="564" t="s">
        <v>353</v>
      </c>
      <c r="D1459" s="565">
        <v>44294</v>
      </c>
      <c r="E1459" s="565">
        <v>44314</v>
      </c>
      <c r="F1459" s="566">
        <v>59300000</v>
      </c>
      <c r="G1459" s="564" t="s">
        <v>1128</v>
      </c>
      <c r="H1459" s="564" t="s">
        <v>1128</v>
      </c>
      <c r="I1459" s="564" t="s">
        <v>45</v>
      </c>
      <c r="J1459" s="564" t="s">
        <v>1069</v>
      </c>
      <c r="K1459" s="564" t="s">
        <v>1090</v>
      </c>
      <c r="L1459" s="564" t="s">
        <v>2098</v>
      </c>
      <c r="M1459" s="564" t="s">
        <v>2098</v>
      </c>
      <c r="N1459" s="564" t="s">
        <v>45</v>
      </c>
      <c r="O1459" s="564" t="s">
        <v>2099</v>
      </c>
      <c r="P1459" s="23"/>
      <c r="Q1459" s="23"/>
      <c r="R1459" s="23"/>
      <c r="S1459" s="23"/>
      <c r="T1459" s="23"/>
      <c r="U1459" s="23"/>
      <c r="V1459" s="23"/>
      <c r="W1459" s="23"/>
      <c r="X1459" s="23"/>
      <c r="Y1459" s="23"/>
      <c r="Z1459" s="23"/>
    </row>
    <row r="1460" spans="1:26" ht="13">
      <c r="A1460" s="562" t="s">
        <v>4185</v>
      </c>
      <c r="B1460" s="563" t="s">
        <v>3673</v>
      </c>
      <c r="C1460" s="564" t="s">
        <v>353</v>
      </c>
      <c r="D1460" s="565">
        <v>44294</v>
      </c>
      <c r="E1460" s="565">
        <v>44314</v>
      </c>
      <c r="F1460" s="566">
        <v>41712000</v>
      </c>
      <c r="G1460" s="564" t="s">
        <v>1128</v>
      </c>
      <c r="H1460" s="564" t="s">
        <v>1128</v>
      </c>
      <c r="I1460" s="564" t="s">
        <v>45</v>
      </c>
      <c r="J1460" s="564" t="s">
        <v>1069</v>
      </c>
      <c r="K1460" s="564" t="s">
        <v>1090</v>
      </c>
      <c r="L1460" s="564" t="s">
        <v>2098</v>
      </c>
      <c r="M1460" s="564" t="s">
        <v>2098</v>
      </c>
      <c r="N1460" s="564" t="s">
        <v>45</v>
      </c>
      <c r="O1460" s="564" t="s">
        <v>2099</v>
      </c>
      <c r="P1460" s="23"/>
      <c r="Q1460" s="23"/>
      <c r="R1460" s="23"/>
      <c r="S1460" s="23"/>
      <c r="T1460" s="23"/>
      <c r="U1460" s="23"/>
      <c r="V1460" s="23"/>
      <c r="W1460" s="23"/>
      <c r="X1460" s="23"/>
      <c r="Y1460" s="23"/>
      <c r="Z1460" s="23"/>
    </row>
    <row r="1461" spans="1:26" ht="13">
      <c r="A1461" s="562" t="s">
        <v>4186</v>
      </c>
      <c r="B1461" s="563" t="s">
        <v>4187</v>
      </c>
      <c r="C1461" s="564" t="s">
        <v>1652</v>
      </c>
      <c r="D1461" s="565">
        <v>44305</v>
      </c>
      <c r="E1461" s="565">
        <v>44316</v>
      </c>
      <c r="F1461" s="566">
        <v>2992000</v>
      </c>
      <c r="G1461" s="564" t="s">
        <v>297</v>
      </c>
      <c r="H1461" s="564" t="s">
        <v>297</v>
      </c>
      <c r="I1461" s="564" t="s">
        <v>70</v>
      </c>
      <c r="J1461" s="564" t="s">
        <v>1069</v>
      </c>
      <c r="K1461" s="564" t="s">
        <v>1120</v>
      </c>
      <c r="L1461" s="564" t="s">
        <v>2098</v>
      </c>
      <c r="M1461" s="564" t="s">
        <v>2098</v>
      </c>
      <c r="N1461" s="564" t="s">
        <v>70</v>
      </c>
      <c r="O1461" s="564" t="s">
        <v>2099</v>
      </c>
      <c r="P1461" s="23"/>
      <c r="Q1461" s="23"/>
      <c r="R1461" s="23"/>
      <c r="S1461" s="23"/>
      <c r="T1461" s="23"/>
      <c r="U1461" s="23"/>
      <c r="V1461" s="23"/>
      <c r="W1461" s="23"/>
      <c r="X1461" s="23"/>
      <c r="Y1461" s="23"/>
      <c r="Z1461" s="23"/>
    </row>
    <row r="1462" spans="1:26" ht="13">
      <c r="A1462" s="562" t="s">
        <v>4188</v>
      </c>
      <c r="B1462" s="563" t="s">
        <v>4189</v>
      </c>
      <c r="C1462" s="564" t="s">
        <v>1076</v>
      </c>
      <c r="D1462" s="565">
        <v>44235</v>
      </c>
      <c r="E1462" s="565">
        <v>44316</v>
      </c>
      <c r="F1462" s="566">
        <v>542000</v>
      </c>
      <c r="G1462" s="564" t="s">
        <v>1077</v>
      </c>
      <c r="H1462" s="564" t="s">
        <v>1077</v>
      </c>
      <c r="I1462" s="564" t="s">
        <v>637</v>
      </c>
      <c r="J1462" s="564" t="s">
        <v>1069</v>
      </c>
      <c r="K1462" s="564" t="s">
        <v>1070</v>
      </c>
      <c r="L1462" s="564" t="s">
        <v>2098</v>
      </c>
      <c r="M1462" s="564" t="s">
        <v>2098</v>
      </c>
      <c r="N1462" s="564" t="s">
        <v>1082</v>
      </c>
      <c r="O1462" s="564" t="s">
        <v>2099</v>
      </c>
      <c r="P1462" s="23"/>
      <c r="Q1462" s="23"/>
      <c r="R1462" s="23"/>
      <c r="S1462" s="23"/>
      <c r="T1462" s="23"/>
      <c r="U1462" s="23"/>
      <c r="V1462" s="23"/>
      <c r="W1462" s="23"/>
      <c r="X1462" s="23"/>
      <c r="Y1462" s="23"/>
      <c r="Z1462" s="23"/>
    </row>
    <row r="1463" spans="1:26" ht="13">
      <c r="A1463" s="562" t="s">
        <v>4190</v>
      </c>
      <c r="B1463" s="563" t="s">
        <v>4191</v>
      </c>
      <c r="C1463" s="564" t="s">
        <v>1652</v>
      </c>
      <c r="D1463" s="565">
        <v>44300</v>
      </c>
      <c r="E1463" s="565">
        <v>44314</v>
      </c>
      <c r="F1463" s="566">
        <v>2250000</v>
      </c>
      <c r="G1463" s="564" t="s">
        <v>297</v>
      </c>
      <c r="H1463" s="564" t="s">
        <v>297</v>
      </c>
      <c r="I1463" s="564" t="s">
        <v>107</v>
      </c>
      <c r="J1463" s="564" t="s">
        <v>1069</v>
      </c>
      <c r="K1463" s="564" t="s">
        <v>1120</v>
      </c>
      <c r="L1463" s="564" t="s">
        <v>2098</v>
      </c>
      <c r="M1463" s="564" t="s">
        <v>2098</v>
      </c>
      <c r="N1463" s="564" t="s">
        <v>1073</v>
      </c>
      <c r="O1463" s="564" t="s">
        <v>2099</v>
      </c>
      <c r="P1463" s="23"/>
      <c r="Q1463" s="23"/>
      <c r="R1463" s="23"/>
      <c r="S1463" s="23"/>
      <c r="T1463" s="23"/>
      <c r="U1463" s="23"/>
      <c r="V1463" s="23"/>
      <c r="W1463" s="23"/>
      <c r="X1463" s="23"/>
      <c r="Y1463" s="23"/>
      <c r="Z1463" s="23"/>
    </row>
    <row r="1464" spans="1:26" ht="13">
      <c r="A1464" s="562" t="s">
        <v>4192</v>
      </c>
      <c r="B1464" s="563" t="s">
        <v>4193</v>
      </c>
      <c r="C1464" s="564" t="s">
        <v>1652</v>
      </c>
      <c r="D1464" s="565">
        <v>44295</v>
      </c>
      <c r="E1464" s="565">
        <v>44308</v>
      </c>
      <c r="F1464" s="566">
        <v>1408000</v>
      </c>
      <c r="G1464" s="564" t="s">
        <v>297</v>
      </c>
      <c r="H1464" s="564" t="s">
        <v>297</v>
      </c>
      <c r="I1464" s="564" t="s">
        <v>70</v>
      </c>
      <c r="J1464" s="564" t="s">
        <v>1069</v>
      </c>
      <c r="K1464" s="564" t="s">
        <v>1120</v>
      </c>
      <c r="L1464" s="564" t="s">
        <v>2098</v>
      </c>
      <c r="M1464" s="564" t="s">
        <v>2098</v>
      </c>
      <c r="N1464" s="564" t="s">
        <v>70</v>
      </c>
      <c r="O1464" s="564" t="s">
        <v>2099</v>
      </c>
      <c r="P1464" s="23"/>
      <c r="Q1464" s="23"/>
      <c r="R1464" s="23"/>
      <c r="S1464" s="23"/>
      <c r="T1464" s="23"/>
      <c r="U1464" s="23"/>
      <c r="V1464" s="23"/>
      <c r="W1464" s="23"/>
      <c r="X1464" s="23"/>
      <c r="Y1464" s="23"/>
      <c r="Z1464" s="23"/>
    </row>
    <row r="1465" spans="1:26" ht="13">
      <c r="A1465" s="562" t="s">
        <v>4194</v>
      </c>
      <c r="B1465" s="563" t="s">
        <v>4195</v>
      </c>
      <c r="C1465" s="564" t="s">
        <v>1652</v>
      </c>
      <c r="D1465" s="565">
        <v>44295</v>
      </c>
      <c r="E1465" s="565">
        <v>44308</v>
      </c>
      <c r="F1465" s="566">
        <v>4419000</v>
      </c>
      <c r="G1465" s="564" t="s">
        <v>297</v>
      </c>
      <c r="H1465" s="564" t="s">
        <v>297</v>
      </c>
      <c r="I1465" s="564" t="s">
        <v>70</v>
      </c>
      <c r="J1465" s="564" t="s">
        <v>1069</v>
      </c>
      <c r="K1465" s="564" t="s">
        <v>1120</v>
      </c>
      <c r="L1465" s="564" t="s">
        <v>2098</v>
      </c>
      <c r="M1465" s="564" t="s">
        <v>2098</v>
      </c>
      <c r="N1465" s="564" t="s">
        <v>70</v>
      </c>
      <c r="O1465" s="564" t="s">
        <v>2099</v>
      </c>
      <c r="P1465" s="23"/>
      <c r="Q1465" s="23"/>
      <c r="R1465" s="23"/>
      <c r="S1465" s="23"/>
      <c r="T1465" s="23"/>
      <c r="U1465" s="23"/>
      <c r="V1465" s="23"/>
      <c r="W1465" s="23"/>
      <c r="X1465" s="23"/>
      <c r="Y1465" s="23"/>
      <c r="Z1465" s="23"/>
    </row>
    <row r="1466" spans="1:26" ht="13">
      <c r="A1466" s="562" t="s">
        <v>4196</v>
      </c>
      <c r="B1466" s="563" t="s">
        <v>4197</v>
      </c>
      <c r="C1466" s="564" t="s">
        <v>1652</v>
      </c>
      <c r="D1466" s="565">
        <v>44294</v>
      </c>
      <c r="E1466" s="565">
        <v>44307</v>
      </c>
      <c r="F1466" s="566">
        <v>4380000</v>
      </c>
      <c r="G1466" s="564" t="s">
        <v>297</v>
      </c>
      <c r="H1466" s="564" t="s">
        <v>297</v>
      </c>
      <c r="I1466" s="564" t="s">
        <v>70</v>
      </c>
      <c r="J1466" s="564" t="s">
        <v>1069</v>
      </c>
      <c r="K1466" s="564" t="s">
        <v>1120</v>
      </c>
      <c r="L1466" s="564" t="s">
        <v>2098</v>
      </c>
      <c r="M1466" s="564" t="s">
        <v>2098</v>
      </c>
      <c r="N1466" s="564" t="s">
        <v>70</v>
      </c>
      <c r="O1466" s="564" t="s">
        <v>2099</v>
      </c>
      <c r="P1466" s="23"/>
      <c r="Q1466" s="23"/>
      <c r="R1466" s="23"/>
      <c r="S1466" s="23"/>
      <c r="T1466" s="23"/>
      <c r="U1466" s="23"/>
      <c r="V1466" s="23"/>
      <c r="W1466" s="23"/>
      <c r="X1466" s="23"/>
      <c r="Y1466" s="23"/>
      <c r="Z1466" s="23"/>
    </row>
    <row r="1467" spans="1:26" ht="13">
      <c r="A1467" s="562" t="s">
        <v>4198</v>
      </c>
      <c r="B1467" s="563" t="s">
        <v>4199</v>
      </c>
      <c r="C1467" s="564" t="s">
        <v>1652</v>
      </c>
      <c r="D1467" s="565">
        <v>44285</v>
      </c>
      <c r="E1467" s="565">
        <v>44316</v>
      </c>
      <c r="F1467" s="566">
        <v>1518182</v>
      </c>
      <c r="G1467" s="564" t="s">
        <v>1182</v>
      </c>
      <c r="H1467" s="564" t="s">
        <v>1182</v>
      </c>
      <c r="I1467" s="564" t="s">
        <v>802</v>
      </c>
      <c r="J1467" s="564" t="s">
        <v>1069</v>
      </c>
      <c r="K1467" s="564" t="s">
        <v>1198</v>
      </c>
      <c r="L1467" s="564" t="s">
        <v>2098</v>
      </c>
      <c r="M1467" s="564" t="s">
        <v>2098</v>
      </c>
      <c r="N1467" s="564" t="s">
        <v>132</v>
      </c>
      <c r="O1467" s="564" t="s">
        <v>2099</v>
      </c>
      <c r="P1467" s="23"/>
      <c r="Q1467" s="23"/>
      <c r="R1467" s="23"/>
      <c r="S1467" s="23"/>
      <c r="T1467" s="23"/>
      <c r="U1467" s="23"/>
      <c r="V1467" s="23"/>
      <c r="W1467" s="23"/>
      <c r="X1467" s="23"/>
      <c r="Y1467" s="23"/>
      <c r="Z1467" s="23"/>
    </row>
    <row r="1468" spans="1:26" ht="13">
      <c r="A1468" s="562" t="s">
        <v>4200</v>
      </c>
      <c r="B1468" s="563" t="s">
        <v>4201</v>
      </c>
      <c r="C1468" s="564" t="s">
        <v>1652</v>
      </c>
      <c r="D1468" s="565">
        <v>44285</v>
      </c>
      <c r="E1468" s="565">
        <v>44315</v>
      </c>
      <c r="F1468" s="566">
        <v>14818182</v>
      </c>
      <c r="G1468" s="564" t="s">
        <v>1182</v>
      </c>
      <c r="H1468" s="564" t="s">
        <v>1182</v>
      </c>
      <c r="I1468" s="564" t="s">
        <v>802</v>
      </c>
      <c r="J1468" s="564" t="s">
        <v>1069</v>
      </c>
      <c r="K1468" s="564" t="s">
        <v>1198</v>
      </c>
      <c r="L1468" s="564" t="s">
        <v>2098</v>
      </c>
      <c r="M1468" s="564" t="s">
        <v>2098</v>
      </c>
      <c r="N1468" s="564" t="s">
        <v>132</v>
      </c>
      <c r="O1468" s="564" t="s">
        <v>2099</v>
      </c>
      <c r="P1468" s="23"/>
      <c r="Q1468" s="23"/>
      <c r="R1468" s="23"/>
      <c r="S1468" s="23"/>
      <c r="T1468" s="23"/>
      <c r="U1468" s="23"/>
      <c r="V1468" s="23"/>
      <c r="W1468" s="23"/>
      <c r="X1468" s="23"/>
      <c r="Y1468" s="23"/>
      <c r="Z1468" s="23"/>
    </row>
    <row r="1469" spans="1:26" ht="13">
      <c r="A1469" s="562" t="s">
        <v>4202</v>
      </c>
      <c r="B1469" s="563" t="s">
        <v>4203</v>
      </c>
      <c r="C1469" s="564" t="s">
        <v>1652</v>
      </c>
      <c r="D1469" s="565">
        <v>44281</v>
      </c>
      <c r="E1469" s="565">
        <v>44298</v>
      </c>
      <c r="F1469" s="566">
        <v>15599091</v>
      </c>
      <c r="G1469" s="564" t="s">
        <v>1182</v>
      </c>
      <c r="H1469" s="564" t="s">
        <v>1182</v>
      </c>
      <c r="I1469" s="564" t="s">
        <v>802</v>
      </c>
      <c r="J1469" s="564" t="s">
        <v>1069</v>
      </c>
      <c r="K1469" s="564" t="s">
        <v>1198</v>
      </c>
      <c r="L1469" s="564" t="s">
        <v>2098</v>
      </c>
      <c r="M1469" s="564" t="s">
        <v>2098</v>
      </c>
      <c r="N1469" s="564" t="s">
        <v>132</v>
      </c>
      <c r="O1469" s="564" t="s">
        <v>2099</v>
      </c>
      <c r="P1469" s="23"/>
      <c r="Q1469" s="23"/>
      <c r="R1469" s="23"/>
      <c r="S1469" s="23"/>
      <c r="T1469" s="23"/>
      <c r="U1469" s="23"/>
      <c r="V1469" s="23"/>
      <c r="W1469" s="23"/>
      <c r="X1469" s="23"/>
      <c r="Y1469" s="23"/>
      <c r="Z1469" s="23"/>
    </row>
    <row r="1470" spans="1:26" ht="13">
      <c r="A1470" s="562" t="s">
        <v>4204</v>
      </c>
      <c r="B1470" s="563" t="s">
        <v>4205</v>
      </c>
      <c r="C1470" s="564" t="s">
        <v>1475</v>
      </c>
      <c r="D1470" s="565">
        <v>44288</v>
      </c>
      <c r="E1470" s="565">
        <v>44316</v>
      </c>
      <c r="F1470" s="566">
        <v>1960000</v>
      </c>
      <c r="G1470" s="564" t="s">
        <v>297</v>
      </c>
      <c r="H1470" s="564" t="s">
        <v>297</v>
      </c>
      <c r="I1470" s="564" t="s">
        <v>1781</v>
      </c>
      <c r="J1470" s="564" t="s">
        <v>1069</v>
      </c>
      <c r="K1470" s="564" t="s">
        <v>1070</v>
      </c>
      <c r="L1470" s="564" t="s">
        <v>2098</v>
      </c>
      <c r="M1470" s="564" t="s">
        <v>2098</v>
      </c>
      <c r="N1470" s="564" t="s">
        <v>1073</v>
      </c>
      <c r="O1470" s="564" t="s">
        <v>2099</v>
      </c>
      <c r="P1470" s="23"/>
      <c r="Q1470" s="23"/>
      <c r="R1470" s="23"/>
      <c r="S1470" s="23"/>
      <c r="T1470" s="23"/>
      <c r="U1470" s="23"/>
      <c r="V1470" s="23"/>
      <c r="W1470" s="23"/>
      <c r="X1470" s="23"/>
      <c r="Y1470" s="23"/>
      <c r="Z1470" s="23"/>
    </row>
    <row r="1471" spans="1:26" ht="13">
      <c r="A1471" s="562" t="s">
        <v>4206</v>
      </c>
      <c r="B1471" s="563" t="s">
        <v>4207</v>
      </c>
      <c r="C1471" s="564" t="s">
        <v>1652</v>
      </c>
      <c r="D1471" s="565">
        <v>44288</v>
      </c>
      <c r="E1471" s="565">
        <v>44302</v>
      </c>
      <c r="F1471" s="566">
        <v>264000</v>
      </c>
      <c r="G1471" s="564" t="s">
        <v>297</v>
      </c>
      <c r="H1471" s="564" t="s">
        <v>297</v>
      </c>
      <c r="I1471" s="564" t="s">
        <v>107</v>
      </c>
      <c r="J1471" s="564" t="s">
        <v>1069</v>
      </c>
      <c r="K1471" s="564" t="s">
        <v>1120</v>
      </c>
      <c r="L1471" s="564" t="s">
        <v>2098</v>
      </c>
      <c r="M1471" s="564" t="s">
        <v>2098</v>
      </c>
      <c r="N1471" s="564" t="s">
        <v>1073</v>
      </c>
      <c r="O1471" s="564" t="s">
        <v>2099</v>
      </c>
      <c r="P1471" s="23"/>
      <c r="Q1471" s="23"/>
      <c r="R1471" s="23"/>
      <c r="S1471" s="23"/>
      <c r="T1471" s="23"/>
      <c r="U1471" s="23"/>
      <c r="V1471" s="23"/>
      <c r="W1471" s="23"/>
      <c r="X1471" s="23"/>
      <c r="Y1471" s="23"/>
      <c r="Z1471" s="23"/>
    </row>
    <row r="1472" spans="1:26" ht="13">
      <c r="A1472" s="562" t="s">
        <v>4208</v>
      </c>
      <c r="B1472" s="563" t="s">
        <v>4209</v>
      </c>
      <c r="C1472" s="564" t="s">
        <v>1076</v>
      </c>
      <c r="D1472" s="565">
        <v>44286</v>
      </c>
      <c r="E1472" s="565">
        <v>44349</v>
      </c>
      <c r="F1472" s="566">
        <v>3990000</v>
      </c>
      <c r="G1472" s="564" t="s">
        <v>1077</v>
      </c>
      <c r="H1472" s="564" t="s">
        <v>1077</v>
      </c>
      <c r="I1472" s="564" t="s">
        <v>637</v>
      </c>
      <c r="J1472" s="564" t="s">
        <v>1069</v>
      </c>
      <c r="K1472" s="564" t="s">
        <v>1070</v>
      </c>
      <c r="L1472" s="564" t="s">
        <v>2098</v>
      </c>
      <c r="M1472" s="564" t="s">
        <v>2098</v>
      </c>
      <c r="N1472" s="564" t="s">
        <v>1082</v>
      </c>
      <c r="O1472" s="564" t="s">
        <v>2099</v>
      </c>
      <c r="P1472" s="23"/>
      <c r="Q1472" s="23"/>
      <c r="R1472" s="23"/>
      <c r="S1472" s="23"/>
      <c r="T1472" s="23"/>
      <c r="U1472" s="23"/>
      <c r="V1472" s="23"/>
      <c r="W1472" s="23"/>
      <c r="X1472" s="23"/>
      <c r="Y1472" s="23"/>
      <c r="Z1472" s="23"/>
    </row>
    <row r="1473" spans="1:26" ht="13">
      <c r="A1473" s="562" t="s">
        <v>4210</v>
      </c>
      <c r="B1473" s="563" t="s">
        <v>4211</v>
      </c>
      <c r="C1473" s="564" t="s">
        <v>1076</v>
      </c>
      <c r="D1473" s="565">
        <v>44284</v>
      </c>
      <c r="E1473" s="565">
        <v>44316</v>
      </c>
      <c r="F1473" s="566">
        <v>12200000</v>
      </c>
      <c r="G1473" s="564" t="s">
        <v>1123</v>
      </c>
      <c r="H1473" s="564" t="s">
        <v>1123</v>
      </c>
      <c r="I1473" s="564" t="s">
        <v>1771</v>
      </c>
      <c r="J1473" s="564" t="s">
        <v>1069</v>
      </c>
      <c r="K1473" s="564" t="s">
        <v>1070</v>
      </c>
      <c r="L1473" s="564" t="s">
        <v>2098</v>
      </c>
      <c r="M1473" s="564" t="s">
        <v>2098</v>
      </c>
      <c r="N1473" s="564" t="s">
        <v>1082</v>
      </c>
      <c r="O1473" s="564" t="s">
        <v>2099</v>
      </c>
      <c r="P1473" s="23"/>
      <c r="Q1473" s="23"/>
      <c r="R1473" s="23"/>
      <c r="S1473" s="23"/>
      <c r="T1473" s="23"/>
      <c r="U1473" s="23"/>
      <c r="V1473" s="23"/>
      <c r="W1473" s="23"/>
      <c r="X1473" s="23"/>
      <c r="Y1473" s="23"/>
      <c r="Z1473" s="23"/>
    </row>
    <row r="1474" spans="1:26" ht="13">
      <c r="A1474" s="562" t="s">
        <v>4212</v>
      </c>
      <c r="B1474" s="563" t="s">
        <v>4213</v>
      </c>
      <c r="C1474" s="564" t="s">
        <v>1076</v>
      </c>
      <c r="D1474" s="565">
        <v>44286</v>
      </c>
      <c r="E1474" s="565">
        <v>44344</v>
      </c>
      <c r="F1474" s="566">
        <v>1987000</v>
      </c>
      <c r="G1474" s="564" t="s">
        <v>1077</v>
      </c>
      <c r="H1474" s="564" t="s">
        <v>1077</v>
      </c>
      <c r="I1474" s="564" t="s">
        <v>637</v>
      </c>
      <c r="J1474" s="564" t="s">
        <v>1069</v>
      </c>
      <c r="K1474" s="564" t="s">
        <v>1070</v>
      </c>
      <c r="L1474" s="564" t="s">
        <v>2098</v>
      </c>
      <c r="M1474" s="564" t="s">
        <v>2098</v>
      </c>
      <c r="N1474" s="564" t="s">
        <v>1082</v>
      </c>
      <c r="O1474" s="564" t="s">
        <v>2099</v>
      </c>
      <c r="P1474" s="23"/>
      <c r="Q1474" s="23"/>
      <c r="R1474" s="23"/>
      <c r="S1474" s="23"/>
      <c r="T1474" s="23"/>
      <c r="U1474" s="23"/>
      <c r="V1474" s="23"/>
      <c r="W1474" s="23"/>
      <c r="X1474" s="23"/>
      <c r="Y1474" s="23"/>
      <c r="Z1474" s="23"/>
    </row>
    <row r="1475" spans="1:26" ht="13">
      <c r="A1475" s="562" t="s">
        <v>4214</v>
      </c>
      <c r="B1475" s="563" t="s">
        <v>4215</v>
      </c>
      <c r="C1475" s="564" t="s">
        <v>1652</v>
      </c>
      <c r="D1475" s="565">
        <v>44285</v>
      </c>
      <c r="E1475" s="565">
        <v>44295</v>
      </c>
      <c r="F1475" s="566">
        <v>1408000</v>
      </c>
      <c r="G1475" s="564" t="s">
        <v>297</v>
      </c>
      <c r="H1475" s="564" t="s">
        <v>297</v>
      </c>
      <c r="I1475" s="564" t="s">
        <v>70</v>
      </c>
      <c r="J1475" s="564" t="s">
        <v>1069</v>
      </c>
      <c r="K1475" s="564" t="s">
        <v>1120</v>
      </c>
      <c r="L1475" s="564" t="s">
        <v>2098</v>
      </c>
      <c r="M1475" s="564" t="s">
        <v>2098</v>
      </c>
      <c r="N1475" s="564" t="s">
        <v>70</v>
      </c>
      <c r="O1475" s="564" t="s">
        <v>2099</v>
      </c>
      <c r="P1475" s="23"/>
      <c r="Q1475" s="23"/>
      <c r="R1475" s="23"/>
      <c r="S1475" s="23"/>
      <c r="T1475" s="23"/>
      <c r="U1475" s="23"/>
      <c r="V1475" s="23"/>
      <c r="W1475" s="23"/>
      <c r="X1475" s="23"/>
      <c r="Y1475" s="23"/>
      <c r="Z1475" s="23"/>
    </row>
    <row r="1476" spans="1:26" ht="13">
      <c r="A1476" s="562" t="s">
        <v>4216</v>
      </c>
      <c r="B1476" s="563" t="s">
        <v>3708</v>
      </c>
      <c r="C1476" s="564" t="s">
        <v>353</v>
      </c>
      <c r="D1476" s="565">
        <v>44280</v>
      </c>
      <c r="E1476" s="565">
        <v>44301</v>
      </c>
      <c r="F1476" s="566">
        <v>23110000</v>
      </c>
      <c r="G1476" s="564" t="s">
        <v>1128</v>
      </c>
      <c r="H1476" s="564" t="s">
        <v>1128</v>
      </c>
      <c r="I1476" s="564" t="s">
        <v>45</v>
      </c>
      <c r="J1476" s="564" t="s">
        <v>1069</v>
      </c>
      <c r="K1476" s="564" t="s">
        <v>1090</v>
      </c>
      <c r="L1476" s="564" t="s">
        <v>2098</v>
      </c>
      <c r="M1476" s="564" t="s">
        <v>2098</v>
      </c>
      <c r="N1476" s="564" t="s">
        <v>45</v>
      </c>
      <c r="O1476" s="564" t="s">
        <v>2099</v>
      </c>
      <c r="P1476" s="23"/>
      <c r="Q1476" s="23"/>
      <c r="R1476" s="23"/>
      <c r="S1476" s="23"/>
      <c r="T1476" s="23"/>
      <c r="U1476" s="23"/>
      <c r="V1476" s="23"/>
      <c r="W1476" s="23"/>
      <c r="X1476" s="23"/>
      <c r="Y1476" s="23"/>
      <c r="Z1476" s="23"/>
    </row>
    <row r="1477" spans="1:26" ht="13">
      <c r="A1477" s="562" t="s">
        <v>4217</v>
      </c>
      <c r="B1477" s="563" t="s">
        <v>3702</v>
      </c>
      <c r="C1477" s="564" t="s">
        <v>353</v>
      </c>
      <c r="D1477" s="565">
        <v>44280</v>
      </c>
      <c r="E1477" s="565">
        <v>44301</v>
      </c>
      <c r="F1477" s="566">
        <v>73520000</v>
      </c>
      <c r="G1477" s="564" t="s">
        <v>1128</v>
      </c>
      <c r="H1477" s="564" t="s">
        <v>1128</v>
      </c>
      <c r="I1477" s="564" t="s">
        <v>45</v>
      </c>
      <c r="J1477" s="564" t="s">
        <v>1069</v>
      </c>
      <c r="K1477" s="564" t="s">
        <v>1090</v>
      </c>
      <c r="L1477" s="564" t="s">
        <v>2098</v>
      </c>
      <c r="M1477" s="564" t="s">
        <v>2098</v>
      </c>
      <c r="N1477" s="564" t="s">
        <v>45</v>
      </c>
      <c r="O1477" s="564" t="s">
        <v>2099</v>
      </c>
      <c r="P1477" s="23"/>
      <c r="Q1477" s="23"/>
      <c r="R1477" s="23"/>
      <c r="S1477" s="23"/>
      <c r="T1477" s="23"/>
      <c r="U1477" s="23"/>
      <c r="V1477" s="23"/>
      <c r="W1477" s="23"/>
      <c r="X1477" s="23"/>
      <c r="Y1477" s="23"/>
      <c r="Z1477" s="23"/>
    </row>
    <row r="1478" spans="1:26" ht="13">
      <c r="A1478" s="562" t="s">
        <v>4218</v>
      </c>
      <c r="B1478" s="563" t="s">
        <v>3706</v>
      </c>
      <c r="C1478" s="564" t="s">
        <v>353</v>
      </c>
      <c r="D1478" s="565">
        <v>44280</v>
      </c>
      <c r="E1478" s="565">
        <v>44286</v>
      </c>
      <c r="F1478" s="566">
        <v>102930000</v>
      </c>
      <c r="G1478" s="564" t="s">
        <v>1128</v>
      </c>
      <c r="H1478" s="564" t="s">
        <v>1128</v>
      </c>
      <c r="I1478" s="564" t="s">
        <v>45</v>
      </c>
      <c r="J1478" s="564" t="s">
        <v>1069</v>
      </c>
      <c r="K1478" s="564" t="s">
        <v>1090</v>
      </c>
      <c r="L1478" s="564" t="s">
        <v>2098</v>
      </c>
      <c r="M1478" s="564" t="s">
        <v>2098</v>
      </c>
      <c r="N1478" s="564" t="s">
        <v>45</v>
      </c>
      <c r="O1478" s="564" t="s">
        <v>2099</v>
      </c>
      <c r="P1478" s="23"/>
      <c r="Q1478" s="23"/>
      <c r="R1478" s="23"/>
      <c r="S1478" s="23"/>
      <c r="T1478" s="23"/>
      <c r="U1478" s="23"/>
      <c r="V1478" s="23"/>
      <c r="W1478" s="23"/>
      <c r="X1478" s="23"/>
      <c r="Y1478" s="23"/>
      <c r="Z1478" s="23"/>
    </row>
    <row r="1479" spans="1:26" ht="13">
      <c r="A1479" s="562" t="s">
        <v>4219</v>
      </c>
      <c r="B1479" s="563" t="s">
        <v>3704</v>
      </c>
      <c r="C1479" s="564" t="s">
        <v>353</v>
      </c>
      <c r="D1479" s="565">
        <v>44280</v>
      </c>
      <c r="E1479" s="565">
        <v>44301</v>
      </c>
      <c r="F1479" s="566">
        <v>6640000</v>
      </c>
      <c r="G1479" s="564" t="s">
        <v>1128</v>
      </c>
      <c r="H1479" s="564" t="s">
        <v>1128</v>
      </c>
      <c r="I1479" s="564" t="s">
        <v>45</v>
      </c>
      <c r="J1479" s="564" t="s">
        <v>1069</v>
      </c>
      <c r="K1479" s="564" t="s">
        <v>1090</v>
      </c>
      <c r="L1479" s="564" t="s">
        <v>2098</v>
      </c>
      <c r="M1479" s="564" t="s">
        <v>2098</v>
      </c>
      <c r="N1479" s="564" t="s">
        <v>45</v>
      </c>
      <c r="O1479" s="564" t="s">
        <v>2099</v>
      </c>
      <c r="P1479" s="23"/>
      <c r="Q1479" s="23"/>
      <c r="R1479" s="23"/>
      <c r="S1479" s="23"/>
      <c r="T1479" s="23"/>
      <c r="U1479" s="23"/>
      <c r="V1479" s="23"/>
      <c r="W1479" s="23"/>
      <c r="X1479" s="23"/>
      <c r="Y1479" s="23"/>
      <c r="Z1479" s="23"/>
    </row>
    <row r="1480" spans="1:26" ht="13">
      <c r="A1480" s="562" t="s">
        <v>4220</v>
      </c>
      <c r="B1480" s="563" t="s">
        <v>2824</v>
      </c>
      <c r="C1480" s="564" t="s">
        <v>353</v>
      </c>
      <c r="D1480" s="565">
        <v>44279</v>
      </c>
      <c r="E1480" s="565">
        <v>44301</v>
      </c>
      <c r="F1480" s="566">
        <v>1200000</v>
      </c>
      <c r="G1480" s="564" t="s">
        <v>1128</v>
      </c>
      <c r="H1480" s="564" t="s">
        <v>1128</v>
      </c>
      <c r="I1480" s="564" t="s">
        <v>45</v>
      </c>
      <c r="J1480" s="564" t="s">
        <v>1069</v>
      </c>
      <c r="K1480" s="564" t="s">
        <v>1090</v>
      </c>
      <c r="L1480" s="564" t="s">
        <v>2098</v>
      </c>
      <c r="M1480" s="564" t="s">
        <v>2098</v>
      </c>
      <c r="N1480" s="564" t="s">
        <v>45</v>
      </c>
      <c r="O1480" s="564" t="s">
        <v>2099</v>
      </c>
      <c r="P1480" s="23"/>
      <c r="Q1480" s="23"/>
      <c r="R1480" s="23"/>
      <c r="S1480" s="23"/>
      <c r="T1480" s="23"/>
      <c r="U1480" s="23"/>
      <c r="V1480" s="23"/>
      <c r="W1480" s="23"/>
      <c r="X1480" s="23"/>
      <c r="Y1480" s="23"/>
      <c r="Z1480" s="23"/>
    </row>
    <row r="1481" spans="1:26" ht="13">
      <c r="A1481" s="562" t="s">
        <v>4221</v>
      </c>
      <c r="B1481" s="563" t="s">
        <v>4222</v>
      </c>
      <c r="C1481" s="564" t="s">
        <v>1076</v>
      </c>
      <c r="D1481" s="565">
        <v>44272</v>
      </c>
      <c r="E1481" s="565">
        <v>44333</v>
      </c>
      <c r="F1481" s="566">
        <v>2192000</v>
      </c>
      <c r="G1481" s="564" t="s">
        <v>1077</v>
      </c>
      <c r="H1481" s="564" t="s">
        <v>1077</v>
      </c>
      <c r="I1481" s="564" t="s">
        <v>637</v>
      </c>
      <c r="J1481" s="564" t="s">
        <v>1069</v>
      </c>
      <c r="K1481" s="564" t="s">
        <v>1070</v>
      </c>
      <c r="L1481" s="564" t="s">
        <v>2098</v>
      </c>
      <c r="M1481" s="564" t="s">
        <v>2098</v>
      </c>
      <c r="N1481" s="564" t="s">
        <v>1082</v>
      </c>
      <c r="O1481" s="564" t="s">
        <v>2099</v>
      </c>
      <c r="P1481" s="23"/>
      <c r="Q1481" s="23"/>
      <c r="R1481" s="23"/>
      <c r="S1481" s="23"/>
      <c r="T1481" s="23"/>
      <c r="U1481" s="23"/>
      <c r="V1481" s="23"/>
      <c r="W1481" s="23"/>
      <c r="X1481" s="23"/>
      <c r="Y1481" s="23"/>
      <c r="Z1481" s="23"/>
    </row>
    <row r="1482" spans="1:26" ht="13">
      <c r="A1482" s="562" t="s">
        <v>4223</v>
      </c>
      <c r="B1482" s="563" t="s">
        <v>4224</v>
      </c>
      <c r="C1482" s="564" t="s">
        <v>1076</v>
      </c>
      <c r="D1482" s="565">
        <v>44272</v>
      </c>
      <c r="E1482" s="565">
        <v>44333</v>
      </c>
      <c r="F1482" s="566">
        <v>795000</v>
      </c>
      <c r="G1482" s="564" t="s">
        <v>1077</v>
      </c>
      <c r="H1482" s="564" t="s">
        <v>1077</v>
      </c>
      <c r="I1482" s="564" t="s">
        <v>637</v>
      </c>
      <c r="J1482" s="564" t="s">
        <v>1069</v>
      </c>
      <c r="K1482" s="564" t="s">
        <v>1070</v>
      </c>
      <c r="L1482" s="564" t="s">
        <v>2098</v>
      </c>
      <c r="M1482" s="564" t="s">
        <v>2098</v>
      </c>
      <c r="N1482" s="564" t="s">
        <v>1082</v>
      </c>
      <c r="O1482" s="564" t="s">
        <v>2099</v>
      </c>
      <c r="P1482" s="23"/>
      <c r="Q1482" s="23"/>
      <c r="R1482" s="23"/>
      <c r="S1482" s="23"/>
      <c r="T1482" s="23"/>
      <c r="U1482" s="23"/>
      <c r="V1482" s="23"/>
      <c r="W1482" s="23"/>
      <c r="X1482" s="23"/>
      <c r="Y1482" s="23"/>
      <c r="Z1482" s="23"/>
    </row>
    <row r="1483" spans="1:26" ht="13">
      <c r="A1483" s="562" t="s">
        <v>4225</v>
      </c>
      <c r="B1483" s="563" t="s">
        <v>4226</v>
      </c>
      <c r="C1483" s="564" t="s">
        <v>1652</v>
      </c>
      <c r="D1483" s="565">
        <v>44272</v>
      </c>
      <c r="E1483" s="565">
        <v>44281</v>
      </c>
      <c r="F1483" s="566">
        <v>2640000</v>
      </c>
      <c r="G1483" s="564" t="s">
        <v>297</v>
      </c>
      <c r="H1483" s="564" t="s">
        <v>297</v>
      </c>
      <c r="I1483" s="564" t="s">
        <v>70</v>
      </c>
      <c r="J1483" s="564" t="s">
        <v>1069</v>
      </c>
      <c r="K1483" s="564" t="s">
        <v>1120</v>
      </c>
      <c r="L1483" s="564" t="s">
        <v>2098</v>
      </c>
      <c r="M1483" s="564" t="s">
        <v>2098</v>
      </c>
      <c r="N1483" s="564" t="s">
        <v>70</v>
      </c>
      <c r="O1483" s="564" t="s">
        <v>2099</v>
      </c>
      <c r="P1483" s="23"/>
      <c r="Q1483" s="23"/>
      <c r="R1483" s="23"/>
      <c r="S1483" s="23"/>
      <c r="T1483" s="23"/>
      <c r="U1483" s="23"/>
      <c r="V1483" s="23"/>
      <c r="W1483" s="23"/>
      <c r="X1483" s="23"/>
      <c r="Y1483" s="23"/>
      <c r="Z1483" s="23"/>
    </row>
    <row r="1484" spans="1:26" ht="13">
      <c r="A1484" s="562" t="s">
        <v>4227</v>
      </c>
      <c r="B1484" s="563" t="s">
        <v>4228</v>
      </c>
      <c r="C1484" s="564" t="s">
        <v>1652</v>
      </c>
      <c r="D1484" s="565">
        <v>44271</v>
      </c>
      <c r="E1484" s="565">
        <v>44316</v>
      </c>
      <c r="F1484" s="566">
        <v>1308000</v>
      </c>
      <c r="G1484" s="564" t="s">
        <v>297</v>
      </c>
      <c r="H1484" s="564" t="s">
        <v>297</v>
      </c>
      <c r="I1484" s="564" t="s">
        <v>1281</v>
      </c>
      <c r="J1484" s="564" t="s">
        <v>1069</v>
      </c>
      <c r="K1484" s="564" t="s">
        <v>1120</v>
      </c>
      <c r="L1484" s="564" t="s">
        <v>2098</v>
      </c>
      <c r="M1484" s="564" t="s">
        <v>2098</v>
      </c>
      <c r="N1484" s="564" t="s">
        <v>1073</v>
      </c>
      <c r="O1484" s="564" t="s">
        <v>2099</v>
      </c>
      <c r="P1484" s="23"/>
      <c r="Q1484" s="23"/>
      <c r="R1484" s="23"/>
      <c r="S1484" s="23"/>
      <c r="T1484" s="23"/>
      <c r="U1484" s="23"/>
      <c r="V1484" s="23"/>
      <c r="W1484" s="23"/>
      <c r="X1484" s="23"/>
      <c r="Y1484" s="23"/>
      <c r="Z1484" s="23"/>
    </row>
    <row r="1485" spans="1:26" ht="13">
      <c r="A1485" s="562" t="s">
        <v>4229</v>
      </c>
      <c r="B1485" s="563" t="s">
        <v>4230</v>
      </c>
      <c r="C1485" s="564" t="s">
        <v>353</v>
      </c>
      <c r="D1485" s="565">
        <v>44271</v>
      </c>
      <c r="E1485" s="565">
        <v>44279</v>
      </c>
      <c r="F1485" s="566">
        <v>967500</v>
      </c>
      <c r="G1485" s="564" t="s">
        <v>297</v>
      </c>
      <c r="H1485" s="564" t="s">
        <v>297</v>
      </c>
      <c r="I1485" s="564" t="s">
        <v>45</v>
      </c>
      <c r="J1485" s="564" t="s">
        <v>1069</v>
      </c>
      <c r="K1485" s="564" t="s">
        <v>1090</v>
      </c>
      <c r="L1485" s="564" t="s">
        <v>2098</v>
      </c>
      <c r="M1485" s="564" t="s">
        <v>2098</v>
      </c>
      <c r="N1485" s="564" t="s">
        <v>45</v>
      </c>
      <c r="O1485" s="564" t="s">
        <v>2099</v>
      </c>
      <c r="P1485" s="23"/>
      <c r="Q1485" s="23"/>
      <c r="R1485" s="23"/>
      <c r="S1485" s="23"/>
      <c r="T1485" s="23"/>
      <c r="U1485" s="23"/>
      <c r="V1485" s="23"/>
      <c r="W1485" s="23"/>
      <c r="X1485" s="23"/>
      <c r="Y1485" s="23"/>
      <c r="Z1485" s="23"/>
    </row>
    <row r="1486" spans="1:26" ht="13">
      <c r="A1486" s="562" t="s">
        <v>4231</v>
      </c>
      <c r="B1486" s="563" t="s">
        <v>4232</v>
      </c>
      <c r="C1486" s="564" t="s">
        <v>353</v>
      </c>
      <c r="D1486" s="565">
        <v>44270</v>
      </c>
      <c r="E1486" s="565">
        <v>44293</v>
      </c>
      <c r="F1486" s="566">
        <v>1378000</v>
      </c>
      <c r="G1486" s="564" t="s">
        <v>297</v>
      </c>
      <c r="H1486" s="564" t="s">
        <v>297</v>
      </c>
      <c r="I1486" s="564" t="s">
        <v>225</v>
      </c>
      <c r="J1486" s="564" t="s">
        <v>1069</v>
      </c>
      <c r="K1486" s="564" t="s">
        <v>1105</v>
      </c>
      <c r="L1486" s="564" t="s">
        <v>2098</v>
      </c>
      <c r="M1486" s="564" t="s">
        <v>2098</v>
      </c>
      <c r="N1486" s="564" t="s">
        <v>225</v>
      </c>
      <c r="O1486" s="564" t="s">
        <v>2099</v>
      </c>
      <c r="P1486" s="23"/>
      <c r="Q1486" s="23"/>
      <c r="R1486" s="23"/>
      <c r="S1486" s="23"/>
      <c r="T1486" s="23"/>
      <c r="U1486" s="23"/>
      <c r="V1486" s="23"/>
      <c r="W1486" s="23"/>
      <c r="X1486" s="23"/>
      <c r="Y1486" s="23"/>
      <c r="Z1486" s="23"/>
    </row>
    <row r="1487" spans="1:26" ht="13">
      <c r="A1487" s="562" t="s">
        <v>4233</v>
      </c>
      <c r="B1487" s="563" t="s">
        <v>4234</v>
      </c>
      <c r="C1487" s="564" t="s">
        <v>1076</v>
      </c>
      <c r="D1487" s="565">
        <v>44265</v>
      </c>
      <c r="E1487" s="565">
        <v>44326</v>
      </c>
      <c r="F1487" s="566">
        <v>4472000</v>
      </c>
      <c r="G1487" s="564" t="s">
        <v>1077</v>
      </c>
      <c r="H1487" s="564" t="s">
        <v>1077</v>
      </c>
      <c r="I1487" s="564" t="s">
        <v>637</v>
      </c>
      <c r="J1487" s="564" t="s">
        <v>1069</v>
      </c>
      <c r="K1487" s="564" t="s">
        <v>1070</v>
      </c>
      <c r="L1487" s="564" t="s">
        <v>2098</v>
      </c>
      <c r="M1487" s="564" t="s">
        <v>2098</v>
      </c>
      <c r="N1487" s="564" t="s">
        <v>1082</v>
      </c>
      <c r="O1487" s="564" t="s">
        <v>2099</v>
      </c>
      <c r="P1487" s="23"/>
      <c r="Q1487" s="23"/>
      <c r="R1487" s="23"/>
      <c r="S1487" s="23"/>
      <c r="T1487" s="23"/>
      <c r="U1487" s="23"/>
      <c r="V1487" s="23"/>
      <c r="W1487" s="23"/>
      <c r="X1487" s="23"/>
      <c r="Y1487" s="23"/>
      <c r="Z1487" s="23"/>
    </row>
    <row r="1488" spans="1:26" ht="13">
      <c r="A1488" s="562" t="s">
        <v>4235</v>
      </c>
      <c r="B1488" s="563" t="s">
        <v>4236</v>
      </c>
      <c r="C1488" s="564" t="s">
        <v>1076</v>
      </c>
      <c r="D1488" s="565">
        <v>44265</v>
      </c>
      <c r="E1488" s="565">
        <v>44326</v>
      </c>
      <c r="F1488" s="566">
        <v>141000</v>
      </c>
      <c r="G1488" s="564" t="s">
        <v>1077</v>
      </c>
      <c r="H1488" s="564" t="s">
        <v>1077</v>
      </c>
      <c r="I1488" s="564" t="s">
        <v>637</v>
      </c>
      <c r="J1488" s="564" t="s">
        <v>1069</v>
      </c>
      <c r="K1488" s="564" t="s">
        <v>1070</v>
      </c>
      <c r="L1488" s="564" t="s">
        <v>2098</v>
      </c>
      <c r="M1488" s="564" t="s">
        <v>2098</v>
      </c>
      <c r="N1488" s="564" t="s">
        <v>1082</v>
      </c>
      <c r="O1488" s="564" t="s">
        <v>2099</v>
      </c>
      <c r="P1488" s="23"/>
      <c r="Q1488" s="23"/>
      <c r="R1488" s="23"/>
      <c r="S1488" s="23"/>
      <c r="T1488" s="23"/>
      <c r="U1488" s="23"/>
      <c r="V1488" s="23"/>
      <c r="W1488" s="23"/>
      <c r="X1488" s="23"/>
      <c r="Y1488" s="23"/>
      <c r="Z1488" s="23"/>
    </row>
    <row r="1489" spans="1:26" ht="13">
      <c r="A1489" s="562" t="s">
        <v>4237</v>
      </c>
      <c r="B1489" s="563" t="s">
        <v>4238</v>
      </c>
      <c r="C1489" s="564" t="s">
        <v>1652</v>
      </c>
      <c r="D1489" s="565">
        <v>44265</v>
      </c>
      <c r="E1489" s="565">
        <v>44274</v>
      </c>
      <c r="F1489" s="566">
        <v>1408000</v>
      </c>
      <c r="G1489" s="564" t="s">
        <v>297</v>
      </c>
      <c r="H1489" s="564" t="s">
        <v>297</v>
      </c>
      <c r="I1489" s="564" t="s">
        <v>70</v>
      </c>
      <c r="J1489" s="564" t="s">
        <v>1069</v>
      </c>
      <c r="K1489" s="564" t="s">
        <v>1120</v>
      </c>
      <c r="L1489" s="564" t="s">
        <v>2098</v>
      </c>
      <c r="M1489" s="564" t="s">
        <v>2098</v>
      </c>
      <c r="N1489" s="564" t="s">
        <v>70</v>
      </c>
      <c r="O1489" s="564" t="s">
        <v>2099</v>
      </c>
      <c r="P1489" s="23"/>
      <c r="Q1489" s="23"/>
      <c r="R1489" s="23"/>
      <c r="S1489" s="23"/>
      <c r="T1489" s="23"/>
      <c r="U1489" s="23"/>
      <c r="V1489" s="23"/>
      <c r="W1489" s="23"/>
      <c r="X1489" s="23"/>
      <c r="Y1489" s="23"/>
      <c r="Z1489" s="23"/>
    </row>
    <row r="1490" spans="1:26" ht="13">
      <c r="A1490" s="562" t="s">
        <v>4239</v>
      </c>
      <c r="B1490" s="563" t="s">
        <v>4240</v>
      </c>
      <c r="C1490" s="564" t="s">
        <v>1652</v>
      </c>
      <c r="D1490" s="565">
        <v>44263</v>
      </c>
      <c r="E1490" s="565">
        <v>44273</v>
      </c>
      <c r="F1490" s="566">
        <v>1320000</v>
      </c>
      <c r="G1490" s="564" t="s">
        <v>297</v>
      </c>
      <c r="H1490" s="564" t="s">
        <v>297</v>
      </c>
      <c r="I1490" s="564" t="s">
        <v>70</v>
      </c>
      <c r="J1490" s="564" t="s">
        <v>1069</v>
      </c>
      <c r="K1490" s="564" t="s">
        <v>1120</v>
      </c>
      <c r="L1490" s="564" t="s">
        <v>2098</v>
      </c>
      <c r="M1490" s="564" t="s">
        <v>2098</v>
      </c>
      <c r="N1490" s="564" t="s">
        <v>70</v>
      </c>
      <c r="O1490" s="564" t="s">
        <v>2099</v>
      </c>
      <c r="P1490" s="23"/>
      <c r="Q1490" s="23"/>
      <c r="R1490" s="23"/>
      <c r="S1490" s="23"/>
      <c r="T1490" s="23"/>
      <c r="U1490" s="23"/>
      <c r="V1490" s="23"/>
      <c r="W1490" s="23"/>
      <c r="X1490" s="23"/>
      <c r="Y1490" s="23"/>
      <c r="Z1490" s="23"/>
    </row>
    <row r="1491" spans="1:26" ht="13">
      <c r="A1491" s="562" t="s">
        <v>4241</v>
      </c>
      <c r="B1491" s="563" t="s">
        <v>4242</v>
      </c>
      <c r="C1491" s="564" t="s">
        <v>1652</v>
      </c>
      <c r="D1491" s="565">
        <v>44263</v>
      </c>
      <c r="E1491" s="565">
        <v>44274</v>
      </c>
      <c r="F1491" s="566">
        <v>955000</v>
      </c>
      <c r="G1491" s="564" t="s">
        <v>297</v>
      </c>
      <c r="H1491" s="564" t="s">
        <v>297</v>
      </c>
      <c r="I1491" s="564" t="s">
        <v>107</v>
      </c>
      <c r="J1491" s="564" t="s">
        <v>1069</v>
      </c>
      <c r="K1491" s="564" t="s">
        <v>1120</v>
      </c>
      <c r="L1491" s="564" t="s">
        <v>2098</v>
      </c>
      <c r="M1491" s="564" t="s">
        <v>2098</v>
      </c>
      <c r="N1491" s="564" t="s">
        <v>1073</v>
      </c>
      <c r="O1491" s="564" t="s">
        <v>2099</v>
      </c>
      <c r="P1491" s="23"/>
      <c r="Q1491" s="23"/>
      <c r="R1491" s="23"/>
      <c r="S1491" s="23"/>
      <c r="T1491" s="23"/>
      <c r="U1491" s="23"/>
      <c r="V1491" s="23"/>
      <c r="W1491" s="23"/>
      <c r="X1491" s="23"/>
      <c r="Y1491" s="23"/>
      <c r="Z1491" s="23"/>
    </row>
    <row r="1492" spans="1:26" ht="13">
      <c r="A1492" s="562" t="s">
        <v>4243</v>
      </c>
      <c r="B1492" s="563" t="s">
        <v>4244</v>
      </c>
      <c r="C1492" s="564" t="s">
        <v>1652</v>
      </c>
      <c r="D1492" s="565">
        <v>44258</v>
      </c>
      <c r="E1492" s="565">
        <v>44265</v>
      </c>
      <c r="F1492" s="566">
        <v>170000</v>
      </c>
      <c r="G1492" s="564" t="s">
        <v>297</v>
      </c>
      <c r="H1492" s="564" t="s">
        <v>297</v>
      </c>
      <c r="I1492" s="564" t="s">
        <v>70</v>
      </c>
      <c r="J1492" s="564" t="s">
        <v>1069</v>
      </c>
      <c r="K1492" s="564" t="s">
        <v>1120</v>
      </c>
      <c r="L1492" s="564" t="s">
        <v>2098</v>
      </c>
      <c r="M1492" s="564" t="s">
        <v>2098</v>
      </c>
      <c r="N1492" s="564" t="s">
        <v>70</v>
      </c>
      <c r="O1492" s="564" t="s">
        <v>2099</v>
      </c>
      <c r="P1492" s="23"/>
      <c r="Q1492" s="23"/>
      <c r="R1492" s="23"/>
      <c r="S1492" s="23"/>
      <c r="T1492" s="23"/>
      <c r="U1492" s="23"/>
      <c r="V1492" s="23"/>
      <c r="W1492" s="23"/>
      <c r="X1492" s="23"/>
      <c r="Y1492" s="23"/>
      <c r="Z1492" s="23"/>
    </row>
    <row r="1493" spans="1:26" ht="13">
      <c r="A1493" s="562" t="s">
        <v>4245</v>
      </c>
      <c r="B1493" s="563" t="s">
        <v>4246</v>
      </c>
      <c r="C1493" s="564" t="s">
        <v>1652</v>
      </c>
      <c r="D1493" s="565">
        <v>44258</v>
      </c>
      <c r="E1493" s="565">
        <v>44265</v>
      </c>
      <c r="F1493" s="566">
        <v>3129000</v>
      </c>
      <c r="G1493" s="564" t="s">
        <v>297</v>
      </c>
      <c r="H1493" s="564" t="s">
        <v>297</v>
      </c>
      <c r="I1493" s="564" t="s">
        <v>70</v>
      </c>
      <c r="J1493" s="564" t="s">
        <v>1069</v>
      </c>
      <c r="K1493" s="564" t="s">
        <v>1120</v>
      </c>
      <c r="L1493" s="564" t="s">
        <v>2098</v>
      </c>
      <c r="M1493" s="564" t="s">
        <v>2098</v>
      </c>
      <c r="N1493" s="564" t="s">
        <v>70</v>
      </c>
      <c r="O1493" s="564" t="s">
        <v>2099</v>
      </c>
      <c r="P1493" s="23"/>
      <c r="Q1493" s="23"/>
      <c r="R1493" s="23"/>
      <c r="S1493" s="23"/>
      <c r="T1493" s="23"/>
      <c r="U1493" s="23"/>
      <c r="V1493" s="23"/>
      <c r="W1493" s="23"/>
      <c r="X1493" s="23"/>
      <c r="Y1493" s="23"/>
      <c r="Z1493" s="23"/>
    </row>
    <row r="1494" spans="1:26" ht="13">
      <c r="A1494" s="562" t="s">
        <v>4247</v>
      </c>
      <c r="B1494" s="563" t="s">
        <v>4248</v>
      </c>
      <c r="C1494" s="564" t="s">
        <v>1652</v>
      </c>
      <c r="D1494" s="565">
        <v>44250</v>
      </c>
      <c r="E1494" s="565">
        <v>44271</v>
      </c>
      <c r="F1494" s="566">
        <v>18909091</v>
      </c>
      <c r="G1494" s="564" t="s">
        <v>1182</v>
      </c>
      <c r="H1494" s="564" t="s">
        <v>1182</v>
      </c>
      <c r="I1494" s="564" t="s">
        <v>802</v>
      </c>
      <c r="J1494" s="564" t="s">
        <v>1069</v>
      </c>
      <c r="K1494" s="564" t="s">
        <v>1198</v>
      </c>
      <c r="L1494" s="564" t="s">
        <v>2098</v>
      </c>
      <c r="M1494" s="564" t="s">
        <v>2098</v>
      </c>
      <c r="N1494" s="564" t="s">
        <v>132</v>
      </c>
      <c r="O1494" s="564" t="s">
        <v>2099</v>
      </c>
      <c r="P1494" s="23"/>
      <c r="Q1494" s="23"/>
      <c r="R1494" s="23"/>
      <c r="S1494" s="23"/>
      <c r="T1494" s="23"/>
      <c r="U1494" s="23"/>
      <c r="V1494" s="23"/>
      <c r="W1494" s="23"/>
      <c r="X1494" s="23"/>
      <c r="Y1494" s="23"/>
      <c r="Z1494" s="23"/>
    </row>
    <row r="1495" spans="1:26" ht="13">
      <c r="A1495" s="562" t="s">
        <v>4249</v>
      </c>
      <c r="B1495" s="563" t="s">
        <v>4250</v>
      </c>
      <c r="C1495" s="564" t="s">
        <v>1652</v>
      </c>
      <c r="D1495" s="565">
        <v>44244</v>
      </c>
      <c r="E1495" s="565">
        <v>44272</v>
      </c>
      <c r="F1495" s="566">
        <v>7104545</v>
      </c>
      <c r="G1495" s="564" t="s">
        <v>1182</v>
      </c>
      <c r="H1495" s="564" t="s">
        <v>1182</v>
      </c>
      <c r="I1495" s="564" t="s">
        <v>802</v>
      </c>
      <c r="J1495" s="564" t="s">
        <v>1069</v>
      </c>
      <c r="K1495" s="564" t="s">
        <v>1198</v>
      </c>
      <c r="L1495" s="564" t="s">
        <v>2098</v>
      </c>
      <c r="M1495" s="564" t="s">
        <v>2098</v>
      </c>
      <c r="N1495" s="564" t="s">
        <v>132</v>
      </c>
      <c r="O1495" s="564" t="s">
        <v>2099</v>
      </c>
      <c r="P1495" s="23"/>
      <c r="Q1495" s="23"/>
      <c r="R1495" s="23"/>
      <c r="S1495" s="23"/>
      <c r="T1495" s="23"/>
      <c r="U1495" s="23"/>
      <c r="V1495" s="23"/>
      <c r="W1495" s="23"/>
      <c r="X1495" s="23"/>
      <c r="Y1495" s="23"/>
      <c r="Z1495" s="23"/>
    </row>
    <row r="1496" spans="1:26" ht="13">
      <c r="A1496" s="562" t="s">
        <v>4251</v>
      </c>
      <c r="B1496" s="563" t="s">
        <v>4252</v>
      </c>
      <c r="C1496" s="564" t="s">
        <v>1076</v>
      </c>
      <c r="D1496" s="565">
        <v>44252</v>
      </c>
      <c r="E1496" s="565">
        <v>44309</v>
      </c>
      <c r="F1496" s="566">
        <v>1987000</v>
      </c>
      <c r="G1496" s="564" t="s">
        <v>1077</v>
      </c>
      <c r="H1496" s="564" t="s">
        <v>1077</v>
      </c>
      <c r="I1496" s="564" t="s">
        <v>637</v>
      </c>
      <c r="J1496" s="564" t="s">
        <v>1069</v>
      </c>
      <c r="K1496" s="564" t="s">
        <v>1070</v>
      </c>
      <c r="L1496" s="564" t="s">
        <v>2098</v>
      </c>
      <c r="M1496" s="564" t="s">
        <v>2098</v>
      </c>
      <c r="N1496" s="564" t="s">
        <v>1082</v>
      </c>
      <c r="O1496" s="564" t="s">
        <v>2099</v>
      </c>
      <c r="P1496" s="23"/>
      <c r="Q1496" s="23"/>
      <c r="R1496" s="23"/>
      <c r="S1496" s="23"/>
      <c r="T1496" s="23"/>
      <c r="U1496" s="23"/>
      <c r="V1496" s="23"/>
      <c r="W1496" s="23"/>
      <c r="X1496" s="23"/>
      <c r="Y1496" s="23"/>
      <c r="Z1496" s="23"/>
    </row>
    <row r="1497" spans="1:26" ht="13">
      <c r="A1497" s="562" t="s">
        <v>4253</v>
      </c>
      <c r="B1497" s="563" t="s">
        <v>4254</v>
      </c>
      <c r="C1497" s="564" t="s">
        <v>1652</v>
      </c>
      <c r="D1497" s="565">
        <v>44244</v>
      </c>
      <c r="E1497" s="565">
        <v>44272</v>
      </c>
      <c r="F1497" s="566">
        <v>1125000</v>
      </c>
      <c r="G1497" s="564" t="s">
        <v>297</v>
      </c>
      <c r="H1497" s="564" t="s">
        <v>297</v>
      </c>
      <c r="I1497" s="564" t="s">
        <v>107</v>
      </c>
      <c r="J1497" s="564" t="s">
        <v>1069</v>
      </c>
      <c r="K1497" s="564" t="s">
        <v>1120</v>
      </c>
      <c r="L1497" s="564" t="s">
        <v>2098</v>
      </c>
      <c r="M1497" s="564" t="s">
        <v>2098</v>
      </c>
      <c r="N1497" s="564" t="s">
        <v>1073</v>
      </c>
      <c r="O1497" s="564" t="s">
        <v>2099</v>
      </c>
      <c r="P1497" s="23"/>
      <c r="Q1497" s="23"/>
      <c r="R1497" s="23"/>
      <c r="S1497" s="23"/>
      <c r="T1497" s="23"/>
      <c r="U1497" s="23"/>
      <c r="V1497" s="23"/>
      <c r="W1497" s="23"/>
      <c r="X1497" s="23"/>
      <c r="Y1497" s="23"/>
      <c r="Z1497" s="23"/>
    </row>
    <row r="1498" spans="1:26" ht="13">
      <c r="A1498" s="562" t="s">
        <v>4255</v>
      </c>
      <c r="B1498" s="563" t="s">
        <v>4256</v>
      </c>
      <c r="C1498" s="564" t="s">
        <v>1652</v>
      </c>
      <c r="D1498" s="565">
        <v>44245</v>
      </c>
      <c r="E1498" s="565">
        <v>44274</v>
      </c>
      <c r="F1498" s="566">
        <v>45069000</v>
      </c>
      <c r="G1498" s="564" t="s">
        <v>297</v>
      </c>
      <c r="H1498" s="564" t="s">
        <v>297</v>
      </c>
      <c r="I1498" s="564" t="s">
        <v>1281</v>
      </c>
      <c r="J1498" s="564" t="s">
        <v>1069</v>
      </c>
      <c r="K1498" s="564" t="s">
        <v>1120</v>
      </c>
      <c r="L1498" s="564" t="s">
        <v>2098</v>
      </c>
      <c r="M1498" s="564" t="s">
        <v>2098</v>
      </c>
      <c r="N1498" s="564" t="s">
        <v>1073</v>
      </c>
      <c r="O1498" s="564" t="s">
        <v>2099</v>
      </c>
      <c r="P1498" s="23"/>
      <c r="Q1498" s="23"/>
      <c r="R1498" s="23"/>
      <c r="S1498" s="23"/>
      <c r="T1498" s="23"/>
      <c r="U1498" s="23"/>
      <c r="V1498" s="23"/>
      <c r="W1498" s="23"/>
      <c r="X1498" s="23"/>
      <c r="Y1498" s="23"/>
      <c r="Z1498" s="23"/>
    </row>
    <row r="1499" spans="1:26" ht="13">
      <c r="A1499" s="562" t="s">
        <v>4257</v>
      </c>
      <c r="B1499" s="563" t="s">
        <v>4258</v>
      </c>
      <c r="C1499" s="564" t="s">
        <v>1652</v>
      </c>
      <c r="D1499" s="565">
        <v>44242</v>
      </c>
      <c r="E1499" s="565">
        <v>44249</v>
      </c>
      <c r="F1499" s="566">
        <v>2160000</v>
      </c>
      <c r="G1499" s="564" t="s">
        <v>2104</v>
      </c>
      <c r="H1499" s="564" t="s">
        <v>2104</v>
      </c>
      <c r="I1499" s="564" t="s">
        <v>70</v>
      </c>
      <c r="J1499" s="564" t="s">
        <v>1069</v>
      </c>
      <c r="K1499" s="564" t="s">
        <v>1120</v>
      </c>
      <c r="L1499" s="564" t="s">
        <v>2098</v>
      </c>
      <c r="M1499" s="564" t="s">
        <v>2098</v>
      </c>
      <c r="N1499" s="564" t="s">
        <v>70</v>
      </c>
      <c r="O1499" s="564" t="s">
        <v>2099</v>
      </c>
      <c r="P1499" s="23"/>
      <c r="Q1499" s="23"/>
      <c r="R1499" s="23"/>
      <c r="S1499" s="23"/>
      <c r="T1499" s="23"/>
      <c r="U1499" s="23"/>
      <c r="V1499" s="23"/>
      <c r="W1499" s="23"/>
      <c r="X1499" s="23"/>
      <c r="Y1499" s="23"/>
      <c r="Z1499" s="23"/>
    </row>
    <row r="1500" spans="1:26" ht="13">
      <c r="A1500" s="562" t="s">
        <v>4259</v>
      </c>
      <c r="B1500" s="563" t="s">
        <v>4260</v>
      </c>
      <c r="C1500" s="564" t="s">
        <v>1652</v>
      </c>
      <c r="D1500" s="565">
        <v>44237</v>
      </c>
      <c r="E1500" s="565">
        <v>44246</v>
      </c>
      <c r="F1500" s="566">
        <v>4449000</v>
      </c>
      <c r="G1500" s="564" t="s">
        <v>4261</v>
      </c>
      <c r="H1500" s="564" t="s">
        <v>4261</v>
      </c>
      <c r="I1500" s="564" t="s">
        <v>70</v>
      </c>
      <c r="J1500" s="564" t="s">
        <v>1069</v>
      </c>
      <c r="K1500" s="564" t="s">
        <v>1120</v>
      </c>
      <c r="L1500" s="564" t="s">
        <v>2098</v>
      </c>
      <c r="M1500" s="564" t="s">
        <v>2098</v>
      </c>
      <c r="N1500" s="564" t="s">
        <v>70</v>
      </c>
      <c r="O1500" s="564" t="s">
        <v>2099</v>
      </c>
      <c r="P1500" s="23"/>
      <c r="Q1500" s="23"/>
      <c r="R1500" s="23"/>
      <c r="S1500" s="23"/>
      <c r="T1500" s="23"/>
      <c r="U1500" s="23"/>
      <c r="V1500" s="23"/>
      <c r="W1500" s="23"/>
      <c r="X1500" s="23"/>
      <c r="Y1500" s="23"/>
      <c r="Z1500" s="23"/>
    </row>
    <row r="1501" spans="1:26" ht="13">
      <c r="A1501" s="562" t="s">
        <v>4262</v>
      </c>
      <c r="B1501" s="563" t="s">
        <v>4263</v>
      </c>
      <c r="C1501" s="564" t="s">
        <v>1652</v>
      </c>
      <c r="D1501" s="565">
        <v>44237</v>
      </c>
      <c r="E1501" s="565">
        <v>44246</v>
      </c>
      <c r="F1501" s="566">
        <v>1043000</v>
      </c>
      <c r="G1501" s="564" t="s">
        <v>4261</v>
      </c>
      <c r="H1501" s="564" t="s">
        <v>4261</v>
      </c>
      <c r="I1501" s="564" t="s">
        <v>70</v>
      </c>
      <c r="J1501" s="564" t="s">
        <v>1069</v>
      </c>
      <c r="K1501" s="564" t="s">
        <v>1120</v>
      </c>
      <c r="L1501" s="564" t="s">
        <v>2098</v>
      </c>
      <c r="M1501" s="564" t="s">
        <v>2098</v>
      </c>
      <c r="N1501" s="564" t="s">
        <v>70</v>
      </c>
      <c r="O1501" s="564" t="s">
        <v>2099</v>
      </c>
      <c r="P1501" s="23"/>
      <c r="Q1501" s="23"/>
      <c r="R1501" s="23"/>
      <c r="S1501" s="23"/>
      <c r="T1501" s="23"/>
      <c r="U1501" s="23"/>
      <c r="V1501" s="23"/>
      <c r="W1501" s="23"/>
      <c r="X1501" s="23"/>
      <c r="Y1501" s="23"/>
      <c r="Z1501" s="23"/>
    </row>
    <row r="1502" spans="1:26" ht="13">
      <c r="A1502" s="562" t="s">
        <v>4264</v>
      </c>
      <c r="B1502" s="563" t="s">
        <v>4189</v>
      </c>
      <c r="C1502" s="564" t="s">
        <v>2433</v>
      </c>
      <c r="D1502" s="565">
        <v>44235</v>
      </c>
      <c r="E1502" s="565">
        <v>44293</v>
      </c>
      <c r="F1502" s="566">
        <v>866000</v>
      </c>
      <c r="G1502" s="564" t="s">
        <v>1077</v>
      </c>
      <c r="H1502" s="564" t="s">
        <v>1077</v>
      </c>
      <c r="I1502" s="564" t="s">
        <v>637</v>
      </c>
      <c r="J1502" s="564" t="s">
        <v>1069</v>
      </c>
      <c r="K1502" s="564" t="s">
        <v>1070</v>
      </c>
      <c r="L1502" s="564" t="s">
        <v>2098</v>
      </c>
      <c r="M1502" s="564" t="s">
        <v>2098</v>
      </c>
      <c r="N1502" s="564" t="s">
        <v>1082</v>
      </c>
      <c r="O1502" s="564" t="s">
        <v>2099</v>
      </c>
      <c r="P1502" s="23"/>
      <c r="Q1502" s="23"/>
      <c r="R1502" s="23"/>
      <c r="S1502" s="23"/>
      <c r="T1502" s="23"/>
      <c r="U1502" s="23"/>
      <c r="V1502" s="23"/>
      <c r="W1502" s="23"/>
      <c r="X1502" s="23"/>
      <c r="Y1502" s="23"/>
      <c r="Z1502" s="23"/>
    </row>
    <row r="1503" spans="1:26" ht="13">
      <c r="A1503" s="562" t="s">
        <v>4265</v>
      </c>
      <c r="B1503" s="563" t="s">
        <v>4266</v>
      </c>
      <c r="C1503" s="564" t="s">
        <v>1652</v>
      </c>
      <c r="D1503" s="565">
        <v>44235</v>
      </c>
      <c r="E1503" s="565">
        <v>44244</v>
      </c>
      <c r="F1503" s="566">
        <v>2740000</v>
      </c>
      <c r="G1503" s="564" t="s">
        <v>4261</v>
      </c>
      <c r="H1503" s="564" t="s">
        <v>4261</v>
      </c>
      <c r="I1503" s="564" t="s">
        <v>70</v>
      </c>
      <c r="J1503" s="564" t="s">
        <v>1069</v>
      </c>
      <c r="K1503" s="564" t="s">
        <v>1120</v>
      </c>
      <c r="L1503" s="564" t="s">
        <v>2098</v>
      </c>
      <c r="M1503" s="564" t="s">
        <v>2098</v>
      </c>
      <c r="N1503" s="564" t="s">
        <v>70</v>
      </c>
      <c r="O1503" s="564" t="s">
        <v>2099</v>
      </c>
      <c r="P1503" s="23"/>
      <c r="Q1503" s="23"/>
      <c r="R1503" s="23"/>
      <c r="S1503" s="23"/>
      <c r="T1503" s="23"/>
      <c r="U1503" s="23"/>
      <c r="V1503" s="23"/>
      <c r="W1503" s="23"/>
      <c r="X1503" s="23"/>
      <c r="Y1503" s="23"/>
      <c r="Z1503" s="23"/>
    </row>
    <row r="1504" spans="1:26" ht="13">
      <c r="A1504" s="562" t="s">
        <v>4267</v>
      </c>
      <c r="B1504" s="563" t="s">
        <v>4268</v>
      </c>
      <c r="C1504" s="564" t="s">
        <v>1652</v>
      </c>
      <c r="D1504" s="565">
        <v>44230</v>
      </c>
      <c r="E1504" s="565">
        <v>44258</v>
      </c>
      <c r="F1504" s="566">
        <v>1190000</v>
      </c>
      <c r="G1504" s="564" t="s">
        <v>1623</v>
      </c>
      <c r="H1504" s="564" t="s">
        <v>1623</v>
      </c>
      <c r="I1504" s="564" t="s">
        <v>802</v>
      </c>
      <c r="J1504" s="564" t="s">
        <v>1069</v>
      </c>
      <c r="K1504" s="564" t="s">
        <v>1198</v>
      </c>
      <c r="L1504" s="564" t="s">
        <v>2098</v>
      </c>
      <c r="M1504" s="564" t="s">
        <v>2098</v>
      </c>
      <c r="N1504" s="564" t="s">
        <v>132</v>
      </c>
      <c r="O1504" s="564" t="s">
        <v>2099</v>
      </c>
      <c r="P1504" s="23"/>
      <c r="Q1504" s="23"/>
      <c r="R1504" s="23"/>
      <c r="S1504" s="23"/>
      <c r="T1504" s="23"/>
      <c r="U1504" s="23"/>
      <c r="V1504" s="23"/>
      <c r="W1504" s="23"/>
      <c r="X1504" s="23"/>
      <c r="Y1504" s="23"/>
      <c r="Z1504" s="23"/>
    </row>
    <row r="1505" spans="1:26" ht="13">
      <c r="A1505" s="562" t="s">
        <v>4269</v>
      </c>
      <c r="B1505" s="563" t="s">
        <v>4270</v>
      </c>
      <c r="C1505" s="564" t="s">
        <v>1076</v>
      </c>
      <c r="D1505" s="565">
        <v>44231</v>
      </c>
      <c r="E1505" s="565">
        <v>44289</v>
      </c>
      <c r="F1505" s="566">
        <v>1096000</v>
      </c>
      <c r="G1505" s="564" t="s">
        <v>1077</v>
      </c>
      <c r="H1505" s="564" t="s">
        <v>1077</v>
      </c>
      <c r="I1505" s="564" t="s">
        <v>637</v>
      </c>
      <c r="J1505" s="564" t="s">
        <v>1069</v>
      </c>
      <c r="K1505" s="564" t="s">
        <v>1070</v>
      </c>
      <c r="L1505" s="564" t="s">
        <v>2098</v>
      </c>
      <c r="M1505" s="564" t="s">
        <v>2098</v>
      </c>
      <c r="N1505" s="564" t="s">
        <v>1082</v>
      </c>
      <c r="O1505" s="564" t="s">
        <v>2099</v>
      </c>
      <c r="P1505" s="23"/>
      <c r="Q1505" s="23"/>
      <c r="R1505" s="23"/>
      <c r="S1505" s="23"/>
      <c r="T1505" s="23"/>
      <c r="U1505" s="23"/>
      <c r="V1505" s="23"/>
      <c r="W1505" s="23"/>
      <c r="X1505" s="23"/>
      <c r="Y1505" s="23"/>
      <c r="Z1505" s="23"/>
    </row>
    <row r="1506" spans="1:26" ht="13">
      <c r="A1506" s="562" t="s">
        <v>4271</v>
      </c>
      <c r="B1506" s="563" t="s">
        <v>4272</v>
      </c>
      <c r="C1506" s="564" t="s">
        <v>1652</v>
      </c>
      <c r="D1506" s="565">
        <v>44229</v>
      </c>
      <c r="E1506" s="565">
        <v>44232</v>
      </c>
      <c r="F1506" s="566">
        <v>2275000</v>
      </c>
      <c r="G1506" s="564" t="s">
        <v>4261</v>
      </c>
      <c r="H1506" s="564" t="s">
        <v>4261</v>
      </c>
      <c r="I1506" s="564" t="s">
        <v>70</v>
      </c>
      <c r="J1506" s="564" t="s">
        <v>1069</v>
      </c>
      <c r="K1506" s="564" t="s">
        <v>1120</v>
      </c>
      <c r="L1506" s="564" t="s">
        <v>2098</v>
      </c>
      <c r="M1506" s="564" t="s">
        <v>2098</v>
      </c>
      <c r="N1506" s="564" t="s">
        <v>70</v>
      </c>
      <c r="O1506" s="564" t="s">
        <v>2099</v>
      </c>
      <c r="P1506" s="23"/>
      <c r="Q1506" s="23"/>
      <c r="R1506" s="23"/>
      <c r="S1506" s="23"/>
      <c r="T1506" s="23"/>
      <c r="U1506" s="23"/>
      <c r="V1506" s="23"/>
      <c r="W1506" s="23"/>
      <c r="X1506" s="23"/>
      <c r="Y1506" s="23"/>
      <c r="Z1506" s="23"/>
    </row>
    <row r="1507" spans="1:26" ht="13">
      <c r="A1507" s="562" t="s">
        <v>4273</v>
      </c>
      <c r="B1507" s="563" t="s">
        <v>4274</v>
      </c>
      <c r="C1507" s="564" t="s">
        <v>1076</v>
      </c>
      <c r="D1507" s="565">
        <v>44228</v>
      </c>
      <c r="E1507" s="565">
        <v>44286</v>
      </c>
      <c r="F1507" s="566">
        <v>57000</v>
      </c>
      <c r="G1507" s="564" t="s">
        <v>1077</v>
      </c>
      <c r="H1507" s="564" t="s">
        <v>1077</v>
      </c>
      <c r="I1507" s="564" t="s">
        <v>637</v>
      </c>
      <c r="J1507" s="564" t="s">
        <v>1069</v>
      </c>
      <c r="K1507" s="564" t="s">
        <v>1070</v>
      </c>
      <c r="L1507" s="564" t="s">
        <v>2098</v>
      </c>
      <c r="M1507" s="564" t="s">
        <v>2098</v>
      </c>
      <c r="N1507" s="564" t="s">
        <v>1082</v>
      </c>
      <c r="O1507" s="564" t="s">
        <v>2099</v>
      </c>
      <c r="P1507" s="23"/>
      <c r="Q1507" s="23"/>
      <c r="R1507" s="23"/>
      <c r="S1507" s="23"/>
      <c r="T1507" s="23"/>
      <c r="U1507" s="23"/>
      <c r="V1507" s="23"/>
      <c r="W1507" s="23"/>
      <c r="X1507" s="23"/>
      <c r="Y1507" s="23"/>
      <c r="Z1507" s="23"/>
    </row>
    <row r="1508" spans="1:26" ht="13">
      <c r="A1508" s="562" t="s">
        <v>4275</v>
      </c>
      <c r="B1508" s="563" t="s">
        <v>4276</v>
      </c>
      <c r="C1508" s="564" t="s">
        <v>1652</v>
      </c>
      <c r="D1508" s="565">
        <v>44223</v>
      </c>
      <c r="E1508" s="565">
        <v>44231</v>
      </c>
      <c r="F1508" s="566">
        <v>1000000</v>
      </c>
      <c r="G1508" s="564" t="s">
        <v>4261</v>
      </c>
      <c r="H1508" s="564" t="s">
        <v>4261</v>
      </c>
      <c r="I1508" s="564" t="s">
        <v>70</v>
      </c>
      <c r="J1508" s="564" t="s">
        <v>1069</v>
      </c>
      <c r="K1508" s="564" t="s">
        <v>1120</v>
      </c>
      <c r="L1508" s="564" t="s">
        <v>2098</v>
      </c>
      <c r="M1508" s="564" t="s">
        <v>2098</v>
      </c>
      <c r="N1508" s="564" t="s">
        <v>70</v>
      </c>
      <c r="O1508" s="564" t="s">
        <v>2099</v>
      </c>
      <c r="P1508" s="23"/>
      <c r="Q1508" s="23"/>
      <c r="R1508" s="23"/>
      <c r="S1508" s="23"/>
      <c r="T1508" s="23"/>
      <c r="U1508" s="23"/>
      <c r="V1508" s="23"/>
      <c r="W1508" s="23"/>
      <c r="X1508" s="23"/>
      <c r="Y1508" s="23"/>
      <c r="Z1508" s="23"/>
    </row>
    <row r="1509" spans="1:26" ht="13">
      <c r="A1509" s="562" t="s">
        <v>4277</v>
      </c>
      <c r="B1509" s="563" t="s">
        <v>4278</v>
      </c>
      <c r="C1509" s="564" t="s">
        <v>1652</v>
      </c>
      <c r="D1509" s="565">
        <v>44223</v>
      </c>
      <c r="E1509" s="565">
        <v>44231</v>
      </c>
      <c r="F1509" s="566">
        <v>4273000</v>
      </c>
      <c r="G1509" s="564" t="s">
        <v>4261</v>
      </c>
      <c r="H1509" s="564" t="s">
        <v>4261</v>
      </c>
      <c r="I1509" s="564" t="s">
        <v>70</v>
      </c>
      <c r="J1509" s="564" t="s">
        <v>1069</v>
      </c>
      <c r="K1509" s="564" t="s">
        <v>1120</v>
      </c>
      <c r="L1509" s="564" t="s">
        <v>2098</v>
      </c>
      <c r="M1509" s="564" t="s">
        <v>2098</v>
      </c>
      <c r="N1509" s="564" t="s">
        <v>70</v>
      </c>
      <c r="O1509" s="564" t="s">
        <v>2099</v>
      </c>
      <c r="P1509" s="23"/>
      <c r="Q1509" s="23"/>
      <c r="R1509" s="23"/>
      <c r="S1509" s="23"/>
      <c r="T1509" s="23"/>
      <c r="U1509" s="23"/>
      <c r="V1509" s="23"/>
      <c r="W1509" s="23"/>
      <c r="X1509" s="23"/>
      <c r="Y1509" s="23"/>
      <c r="Z1509" s="23"/>
    </row>
    <row r="1510" spans="1:26" ht="13">
      <c r="A1510" s="562" t="s">
        <v>4279</v>
      </c>
      <c r="B1510" s="563" t="s">
        <v>4280</v>
      </c>
      <c r="C1510" s="564" t="s">
        <v>1076</v>
      </c>
      <c r="D1510" s="565">
        <v>44222</v>
      </c>
      <c r="E1510" s="565">
        <v>44280</v>
      </c>
      <c r="F1510" s="566">
        <v>795000</v>
      </c>
      <c r="G1510" s="564" t="s">
        <v>1077</v>
      </c>
      <c r="H1510" s="564" t="s">
        <v>1077</v>
      </c>
      <c r="I1510" s="564" t="s">
        <v>637</v>
      </c>
      <c r="J1510" s="564" t="s">
        <v>1069</v>
      </c>
      <c r="K1510" s="564" t="s">
        <v>1070</v>
      </c>
      <c r="L1510" s="564" t="s">
        <v>2098</v>
      </c>
      <c r="M1510" s="564" t="s">
        <v>2098</v>
      </c>
      <c r="N1510" s="564" t="s">
        <v>1082</v>
      </c>
      <c r="O1510" s="564" t="s">
        <v>2099</v>
      </c>
      <c r="P1510" s="23"/>
      <c r="Q1510" s="23"/>
      <c r="R1510" s="23"/>
      <c r="S1510" s="23"/>
      <c r="T1510" s="23"/>
      <c r="U1510" s="23"/>
      <c r="V1510" s="23"/>
      <c r="W1510" s="23"/>
      <c r="X1510" s="23"/>
      <c r="Y1510" s="23"/>
      <c r="Z1510" s="23"/>
    </row>
    <row r="1511" spans="1:26" ht="13">
      <c r="A1511" s="562" t="s">
        <v>4281</v>
      </c>
      <c r="B1511" s="563" t="s">
        <v>4282</v>
      </c>
      <c r="C1511" s="564" t="s">
        <v>1475</v>
      </c>
      <c r="D1511" s="565">
        <v>44218</v>
      </c>
      <c r="E1511" s="565">
        <v>44246</v>
      </c>
      <c r="F1511" s="566">
        <v>3200000</v>
      </c>
      <c r="G1511" s="564" t="s">
        <v>1293</v>
      </c>
      <c r="H1511" s="564" t="s">
        <v>1293</v>
      </c>
      <c r="I1511" s="564" t="s">
        <v>1247</v>
      </c>
      <c r="J1511" s="564" t="s">
        <v>1069</v>
      </c>
      <c r="K1511" s="564" t="s">
        <v>1070</v>
      </c>
      <c r="L1511" s="564" t="s">
        <v>2098</v>
      </c>
      <c r="M1511" s="564" t="s">
        <v>2098</v>
      </c>
      <c r="N1511" s="564" t="s">
        <v>1073</v>
      </c>
      <c r="O1511" s="564" t="s">
        <v>2099</v>
      </c>
      <c r="P1511" s="23"/>
      <c r="Q1511" s="23"/>
      <c r="R1511" s="23"/>
      <c r="S1511" s="23"/>
      <c r="T1511" s="23"/>
      <c r="U1511" s="23"/>
      <c r="V1511" s="23"/>
      <c r="W1511" s="23"/>
      <c r="X1511" s="23"/>
      <c r="Y1511" s="23"/>
      <c r="Z1511" s="23"/>
    </row>
    <row r="1512" spans="1:26" ht="13">
      <c r="A1512" s="562" t="s">
        <v>4283</v>
      </c>
      <c r="B1512" s="563" t="s">
        <v>4284</v>
      </c>
      <c r="C1512" s="564" t="s">
        <v>1076</v>
      </c>
      <c r="D1512" s="565">
        <v>44221</v>
      </c>
      <c r="E1512" s="565">
        <v>44279</v>
      </c>
      <c r="F1512" s="566">
        <v>1575000</v>
      </c>
      <c r="G1512" s="564" t="s">
        <v>1077</v>
      </c>
      <c r="H1512" s="564" t="s">
        <v>1077</v>
      </c>
      <c r="I1512" s="564" t="s">
        <v>637</v>
      </c>
      <c r="J1512" s="564" t="s">
        <v>1069</v>
      </c>
      <c r="K1512" s="564" t="s">
        <v>1070</v>
      </c>
      <c r="L1512" s="564" t="s">
        <v>2098</v>
      </c>
      <c r="M1512" s="564" t="s">
        <v>2098</v>
      </c>
      <c r="N1512" s="564" t="s">
        <v>1082</v>
      </c>
      <c r="O1512" s="564" t="s">
        <v>2099</v>
      </c>
      <c r="P1512" s="23"/>
      <c r="Q1512" s="23"/>
      <c r="R1512" s="23"/>
      <c r="S1512" s="23"/>
      <c r="T1512" s="23"/>
      <c r="U1512" s="23"/>
      <c r="V1512" s="23"/>
      <c r="W1512" s="23"/>
      <c r="X1512" s="23"/>
      <c r="Y1512" s="23"/>
      <c r="Z1512" s="23"/>
    </row>
    <row r="1513" spans="1:26" ht="13">
      <c r="A1513" s="562" t="s">
        <v>4285</v>
      </c>
      <c r="B1513" s="563" t="s">
        <v>4286</v>
      </c>
      <c r="C1513" s="564" t="s">
        <v>1076</v>
      </c>
      <c r="D1513" s="565">
        <v>44218</v>
      </c>
      <c r="E1513" s="565">
        <v>44276</v>
      </c>
      <c r="F1513" s="566">
        <v>1987000</v>
      </c>
      <c r="G1513" s="564" t="s">
        <v>1077</v>
      </c>
      <c r="H1513" s="564" t="s">
        <v>1077</v>
      </c>
      <c r="I1513" s="564" t="s">
        <v>637</v>
      </c>
      <c r="J1513" s="564" t="s">
        <v>1069</v>
      </c>
      <c r="K1513" s="564" t="s">
        <v>1070</v>
      </c>
      <c r="L1513" s="564" t="s">
        <v>2098</v>
      </c>
      <c r="M1513" s="564" t="s">
        <v>2098</v>
      </c>
      <c r="N1513" s="564" t="s">
        <v>1082</v>
      </c>
      <c r="O1513" s="564" t="s">
        <v>2099</v>
      </c>
      <c r="P1513" s="23"/>
      <c r="Q1513" s="23"/>
      <c r="R1513" s="23"/>
      <c r="S1513" s="23"/>
      <c r="T1513" s="23"/>
      <c r="U1513" s="23"/>
      <c r="V1513" s="23"/>
      <c r="W1513" s="23"/>
      <c r="X1513" s="23"/>
      <c r="Y1513" s="23"/>
      <c r="Z1513" s="23"/>
    </row>
    <row r="1514" spans="1:26" ht="13">
      <c r="A1514" s="562" t="s">
        <v>4287</v>
      </c>
      <c r="B1514" s="563" t="s">
        <v>3726</v>
      </c>
      <c r="C1514" s="564" t="s">
        <v>353</v>
      </c>
      <c r="D1514" s="565">
        <v>44203</v>
      </c>
      <c r="E1514" s="565">
        <v>44225</v>
      </c>
      <c r="F1514" s="566">
        <v>9800000</v>
      </c>
      <c r="G1514" s="564" t="s">
        <v>1128</v>
      </c>
      <c r="H1514" s="564" t="s">
        <v>1128</v>
      </c>
      <c r="I1514" s="564" t="s">
        <v>45</v>
      </c>
      <c r="J1514" s="564" t="s">
        <v>1069</v>
      </c>
      <c r="K1514" s="564" t="s">
        <v>1090</v>
      </c>
      <c r="L1514" s="564" t="s">
        <v>2098</v>
      </c>
      <c r="M1514" s="564" t="s">
        <v>2098</v>
      </c>
      <c r="N1514" s="564" t="s">
        <v>45</v>
      </c>
      <c r="O1514" s="564" t="s">
        <v>2099</v>
      </c>
      <c r="P1514" s="23"/>
      <c r="Q1514" s="23"/>
      <c r="R1514" s="23"/>
      <c r="S1514" s="23"/>
      <c r="T1514" s="23"/>
      <c r="U1514" s="23"/>
      <c r="V1514" s="23"/>
      <c r="W1514" s="23"/>
      <c r="X1514" s="23"/>
      <c r="Y1514" s="23"/>
      <c r="Z1514" s="23"/>
    </row>
    <row r="1515" spans="1:26" ht="13">
      <c r="A1515" s="562" t="s">
        <v>4288</v>
      </c>
      <c r="B1515" s="563" t="s">
        <v>4289</v>
      </c>
      <c r="C1515" s="564" t="s">
        <v>1652</v>
      </c>
      <c r="D1515" s="565">
        <v>44215</v>
      </c>
      <c r="E1515" s="565">
        <v>44222</v>
      </c>
      <c r="F1515" s="566">
        <v>4449000</v>
      </c>
      <c r="G1515" s="564" t="s">
        <v>4261</v>
      </c>
      <c r="H1515" s="564" t="s">
        <v>4261</v>
      </c>
      <c r="I1515" s="564" t="s">
        <v>70</v>
      </c>
      <c r="J1515" s="564" t="s">
        <v>1069</v>
      </c>
      <c r="K1515" s="564" t="s">
        <v>1120</v>
      </c>
      <c r="L1515" s="564" t="s">
        <v>2098</v>
      </c>
      <c r="M1515" s="564" t="s">
        <v>2098</v>
      </c>
      <c r="N1515" s="564" t="s">
        <v>70</v>
      </c>
      <c r="O1515" s="564" t="s">
        <v>2099</v>
      </c>
      <c r="P1515" s="23"/>
      <c r="Q1515" s="23"/>
      <c r="R1515" s="23"/>
      <c r="S1515" s="23"/>
      <c r="T1515" s="23"/>
      <c r="U1515" s="23"/>
      <c r="V1515" s="23"/>
      <c r="W1515" s="23"/>
      <c r="X1515" s="23"/>
      <c r="Y1515" s="23"/>
      <c r="Z1515" s="23"/>
    </row>
    <row r="1516" spans="1:26" ht="13">
      <c r="A1516" s="562" t="s">
        <v>4290</v>
      </c>
      <c r="B1516" s="563" t="s">
        <v>4291</v>
      </c>
      <c r="C1516" s="564" t="s">
        <v>353</v>
      </c>
      <c r="D1516" s="565">
        <v>44203</v>
      </c>
      <c r="E1516" s="565">
        <v>44225</v>
      </c>
      <c r="F1516" s="566">
        <v>2200000</v>
      </c>
      <c r="G1516" s="564" t="s">
        <v>1128</v>
      </c>
      <c r="H1516" s="564" t="s">
        <v>1128</v>
      </c>
      <c r="I1516" s="564" t="s">
        <v>45</v>
      </c>
      <c r="J1516" s="564" t="s">
        <v>1069</v>
      </c>
      <c r="K1516" s="564" t="s">
        <v>1090</v>
      </c>
      <c r="L1516" s="564" t="s">
        <v>2098</v>
      </c>
      <c r="M1516" s="564" t="s">
        <v>2098</v>
      </c>
      <c r="N1516" s="564" t="s">
        <v>45</v>
      </c>
      <c r="O1516" s="564" t="s">
        <v>2099</v>
      </c>
      <c r="P1516" s="23"/>
      <c r="Q1516" s="23"/>
      <c r="R1516" s="23"/>
      <c r="S1516" s="23"/>
      <c r="T1516" s="23"/>
      <c r="U1516" s="23"/>
      <c r="V1516" s="23"/>
      <c r="W1516" s="23"/>
      <c r="X1516" s="23"/>
      <c r="Y1516" s="23"/>
      <c r="Z1516" s="23"/>
    </row>
    <row r="1517" spans="1:26" ht="13">
      <c r="A1517" s="562" t="s">
        <v>4292</v>
      </c>
      <c r="B1517" s="563" t="s">
        <v>3712</v>
      </c>
      <c r="C1517" s="564" t="s">
        <v>353</v>
      </c>
      <c r="D1517" s="565">
        <v>44203</v>
      </c>
      <c r="E1517" s="565">
        <v>44225</v>
      </c>
      <c r="F1517" s="566">
        <v>8600000</v>
      </c>
      <c r="G1517" s="564" t="s">
        <v>1128</v>
      </c>
      <c r="H1517" s="564" t="s">
        <v>1128</v>
      </c>
      <c r="I1517" s="564" t="s">
        <v>45</v>
      </c>
      <c r="J1517" s="564" t="s">
        <v>1069</v>
      </c>
      <c r="K1517" s="564" t="s">
        <v>1090</v>
      </c>
      <c r="L1517" s="564" t="s">
        <v>2098</v>
      </c>
      <c r="M1517" s="564" t="s">
        <v>2098</v>
      </c>
      <c r="N1517" s="564" t="s">
        <v>45</v>
      </c>
      <c r="O1517" s="564" t="s">
        <v>2099</v>
      </c>
      <c r="P1517" s="23"/>
      <c r="Q1517" s="23"/>
      <c r="R1517" s="23"/>
      <c r="S1517" s="23"/>
      <c r="T1517" s="23"/>
      <c r="U1517" s="23"/>
      <c r="V1517" s="23"/>
      <c r="W1517" s="23"/>
      <c r="X1517" s="23"/>
      <c r="Y1517" s="23"/>
      <c r="Z1517" s="23"/>
    </row>
    <row r="1518" spans="1:26" ht="13">
      <c r="A1518" s="562" t="s">
        <v>4293</v>
      </c>
      <c r="B1518" s="563" t="s">
        <v>4294</v>
      </c>
      <c r="C1518" s="564" t="s">
        <v>1652</v>
      </c>
      <c r="D1518" s="565">
        <v>44209</v>
      </c>
      <c r="E1518" s="565">
        <v>44216</v>
      </c>
      <c r="F1518" s="566">
        <v>1000000</v>
      </c>
      <c r="G1518" s="564" t="s">
        <v>4261</v>
      </c>
      <c r="H1518" s="564" t="s">
        <v>4261</v>
      </c>
      <c r="I1518" s="564" t="s">
        <v>70</v>
      </c>
      <c r="J1518" s="564" t="s">
        <v>1069</v>
      </c>
      <c r="K1518" s="564" t="s">
        <v>1120</v>
      </c>
      <c r="L1518" s="564" t="s">
        <v>2098</v>
      </c>
      <c r="M1518" s="564" t="s">
        <v>2098</v>
      </c>
      <c r="N1518" s="564" t="s">
        <v>70</v>
      </c>
      <c r="O1518" s="564" t="s">
        <v>2099</v>
      </c>
      <c r="P1518" s="23"/>
      <c r="Q1518" s="23"/>
      <c r="R1518" s="23"/>
      <c r="S1518" s="23"/>
      <c r="T1518" s="23"/>
      <c r="U1518" s="23"/>
      <c r="V1518" s="23"/>
      <c r="W1518" s="23"/>
      <c r="X1518" s="23"/>
      <c r="Y1518" s="23"/>
      <c r="Z1518" s="23"/>
    </row>
    <row r="1519" spans="1:26" ht="13">
      <c r="A1519" s="562" t="s">
        <v>4295</v>
      </c>
      <c r="B1519" s="563" t="s">
        <v>4296</v>
      </c>
      <c r="C1519" s="564" t="s">
        <v>1076</v>
      </c>
      <c r="D1519" s="565">
        <v>44207</v>
      </c>
      <c r="E1519" s="565">
        <v>44265</v>
      </c>
      <c r="F1519" s="566">
        <v>2057000</v>
      </c>
      <c r="G1519" s="564" t="s">
        <v>1077</v>
      </c>
      <c r="H1519" s="564" t="s">
        <v>1077</v>
      </c>
      <c r="I1519" s="564" t="s">
        <v>637</v>
      </c>
      <c r="J1519" s="564" t="s">
        <v>1069</v>
      </c>
      <c r="K1519" s="564" t="s">
        <v>1070</v>
      </c>
      <c r="L1519" s="564" t="s">
        <v>2098</v>
      </c>
      <c r="M1519" s="564" t="s">
        <v>2098</v>
      </c>
      <c r="N1519" s="564" t="s">
        <v>1082</v>
      </c>
      <c r="O1519" s="564" t="s">
        <v>2099</v>
      </c>
      <c r="P1519" s="23"/>
      <c r="Q1519" s="23"/>
      <c r="R1519" s="23"/>
      <c r="S1519" s="23"/>
      <c r="T1519" s="23"/>
      <c r="U1519" s="23"/>
      <c r="V1519" s="23"/>
      <c r="W1519" s="23"/>
      <c r="X1519" s="23"/>
      <c r="Y1519" s="23"/>
      <c r="Z1519" s="23"/>
    </row>
    <row r="1520" spans="1:26" ht="13">
      <c r="A1520" s="562" t="s">
        <v>4297</v>
      </c>
      <c r="B1520" s="563" t="s">
        <v>4298</v>
      </c>
      <c r="C1520" s="564" t="s">
        <v>1652</v>
      </c>
      <c r="D1520" s="565">
        <v>44208</v>
      </c>
      <c r="E1520" s="565">
        <v>44215</v>
      </c>
      <c r="F1520" s="566">
        <v>1043000</v>
      </c>
      <c r="G1520" s="564" t="s">
        <v>4261</v>
      </c>
      <c r="H1520" s="564" t="s">
        <v>4261</v>
      </c>
      <c r="I1520" s="564" t="s">
        <v>70</v>
      </c>
      <c r="J1520" s="564" t="s">
        <v>1069</v>
      </c>
      <c r="K1520" s="564" t="s">
        <v>1120</v>
      </c>
      <c r="L1520" s="564" t="s">
        <v>2098</v>
      </c>
      <c r="M1520" s="564" t="s">
        <v>2098</v>
      </c>
      <c r="N1520" s="564" t="s">
        <v>70</v>
      </c>
      <c r="O1520" s="564" t="s">
        <v>2099</v>
      </c>
      <c r="P1520" s="23"/>
      <c r="Q1520" s="23"/>
      <c r="R1520" s="23"/>
      <c r="S1520" s="23"/>
      <c r="T1520" s="23"/>
      <c r="U1520" s="23"/>
      <c r="V1520" s="23"/>
      <c r="W1520" s="23"/>
      <c r="X1520" s="23"/>
      <c r="Y1520" s="23"/>
      <c r="Z1520" s="23"/>
    </row>
    <row r="1521" spans="1:26" ht="13">
      <c r="A1521" s="562" t="s">
        <v>4299</v>
      </c>
      <c r="B1521" s="563" t="s">
        <v>4300</v>
      </c>
      <c r="C1521" s="564" t="s">
        <v>3378</v>
      </c>
      <c r="D1521" s="565">
        <v>44203</v>
      </c>
      <c r="E1521" s="565">
        <v>44225</v>
      </c>
      <c r="F1521" s="566">
        <v>2200000</v>
      </c>
      <c r="G1521" s="564" t="s">
        <v>1128</v>
      </c>
      <c r="H1521" s="564" t="s">
        <v>1128</v>
      </c>
      <c r="I1521" s="564" t="s">
        <v>45</v>
      </c>
      <c r="J1521" s="564" t="s">
        <v>1069</v>
      </c>
      <c r="K1521" s="564" t="s">
        <v>1090</v>
      </c>
      <c r="L1521" s="564" t="s">
        <v>2098</v>
      </c>
      <c r="M1521" s="564" t="s">
        <v>2098</v>
      </c>
      <c r="N1521" s="564" t="s">
        <v>45</v>
      </c>
      <c r="O1521" s="564" t="s">
        <v>2099</v>
      </c>
      <c r="P1521" s="23"/>
      <c r="Q1521" s="23"/>
      <c r="R1521" s="23"/>
      <c r="S1521" s="23"/>
      <c r="T1521" s="23"/>
      <c r="U1521" s="23"/>
      <c r="V1521" s="23"/>
      <c r="W1521" s="23"/>
      <c r="X1521" s="23"/>
      <c r="Y1521" s="23"/>
      <c r="Z1521" s="23"/>
    </row>
    <row r="1522" spans="1:26" ht="13">
      <c r="A1522" s="562" t="s">
        <v>4301</v>
      </c>
      <c r="B1522" s="563" t="s">
        <v>4302</v>
      </c>
      <c r="C1522" s="564" t="s">
        <v>3378</v>
      </c>
      <c r="D1522" s="565">
        <v>44203</v>
      </c>
      <c r="E1522" s="565">
        <v>44225</v>
      </c>
      <c r="F1522" s="566">
        <v>8600000</v>
      </c>
      <c r="G1522" s="564" t="s">
        <v>1128</v>
      </c>
      <c r="H1522" s="564" t="s">
        <v>1128</v>
      </c>
      <c r="I1522" s="564" t="s">
        <v>45</v>
      </c>
      <c r="J1522" s="564" t="s">
        <v>1069</v>
      </c>
      <c r="K1522" s="564" t="s">
        <v>1090</v>
      </c>
      <c r="L1522" s="564" t="s">
        <v>2098</v>
      </c>
      <c r="M1522" s="564" t="s">
        <v>2098</v>
      </c>
      <c r="N1522" s="564" t="s">
        <v>45</v>
      </c>
      <c r="O1522" s="564" t="s">
        <v>2099</v>
      </c>
      <c r="P1522" s="23"/>
      <c r="Q1522" s="23"/>
      <c r="R1522" s="23"/>
      <c r="S1522" s="23"/>
      <c r="T1522" s="23"/>
      <c r="U1522" s="23"/>
      <c r="V1522" s="23"/>
      <c r="W1522" s="23"/>
      <c r="X1522" s="23"/>
      <c r="Y1522" s="23"/>
      <c r="Z1522" s="23"/>
    </row>
    <row r="1523" spans="1:26" ht="13">
      <c r="A1523" s="562" t="s">
        <v>4303</v>
      </c>
      <c r="B1523" s="563" t="s">
        <v>4304</v>
      </c>
      <c r="C1523" s="564" t="s">
        <v>1652</v>
      </c>
      <c r="D1523" s="565">
        <v>44204</v>
      </c>
      <c r="E1523" s="565">
        <v>44232</v>
      </c>
      <c r="F1523" s="566">
        <v>8196363</v>
      </c>
      <c r="G1523" s="564" t="s">
        <v>1623</v>
      </c>
      <c r="H1523" s="564" t="s">
        <v>1623</v>
      </c>
      <c r="I1523" s="564" t="s">
        <v>802</v>
      </c>
      <c r="J1523" s="564" t="s">
        <v>1069</v>
      </c>
      <c r="K1523" s="564" t="s">
        <v>1198</v>
      </c>
      <c r="L1523" s="564" t="s">
        <v>2098</v>
      </c>
      <c r="M1523" s="564" t="s">
        <v>2098</v>
      </c>
      <c r="N1523" s="564" t="s">
        <v>132</v>
      </c>
      <c r="O1523" s="564" t="s">
        <v>2099</v>
      </c>
      <c r="P1523" s="23"/>
      <c r="Q1523" s="23"/>
      <c r="R1523" s="23"/>
      <c r="S1523" s="23"/>
      <c r="T1523" s="23"/>
      <c r="U1523" s="23"/>
      <c r="V1523" s="23"/>
      <c r="W1523" s="23"/>
      <c r="X1523" s="23"/>
      <c r="Y1523" s="23"/>
      <c r="Z1523" s="23"/>
    </row>
    <row r="1524" spans="1:26" ht="13">
      <c r="A1524" s="562" t="s">
        <v>4305</v>
      </c>
      <c r="B1524" s="563" t="s">
        <v>4294</v>
      </c>
      <c r="C1524" s="564" t="s">
        <v>1652</v>
      </c>
      <c r="D1524" s="565">
        <v>44204</v>
      </c>
      <c r="E1524" s="565">
        <v>44210</v>
      </c>
      <c r="F1524" s="566">
        <v>1000000</v>
      </c>
      <c r="G1524" s="564" t="s">
        <v>4261</v>
      </c>
      <c r="H1524" s="564" t="s">
        <v>4261</v>
      </c>
      <c r="I1524" s="564" t="s">
        <v>70</v>
      </c>
      <c r="J1524" s="564" t="s">
        <v>1069</v>
      </c>
      <c r="K1524" s="564" t="s">
        <v>1120</v>
      </c>
      <c r="L1524" s="564" t="s">
        <v>2098</v>
      </c>
      <c r="M1524" s="564" t="s">
        <v>2098</v>
      </c>
      <c r="N1524" s="564" t="s">
        <v>70</v>
      </c>
      <c r="O1524" s="564" t="s">
        <v>2099</v>
      </c>
      <c r="P1524" s="23"/>
      <c r="Q1524" s="23"/>
      <c r="R1524" s="23"/>
      <c r="S1524" s="23"/>
      <c r="T1524" s="23"/>
      <c r="U1524" s="23"/>
      <c r="V1524" s="23"/>
      <c r="W1524" s="23"/>
      <c r="X1524" s="23"/>
      <c r="Y1524" s="23"/>
      <c r="Z1524" s="23"/>
    </row>
    <row r="1525" spans="1:26" ht="13">
      <c r="A1525" s="562" t="s">
        <v>4306</v>
      </c>
      <c r="B1525" s="563" t="s">
        <v>4307</v>
      </c>
      <c r="C1525" s="564" t="s">
        <v>1076</v>
      </c>
      <c r="D1525" s="565">
        <v>44200</v>
      </c>
      <c r="E1525" s="565">
        <v>44259</v>
      </c>
      <c r="F1525" s="566">
        <v>1710000</v>
      </c>
      <c r="G1525" s="564" t="s">
        <v>1077</v>
      </c>
      <c r="H1525" s="564" t="s">
        <v>1077</v>
      </c>
      <c r="I1525" s="564" t="s">
        <v>637</v>
      </c>
      <c r="J1525" s="564" t="s">
        <v>1069</v>
      </c>
      <c r="K1525" s="564" t="s">
        <v>1070</v>
      </c>
      <c r="L1525" s="564" t="s">
        <v>2098</v>
      </c>
      <c r="M1525" s="564" t="s">
        <v>2098</v>
      </c>
      <c r="N1525" s="564" t="s">
        <v>1082</v>
      </c>
      <c r="O1525" s="564" t="s">
        <v>2099</v>
      </c>
      <c r="P1525" s="23"/>
      <c r="Q1525" s="23"/>
      <c r="R1525" s="23"/>
      <c r="S1525" s="23"/>
      <c r="T1525" s="23"/>
      <c r="U1525" s="23"/>
      <c r="V1525" s="23"/>
      <c r="W1525" s="23"/>
      <c r="X1525" s="23"/>
      <c r="Y1525" s="23"/>
      <c r="Z1525" s="23"/>
    </row>
    <row r="1526" spans="1:26" ht="13">
      <c r="A1526" s="562" t="s">
        <v>4308</v>
      </c>
      <c r="B1526" s="563" t="s">
        <v>4309</v>
      </c>
      <c r="C1526" s="564" t="s">
        <v>1652</v>
      </c>
      <c r="D1526" s="565">
        <v>44202</v>
      </c>
      <c r="E1526" s="565">
        <v>44209</v>
      </c>
      <c r="F1526" s="566">
        <v>3406000</v>
      </c>
      <c r="G1526" s="564" t="s">
        <v>4261</v>
      </c>
      <c r="H1526" s="564" t="s">
        <v>4261</v>
      </c>
      <c r="I1526" s="564" t="s">
        <v>70</v>
      </c>
      <c r="J1526" s="564" t="s">
        <v>1069</v>
      </c>
      <c r="K1526" s="564" t="s">
        <v>1120</v>
      </c>
      <c r="L1526" s="564" t="s">
        <v>2098</v>
      </c>
      <c r="M1526" s="564" t="s">
        <v>2098</v>
      </c>
      <c r="N1526" s="564" t="s">
        <v>70</v>
      </c>
      <c r="O1526" s="564" t="s">
        <v>2099</v>
      </c>
      <c r="P1526" s="23"/>
      <c r="Q1526" s="23"/>
      <c r="R1526" s="23"/>
      <c r="S1526" s="23"/>
      <c r="T1526" s="23"/>
      <c r="U1526" s="23"/>
      <c r="V1526" s="23"/>
      <c r="W1526" s="23"/>
      <c r="X1526" s="23"/>
      <c r="Y1526" s="23"/>
      <c r="Z1526" s="23"/>
    </row>
    <row r="1527" spans="1:26" ht="13">
      <c r="A1527" s="562" t="s">
        <v>4310</v>
      </c>
      <c r="B1527" s="563" t="s">
        <v>4311</v>
      </c>
      <c r="C1527" s="564" t="s">
        <v>1652</v>
      </c>
      <c r="D1527" s="565">
        <v>44200</v>
      </c>
      <c r="E1527" s="565">
        <v>44231</v>
      </c>
      <c r="F1527" s="566">
        <v>29184545</v>
      </c>
      <c r="G1527" s="564" t="s">
        <v>1623</v>
      </c>
      <c r="H1527" s="564" t="s">
        <v>1623</v>
      </c>
      <c r="I1527" s="564" t="s">
        <v>802</v>
      </c>
      <c r="J1527" s="564" t="s">
        <v>1069</v>
      </c>
      <c r="K1527" s="564" t="s">
        <v>1198</v>
      </c>
      <c r="L1527" s="564" t="s">
        <v>2098</v>
      </c>
      <c r="M1527" s="564" t="s">
        <v>2098</v>
      </c>
      <c r="N1527" s="564" t="s">
        <v>132</v>
      </c>
      <c r="O1527" s="564" t="s">
        <v>2099</v>
      </c>
      <c r="P1527" s="23"/>
      <c r="Q1527" s="23"/>
      <c r="R1527" s="23"/>
      <c r="S1527" s="23"/>
      <c r="T1527" s="23"/>
      <c r="U1527" s="23"/>
      <c r="V1527" s="23"/>
      <c r="W1527" s="23"/>
      <c r="X1527" s="23"/>
      <c r="Y1527" s="23"/>
      <c r="Z1527" s="23"/>
    </row>
    <row r="1528" spans="1:26" ht="13">
      <c r="A1528" s="562" t="s">
        <v>4312</v>
      </c>
      <c r="B1528" s="563" t="s">
        <v>4313</v>
      </c>
      <c r="C1528" s="564" t="s">
        <v>1652</v>
      </c>
      <c r="D1528" s="565">
        <v>44194</v>
      </c>
      <c r="E1528" s="565">
        <v>44225</v>
      </c>
      <c r="F1528" s="566">
        <v>16818182</v>
      </c>
      <c r="G1528" s="564" t="s">
        <v>1623</v>
      </c>
      <c r="H1528" s="564" t="s">
        <v>1623</v>
      </c>
      <c r="I1528" s="564" t="s">
        <v>802</v>
      </c>
      <c r="J1528" s="564" t="s">
        <v>1069</v>
      </c>
      <c r="K1528" s="564" t="s">
        <v>1198</v>
      </c>
      <c r="L1528" s="564" t="s">
        <v>2098</v>
      </c>
      <c r="M1528" s="564" t="s">
        <v>2098</v>
      </c>
      <c r="N1528" s="564" t="s">
        <v>132</v>
      </c>
      <c r="O1528" s="564" t="s">
        <v>2099</v>
      </c>
      <c r="P1528" s="23"/>
      <c r="Q1528" s="23"/>
      <c r="R1528" s="23"/>
      <c r="S1528" s="23"/>
      <c r="T1528" s="23"/>
      <c r="U1528" s="23"/>
      <c r="V1528" s="23"/>
      <c r="W1528" s="23"/>
      <c r="X1528" s="23"/>
      <c r="Y1528" s="23"/>
      <c r="Z1528" s="23"/>
    </row>
    <row r="1529" spans="1:26" ht="13">
      <c r="A1529" s="562" t="s">
        <v>4314</v>
      </c>
      <c r="B1529" s="563" t="s">
        <v>4315</v>
      </c>
      <c r="C1529" s="564" t="s">
        <v>1475</v>
      </c>
      <c r="D1529" s="565">
        <v>44193</v>
      </c>
      <c r="E1529" s="565">
        <v>44216</v>
      </c>
      <c r="F1529" s="566">
        <v>550800</v>
      </c>
      <c r="G1529" s="564" t="s">
        <v>1293</v>
      </c>
      <c r="H1529" s="564" t="s">
        <v>1293</v>
      </c>
      <c r="I1529" s="564" t="s">
        <v>125</v>
      </c>
      <c r="J1529" s="564" t="s">
        <v>1069</v>
      </c>
      <c r="K1529" s="564" t="s">
        <v>1070</v>
      </c>
      <c r="L1529" s="564" t="s">
        <v>2098</v>
      </c>
      <c r="M1529" s="564" t="s">
        <v>2098</v>
      </c>
      <c r="N1529" s="564" t="s">
        <v>1073</v>
      </c>
      <c r="O1529" s="564" t="s">
        <v>2099</v>
      </c>
      <c r="P1529" s="23"/>
      <c r="Q1529" s="23"/>
      <c r="R1529" s="23"/>
      <c r="S1529" s="23"/>
      <c r="T1529" s="23"/>
      <c r="U1529" s="23"/>
      <c r="V1529" s="23"/>
      <c r="W1529" s="23"/>
      <c r="X1529" s="23"/>
      <c r="Y1529" s="23"/>
      <c r="Z1529" s="23"/>
    </row>
    <row r="1530" spans="1:26" ht="13">
      <c r="A1530" s="562" t="s">
        <v>4316</v>
      </c>
      <c r="B1530" s="563" t="s">
        <v>4317</v>
      </c>
      <c r="C1530" s="564" t="s">
        <v>1204</v>
      </c>
      <c r="D1530" s="565">
        <v>44116</v>
      </c>
      <c r="E1530" s="565">
        <v>44227</v>
      </c>
      <c r="F1530" s="566">
        <v>51856000</v>
      </c>
      <c r="G1530" s="564" t="s">
        <v>674</v>
      </c>
      <c r="H1530" s="564" t="s">
        <v>674</v>
      </c>
      <c r="I1530" s="564" t="s">
        <v>45</v>
      </c>
      <c r="J1530" s="564" t="s">
        <v>1069</v>
      </c>
      <c r="K1530" s="564" t="s">
        <v>1090</v>
      </c>
      <c r="L1530" s="564" t="s">
        <v>2098</v>
      </c>
      <c r="M1530" s="564" t="s">
        <v>2098</v>
      </c>
      <c r="N1530" s="564" t="s">
        <v>45</v>
      </c>
      <c r="O1530" s="564" t="s">
        <v>2099</v>
      </c>
      <c r="P1530" s="23"/>
      <c r="Q1530" s="23"/>
      <c r="R1530" s="23"/>
      <c r="S1530" s="23"/>
      <c r="T1530" s="23"/>
      <c r="U1530" s="23"/>
      <c r="V1530" s="23"/>
      <c r="W1530" s="23"/>
      <c r="X1530" s="23"/>
      <c r="Y1530" s="23"/>
      <c r="Z1530" s="23"/>
    </row>
    <row r="1531" spans="1:26" ht="13">
      <c r="A1531" s="562" t="s">
        <v>4318</v>
      </c>
      <c r="B1531" s="563" t="s">
        <v>4319</v>
      </c>
      <c r="C1531" s="564" t="s">
        <v>1652</v>
      </c>
      <c r="D1531" s="565">
        <v>44193</v>
      </c>
      <c r="E1531" s="565">
        <v>44203</v>
      </c>
      <c r="F1531" s="566">
        <v>4810000</v>
      </c>
      <c r="G1531" s="564" t="s">
        <v>4261</v>
      </c>
      <c r="H1531" s="564" t="s">
        <v>4261</v>
      </c>
      <c r="I1531" s="564" t="s">
        <v>70</v>
      </c>
      <c r="J1531" s="564" t="s">
        <v>1069</v>
      </c>
      <c r="K1531" s="564" t="s">
        <v>1120</v>
      </c>
      <c r="L1531" s="564" t="s">
        <v>2098</v>
      </c>
      <c r="M1531" s="564" t="s">
        <v>2098</v>
      </c>
      <c r="N1531" s="564" t="s">
        <v>70</v>
      </c>
      <c r="O1531" s="564" t="s">
        <v>2099</v>
      </c>
      <c r="P1531" s="23"/>
      <c r="Q1531" s="23"/>
      <c r="R1531" s="23"/>
      <c r="S1531" s="23"/>
      <c r="T1531" s="23"/>
      <c r="U1531" s="23"/>
      <c r="V1531" s="23"/>
      <c r="W1531" s="23"/>
      <c r="X1531" s="23"/>
      <c r="Y1531" s="23"/>
      <c r="Z1531" s="23"/>
    </row>
    <row r="1532" spans="1:26" ht="13">
      <c r="A1532" s="562" t="s">
        <v>4320</v>
      </c>
      <c r="B1532" s="563" t="s">
        <v>4321</v>
      </c>
      <c r="C1532" s="564" t="s">
        <v>1652</v>
      </c>
      <c r="D1532" s="565">
        <v>44188</v>
      </c>
      <c r="E1532" s="565">
        <v>44196</v>
      </c>
      <c r="F1532" s="566">
        <v>8884418</v>
      </c>
      <c r="G1532" s="564" t="s">
        <v>1623</v>
      </c>
      <c r="H1532" s="564" t="s">
        <v>1623</v>
      </c>
      <c r="I1532" s="564" t="s">
        <v>802</v>
      </c>
      <c r="J1532" s="564" t="s">
        <v>1069</v>
      </c>
      <c r="K1532" s="564" t="s">
        <v>1198</v>
      </c>
      <c r="L1532" s="564" t="s">
        <v>2098</v>
      </c>
      <c r="M1532" s="564" t="s">
        <v>2098</v>
      </c>
      <c r="N1532" s="564" t="s">
        <v>132</v>
      </c>
      <c r="O1532" s="564" t="s">
        <v>2099</v>
      </c>
      <c r="P1532" s="23"/>
      <c r="Q1532" s="23"/>
      <c r="R1532" s="23"/>
      <c r="S1532" s="23"/>
      <c r="T1532" s="23"/>
      <c r="U1532" s="23"/>
      <c r="V1532" s="23"/>
      <c r="W1532" s="23"/>
      <c r="X1532" s="23"/>
      <c r="Y1532" s="23"/>
      <c r="Z1532" s="23"/>
    </row>
    <row r="1533" spans="1:26" ht="13">
      <c r="A1533" s="562" t="s">
        <v>4322</v>
      </c>
      <c r="B1533" s="563" t="s">
        <v>4323</v>
      </c>
      <c r="C1533" s="564" t="s">
        <v>1652</v>
      </c>
      <c r="D1533" s="565">
        <v>44186</v>
      </c>
      <c r="E1533" s="565">
        <v>44193</v>
      </c>
      <c r="F1533" s="566">
        <v>3970909</v>
      </c>
      <c r="G1533" s="564" t="s">
        <v>1623</v>
      </c>
      <c r="H1533" s="564" t="s">
        <v>1623</v>
      </c>
      <c r="I1533" s="564" t="s">
        <v>802</v>
      </c>
      <c r="J1533" s="564" t="s">
        <v>1069</v>
      </c>
      <c r="K1533" s="564" t="s">
        <v>1198</v>
      </c>
      <c r="L1533" s="564" t="s">
        <v>2098</v>
      </c>
      <c r="M1533" s="564" t="s">
        <v>2098</v>
      </c>
      <c r="N1533" s="564" t="s">
        <v>132</v>
      </c>
      <c r="O1533" s="564" t="s">
        <v>2099</v>
      </c>
      <c r="P1533" s="23"/>
      <c r="Q1533" s="23"/>
      <c r="R1533" s="23"/>
      <c r="S1533" s="23"/>
      <c r="T1533" s="23"/>
      <c r="U1533" s="23"/>
      <c r="V1533" s="23"/>
      <c r="W1533" s="23"/>
      <c r="X1533" s="23"/>
      <c r="Y1533" s="23"/>
      <c r="Z1533" s="23"/>
    </row>
    <row r="1534" spans="1:26" ht="13">
      <c r="A1534" s="562" t="s">
        <v>4324</v>
      </c>
      <c r="B1534" s="563" t="s">
        <v>4325</v>
      </c>
      <c r="C1534" s="564" t="s">
        <v>353</v>
      </c>
      <c r="D1534" s="565">
        <v>44183</v>
      </c>
      <c r="E1534" s="565">
        <v>44211</v>
      </c>
      <c r="F1534" s="566">
        <v>17945454</v>
      </c>
      <c r="G1534" s="564" t="s">
        <v>1182</v>
      </c>
      <c r="H1534" s="564" t="s">
        <v>1182</v>
      </c>
      <c r="I1534" s="564" t="s">
        <v>4326</v>
      </c>
      <c r="J1534" s="564" t="s">
        <v>1069</v>
      </c>
      <c r="K1534" s="564" t="s">
        <v>1209</v>
      </c>
      <c r="L1534" s="564" t="s">
        <v>2098</v>
      </c>
      <c r="M1534" s="564" t="s">
        <v>2098</v>
      </c>
      <c r="N1534" s="564" t="s">
        <v>2325</v>
      </c>
      <c r="O1534" s="564" t="s">
        <v>2099</v>
      </c>
      <c r="P1534" s="23"/>
      <c r="Q1534" s="23"/>
      <c r="R1534" s="23"/>
      <c r="S1534" s="23"/>
      <c r="T1534" s="23"/>
      <c r="U1534" s="23"/>
      <c r="V1534" s="23"/>
      <c r="W1534" s="23"/>
      <c r="X1534" s="23"/>
      <c r="Y1534" s="23"/>
      <c r="Z1534" s="23"/>
    </row>
    <row r="1535" spans="1:26" ht="13">
      <c r="A1535" s="562" t="s">
        <v>4327</v>
      </c>
      <c r="B1535" s="563" t="s">
        <v>4328</v>
      </c>
      <c r="C1535" s="564" t="s">
        <v>353</v>
      </c>
      <c r="D1535" s="565">
        <v>44183</v>
      </c>
      <c r="E1535" s="565">
        <v>44196</v>
      </c>
      <c r="F1535" s="566">
        <v>7315300</v>
      </c>
      <c r="G1535" s="564" t="s">
        <v>1293</v>
      </c>
      <c r="H1535" s="564" t="s">
        <v>1293</v>
      </c>
      <c r="I1535" s="564" t="s">
        <v>121</v>
      </c>
      <c r="J1535" s="564" t="s">
        <v>1069</v>
      </c>
      <c r="K1535" s="564" t="s">
        <v>1105</v>
      </c>
      <c r="L1535" s="564" t="s">
        <v>2098</v>
      </c>
      <c r="M1535" s="564" t="s">
        <v>2098</v>
      </c>
      <c r="N1535" s="564" t="s">
        <v>1073</v>
      </c>
      <c r="O1535" s="564" t="s">
        <v>2099</v>
      </c>
      <c r="P1535" s="23"/>
      <c r="Q1535" s="23"/>
      <c r="R1535" s="23"/>
      <c r="S1535" s="23"/>
      <c r="T1535" s="23"/>
      <c r="U1535" s="23"/>
      <c r="V1535" s="23"/>
      <c r="W1535" s="23"/>
      <c r="X1535" s="23"/>
      <c r="Y1535" s="23"/>
      <c r="Z1535" s="23"/>
    </row>
    <row r="1536" spans="1:26" ht="13">
      <c r="A1536" s="562" t="s">
        <v>4329</v>
      </c>
      <c r="B1536" s="563" t="s">
        <v>4330</v>
      </c>
      <c r="C1536" s="564" t="s">
        <v>353</v>
      </c>
      <c r="D1536" s="565">
        <v>44168</v>
      </c>
      <c r="E1536" s="565">
        <v>44188</v>
      </c>
      <c r="F1536" s="566">
        <v>20000000</v>
      </c>
      <c r="G1536" s="564" t="s">
        <v>1128</v>
      </c>
      <c r="H1536" s="564" t="s">
        <v>1128</v>
      </c>
      <c r="I1536" s="564" t="s">
        <v>45</v>
      </c>
      <c r="J1536" s="564" t="s">
        <v>1069</v>
      </c>
      <c r="K1536" s="564" t="s">
        <v>1090</v>
      </c>
      <c r="L1536" s="564" t="s">
        <v>2098</v>
      </c>
      <c r="M1536" s="564" t="s">
        <v>2098</v>
      </c>
      <c r="N1536" s="564" t="s">
        <v>45</v>
      </c>
      <c r="O1536" s="564" t="s">
        <v>2099</v>
      </c>
      <c r="P1536" s="23"/>
      <c r="Q1536" s="23"/>
      <c r="R1536" s="23"/>
      <c r="S1536" s="23"/>
      <c r="T1536" s="23"/>
      <c r="U1536" s="23"/>
      <c r="V1536" s="23"/>
      <c r="W1536" s="23"/>
      <c r="X1536" s="23"/>
      <c r="Y1536" s="23"/>
      <c r="Z1536" s="23"/>
    </row>
    <row r="1537" spans="1:26" ht="13">
      <c r="A1537" s="562" t="s">
        <v>4331</v>
      </c>
      <c r="B1537" s="563" t="s">
        <v>3734</v>
      </c>
      <c r="C1537" s="564" t="s">
        <v>353</v>
      </c>
      <c r="D1537" s="565">
        <v>44166</v>
      </c>
      <c r="E1537" s="565">
        <v>44188</v>
      </c>
      <c r="F1537" s="566">
        <v>17733000</v>
      </c>
      <c r="G1537" s="564" t="s">
        <v>1128</v>
      </c>
      <c r="H1537" s="564" t="s">
        <v>1128</v>
      </c>
      <c r="I1537" s="564" t="s">
        <v>45</v>
      </c>
      <c r="J1537" s="564" t="s">
        <v>1069</v>
      </c>
      <c r="K1537" s="564" t="s">
        <v>1090</v>
      </c>
      <c r="L1537" s="564" t="s">
        <v>2098</v>
      </c>
      <c r="M1537" s="564" t="s">
        <v>2098</v>
      </c>
      <c r="N1537" s="564" t="s">
        <v>45</v>
      </c>
      <c r="O1537" s="564" t="s">
        <v>2099</v>
      </c>
      <c r="P1537" s="23"/>
      <c r="Q1537" s="23"/>
      <c r="R1537" s="23"/>
      <c r="S1537" s="23"/>
      <c r="T1537" s="23"/>
      <c r="U1537" s="23"/>
      <c r="V1537" s="23"/>
      <c r="W1537" s="23"/>
      <c r="X1537" s="23"/>
      <c r="Y1537" s="23"/>
      <c r="Z1537" s="23"/>
    </row>
    <row r="1538" spans="1:26" ht="13">
      <c r="A1538" s="562" t="s">
        <v>4332</v>
      </c>
      <c r="B1538" s="563" t="s">
        <v>4333</v>
      </c>
      <c r="C1538" s="564" t="s">
        <v>353</v>
      </c>
      <c r="D1538" s="565">
        <v>44168</v>
      </c>
      <c r="E1538" s="565">
        <v>44188</v>
      </c>
      <c r="F1538" s="566">
        <v>12000000</v>
      </c>
      <c r="G1538" s="564" t="s">
        <v>1128</v>
      </c>
      <c r="H1538" s="564" t="s">
        <v>1128</v>
      </c>
      <c r="I1538" s="564" t="s">
        <v>45</v>
      </c>
      <c r="J1538" s="564" t="s">
        <v>1069</v>
      </c>
      <c r="K1538" s="564" t="s">
        <v>1090</v>
      </c>
      <c r="L1538" s="564" t="s">
        <v>2098</v>
      </c>
      <c r="M1538" s="564" t="s">
        <v>2098</v>
      </c>
      <c r="N1538" s="564" t="s">
        <v>45</v>
      </c>
      <c r="O1538" s="564" t="s">
        <v>2099</v>
      </c>
      <c r="P1538" s="23"/>
      <c r="Q1538" s="23"/>
      <c r="R1538" s="23"/>
      <c r="S1538" s="23"/>
      <c r="T1538" s="23"/>
      <c r="U1538" s="23"/>
      <c r="V1538" s="23"/>
      <c r="W1538" s="23"/>
      <c r="X1538" s="23"/>
      <c r="Y1538" s="23"/>
      <c r="Z1538" s="23"/>
    </row>
    <row r="1539" spans="1:26" ht="13">
      <c r="A1539" s="562" t="s">
        <v>4334</v>
      </c>
      <c r="B1539" s="563" t="s">
        <v>4335</v>
      </c>
      <c r="C1539" s="564" t="s">
        <v>353</v>
      </c>
      <c r="D1539" s="565">
        <v>44168</v>
      </c>
      <c r="E1539" s="565">
        <v>44188</v>
      </c>
      <c r="F1539" s="566">
        <v>7510000</v>
      </c>
      <c r="G1539" s="564" t="s">
        <v>1128</v>
      </c>
      <c r="H1539" s="564" t="s">
        <v>1128</v>
      </c>
      <c r="I1539" s="564" t="s">
        <v>45</v>
      </c>
      <c r="J1539" s="564" t="s">
        <v>1069</v>
      </c>
      <c r="K1539" s="564" t="s">
        <v>1090</v>
      </c>
      <c r="L1539" s="564" t="s">
        <v>2098</v>
      </c>
      <c r="M1539" s="564" t="s">
        <v>2098</v>
      </c>
      <c r="N1539" s="564" t="s">
        <v>45</v>
      </c>
      <c r="O1539" s="564" t="s">
        <v>2099</v>
      </c>
      <c r="P1539" s="23"/>
      <c r="Q1539" s="23"/>
      <c r="R1539" s="23"/>
      <c r="S1539" s="23"/>
      <c r="T1539" s="23"/>
      <c r="U1539" s="23"/>
      <c r="V1539" s="23"/>
      <c r="W1539" s="23"/>
      <c r="X1539" s="23"/>
      <c r="Y1539" s="23"/>
      <c r="Z1539" s="23"/>
    </row>
    <row r="1540" spans="1:26" ht="13">
      <c r="A1540" s="562" t="s">
        <v>4336</v>
      </c>
      <c r="B1540" s="563" t="s">
        <v>3819</v>
      </c>
      <c r="C1540" s="564" t="s">
        <v>353</v>
      </c>
      <c r="D1540" s="565">
        <v>44174</v>
      </c>
      <c r="E1540" s="565">
        <v>44190</v>
      </c>
      <c r="F1540" s="566">
        <v>1680000</v>
      </c>
      <c r="G1540" s="564" t="s">
        <v>1157</v>
      </c>
      <c r="H1540" s="564" t="s">
        <v>1157</v>
      </c>
      <c r="I1540" s="564" t="s">
        <v>170</v>
      </c>
      <c r="J1540" s="564" t="s">
        <v>1069</v>
      </c>
      <c r="K1540" s="564" t="s">
        <v>1105</v>
      </c>
      <c r="L1540" s="564" t="s">
        <v>2098</v>
      </c>
      <c r="M1540" s="564" t="s">
        <v>2098</v>
      </c>
      <c r="N1540" s="564" t="s">
        <v>170</v>
      </c>
      <c r="O1540" s="564" t="s">
        <v>2099</v>
      </c>
      <c r="P1540" s="23"/>
      <c r="Q1540" s="23"/>
      <c r="R1540" s="23"/>
      <c r="S1540" s="23"/>
      <c r="T1540" s="23"/>
      <c r="U1540" s="23"/>
      <c r="V1540" s="23"/>
      <c r="W1540" s="23"/>
      <c r="X1540" s="23"/>
      <c r="Y1540" s="23"/>
      <c r="Z1540" s="23"/>
    </row>
    <row r="1541" spans="1:26" ht="13">
      <c r="A1541" s="562" t="s">
        <v>4337</v>
      </c>
      <c r="B1541" s="563" t="s">
        <v>3823</v>
      </c>
      <c r="C1541" s="564" t="s">
        <v>1475</v>
      </c>
      <c r="D1541" s="565">
        <v>44174</v>
      </c>
      <c r="E1541" s="565">
        <v>44196</v>
      </c>
      <c r="F1541" s="566">
        <v>740000</v>
      </c>
      <c r="G1541" s="564" t="s">
        <v>1293</v>
      </c>
      <c r="H1541" s="564" t="s">
        <v>1293</v>
      </c>
      <c r="I1541" s="564" t="s">
        <v>3824</v>
      </c>
      <c r="J1541" s="564" t="s">
        <v>1069</v>
      </c>
      <c r="K1541" s="564" t="s">
        <v>1070</v>
      </c>
      <c r="L1541" s="564" t="s">
        <v>2098</v>
      </c>
      <c r="M1541" s="564" t="s">
        <v>2098</v>
      </c>
      <c r="N1541" s="564" t="s">
        <v>1073</v>
      </c>
      <c r="O1541" s="564" t="s">
        <v>2099</v>
      </c>
      <c r="P1541" s="23"/>
      <c r="Q1541" s="23"/>
      <c r="R1541" s="23"/>
      <c r="S1541" s="23"/>
      <c r="T1541" s="23"/>
      <c r="U1541" s="23"/>
      <c r="V1541" s="23"/>
      <c r="W1541" s="23"/>
      <c r="X1541" s="23"/>
      <c r="Y1541" s="23"/>
      <c r="Z1541" s="23"/>
    </row>
    <row r="1542" spans="1:26" ht="13">
      <c r="A1542" s="562" t="s">
        <v>4338</v>
      </c>
      <c r="B1542" s="563" t="s">
        <v>3821</v>
      </c>
      <c r="C1542" s="564" t="s">
        <v>1475</v>
      </c>
      <c r="D1542" s="565">
        <v>44174</v>
      </c>
      <c r="E1542" s="565">
        <v>44196</v>
      </c>
      <c r="F1542" s="566">
        <v>740000</v>
      </c>
      <c r="G1542" s="564" t="s">
        <v>1293</v>
      </c>
      <c r="H1542" s="564" t="s">
        <v>1293</v>
      </c>
      <c r="I1542" s="564" t="s">
        <v>2586</v>
      </c>
      <c r="J1542" s="564" t="s">
        <v>1069</v>
      </c>
      <c r="K1542" s="564" t="s">
        <v>1070</v>
      </c>
      <c r="L1542" s="564" t="s">
        <v>2098</v>
      </c>
      <c r="M1542" s="564" t="s">
        <v>2098</v>
      </c>
      <c r="N1542" s="564" t="s">
        <v>1073</v>
      </c>
      <c r="O1542" s="564" t="s">
        <v>2099</v>
      </c>
      <c r="P1542" s="23"/>
      <c r="Q1542" s="23"/>
      <c r="R1542" s="23"/>
      <c r="S1542" s="23"/>
      <c r="T1542" s="23"/>
      <c r="U1542" s="23"/>
      <c r="V1542" s="23"/>
      <c r="W1542" s="23"/>
      <c r="X1542" s="23"/>
      <c r="Y1542" s="23"/>
      <c r="Z1542" s="23"/>
    </row>
    <row r="1543" spans="1:26" ht="13">
      <c r="A1543" s="562" t="s">
        <v>4339</v>
      </c>
      <c r="B1543" s="563" t="s">
        <v>4340</v>
      </c>
      <c r="C1543" s="564" t="s">
        <v>353</v>
      </c>
      <c r="D1543" s="565">
        <v>44174</v>
      </c>
      <c r="E1543" s="565">
        <v>44188</v>
      </c>
      <c r="F1543" s="566">
        <v>1035000</v>
      </c>
      <c r="G1543" s="564" t="s">
        <v>297</v>
      </c>
      <c r="H1543" s="564" t="s">
        <v>297</v>
      </c>
      <c r="I1543" s="564" t="s">
        <v>45</v>
      </c>
      <c r="J1543" s="564" t="s">
        <v>1069</v>
      </c>
      <c r="K1543" s="564" t="s">
        <v>1090</v>
      </c>
      <c r="L1543" s="564" t="s">
        <v>2098</v>
      </c>
      <c r="M1543" s="564" t="s">
        <v>2098</v>
      </c>
      <c r="N1543" s="564" t="s">
        <v>45</v>
      </c>
      <c r="O1543" s="564" t="s">
        <v>2099</v>
      </c>
      <c r="P1543" s="23"/>
      <c r="Q1543" s="23"/>
      <c r="R1543" s="23"/>
      <c r="S1543" s="23"/>
      <c r="T1543" s="23"/>
      <c r="U1543" s="23"/>
      <c r="V1543" s="23"/>
      <c r="W1543" s="23"/>
      <c r="X1543" s="23"/>
      <c r="Y1543" s="23"/>
      <c r="Z1543" s="23"/>
    </row>
    <row r="1544" spans="1:26" ht="13">
      <c r="A1544" s="562" t="s">
        <v>4341</v>
      </c>
      <c r="B1544" s="563" t="s">
        <v>4342</v>
      </c>
      <c r="C1544" s="564" t="s">
        <v>1475</v>
      </c>
      <c r="D1544" s="565">
        <v>44179</v>
      </c>
      <c r="E1544" s="565">
        <v>44211</v>
      </c>
      <c r="F1544" s="566">
        <v>167890000</v>
      </c>
      <c r="G1544" s="564" t="s">
        <v>4343</v>
      </c>
      <c r="H1544" s="564" t="s">
        <v>4343</v>
      </c>
      <c r="I1544" s="564" t="s">
        <v>4344</v>
      </c>
      <c r="J1544" s="564" t="s">
        <v>1069</v>
      </c>
      <c r="K1544" s="564" t="s">
        <v>2878</v>
      </c>
      <c r="L1544" s="564" t="s">
        <v>2098</v>
      </c>
      <c r="M1544" s="564" t="s">
        <v>2098</v>
      </c>
      <c r="N1544" s="564" t="s">
        <v>1082</v>
      </c>
      <c r="O1544" s="564" t="s">
        <v>2099</v>
      </c>
      <c r="P1544" s="23"/>
      <c r="Q1544" s="23"/>
      <c r="R1544" s="23"/>
      <c r="S1544" s="23"/>
      <c r="T1544" s="23"/>
      <c r="U1544" s="23"/>
      <c r="V1544" s="23"/>
      <c r="W1544" s="23"/>
      <c r="X1544" s="23"/>
      <c r="Y1544" s="23"/>
      <c r="Z1544" s="23"/>
    </row>
    <row r="1545" spans="1:26" ht="13">
      <c r="A1545" s="562" t="s">
        <v>4345</v>
      </c>
      <c r="B1545" s="563" t="s">
        <v>4346</v>
      </c>
      <c r="C1545" s="564" t="s">
        <v>1652</v>
      </c>
      <c r="D1545" s="565">
        <v>44174</v>
      </c>
      <c r="E1545" s="565">
        <v>44181</v>
      </c>
      <c r="F1545" s="566">
        <v>420000</v>
      </c>
      <c r="G1545" s="564" t="s">
        <v>4261</v>
      </c>
      <c r="H1545" s="564" t="s">
        <v>4261</v>
      </c>
      <c r="I1545" s="564" t="s">
        <v>70</v>
      </c>
      <c r="J1545" s="564" t="s">
        <v>1069</v>
      </c>
      <c r="K1545" s="564" t="s">
        <v>1120</v>
      </c>
      <c r="L1545" s="564" t="s">
        <v>2098</v>
      </c>
      <c r="M1545" s="564" t="s">
        <v>2098</v>
      </c>
      <c r="N1545" s="564" t="s">
        <v>70</v>
      </c>
      <c r="O1545" s="564" t="s">
        <v>2099</v>
      </c>
      <c r="P1545" s="23"/>
      <c r="Q1545" s="23"/>
      <c r="R1545" s="23"/>
      <c r="S1545" s="23"/>
      <c r="T1545" s="23"/>
      <c r="U1545" s="23"/>
      <c r="V1545" s="23"/>
      <c r="W1545" s="23"/>
      <c r="X1545" s="23"/>
      <c r="Y1545" s="23"/>
      <c r="Z1545" s="23"/>
    </row>
    <row r="1546" spans="1:26" ht="13">
      <c r="A1546" s="562" t="s">
        <v>4347</v>
      </c>
      <c r="B1546" s="563" t="s">
        <v>4348</v>
      </c>
      <c r="C1546" s="564" t="s">
        <v>1652</v>
      </c>
      <c r="D1546" s="565">
        <v>44173</v>
      </c>
      <c r="E1546" s="565">
        <v>44188</v>
      </c>
      <c r="F1546" s="566">
        <v>1320000</v>
      </c>
      <c r="G1546" s="564" t="s">
        <v>4261</v>
      </c>
      <c r="H1546" s="564" t="s">
        <v>4261</v>
      </c>
      <c r="I1546" s="564" t="s">
        <v>70</v>
      </c>
      <c r="J1546" s="564" t="s">
        <v>1069</v>
      </c>
      <c r="K1546" s="564" t="s">
        <v>1120</v>
      </c>
      <c r="L1546" s="564" t="s">
        <v>2098</v>
      </c>
      <c r="M1546" s="564" t="s">
        <v>2098</v>
      </c>
      <c r="N1546" s="564" t="s">
        <v>70</v>
      </c>
      <c r="O1546" s="564" t="s">
        <v>2099</v>
      </c>
      <c r="P1546" s="23"/>
      <c r="Q1546" s="23"/>
      <c r="R1546" s="23"/>
      <c r="S1546" s="23"/>
      <c r="T1546" s="23"/>
      <c r="U1546" s="23"/>
      <c r="V1546" s="23"/>
      <c r="W1546" s="23"/>
      <c r="X1546" s="23"/>
      <c r="Y1546" s="23"/>
      <c r="Z1546" s="23"/>
    </row>
    <row r="1547" spans="1:26" ht="13">
      <c r="A1547" s="562" t="s">
        <v>4349</v>
      </c>
      <c r="B1547" s="563" t="s">
        <v>4350</v>
      </c>
      <c r="C1547" s="564" t="s">
        <v>1076</v>
      </c>
      <c r="D1547" s="565">
        <v>44169</v>
      </c>
      <c r="E1547" s="565">
        <v>44231</v>
      </c>
      <c r="F1547" s="566">
        <v>542000</v>
      </c>
      <c r="G1547" s="564" t="s">
        <v>1077</v>
      </c>
      <c r="H1547" s="564" t="s">
        <v>1077</v>
      </c>
      <c r="I1547" s="564" t="s">
        <v>637</v>
      </c>
      <c r="J1547" s="564" t="s">
        <v>1069</v>
      </c>
      <c r="K1547" s="564" t="s">
        <v>1070</v>
      </c>
      <c r="L1547" s="564" t="s">
        <v>2098</v>
      </c>
      <c r="M1547" s="564" t="s">
        <v>2098</v>
      </c>
      <c r="N1547" s="564" t="s">
        <v>1082</v>
      </c>
      <c r="O1547" s="564" t="s">
        <v>2099</v>
      </c>
      <c r="P1547" s="23"/>
      <c r="Q1547" s="23"/>
      <c r="R1547" s="23"/>
      <c r="S1547" s="23"/>
      <c r="T1547" s="23"/>
      <c r="U1547" s="23"/>
      <c r="V1547" s="23"/>
      <c r="W1547" s="23"/>
      <c r="X1547" s="23"/>
      <c r="Y1547" s="23"/>
      <c r="Z1547" s="23"/>
    </row>
    <row r="1548" spans="1:26" ht="13">
      <c r="A1548" s="562" t="s">
        <v>4351</v>
      </c>
      <c r="B1548" s="563" t="s">
        <v>4352</v>
      </c>
      <c r="C1548" s="564" t="s">
        <v>1475</v>
      </c>
      <c r="D1548" s="565">
        <v>44168</v>
      </c>
      <c r="E1548" s="565">
        <v>44181</v>
      </c>
      <c r="F1548" s="566">
        <v>390600</v>
      </c>
      <c r="G1548" s="564" t="s">
        <v>1293</v>
      </c>
      <c r="H1548" s="564" t="s">
        <v>1293</v>
      </c>
      <c r="I1548" s="564" t="s">
        <v>2973</v>
      </c>
      <c r="J1548" s="564" t="s">
        <v>1069</v>
      </c>
      <c r="K1548" s="564" t="s">
        <v>1090</v>
      </c>
      <c r="L1548" s="564" t="s">
        <v>2098</v>
      </c>
      <c r="M1548" s="564" t="s">
        <v>2098</v>
      </c>
      <c r="N1548" s="564" t="s">
        <v>1073</v>
      </c>
      <c r="O1548" s="564" t="s">
        <v>2099</v>
      </c>
      <c r="P1548" s="23"/>
      <c r="Q1548" s="23"/>
      <c r="R1548" s="23"/>
      <c r="S1548" s="23"/>
      <c r="T1548" s="23"/>
      <c r="U1548" s="23"/>
      <c r="V1548" s="23"/>
      <c r="W1548" s="23"/>
      <c r="X1548" s="23"/>
      <c r="Y1548" s="23"/>
      <c r="Z1548" s="23"/>
    </row>
    <row r="1549" spans="1:26" ht="13">
      <c r="A1549" s="562" t="s">
        <v>4353</v>
      </c>
      <c r="B1549" s="563" t="s">
        <v>4354</v>
      </c>
      <c r="C1549" s="564" t="s">
        <v>1076</v>
      </c>
      <c r="D1549" s="565">
        <v>44167</v>
      </c>
      <c r="E1549" s="565">
        <v>44229</v>
      </c>
      <c r="F1549" s="566">
        <v>1826000</v>
      </c>
      <c r="G1549" s="564" t="s">
        <v>1077</v>
      </c>
      <c r="H1549" s="564" t="s">
        <v>1077</v>
      </c>
      <c r="I1549" s="564" t="s">
        <v>637</v>
      </c>
      <c r="J1549" s="564" t="s">
        <v>1069</v>
      </c>
      <c r="K1549" s="564" t="s">
        <v>1070</v>
      </c>
      <c r="L1549" s="564" t="s">
        <v>2098</v>
      </c>
      <c r="M1549" s="564" t="s">
        <v>2098</v>
      </c>
      <c r="N1549" s="564" t="s">
        <v>1082</v>
      </c>
      <c r="O1549" s="564" t="s">
        <v>2099</v>
      </c>
      <c r="P1549" s="23"/>
      <c r="Q1549" s="23"/>
      <c r="R1549" s="23"/>
      <c r="S1549" s="23"/>
      <c r="T1549" s="23"/>
      <c r="U1549" s="23"/>
      <c r="V1549" s="23"/>
      <c r="W1549" s="23"/>
      <c r="X1549" s="23"/>
      <c r="Y1549" s="23"/>
      <c r="Z1549" s="23"/>
    </row>
    <row r="1550" spans="1:26" ht="13">
      <c r="A1550" s="562" t="s">
        <v>4355</v>
      </c>
      <c r="B1550" s="563" t="s">
        <v>4356</v>
      </c>
      <c r="C1550" s="564" t="s">
        <v>1652</v>
      </c>
      <c r="D1550" s="565">
        <v>44167</v>
      </c>
      <c r="E1550" s="565">
        <v>44196</v>
      </c>
      <c r="F1550" s="566">
        <v>6194545</v>
      </c>
      <c r="G1550" s="564" t="s">
        <v>1623</v>
      </c>
      <c r="H1550" s="564" t="s">
        <v>1623</v>
      </c>
      <c r="I1550" s="564" t="s">
        <v>802</v>
      </c>
      <c r="J1550" s="564" t="s">
        <v>1069</v>
      </c>
      <c r="K1550" s="564" t="s">
        <v>1198</v>
      </c>
      <c r="L1550" s="564" t="s">
        <v>2098</v>
      </c>
      <c r="M1550" s="564" t="s">
        <v>2098</v>
      </c>
      <c r="N1550" s="564" t="s">
        <v>132</v>
      </c>
      <c r="O1550" s="564" t="s">
        <v>2099</v>
      </c>
      <c r="P1550" s="23"/>
      <c r="Q1550" s="23"/>
      <c r="R1550" s="23"/>
      <c r="S1550" s="23"/>
      <c r="T1550" s="23"/>
      <c r="U1550" s="23"/>
      <c r="V1550" s="23"/>
      <c r="W1550" s="23"/>
      <c r="X1550" s="23"/>
      <c r="Y1550" s="23"/>
      <c r="Z1550" s="23"/>
    </row>
    <row r="1551" spans="1:26" ht="13">
      <c r="A1551" s="562" t="s">
        <v>4357</v>
      </c>
      <c r="B1551" s="563" t="s">
        <v>4358</v>
      </c>
      <c r="C1551" s="564" t="s">
        <v>1652</v>
      </c>
      <c r="D1551" s="565">
        <v>44166</v>
      </c>
      <c r="E1551" s="565">
        <v>44173</v>
      </c>
      <c r="F1551" s="566">
        <v>1315000</v>
      </c>
      <c r="G1551" s="564" t="s">
        <v>4261</v>
      </c>
      <c r="H1551" s="564" t="s">
        <v>4261</v>
      </c>
      <c r="I1551" s="564" t="s">
        <v>70</v>
      </c>
      <c r="J1551" s="564" t="s">
        <v>1069</v>
      </c>
      <c r="K1551" s="564" t="s">
        <v>1120</v>
      </c>
      <c r="L1551" s="564" t="s">
        <v>2098</v>
      </c>
      <c r="M1551" s="564" t="s">
        <v>2098</v>
      </c>
      <c r="N1551" s="564" t="s">
        <v>70</v>
      </c>
      <c r="O1551" s="564" t="s">
        <v>2099</v>
      </c>
      <c r="P1551" s="23"/>
      <c r="Q1551" s="23"/>
      <c r="R1551" s="23"/>
      <c r="S1551" s="23"/>
      <c r="T1551" s="23"/>
      <c r="U1551" s="23"/>
      <c r="V1551" s="23"/>
      <c r="W1551" s="23"/>
      <c r="X1551" s="23"/>
      <c r="Y1551" s="23"/>
      <c r="Z1551" s="23"/>
    </row>
    <row r="1552" spans="1:26" ht="13">
      <c r="A1552" s="562" t="s">
        <v>4359</v>
      </c>
      <c r="B1552" s="563" t="s">
        <v>4360</v>
      </c>
      <c r="C1552" s="564" t="s">
        <v>1076</v>
      </c>
      <c r="D1552" s="565">
        <v>44161</v>
      </c>
      <c r="E1552" s="565">
        <v>44221</v>
      </c>
      <c r="F1552" s="566">
        <v>816000</v>
      </c>
      <c r="G1552" s="564" t="s">
        <v>1077</v>
      </c>
      <c r="H1552" s="564" t="s">
        <v>1077</v>
      </c>
      <c r="I1552" s="564" t="s">
        <v>637</v>
      </c>
      <c r="J1552" s="564" t="s">
        <v>1069</v>
      </c>
      <c r="K1552" s="564" t="s">
        <v>1070</v>
      </c>
      <c r="L1552" s="564" t="s">
        <v>2098</v>
      </c>
      <c r="M1552" s="564" t="s">
        <v>2098</v>
      </c>
      <c r="N1552" s="564" t="s">
        <v>1082</v>
      </c>
      <c r="O1552" s="564" t="s">
        <v>2099</v>
      </c>
      <c r="P1552" s="23"/>
      <c r="Q1552" s="23"/>
      <c r="R1552" s="23"/>
      <c r="S1552" s="23"/>
      <c r="T1552" s="23"/>
      <c r="U1552" s="23"/>
      <c r="V1552" s="23"/>
      <c r="W1552" s="23"/>
      <c r="X1552" s="23"/>
      <c r="Y1552" s="23"/>
      <c r="Z1552" s="23"/>
    </row>
    <row r="1553" spans="1:26" ht="13">
      <c r="A1553" s="562" t="s">
        <v>4361</v>
      </c>
      <c r="B1553" s="563" t="s">
        <v>4362</v>
      </c>
      <c r="C1553" s="564" t="s">
        <v>1475</v>
      </c>
      <c r="D1553" s="565">
        <v>44158</v>
      </c>
      <c r="E1553" s="565">
        <v>44181</v>
      </c>
      <c r="F1553" s="566">
        <v>1176600</v>
      </c>
      <c r="G1553" s="564" t="s">
        <v>1293</v>
      </c>
      <c r="H1553" s="564" t="s">
        <v>1293</v>
      </c>
      <c r="I1553" s="564" t="s">
        <v>3824</v>
      </c>
      <c r="J1553" s="564" t="s">
        <v>1069</v>
      </c>
      <c r="K1553" s="564" t="s">
        <v>1070</v>
      </c>
      <c r="L1553" s="564" t="s">
        <v>2098</v>
      </c>
      <c r="M1553" s="564" t="s">
        <v>2098</v>
      </c>
      <c r="N1553" s="564" t="s">
        <v>1073</v>
      </c>
      <c r="O1553" s="564" t="s">
        <v>2099</v>
      </c>
      <c r="P1553" s="23"/>
      <c r="Q1553" s="23"/>
      <c r="R1553" s="23"/>
      <c r="S1553" s="23"/>
      <c r="T1553" s="23"/>
      <c r="U1553" s="23"/>
      <c r="V1553" s="23"/>
      <c r="W1553" s="23"/>
      <c r="X1553" s="23"/>
      <c r="Y1553" s="23"/>
      <c r="Z1553" s="23"/>
    </row>
    <row r="1554" spans="1:26" ht="13">
      <c r="A1554" s="562" t="s">
        <v>4363</v>
      </c>
      <c r="B1554" s="563" t="s">
        <v>4364</v>
      </c>
      <c r="C1554" s="564" t="s">
        <v>1475</v>
      </c>
      <c r="D1554" s="565">
        <v>44158</v>
      </c>
      <c r="E1554" s="565">
        <v>44181</v>
      </c>
      <c r="F1554" s="566">
        <v>540600</v>
      </c>
      <c r="G1554" s="564" t="s">
        <v>1293</v>
      </c>
      <c r="H1554" s="564" t="s">
        <v>1293</v>
      </c>
      <c r="I1554" s="564" t="s">
        <v>2586</v>
      </c>
      <c r="J1554" s="564" t="s">
        <v>1069</v>
      </c>
      <c r="K1554" s="564" t="s">
        <v>1070</v>
      </c>
      <c r="L1554" s="564" t="s">
        <v>2098</v>
      </c>
      <c r="M1554" s="564" t="s">
        <v>2098</v>
      </c>
      <c r="N1554" s="564" t="s">
        <v>1073</v>
      </c>
      <c r="O1554" s="564" t="s">
        <v>2099</v>
      </c>
      <c r="P1554" s="23"/>
      <c r="Q1554" s="23"/>
      <c r="R1554" s="23"/>
      <c r="S1554" s="23"/>
      <c r="T1554" s="23"/>
      <c r="U1554" s="23"/>
      <c r="V1554" s="23"/>
      <c r="W1554" s="23"/>
      <c r="X1554" s="23"/>
      <c r="Y1554" s="23"/>
      <c r="Z1554" s="23"/>
    </row>
    <row r="1555" spans="1:26" ht="13">
      <c r="A1555" s="562" t="s">
        <v>4365</v>
      </c>
      <c r="B1555" s="563" t="s">
        <v>4366</v>
      </c>
      <c r="C1555" s="564" t="s">
        <v>1652</v>
      </c>
      <c r="D1555" s="565">
        <v>44155</v>
      </c>
      <c r="E1555" s="565">
        <v>44162</v>
      </c>
      <c r="F1555" s="566">
        <v>170000</v>
      </c>
      <c r="G1555" s="564" t="s">
        <v>4261</v>
      </c>
      <c r="H1555" s="564" t="s">
        <v>4261</v>
      </c>
      <c r="I1555" s="564" t="s">
        <v>70</v>
      </c>
      <c r="J1555" s="564" t="s">
        <v>1069</v>
      </c>
      <c r="K1555" s="564" t="s">
        <v>1120</v>
      </c>
      <c r="L1555" s="564" t="s">
        <v>2098</v>
      </c>
      <c r="M1555" s="564" t="s">
        <v>2098</v>
      </c>
      <c r="N1555" s="564" t="s">
        <v>70</v>
      </c>
      <c r="O1555" s="564" t="s">
        <v>2099</v>
      </c>
      <c r="P1555" s="23"/>
      <c r="Q1555" s="23"/>
      <c r="R1555" s="23"/>
      <c r="S1555" s="23"/>
      <c r="T1555" s="23"/>
      <c r="U1555" s="23"/>
      <c r="V1555" s="23"/>
      <c r="W1555" s="23"/>
      <c r="X1555" s="23"/>
      <c r="Y1555" s="23"/>
      <c r="Z1555" s="23"/>
    </row>
    <row r="1556" spans="1:26" ht="13">
      <c r="A1556" s="562" t="s">
        <v>4367</v>
      </c>
      <c r="B1556" s="563" t="s">
        <v>4368</v>
      </c>
      <c r="C1556" s="564" t="s">
        <v>1076</v>
      </c>
      <c r="D1556" s="565">
        <v>44154</v>
      </c>
      <c r="E1556" s="565">
        <v>44218</v>
      </c>
      <c r="F1556" s="566">
        <v>4472000</v>
      </c>
      <c r="G1556" s="564" t="s">
        <v>1077</v>
      </c>
      <c r="H1556" s="564" t="s">
        <v>1077</v>
      </c>
      <c r="I1556" s="564" t="s">
        <v>637</v>
      </c>
      <c r="J1556" s="564" t="s">
        <v>1069</v>
      </c>
      <c r="K1556" s="564" t="s">
        <v>1070</v>
      </c>
      <c r="L1556" s="564" t="s">
        <v>2098</v>
      </c>
      <c r="M1556" s="564" t="s">
        <v>2098</v>
      </c>
      <c r="N1556" s="564" t="s">
        <v>1082</v>
      </c>
      <c r="O1556" s="564" t="s">
        <v>2099</v>
      </c>
      <c r="P1556" s="23"/>
      <c r="Q1556" s="23"/>
      <c r="R1556" s="23"/>
      <c r="S1556" s="23"/>
      <c r="T1556" s="23"/>
      <c r="U1556" s="23"/>
      <c r="V1556" s="23"/>
      <c r="W1556" s="23"/>
      <c r="X1556" s="23"/>
      <c r="Y1556" s="23"/>
      <c r="Z1556" s="23"/>
    </row>
    <row r="1557" spans="1:26" ht="13">
      <c r="A1557" s="562" t="s">
        <v>4369</v>
      </c>
      <c r="B1557" s="563" t="s">
        <v>4370</v>
      </c>
      <c r="C1557" s="564" t="s">
        <v>1652</v>
      </c>
      <c r="D1557" s="565">
        <v>44154</v>
      </c>
      <c r="E1557" s="565">
        <v>44162</v>
      </c>
      <c r="F1557" s="566">
        <v>2275000</v>
      </c>
      <c r="G1557" s="564" t="s">
        <v>4261</v>
      </c>
      <c r="H1557" s="564" t="s">
        <v>4261</v>
      </c>
      <c r="I1557" s="564" t="s">
        <v>107</v>
      </c>
      <c r="J1557" s="564" t="s">
        <v>1069</v>
      </c>
      <c r="K1557" s="564" t="s">
        <v>1120</v>
      </c>
      <c r="L1557" s="564" t="s">
        <v>2098</v>
      </c>
      <c r="M1557" s="564" t="s">
        <v>2098</v>
      </c>
      <c r="N1557" s="564" t="s">
        <v>1073</v>
      </c>
      <c r="O1557" s="564" t="s">
        <v>2099</v>
      </c>
      <c r="P1557" s="23"/>
      <c r="Q1557" s="23"/>
      <c r="R1557" s="23"/>
      <c r="S1557" s="23"/>
      <c r="T1557" s="23"/>
      <c r="U1557" s="23"/>
      <c r="V1557" s="23"/>
      <c r="W1557" s="23"/>
      <c r="X1557" s="23"/>
      <c r="Y1557" s="23"/>
      <c r="Z1557" s="23"/>
    </row>
    <row r="1558" spans="1:26" ht="13">
      <c r="A1558" s="562" t="s">
        <v>4371</v>
      </c>
      <c r="B1558" s="563" t="s">
        <v>3832</v>
      </c>
      <c r="C1558" s="564" t="s">
        <v>353</v>
      </c>
      <c r="D1558" s="565">
        <v>44148</v>
      </c>
      <c r="E1558" s="565">
        <v>44183</v>
      </c>
      <c r="F1558" s="566">
        <v>32000000</v>
      </c>
      <c r="G1558" s="564" t="s">
        <v>1128</v>
      </c>
      <c r="H1558" s="564" t="s">
        <v>1128</v>
      </c>
      <c r="I1558" s="564" t="s">
        <v>45</v>
      </c>
      <c r="J1558" s="564" t="s">
        <v>1069</v>
      </c>
      <c r="K1558" s="564" t="s">
        <v>1090</v>
      </c>
      <c r="L1558" s="564" t="s">
        <v>2098</v>
      </c>
      <c r="M1558" s="564" t="s">
        <v>2098</v>
      </c>
      <c r="N1558" s="564" t="s">
        <v>45</v>
      </c>
      <c r="O1558" s="564" t="s">
        <v>2099</v>
      </c>
      <c r="P1558" s="23"/>
      <c r="Q1558" s="23"/>
      <c r="R1558" s="23"/>
      <c r="S1558" s="23"/>
      <c r="T1558" s="23"/>
      <c r="U1558" s="23"/>
      <c r="V1558" s="23"/>
      <c r="W1558" s="23"/>
      <c r="X1558" s="23"/>
      <c r="Y1558" s="23"/>
      <c r="Z1558" s="23"/>
    </row>
    <row r="1559" spans="1:26" ht="13">
      <c r="A1559" s="562" t="s">
        <v>4372</v>
      </c>
      <c r="B1559" s="563" t="s">
        <v>4373</v>
      </c>
      <c r="C1559" s="564" t="s">
        <v>353</v>
      </c>
      <c r="D1559" s="565">
        <v>44147</v>
      </c>
      <c r="E1559" s="565">
        <v>44165</v>
      </c>
      <c r="F1559" s="566">
        <v>24000000</v>
      </c>
      <c r="G1559" s="564" t="s">
        <v>297</v>
      </c>
      <c r="H1559" s="564" t="s">
        <v>297</v>
      </c>
      <c r="I1559" s="564" t="s">
        <v>45</v>
      </c>
      <c r="J1559" s="564" t="s">
        <v>1069</v>
      </c>
      <c r="K1559" s="564" t="s">
        <v>1090</v>
      </c>
      <c r="L1559" s="564" t="s">
        <v>2098</v>
      </c>
      <c r="M1559" s="564" t="s">
        <v>2098</v>
      </c>
      <c r="N1559" s="564" t="s">
        <v>45</v>
      </c>
      <c r="O1559" s="564" t="s">
        <v>2099</v>
      </c>
      <c r="P1559" s="23"/>
      <c r="Q1559" s="23"/>
      <c r="R1559" s="23"/>
      <c r="S1559" s="23"/>
      <c r="T1559" s="23"/>
      <c r="U1559" s="23"/>
      <c r="V1559" s="23"/>
      <c r="W1559" s="23"/>
      <c r="X1559" s="23"/>
      <c r="Y1559" s="23"/>
      <c r="Z1559" s="23"/>
    </row>
    <row r="1560" spans="1:26" ht="13">
      <c r="A1560" s="562" t="s">
        <v>4374</v>
      </c>
      <c r="B1560" s="563" t="s">
        <v>4375</v>
      </c>
      <c r="C1560" s="564" t="s">
        <v>353</v>
      </c>
      <c r="D1560" s="565">
        <v>44147</v>
      </c>
      <c r="E1560" s="565">
        <v>44160</v>
      </c>
      <c r="F1560" s="566">
        <v>977500</v>
      </c>
      <c r="G1560" s="564" t="s">
        <v>297</v>
      </c>
      <c r="H1560" s="564" t="s">
        <v>297</v>
      </c>
      <c r="I1560" s="564" t="s">
        <v>45</v>
      </c>
      <c r="J1560" s="564" t="s">
        <v>1069</v>
      </c>
      <c r="K1560" s="564" t="s">
        <v>1090</v>
      </c>
      <c r="L1560" s="564" t="s">
        <v>2098</v>
      </c>
      <c r="M1560" s="564" t="s">
        <v>2098</v>
      </c>
      <c r="N1560" s="564" t="s">
        <v>45</v>
      </c>
      <c r="O1560" s="564" t="s">
        <v>2099</v>
      </c>
      <c r="P1560" s="23"/>
      <c r="Q1560" s="23"/>
      <c r="R1560" s="23"/>
      <c r="S1560" s="23"/>
      <c r="T1560" s="23"/>
      <c r="U1560" s="23"/>
      <c r="V1560" s="23"/>
      <c r="W1560" s="23"/>
      <c r="X1560" s="23"/>
      <c r="Y1560" s="23"/>
      <c r="Z1560" s="23"/>
    </row>
    <row r="1561" spans="1:26" ht="13">
      <c r="A1561" s="562" t="s">
        <v>4376</v>
      </c>
      <c r="B1561" s="563" t="s">
        <v>4377</v>
      </c>
      <c r="C1561" s="564" t="s">
        <v>1076</v>
      </c>
      <c r="D1561" s="565">
        <v>44145</v>
      </c>
      <c r="E1561" s="565">
        <v>44207</v>
      </c>
      <c r="F1561" s="566">
        <v>1987000</v>
      </c>
      <c r="G1561" s="564" t="s">
        <v>1077</v>
      </c>
      <c r="H1561" s="564" t="s">
        <v>1077</v>
      </c>
      <c r="I1561" s="564" t="s">
        <v>637</v>
      </c>
      <c r="J1561" s="564" t="s">
        <v>1069</v>
      </c>
      <c r="K1561" s="564" t="s">
        <v>1070</v>
      </c>
      <c r="L1561" s="564" t="s">
        <v>2098</v>
      </c>
      <c r="M1561" s="564" t="s">
        <v>2098</v>
      </c>
      <c r="N1561" s="564" t="s">
        <v>1082</v>
      </c>
      <c r="O1561" s="564" t="s">
        <v>2099</v>
      </c>
      <c r="P1561" s="23"/>
      <c r="Q1561" s="23"/>
      <c r="R1561" s="23"/>
      <c r="S1561" s="23"/>
      <c r="T1561" s="23"/>
      <c r="U1561" s="23"/>
      <c r="V1561" s="23"/>
      <c r="W1561" s="23"/>
      <c r="X1561" s="23"/>
      <c r="Y1561" s="23"/>
      <c r="Z1561" s="23"/>
    </row>
    <row r="1562" spans="1:26" ht="13">
      <c r="A1562" s="562" t="s">
        <v>4378</v>
      </c>
      <c r="B1562" s="563" t="s">
        <v>4379</v>
      </c>
      <c r="C1562" s="564" t="s">
        <v>1652</v>
      </c>
      <c r="D1562" s="565">
        <v>44144</v>
      </c>
      <c r="E1562" s="565">
        <v>44152</v>
      </c>
      <c r="F1562" s="566">
        <v>2640000</v>
      </c>
      <c r="G1562" s="564" t="s">
        <v>4261</v>
      </c>
      <c r="H1562" s="564" t="s">
        <v>4261</v>
      </c>
      <c r="I1562" s="564" t="s">
        <v>70</v>
      </c>
      <c r="J1562" s="564" t="s">
        <v>1069</v>
      </c>
      <c r="K1562" s="564" t="s">
        <v>1120</v>
      </c>
      <c r="L1562" s="564" t="s">
        <v>2098</v>
      </c>
      <c r="M1562" s="564" t="s">
        <v>2098</v>
      </c>
      <c r="N1562" s="564" t="s">
        <v>70</v>
      </c>
      <c r="O1562" s="564" t="s">
        <v>2099</v>
      </c>
      <c r="P1562" s="23"/>
      <c r="Q1562" s="23"/>
      <c r="R1562" s="23"/>
      <c r="S1562" s="23"/>
      <c r="T1562" s="23"/>
      <c r="U1562" s="23"/>
      <c r="V1562" s="23"/>
      <c r="W1562" s="23"/>
      <c r="X1562" s="23"/>
      <c r="Y1562" s="23"/>
      <c r="Z1562" s="23"/>
    </row>
    <row r="1563" spans="1:26" ht="13">
      <c r="A1563" s="562" t="s">
        <v>4380</v>
      </c>
      <c r="B1563" s="563" t="s">
        <v>4381</v>
      </c>
      <c r="C1563" s="564" t="s">
        <v>353</v>
      </c>
      <c r="D1563" s="565">
        <v>44141</v>
      </c>
      <c r="E1563" s="565">
        <v>44165</v>
      </c>
      <c r="F1563" s="566">
        <v>153000</v>
      </c>
      <c r="G1563" s="564" t="s">
        <v>1293</v>
      </c>
      <c r="H1563" s="564" t="s">
        <v>1293</v>
      </c>
      <c r="I1563" s="564" t="s">
        <v>1586</v>
      </c>
      <c r="J1563" s="564" t="s">
        <v>1069</v>
      </c>
      <c r="K1563" s="564" t="s">
        <v>1090</v>
      </c>
      <c r="L1563" s="564" t="s">
        <v>2098</v>
      </c>
      <c r="M1563" s="564" t="s">
        <v>2098</v>
      </c>
      <c r="N1563" s="564" t="s">
        <v>1073</v>
      </c>
      <c r="O1563" s="564" t="s">
        <v>2099</v>
      </c>
      <c r="P1563" s="23"/>
      <c r="Q1563" s="23"/>
      <c r="R1563" s="23"/>
      <c r="S1563" s="23"/>
      <c r="T1563" s="23"/>
      <c r="U1563" s="23"/>
      <c r="V1563" s="23"/>
      <c r="W1563" s="23"/>
      <c r="X1563" s="23"/>
      <c r="Y1563" s="23"/>
      <c r="Z1563" s="23"/>
    </row>
    <row r="1564" spans="1:26" ht="13">
      <c r="A1564" s="562" t="s">
        <v>4382</v>
      </c>
      <c r="B1564" s="563" t="s">
        <v>4383</v>
      </c>
      <c r="C1564" s="564" t="s">
        <v>353</v>
      </c>
      <c r="D1564" s="565">
        <v>44138</v>
      </c>
      <c r="E1564" s="565">
        <v>44155</v>
      </c>
      <c r="F1564" s="566">
        <v>450000</v>
      </c>
      <c r="G1564" s="564" t="s">
        <v>1293</v>
      </c>
      <c r="H1564" s="564" t="s">
        <v>1293</v>
      </c>
      <c r="I1564" s="564" t="s">
        <v>225</v>
      </c>
      <c r="J1564" s="564" t="s">
        <v>1069</v>
      </c>
      <c r="K1564" s="564" t="s">
        <v>1105</v>
      </c>
      <c r="L1564" s="564" t="s">
        <v>2098</v>
      </c>
      <c r="M1564" s="564" t="s">
        <v>2098</v>
      </c>
      <c r="N1564" s="564" t="s">
        <v>225</v>
      </c>
      <c r="O1564" s="564" t="s">
        <v>2099</v>
      </c>
      <c r="P1564" s="23"/>
      <c r="Q1564" s="23"/>
      <c r="R1564" s="23"/>
      <c r="S1564" s="23"/>
      <c r="T1564" s="23"/>
      <c r="U1564" s="23"/>
      <c r="V1564" s="23"/>
      <c r="W1564" s="23"/>
      <c r="X1564" s="23"/>
      <c r="Y1564" s="23"/>
      <c r="Z1564" s="23"/>
    </row>
    <row r="1565" spans="1:26" ht="13">
      <c r="A1565" s="562" t="s">
        <v>4384</v>
      </c>
      <c r="B1565" s="563" t="s">
        <v>4385</v>
      </c>
      <c r="C1565" s="564" t="s">
        <v>353</v>
      </c>
      <c r="D1565" s="565">
        <v>44138</v>
      </c>
      <c r="E1565" s="565">
        <v>44148</v>
      </c>
      <c r="F1565" s="566">
        <v>1244000</v>
      </c>
      <c r="G1565" s="564" t="s">
        <v>297</v>
      </c>
      <c r="H1565" s="564" t="s">
        <v>297</v>
      </c>
      <c r="I1565" s="564" t="s">
        <v>45</v>
      </c>
      <c r="J1565" s="564" t="s">
        <v>1069</v>
      </c>
      <c r="K1565" s="564" t="s">
        <v>1090</v>
      </c>
      <c r="L1565" s="564" t="s">
        <v>2098</v>
      </c>
      <c r="M1565" s="564" t="s">
        <v>2098</v>
      </c>
      <c r="N1565" s="564" t="s">
        <v>45</v>
      </c>
      <c r="O1565" s="564" t="s">
        <v>2099</v>
      </c>
      <c r="P1565" s="23"/>
      <c r="Q1565" s="23"/>
      <c r="R1565" s="23"/>
      <c r="S1565" s="23"/>
      <c r="T1565" s="23"/>
      <c r="U1565" s="23"/>
      <c r="V1565" s="23"/>
      <c r="W1565" s="23"/>
      <c r="X1565" s="23"/>
      <c r="Y1565" s="23"/>
      <c r="Z1565" s="23"/>
    </row>
    <row r="1566" spans="1:26" ht="13">
      <c r="A1566" s="562" t="s">
        <v>4386</v>
      </c>
      <c r="B1566" s="563" t="s">
        <v>4387</v>
      </c>
      <c r="C1566" s="564" t="s">
        <v>1652</v>
      </c>
      <c r="D1566" s="565">
        <v>44137</v>
      </c>
      <c r="E1566" s="565">
        <v>44162</v>
      </c>
      <c r="F1566" s="566">
        <v>160626000</v>
      </c>
      <c r="G1566" s="564" t="s">
        <v>4261</v>
      </c>
      <c r="H1566" s="564" t="s">
        <v>4261</v>
      </c>
      <c r="I1566" s="564" t="s">
        <v>70</v>
      </c>
      <c r="J1566" s="564" t="s">
        <v>1069</v>
      </c>
      <c r="K1566" s="564" t="s">
        <v>1120</v>
      </c>
      <c r="L1566" s="564" t="s">
        <v>2098</v>
      </c>
      <c r="M1566" s="564" t="s">
        <v>2098</v>
      </c>
      <c r="N1566" s="564" t="s">
        <v>70</v>
      </c>
      <c r="O1566" s="564" t="s">
        <v>2099</v>
      </c>
      <c r="P1566" s="23"/>
      <c r="Q1566" s="23"/>
      <c r="R1566" s="23"/>
      <c r="S1566" s="23"/>
      <c r="T1566" s="23"/>
      <c r="U1566" s="23"/>
      <c r="V1566" s="23"/>
      <c r="W1566" s="23"/>
      <c r="X1566" s="23"/>
      <c r="Y1566" s="23"/>
      <c r="Z1566" s="23"/>
    </row>
    <row r="1567" spans="1:26" ht="13">
      <c r="A1567" s="562" t="s">
        <v>4388</v>
      </c>
      <c r="B1567" s="563" t="s">
        <v>4389</v>
      </c>
      <c r="C1567" s="564" t="s">
        <v>2322</v>
      </c>
      <c r="D1567" s="565">
        <v>44137</v>
      </c>
      <c r="E1567" s="565">
        <v>44165</v>
      </c>
      <c r="F1567" s="566">
        <v>42618182</v>
      </c>
      <c r="G1567" s="564" t="s">
        <v>2428</v>
      </c>
      <c r="H1567" s="564" t="s">
        <v>2428</v>
      </c>
      <c r="I1567" s="564" t="s">
        <v>2761</v>
      </c>
      <c r="J1567" s="564" t="s">
        <v>1069</v>
      </c>
      <c r="K1567" s="564" t="s">
        <v>1209</v>
      </c>
      <c r="L1567" s="564" t="s">
        <v>2098</v>
      </c>
      <c r="M1567" s="564" t="s">
        <v>2098</v>
      </c>
      <c r="N1567" s="564" t="s">
        <v>2439</v>
      </c>
      <c r="O1567" s="564" t="s">
        <v>2099</v>
      </c>
      <c r="P1567" s="23"/>
      <c r="Q1567" s="23"/>
      <c r="R1567" s="23"/>
      <c r="S1567" s="23"/>
      <c r="T1567" s="23"/>
      <c r="U1567" s="23"/>
      <c r="V1567" s="23"/>
      <c r="W1567" s="23"/>
      <c r="X1567" s="23"/>
      <c r="Y1567" s="23"/>
      <c r="Z1567" s="23"/>
    </row>
    <row r="1568" spans="1:26" ht="13">
      <c r="A1568" s="562" t="s">
        <v>4390</v>
      </c>
      <c r="B1568" s="563" t="s">
        <v>4391</v>
      </c>
      <c r="C1568" s="564" t="s">
        <v>1652</v>
      </c>
      <c r="D1568" s="565">
        <v>44134</v>
      </c>
      <c r="E1568" s="565">
        <v>44144</v>
      </c>
      <c r="F1568" s="566">
        <v>2865000</v>
      </c>
      <c r="G1568" s="564" t="s">
        <v>4261</v>
      </c>
      <c r="H1568" s="564" t="s">
        <v>4261</v>
      </c>
      <c r="I1568" s="564" t="s">
        <v>2671</v>
      </c>
      <c r="J1568" s="564" t="s">
        <v>1069</v>
      </c>
      <c r="K1568" s="564" t="s">
        <v>1120</v>
      </c>
      <c r="L1568" s="564" t="s">
        <v>2098</v>
      </c>
      <c r="M1568" s="564" t="s">
        <v>2098</v>
      </c>
      <c r="N1568" s="564" t="s">
        <v>1073</v>
      </c>
      <c r="O1568" s="564" t="s">
        <v>2099</v>
      </c>
      <c r="P1568" s="23"/>
      <c r="Q1568" s="23"/>
      <c r="R1568" s="23"/>
      <c r="S1568" s="23"/>
      <c r="T1568" s="23"/>
      <c r="U1568" s="23"/>
      <c r="V1568" s="23"/>
      <c r="W1568" s="23"/>
      <c r="X1568" s="23"/>
      <c r="Y1568" s="23"/>
      <c r="Z1568" s="23"/>
    </row>
    <row r="1569" spans="1:26" ht="13">
      <c r="A1569" s="562" t="s">
        <v>4392</v>
      </c>
      <c r="B1569" s="563" t="s">
        <v>4393</v>
      </c>
      <c r="C1569" s="564" t="s">
        <v>353</v>
      </c>
      <c r="D1569" s="565">
        <v>44132</v>
      </c>
      <c r="E1569" s="565">
        <v>44141</v>
      </c>
      <c r="F1569" s="566">
        <v>287500</v>
      </c>
      <c r="G1569" s="564" t="s">
        <v>297</v>
      </c>
      <c r="H1569" s="564" t="s">
        <v>297</v>
      </c>
      <c r="I1569" s="564" t="s">
        <v>45</v>
      </c>
      <c r="J1569" s="564" t="s">
        <v>1069</v>
      </c>
      <c r="K1569" s="564" t="s">
        <v>1090</v>
      </c>
      <c r="L1569" s="564" t="s">
        <v>2098</v>
      </c>
      <c r="M1569" s="564" t="s">
        <v>2098</v>
      </c>
      <c r="N1569" s="564" t="s">
        <v>45</v>
      </c>
      <c r="O1569" s="564" t="s">
        <v>2099</v>
      </c>
      <c r="P1569" s="23"/>
      <c r="Q1569" s="23"/>
      <c r="R1569" s="23"/>
      <c r="S1569" s="23"/>
      <c r="T1569" s="23"/>
      <c r="U1569" s="23"/>
      <c r="V1569" s="23"/>
      <c r="W1569" s="23"/>
      <c r="X1569" s="23"/>
      <c r="Y1569" s="23"/>
      <c r="Z1569" s="23"/>
    </row>
    <row r="1570" spans="1:26" ht="13">
      <c r="A1570" s="562" t="s">
        <v>4394</v>
      </c>
      <c r="B1570" s="563" t="s">
        <v>4395</v>
      </c>
      <c r="C1570" s="564" t="s">
        <v>1475</v>
      </c>
      <c r="D1570" s="565">
        <v>44132</v>
      </c>
      <c r="E1570" s="565">
        <v>44134</v>
      </c>
      <c r="F1570" s="566">
        <v>134212000</v>
      </c>
      <c r="G1570" s="564" t="s">
        <v>4343</v>
      </c>
      <c r="H1570" s="564" t="s">
        <v>4343</v>
      </c>
      <c r="I1570" s="564" t="s">
        <v>4396</v>
      </c>
      <c r="J1570" s="564" t="s">
        <v>1069</v>
      </c>
      <c r="K1570" s="564" t="s">
        <v>1070</v>
      </c>
      <c r="L1570" s="564" t="s">
        <v>2098</v>
      </c>
      <c r="M1570" s="564" t="s">
        <v>2098</v>
      </c>
      <c r="N1570" s="564" t="s">
        <v>1082</v>
      </c>
      <c r="O1570" s="564" t="s">
        <v>2099</v>
      </c>
      <c r="P1570" s="23"/>
      <c r="Q1570" s="23"/>
      <c r="R1570" s="23"/>
      <c r="S1570" s="23"/>
      <c r="T1570" s="23"/>
      <c r="U1570" s="23"/>
      <c r="V1570" s="23"/>
      <c r="W1570" s="23"/>
      <c r="X1570" s="23"/>
      <c r="Y1570" s="23"/>
      <c r="Z1570" s="23"/>
    </row>
    <row r="1571" spans="1:26" ht="13">
      <c r="A1571" s="562" t="s">
        <v>4397</v>
      </c>
      <c r="B1571" s="563" t="s">
        <v>4398</v>
      </c>
      <c r="C1571" s="564" t="s">
        <v>1652</v>
      </c>
      <c r="D1571" s="565">
        <v>44131</v>
      </c>
      <c r="E1571" s="565">
        <v>44139</v>
      </c>
      <c r="F1571" s="566">
        <v>2640000</v>
      </c>
      <c r="G1571" s="564" t="s">
        <v>4261</v>
      </c>
      <c r="H1571" s="564" t="s">
        <v>4261</v>
      </c>
      <c r="I1571" s="564" t="s">
        <v>70</v>
      </c>
      <c r="J1571" s="564" t="s">
        <v>1069</v>
      </c>
      <c r="K1571" s="564" t="s">
        <v>1120</v>
      </c>
      <c r="L1571" s="564" t="s">
        <v>2098</v>
      </c>
      <c r="M1571" s="564" t="s">
        <v>2098</v>
      </c>
      <c r="N1571" s="564" t="s">
        <v>70</v>
      </c>
      <c r="O1571" s="564" t="s">
        <v>2099</v>
      </c>
      <c r="P1571" s="23"/>
      <c r="Q1571" s="23"/>
      <c r="R1571" s="23"/>
      <c r="S1571" s="23"/>
      <c r="T1571" s="23"/>
      <c r="U1571" s="23"/>
      <c r="V1571" s="23"/>
      <c r="W1571" s="23"/>
      <c r="X1571" s="23"/>
      <c r="Y1571" s="23"/>
      <c r="Z1571" s="23"/>
    </row>
    <row r="1572" spans="1:26" ht="13">
      <c r="A1572" s="562" t="s">
        <v>4399</v>
      </c>
      <c r="B1572" s="563" t="s">
        <v>4400</v>
      </c>
      <c r="C1572" s="564" t="s">
        <v>2437</v>
      </c>
      <c r="D1572" s="565">
        <v>43990</v>
      </c>
      <c r="E1572" s="565">
        <v>44165</v>
      </c>
      <c r="F1572" s="566">
        <v>69850000</v>
      </c>
      <c r="G1572" s="564" t="s">
        <v>1636</v>
      </c>
      <c r="H1572" s="564" t="s">
        <v>1636</v>
      </c>
      <c r="I1572" s="564" t="s">
        <v>4401</v>
      </c>
      <c r="J1572" s="564" t="s">
        <v>1069</v>
      </c>
      <c r="K1572" s="564" t="s">
        <v>1070</v>
      </c>
      <c r="L1572" s="564" t="s">
        <v>2098</v>
      </c>
      <c r="M1572" s="564" t="s">
        <v>2098</v>
      </c>
      <c r="N1572" s="564" t="s">
        <v>1082</v>
      </c>
      <c r="O1572" s="564" t="s">
        <v>2099</v>
      </c>
      <c r="P1572" s="23"/>
      <c r="Q1572" s="23"/>
      <c r="R1572" s="23"/>
      <c r="S1572" s="23"/>
      <c r="T1572" s="23"/>
      <c r="U1572" s="23"/>
      <c r="V1572" s="23"/>
      <c r="W1572" s="23"/>
      <c r="X1572" s="23"/>
      <c r="Y1572" s="23"/>
      <c r="Z1572" s="23"/>
    </row>
    <row r="1573" spans="1:26" ht="13">
      <c r="A1573" s="562" t="s">
        <v>4402</v>
      </c>
      <c r="B1573" s="563" t="s">
        <v>4403</v>
      </c>
      <c r="C1573" s="564" t="s">
        <v>1652</v>
      </c>
      <c r="D1573" s="565">
        <v>44125</v>
      </c>
      <c r="E1573" s="565">
        <v>44132</v>
      </c>
      <c r="F1573" s="566">
        <v>2770000</v>
      </c>
      <c r="G1573" s="564" t="s">
        <v>4261</v>
      </c>
      <c r="H1573" s="564" t="s">
        <v>4261</v>
      </c>
      <c r="I1573" s="564" t="s">
        <v>70</v>
      </c>
      <c r="J1573" s="564" t="s">
        <v>1069</v>
      </c>
      <c r="K1573" s="564" t="s">
        <v>1120</v>
      </c>
      <c r="L1573" s="564" t="s">
        <v>2098</v>
      </c>
      <c r="M1573" s="564" t="s">
        <v>2098</v>
      </c>
      <c r="N1573" s="564" t="s">
        <v>70</v>
      </c>
      <c r="O1573" s="564" t="s">
        <v>2099</v>
      </c>
      <c r="P1573" s="23"/>
      <c r="Q1573" s="23"/>
      <c r="R1573" s="23"/>
      <c r="S1573" s="23"/>
      <c r="T1573" s="23"/>
      <c r="U1573" s="23"/>
      <c r="V1573" s="23"/>
      <c r="W1573" s="23"/>
      <c r="X1573" s="23"/>
      <c r="Y1573" s="23"/>
      <c r="Z1573" s="23"/>
    </row>
    <row r="1574" spans="1:26" ht="13">
      <c r="A1574" s="562" t="s">
        <v>4404</v>
      </c>
      <c r="B1574" s="563" t="s">
        <v>4405</v>
      </c>
      <c r="C1574" s="564" t="s">
        <v>353</v>
      </c>
      <c r="D1574" s="565">
        <v>44124</v>
      </c>
      <c r="E1574" s="565">
        <v>44131</v>
      </c>
      <c r="F1574" s="566">
        <v>456000</v>
      </c>
      <c r="G1574" s="564" t="s">
        <v>297</v>
      </c>
      <c r="H1574" s="564" t="s">
        <v>297</v>
      </c>
      <c r="I1574" s="564" t="s">
        <v>64</v>
      </c>
      <c r="J1574" s="564" t="s">
        <v>1069</v>
      </c>
      <c r="K1574" s="564" t="s">
        <v>1090</v>
      </c>
      <c r="L1574" s="564" t="s">
        <v>2098</v>
      </c>
      <c r="M1574" s="564" t="s">
        <v>2098</v>
      </c>
      <c r="N1574" s="564" t="s">
        <v>64</v>
      </c>
      <c r="O1574" s="564" t="s">
        <v>2099</v>
      </c>
      <c r="P1574" s="23"/>
      <c r="Q1574" s="23"/>
      <c r="R1574" s="23"/>
      <c r="S1574" s="23"/>
      <c r="T1574" s="23"/>
      <c r="U1574" s="23"/>
      <c r="V1574" s="23"/>
      <c r="W1574" s="23"/>
      <c r="X1574" s="23"/>
      <c r="Y1574" s="23"/>
      <c r="Z1574" s="23"/>
    </row>
    <row r="1575" spans="1:26" ht="13">
      <c r="A1575" s="562" t="s">
        <v>4406</v>
      </c>
      <c r="B1575" s="563" t="s">
        <v>4407</v>
      </c>
      <c r="C1575" s="564" t="s">
        <v>1076</v>
      </c>
      <c r="D1575" s="565">
        <v>44124</v>
      </c>
      <c r="E1575" s="565">
        <v>44185</v>
      </c>
      <c r="F1575" s="566">
        <v>2391000</v>
      </c>
      <c r="G1575" s="564" t="s">
        <v>1077</v>
      </c>
      <c r="H1575" s="564" t="s">
        <v>1077</v>
      </c>
      <c r="I1575" s="564" t="s">
        <v>637</v>
      </c>
      <c r="J1575" s="564" t="s">
        <v>1069</v>
      </c>
      <c r="K1575" s="564" t="s">
        <v>1070</v>
      </c>
      <c r="L1575" s="564" t="s">
        <v>2098</v>
      </c>
      <c r="M1575" s="564" t="s">
        <v>2098</v>
      </c>
      <c r="N1575" s="564" t="s">
        <v>1082</v>
      </c>
      <c r="O1575" s="564" t="s">
        <v>2099</v>
      </c>
      <c r="P1575" s="23"/>
      <c r="Q1575" s="23"/>
      <c r="R1575" s="23"/>
      <c r="S1575" s="23"/>
      <c r="T1575" s="23"/>
      <c r="U1575" s="23"/>
      <c r="V1575" s="23"/>
      <c r="W1575" s="23"/>
      <c r="X1575" s="23"/>
      <c r="Y1575" s="23"/>
      <c r="Z1575" s="23"/>
    </row>
    <row r="1576" spans="1:26" ht="13">
      <c r="A1576" s="562" t="s">
        <v>4408</v>
      </c>
      <c r="B1576" s="563" t="s">
        <v>4409</v>
      </c>
      <c r="C1576" s="564" t="s">
        <v>1652</v>
      </c>
      <c r="D1576" s="565">
        <v>44120</v>
      </c>
      <c r="E1576" s="565">
        <v>44134</v>
      </c>
      <c r="F1576" s="566">
        <v>6789091</v>
      </c>
      <c r="G1576" s="564" t="s">
        <v>1623</v>
      </c>
      <c r="H1576" s="564" t="s">
        <v>1623</v>
      </c>
      <c r="I1576" s="564" t="s">
        <v>802</v>
      </c>
      <c r="J1576" s="564" t="s">
        <v>1069</v>
      </c>
      <c r="K1576" s="564" t="s">
        <v>1198</v>
      </c>
      <c r="L1576" s="564" t="s">
        <v>2098</v>
      </c>
      <c r="M1576" s="564" t="s">
        <v>2098</v>
      </c>
      <c r="N1576" s="564" t="s">
        <v>132</v>
      </c>
      <c r="O1576" s="564" t="s">
        <v>2099</v>
      </c>
      <c r="P1576" s="23"/>
      <c r="Q1576" s="23"/>
      <c r="R1576" s="23"/>
      <c r="S1576" s="23"/>
      <c r="T1576" s="23"/>
      <c r="U1576" s="23"/>
      <c r="V1576" s="23"/>
      <c r="W1576" s="23"/>
      <c r="X1576" s="23"/>
      <c r="Y1576" s="23"/>
      <c r="Z1576" s="23"/>
    </row>
    <row r="1577" spans="1:26" ht="13">
      <c r="A1577" s="562" t="s">
        <v>4410</v>
      </c>
      <c r="B1577" s="563" t="s">
        <v>4411</v>
      </c>
      <c r="C1577" s="564" t="s">
        <v>1652</v>
      </c>
      <c r="D1577" s="565">
        <v>44119</v>
      </c>
      <c r="E1577" s="565">
        <v>44148</v>
      </c>
      <c r="F1577" s="566">
        <v>2190909</v>
      </c>
      <c r="G1577" s="564" t="s">
        <v>1623</v>
      </c>
      <c r="H1577" s="564" t="s">
        <v>1623</v>
      </c>
      <c r="I1577" s="564" t="s">
        <v>802</v>
      </c>
      <c r="J1577" s="564" t="s">
        <v>1069</v>
      </c>
      <c r="K1577" s="564" t="s">
        <v>1198</v>
      </c>
      <c r="L1577" s="564" t="s">
        <v>2098</v>
      </c>
      <c r="M1577" s="564" t="s">
        <v>2098</v>
      </c>
      <c r="N1577" s="564" t="s">
        <v>132</v>
      </c>
      <c r="O1577" s="564" t="s">
        <v>2099</v>
      </c>
      <c r="P1577" s="23"/>
      <c r="Q1577" s="23"/>
      <c r="R1577" s="23"/>
      <c r="S1577" s="23"/>
      <c r="T1577" s="23"/>
      <c r="U1577" s="23"/>
      <c r="V1577" s="23"/>
      <c r="W1577" s="23"/>
      <c r="X1577" s="23"/>
      <c r="Y1577" s="23"/>
      <c r="Z1577" s="23"/>
    </row>
    <row r="1578" spans="1:26" ht="13">
      <c r="A1578" s="562" t="s">
        <v>4412</v>
      </c>
      <c r="B1578" s="563" t="s">
        <v>4413</v>
      </c>
      <c r="C1578" s="564" t="s">
        <v>353</v>
      </c>
      <c r="D1578" s="565">
        <v>44118</v>
      </c>
      <c r="E1578" s="565">
        <v>44127</v>
      </c>
      <c r="F1578" s="566">
        <v>121800</v>
      </c>
      <c r="G1578" s="564" t="s">
        <v>1405</v>
      </c>
      <c r="H1578" s="564" t="s">
        <v>1405</v>
      </c>
      <c r="I1578" s="564" t="s">
        <v>70</v>
      </c>
      <c r="J1578" s="564" t="s">
        <v>1069</v>
      </c>
      <c r="K1578" s="564" t="s">
        <v>1120</v>
      </c>
      <c r="L1578" s="564" t="s">
        <v>2098</v>
      </c>
      <c r="M1578" s="564" t="s">
        <v>2098</v>
      </c>
      <c r="N1578" s="564" t="s">
        <v>70</v>
      </c>
      <c r="O1578" s="564" t="s">
        <v>2099</v>
      </c>
      <c r="P1578" s="23"/>
      <c r="Q1578" s="23"/>
      <c r="R1578" s="23"/>
      <c r="S1578" s="23"/>
      <c r="T1578" s="23"/>
      <c r="U1578" s="23"/>
      <c r="V1578" s="23"/>
      <c r="W1578" s="23"/>
      <c r="X1578" s="23"/>
      <c r="Y1578" s="23"/>
      <c r="Z1578" s="23"/>
    </row>
    <row r="1579" spans="1:26" ht="13">
      <c r="A1579" s="562" t="s">
        <v>4414</v>
      </c>
      <c r="B1579" s="563" t="s">
        <v>4415</v>
      </c>
      <c r="C1579" s="564" t="s">
        <v>1652</v>
      </c>
      <c r="D1579" s="565">
        <v>44119</v>
      </c>
      <c r="E1579" s="565">
        <v>44127</v>
      </c>
      <c r="F1579" s="566">
        <v>88000</v>
      </c>
      <c r="G1579" s="564" t="s">
        <v>4261</v>
      </c>
      <c r="H1579" s="564" t="s">
        <v>4261</v>
      </c>
      <c r="I1579" s="564" t="s">
        <v>107</v>
      </c>
      <c r="J1579" s="564" t="s">
        <v>1069</v>
      </c>
      <c r="K1579" s="564" t="s">
        <v>1120</v>
      </c>
      <c r="L1579" s="564" t="s">
        <v>2098</v>
      </c>
      <c r="M1579" s="564" t="s">
        <v>2098</v>
      </c>
      <c r="N1579" s="564" t="s">
        <v>1073</v>
      </c>
      <c r="O1579" s="564" t="s">
        <v>2099</v>
      </c>
      <c r="P1579" s="23"/>
      <c r="Q1579" s="23"/>
      <c r="R1579" s="23"/>
      <c r="S1579" s="23"/>
      <c r="T1579" s="23"/>
      <c r="U1579" s="23"/>
      <c r="V1579" s="23"/>
      <c r="W1579" s="23"/>
      <c r="X1579" s="23"/>
      <c r="Y1579" s="23"/>
      <c r="Z1579" s="23"/>
    </row>
    <row r="1580" spans="1:26" ht="13">
      <c r="A1580" s="562" t="s">
        <v>4416</v>
      </c>
      <c r="B1580" s="563" t="s">
        <v>4417</v>
      </c>
      <c r="C1580" s="564" t="s">
        <v>1076</v>
      </c>
      <c r="D1580" s="565">
        <v>44118</v>
      </c>
      <c r="E1580" s="565">
        <v>44179</v>
      </c>
      <c r="F1580" s="566">
        <v>1590000</v>
      </c>
      <c r="G1580" s="564" t="s">
        <v>1077</v>
      </c>
      <c r="H1580" s="564" t="s">
        <v>1077</v>
      </c>
      <c r="I1580" s="564" t="s">
        <v>637</v>
      </c>
      <c r="J1580" s="564" t="s">
        <v>1069</v>
      </c>
      <c r="K1580" s="564" t="s">
        <v>1070</v>
      </c>
      <c r="L1580" s="564" t="s">
        <v>2098</v>
      </c>
      <c r="M1580" s="564" t="s">
        <v>2098</v>
      </c>
      <c r="N1580" s="564" t="s">
        <v>1082</v>
      </c>
      <c r="O1580" s="564" t="s">
        <v>2099</v>
      </c>
      <c r="P1580" s="23"/>
      <c r="Q1580" s="23"/>
      <c r="R1580" s="23"/>
      <c r="S1580" s="23"/>
      <c r="T1580" s="23"/>
      <c r="U1580" s="23"/>
      <c r="V1580" s="23"/>
      <c r="W1580" s="23"/>
      <c r="X1580" s="23"/>
      <c r="Y1580" s="23"/>
      <c r="Z1580" s="23"/>
    </row>
    <row r="1581" spans="1:26" ht="13">
      <c r="A1581" s="562" t="s">
        <v>4418</v>
      </c>
      <c r="B1581" s="563" t="s">
        <v>4419</v>
      </c>
      <c r="C1581" s="564" t="s">
        <v>1114</v>
      </c>
      <c r="D1581" s="565">
        <v>44116</v>
      </c>
      <c r="E1581" s="565">
        <v>44157</v>
      </c>
      <c r="F1581" s="566">
        <v>51856000</v>
      </c>
      <c r="G1581" s="564" t="s">
        <v>674</v>
      </c>
      <c r="H1581" s="564" t="s">
        <v>674</v>
      </c>
      <c r="I1581" s="564" t="s">
        <v>45</v>
      </c>
      <c r="J1581" s="564" t="s">
        <v>1069</v>
      </c>
      <c r="K1581" s="564" t="s">
        <v>1090</v>
      </c>
      <c r="L1581" s="564" t="s">
        <v>2098</v>
      </c>
      <c r="M1581" s="564" t="s">
        <v>2098</v>
      </c>
      <c r="N1581" s="564" t="s">
        <v>45</v>
      </c>
      <c r="O1581" s="564" t="s">
        <v>2099</v>
      </c>
      <c r="P1581" s="23"/>
      <c r="Q1581" s="23"/>
      <c r="R1581" s="23"/>
      <c r="S1581" s="23"/>
      <c r="T1581" s="23"/>
      <c r="U1581" s="23"/>
      <c r="V1581" s="23"/>
      <c r="W1581" s="23"/>
      <c r="X1581" s="23"/>
      <c r="Y1581" s="23"/>
      <c r="Z1581" s="23"/>
    </row>
    <row r="1582" spans="1:26" ht="13">
      <c r="A1582" s="562" t="s">
        <v>4420</v>
      </c>
      <c r="B1582" s="563" t="s">
        <v>4421</v>
      </c>
      <c r="C1582" s="564" t="s">
        <v>1652</v>
      </c>
      <c r="D1582" s="565">
        <v>44118</v>
      </c>
      <c r="E1582" s="565">
        <v>44126</v>
      </c>
      <c r="F1582" s="566">
        <v>2910000</v>
      </c>
      <c r="G1582" s="564" t="s">
        <v>4261</v>
      </c>
      <c r="H1582" s="564" t="s">
        <v>4261</v>
      </c>
      <c r="I1582" s="564" t="s">
        <v>70</v>
      </c>
      <c r="J1582" s="564" t="s">
        <v>1069</v>
      </c>
      <c r="K1582" s="564" t="s">
        <v>1120</v>
      </c>
      <c r="L1582" s="564" t="s">
        <v>2098</v>
      </c>
      <c r="M1582" s="564" t="s">
        <v>2098</v>
      </c>
      <c r="N1582" s="564" t="s">
        <v>70</v>
      </c>
      <c r="O1582" s="564" t="s">
        <v>2099</v>
      </c>
      <c r="P1582" s="23"/>
      <c r="Q1582" s="23"/>
      <c r="R1582" s="23"/>
      <c r="S1582" s="23"/>
      <c r="T1582" s="23"/>
      <c r="U1582" s="23"/>
      <c r="V1582" s="23"/>
      <c r="W1582" s="23"/>
      <c r="X1582" s="23"/>
      <c r="Y1582" s="23"/>
      <c r="Z1582" s="23"/>
    </row>
    <row r="1583" spans="1:26" ht="13">
      <c r="A1583" s="562" t="s">
        <v>4422</v>
      </c>
      <c r="B1583" s="563" t="s">
        <v>4423</v>
      </c>
      <c r="C1583" s="564" t="s">
        <v>1076</v>
      </c>
      <c r="D1583" s="565">
        <v>44116</v>
      </c>
      <c r="E1583" s="565">
        <v>44179</v>
      </c>
      <c r="F1583" s="566">
        <v>2192000</v>
      </c>
      <c r="G1583" s="564" t="s">
        <v>1077</v>
      </c>
      <c r="H1583" s="564" t="s">
        <v>1077</v>
      </c>
      <c r="I1583" s="564" t="s">
        <v>637</v>
      </c>
      <c r="J1583" s="564" t="s">
        <v>1069</v>
      </c>
      <c r="K1583" s="564" t="s">
        <v>1070</v>
      </c>
      <c r="L1583" s="564" t="s">
        <v>2098</v>
      </c>
      <c r="M1583" s="564" t="s">
        <v>2098</v>
      </c>
      <c r="N1583" s="564" t="s">
        <v>1082</v>
      </c>
      <c r="O1583" s="564" t="s">
        <v>2099</v>
      </c>
      <c r="P1583" s="23"/>
      <c r="Q1583" s="23"/>
      <c r="R1583" s="23"/>
      <c r="S1583" s="23"/>
      <c r="T1583" s="23"/>
      <c r="U1583" s="23"/>
      <c r="V1583" s="23"/>
      <c r="W1583" s="23"/>
      <c r="X1583" s="23"/>
      <c r="Y1583" s="23"/>
      <c r="Z1583" s="23"/>
    </row>
    <row r="1584" spans="1:26" ht="13">
      <c r="A1584" s="562" t="s">
        <v>4424</v>
      </c>
      <c r="B1584" s="563" t="s">
        <v>4425</v>
      </c>
      <c r="C1584" s="564" t="s">
        <v>1652</v>
      </c>
      <c r="D1584" s="565">
        <v>44112</v>
      </c>
      <c r="E1584" s="565">
        <v>44134</v>
      </c>
      <c r="F1584" s="566">
        <v>4437273</v>
      </c>
      <c r="G1584" s="564" t="s">
        <v>1623</v>
      </c>
      <c r="H1584" s="564" t="s">
        <v>1623</v>
      </c>
      <c r="I1584" s="564" t="s">
        <v>802</v>
      </c>
      <c r="J1584" s="564" t="s">
        <v>1069</v>
      </c>
      <c r="K1584" s="564" t="s">
        <v>1198</v>
      </c>
      <c r="L1584" s="564" t="s">
        <v>2098</v>
      </c>
      <c r="M1584" s="564" t="s">
        <v>2098</v>
      </c>
      <c r="N1584" s="564" t="s">
        <v>132</v>
      </c>
      <c r="O1584" s="564" t="s">
        <v>2099</v>
      </c>
      <c r="P1584" s="23"/>
      <c r="Q1584" s="23"/>
      <c r="R1584" s="23"/>
      <c r="S1584" s="23"/>
      <c r="T1584" s="23"/>
      <c r="U1584" s="23"/>
      <c r="V1584" s="23"/>
      <c r="W1584" s="23"/>
      <c r="X1584" s="23"/>
      <c r="Y1584" s="23"/>
      <c r="Z1584" s="23"/>
    </row>
    <row r="1585" spans="1:26" ht="13">
      <c r="A1585" s="562" t="s">
        <v>4426</v>
      </c>
      <c r="B1585" s="563" t="s">
        <v>4427</v>
      </c>
      <c r="C1585" s="564" t="s">
        <v>353</v>
      </c>
      <c r="D1585" s="565">
        <v>44097</v>
      </c>
      <c r="E1585" s="565">
        <v>44120</v>
      </c>
      <c r="F1585" s="566">
        <v>345000</v>
      </c>
      <c r="G1585" s="564" t="s">
        <v>1128</v>
      </c>
      <c r="H1585" s="564" t="s">
        <v>1128</v>
      </c>
      <c r="I1585" s="564" t="s">
        <v>45</v>
      </c>
      <c r="J1585" s="564" t="s">
        <v>1069</v>
      </c>
      <c r="K1585" s="564" t="s">
        <v>1090</v>
      </c>
      <c r="L1585" s="564" t="s">
        <v>2098</v>
      </c>
      <c r="M1585" s="564" t="s">
        <v>2098</v>
      </c>
      <c r="N1585" s="564" t="s">
        <v>45</v>
      </c>
      <c r="O1585" s="564" t="s">
        <v>2099</v>
      </c>
      <c r="P1585" s="23"/>
      <c r="Q1585" s="23"/>
      <c r="R1585" s="23"/>
      <c r="S1585" s="23"/>
      <c r="T1585" s="23"/>
      <c r="U1585" s="23"/>
      <c r="V1585" s="23"/>
      <c r="W1585" s="23"/>
      <c r="X1585" s="23"/>
      <c r="Y1585" s="23"/>
      <c r="Z1585" s="23"/>
    </row>
    <row r="1586" spans="1:26" ht="13">
      <c r="A1586" s="562" t="s">
        <v>4428</v>
      </c>
      <c r="B1586" s="563" t="s">
        <v>4429</v>
      </c>
      <c r="C1586" s="564" t="s">
        <v>1475</v>
      </c>
      <c r="D1586" s="565">
        <v>44116</v>
      </c>
      <c r="E1586" s="565">
        <v>44242</v>
      </c>
      <c r="F1586" s="566">
        <v>30000000</v>
      </c>
      <c r="G1586" s="564" t="s">
        <v>1636</v>
      </c>
      <c r="H1586" s="564" t="s">
        <v>1636</v>
      </c>
      <c r="I1586" s="564" t="s">
        <v>4430</v>
      </c>
      <c r="J1586" s="564" t="s">
        <v>1069</v>
      </c>
      <c r="K1586" s="564" t="s">
        <v>1070</v>
      </c>
      <c r="L1586" s="564" t="s">
        <v>2098</v>
      </c>
      <c r="M1586" s="564" t="s">
        <v>2098</v>
      </c>
      <c r="N1586" s="564" t="s">
        <v>1082</v>
      </c>
      <c r="O1586" s="564" t="s">
        <v>2099</v>
      </c>
      <c r="P1586" s="23"/>
      <c r="Q1586" s="23"/>
      <c r="R1586" s="23"/>
      <c r="S1586" s="23"/>
      <c r="T1586" s="23"/>
      <c r="U1586" s="23"/>
      <c r="V1586" s="23"/>
      <c r="W1586" s="23"/>
      <c r="X1586" s="23"/>
      <c r="Y1586" s="23"/>
      <c r="Z1586" s="23"/>
    </row>
    <row r="1587" spans="1:26" ht="13">
      <c r="A1587" s="562" t="s">
        <v>4431</v>
      </c>
      <c r="B1587" s="563" t="s">
        <v>4432</v>
      </c>
      <c r="C1587" s="564" t="s">
        <v>1475</v>
      </c>
      <c r="D1587" s="565">
        <v>44109</v>
      </c>
      <c r="E1587" s="565">
        <v>44139</v>
      </c>
      <c r="F1587" s="566">
        <v>350000</v>
      </c>
      <c r="G1587" s="564" t="s">
        <v>1293</v>
      </c>
      <c r="H1587" s="564" t="s">
        <v>1293</v>
      </c>
      <c r="I1587" s="564" t="s">
        <v>3824</v>
      </c>
      <c r="J1587" s="564" t="s">
        <v>1069</v>
      </c>
      <c r="K1587" s="564" t="s">
        <v>1070</v>
      </c>
      <c r="L1587" s="564" t="s">
        <v>2098</v>
      </c>
      <c r="M1587" s="564" t="s">
        <v>2098</v>
      </c>
      <c r="N1587" s="564" t="s">
        <v>1073</v>
      </c>
      <c r="O1587" s="564" t="s">
        <v>2099</v>
      </c>
      <c r="P1587" s="23"/>
      <c r="Q1587" s="23"/>
      <c r="R1587" s="23"/>
      <c r="S1587" s="23"/>
      <c r="T1587" s="23"/>
      <c r="U1587" s="23"/>
      <c r="V1587" s="23"/>
      <c r="W1587" s="23"/>
      <c r="X1587" s="23"/>
      <c r="Y1587" s="23"/>
      <c r="Z1587" s="23"/>
    </row>
    <row r="1588" spans="1:26" ht="13">
      <c r="A1588" s="562" t="s">
        <v>4433</v>
      </c>
      <c r="B1588" s="563" t="s">
        <v>4434</v>
      </c>
      <c r="C1588" s="564" t="s">
        <v>1475</v>
      </c>
      <c r="D1588" s="565">
        <v>44109</v>
      </c>
      <c r="E1588" s="565">
        <v>44139</v>
      </c>
      <c r="F1588" s="566">
        <v>350000</v>
      </c>
      <c r="G1588" s="564" t="s">
        <v>1293</v>
      </c>
      <c r="H1588" s="564" t="s">
        <v>1293</v>
      </c>
      <c r="I1588" s="564" t="s">
        <v>2586</v>
      </c>
      <c r="J1588" s="564" t="s">
        <v>1069</v>
      </c>
      <c r="K1588" s="564" t="s">
        <v>1070</v>
      </c>
      <c r="L1588" s="564" t="s">
        <v>2098</v>
      </c>
      <c r="M1588" s="564" t="s">
        <v>2098</v>
      </c>
      <c r="N1588" s="564" t="s">
        <v>1073</v>
      </c>
      <c r="O1588" s="564" t="s">
        <v>2099</v>
      </c>
      <c r="P1588" s="23"/>
      <c r="Q1588" s="23"/>
      <c r="R1588" s="23"/>
      <c r="S1588" s="23"/>
      <c r="T1588" s="23"/>
      <c r="U1588" s="23"/>
      <c r="V1588" s="23"/>
      <c r="W1588" s="23"/>
      <c r="X1588" s="23"/>
      <c r="Y1588" s="23"/>
      <c r="Z1588" s="23"/>
    </row>
    <row r="1589" spans="1:26" ht="13">
      <c r="A1589" s="562" t="s">
        <v>4435</v>
      </c>
      <c r="B1589" s="563" t="s">
        <v>4436</v>
      </c>
      <c r="C1589" s="564" t="s">
        <v>1475</v>
      </c>
      <c r="D1589" s="565">
        <v>44096</v>
      </c>
      <c r="E1589" s="565">
        <v>44117</v>
      </c>
      <c r="F1589" s="566">
        <v>110207000</v>
      </c>
      <c r="G1589" s="564" t="s">
        <v>1123</v>
      </c>
      <c r="H1589" s="564" t="s">
        <v>1123</v>
      </c>
      <c r="I1589" s="564" t="s">
        <v>1417</v>
      </c>
      <c r="J1589" s="564" t="s">
        <v>1069</v>
      </c>
      <c r="K1589" s="564" t="s">
        <v>1070</v>
      </c>
      <c r="L1589" s="564" t="s">
        <v>2098</v>
      </c>
      <c r="M1589" s="564" t="s">
        <v>2098</v>
      </c>
      <c r="N1589" s="564" t="s">
        <v>1082</v>
      </c>
      <c r="O1589" s="564" t="s">
        <v>2099</v>
      </c>
      <c r="P1589" s="23"/>
      <c r="Q1589" s="23"/>
      <c r="R1589" s="23"/>
      <c r="S1589" s="23"/>
      <c r="T1589" s="23"/>
      <c r="U1589" s="23"/>
      <c r="V1589" s="23"/>
      <c r="W1589" s="23"/>
      <c r="X1589" s="23"/>
      <c r="Y1589" s="23"/>
      <c r="Z1589" s="23"/>
    </row>
    <row r="1590" spans="1:26" ht="13">
      <c r="A1590" s="562" t="s">
        <v>4437</v>
      </c>
      <c r="B1590" s="563" t="s">
        <v>4438</v>
      </c>
      <c r="C1590" s="564" t="s">
        <v>1475</v>
      </c>
      <c r="D1590" s="565">
        <v>44097</v>
      </c>
      <c r="E1590" s="565">
        <v>44105</v>
      </c>
      <c r="F1590" s="566">
        <v>315000</v>
      </c>
      <c r="G1590" s="564" t="s">
        <v>1366</v>
      </c>
      <c r="H1590" s="564" t="s">
        <v>1366</v>
      </c>
      <c r="I1590" s="564" t="s">
        <v>1471</v>
      </c>
      <c r="J1590" s="564" t="s">
        <v>1069</v>
      </c>
      <c r="K1590" s="564" t="s">
        <v>1070</v>
      </c>
      <c r="L1590" s="564" t="s">
        <v>2098</v>
      </c>
      <c r="M1590" s="564" t="s">
        <v>2098</v>
      </c>
      <c r="N1590" s="564" t="s">
        <v>1082</v>
      </c>
      <c r="O1590" s="564" t="s">
        <v>2099</v>
      </c>
      <c r="P1590" s="23"/>
      <c r="Q1590" s="23"/>
      <c r="R1590" s="23"/>
      <c r="S1590" s="23"/>
      <c r="T1590" s="23"/>
      <c r="U1590" s="23"/>
      <c r="V1590" s="23"/>
      <c r="W1590" s="23"/>
      <c r="X1590" s="23"/>
      <c r="Y1590" s="23"/>
      <c r="Z1590" s="23"/>
    </row>
    <row r="1591" spans="1:26" ht="13">
      <c r="A1591" s="562" t="s">
        <v>4439</v>
      </c>
      <c r="B1591" s="563" t="s">
        <v>4440</v>
      </c>
      <c r="C1591" s="564" t="s">
        <v>1652</v>
      </c>
      <c r="D1591" s="565">
        <v>44099</v>
      </c>
      <c r="E1591" s="565">
        <v>44116</v>
      </c>
      <c r="F1591" s="566">
        <v>3270000</v>
      </c>
      <c r="G1591" s="564" t="s">
        <v>4261</v>
      </c>
      <c r="H1591" s="564" t="s">
        <v>4261</v>
      </c>
      <c r="I1591" s="564" t="s">
        <v>70</v>
      </c>
      <c r="J1591" s="564" t="s">
        <v>1069</v>
      </c>
      <c r="K1591" s="564" t="s">
        <v>1120</v>
      </c>
      <c r="L1591" s="564" t="s">
        <v>2098</v>
      </c>
      <c r="M1591" s="564" t="s">
        <v>2098</v>
      </c>
      <c r="N1591" s="564" t="s">
        <v>70</v>
      </c>
      <c r="O1591" s="564" t="s">
        <v>2099</v>
      </c>
      <c r="P1591" s="23"/>
      <c r="Q1591" s="23"/>
      <c r="R1591" s="23"/>
      <c r="S1591" s="23"/>
      <c r="T1591" s="23"/>
      <c r="U1591" s="23"/>
      <c r="V1591" s="23"/>
      <c r="W1591" s="23"/>
      <c r="X1591" s="23"/>
      <c r="Y1591" s="23"/>
      <c r="Z1591" s="23"/>
    </row>
    <row r="1592" spans="1:26" ht="13">
      <c r="A1592" s="562" t="s">
        <v>4441</v>
      </c>
      <c r="B1592" s="563" t="s">
        <v>4442</v>
      </c>
      <c r="C1592" s="564" t="s">
        <v>1076</v>
      </c>
      <c r="D1592" s="565">
        <v>44097</v>
      </c>
      <c r="E1592" s="565">
        <v>44159</v>
      </c>
      <c r="F1592" s="566">
        <v>45245000</v>
      </c>
      <c r="G1592" s="564" t="s">
        <v>1077</v>
      </c>
      <c r="H1592" s="564" t="s">
        <v>1077</v>
      </c>
      <c r="I1592" s="564" t="s">
        <v>637</v>
      </c>
      <c r="J1592" s="564" t="s">
        <v>1069</v>
      </c>
      <c r="K1592" s="564" t="s">
        <v>1070</v>
      </c>
      <c r="L1592" s="564" t="s">
        <v>2098</v>
      </c>
      <c r="M1592" s="564" t="s">
        <v>2098</v>
      </c>
      <c r="N1592" s="564" t="s">
        <v>1082</v>
      </c>
      <c r="O1592" s="564" t="s">
        <v>2099</v>
      </c>
      <c r="P1592" s="23"/>
      <c r="Q1592" s="23"/>
      <c r="R1592" s="23"/>
      <c r="S1592" s="23"/>
      <c r="T1592" s="23"/>
      <c r="U1592" s="23"/>
      <c r="V1592" s="23"/>
      <c r="W1592" s="23"/>
      <c r="X1592" s="23"/>
      <c r="Y1592" s="23"/>
      <c r="Z1592" s="23"/>
    </row>
    <row r="1593" spans="1:26" ht="13">
      <c r="A1593" s="562" t="s">
        <v>4443</v>
      </c>
      <c r="B1593" s="563" t="s">
        <v>4444</v>
      </c>
      <c r="C1593" s="564" t="s">
        <v>1652</v>
      </c>
      <c r="D1593" s="565">
        <v>44097</v>
      </c>
      <c r="E1593" s="565">
        <v>44110</v>
      </c>
      <c r="F1593" s="566">
        <v>264000</v>
      </c>
      <c r="G1593" s="564" t="s">
        <v>4261</v>
      </c>
      <c r="H1593" s="564" t="s">
        <v>4261</v>
      </c>
      <c r="I1593" s="564" t="s">
        <v>107</v>
      </c>
      <c r="J1593" s="564" t="s">
        <v>1069</v>
      </c>
      <c r="K1593" s="564" t="s">
        <v>1120</v>
      </c>
      <c r="L1593" s="564" t="s">
        <v>2098</v>
      </c>
      <c r="M1593" s="564" t="s">
        <v>2098</v>
      </c>
      <c r="N1593" s="564" t="s">
        <v>1073</v>
      </c>
      <c r="O1593" s="564" t="s">
        <v>2099</v>
      </c>
      <c r="P1593" s="23"/>
      <c r="Q1593" s="23"/>
      <c r="R1593" s="23"/>
      <c r="S1593" s="23"/>
      <c r="T1593" s="23"/>
      <c r="U1593" s="23"/>
      <c r="V1593" s="23"/>
      <c r="W1593" s="23"/>
      <c r="X1593" s="23"/>
      <c r="Y1593" s="23"/>
      <c r="Z1593" s="23"/>
    </row>
    <row r="1594" spans="1:26" ht="13">
      <c r="A1594" s="562" t="s">
        <v>4445</v>
      </c>
      <c r="B1594" s="563" t="s">
        <v>4446</v>
      </c>
      <c r="C1594" s="564" t="s">
        <v>1652</v>
      </c>
      <c r="D1594" s="565">
        <v>44096</v>
      </c>
      <c r="E1594" s="565">
        <v>44125</v>
      </c>
      <c r="F1594" s="566">
        <v>12167273</v>
      </c>
      <c r="G1594" s="564" t="s">
        <v>1623</v>
      </c>
      <c r="H1594" s="564" t="s">
        <v>1623</v>
      </c>
      <c r="I1594" s="564" t="s">
        <v>802</v>
      </c>
      <c r="J1594" s="564" t="s">
        <v>1069</v>
      </c>
      <c r="K1594" s="564" t="s">
        <v>1198</v>
      </c>
      <c r="L1594" s="564" t="s">
        <v>2098</v>
      </c>
      <c r="M1594" s="564" t="s">
        <v>2098</v>
      </c>
      <c r="N1594" s="564" t="s">
        <v>132</v>
      </c>
      <c r="O1594" s="564" t="s">
        <v>2099</v>
      </c>
      <c r="P1594" s="23"/>
      <c r="Q1594" s="23"/>
      <c r="R1594" s="23"/>
      <c r="S1594" s="23"/>
      <c r="T1594" s="23"/>
      <c r="U1594" s="23"/>
      <c r="V1594" s="23"/>
      <c r="W1594" s="23"/>
      <c r="X1594" s="23"/>
      <c r="Y1594" s="23"/>
      <c r="Z1594" s="23"/>
    </row>
    <row r="1595" spans="1:26" ht="13">
      <c r="A1595" s="562" t="s">
        <v>4447</v>
      </c>
      <c r="B1595" s="563" t="s">
        <v>4448</v>
      </c>
      <c r="C1595" s="564" t="s">
        <v>353</v>
      </c>
      <c r="D1595" s="565">
        <v>44081</v>
      </c>
      <c r="E1595" s="565">
        <v>44104</v>
      </c>
      <c r="F1595" s="566">
        <v>65000000</v>
      </c>
      <c r="G1595" s="564" t="s">
        <v>297</v>
      </c>
      <c r="H1595" s="564" t="s">
        <v>297</v>
      </c>
      <c r="I1595" s="564" t="s">
        <v>4449</v>
      </c>
      <c r="J1595" s="564" t="s">
        <v>1069</v>
      </c>
      <c r="K1595" s="564" t="s">
        <v>1070</v>
      </c>
      <c r="L1595" s="564" t="s">
        <v>2098</v>
      </c>
      <c r="M1595" s="564" t="s">
        <v>2098</v>
      </c>
      <c r="N1595" s="564" t="s">
        <v>1082</v>
      </c>
      <c r="O1595" s="564" t="s">
        <v>2099</v>
      </c>
      <c r="P1595" s="23"/>
      <c r="Q1595" s="23"/>
      <c r="R1595" s="23"/>
      <c r="S1595" s="23"/>
      <c r="T1595" s="23"/>
      <c r="U1595" s="23"/>
      <c r="V1595" s="23"/>
      <c r="W1595" s="23"/>
      <c r="X1595" s="23"/>
      <c r="Y1595" s="23"/>
      <c r="Z1595" s="23"/>
    </row>
    <row r="1596" spans="1:26" ht="13">
      <c r="A1596" s="562" t="s">
        <v>4450</v>
      </c>
      <c r="B1596" s="563" t="s">
        <v>4451</v>
      </c>
      <c r="C1596" s="564" t="s">
        <v>3378</v>
      </c>
      <c r="D1596" s="565">
        <v>44046</v>
      </c>
      <c r="E1596" s="565">
        <v>44104</v>
      </c>
      <c r="F1596" s="566">
        <v>149280000</v>
      </c>
      <c r="G1596" s="564" t="s">
        <v>1128</v>
      </c>
      <c r="H1596" s="564" t="s">
        <v>1128</v>
      </c>
      <c r="I1596" s="564" t="s">
        <v>45</v>
      </c>
      <c r="J1596" s="564" t="s">
        <v>1069</v>
      </c>
      <c r="K1596" s="564" t="s">
        <v>1090</v>
      </c>
      <c r="L1596" s="564" t="s">
        <v>2098</v>
      </c>
      <c r="M1596" s="564" t="s">
        <v>2098</v>
      </c>
      <c r="N1596" s="564" t="s">
        <v>45</v>
      </c>
      <c r="O1596" s="564" t="s">
        <v>2099</v>
      </c>
      <c r="P1596" s="23"/>
      <c r="Q1596" s="23"/>
      <c r="R1596" s="23"/>
      <c r="S1596" s="23"/>
      <c r="T1596" s="23"/>
      <c r="U1596" s="23"/>
      <c r="V1596" s="23"/>
      <c r="W1596" s="23"/>
      <c r="X1596" s="23"/>
      <c r="Y1596" s="23"/>
      <c r="Z1596" s="23"/>
    </row>
    <row r="1597" spans="1:26" ht="13">
      <c r="A1597" s="562" t="s">
        <v>4452</v>
      </c>
      <c r="B1597" s="563" t="s">
        <v>4453</v>
      </c>
      <c r="C1597" s="564" t="s">
        <v>1076</v>
      </c>
      <c r="D1597" s="565">
        <v>44096</v>
      </c>
      <c r="E1597" s="565">
        <v>44158</v>
      </c>
      <c r="F1597" s="566">
        <v>1638000</v>
      </c>
      <c r="G1597" s="564" t="s">
        <v>1077</v>
      </c>
      <c r="H1597" s="564" t="s">
        <v>1077</v>
      </c>
      <c r="I1597" s="564" t="s">
        <v>637</v>
      </c>
      <c r="J1597" s="564" t="s">
        <v>1069</v>
      </c>
      <c r="K1597" s="564" t="s">
        <v>1070</v>
      </c>
      <c r="L1597" s="564" t="s">
        <v>2098</v>
      </c>
      <c r="M1597" s="564" t="s">
        <v>2098</v>
      </c>
      <c r="N1597" s="564" t="s">
        <v>1082</v>
      </c>
      <c r="O1597" s="564" t="s">
        <v>2099</v>
      </c>
      <c r="P1597" s="23"/>
      <c r="Q1597" s="23"/>
      <c r="R1597" s="23"/>
      <c r="S1597" s="23"/>
      <c r="T1597" s="23"/>
      <c r="U1597" s="23"/>
      <c r="V1597" s="23"/>
      <c r="W1597" s="23"/>
      <c r="X1597" s="23"/>
      <c r="Y1597" s="23"/>
      <c r="Z1597" s="23"/>
    </row>
    <row r="1598" spans="1:26" ht="13">
      <c r="A1598" s="562" t="s">
        <v>4454</v>
      </c>
      <c r="B1598" s="563" t="s">
        <v>4455</v>
      </c>
      <c r="C1598" s="564" t="s">
        <v>1076</v>
      </c>
      <c r="D1598" s="565">
        <v>44095</v>
      </c>
      <c r="E1598" s="565">
        <v>44155</v>
      </c>
      <c r="F1598" s="566">
        <v>900000</v>
      </c>
      <c r="G1598" s="564" t="s">
        <v>1077</v>
      </c>
      <c r="H1598" s="564" t="s">
        <v>1077</v>
      </c>
      <c r="I1598" s="564" t="s">
        <v>637</v>
      </c>
      <c r="J1598" s="564" t="s">
        <v>1069</v>
      </c>
      <c r="K1598" s="564" t="s">
        <v>1070</v>
      </c>
      <c r="L1598" s="564" t="s">
        <v>2098</v>
      </c>
      <c r="M1598" s="564" t="s">
        <v>2098</v>
      </c>
      <c r="N1598" s="564" t="s">
        <v>1082</v>
      </c>
      <c r="O1598" s="564" t="s">
        <v>2099</v>
      </c>
      <c r="P1598" s="23"/>
      <c r="Q1598" s="23"/>
      <c r="R1598" s="23"/>
      <c r="S1598" s="23"/>
      <c r="T1598" s="23"/>
      <c r="U1598" s="23"/>
      <c r="V1598" s="23"/>
      <c r="W1598" s="23"/>
      <c r="X1598" s="23"/>
      <c r="Y1598" s="23"/>
      <c r="Z1598" s="23"/>
    </row>
    <row r="1599" spans="1:26" ht="13">
      <c r="A1599" s="562" t="s">
        <v>4456</v>
      </c>
      <c r="B1599" s="563" t="s">
        <v>4457</v>
      </c>
      <c r="C1599" s="564" t="s">
        <v>1652</v>
      </c>
      <c r="D1599" s="565">
        <v>44090</v>
      </c>
      <c r="E1599" s="565">
        <v>44119</v>
      </c>
      <c r="F1599" s="566">
        <v>15630000</v>
      </c>
      <c r="G1599" s="564" t="s">
        <v>1623</v>
      </c>
      <c r="H1599" s="564" t="s">
        <v>1623</v>
      </c>
      <c r="I1599" s="564" t="s">
        <v>802</v>
      </c>
      <c r="J1599" s="564" t="s">
        <v>1069</v>
      </c>
      <c r="K1599" s="564" t="s">
        <v>1198</v>
      </c>
      <c r="L1599" s="564" t="s">
        <v>2098</v>
      </c>
      <c r="M1599" s="564" t="s">
        <v>2098</v>
      </c>
      <c r="N1599" s="564" t="s">
        <v>132</v>
      </c>
      <c r="O1599" s="564" t="s">
        <v>2099</v>
      </c>
      <c r="P1599" s="23"/>
      <c r="Q1599" s="23"/>
      <c r="R1599" s="23"/>
      <c r="S1599" s="23"/>
      <c r="T1599" s="23"/>
      <c r="U1599" s="23"/>
      <c r="V1599" s="23"/>
      <c r="W1599" s="23"/>
      <c r="X1599" s="23"/>
      <c r="Y1599" s="23"/>
      <c r="Z1599" s="23"/>
    </row>
    <row r="1600" spans="1:26" ht="13">
      <c r="A1600" s="562" t="s">
        <v>4458</v>
      </c>
      <c r="B1600" s="563" t="s">
        <v>4459</v>
      </c>
      <c r="C1600" s="564" t="s">
        <v>1652</v>
      </c>
      <c r="D1600" s="565">
        <v>44092</v>
      </c>
      <c r="E1600" s="565">
        <v>44102</v>
      </c>
      <c r="F1600" s="566">
        <v>955000</v>
      </c>
      <c r="G1600" s="564" t="s">
        <v>4261</v>
      </c>
      <c r="H1600" s="564" t="s">
        <v>4261</v>
      </c>
      <c r="I1600" s="564" t="s">
        <v>107</v>
      </c>
      <c r="J1600" s="564" t="s">
        <v>1069</v>
      </c>
      <c r="K1600" s="564" t="s">
        <v>1120</v>
      </c>
      <c r="L1600" s="564" t="s">
        <v>2098</v>
      </c>
      <c r="M1600" s="564" t="s">
        <v>2098</v>
      </c>
      <c r="N1600" s="564" t="s">
        <v>1073</v>
      </c>
      <c r="O1600" s="564" t="s">
        <v>2099</v>
      </c>
      <c r="P1600" s="23"/>
      <c r="Q1600" s="23"/>
      <c r="R1600" s="23"/>
      <c r="S1600" s="23"/>
      <c r="T1600" s="23"/>
      <c r="U1600" s="23"/>
      <c r="V1600" s="23"/>
      <c r="W1600" s="23"/>
      <c r="X1600" s="23"/>
      <c r="Y1600" s="23"/>
      <c r="Z1600" s="23"/>
    </row>
    <row r="1601" spans="1:26" ht="13">
      <c r="A1601" s="562" t="s">
        <v>4460</v>
      </c>
      <c r="B1601" s="563" t="s">
        <v>4461</v>
      </c>
      <c r="C1601" s="564" t="s">
        <v>1652</v>
      </c>
      <c r="D1601" s="565">
        <v>44091</v>
      </c>
      <c r="E1601" s="565">
        <v>44099</v>
      </c>
      <c r="F1601" s="566">
        <v>955000</v>
      </c>
      <c r="G1601" s="564" t="s">
        <v>4261</v>
      </c>
      <c r="H1601" s="564" t="s">
        <v>4261</v>
      </c>
      <c r="I1601" s="564" t="s">
        <v>70</v>
      </c>
      <c r="J1601" s="564" t="s">
        <v>1069</v>
      </c>
      <c r="K1601" s="564" t="s">
        <v>1120</v>
      </c>
      <c r="L1601" s="564" t="s">
        <v>2098</v>
      </c>
      <c r="M1601" s="564" t="s">
        <v>2098</v>
      </c>
      <c r="N1601" s="564" t="s">
        <v>70</v>
      </c>
      <c r="O1601" s="564" t="s">
        <v>2099</v>
      </c>
      <c r="P1601" s="23"/>
      <c r="Q1601" s="23"/>
      <c r="R1601" s="23"/>
      <c r="S1601" s="23"/>
      <c r="T1601" s="23"/>
      <c r="U1601" s="23"/>
      <c r="V1601" s="23"/>
      <c r="W1601" s="23"/>
      <c r="X1601" s="23"/>
      <c r="Y1601" s="23"/>
      <c r="Z1601" s="23"/>
    </row>
    <row r="1602" spans="1:26" ht="13">
      <c r="A1602" s="562" t="s">
        <v>4462</v>
      </c>
      <c r="B1602" s="563" t="s">
        <v>4366</v>
      </c>
      <c r="C1602" s="564" t="s">
        <v>1652</v>
      </c>
      <c r="D1602" s="565">
        <v>44090</v>
      </c>
      <c r="E1602" s="565">
        <v>44098</v>
      </c>
      <c r="F1602" s="566">
        <v>170000</v>
      </c>
      <c r="G1602" s="564" t="s">
        <v>4261</v>
      </c>
      <c r="H1602" s="564" t="s">
        <v>4261</v>
      </c>
      <c r="I1602" s="564" t="s">
        <v>70</v>
      </c>
      <c r="J1602" s="564" t="s">
        <v>1069</v>
      </c>
      <c r="K1602" s="564" t="s">
        <v>1120</v>
      </c>
      <c r="L1602" s="564" t="s">
        <v>2098</v>
      </c>
      <c r="M1602" s="564" t="s">
        <v>2098</v>
      </c>
      <c r="N1602" s="564" t="s">
        <v>70</v>
      </c>
      <c r="O1602" s="564" t="s">
        <v>2099</v>
      </c>
      <c r="P1602" s="23"/>
      <c r="Q1602" s="23"/>
      <c r="R1602" s="23"/>
      <c r="S1602" s="23"/>
      <c r="T1602" s="23"/>
      <c r="U1602" s="23"/>
      <c r="V1602" s="23"/>
      <c r="W1602" s="23"/>
      <c r="X1602" s="23"/>
      <c r="Y1602" s="23"/>
      <c r="Z1602" s="23"/>
    </row>
    <row r="1603" spans="1:26" ht="13">
      <c r="A1603" s="562" t="s">
        <v>4463</v>
      </c>
      <c r="B1603" s="563" t="s">
        <v>4464</v>
      </c>
      <c r="C1603" s="564" t="s">
        <v>1652</v>
      </c>
      <c r="D1603" s="565">
        <v>44089</v>
      </c>
      <c r="E1603" s="565">
        <v>44118</v>
      </c>
      <c r="F1603" s="566">
        <v>17406363</v>
      </c>
      <c r="G1603" s="564" t="s">
        <v>1623</v>
      </c>
      <c r="H1603" s="564" t="s">
        <v>1623</v>
      </c>
      <c r="I1603" s="564" t="s">
        <v>802</v>
      </c>
      <c r="J1603" s="564" t="s">
        <v>1069</v>
      </c>
      <c r="K1603" s="564" t="s">
        <v>1198</v>
      </c>
      <c r="L1603" s="564" t="s">
        <v>2098</v>
      </c>
      <c r="M1603" s="564" t="s">
        <v>2098</v>
      </c>
      <c r="N1603" s="564" t="s">
        <v>132</v>
      </c>
      <c r="O1603" s="564" t="s">
        <v>2099</v>
      </c>
      <c r="P1603" s="23"/>
      <c r="Q1603" s="23"/>
      <c r="R1603" s="23"/>
      <c r="S1603" s="23"/>
      <c r="T1603" s="23"/>
      <c r="U1603" s="23"/>
      <c r="V1603" s="23"/>
      <c r="W1603" s="23"/>
      <c r="X1603" s="23"/>
      <c r="Y1603" s="23"/>
      <c r="Z1603" s="23"/>
    </row>
    <row r="1604" spans="1:26" ht="13">
      <c r="A1604" s="562" t="s">
        <v>4465</v>
      </c>
      <c r="B1604" s="563" t="s">
        <v>4466</v>
      </c>
      <c r="C1604" s="564" t="s">
        <v>1652</v>
      </c>
      <c r="D1604" s="565">
        <v>44089</v>
      </c>
      <c r="E1604" s="565">
        <v>44118</v>
      </c>
      <c r="F1604" s="566">
        <v>40590909</v>
      </c>
      <c r="G1604" s="564" t="s">
        <v>1623</v>
      </c>
      <c r="H1604" s="564" t="s">
        <v>1623</v>
      </c>
      <c r="I1604" s="564" t="s">
        <v>802</v>
      </c>
      <c r="J1604" s="564" t="s">
        <v>1069</v>
      </c>
      <c r="K1604" s="564" t="s">
        <v>1198</v>
      </c>
      <c r="L1604" s="564" t="s">
        <v>2098</v>
      </c>
      <c r="M1604" s="564" t="s">
        <v>2098</v>
      </c>
      <c r="N1604" s="564" t="s">
        <v>132</v>
      </c>
      <c r="O1604" s="564" t="s">
        <v>2099</v>
      </c>
      <c r="P1604" s="23"/>
      <c r="Q1604" s="23"/>
      <c r="R1604" s="23"/>
      <c r="S1604" s="23"/>
      <c r="T1604" s="23"/>
      <c r="U1604" s="23"/>
      <c r="V1604" s="23"/>
      <c r="W1604" s="23"/>
      <c r="X1604" s="23"/>
      <c r="Y1604" s="23"/>
      <c r="Z1604" s="23"/>
    </row>
    <row r="1605" spans="1:26" ht="13">
      <c r="A1605" s="562" t="s">
        <v>4467</v>
      </c>
      <c r="B1605" s="563" t="s">
        <v>4468</v>
      </c>
      <c r="C1605" s="564" t="s">
        <v>1652</v>
      </c>
      <c r="D1605" s="565">
        <v>44089</v>
      </c>
      <c r="E1605" s="565">
        <v>44097</v>
      </c>
      <c r="F1605" s="566">
        <v>8168000</v>
      </c>
      <c r="G1605" s="564" t="s">
        <v>4261</v>
      </c>
      <c r="H1605" s="564" t="s">
        <v>4261</v>
      </c>
      <c r="I1605" s="564" t="s">
        <v>70</v>
      </c>
      <c r="J1605" s="564" t="s">
        <v>1069</v>
      </c>
      <c r="K1605" s="564" t="s">
        <v>1120</v>
      </c>
      <c r="L1605" s="564" t="s">
        <v>2098</v>
      </c>
      <c r="M1605" s="564" t="s">
        <v>2098</v>
      </c>
      <c r="N1605" s="564" t="s">
        <v>70</v>
      </c>
      <c r="O1605" s="564" t="s">
        <v>2099</v>
      </c>
      <c r="P1605" s="23"/>
      <c r="Q1605" s="23"/>
      <c r="R1605" s="23"/>
      <c r="S1605" s="23"/>
      <c r="T1605" s="23"/>
      <c r="U1605" s="23"/>
      <c r="V1605" s="23"/>
      <c r="W1605" s="23"/>
      <c r="X1605" s="23"/>
      <c r="Y1605" s="23"/>
      <c r="Z1605" s="23"/>
    </row>
    <row r="1606" spans="1:26" ht="13">
      <c r="A1606" s="562" t="s">
        <v>4469</v>
      </c>
      <c r="B1606" s="563" t="s">
        <v>4455</v>
      </c>
      <c r="C1606" s="564" t="s">
        <v>1076</v>
      </c>
      <c r="D1606" s="565">
        <v>44088</v>
      </c>
      <c r="E1606" s="565">
        <v>44148</v>
      </c>
      <c r="F1606" s="566">
        <v>900000</v>
      </c>
      <c r="G1606" s="564" t="s">
        <v>1077</v>
      </c>
      <c r="H1606" s="564" t="s">
        <v>1077</v>
      </c>
      <c r="I1606" s="564" t="s">
        <v>637</v>
      </c>
      <c r="J1606" s="564" t="s">
        <v>1069</v>
      </c>
      <c r="K1606" s="564" t="s">
        <v>1070</v>
      </c>
      <c r="L1606" s="564" t="s">
        <v>2098</v>
      </c>
      <c r="M1606" s="564" t="s">
        <v>2098</v>
      </c>
      <c r="N1606" s="564" t="s">
        <v>1082</v>
      </c>
      <c r="O1606" s="564" t="s">
        <v>2099</v>
      </c>
      <c r="P1606" s="23"/>
      <c r="Q1606" s="23"/>
      <c r="R1606" s="23"/>
      <c r="S1606" s="23"/>
      <c r="T1606" s="23"/>
      <c r="U1606" s="23"/>
      <c r="V1606" s="23"/>
      <c r="W1606" s="23"/>
      <c r="X1606" s="23"/>
      <c r="Y1606" s="23"/>
      <c r="Z1606" s="23"/>
    </row>
    <row r="1607" spans="1:26" ht="13">
      <c r="A1607" s="562" t="s">
        <v>4470</v>
      </c>
      <c r="B1607" s="563" t="s">
        <v>4471</v>
      </c>
      <c r="C1607" s="564" t="s">
        <v>1076</v>
      </c>
      <c r="D1607" s="565">
        <v>44088</v>
      </c>
      <c r="E1607" s="565">
        <v>44148</v>
      </c>
      <c r="F1607" s="566">
        <v>866000</v>
      </c>
      <c r="G1607" s="564" t="s">
        <v>1077</v>
      </c>
      <c r="H1607" s="564" t="s">
        <v>1077</v>
      </c>
      <c r="I1607" s="564" t="s">
        <v>637</v>
      </c>
      <c r="J1607" s="564" t="s">
        <v>1069</v>
      </c>
      <c r="K1607" s="564" t="s">
        <v>1070</v>
      </c>
      <c r="L1607" s="564" t="s">
        <v>2098</v>
      </c>
      <c r="M1607" s="564" t="s">
        <v>2098</v>
      </c>
      <c r="N1607" s="564" t="s">
        <v>1082</v>
      </c>
      <c r="O1607" s="564" t="s">
        <v>2099</v>
      </c>
      <c r="P1607" s="23"/>
      <c r="Q1607" s="23"/>
      <c r="R1607" s="23"/>
      <c r="S1607" s="23"/>
      <c r="T1607" s="23"/>
      <c r="U1607" s="23"/>
      <c r="V1607" s="23"/>
      <c r="W1607" s="23"/>
      <c r="X1607" s="23"/>
      <c r="Y1607" s="23"/>
      <c r="Z1607" s="23"/>
    </row>
    <row r="1608" spans="1:26" ht="13">
      <c r="A1608" s="562" t="s">
        <v>4472</v>
      </c>
      <c r="B1608" s="563" t="s">
        <v>4473</v>
      </c>
      <c r="C1608" s="564" t="s">
        <v>353</v>
      </c>
      <c r="D1608" s="565">
        <v>44085</v>
      </c>
      <c r="E1608" s="565">
        <v>44095</v>
      </c>
      <c r="F1608" s="566">
        <v>608000</v>
      </c>
      <c r="G1608" s="564" t="s">
        <v>297</v>
      </c>
      <c r="H1608" s="564" t="s">
        <v>297</v>
      </c>
      <c r="I1608" s="564" t="s">
        <v>64</v>
      </c>
      <c r="J1608" s="564" t="s">
        <v>1069</v>
      </c>
      <c r="K1608" s="564" t="s">
        <v>1090</v>
      </c>
      <c r="L1608" s="564" t="s">
        <v>2098</v>
      </c>
      <c r="M1608" s="564" t="s">
        <v>2098</v>
      </c>
      <c r="N1608" s="564" t="s">
        <v>64</v>
      </c>
      <c r="O1608" s="564" t="s">
        <v>2099</v>
      </c>
      <c r="P1608" s="23"/>
      <c r="Q1608" s="23"/>
      <c r="R1608" s="23"/>
      <c r="S1608" s="23"/>
      <c r="T1608" s="23"/>
      <c r="U1608" s="23"/>
      <c r="V1608" s="23"/>
      <c r="W1608" s="23"/>
      <c r="X1608" s="23"/>
      <c r="Y1608" s="23"/>
      <c r="Z1608" s="23"/>
    </row>
    <row r="1609" spans="1:26" ht="13">
      <c r="A1609" s="562" t="s">
        <v>4474</v>
      </c>
      <c r="B1609" s="563" t="s">
        <v>4475</v>
      </c>
      <c r="C1609" s="564" t="s">
        <v>353</v>
      </c>
      <c r="D1609" s="565">
        <v>44082</v>
      </c>
      <c r="E1609" s="565">
        <v>44092</v>
      </c>
      <c r="F1609" s="566">
        <v>575000</v>
      </c>
      <c r="G1609" s="564" t="s">
        <v>297</v>
      </c>
      <c r="H1609" s="564" t="s">
        <v>297</v>
      </c>
      <c r="I1609" s="564" t="s">
        <v>45</v>
      </c>
      <c r="J1609" s="564" t="s">
        <v>1069</v>
      </c>
      <c r="K1609" s="564" t="s">
        <v>1090</v>
      </c>
      <c r="L1609" s="564" t="s">
        <v>2098</v>
      </c>
      <c r="M1609" s="564" t="s">
        <v>2098</v>
      </c>
      <c r="N1609" s="564" t="s">
        <v>45</v>
      </c>
      <c r="O1609" s="564" t="s">
        <v>2099</v>
      </c>
      <c r="P1609" s="23"/>
      <c r="Q1609" s="23"/>
      <c r="R1609" s="23"/>
      <c r="S1609" s="23"/>
      <c r="T1609" s="23"/>
      <c r="U1609" s="23"/>
      <c r="V1609" s="23"/>
      <c r="W1609" s="23"/>
      <c r="X1609" s="23"/>
      <c r="Y1609" s="23"/>
      <c r="Z1609" s="23"/>
    </row>
    <row r="1610" spans="1:26" ht="13">
      <c r="A1610" s="562" t="s">
        <v>4476</v>
      </c>
      <c r="B1610" s="563" t="s">
        <v>4477</v>
      </c>
      <c r="C1610" s="564" t="s">
        <v>1076</v>
      </c>
      <c r="D1610" s="565">
        <v>44083</v>
      </c>
      <c r="E1610" s="565">
        <v>44145</v>
      </c>
      <c r="F1610" s="566">
        <v>3780000</v>
      </c>
      <c r="G1610" s="564" t="s">
        <v>1077</v>
      </c>
      <c r="H1610" s="564" t="s">
        <v>1077</v>
      </c>
      <c r="I1610" s="564" t="s">
        <v>637</v>
      </c>
      <c r="J1610" s="564" t="s">
        <v>1069</v>
      </c>
      <c r="K1610" s="564" t="s">
        <v>1070</v>
      </c>
      <c r="L1610" s="564" t="s">
        <v>2098</v>
      </c>
      <c r="M1610" s="564" t="s">
        <v>2098</v>
      </c>
      <c r="N1610" s="564" t="s">
        <v>1082</v>
      </c>
      <c r="O1610" s="564" t="s">
        <v>2099</v>
      </c>
      <c r="P1610" s="23"/>
      <c r="Q1610" s="23"/>
      <c r="R1610" s="23"/>
      <c r="S1610" s="23"/>
      <c r="T1610" s="23"/>
      <c r="U1610" s="23"/>
      <c r="V1610" s="23"/>
      <c r="W1610" s="23"/>
      <c r="X1610" s="23"/>
      <c r="Y1610" s="23"/>
      <c r="Z1610" s="23"/>
    </row>
    <row r="1611" spans="1:26" ht="13">
      <c r="A1611" s="562" t="s">
        <v>4478</v>
      </c>
      <c r="B1611" s="563" t="s">
        <v>4461</v>
      </c>
      <c r="C1611" s="564" t="s">
        <v>1652</v>
      </c>
      <c r="D1611" s="565">
        <v>44083</v>
      </c>
      <c r="E1611" s="565">
        <v>44090</v>
      </c>
      <c r="F1611" s="566">
        <v>955000</v>
      </c>
      <c r="G1611" s="564" t="s">
        <v>4261</v>
      </c>
      <c r="H1611" s="564" t="s">
        <v>4261</v>
      </c>
      <c r="I1611" s="564" t="s">
        <v>70</v>
      </c>
      <c r="J1611" s="564" t="s">
        <v>1069</v>
      </c>
      <c r="K1611" s="564" t="s">
        <v>1120</v>
      </c>
      <c r="L1611" s="564" t="s">
        <v>2098</v>
      </c>
      <c r="M1611" s="564" t="s">
        <v>2098</v>
      </c>
      <c r="N1611" s="564" t="s">
        <v>70</v>
      </c>
      <c r="O1611" s="564" t="s">
        <v>2099</v>
      </c>
      <c r="P1611" s="23"/>
      <c r="Q1611" s="23"/>
      <c r="R1611" s="23"/>
      <c r="S1611" s="23"/>
      <c r="T1611" s="23"/>
      <c r="U1611" s="23"/>
      <c r="V1611" s="23"/>
      <c r="W1611" s="23"/>
      <c r="X1611" s="23"/>
      <c r="Y1611" s="23"/>
      <c r="Z1611" s="23"/>
    </row>
    <row r="1612" spans="1:26" ht="13">
      <c r="A1612" s="562" t="s">
        <v>4479</v>
      </c>
      <c r="B1612" s="563" t="s">
        <v>4480</v>
      </c>
      <c r="C1612" s="564" t="s">
        <v>1076</v>
      </c>
      <c r="D1612" s="565">
        <v>44083</v>
      </c>
      <c r="E1612" s="565">
        <v>44144</v>
      </c>
      <c r="F1612" s="566">
        <v>866000</v>
      </c>
      <c r="G1612" s="564" t="s">
        <v>1077</v>
      </c>
      <c r="H1612" s="564" t="s">
        <v>1077</v>
      </c>
      <c r="I1612" s="564" t="s">
        <v>637</v>
      </c>
      <c r="J1612" s="564" t="s">
        <v>1069</v>
      </c>
      <c r="K1612" s="564" t="s">
        <v>1070</v>
      </c>
      <c r="L1612" s="564" t="s">
        <v>2098</v>
      </c>
      <c r="M1612" s="564" t="s">
        <v>2098</v>
      </c>
      <c r="N1612" s="564" t="s">
        <v>1082</v>
      </c>
      <c r="O1612" s="564" t="s">
        <v>2099</v>
      </c>
      <c r="P1612" s="23"/>
      <c r="Q1612" s="23"/>
      <c r="R1612" s="23"/>
      <c r="S1612" s="23"/>
      <c r="T1612" s="23"/>
      <c r="U1612" s="23"/>
      <c r="V1612" s="23"/>
      <c r="W1612" s="23"/>
      <c r="X1612" s="23"/>
      <c r="Y1612" s="23"/>
      <c r="Z1612" s="23"/>
    </row>
    <row r="1613" spans="1:26" ht="13">
      <c r="A1613" s="562" t="s">
        <v>4481</v>
      </c>
      <c r="B1613" s="563" t="s">
        <v>4482</v>
      </c>
      <c r="C1613" s="564" t="s">
        <v>3378</v>
      </c>
      <c r="D1613" s="565">
        <v>44082</v>
      </c>
      <c r="E1613" s="565">
        <v>44092</v>
      </c>
      <c r="F1613" s="566">
        <v>575000</v>
      </c>
      <c r="G1613" s="564" t="s">
        <v>297</v>
      </c>
      <c r="H1613" s="564" t="s">
        <v>297</v>
      </c>
      <c r="I1613" s="564" t="s">
        <v>45</v>
      </c>
      <c r="J1613" s="564" t="s">
        <v>1069</v>
      </c>
      <c r="K1613" s="564" t="s">
        <v>1090</v>
      </c>
      <c r="L1613" s="564" t="s">
        <v>2098</v>
      </c>
      <c r="M1613" s="564" t="s">
        <v>2098</v>
      </c>
      <c r="N1613" s="564" t="s">
        <v>45</v>
      </c>
      <c r="O1613" s="564" t="s">
        <v>2099</v>
      </c>
      <c r="P1613" s="23"/>
      <c r="Q1613" s="23"/>
      <c r="R1613" s="23"/>
      <c r="S1613" s="23"/>
      <c r="T1613" s="23"/>
      <c r="U1613" s="23"/>
      <c r="V1613" s="23"/>
      <c r="W1613" s="23"/>
      <c r="X1613" s="23"/>
      <c r="Y1613" s="23"/>
      <c r="Z1613" s="23"/>
    </row>
    <row r="1614" spans="1:26" ht="13">
      <c r="A1614" s="562" t="s">
        <v>4483</v>
      </c>
      <c r="B1614" s="563" t="s">
        <v>4461</v>
      </c>
      <c r="C1614" s="564" t="s">
        <v>1652</v>
      </c>
      <c r="D1614" s="565">
        <v>44081</v>
      </c>
      <c r="E1614" s="565">
        <v>44088</v>
      </c>
      <c r="F1614" s="566">
        <v>955000</v>
      </c>
      <c r="G1614" s="564" t="s">
        <v>4261</v>
      </c>
      <c r="H1614" s="564" t="s">
        <v>4261</v>
      </c>
      <c r="I1614" s="564" t="s">
        <v>70</v>
      </c>
      <c r="J1614" s="564" t="s">
        <v>1069</v>
      </c>
      <c r="K1614" s="564" t="s">
        <v>1120</v>
      </c>
      <c r="L1614" s="564" t="s">
        <v>2098</v>
      </c>
      <c r="M1614" s="564" t="s">
        <v>2098</v>
      </c>
      <c r="N1614" s="564" t="s">
        <v>70</v>
      </c>
      <c r="O1614" s="564" t="s">
        <v>2099</v>
      </c>
      <c r="P1614" s="23"/>
      <c r="Q1614" s="23"/>
      <c r="R1614" s="23"/>
      <c r="S1614" s="23"/>
      <c r="T1614" s="23"/>
      <c r="U1614" s="23"/>
      <c r="V1614" s="23"/>
      <c r="W1614" s="23"/>
      <c r="X1614" s="23"/>
      <c r="Y1614" s="23"/>
      <c r="Z1614" s="23"/>
    </row>
    <row r="1615" spans="1:26" ht="13">
      <c r="A1615" s="562" t="s">
        <v>4484</v>
      </c>
      <c r="B1615" s="563" t="s">
        <v>4485</v>
      </c>
      <c r="C1615" s="564" t="s">
        <v>1652</v>
      </c>
      <c r="D1615" s="565">
        <v>44075</v>
      </c>
      <c r="E1615" s="565">
        <v>44082</v>
      </c>
      <c r="F1615" s="566">
        <v>185000</v>
      </c>
      <c r="G1615" s="564" t="s">
        <v>4261</v>
      </c>
      <c r="H1615" s="564" t="s">
        <v>4261</v>
      </c>
      <c r="I1615" s="564" t="s">
        <v>70</v>
      </c>
      <c r="J1615" s="564" t="s">
        <v>1069</v>
      </c>
      <c r="K1615" s="564" t="s">
        <v>1120</v>
      </c>
      <c r="L1615" s="564" t="s">
        <v>2098</v>
      </c>
      <c r="M1615" s="564" t="s">
        <v>2098</v>
      </c>
      <c r="N1615" s="564" t="s">
        <v>70</v>
      </c>
      <c r="O1615" s="564" t="s">
        <v>2099</v>
      </c>
      <c r="P1615" s="23"/>
      <c r="Q1615" s="23"/>
      <c r="R1615" s="23"/>
      <c r="S1615" s="23"/>
      <c r="T1615" s="23"/>
      <c r="U1615" s="23"/>
      <c r="V1615" s="23"/>
      <c r="W1615" s="23"/>
      <c r="X1615" s="23"/>
      <c r="Y1615" s="23"/>
      <c r="Z1615" s="23"/>
    </row>
    <row r="1616" spans="1:26" ht="13">
      <c r="A1616" s="562" t="s">
        <v>4486</v>
      </c>
      <c r="B1616" s="563" t="s">
        <v>4487</v>
      </c>
      <c r="C1616" s="564" t="s">
        <v>353</v>
      </c>
      <c r="D1616" s="565">
        <v>44047</v>
      </c>
      <c r="E1616" s="565">
        <v>44196</v>
      </c>
      <c r="F1616" s="566">
        <v>109300000</v>
      </c>
      <c r="G1616" s="564" t="s">
        <v>1128</v>
      </c>
      <c r="H1616" s="564" t="s">
        <v>1128</v>
      </c>
      <c r="I1616" s="564" t="s">
        <v>45</v>
      </c>
      <c r="J1616" s="564" t="s">
        <v>1069</v>
      </c>
      <c r="K1616" s="564" t="s">
        <v>1090</v>
      </c>
      <c r="L1616" s="564" t="s">
        <v>2098</v>
      </c>
      <c r="M1616" s="564" t="s">
        <v>2098</v>
      </c>
      <c r="N1616" s="564" t="s">
        <v>45</v>
      </c>
      <c r="O1616" s="564" t="s">
        <v>2099</v>
      </c>
      <c r="P1616" s="23"/>
      <c r="Q1616" s="23"/>
      <c r="R1616" s="23"/>
      <c r="S1616" s="23"/>
      <c r="T1616" s="23"/>
      <c r="U1616" s="23"/>
      <c r="V1616" s="23"/>
      <c r="W1616" s="23"/>
      <c r="X1616" s="23"/>
      <c r="Y1616" s="23"/>
      <c r="Z1616" s="23"/>
    </row>
    <row r="1617" spans="1:26" ht="13">
      <c r="A1617" s="562" t="s">
        <v>4488</v>
      </c>
      <c r="B1617" s="563" t="s">
        <v>3828</v>
      </c>
      <c r="C1617" s="564" t="s">
        <v>353</v>
      </c>
      <c r="D1617" s="565">
        <v>44047</v>
      </c>
      <c r="E1617" s="565">
        <v>44196</v>
      </c>
      <c r="F1617" s="566">
        <v>13670000</v>
      </c>
      <c r="G1617" s="564" t="s">
        <v>1128</v>
      </c>
      <c r="H1617" s="564" t="s">
        <v>1128</v>
      </c>
      <c r="I1617" s="564" t="s">
        <v>45</v>
      </c>
      <c r="J1617" s="564" t="s">
        <v>1069</v>
      </c>
      <c r="K1617" s="564" t="s">
        <v>1090</v>
      </c>
      <c r="L1617" s="564" t="s">
        <v>2098</v>
      </c>
      <c r="M1617" s="564" t="s">
        <v>2098</v>
      </c>
      <c r="N1617" s="564" t="s">
        <v>45</v>
      </c>
      <c r="O1617" s="564" t="s">
        <v>2099</v>
      </c>
      <c r="P1617" s="23"/>
      <c r="Q1617" s="23"/>
      <c r="R1617" s="23"/>
      <c r="S1617" s="23"/>
      <c r="T1617" s="23"/>
      <c r="U1617" s="23"/>
      <c r="V1617" s="23"/>
      <c r="W1617" s="23"/>
      <c r="X1617" s="23"/>
      <c r="Y1617" s="23"/>
      <c r="Z1617" s="23"/>
    </row>
    <row r="1618" spans="1:26" ht="13">
      <c r="A1618" s="562" t="s">
        <v>4489</v>
      </c>
      <c r="B1618" s="563" t="s">
        <v>4490</v>
      </c>
      <c r="C1618" s="564" t="s">
        <v>353</v>
      </c>
      <c r="D1618" s="565">
        <v>44047</v>
      </c>
      <c r="E1618" s="565">
        <v>44169</v>
      </c>
      <c r="F1618" s="566">
        <v>20700000</v>
      </c>
      <c r="G1618" s="564" t="s">
        <v>1128</v>
      </c>
      <c r="H1618" s="564" t="s">
        <v>1128</v>
      </c>
      <c r="I1618" s="564" t="s">
        <v>45</v>
      </c>
      <c r="J1618" s="564" t="s">
        <v>1069</v>
      </c>
      <c r="K1618" s="564" t="s">
        <v>1090</v>
      </c>
      <c r="L1618" s="564" t="s">
        <v>2098</v>
      </c>
      <c r="M1618" s="564" t="s">
        <v>2098</v>
      </c>
      <c r="N1618" s="564" t="s">
        <v>45</v>
      </c>
      <c r="O1618" s="564" t="s">
        <v>2099</v>
      </c>
      <c r="P1618" s="23"/>
      <c r="Q1618" s="23"/>
      <c r="R1618" s="23"/>
      <c r="S1618" s="23"/>
      <c r="T1618" s="23"/>
      <c r="U1618" s="23"/>
      <c r="V1618" s="23"/>
      <c r="W1618" s="23"/>
      <c r="X1618" s="23"/>
      <c r="Y1618" s="23"/>
      <c r="Z1618" s="23"/>
    </row>
    <row r="1619" spans="1:26" ht="13">
      <c r="A1619" s="562" t="s">
        <v>4491</v>
      </c>
      <c r="B1619" s="563" t="s">
        <v>3834</v>
      </c>
      <c r="C1619" s="564" t="s">
        <v>353</v>
      </c>
      <c r="D1619" s="565">
        <v>44047</v>
      </c>
      <c r="E1619" s="565">
        <v>44196</v>
      </c>
      <c r="F1619" s="566">
        <v>19602000</v>
      </c>
      <c r="G1619" s="564" t="s">
        <v>1128</v>
      </c>
      <c r="H1619" s="564" t="s">
        <v>1128</v>
      </c>
      <c r="I1619" s="564" t="s">
        <v>45</v>
      </c>
      <c r="J1619" s="564" t="s">
        <v>1069</v>
      </c>
      <c r="K1619" s="564" t="s">
        <v>1090</v>
      </c>
      <c r="L1619" s="564" t="s">
        <v>2098</v>
      </c>
      <c r="M1619" s="564" t="s">
        <v>2098</v>
      </c>
      <c r="N1619" s="564" t="s">
        <v>45</v>
      </c>
      <c r="O1619" s="564" t="s">
        <v>2099</v>
      </c>
      <c r="P1619" s="23"/>
      <c r="Q1619" s="23"/>
      <c r="R1619" s="23"/>
      <c r="S1619" s="23"/>
      <c r="T1619" s="23"/>
      <c r="U1619" s="23"/>
      <c r="V1619" s="23"/>
      <c r="W1619" s="23"/>
      <c r="X1619" s="23"/>
      <c r="Y1619" s="23"/>
      <c r="Z1619" s="23"/>
    </row>
    <row r="1620" spans="1:26" ht="13">
      <c r="A1620" s="562" t="s">
        <v>4492</v>
      </c>
      <c r="B1620" s="563" t="s">
        <v>3830</v>
      </c>
      <c r="C1620" s="564" t="s">
        <v>353</v>
      </c>
      <c r="D1620" s="565">
        <v>44047</v>
      </c>
      <c r="E1620" s="565">
        <v>44196</v>
      </c>
      <c r="F1620" s="566">
        <v>7980000</v>
      </c>
      <c r="G1620" s="564" t="s">
        <v>1128</v>
      </c>
      <c r="H1620" s="564" t="s">
        <v>1128</v>
      </c>
      <c r="I1620" s="564" t="s">
        <v>45</v>
      </c>
      <c r="J1620" s="564" t="s">
        <v>1069</v>
      </c>
      <c r="K1620" s="564" t="s">
        <v>1090</v>
      </c>
      <c r="L1620" s="564" t="s">
        <v>2098</v>
      </c>
      <c r="M1620" s="564" t="s">
        <v>2098</v>
      </c>
      <c r="N1620" s="564" t="s">
        <v>45</v>
      </c>
      <c r="O1620" s="564" t="s">
        <v>2099</v>
      </c>
      <c r="P1620" s="23"/>
      <c r="Q1620" s="23"/>
      <c r="R1620" s="23"/>
      <c r="S1620" s="23"/>
      <c r="T1620" s="23"/>
      <c r="U1620" s="23"/>
      <c r="V1620" s="23"/>
      <c r="W1620" s="23"/>
      <c r="X1620" s="23"/>
      <c r="Y1620" s="23"/>
      <c r="Z1620" s="23"/>
    </row>
    <row r="1621" spans="1:26" ht="13">
      <c r="A1621" s="562" t="s">
        <v>4493</v>
      </c>
      <c r="B1621" s="563" t="s">
        <v>4455</v>
      </c>
      <c r="C1621" s="564" t="s">
        <v>1076</v>
      </c>
      <c r="D1621" s="565">
        <v>44074</v>
      </c>
      <c r="E1621" s="565">
        <v>44134</v>
      </c>
      <c r="F1621" s="566">
        <v>900000</v>
      </c>
      <c r="G1621" s="564" t="s">
        <v>1077</v>
      </c>
      <c r="H1621" s="564" t="s">
        <v>1077</v>
      </c>
      <c r="I1621" s="564" t="s">
        <v>637</v>
      </c>
      <c r="J1621" s="564" t="s">
        <v>1069</v>
      </c>
      <c r="K1621" s="564" t="s">
        <v>1070</v>
      </c>
      <c r="L1621" s="564" t="s">
        <v>2098</v>
      </c>
      <c r="M1621" s="564" t="s">
        <v>2098</v>
      </c>
      <c r="N1621" s="564" t="s">
        <v>1082</v>
      </c>
      <c r="O1621" s="564" t="s">
        <v>2099</v>
      </c>
      <c r="P1621" s="23"/>
      <c r="Q1621" s="23"/>
      <c r="R1621" s="23"/>
      <c r="S1621" s="23"/>
      <c r="T1621" s="23"/>
      <c r="U1621" s="23"/>
      <c r="V1621" s="23"/>
      <c r="W1621" s="23"/>
      <c r="X1621" s="23"/>
      <c r="Y1621" s="23"/>
      <c r="Z1621" s="23"/>
    </row>
    <row r="1622" spans="1:26" ht="13">
      <c r="A1622" s="562" t="s">
        <v>4494</v>
      </c>
      <c r="B1622" s="563" t="s">
        <v>4495</v>
      </c>
      <c r="C1622" s="564" t="s">
        <v>353</v>
      </c>
      <c r="D1622" s="565">
        <v>44046</v>
      </c>
      <c r="E1622" s="565">
        <v>44104</v>
      </c>
      <c r="F1622" s="566">
        <v>149280000</v>
      </c>
      <c r="G1622" s="564" t="s">
        <v>1128</v>
      </c>
      <c r="H1622" s="564" t="s">
        <v>1128</v>
      </c>
      <c r="I1622" s="564" t="s">
        <v>45</v>
      </c>
      <c r="J1622" s="564" t="s">
        <v>1069</v>
      </c>
      <c r="K1622" s="564" t="s">
        <v>1090</v>
      </c>
      <c r="L1622" s="564" t="s">
        <v>2098</v>
      </c>
      <c r="M1622" s="564" t="s">
        <v>2098</v>
      </c>
      <c r="N1622" s="564" t="s">
        <v>45</v>
      </c>
      <c r="O1622" s="564" t="s">
        <v>2099</v>
      </c>
      <c r="P1622" s="23"/>
      <c r="Q1622" s="23"/>
      <c r="R1622" s="23"/>
      <c r="S1622" s="23"/>
      <c r="T1622" s="23"/>
      <c r="U1622" s="23"/>
      <c r="V1622" s="23"/>
      <c r="W1622" s="23"/>
      <c r="X1622" s="23"/>
      <c r="Y1622" s="23"/>
      <c r="Z1622" s="23"/>
    </row>
    <row r="1623" spans="1:26" ht="13">
      <c r="A1623" s="562" t="s">
        <v>4496</v>
      </c>
      <c r="B1623" s="563" t="s">
        <v>3983</v>
      </c>
      <c r="C1623" s="564" t="s">
        <v>353</v>
      </c>
      <c r="D1623" s="565">
        <v>44046</v>
      </c>
      <c r="E1623" s="565">
        <v>44104</v>
      </c>
      <c r="F1623" s="566">
        <v>234980000</v>
      </c>
      <c r="G1623" s="564" t="s">
        <v>1128</v>
      </c>
      <c r="H1623" s="564" t="s">
        <v>1128</v>
      </c>
      <c r="I1623" s="564" t="s">
        <v>45</v>
      </c>
      <c r="J1623" s="564" t="s">
        <v>1069</v>
      </c>
      <c r="K1623" s="564" t="s">
        <v>1090</v>
      </c>
      <c r="L1623" s="564" t="s">
        <v>2098</v>
      </c>
      <c r="M1623" s="564" t="s">
        <v>2098</v>
      </c>
      <c r="N1623" s="564" t="s">
        <v>45</v>
      </c>
      <c r="O1623" s="564" t="s">
        <v>2099</v>
      </c>
      <c r="P1623" s="23"/>
      <c r="Q1623" s="23"/>
      <c r="R1623" s="23"/>
      <c r="S1623" s="23"/>
      <c r="T1623" s="23"/>
      <c r="U1623" s="23"/>
      <c r="V1623" s="23"/>
      <c r="W1623" s="23"/>
      <c r="X1623" s="23"/>
      <c r="Y1623" s="23"/>
      <c r="Z1623" s="23"/>
    </row>
    <row r="1624" spans="1:26" ht="13">
      <c r="A1624" s="562" t="s">
        <v>4497</v>
      </c>
      <c r="B1624" s="563" t="s">
        <v>3908</v>
      </c>
      <c r="C1624" s="564" t="s">
        <v>353</v>
      </c>
      <c r="D1624" s="565">
        <v>44046</v>
      </c>
      <c r="E1624" s="565">
        <v>44127</v>
      </c>
      <c r="F1624" s="566">
        <v>40502000</v>
      </c>
      <c r="G1624" s="564" t="s">
        <v>1128</v>
      </c>
      <c r="H1624" s="564" t="s">
        <v>1128</v>
      </c>
      <c r="I1624" s="564" t="s">
        <v>45</v>
      </c>
      <c r="J1624" s="564" t="s">
        <v>1069</v>
      </c>
      <c r="K1624" s="564" t="s">
        <v>1090</v>
      </c>
      <c r="L1624" s="564" t="s">
        <v>2098</v>
      </c>
      <c r="M1624" s="564" t="s">
        <v>2098</v>
      </c>
      <c r="N1624" s="564" t="s">
        <v>45</v>
      </c>
      <c r="O1624" s="564" t="s">
        <v>2099</v>
      </c>
      <c r="P1624" s="23"/>
      <c r="Q1624" s="23"/>
      <c r="R1624" s="23"/>
      <c r="S1624" s="23"/>
      <c r="T1624" s="23"/>
      <c r="U1624" s="23"/>
      <c r="V1624" s="23"/>
      <c r="W1624" s="23"/>
      <c r="X1624" s="23"/>
      <c r="Y1624" s="23"/>
      <c r="Z1624" s="23"/>
    </row>
    <row r="1625" spans="1:26" ht="13">
      <c r="A1625" s="562" t="s">
        <v>4498</v>
      </c>
      <c r="B1625" s="563" t="s">
        <v>3996</v>
      </c>
      <c r="C1625" s="564" t="s">
        <v>353</v>
      </c>
      <c r="D1625" s="565">
        <v>44047</v>
      </c>
      <c r="E1625" s="565">
        <v>44104</v>
      </c>
      <c r="F1625" s="566">
        <v>13900000</v>
      </c>
      <c r="G1625" s="564" t="s">
        <v>1128</v>
      </c>
      <c r="H1625" s="564" t="s">
        <v>1128</v>
      </c>
      <c r="I1625" s="564" t="s">
        <v>45</v>
      </c>
      <c r="J1625" s="564" t="s">
        <v>1069</v>
      </c>
      <c r="K1625" s="564" t="s">
        <v>1090</v>
      </c>
      <c r="L1625" s="564" t="s">
        <v>2098</v>
      </c>
      <c r="M1625" s="564" t="s">
        <v>2098</v>
      </c>
      <c r="N1625" s="564" t="s">
        <v>45</v>
      </c>
      <c r="O1625" s="564" t="s">
        <v>2099</v>
      </c>
      <c r="P1625" s="23"/>
      <c r="Q1625" s="23"/>
      <c r="R1625" s="23"/>
      <c r="S1625" s="23"/>
      <c r="T1625" s="23"/>
      <c r="U1625" s="23"/>
      <c r="V1625" s="23"/>
      <c r="W1625" s="23"/>
      <c r="X1625" s="23"/>
      <c r="Y1625" s="23"/>
      <c r="Z1625" s="23"/>
    </row>
    <row r="1626" spans="1:26" ht="13">
      <c r="A1626" s="562" t="s">
        <v>4499</v>
      </c>
      <c r="B1626" s="563" t="s">
        <v>3990</v>
      </c>
      <c r="C1626" s="564" t="s">
        <v>353</v>
      </c>
      <c r="D1626" s="565">
        <v>44046</v>
      </c>
      <c r="E1626" s="565">
        <v>44118</v>
      </c>
      <c r="F1626" s="566">
        <v>4720000</v>
      </c>
      <c r="G1626" s="564" t="s">
        <v>1128</v>
      </c>
      <c r="H1626" s="564" t="s">
        <v>1128</v>
      </c>
      <c r="I1626" s="564" t="s">
        <v>45</v>
      </c>
      <c r="J1626" s="564" t="s">
        <v>1069</v>
      </c>
      <c r="K1626" s="564" t="s">
        <v>1090</v>
      </c>
      <c r="L1626" s="564" t="s">
        <v>2098</v>
      </c>
      <c r="M1626" s="564" t="s">
        <v>2098</v>
      </c>
      <c r="N1626" s="564" t="s">
        <v>45</v>
      </c>
      <c r="O1626" s="564" t="s">
        <v>2099</v>
      </c>
      <c r="P1626" s="23"/>
      <c r="Q1626" s="23"/>
      <c r="R1626" s="23"/>
      <c r="S1626" s="23"/>
      <c r="T1626" s="23"/>
      <c r="U1626" s="23"/>
      <c r="V1626" s="23"/>
      <c r="W1626" s="23"/>
      <c r="X1626" s="23"/>
      <c r="Y1626" s="23"/>
      <c r="Z1626" s="23"/>
    </row>
    <row r="1627" spans="1:26" ht="13">
      <c r="A1627" s="562" t="s">
        <v>4500</v>
      </c>
      <c r="B1627" s="563" t="s">
        <v>4006</v>
      </c>
      <c r="C1627" s="564" t="s">
        <v>353</v>
      </c>
      <c r="D1627" s="565">
        <v>44046</v>
      </c>
      <c r="E1627" s="565">
        <v>44103</v>
      </c>
      <c r="F1627" s="566">
        <v>65200000</v>
      </c>
      <c r="G1627" s="564" t="s">
        <v>1128</v>
      </c>
      <c r="H1627" s="564" t="s">
        <v>1128</v>
      </c>
      <c r="I1627" s="564" t="s">
        <v>45</v>
      </c>
      <c r="J1627" s="564" t="s">
        <v>1069</v>
      </c>
      <c r="K1627" s="564" t="s">
        <v>1090</v>
      </c>
      <c r="L1627" s="564" t="s">
        <v>2098</v>
      </c>
      <c r="M1627" s="564" t="s">
        <v>2098</v>
      </c>
      <c r="N1627" s="564" t="s">
        <v>45</v>
      </c>
      <c r="O1627" s="564" t="s">
        <v>2099</v>
      </c>
      <c r="P1627" s="23"/>
      <c r="Q1627" s="23"/>
      <c r="R1627" s="23"/>
      <c r="S1627" s="23"/>
      <c r="T1627" s="23"/>
      <c r="U1627" s="23"/>
      <c r="V1627" s="23"/>
      <c r="W1627" s="23"/>
      <c r="X1627" s="23"/>
      <c r="Y1627" s="23"/>
      <c r="Z1627" s="23"/>
    </row>
    <row r="1628" spans="1:26" ht="13">
      <c r="A1628" s="562" t="s">
        <v>4501</v>
      </c>
      <c r="B1628" s="563" t="s">
        <v>3985</v>
      </c>
      <c r="C1628" s="564" t="s">
        <v>353</v>
      </c>
      <c r="D1628" s="565">
        <v>44046</v>
      </c>
      <c r="E1628" s="565">
        <v>44103</v>
      </c>
      <c r="F1628" s="566">
        <v>11510000</v>
      </c>
      <c r="G1628" s="564" t="s">
        <v>1128</v>
      </c>
      <c r="H1628" s="564" t="s">
        <v>1128</v>
      </c>
      <c r="I1628" s="564" t="s">
        <v>45</v>
      </c>
      <c r="J1628" s="564" t="s">
        <v>1069</v>
      </c>
      <c r="K1628" s="564" t="s">
        <v>1090</v>
      </c>
      <c r="L1628" s="564" t="s">
        <v>2098</v>
      </c>
      <c r="M1628" s="564" t="s">
        <v>2098</v>
      </c>
      <c r="N1628" s="564" t="s">
        <v>45</v>
      </c>
      <c r="O1628" s="564" t="s">
        <v>2099</v>
      </c>
      <c r="P1628" s="23"/>
      <c r="Q1628" s="23"/>
      <c r="R1628" s="23"/>
      <c r="S1628" s="23"/>
      <c r="T1628" s="23"/>
      <c r="U1628" s="23"/>
      <c r="V1628" s="23"/>
      <c r="W1628" s="23"/>
      <c r="X1628" s="23"/>
      <c r="Y1628" s="23"/>
      <c r="Z1628" s="23"/>
    </row>
    <row r="1629" spans="1:26" ht="13">
      <c r="A1629" s="562" t="s">
        <v>4502</v>
      </c>
      <c r="B1629" s="563" t="s">
        <v>4503</v>
      </c>
      <c r="C1629" s="564" t="s">
        <v>1076</v>
      </c>
      <c r="D1629" s="565">
        <v>44069</v>
      </c>
      <c r="E1629" s="565">
        <v>44132</v>
      </c>
      <c r="F1629" s="566">
        <v>993000</v>
      </c>
      <c r="G1629" s="564" t="s">
        <v>1077</v>
      </c>
      <c r="H1629" s="564" t="s">
        <v>1077</v>
      </c>
      <c r="I1629" s="564" t="s">
        <v>637</v>
      </c>
      <c r="J1629" s="564" t="s">
        <v>1069</v>
      </c>
      <c r="K1629" s="564" t="s">
        <v>1070</v>
      </c>
      <c r="L1629" s="564" t="s">
        <v>2098</v>
      </c>
      <c r="M1629" s="564" t="s">
        <v>2098</v>
      </c>
      <c r="N1629" s="564" t="s">
        <v>1082</v>
      </c>
      <c r="O1629" s="564" t="s">
        <v>2099</v>
      </c>
      <c r="P1629" s="23"/>
      <c r="Q1629" s="23"/>
      <c r="R1629" s="23"/>
      <c r="S1629" s="23"/>
      <c r="T1629" s="23"/>
      <c r="U1629" s="23"/>
      <c r="V1629" s="23"/>
      <c r="W1629" s="23"/>
      <c r="X1629" s="23"/>
      <c r="Y1629" s="23"/>
      <c r="Z1629" s="23"/>
    </row>
    <row r="1630" spans="1:26" ht="13">
      <c r="A1630" s="562" t="s">
        <v>4504</v>
      </c>
      <c r="B1630" s="563" t="s">
        <v>4505</v>
      </c>
      <c r="C1630" s="564" t="s">
        <v>1652</v>
      </c>
      <c r="D1630" s="565">
        <v>44068</v>
      </c>
      <c r="E1630" s="565">
        <v>44076</v>
      </c>
      <c r="F1630" s="566">
        <v>1910000</v>
      </c>
      <c r="G1630" s="564" t="s">
        <v>4261</v>
      </c>
      <c r="H1630" s="564" t="s">
        <v>4261</v>
      </c>
      <c r="I1630" s="564" t="s">
        <v>70</v>
      </c>
      <c r="J1630" s="564" t="s">
        <v>1069</v>
      </c>
      <c r="K1630" s="564" t="s">
        <v>1120</v>
      </c>
      <c r="L1630" s="564" t="s">
        <v>2098</v>
      </c>
      <c r="M1630" s="564" t="s">
        <v>2098</v>
      </c>
      <c r="N1630" s="564" t="s">
        <v>70</v>
      </c>
      <c r="O1630" s="564" t="s">
        <v>2099</v>
      </c>
      <c r="P1630" s="23"/>
      <c r="Q1630" s="23"/>
      <c r="R1630" s="23"/>
      <c r="S1630" s="23"/>
      <c r="T1630" s="23"/>
      <c r="U1630" s="23"/>
      <c r="V1630" s="23"/>
      <c r="W1630" s="23"/>
      <c r="X1630" s="23"/>
      <c r="Y1630" s="23"/>
      <c r="Z1630" s="23"/>
    </row>
    <row r="1631" spans="1:26" ht="13">
      <c r="A1631" s="562" t="s">
        <v>4506</v>
      </c>
      <c r="B1631" s="563" t="s">
        <v>4507</v>
      </c>
      <c r="C1631" s="564" t="s">
        <v>353</v>
      </c>
      <c r="D1631" s="565">
        <v>44047</v>
      </c>
      <c r="E1631" s="565">
        <v>44074</v>
      </c>
      <c r="F1631" s="566">
        <v>5600000</v>
      </c>
      <c r="G1631" s="564" t="s">
        <v>1128</v>
      </c>
      <c r="H1631" s="564" t="s">
        <v>1128</v>
      </c>
      <c r="I1631" s="564" t="s">
        <v>45</v>
      </c>
      <c r="J1631" s="564" t="s">
        <v>1069</v>
      </c>
      <c r="K1631" s="564" t="s">
        <v>1090</v>
      </c>
      <c r="L1631" s="564" t="s">
        <v>2098</v>
      </c>
      <c r="M1631" s="564" t="s">
        <v>2098</v>
      </c>
      <c r="N1631" s="564" t="s">
        <v>45</v>
      </c>
      <c r="O1631" s="564" t="s">
        <v>2099</v>
      </c>
      <c r="P1631" s="23"/>
      <c r="Q1631" s="23"/>
      <c r="R1631" s="23"/>
      <c r="S1631" s="23"/>
      <c r="T1631" s="23"/>
      <c r="U1631" s="23"/>
      <c r="V1631" s="23"/>
      <c r="W1631" s="23"/>
      <c r="X1631" s="23"/>
      <c r="Y1631" s="23"/>
      <c r="Z1631" s="23"/>
    </row>
    <row r="1632" spans="1:26" ht="13">
      <c r="A1632" s="562" t="s">
        <v>4508</v>
      </c>
      <c r="B1632" s="563" t="s">
        <v>4509</v>
      </c>
      <c r="C1632" s="564" t="s">
        <v>1652</v>
      </c>
      <c r="D1632" s="565">
        <v>44067</v>
      </c>
      <c r="E1632" s="565">
        <v>44135</v>
      </c>
      <c r="F1632" s="566">
        <v>44744000</v>
      </c>
      <c r="G1632" s="564" t="s">
        <v>1623</v>
      </c>
      <c r="H1632" s="564" t="s">
        <v>1623</v>
      </c>
      <c r="I1632" s="564" t="s">
        <v>802</v>
      </c>
      <c r="J1632" s="564" t="s">
        <v>1069</v>
      </c>
      <c r="K1632" s="564" t="s">
        <v>1198</v>
      </c>
      <c r="L1632" s="564" t="s">
        <v>2098</v>
      </c>
      <c r="M1632" s="564" t="s">
        <v>2098</v>
      </c>
      <c r="N1632" s="564" t="s">
        <v>132</v>
      </c>
      <c r="O1632" s="564" t="s">
        <v>2099</v>
      </c>
      <c r="P1632" s="23"/>
      <c r="Q1632" s="23"/>
      <c r="R1632" s="23"/>
      <c r="S1632" s="23"/>
      <c r="T1632" s="23"/>
      <c r="U1632" s="23"/>
      <c r="V1632" s="23"/>
      <c r="W1632" s="23"/>
      <c r="X1632" s="23"/>
      <c r="Y1632" s="23"/>
      <c r="Z1632" s="23"/>
    </row>
    <row r="1633" spans="1:26" ht="13">
      <c r="A1633" s="562" t="s">
        <v>4510</v>
      </c>
      <c r="B1633" s="563" t="s">
        <v>4511</v>
      </c>
      <c r="C1633" s="564" t="s">
        <v>1076</v>
      </c>
      <c r="D1633" s="565">
        <v>44067</v>
      </c>
      <c r="E1633" s="565">
        <v>44074</v>
      </c>
      <c r="F1633" s="566">
        <v>173696000</v>
      </c>
      <c r="G1633" s="564" t="s">
        <v>4343</v>
      </c>
      <c r="H1633" s="564" t="s">
        <v>4343</v>
      </c>
      <c r="I1633" s="564" t="s">
        <v>4396</v>
      </c>
      <c r="J1633" s="564" t="s">
        <v>1069</v>
      </c>
      <c r="K1633" s="564" t="s">
        <v>1070</v>
      </c>
      <c r="L1633" s="564" t="s">
        <v>2098</v>
      </c>
      <c r="M1633" s="564" t="s">
        <v>2098</v>
      </c>
      <c r="N1633" s="564" t="s">
        <v>1082</v>
      </c>
      <c r="O1633" s="564" t="s">
        <v>2099</v>
      </c>
      <c r="P1633" s="23"/>
      <c r="Q1633" s="23"/>
      <c r="R1633" s="23"/>
      <c r="S1633" s="23"/>
      <c r="T1633" s="23"/>
      <c r="U1633" s="23"/>
      <c r="V1633" s="23"/>
      <c r="W1633" s="23"/>
      <c r="X1633" s="23"/>
      <c r="Y1633" s="23"/>
      <c r="Z1633" s="23"/>
    </row>
    <row r="1634" spans="1:26" ht="13">
      <c r="A1634" s="562" t="s">
        <v>4512</v>
      </c>
      <c r="B1634" s="563" t="s">
        <v>4513</v>
      </c>
      <c r="C1634" s="564" t="s">
        <v>1652</v>
      </c>
      <c r="D1634" s="565">
        <v>44063</v>
      </c>
      <c r="E1634" s="565">
        <v>44074</v>
      </c>
      <c r="F1634" s="566">
        <v>1180000</v>
      </c>
      <c r="G1634" s="564" t="s">
        <v>4261</v>
      </c>
      <c r="H1634" s="564" t="s">
        <v>4261</v>
      </c>
      <c r="I1634" s="564" t="s">
        <v>70</v>
      </c>
      <c r="J1634" s="564" t="s">
        <v>1069</v>
      </c>
      <c r="K1634" s="564" t="s">
        <v>1120</v>
      </c>
      <c r="L1634" s="564" t="s">
        <v>2098</v>
      </c>
      <c r="M1634" s="564" t="s">
        <v>2098</v>
      </c>
      <c r="N1634" s="564" t="s">
        <v>70</v>
      </c>
      <c r="O1634" s="564" t="s">
        <v>2099</v>
      </c>
      <c r="P1634" s="23"/>
      <c r="Q1634" s="23"/>
      <c r="R1634" s="23"/>
      <c r="S1634" s="23"/>
      <c r="T1634" s="23"/>
      <c r="U1634" s="23"/>
      <c r="V1634" s="23"/>
      <c r="W1634" s="23"/>
      <c r="X1634" s="23"/>
      <c r="Y1634" s="23"/>
      <c r="Z1634" s="23"/>
    </row>
    <row r="1635" spans="1:26" ht="13">
      <c r="A1635" s="562" t="s">
        <v>4514</v>
      </c>
      <c r="B1635" s="563" t="s">
        <v>4515</v>
      </c>
      <c r="C1635" s="564" t="s">
        <v>353</v>
      </c>
      <c r="D1635" s="565">
        <v>44046</v>
      </c>
      <c r="E1635" s="565">
        <v>44074</v>
      </c>
      <c r="F1635" s="566">
        <v>807000</v>
      </c>
      <c r="G1635" s="564" t="s">
        <v>1128</v>
      </c>
      <c r="H1635" s="564" t="s">
        <v>1128</v>
      </c>
      <c r="I1635" s="564" t="s">
        <v>45</v>
      </c>
      <c r="J1635" s="564" t="s">
        <v>1069</v>
      </c>
      <c r="K1635" s="564" t="s">
        <v>1090</v>
      </c>
      <c r="L1635" s="564" t="s">
        <v>2098</v>
      </c>
      <c r="M1635" s="564" t="s">
        <v>2098</v>
      </c>
      <c r="N1635" s="564" t="s">
        <v>45</v>
      </c>
      <c r="O1635" s="564" t="s">
        <v>2099</v>
      </c>
      <c r="P1635" s="23"/>
      <c r="Q1635" s="23"/>
      <c r="R1635" s="23"/>
      <c r="S1635" s="23"/>
      <c r="T1635" s="23"/>
      <c r="U1635" s="23"/>
      <c r="V1635" s="23"/>
      <c r="W1635" s="23"/>
      <c r="X1635" s="23"/>
      <c r="Y1635" s="23"/>
      <c r="Z1635" s="23"/>
    </row>
    <row r="1636" spans="1:26" ht="13">
      <c r="A1636" s="562" t="s">
        <v>4516</v>
      </c>
      <c r="B1636" s="563" t="s">
        <v>3490</v>
      </c>
      <c r="C1636" s="564" t="s">
        <v>353</v>
      </c>
      <c r="D1636" s="565">
        <v>44046</v>
      </c>
      <c r="E1636" s="565">
        <v>44073</v>
      </c>
      <c r="F1636" s="566">
        <v>258634000</v>
      </c>
      <c r="G1636" s="564" t="s">
        <v>1128</v>
      </c>
      <c r="H1636" s="564" t="s">
        <v>1128</v>
      </c>
      <c r="I1636" s="564" t="s">
        <v>45</v>
      </c>
      <c r="J1636" s="564" t="s">
        <v>1069</v>
      </c>
      <c r="K1636" s="564" t="s">
        <v>1090</v>
      </c>
      <c r="L1636" s="564" t="s">
        <v>2098</v>
      </c>
      <c r="M1636" s="564" t="s">
        <v>2098</v>
      </c>
      <c r="N1636" s="564" t="s">
        <v>45</v>
      </c>
      <c r="O1636" s="564" t="s">
        <v>2099</v>
      </c>
      <c r="P1636" s="23"/>
      <c r="Q1636" s="23"/>
      <c r="R1636" s="23"/>
      <c r="S1636" s="23"/>
      <c r="T1636" s="23"/>
      <c r="U1636" s="23"/>
      <c r="V1636" s="23"/>
      <c r="W1636" s="23"/>
      <c r="X1636" s="23"/>
      <c r="Y1636" s="23"/>
      <c r="Z1636" s="23"/>
    </row>
    <row r="1637" spans="1:26" ht="13">
      <c r="A1637" s="562" t="s">
        <v>4517</v>
      </c>
      <c r="B1637" s="563" t="s">
        <v>4138</v>
      </c>
      <c r="C1637" s="564" t="s">
        <v>353</v>
      </c>
      <c r="D1637" s="565">
        <v>44046</v>
      </c>
      <c r="E1637" s="565">
        <v>44064</v>
      </c>
      <c r="F1637" s="566">
        <v>84698000</v>
      </c>
      <c r="G1637" s="564" t="s">
        <v>1128</v>
      </c>
      <c r="H1637" s="564" t="s">
        <v>1128</v>
      </c>
      <c r="I1637" s="564" t="s">
        <v>45</v>
      </c>
      <c r="J1637" s="564" t="s">
        <v>1069</v>
      </c>
      <c r="K1637" s="564" t="s">
        <v>1090</v>
      </c>
      <c r="L1637" s="564" t="s">
        <v>2098</v>
      </c>
      <c r="M1637" s="564" t="s">
        <v>2098</v>
      </c>
      <c r="N1637" s="564" t="s">
        <v>45</v>
      </c>
      <c r="O1637" s="564" t="s">
        <v>2099</v>
      </c>
      <c r="P1637" s="23"/>
      <c r="Q1637" s="23"/>
      <c r="R1637" s="23"/>
      <c r="S1637" s="23"/>
      <c r="T1637" s="23"/>
      <c r="U1637" s="23"/>
      <c r="V1637" s="23"/>
      <c r="W1637" s="23"/>
      <c r="X1637" s="23"/>
      <c r="Y1637" s="23"/>
      <c r="Z1637" s="23"/>
    </row>
    <row r="1638" spans="1:26" ht="13">
      <c r="A1638" s="562" t="s">
        <v>4518</v>
      </c>
      <c r="B1638" s="563" t="s">
        <v>4519</v>
      </c>
      <c r="C1638" s="564" t="s">
        <v>353</v>
      </c>
      <c r="D1638" s="565">
        <v>44047</v>
      </c>
      <c r="E1638" s="565">
        <v>44071</v>
      </c>
      <c r="F1638" s="566">
        <v>8900000</v>
      </c>
      <c r="G1638" s="564" t="s">
        <v>1128</v>
      </c>
      <c r="H1638" s="564" t="s">
        <v>1128</v>
      </c>
      <c r="I1638" s="564" t="s">
        <v>45</v>
      </c>
      <c r="J1638" s="564" t="s">
        <v>1069</v>
      </c>
      <c r="K1638" s="564" t="s">
        <v>1090</v>
      </c>
      <c r="L1638" s="564" t="s">
        <v>2098</v>
      </c>
      <c r="M1638" s="564" t="s">
        <v>2098</v>
      </c>
      <c r="N1638" s="564" t="s">
        <v>45</v>
      </c>
      <c r="O1638" s="564" t="s">
        <v>2099</v>
      </c>
      <c r="P1638" s="23"/>
      <c r="Q1638" s="23"/>
      <c r="R1638" s="23"/>
      <c r="S1638" s="23"/>
      <c r="T1638" s="23"/>
      <c r="U1638" s="23"/>
      <c r="V1638" s="23"/>
      <c r="W1638" s="23"/>
      <c r="X1638" s="23"/>
      <c r="Y1638" s="23"/>
      <c r="Z1638" s="23"/>
    </row>
    <row r="1639" spans="1:26" ht="13">
      <c r="A1639" s="562" t="s">
        <v>4520</v>
      </c>
      <c r="B1639" s="563" t="s">
        <v>4521</v>
      </c>
      <c r="C1639" s="564" t="s">
        <v>1114</v>
      </c>
      <c r="D1639" s="565">
        <v>44061</v>
      </c>
      <c r="E1639" s="565">
        <v>44075</v>
      </c>
      <c r="F1639" s="566">
        <v>20000000</v>
      </c>
      <c r="G1639" s="564" t="s">
        <v>1145</v>
      </c>
      <c r="H1639" s="564" t="s">
        <v>1145</v>
      </c>
      <c r="I1639" s="564" t="s">
        <v>4522</v>
      </c>
      <c r="J1639" s="564" t="s">
        <v>1069</v>
      </c>
      <c r="K1639" s="564" t="s">
        <v>1070</v>
      </c>
      <c r="L1639" s="564" t="s">
        <v>2098</v>
      </c>
      <c r="M1639" s="564" t="s">
        <v>2098</v>
      </c>
      <c r="N1639" s="564" t="s">
        <v>1082</v>
      </c>
      <c r="O1639" s="564" t="s">
        <v>2099</v>
      </c>
      <c r="P1639" s="23"/>
      <c r="Q1639" s="23"/>
      <c r="R1639" s="23"/>
      <c r="S1639" s="23"/>
      <c r="T1639" s="23"/>
      <c r="U1639" s="23"/>
      <c r="V1639" s="23"/>
      <c r="W1639" s="23"/>
      <c r="X1639" s="23"/>
      <c r="Y1639" s="23"/>
      <c r="Z1639" s="23"/>
    </row>
    <row r="1640" spans="1:26" ht="13">
      <c r="A1640" s="562" t="s">
        <v>4523</v>
      </c>
      <c r="B1640" s="563" t="s">
        <v>3673</v>
      </c>
      <c r="C1640" s="564" t="s">
        <v>353</v>
      </c>
      <c r="D1640" s="565">
        <v>44046</v>
      </c>
      <c r="E1640" s="565">
        <v>44064</v>
      </c>
      <c r="F1640" s="566">
        <v>48519000</v>
      </c>
      <c r="G1640" s="564" t="s">
        <v>1128</v>
      </c>
      <c r="H1640" s="564" t="s">
        <v>1128</v>
      </c>
      <c r="I1640" s="564" t="s">
        <v>45</v>
      </c>
      <c r="J1640" s="564" t="s">
        <v>1069</v>
      </c>
      <c r="K1640" s="564" t="s">
        <v>1090</v>
      </c>
      <c r="L1640" s="564" t="s">
        <v>2098</v>
      </c>
      <c r="M1640" s="564" t="s">
        <v>2098</v>
      </c>
      <c r="N1640" s="564" t="s">
        <v>45</v>
      </c>
      <c r="O1640" s="564" t="s">
        <v>2099</v>
      </c>
      <c r="P1640" s="23"/>
      <c r="Q1640" s="23"/>
      <c r="R1640" s="23"/>
      <c r="S1640" s="23"/>
      <c r="T1640" s="23"/>
      <c r="U1640" s="23"/>
      <c r="V1640" s="23"/>
      <c r="W1640" s="23"/>
      <c r="X1640" s="23"/>
      <c r="Y1640" s="23"/>
      <c r="Z1640" s="23"/>
    </row>
    <row r="1641" spans="1:26" ht="13">
      <c r="A1641" s="562" t="s">
        <v>4524</v>
      </c>
      <c r="B1641" s="563" t="s">
        <v>4525</v>
      </c>
      <c r="C1641" s="564" t="s">
        <v>1076</v>
      </c>
      <c r="D1641" s="565">
        <v>44053</v>
      </c>
      <c r="E1641" s="565">
        <v>44113</v>
      </c>
      <c r="F1641" s="566">
        <v>1096000</v>
      </c>
      <c r="G1641" s="564" t="s">
        <v>1077</v>
      </c>
      <c r="H1641" s="564" t="s">
        <v>1077</v>
      </c>
      <c r="I1641" s="564" t="s">
        <v>637</v>
      </c>
      <c r="J1641" s="564" t="s">
        <v>1069</v>
      </c>
      <c r="K1641" s="564" t="s">
        <v>1070</v>
      </c>
      <c r="L1641" s="564" t="s">
        <v>2098</v>
      </c>
      <c r="M1641" s="564" t="s">
        <v>2098</v>
      </c>
      <c r="N1641" s="564" t="s">
        <v>1082</v>
      </c>
      <c r="O1641" s="564" t="s">
        <v>2099</v>
      </c>
      <c r="P1641" s="23"/>
      <c r="Q1641" s="23"/>
      <c r="R1641" s="23"/>
      <c r="S1641" s="23"/>
      <c r="T1641" s="23"/>
      <c r="U1641" s="23"/>
      <c r="V1641" s="23"/>
      <c r="W1641" s="23"/>
      <c r="X1641" s="23"/>
      <c r="Y1641" s="23"/>
      <c r="Z1641" s="23"/>
    </row>
    <row r="1642" spans="1:26" ht="13">
      <c r="A1642" s="562" t="s">
        <v>4526</v>
      </c>
      <c r="B1642" s="563" t="s">
        <v>4527</v>
      </c>
      <c r="C1642" s="564" t="s">
        <v>1076</v>
      </c>
      <c r="D1642" s="565">
        <v>44053</v>
      </c>
      <c r="E1642" s="565">
        <v>44113</v>
      </c>
      <c r="F1642" s="566">
        <v>1096000</v>
      </c>
      <c r="G1642" s="564" t="s">
        <v>1077</v>
      </c>
      <c r="H1642" s="564" t="s">
        <v>1077</v>
      </c>
      <c r="I1642" s="564" t="s">
        <v>637</v>
      </c>
      <c r="J1642" s="564" t="s">
        <v>1069</v>
      </c>
      <c r="K1642" s="564" t="s">
        <v>1070</v>
      </c>
      <c r="L1642" s="564" t="s">
        <v>2098</v>
      </c>
      <c r="M1642" s="564" t="s">
        <v>2098</v>
      </c>
      <c r="N1642" s="564" t="s">
        <v>1082</v>
      </c>
      <c r="O1642" s="564" t="s">
        <v>2099</v>
      </c>
      <c r="P1642" s="23"/>
      <c r="Q1642" s="23"/>
      <c r="R1642" s="23"/>
      <c r="S1642" s="23"/>
      <c r="T1642" s="23"/>
      <c r="U1642" s="23"/>
      <c r="V1642" s="23"/>
      <c r="W1642" s="23"/>
      <c r="X1642" s="23"/>
      <c r="Y1642" s="23"/>
      <c r="Z1642" s="23"/>
    </row>
    <row r="1643" spans="1:26" ht="13">
      <c r="A1643" s="562" t="s">
        <v>4528</v>
      </c>
      <c r="B1643" s="563" t="s">
        <v>4529</v>
      </c>
      <c r="C1643" s="564" t="s">
        <v>353</v>
      </c>
      <c r="D1643" s="565">
        <v>44046</v>
      </c>
      <c r="E1643" s="565">
        <v>44057</v>
      </c>
      <c r="F1643" s="566">
        <v>7230000</v>
      </c>
      <c r="G1643" s="564" t="s">
        <v>1128</v>
      </c>
      <c r="H1643" s="564" t="s">
        <v>1128</v>
      </c>
      <c r="I1643" s="564" t="s">
        <v>45</v>
      </c>
      <c r="J1643" s="564" t="s">
        <v>1069</v>
      </c>
      <c r="K1643" s="564" t="s">
        <v>1090</v>
      </c>
      <c r="L1643" s="564" t="s">
        <v>2098</v>
      </c>
      <c r="M1643" s="564" t="s">
        <v>2098</v>
      </c>
      <c r="N1643" s="564" t="s">
        <v>45</v>
      </c>
      <c r="O1643" s="564" t="s">
        <v>2099</v>
      </c>
      <c r="P1643" s="23"/>
      <c r="Q1643" s="23"/>
      <c r="R1643" s="23"/>
      <c r="S1643" s="23"/>
      <c r="T1643" s="23"/>
      <c r="U1643" s="23"/>
      <c r="V1643" s="23"/>
      <c r="W1643" s="23"/>
      <c r="X1643" s="23"/>
      <c r="Y1643" s="23"/>
      <c r="Z1643" s="23"/>
    </row>
    <row r="1644" spans="1:26" ht="13">
      <c r="A1644" s="562" t="s">
        <v>4530</v>
      </c>
      <c r="B1644" s="563" t="s">
        <v>4166</v>
      </c>
      <c r="C1644" s="564" t="s">
        <v>353</v>
      </c>
      <c r="D1644" s="565">
        <v>44046</v>
      </c>
      <c r="E1644" s="565">
        <v>44057</v>
      </c>
      <c r="F1644" s="566">
        <v>75450000</v>
      </c>
      <c r="G1644" s="564" t="s">
        <v>1128</v>
      </c>
      <c r="H1644" s="564" t="s">
        <v>1128</v>
      </c>
      <c r="I1644" s="564" t="s">
        <v>45</v>
      </c>
      <c r="J1644" s="564" t="s">
        <v>1069</v>
      </c>
      <c r="K1644" s="564" t="s">
        <v>1090</v>
      </c>
      <c r="L1644" s="564" t="s">
        <v>2098</v>
      </c>
      <c r="M1644" s="564" t="s">
        <v>2098</v>
      </c>
      <c r="N1644" s="564" t="s">
        <v>45</v>
      </c>
      <c r="O1644" s="564" t="s">
        <v>2099</v>
      </c>
      <c r="P1644" s="23"/>
      <c r="Q1644" s="23"/>
      <c r="R1644" s="23"/>
      <c r="S1644" s="23"/>
      <c r="T1644" s="23"/>
      <c r="U1644" s="23"/>
      <c r="V1644" s="23"/>
      <c r="W1644" s="23"/>
      <c r="X1644" s="23"/>
      <c r="Y1644" s="23"/>
      <c r="Z1644" s="23"/>
    </row>
    <row r="1645" spans="1:26" ht="13">
      <c r="A1645" s="562" t="s">
        <v>4531</v>
      </c>
      <c r="B1645" s="563" t="s">
        <v>4037</v>
      </c>
      <c r="C1645" s="564" t="s">
        <v>353</v>
      </c>
      <c r="D1645" s="565">
        <v>44046</v>
      </c>
      <c r="E1645" s="565">
        <v>44057</v>
      </c>
      <c r="F1645" s="566">
        <v>29500000</v>
      </c>
      <c r="G1645" s="564" t="s">
        <v>1128</v>
      </c>
      <c r="H1645" s="564" t="s">
        <v>1128</v>
      </c>
      <c r="I1645" s="564" t="s">
        <v>45</v>
      </c>
      <c r="J1645" s="564" t="s">
        <v>1069</v>
      </c>
      <c r="K1645" s="564" t="s">
        <v>1090</v>
      </c>
      <c r="L1645" s="564" t="s">
        <v>2098</v>
      </c>
      <c r="M1645" s="564" t="s">
        <v>2098</v>
      </c>
      <c r="N1645" s="564" t="s">
        <v>45</v>
      </c>
      <c r="O1645" s="564" t="s">
        <v>2099</v>
      </c>
      <c r="P1645" s="23"/>
      <c r="Q1645" s="23"/>
      <c r="R1645" s="23"/>
      <c r="S1645" s="23"/>
      <c r="T1645" s="23"/>
      <c r="U1645" s="23"/>
      <c r="V1645" s="23"/>
      <c r="W1645" s="23"/>
      <c r="X1645" s="23"/>
      <c r="Y1645" s="23"/>
      <c r="Z1645" s="23"/>
    </row>
    <row r="1646" spans="1:26" ht="13">
      <c r="A1646" s="562" t="s">
        <v>4532</v>
      </c>
      <c r="B1646" s="563" t="s">
        <v>4533</v>
      </c>
      <c r="C1646" s="564" t="s">
        <v>1076</v>
      </c>
      <c r="D1646" s="565">
        <v>44049</v>
      </c>
      <c r="E1646" s="565">
        <v>44111</v>
      </c>
      <c r="F1646" s="566">
        <v>1987000</v>
      </c>
      <c r="G1646" s="564" t="s">
        <v>1077</v>
      </c>
      <c r="H1646" s="564" t="s">
        <v>1077</v>
      </c>
      <c r="I1646" s="564" t="s">
        <v>637</v>
      </c>
      <c r="J1646" s="564" t="s">
        <v>1069</v>
      </c>
      <c r="K1646" s="564" t="s">
        <v>1070</v>
      </c>
      <c r="L1646" s="564" t="s">
        <v>2098</v>
      </c>
      <c r="M1646" s="564" t="s">
        <v>2098</v>
      </c>
      <c r="N1646" s="564" t="s">
        <v>1082</v>
      </c>
      <c r="O1646" s="564" t="s">
        <v>2099</v>
      </c>
      <c r="P1646" s="23"/>
      <c r="Q1646" s="23"/>
      <c r="R1646" s="23"/>
      <c r="S1646" s="23"/>
      <c r="T1646" s="23"/>
      <c r="U1646" s="23"/>
      <c r="V1646" s="23"/>
      <c r="W1646" s="23"/>
      <c r="X1646" s="23"/>
      <c r="Y1646" s="23"/>
      <c r="Z1646" s="23"/>
    </row>
    <row r="1647" spans="1:26" ht="13">
      <c r="A1647" s="562" t="s">
        <v>4534</v>
      </c>
      <c r="B1647" s="563" t="s">
        <v>3669</v>
      </c>
      <c r="C1647" s="564" t="s">
        <v>353</v>
      </c>
      <c r="D1647" s="565">
        <v>44057</v>
      </c>
      <c r="E1647" s="565">
        <v>44057</v>
      </c>
      <c r="F1647" s="566">
        <v>386774000</v>
      </c>
      <c r="G1647" s="564" t="s">
        <v>1128</v>
      </c>
      <c r="H1647" s="564" t="s">
        <v>1128</v>
      </c>
      <c r="I1647" s="564" t="s">
        <v>45</v>
      </c>
      <c r="J1647" s="564" t="s">
        <v>1069</v>
      </c>
      <c r="K1647" s="564" t="s">
        <v>1090</v>
      </c>
      <c r="L1647" s="564" t="s">
        <v>2098</v>
      </c>
      <c r="M1647" s="564" t="s">
        <v>2098</v>
      </c>
      <c r="N1647" s="564" t="s">
        <v>45</v>
      </c>
      <c r="O1647" s="564" t="s">
        <v>2099</v>
      </c>
      <c r="P1647" s="23"/>
      <c r="Q1647" s="23"/>
      <c r="R1647" s="23"/>
      <c r="S1647" s="23"/>
      <c r="T1647" s="23"/>
      <c r="U1647" s="23"/>
      <c r="V1647" s="23"/>
      <c r="W1647" s="23"/>
      <c r="X1647" s="23"/>
      <c r="Y1647" s="23"/>
      <c r="Z1647" s="23"/>
    </row>
    <row r="1648" spans="1:26" ht="13">
      <c r="A1648" s="562" t="s">
        <v>4535</v>
      </c>
      <c r="B1648" s="563" t="s">
        <v>4168</v>
      </c>
      <c r="C1648" s="564" t="s">
        <v>353</v>
      </c>
      <c r="D1648" s="565">
        <v>44046</v>
      </c>
      <c r="E1648" s="565">
        <v>44057</v>
      </c>
      <c r="F1648" s="566">
        <v>5970000</v>
      </c>
      <c r="G1648" s="564" t="s">
        <v>1128</v>
      </c>
      <c r="H1648" s="564" t="s">
        <v>1128</v>
      </c>
      <c r="I1648" s="564" t="s">
        <v>45</v>
      </c>
      <c r="J1648" s="564" t="s">
        <v>1069</v>
      </c>
      <c r="K1648" s="564" t="s">
        <v>1090</v>
      </c>
      <c r="L1648" s="564" t="s">
        <v>2098</v>
      </c>
      <c r="M1648" s="564" t="s">
        <v>2098</v>
      </c>
      <c r="N1648" s="564" t="s">
        <v>45</v>
      </c>
      <c r="O1648" s="564" t="s">
        <v>2099</v>
      </c>
      <c r="P1648" s="23"/>
      <c r="Q1648" s="23"/>
      <c r="R1648" s="23"/>
      <c r="S1648" s="23"/>
      <c r="T1648" s="23"/>
      <c r="U1648" s="23"/>
      <c r="V1648" s="23"/>
      <c r="W1648" s="23"/>
      <c r="X1648" s="23"/>
      <c r="Y1648" s="23"/>
      <c r="Z1648" s="23"/>
    </row>
    <row r="1649" spans="1:26" ht="13">
      <c r="A1649" s="562" t="s">
        <v>4536</v>
      </c>
      <c r="B1649" s="563" t="s">
        <v>3671</v>
      </c>
      <c r="C1649" s="564" t="s">
        <v>353</v>
      </c>
      <c r="D1649" s="565">
        <v>44046</v>
      </c>
      <c r="E1649" s="565">
        <v>44057</v>
      </c>
      <c r="F1649" s="566">
        <v>58889000</v>
      </c>
      <c r="G1649" s="564" t="s">
        <v>1128</v>
      </c>
      <c r="H1649" s="564" t="s">
        <v>1128</v>
      </c>
      <c r="I1649" s="564" t="s">
        <v>45</v>
      </c>
      <c r="J1649" s="564" t="s">
        <v>1069</v>
      </c>
      <c r="K1649" s="564" t="s">
        <v>1090</v>
      </c>
      <c r="L1649" s="564" t="s">
        <v>2098</v>
      </c>
      <c r="M1649" s="564" t="s">
        <v>2098</v>
      </c>
      <c r="N1649" s="564" t="s">
        <v>45</v>
      </c>
      <c r="O1649" s="564" t="s">
        <v>2099</v>
      </c>
      <c r="P1649" s="23"/>
      <c r="Q1649" s="23"/>
      <c r="R1649" s="23"/>
      <c r="S1649" s="23"/>
      <c r="T1649" s="23"/>
      <c r="U1649" s="23"/>
      <c r="V1649" s="23"/>
      <c r="W1649" s="23"/>
      <c r="X1649" s="23"/>
      <c r="Y1649" s="23"/>
      <c r="Z1649" s="23"/>
    </row>
    <row r="1650" spans="1:26" ht="13">
      <c r="A1650" s="562" t="s">
        <v>4537</v>
      </c>
      <c r="B1650" s="563" t="s">
        <v>4170</v>
      </c>
      <c r="C1650" s="564" t="s">
        <v>353</v>
      </c>
      <c r="D1650" s="565">
        <v>44046</v>
      </c>
      <c r="E1650" s="565">
        <v>44057</v>
      </c>
      <c r="F1650" s="566">
        <v>19600000</v>
      </c>
      <c r="G1650" s="564" t="s">
        <v>1128</v>
      </c>
      <c r="H1650" s="564" t="s">
        <v>1128</v>
      </c>
      <c r="I1650" s="564" t="s">
        <v>45</v>
      </c>
      <c r="J1650" s="564" t="s">
        <v>1069</v>
      </c>
      <c r="K1650" s="564" t="s">
        <v>1090</v>
      </c>
      <c r="L1650" s="564" t="s">
        <v>2098</v>
      </c>
      <c r="M1650" s="564" t="s">
        <v>2098</v>
      </c>
      <c r="N1650" s="564" t="s">
        <v>45</v>
      </c>
      <c r="O1650" s="564" t="s">
        <v>2099</v>
      </c>
      <c r="P1650" s="23"/>
      <c r="Q1650" s="23"/>
      <c r="R1650" s="23"/>
      <c r="S1650" s="23"/>
      <c r="T1650" s="23"/>
      <c r="U1650" s="23"/>
      <c r="V1650" s="23"/>
      <c r="W1650" s="23"/>
      <c r="X1650" s="23"/>
      <c r="Y1650" s="23"/>
      <c r="Z1650" s="23"/>
    </row>
    <row r="1651" spans="1:26" ht="13">
      <c r="A1651" s="562" t="s">
        <v>4538</v>
      </c>
      <c r="B1651" s="563" t="s">
        <v>4043</v>
      </c>
      <c r="C1651" s="564" t="s">
        <v>353</v>
      </c>
      <c r="D1651" s="565">
        <v>44046</v>
      </c>
      <c r="E1651" s="565">
        <v>44057</v>
      </c>
      <c r="F1651" s="566">
        <v>55800000</v>
      </c>
      <c r="G1651" s="564" t="s">
        <v>1128</v>
      </c>
      <c r="H1651" s="564" t="s">
        <v>1128</v>
      </c>
      <c r="I1651" s="564" t="s">
        <v>45</v>
      </c>
      <c r="J1651" s="564" t="s">
        <v>1069</v>
      </c>
      <c r="K1651" s="564" t="s">
        <v>1090</v>
      </c>
      <c r="L1651" s="564" t="s">
        <v>2098</v>
      </c>
      <c r="M1651" s="564" t="s">
        <v>2098</v>
      </c>
      <c r="N1651" s="564" t="s">
        <v>45</v>
      </c>
      <c r="O1651" s="564" t="s">
        <v>2099</v>
      </c>
      <c r="P1651" s="23"/>
      <c r="Q1651" s="23"/>
      <c r="R1651" s="23"/>
      <c r="S1651" s="23"/>
      <c r="T1651" s="23"/>
      <c r="U1651" s="23"/>
      <c r="V1651" s="23"/>
      <c r="W1651" s="23"/>
      <c r="X1651" s="23"/>
      <c r="Y1651" s="23"/>
      <c r="Z1651" s="23"/>
    </row>
    <row r="1652" spans="1:26" ht="13">
      <c r="A1652" s="562" t="s">
        <v>4539</v>
      </c>
      <c r="B1652" s="563" t="s">
        <v>4035</v>
      </c>
      <c r="C1652" s="564" t="s">
        <v>353</v>
      </c>
      <c r="D1652" s="565">
        <v>44046</v>
      </c>
      <c r="E1652" s="565">
        <v>44057</v>
      </c>
      <c r="F1652" s="566">
        <v>1800000</v>
      </c>
      <c r="G1652" s="564" t="s">
        <v>1128</v>
      </c>
      <c r="H1652" s="564" t="s">
        <v>1128</v>
      </c>
      <c r="I1652" s="564" t="s">
        <v>45</v>
      </c>
      <c r="J1652" s="564" t="s">
        <v>1069</v>
      </c>
      <c r="K1652" s="564" t="s">
        <v>1090</v>
      </c>
      <c r="L1652" s="564" t="s">
        <v>2098</v>
      </c>
      <c r="M1652" s="564" t="s">
        <v>2098</v>
      </c>
      <c r="N1652" s="564" t="s">
        <v>45</v>
      </c>
      <c r="O1652" s="564" t="s">
        <v>2099</v>
      </c>
      <c r="P1652" s="23"/>
      <c r="Q1652" s="23"/>
      <c r="R1652" s="23"/>
      <c r="S1652" s="23"/>
      <c r="T1652" s="23"/>
      <c r="U1652" s="23"/>
      <c r="V1652" s="23"/>
      <c r="W1652" s="23"/>
      <c r="X1652" s="23"/>
      <c r="Y1652" s="23"/>
      <c r="Z1652" s="23"/>
    </row>
    <row r="1653" spans="1:26" ht="13">
      <c r="A1653" s="562" t="s">
        <v>4540</v>
      </c>
      <c r="B1653" s="563" t="s">
        <v>4541</v>
      </c>
      <c r="C1653" s="564" t="s">
        <v>353</v>
      </c>
      <c r="D1653" s="565">
        <v>44046</v>
      </c>
      <c r="E1653" s="565">
        <v>44057</v>
      </c>
      <c r="F1653" s="566">
        <v>6320000</v>
      </c>
      <c r="G1653" s="564" t="s">
        <v>1128</v>
      </c>
      <c r="H1653" s="564" t="s">
        <v>1128</v>
      </c>
      <c r="I1653" s="564" t="s">
        <v>45</v>
      </c>
      <c r="J1653" s="564" t="s">
        <v>1069</v>
      </c>
      <c r="K1653" s="564" t="s">
        <v>1090</v>
      </c>
      <c r="L1653" s="564" t="s">
        <v>2098</v>
      </c>
      <c r="M1653" s="564" t="s">
        <v>2098</v>
      </c>
      <c r="N1653" s="564" t="s">
        <v>45</v>
      </c>
      <c r="O1653" s="564" t="s">
        <v>2099</v>
      </c>
      <c r="P1653" s="23"/>
      <c r="Q1653" s="23"/>
      <c r="R1653" s="23"/>
      <c r="S1653" s="23"/>
      <c r="T1653" s="23"/>
      <c r="U1653" s="23"/>
      <c r="V1653" s="23"/>
      <c r="W1653" s="23"/>
      <c r="X1653" s="23"/>
      <c r="Y1653" s="23"/>
      <c r="Z1653" s="23"/>
    </row>
    <row r="1654" spans="1:26" ht="13">
      <c r="A1654" s="562" t="s">
        <v>4542</v>
      </c>
      <c r="B1654" s="563" t="s">
        <v>4033</v>
      </c>
      <c r="C1654" s="564" t="s">
        <v>353</v>
      </c>
      <c r="D1654" s="565">
        <v>44046</v>
      </c>
      <c r="E1654" s="565">
        <v>44057</v>
      </c>
      <c r="F1654" s="566">
        <v>113650000</v>
      </c>
      <c r="G1654" s="564" t="s">
        <v>1128</v>
      </c>
      <c r="H1654" s="564" t="s">
        <v>1128</v>
      </c>
      <c r="I1654" s="564" t="s">
        <v>45</v>
      </c>
      <c r="J1654" s="564" t="s">
        <v>1069</v>
      </c>
      <c r="K1654" s="564" t="s">
        <v>1090</v>
      </c>
      <c r="L1654" s="564" t="s">
        <v>2098</v>
      </c>
      <c r="M1654" s="564" t="s">
        <v>2098</v>
      </c>
      <c r="N1654" s="564" t="s">
        <v>45</v>
      </c>
      <c r="O1654" s="564" t="s">
        <v>2099</v>
      </c>
      <c r="P1654" s="23"/>
      <c r="Q1654" s="23"/>
      <c r="R1654" s="23"/>
      <c r="S1654" s="23"/>
      <c r="T1654" s="23"/>
      <c r="U1654" s="23"/>
      <c r="V1654" s="23"/>
      <c r="W1654" s="23"/>
      <c r="X1654" s="23"/>
      <c r="Y1654" s="23"/>
      <c r="Z1654" s="23"/>
    </row>
    <row r="1655" spans="1:26" ht="13">
      <c r="A1655" s="562" t="s">
        <v>4543</v>
      </c>
      <c r="B1655" s="563" t="s">
        <v>3088</v>
      </c>
      <c r="C1655" s="564" t="s">
        <v>353</v>
      </c>
      <c r="D1655" s="565">
        <v>44049</v>
      </c>
      <c r="E1655" s="565">
        <v>44050</v>
      </c>
      <c r="F1655" s="566">
        <v>280000</v>
      </c>
      <c r="G1655" s="564" t="s">
        <v>1128</v>
      </c>
      <c r="H1655" s="564" t="s">
        <v>1128</v>
      </c>
      <c r="I1655" s="564" t="s">
        <v>45</v>
      </c>
      <c r="J1655" s="564" t="s">
        <v>1069</v>
      </c>
      <c r="K1655" s="564" t="s">
        <v>1090</v>
      </c>
      <c r="L1655" s="564" t="s">
        <v>2098</v>
      </c>
      <c r="M1655" s="564" t="s">
        <v>2098</v>
      </c>
      <c r="N1655" s="564" t="s">
        <v>45</v>
      </c>
      <c r="O1655" s="564" t="s">
        <v>2099</v>
      </c>
      <c r="P1655" s="23"/>
      <c r="Q1655" s="23"/>
      <c r="R1655" s="23"/>
      <c r="S1655" s="23"/>
      <c r="T1655" s="23"/>
      <c r="U1655" s="23"/>
      <c r="V1655" s="23"/>
      <c r="W1655" s="23"/>
      <c r="X1655" s="23"/>
      <c r="Y1655" s="23"/>
      <c r="Z1655" s="23"/>
    </row>
    <row r="1656" spans="1:26" ht="13">
      <c r="A1656" s="562" t="s">
        <v>4544</v>
      </c>
      <c r="B1656" s="563" t="s">
        <v>4503</v>
      </c>
      <c r="C1656" s="564" t="s">
        <v>1076</v>
      </c>
      <c r="D1656" s="565">
        <v>44046</v>
      </c>
      <c r="E1656" s="565">
        <v>44109</v>
      </c>
      <c r="F1656" s="566">
        <v>1279000</v>
      </c>
      <c r="G1656" s="564" t="s">
        <v>1077</v>
      </c>
      <c r="H1656" s="564" t="s">
        <v>1077</v>
      </c>
      <c r="I1656" s="564" t="s">
        <v>637</v>
      </c>
      <c r="J1656" s="564" t="s">
        <v>1069</v>
      </c>
      <c r="K1656" s="564" t="s">
        <v>1070</v>
      </c>
      <c r="L1656" s="564" t="s">
        <v>2098</v>
      </c>
      <c r="M1656" s="564" t="s">
        <v>2098</v>
      </c>
      <c r="N1656" s="564" t="s">
        <v>1082</v>
      </c>
      <c r="O1656" s="564" t="s">
        <v>2099</v>
      </c>
      <c r="P1656" s="23"/>
      <c r="Q1656" s="23"/>
      <c r="R1656" s="23"/>
      <c r="S1656" s="23"/>
      <c r="T1656" s="23"/>
      <c r="U1656" s="23"/>
      <c r="V1656" s="23"/>
      <c r="W1656" s="23"/>
      <c r="X1656" s="23"/>
      <c r="Y1656" s="23"/>
      <c r="Z1656" s="23"/>
    </row>
    <row r="1657" spans="1:26" ht="13">
      <c r="A1657" s="562" t="s">
        <v>4545</v>
      </c>
      <c r="B1657" s="563" t="s">
        <v>4546</v>
      </c>
      <c r="C1657" s="564" t="s">
        <v>1475</v>
      </c>
      <c r="D1657" s="565">
        <v>44043</v>
      </c>
      <c r="E1657" s="565">
        <v>44064</v>
      </c>
      <c r="F1657" s="566">
        <v>189800000</v>
      </c>
      <c r="G1657" s="564" t="s">
        <v>1912</v>
      </c>
      <c r="H1657" s="564" t="s">
        <v>1912</v>
      </c>
      <c r="I1657" s="564" t="s">
        <v>4547</v>
      </c>
      <c r="J1657" s="564" t="s">
        <v>1069</v>
      </c>
      <c r="K1657" s="564" t="s">
        <v>1070</v>
      </c>
      <c r="L1657" s="564" t="s">
        <v>2098</v>
      </c>
      <c r="M1657" s="564" t="s">
        <v>2098</v>
      </c>
      <c r="N1657" s="564" t="s">
        <v>1082</v>
      </c>
      <c r="O1657" s="564" t="s">
        <v>2099</v>
      </c>
      <c r="P1657" s="23"/>
      <c r="Q1657" s="23"/>
      <c r="R1657" s="23"/>
      <c r="S1657" s="23"/>
      <c r="T1657" s="23"/>
      <c r="U1657" s="23"/>
      <c r="V1657" s="23"/>
      <c r="W1657" s="23"/>
      <c r="X1657" s="23"/>
      <c r="Y1657" s="23"/>
      <c r="Z1657" s="23"/>
    </row>
    <row r="1658" spans="1:26" ht="13">
      <c r="A1658" s="562" t="s">
        <v>4548</v>
      </c>
      <c r="B1658" s="563" t="s">
        <v>4549</v>
      </c>
      <c r="C1658" s="564" t="s">
        <v>1076</v>
      </c>
      <c r="D1658" s="565">
        <v>44047</v>
      </c>
      <c r="E1658" s="565">
        <v>44106</v>
      </c>
      <c r="F1658" s="566">
        <v>866000</v>
      </c>
      <c r="G1658" s="564" t="s">
        <v>1077</v>
      </c>
      <c r="H1658" s="564" t="s">
        <v>1077</v>
      </c>
      <c r="I1658" s="564" t="s">
        <v>637</v>
      </c>
      <c r="J1658" s="564" t="s">
        <v>1069</v>
      </c>
      <c r="K1658" s="564" t="s">
        <v>1070</v>
      </c>
      <c r="L1658" s="564" t="s">
        <v>2098</v>
      </c>
      <c r="M1658" s="564" t="s">
        <v>2098</v>
      </c>
      <c r="N1658" s="564" t="s">
        <v>1082</v>
      </c>
      <c r="O1658" s="564" t="s">
        <v>2099</v>
      </c>
      <c r="P1658" s="23"/>
      <c r="Q1658" s="23"/>
      <c r="R1658" s="23"/>
      <c r="S1658" s="23"/>
      <c r="T1658" s="23"/>
      <c r="U1658" s="23"/>
      <c r="V1658" s="23"/>
      <c r="W1658" s="23"/>
      <c r="X1658" s="23"/>
      <c r="Y1658" s="23"/>
      <c r="Z1658" s="23"/>
    </row>
    <row r="1659" spans="1:26" ht="13">
      <c r="A1659" s="562" t="s">
        <v>4550</v>
      </c>
      <c r="B1659" s="563" t="s">
        <v>4551</v>
      </c>
      <c r="C1659" s="564" t="s">
        <v>1652</v>
      </c>
      <c r="D1659" s="565">
        <v>44047</v>
      </c>
      <c r="E1659" s="565">
        <v>44053</v>
      </c>
      <c r="F1659" s="566">
        <v>3350000</v>
      </c>
      <c r="G1659" s="564" t="s">
        <v>4261</v>
      </c>
      <c r="H1659" s="564" t="s">
        <v>4261</v>
      </c>
      <c r="I1659" s="564" t="s">
        <v>70</v>
      </c>
      <c r="J1659" s="564" t="s">
        <v>1069</v>
      </c>
      <c r="K1659" s="564" t="s">
        <v>1120</v>
      </c>
      <c r="L1659" s="564" t="s">
        <v>2098</v>
      </c>
      <c r="M1659" s="564" t="s">
        <v>2098</v>
      </c>
      <c r="N1659" s="564" t="s">
        <v>70</v>
      </c>
      <c r="O1659" s="564" t="s">
        <v>2099</v>
      </c>
      <c r="P1659" s="23"/>
      <c r="Q1659" s="23"/>
      <c r="R1659" s="23"/>
      <c r="S1659" s="23"/>
      <c r="T1659" s="23"/>
      <c r="U1659" s="23"/>
      <c r="V1659" s="23"/>
      <c r="W1659" s="23"/>
      <c r="X1659" s="23"/>
      <c r="Y1659" s="23"/>
      <c r="Z1659" s="23"/>
    </row>
    <row r="1660" spans="1:26" ht="13">
      <c r="A1660" s="562" t="s">
        <v>4552</v>
      </c>
      <c r="B1660" s="563" t="s">
        <v>4553</v>
      </c>
      <c r="C1660" s="564" t="s">
        <v>1076</v>
      </c>
      <c r="D1660" s="565">
        <v>44043</v>
      </c>
      <c r="E1660" s="565">
        <v>44104</v>
      </c>
      <c r="F1660" s="566">
        <v>816000</v>
      </c>
      <c r="G1660" s="564" t="s">
        <v>1077</v>
      </c>
      <c r="H1660" s="564" t="s">
        <v>1077</v>
      </c>
      <c r="I1660" s="564" t="s">
        <v>637</v>
      </c>
      <c r="J1660" s="564" t="s">
        <v>1069</v>
      </c>
      <c r="K1660" s="564" t="s">
        <v>1070</v>
      </c>
      <c r="L1660" s="564" t="s">
        <v>2098</v>
      </c>
      <c r="M1660" s="564" t="s">
        <v>2098</v>
      </c>
      <c r="N1660" s="564" t="s">
        <v>1082</v>
      </c>
      <c r="O1660" s="564" t="s">
        <v>2099</v>
      </c>
      <c r="P1660" s="23"/>
      <c r="Q1660" s="23"/>
      <c r="R1660" s="23"/>
      <c r="S1660" s="23"/>
      <c r="T1660" s="23"/>
      <c r="U1660" s="23"/>
      <c r="V1660" s="23"/>
      <c r="W1660" s="23"/>
      <c r="X1660" s="23"/>
      <c r="Y1660" s="23"/>
      <c r="Z1660" s="23"/>
    </row>
    <row r="1661" spans="1:26" ht="13">
      <c r="A1661" s="562" t="s">
        <v>4554</v>
      </c>
      <c r="B1661" s="563" t="s">
        <v>4555</v>
      </c>
      <c r="C1661" s="564" t="s">
        <v>1076</v>
      </c>
      <c r="D1661" s="565">
        <v>44040</v>
      </c>
      <c r="E1661" s="565">
        <v>44102</v>
      </c>
      <c r="F1661" s="566">
        <v>171000</v>
      </c>
      <c r="G1661" s="564" t="s">
        <v>1077</v>
      </c>
      <c r="H1661" s="564" t="s">
        <v>1077</v>
      </c>
      <c r="I1661" s="564" t="s">
        <v>637</v>
      </c>
      <c r="J1661" s="564" t="s">
        <v>1069</v>
      </c>
      <c r="K1661" s="564" t="s">
        <v>1070</v>
      </c>
      <c r="L1661" s="564" t="s">
        <v>2098</v>
      </c>
      <c r="M1661" s="564" t="s">
        <v>2098</v>
      </c>
      <c r="N1661" s="564" t="s">
        <v>1082</v>
      </c>
      <c r="O1661" s="564" t="s">
        <v>2099</v>
      </c>
      <c r="P1661" s="23"/>
      <c r="Q1661" s="23"/>
      <c r="R1661" s="23"/>
      <c r="S1661" s="23"/>
      <c r="T1661" s="23"/>
      <c r="U1661" s="23"/>
      <c r="V1661" s="23"/>
      <c r="W1661" s="23"/>
      <c r="X1661" s="23"/>
      <c r="Y1661" s="23"/>
      <c r="Z1661" s="23"/>
    </row>
    <row r="1662" spans="1:26" ht="13">
      <c r="A1662" s="562" t="s">
        <v>4556</v>
      </c>
      <c r="B1662" s="563" t="s">
        <v>4557</v>
      </c>
      <c r="C1662" s="564" t="s">
        <v>353</v>
      </c>
      <c r="D1662" s="565">
        <v>44035</v>
      </c>
      <c r="E1662" s="565">
        <v>44047</v>
      </c>
      <c r="F1662" s="566">
        <v>456000</v>
      </c>
      <c r="G1662" s="564" t="s">
        <v>297</v>
      </c>
      <c r="H1662" s="564" t="s">
        <v>297</v>
      </c>
      <c r="I1662" s="564" t="s">
        <v>64</v>
      </c>
      <c r="J1662" s="564" t="s">
        <v>1069</v>
      </c>
      <c r="K1662" s="564" t="s">
        <v>1090</v>
      </c>
      <c r="L1662" s="564" t="s">
        <v>2098</v>
      </c>
      <c r="M1662" s="564" t="s">
        <v>2098</v>
      </c>
      <c r="N1662" s="564" t="s">
        <v>64</v>
      </c>
      <c r="O1662" s="564" t="s">
        <v>2099</v>
      </c>
      <c r="P1662" s="23"/>
      <c r="Q1662" s="23"/>
      <c r="R1662" s="23"/>
      <c r="S1662" s="23"/>
      <c r="T1662" s="23"/>
      <c r="U1662" s="23"/>
      <c r="V1662" s="23"/>
      <c r="W1662" s="23"/>
      <c r="X1662" s="23"/>
      <c r="Y1662" s="23"/>
      <c r="Z1662" s="23"/>
    </row>
    <row r="1663" spans="1:26" ht="13">
      <c r="A1663" s="562" t="s">
        <v>4558</v>
      </c>
      <c r="B1663" s="563" t="s">
        <v>4559</v>
      </c>
      <c r="C1663" s="564" t="s">
        <v>1076</v>
      </c>
      <c r="D1663" s="565">
        <v>44039</v>
      </c>
      <c r="E1663" s="565">
        <v>44099</v>
      </c>
      <c r="F1663" s="566">
        <v>1987000</v>
      </c>
      <c r="G1663" s="564" t="s">
        <v>1077</v>
      </c>
      <c r="H1663" s="564" t="s">
        <v>1077</v>
      </c>
      <c r="I1663" s="564" t="s">
        <v>637</v>
      </c>
      <c r="J1663" s="564" t="s">
        <v>1069</v>
      </c>
      <c r="K1663" s="564" t="s">
        <v>1070</v>
      </c>
      <c r="L1663" s="564" t="s">
        <v>2098</v>
      </c>
      <c r="M1663" s="564" t="s">
        <v>2098</v>
      </c>
      <c r="N1663" s="564" t="s">
        <v>1082</v>
      </c>
      <c r="O1663" s="564" t="s">
        <v>2099</v>
      </c>
      <c r="P1663" s="23"/>
      <c r="Q1663" s="23"/>
      <c r="R1663" s="23"/>
      <c r="S1663" s="23"/>
      <c r="T1663" s="23"/>
      <c r="U1663" s="23"/>
      <c r="V1663" s="23"/>
      <c r="W1663" s="23"/>
      <c r="X1663" s="23"/>
      <c r="Y1663" s="23"/>
      <c r="Z1663" s="23"/>
    </row>
    <row r="1664" spans="1:26" ht="13">
      <c r="A1664" s="562" t="s">
        <v>4560</v>
      </c>
      <c r="B1664" s="563" t="s">
        <v>4561</v>
      </c>
      <c r="C1664" s="564" t="s">
        <v>1652</v>
      </c>
      <c r="D1664" s="565">
        <v>44033</v>
      </c>
      <c r="E1664" s="565">
        <v>44061</v>
      </c>
      <c r="F1664" s="566">
        <v>3380910</v>
      </c>
      <c r="G1664" s="564" t="s">
        <v>1623</v>
      </c>
      <c r="H1664" s="564" t="s">
        <v>1623</v>
      </c>
      <c r="I1664" s="564" t="s">
        <v>802</v>
      </c>
      <c r="J1664" s="564" t="s">
        <v>1069</v>
      </c>
      <c r="K1664" s="564" t="s">
        <v>1198</v>
      </c>
      <c r="L1664" s="564" t="s">
        <v>2098</v>
      </c>
      <c r="M1664" s="564" t="s">
        <v>2098</v>
      </c>
      <c r="N1664" s="564" t="s">
        <v>132</v>
      </c>
      <c r="O1664" s="564" t="s">
        <v>2099</v>
      </c>
      <c r="P1664" s="23"/>
      <c r="Q1664" s="23"/>
      <c r="R1664" s="23"/>
      <c r="S1664" s="23"/>
      <c r="T1664" s="23"/>
      <c r="U1664" s="23"/>
      <c r="V1664" s="23"/>
      <c r="W1664" s="23"/>
      <c r="X1664" s="23"/>
      <c r="Y1664" s="23"/>
      <c r="Z1664" s="23"/>
    </row>
    <row r="1665" spans="1:26" ht="13">
      <c r="A1665" s="562" t="s">
        <v>4562</v>
      </c>
      <c r="B1665" s="563" t="s">
        <v>4563</v>
      </c>
      <c r="C1665" s="564" t="s">
        <v>1652</v>
      </c>
      <c r="D1665" s="565">
        <v>44028</v>
      </c>
      <c r="E1665" s="565">
        <v>44056</v>
      </c>
      <c r="F1665" s="566">
        <v>82854545</v>
      </c>
      <c r="G1665" s="564" t="s">
        <v>1623</v>
      </c>
      <c r="H1665" s="564" t="s">
        <v>1623</v>
      </c>
      <c r="I1665" s="564" t="s">
        <v>802</v>
      </c>
      <c r="J1665" s="564" t="s">
        <v>1069</v>
      </c>
      <c r="K1665" s="564" t="s">
        <v>1198</v>
      </c>
      <c r="L1665" s="564" t="s">
        <v>2098</v>
      </c>
      <c r="M1665" s="564" t="s">
        <v>2098</v>
      </c>
      <c r="N1665" s="564" t="s">
        <v>132</v>
      </c>
      <c r="O1665" s="564" t="s">
        <v>2099</v>
      </c>
      <c r="P1665" s="23"/>
      <c r="Q1665" s="23"/>
      <c r="R1665" s="23"/>
      <c r="S1665" s="23"/>
      <c r="T1665" s="23"/>
      <c r="U1665" s="23"/>
      <c r="V1665" s="23"/>
      <c r="W1665" s="23"/>
      <c r="X1665" s="23"/>
      <c r="Y1665" s="23"/>
      <c r="Z1665" s="23"/>
    </row>
    <row r="1666" spans="1:26" ht="13">
      <c r="A1666" s="562" t="s">
        <v>4564</v>
      </c>
      <c r="B1666" s="563" t="s">
        <v>4389</v>
      </c>
      <c r="C1666" s="564" t="s">
        <v>2322</v>
      </c>
      <c r="D1666" s="565">
        <v>43991</v>
      </c>
      <c r="E1666" s="565">
        <v>44110</v>
      </c>
      <c r="F1666" s="566">
        <v>42618182</v>
      </c>
      <c r="G1666" s="564" t="s">
        <v>2428</v>
      </c>
      <c r="H1666" s="564" t="s">
        <v>2428</v>
      </c>
      <c r="I1666" s="564" t="s">
        <v>2761</v>
      </c>
      <c r="J1666" s="564" t="s">
        <v>1069</v>
      </c>
      <c r="K1666" s="564" t="s">
        <v>1209</v>
      </c>
      <c r="L1666" s="564" t="s">
        <v>2098</v>
      </c>
      <c r="M1666" s="564" t="s">
        <v>2098</v>
      </c>
      <c r="N1666" s="564" t="s">
        <v>2439</v>
      </c>
      <c r="O1666" s="564" t="s">
        <v>2099</v>
      </c>
      <c r="P1666" s="23"/>
      <c r="Q1666" s="23"/>
      <c r="R1666" s="23"/>
      <c r="S1666" s="23"/>
      <c r="T1666" s="23"/>
      <c r="U1666" s="23"/>
      <c r="V1666" s="23"/>
      <c r="W1666" s="23"/>
      <c r="X1666" s="23"/>
      <c r="Y1666" s="23"/>
      <c r="Z1666" s="23"/>
    </row>
    <row r="1667" spans="1:26" ht="13">
      <c r="A1667" s="562" t="s">
        <v>4565</v>
      </c>
      <c r="B1667" s="563" t="s">
        <v>4566</v>
      </c>
      <c r="C1667" s="564" t="s">
        <v>1652</v>
      </c>
      <c r="D1667" s="565">
        <v>44021</v>
      </c>
      <c r="E1667" s="565">
        <v>44077</v>
      </c>
      <c r="F1667" s="566">
        <v>5615455</v>
      </c>
      <c r="G1667" s="564" t="s">
        <v>1623</v>
      </c>
      <c r="H1667" s="564" t="s">
        <v>1623</v>
      </c>
      <c r="I1667" s="564" t="s">
        <v>802</v>
      </c>
      <c r="J1667" s="564" t="s">
        <v>1069</v>
      </c>
      <c r="K1667" s="564" t="s">
        <v>1198</v>
      </c>
      <c r="L1667" s="564" t="s">
        <v>2098</v>
      </c>
      <c r="M1667" s="564" t="s">
        <v>2098</v>
      </c>
      <c r="N1667" s="564" t="s">
        <v>132</v>
      </c>
      <c r="O1667" s="564" t="s">
        <v>2099</v>
      </c>
      <c r="P1667" s="23"/>
      <c r="Q1667" s="23"/>
      <c r="R1667" s="23"/>
      <c r="S1667" s="23"/>
      <c r="T1667" s="23"/>
      <c r="U1667" s="23"/>
      <c r="V1667" s="23"/>
      <c r="W1667" s="23"/>
      <c r="X1667" s="23"/>
      <c r="Y1667" s="23"/>
      <c r="Z1667" s="23"/>
    </row>
    <row r="1668" spans="1:26" ht="13">
      <c r="A1668" s="562" t="s">
        <v>4567</v>
      </c>
      <c r="B1668" s="563" t="s">
        <v>4568</v>
      </c>
      <c r="C1668" s="564" t="s">
        <v>1652</v>
      </c>
      <c r="D1668" s="565">
        <v>44020</v>
      </c>
      <c r="E1668" s="565">
        <v>44076</v>
      </c>
      <c r="F1668" s="566">
        <v>49090909</v>
      </c>
      <c r="G1668" s="564" t="s">
        <v>1623</v>
      </c>
      <c r="H1668" s="564" t="s">
        <v>1623</v>
      </c>
      <c r="I1668" s="564" t="s">
        <v>802</v>
      </c>
      <c r="J1668" s="564" t="s">
        <v>1069</v>
      </c>
      <c r="K1668" s="564" t="s">
        <v>1198</v>
      </c>
      <c r="L1668" s="564" t="s">
        <v>2098</v>
      </c>
      <c r="M1668" s="564" t="s">
        <v>2098</v>
      </c>
      <c r="N1668" s="564" t="s">
        <v>132</v>
      </c>
      <c r="O1668" s="564" t="s">
        <v>2099</v>
      </c>
      <c r="P1668" s="23"/>
      <c r="Q1668" s="23"/>
      <c r="R1668" s="23"/>
      <c r="S1668" s="23"/>
      <c r="T1668" s="23"/>
      <c r="U1668" s="23"/>
      <c r="V1668" s="23"/>
      <c r="W1668" s="23"/>
      <c r="X1668" s="23"/>
      <c r="Y1668" s="23"/>
      <c r="Z1668" s="23"/>
    </row>
    <row r="1669" spans="1:26" ht="13">
      <c r="A1669" s="562" t="s">
        <v>4569</v>
      </c>
      <c r="B1669" s="563" t="s">
        <v>4570</v>
      </c>
      <c r="C1669" s="564" t="s">
        <v>353</v>
      </c>
      <c r="D1669" s="565">
        <v>44027</v>
      </c>
      <c r="E1669" s="565">
        <v>44036</v>
      </c>
      <c r="F1669" s="566">
        <v>456000</v>
      </c>
      <c r="G1669" s="564" t="s">
        <v>297</v>
      </c>
      <c r="H1669" s="564" t="s">
        <v>297</v>
      </c>
      <c r="I1669" s="564" t="s">
        <v>64</v>
      </c>
      <c r="J1669" s="564" t="s">
        <v>1069</v>
      </c>
      <c r="K1669" s="564" t="s">
        <v>1090</v>
      </c>
      <c r="L1669" s="564" t="s">
        <v>2098</v>
      </c>
      <c r="M1669" s="564" t="s">
        <v>2098</v>
      </c>
      <c r="N1669" s="564" t="s">
        <v>64</v>
      </c>
      <c r="O1669" s="564" t="s">
        <v>2099</v>
      </c>
      <c r="P1669" s="23"/>
      <c r="Q1669" s="23"/>
      <c r="R1669" s="23"/>
      <c r="S1669" s="23"/>
      <c r="T1669" s="23"/>
      <c r="U1669" s="23"/>
      <c r="V1669" s="23"/>
      <c r="W1669" s="23"/>
      <c r="X1669" s="23"/>
      <c r="Y1669" s="23"/>
      <c r="Z1669" s="23"/>
    </row>
    <row r="1670" spans="1:26" ht="13">
      <c r="A1670" s="562" t="s">
        <v>4571</v>
      </c>
      <c r="B1670" s="563" t="s">
        <v>4572</v>
      </c>
      <c r="C1670" s="564" t="s">
        <v>1652</v>
      </c>
      <c r="D1670" s="565">
        <v>44025</v>
      </c>
      <c r="E1670" s="565">
        <v>44027</v>
      </c>
      <c r="F1670" s="566">
        <v>3295000</v>
      </c>
      <c r="G1670" s="564" t="s">
        <v>4261</v>
      </c>
      <c r="H1670" s="564" t="s">
        <v>4261</v>
      </c>
      <c r="I1670" s="564" t="s">
        <v>70</v>
      </c>
      <c r="J1670" s="564" t="s">
        <v>1069</v>
      </c>
      <c r="K1670" s="564" t="s">
        <v>1120</v>
      </c>
      <c r="L1670" s="564" t="s">
        <v>2098</v>
      </c>
      <c r="M1670" s="564" t="s">
        <v>2098</v>
      </c>
      <c r="N1670" s="564" t="s">
        <v>70</v>
      </c>
      <c r="O1670" s="564" t="s">
        <v>2099</v>
      </c>
      <c r="P1670" s="23"/>
      <c r="Q1670" s="23"/>
      <c r="R1670" s="23"/>
      <c r="S1670" s="23"/>
      <c r="T1670" s="23"/>
      <c r="U1670" s="23"/>
      <c r="V1670" s="23"/>
      <c r="W1670" s="23"/>
      <c r="X1670" s="23"/>
      <c r="Y1670" s="23"/>
      <c r="Z1670" s="23"/>
    </row>
    <row r="1671" spans="1:26" ht="13">
      <c r="A1671" s="562" t="s">
        <v>4573</v>
      </c>
      <c r="B1671" s="563" t="s">
        <v>4574</v>
      </c>
      <c r="C1671" s="564" t="s">
        <v>1076</v>
      </c>
      <c r="D1671" s="565">
        <v>44021</v>
      </c>
      <c r="E1671" s="565">
        <v>44083</v>
      </c>
      <c r="F1671" s="566">
        <v>1987000</v>
      </c>
      <c r="G1671" s="564" t="s">
        <v>1077</v>
      </c>
      <c r="H1671" s="564" t="s">
        <v>1077</v>
      </c>
      <c r="I1671" s="564" t="s">
        <v>637</v>
      </c>
      <c r="J1671" s="564" t="s">
        <v>1069</v>
      </c>
      <c r="K1671" s="564" t="s">
        <v>1070</v>
      </c>
      <c r="L1671" s="564" t="s">
        <v>2098</v>
      </c>
      <c r="M1671" s="564" t="s">
        <v>2098</v>
      </c>
      <c r="N1671" s="564" t="s">
        <v>1082</v>
      </c>
      <c r="O1671" s="564" t="s">
        <v>2099</v>
      </c>
      <c r="P1671" s="23"/>
      <c r="Q1671" s="23"/>
      <c r="R1671" s="23"/>
      <c r="S1671" s="23"/>
      <c r="T1671" s="23"/>
      <c r="U1671" s="23"/>
      <c r="V1671" s="23"/>
      <c r="W1671" s="23"/>
      <c r="X1671" s="23"/>
      <c r="Y1671" s="23"/>
      <c r="Z1671" s="23"/>
    </row>
    <row r="1672" spans="1:26" ht="13">
      <c r="A1672" s="562" t="s">
        <v>4575</v>
      </c>
      <c r="B1672" s="563" t="s">
        <v>4576</v>
      </c>
      <c r="C1672" s="564" t="s">
        <v>353</v>
      </c>
      <c r="D1672" s="565">
        <v>44020</v>
      </c>
      <c r="E1672" s="565">
        <v>44032</v>
      </c>
      <c r="F1672" s="566">
        <v>180000</v>
      </c>
      <c r="G1672" s="564" t="s">
        <v>1293</v>
      </c>
      <c r="H1672" s="564" t="s">
        <v>1293</v>
      </c>
      <c r="I1672" s="564" t="s">
        <v>121</v>
      </c>
      <c r="J1672" s="564" t="s">
        <v>1069</v>
      </c>
      <c r="K1672" s="564" t="s">
        <v>1105</v>
      </c>
      <c r="L1672" s="564" t="s">
        <v>2098</v>
      </c>
      <c r="M1672" s="564" t="s">
        <v>2098</v>
      </c>
      <c r="N1672" s="564" t="s">
        <v>1073</v>
      </c>
      <c r="O1672" s="564" t="s">
        <v>2099</v>
      </c>
      <c r="P1672" s="23"/>
      <c r="Q1672" s="23"/>
      <c r="R1672" s="23"/>
      <c r="S1672" s="23"/>
      <c r="T1672" s="23"/>
      <c r="U1672" s="23"/>
      <c r="V1672" s="23"/>
      <c r="W1672" s="23"/>
      <c r="X1672" s="23"/>
      <c r="Y1672" s="23"/>
      <c r="Z1672" s="23"/>
    </row>
    <row r="1673" spans="1:26" ht="13">
      <c r="A1673" s="562" t="s">
        <v>4577</v>
      </c>
      <c r="B1673" s="563" t="s">
        <v>4578</v>
      </c>
      <c r="C1673" s="564" t="s">
        <v>1652</v>
      </c>
      <c r="D1673" s="565">
        <v>44020</v>
      </c>
      <c r="E1673" s="565">
        <v>44027</v>
      </c>
      <c r="F1673" s="566">
        <v>4651000</v>
      </c>
      <c r="G1673" s="564" t="s">
        <v>4261</v>
      </c>
      <c r="H1673" s="564" t="s">
        <v>4261</v>
      </c>
      <c r="I1673" s="564" t="s">
        <v>70</v>
      </c>
      <c r="J1673" s="564" t="s">
        <v>1069</v>
      </c>
      <c r="K1673" s="564" t="s">
        <v>1120</v>
      </c>
      <c r="L1673" s="564" t="s">
        <v>2098</v>
      </c>
      <c r="M1673" s="564" t="s">
        <v>2098</v>
      </c>
      <c r="N1673" s="564" t="s">
        <v>70</v>
      </c>
      <c r="O1673" s="564" t="s">
        <v>2099</v>
      </c>
      <c r="P1673" s="23"/>
      <c r="Q1673" s="23"/>
      <c r="R1673" s="23"/>
      <c r="S1673" s="23"/>
      <c r="T1673" s="23"/>
      <c r="U1673" s="23"/>
      <c r="V1673" s="23"/>
      <c r="W1673" s="23"/>
      <c r="X1673" s="23"/>
      <c r="Y1673" s="23"/>
      <c r="Z1673" s="23"/>
    </row>
    <row r="1674" spans="1:26" ht="13">
      <c r="A1674" s="562" t="s">
        <v>4579</v>
      </c>
      <c r="B1674" s="563" t="s">
        <v>4580</v>
      </c>
      <c r="C1674" s="564" t="s">
        <v>353</v>
      </c>
      <c r="D1674" s="565">
        <v>44012</v>
      </c>
      <c r="E1674" s="565">
        <v>44043</v>
      </c>
      <c r="F1674" s="566">
        <v>305856530</v>
      </c>
      <c r="G1674" s="564" t="s">
        <v>1405</v>
      </c>
      <c r="H1674" s="564" t="s">
        <v>1405</v>
      </c>
      <c r="I1674" s="564" t="s">
        <v>70</v>
      </c>
      <c r="J1674" s="564" t="s">
        <v>1069</v>
      </c>
      <c r="K1674" s="564" t="s">
        <v>1120</v>
      </c>
      <c r="L1674" s="564" t="s">
        <v>2098</v>
      </c>
      <c r="M1674" s="564" t="s">
        <v>2098</v>
      </c>
      <c r="N1674" s="564" t="s">
        <v>70</v>
      </c>
      <c r="O1674" s="564" t="s">
        <v>2099</v>
      </c>
      <c r="P1674" s="23"/>
      <c r="Q1674" s="23"/>
      <c r="R1674" s="23"/>
      <c r="S1674" s="23"/>
      <c r="T1674" s="23"/>
      <c r="U1674" s="23"/>
      <c r="V1674" s="23"/>
      <c r="W1674" s="23"/>
      <c r="X1674" s="23"/>
      <c r="Y1674" s="23"/>
      <c r="Z1674" s="23"/>
    </row>
    <row r="1675" spans="1:26" ht="13">
      <c r="A1675" s="562" t="s">
        <v>4581</v>
      </c>
      <c r="B1675" s="563" t="s">
        <v>4582</v>
      </c>
      <c r="C1675" s="564" t="s">
        <v>353</v>
      </c>
      <c r="D1675" s="565">
        <v>44012</v>
      </c>
      <c r="E1675" s="565">
        <v>44043</v>
      </c>
      <c r="F1675" s="566">
        <v>2734046120</v>
      </c>
      <c r="G1675" s="564" t="s">
        <v>1942</v>
      </c>
      <c r="H1675" s="564" t="s">
        <v>1942</v>
      </c>
      <c r="I1675" s="564" t="s">
        <v>45</v>
      </c>
      <c r="J1675" s="564" t="s">
        <v>1069</v>
      </c>
      <c r="K1675" s="564" t="s">
        <v>1090</v>
      </c>
      <c r="L1675" s="564" t="s">
        <v>2098</v>
      </c>
      <c r="M1675" s="564" t="s">
        <v>2098</v>
      </c>
      <c r="N1675" s="564" t="s">
        <v>45</v>
      </c>
      <c r="O1675" s="564" t="s">
        <v>2099</v>
      </c>
      <c r="P1675" s="23"/>
      <c r="Q1675" s="23"/>
      <c r="R1675" s="23"/>
      <c r="S1675" s="23"/>
      <c r="T1675" s="23"/>
      <c r="U1675" s="23"/>
      <c r="V1675" s="23"/>
      <c r="W1675" s="23"/>
      <c r="X1675" s="23"/>
      <c r="Y1675" s="23"/>
      <c r="Z1675" s="23"/>
    </row>
    <row r="1676" spans="1:26" ht="13">
      <c r="A1676" s="562" t="s">
        <v>4583</v>
      </c>
      <c r="B1676" s="563" t="s">
        <v>4584</v>
      </c>
      <c r="C1676" s="564" t="s">
        <v>353</v>
      </c>
      <c r="D1676" s="565">
        <v>44012</v>
      </c>
      <c r="E1676" s="565">
        <v>44043</v>
      </c>
      <c r="F1676" s="566">
        <v>145454980</v>
      </c>
      <c r="G1676" s="564" t="s">
        <v>1293</v>
      </c>
      <c r="H1676" s="564" t="s">
        <v>1293</v>
      </c>
      <c r="I1676" s="564" t="s">
        <v>225</v>
      </c>
      <c r="J1676" s="564" t="s">
        <v>1069</v>
      </c>
      <c r="K1676" s="564" t="s">
        <v>1105</v>
      </c>
      <c r="L1676" s="564" t="s">
        <v>2098</v>
      </c>
      <c r="M1676" s="564" t="s">
        <v>2098</v>
      </c>
      <c r="N1676" s="564" t="s">
        <v>225</v>
      </c>
      <c r="O1676" s="564" t="s">
        <v>2099</v>
      </c>
      <c r="P1676" s="23"/>
      <c r="Q1676" s="23"/>
      <c r="R1676" s="23"/>
      <c r="S1676" s="23"/>
      <c r="T1676" s="23"/>
      <c r="U1676" s="23"/>
      <c r="V1676" s="23"/>
      <c r="W1676" s="23"/>
      <c r="X1676" s="23"/>
      <c r="Y1676" s="23"/>
      <c r="Z1676" s="23"/>
    </row>
    <row r="1677" spans="1:26" ht="13">
      <c r="A1677" s="562" t="s">
        <v>4585</v>
      </c>
      <c r="B1677" s="563" t="s">
        <v>4586</v>
      </c>
      <c r="C1677" s="564" t="s">
        <v>353</v>
      </c>
      <c r="D1677" s="565">
        <v>44014</v>
      </c>
      <c r="E1677" s="565">
        <v>44027</v>
      </c>
      <c r="F1677" s="566">
        <v>1170000</v>
      </c>
      <c r="G1677" s="564" t="s">
        <v>297</v>
      </c>
      <c r="H1677" s="564" t="s">
        <v>297</v>
      </c>
      <c r="I1677" s="564" t="s">
        <v>1230</v>
      </c>
      <c r="J1677" s="564" t="s">
        <v>1069</v>
      </c>
      <c r="K1677" s="564" t="s">
        <v>1090</v>
      </c>
      <c r="L1677" s="564" t="s">
        <v>2098</v>
      </c>
      <c r="M1677" s="564" t="s">
        <v>2098</v>
      </c>
      <c r="N1677" s="564" t="s">
        <v>1073</v>
      </c>
      <c r="O1677" s="564" t="s">
        <v>2099</v>
      </c>
      <c r="P1677" s="23"/>
      <c r="Q1677" s="23"/>
      <c r="R1677" s="23"/>
      <c r="S1677" s="23"/>
      <c r="T1677" s="23"/>
      <c r="U1677" s="23"/>
      <c r="V1677" s="23"/>
      <c r="W1677" s="23"/>
      <c r="X1677" s="23"/>
      <c r="Y1677" s="23"/>
      <c r="Z1677" s="23"/>
    </row>
    <row r="1678" spans="1:26" ht="13">
      <c r="A1678" s="562" t="s">
        <v>4587</v>
      </c>
      <c r="B1678" s="563" t="s">
        <v>4389</v>
      </c>
      <c r="C1678" s="564" t="s">
        <v>353</v>
      </c>
      <c r="D1678" s="565">
        <v>43991</v>
      </c>
      <c r="E1678" s="565">
        <v>44110</v>
      </c>
      <c r="F1678" s="566">
        <v>42618182</v>
      </c>
      <c r="G1678" s="564" t="s">
        <v>2428</v>
      </c>
      <c r="H1678" s="564" t="s">
        <v>2428</v>
      </c>
      <c r="I1678" s="564" t="s">
        <v>2761</v>
      </c>
      <c r="J1678" s="564" t="s">
        <v>1069</v>
      </c>
      <c r="K1678" s="564" t="s">
        <v>1209</v>
      </c>
      <c r="L1678" s="564" t="s">
        <v>2098</v>
      </c>
      <c r="M1678" s="564" t="s">
        <v>2098</v>
      </c>
      <c r="N1678" s="564" t="s">
        <v>2439</v>
      </c>
      <c r="O1678" s="564" t="s">
        <v>2099</v>
      </c>
      <c r="P1678" s="23"/>
      <c r="Q1678" s="23"/>
      <c r="R1678" s="23"/>
      <c r="S1678" s="23"/>
      <c r="T1678" s="23"/>
      <c r="U1678" s="23"/>
      <c r="V1678" s="23"/>
      <c r="W1678" s="23"/>
      <c r="X1678" s="23"/>
      <c r="Y1678" s="23"/>
      <c r="Z1678" s="23"/>
    </row>
    <row r="1679" spans="1:26" ht="13">
      <c r="A1679" s="562" t="s">
        <v>4588</v>
      </c>
      <c r="B1679" s="563" t="s">
        <v>4589</v>
      </c>
      <c r="C1679" s="564" t="s">
        <v>1475</v>
      </c>
      <c r="D1679" s="565">
        <v>44008</v>
      </c>
      <c r="E1679" s="565">
        <v>44043</v>
      </c>
      <c r="F1679" s="566">
        <v>7250000</v>
      </c>
      <c r="G1679" s="564" t="s">
        <v>1123</v>
      </c>
      <c r="H1679" s="564" t="s">
        <v>1123</v>
      </c>
      <c r="I1679" s="564" t="s">
        <v>1771</v>
      </c>
      <c r="J1679" s="564" t="s">
        <v>1069</v>
      </c>
      <c r="K1679" s="564" t="s">
        <v>1070</v>
      </c>
      <c r="L1679" s="564" t="s">
        <v>2098</v>
      </c>
      <c r="M1679" s="564" t="s">
        <v>2098</v>
      </c>
      <c r="N1679" s="564" t="s">
        <v>1082</v>
      </c>
      <c r="O1679" s="564" t="s">
        <v>2099</v>
      </c>
      <c r="P1679" s="23"/>
      <c r="Q1679" s="23"/>
      <c r="R1679" s="23"/>
      <c r="S1679" s="23"/>
      <c r="T1679" s="23"/>
      <c r="U1679" s="23"/>
      <c r="V1679" s="23"/>
      <c r="W1679" s="23"/>
      <c r="X1679" s="23"/>
      <c r="Y1679" s="23"/>
      <c r="Z1679" s="23"/>
    </row>
    <row r="1680" spans="1:26" ht="13">
      <c r="A1680" s="562" t="s">
        <v>4590</v>
      </c>
      <c r="B1680" s="563" t="s">
        <v>4591</v>
      </c>
      <c r="C1680" s="564" t="s">
        <v>353</v>
      </c>
      <c r="D1680" s="565">
        <v>44012</v>
      </c>
      <c r="E1680" s="565">
        <v>44022</v>
      </c>
      <c r="F1680" s="566">
        <v>3600000</v>
      </c>
      <c r="G1680" s="564" t="s">
        <v>297</v>
      </c>
      <c r="H1680" s="564" t="s">
        <v>297</v>
      </c>
      <c r="I1680" s="564" t="s">
        <v>64</v>
      </c>
      <c r="J1680" s="564" t="s">
        <v>1069</v>
      </c>
      <c r="K1680" s="564" t="s">
        <v>1090</v>
      </c>
      <c r="L1680" s="564" t="s">
        <v>2098</v>
      </c>
      <c r="M1680" s="564" t="s">
        <v>2098</v>
      </c>
      <c r="N1680" s="564" t="s">
        <v>64</v>
      </c>
      <c r="O1680" s="564" t="s">
        <v>2099</v>
      </c>
      <c r="P1680" s="23"/>
      <c r="Q1680" s="23"/>
      <c r="R1680" s="23"/>
      <c r="S1680" s="23"/>
      <c r="T1680" s="23"/>
      <c r="U1680" s="23"/>
      <c r="V1680" s="23"/>
      <c r="W1680" s="23"/>
      <c r="X1680" s="23"/>
      <c r="Y1680" s="23"/>
      <c r="Z1680" s="23"/>
    </row>
    <row r="1681" spans="1:26" ht="13">
      <c r="A1681" s="562" t="s">
        <v>4592</v>
      </c>
      <c r="B1681" s="563" t="s">
        <v>4593</v>
      </c>
      <c r="C1681" s="564" t="s">
        <v>1652</v>
      </c>
      <c r="D1681" s="565">
        <v>44011</v>
      </c>
      <c r="E1681" s="565">
        <v>44040</v>
      </c>
      <c r="F1681" s="566">
        <v>4381819</v>
      </c>
      <c r="G1681" s="564" t="s">
        <v>1623</v>
      </c>
      <c r="H1681" s="564" t="s">
        <v>1623</v>
      </c>
      <c r="I1681" s="564" t="s">
        <v>802</v>
      </c>
      <c r="J1681" s="564" t="s">
        <v>1069</v>
      </c>
      <c r="K1681" s="564" t="s">
        <v>1198</v>
      </c>
      <c r="L1681" s="564" t="s">
        <v>2098</v>
      </c>
      <c r="M1681" s="564" t="s">
        <v>2098</v>
      </c>
      <c r="N1681" s="564" t="s">
        <v>132</v>
      </c>
      <c r="O1681" s="564" t="s">
        <v>2099</v>
      </c>
      <c r="P1681" s="23"/>
      <c r="Q1681" s="23"/>
      <c r="R1681" s="23"/>
      <c r="S1681" s="23"/>
      <c r="T1681" s="23"/>
      <c r="U1681" s="23"/>
      <c r="V1681" s="23"/>
      <c r="W1681" s="23"/>
      <c r="X1681" s="23"/>
      <c r="Y1681" s="23"/>
      <c r="Z1681" s="23"/>
    </row>
    <row r="1682" spans="1:26" ht="13">
      <c r="A1682" s="562" t="s">
        <v>4594</v>
      </c>
      <c r="B1682" s="563" t="s">
        <v>4595</v>
      </c>
      <c r="C1682" s="564" t="s">
        <v>1652</v>
      </c>
      <c r="D1682" s="565">
        <v>44011</v>
      </c>
      <c r="E1682" s="565">
        <v>44015</v>
      </c>
      <c r="F1682" s="566">
        <v>10972000</v>
      </c>
      <c r="G1682" s="564" t="s">
        <v>4261</v>
      </c>
      <c r="H1682" s="564" t="s">
        <v>4261</v>
      </c>
      <c r="I1682" s="564" t="s">
        <v>70</v>
      </c>
      <c r="J1682" s="564" t="s">
        <v>1069</v>
      </c>
      <c r="K1682" s="564" t="s">
        <v>1120</v>
      </c>
      <c r="L1682" s="564" t="s">
        <v>2098</v>
      </c>
      <c r="M1682" s="564" t="s">
        <v>2098</v>
      </c>
      <c r="N1682" s="564" t="s">
        <v>70</v>
      </c>
      <c r="O1682" s="564" t="s">
        <v>2099</v>
      </c>
      <c r="P1682" s="23"/>
      <c r="Q1682" s="23"/>
      <c r="R1682" s="23"/>
      <c r="S1682" s="23"/>
      <c r="T1682" s="23"/>
      <c r="U1682" s="23"/>
      <c r="V1682" s="23"/>
      <c r="W1682" s="23"/>
      <c r="X1682" s="23"/>
      <c r="Y1682" s="23"/>
      <c r="Z1682" s="23"/>
    </row>
    <row r="1683" spans="1:26" ht="13">
      <c r="A1683" s="562" t="s">
        <v>4596</v>
      </c>
      <c r="B1683" s="563" t="s">
        <v>4366</v>
      </c>
      <c r="C1683" s="564" t="s">
        <v>1652</v>
      </c>
      <c r="D1683" s="565">
        <v>44007</v>
      </c>
      <c r="E1683" s="565">
        <v>44014</v>
      </c>
      <c r="F1683" s="566">
        <v>170000</v>
      </c>
      <c r="G1683" s="564" t="s">
        <v>4261</v>
      </c>
      <c r="H1683" s="564" t="s">
        <v>4261</v>
      </c>
      <c r="I1683" s="564" t="s">
        <v>70</v>
      </c>
      <c r="J1683" s="564" t="s">
        <v>1069</v>
      </c>
      <c r="K1683" s="564" t="s">
        <v>1120</v>
      </c>
      <c r="L1683" s="564" t="s">
        <v>2098</v>
      </c>
      <c r="M1683" s="564" t="s">
        <v>2098</v>
      </c>
      <c r="N1683" s="564" t="s">
        <v>70</v>
      </c>
      <c r="O1683" s="564" t="s">
        <v>2099</v>
      </c>
      <c r="P1683" s="23"/>
      <c r="Q1683" s="23"/>
      <c r="R1683" s="23"/>
      <c r="S1683" s="23"/>
      <c r="T1683" s="23"/>
      <c r="U1683" s="23"/>
      <c r="V1683" s="23"/>
      <c r="W1683" s="23"/>
      <c r="X1683" s="23"/>
      <c r="Y1683" s="23"/>
      <c r="Z1683" s="23"/>
    </row>
    <row r="1684" spans="1:26" ht="13">
      <c r="A1684" s="562" t="s">
        <v>4597</v>
      </c>
      <c r="B1684" s="563" t="s">
        <v>4389</v>
      </c>
      <c r="C1684" s="564" t="s">
        <v>353</v>
      </c>
      <c r="D1684" s="565">
        <v>43991</v>
      </c>
      <c r="E1684" s="565">
        <v>44110</v>
      </c>
      <c r="F1684" s="566">
        <v>42618182</v>
      </c>
      <c r="G1684" s="564" t="s">
        <v>2428</v>
      </c>
      <c r="H1684" s="564" t="s">
        <v>2428</v>
      </c>
      <c r="I1684" s="564" t="s">
        <v>2761</v>
      </c>
      <c r="J1684" s="564" t="s">
        <v>1069</v>
      </c>
      <c r="K1684" s="564" t="s">
        <v>1209</v>
      </c>
      <c r="L1684" s="564" t="s">
        <v>2098</v>
      </c>
      <c r="M1684" s="564" t="s">
        <v>2098</v>
      </c>
      <c r="N1684" s="564" t="s">
        <v>2439</v>
      </c>
      <c r="O1684" s="564" t="s">
        <v>2099</v>
      </c>
      <c r="P1684" s="23"/>
      <c r="Q1684" s="23"/>
      <c r="R1684" s="23"/>
      <c r="S1684" s="23"/>
      <c r="T1684" s="23"/>
      <c r="U1684" s="23"/>
      <c r="V1684" s="23"/>
      <c r="W1684" s="23"/>
      <c r="X1684" s="23"/>
      <c r="Y1684" s="23"/>
      <c r="Z1684" s="23"/>
    </row>
    <row r="1685" spans="1:26" ht="13">
      <c r="A1685" s="562" t="s">
        <v>4598</v>
      </c>
      <c r="B1685" s="563" t="s">
        <v>4599</v>
      </c>
      <c r="C1685" s="564" t="s">
        <v>1652</v>
      </c>
      <c r="D1685" s="565">
        <v>43998</v>
      </c>
      <c r="E1685" s="565">
        <v>44027</v>
      </c>
      <c r="F1685" s="566">
        <v>18909091</v>
      </c>
      <c r="G1685" s="564" t="s">
        <v>1623</v>
      </c>
      <c r="H1685" s="564" t="s">
        <v>1623</v>
      </c>
      <c r="I1685" s="564" t="s">
        <v>802</v>
      </c>
      <c r="J1685" s="564" t="s">
        <v>1069</v>
      </c>
      <c r="K1685" s="564" t="s">
        <v>1198</v>
      </c>
      <c r="L1685" s="564" t="s">
        <v>2098</v>
      </c>
      <c r="M1685" s="564" t="s">
        <v>2098</v>
      </c>
      <c r="N1685" s="564" t="s">
        <v>132</v>
      </c>
      <c r="O1685" s="564" t="s">
        <v>2099</v>
      </c>
      <c r="P1685" s="23"/>
      <c r="Q1685" s="23"/>
      <c r="R1685" s="23"/>
      <c r="S1685" s="23"/>
      <c r="T1685" s="23"/>
      <c r="U1685" s="23"/>
      <c r="V1685" s="23"/>
      <c r="W1685" s="23"/>
      <c r="X1685" s="23"/>
      <c r="Y1685" s="23"/>
      <c r="Z1685" s="23"/>
    </row>
    <row r="1686" spans="1:26" ht="13">
      <c r="A1686" s="562" t="s">
        <v>4600</v>
      </c>
      <c r="B1686" s="563" t="s">
        <v>4601</v>
      </c>
      <c r="C1686" s="564" t="s">
        <v>1076</v>
      </c>
      <c r="D1686" s="565">
        <v>43994</v>
      </c>
      <c r="E1686" s="565">
        <v>44055</v>
      </c>
      <c r="F1686" s="566">
        <v>3974000</v>
      </c>
      <c r="G1686" s="564" t="s">
        <v>1077</v>
      </c>
      <c r="H1686" s="564" t="s">
        <v>1077</v>
      </c>
      <c r="I1686" s="564" t="s">
        <v>637</v>
      </c>
      <c r="J1686" s="564" t="s">
        <v>1069</v>
      </c>
      <c r="K1686" s="564" t="s">
        <v>1070</v>
      </c>
      <c r="L1686" s="564" t="s">
        <v>2098</v>
      </c>
      <c r="M1686" s="564" t="s">
        <v>2098</v>
      </c>
      <c r="N1686" s="564" t="s">
        <v>1082</v>
      </c>
      <c r="O1686" s="564" t="s">
        <v>2099</v>
      </c>
      <c r="P1686" s="23"/>
      <c r="Q1686" s="23"/>
      <c r="R1686" s="23"/>
      <c r="S1686" s="23"/>
      <c r="T1686" s="23"/>
      <c r="U1686" s="23"/>
      <c r="V1686" s="23"/>
      <c r="W1686" s="23"/>
      <c r="X1686" s="23"/>
      <c r="Y1686" s="23"/>
      <c r="Z1686" s="23"/>
    </row>
    <row r="1687" spans="1:26" ht="13">
      <c r="A1687" s="562" t="s">
        <v>4602</v>
      </c>
      <c r="B1687" s="563" t="s">
        <v>4603</v>
      </c>
      <c r="C1687" s="564" t="s">
        <v>1652</v>
      </c>
      <c r="D1687" s="565">
        <v>43997</v>
      </c>
      <c r="E1687" s="565">
        <v>44026</v>
      </c>
      <c r="F1687" s="566">
        <v>1000909</v>
      </c>
      <c r="G1687" s="564" t="s">
        <v>1623</v>
      </c>
      <c r="H1687" s="564" t="s">
        <v>1623</v>
      </c>
      <c r="I1687" s="564" t="s">
        <v>802</v>
      </c>
      <c r="J1687" s="564" t="s">
        <v>1069</v>
      </c>
      <c r="K1687" s="564" t="s">
        <v>1198</v>
      </c>
      <c r="L1687" s="564" t="s">
        <v>2098</v>
      </c>
      <c r="M1687" s="564" t="s">
        <v>2098</v>
      </c>
      <c r="N1687" s="564" t="s">
        <v>132</v>
      </c>
      <c r="O1687" s="564" t="s">
        <v>2099</v>
      </c>
      <c r="P1687" s="23"/>
      <c r="Q1687" s="23"/>
      <c r="R1687" s="23"/>
      <c r="S1687" s="23"/>
      <c r="T1687" s="23"/>
      <c r="U1687" s="23"/>
      <c r="V1687" s="23"/>
      <c r="W1687" s="23"/>
      <c r="X1687" s="23"/>
      <c r="Y1687" s="23"/>
      <c r="Z1687" s="23"/>
    </row>
    <row r="1688" spans="1:26" ht="13">
      <c r="A1688" s="562" t="s">
        <v>4604</v>
      </c>
      <c r="B1688" s="563" t="s">
        <v>4605</v>
      </c>
      <c r="C1688" s="564" t="s">
        <v>353</v>
      </c>
      <c r="D1688" s="565">
        <v>43992</v>
      </c>
      <c r="E1688" s="565">
        <v>44001</v>
      </c>
      <c r="F1688" s="566">
        <v>456000</v>
      </c>
      <c r="G1688" s="564" t="s">
        <v>297</v>
      </c>
      <c r="H1688" s="564" t="s">
        <v>297</v>
      </c>
      <c r="I1688" s="564" t="s">
        <v>64</v>
      </c>
      <c r="J1688" s="564" t="s">
        <v>1069</v>
      </c>
      <c r="K1688" s="564" t="s">
        <v>1090</v>
      </c>
      <c r="L1688" s="564" t="s">
        <v>2098</v>
      </c>
      <c r="M1688" s="564" t="s">
        <v>2098</v>
      </c>
      <c r="N1688" s="564" t="s">
        <v>64</v>
      </c>
      <c r="O1688" s="564" t="s">
        <v>2099</v>
      </c>
      <c r="P1688" s="23"/>
      <c r="Q1688" s="23"/>
      <c r="R1688" s="23"/>
      <c r="S1688" s="23"/>
      <c r="T1688" s="23"/>
      <c r="U1688" s="23"/>
      <c r="V1688" s="23"/>
      <c r="W1688" s="23"/>
      <c r="X1688" s="23"/>
      <c r="Y1688" s="23"/>
      <c r="Z1688" s="23"/>
    </row>
    <row r="1689" spans="1:26" ht="13">
      <c r="A1689" s="562" t="s">
        <v>4606</v>
      </c>
      <c r="B1689" s="563" t="s">
        <v>4607</v>
      </c>
      <c r="C1689" s="564" t="s">
        <v>1652</v>
      </c>
      <c r="D1689" s="565">
        <v>43993</v>
      </c>
      <c r="E1689" s="565">
        <v>44035</v>
      </c>
      <c r="F1689" s="566">
        <v>89300000</v>
      </c>
      <c r="G1689" s="564" t="s">
        <v>1623</v>
      </c>
      <c r="H1689" s="564" t="s">
        <v>1623</v>
      </c>
      <c r="I1689" s="564" t="s">
        <v>802</v>
      </c>
      <c r="J1689" s="564" t="s">
        <v>1069</v>
      </c>
      <c r="K1689" s="564" t="s">
        <v>1198</v>
      </c>
      <c r="L1689" s="564" t="s">
        <v>2098</v>
      </c>
      <c r="M1689" s="564" t="s">
        <v>2098</v>
      </c>
      <c r="N1689" s="564" t="s">
        <v>132</v>
      </c>
      <c r="O1689" s="564" t="s">
        <v>2099</v>
      </c>
      <c r="P1689" s="23"/>
      <c r="Q1689" s="23"/>
      <c r="R1689" s="23"/>
      <c r="S1689" s="23"/>
      <c r="T1689" s="23"/>
      <c r="U1689" s="23"/>
      <c r="V1689" s="23"/>
      <c r="W1689" s="23"/>
      <c r="X1689" s="23"/>
      <c r="Y1689" s="23"/>
      <c r="Z1689" s="23"/>
    </row>
    <row r="1690" spans="1:26" ht="13">
      <c r="A1690" s="562" t="s">
        <v>4608</v>
      </c>
      <c r="B1690" s="563" t="s">
        <v>4609</v>
      </c>
      <c r="C1690" s="564" t="s">
        <v>1114</v>
      </c>
      <c r="D1690" s="565">
        <v>43990</v>
      </c>
      <c r="E1690" s="565">
        <v>43997</v>
      </c>
      <c r="F1690" s="566">
        <v>9400000</v>
      </c>
      <c r="G1690" s="564" t="s">
        <v>674</v>
      </c>
      <c r="H1690" s="564" t="s">
        <v>674</v>
      </c>
      <c r="I1690" s="564" t="s">
        <v>257</v>
      </c>
      <c r="J1690" s="564" t="s">
        <v>1069</v>
      </c>
      <c r="K1690" s="564" t="s">
        <v>1209</v>
      </c>
      <c r="L1690" s="564" t="s">
        <v>2098</v>
      </c>
      <c r="M1690" s="564" t="s">
        <v>2098</v>
      </c>
      <c r="N1690" s="564" t="s">
        <v>257</v>
      </c>
      <c r="O1690" s="564" t="s">
        <v>2099</v>
      </c>
      <c r="P1690" s="23"/>
      <c r="Q1690" s="23"/>
      <c r="R1690" s="23"/>
      <c r="S1690" s="23"/>
      <c r="T1690" s="23"/>
      <c r="U1690" s="23"/>
      <c r="V1690" s="23"/>
      <c r="W1690" s="23"/>
      <c r="X1690" s="23"/>
      <c r="Y1690" s="23"/>
      <c r="Z1690" s="23"/>
    </row>
    <row r="1691" spans="1:26" ht="13">
      <c r="A1691" s="562" t="s">
        <v>4610</v>
      </c>
      <c r="B1691" s="563" t="s">
        <v>4611</v>
      </c>
      <c r="C1691" s="564" t="s">
        <v>4612</v>
      </c>
      <c r="D1691" s="565">
        <v>43993</v>
      </c>
      <c r="E1691" s="565">
        <v>43993</v>
      </c>
      <c r="F1691" s="566">
        <v>350000</v>
      </c>
      <c r="G1691" s="564" t="s">
        <v>2175</v>
      </c>
      <c r="H1691" s="564" t="s">
        <v>2175</v>
      </c>
      <c r="I1691" s="564" t="s">
        <v>70</v>
      </c>
      <c r="J1691" s="564" t="s">
        <v>1069</v>
      </c>
      <c r="K1691" s="564" t="s">
        <v>1120</v>
      </c>
      <c r="L1691" s="564" t="s">
        <v>2098</v>
      </c>
      <c r="M1691" s="564" t="s">
        <v>2098</v>
      </c>
      <c r="N1691" s="564" t="s">
        <v>70</v>
      </c>
      <c r="O1691" s="564" t="s">
        <v>2099</v>
      </c>
      <c r="P1691" s="23"/>
      <c r="Q1691" s="23"/>
      <c r="R1691" s="23"/>
      <c r="S1691" s="23"/>
      <c r="T1691" s="23"/>
      <c r="U1691" s="23"/>
      <c r="V1691" s="23"/>
      <c r="W1691" s="23"/>
      <c r="X1691" s="23"/>
      <c r="Y1691" s="23"/>
      <c r="Z1691" s="23"/>
    </row>
    <row r="1692" spans="1:26" ht="13">
      <c r="A1692" s="562" t="s">
        <v>4613</v>
      </c>
      <c r="B1692" s="563" t="s">
        <v>4614</v>
      </c>
      <c r="C1692" s="564" t="s">
        <v>1475</v>
      </c>
      <c r="D1692" s="565">
        <v>43990</v>
      </c>
      <c r="E1692" s="565">
        <v>44043</v>
      </c>
      <c r="F1692" s="566">
        <v>69850000</v>
      </c>
      <c r="G1692" s="564" t="s">
        <v>1025</v>
      </c>
      <c r="H1692" s="564" t="s">
        <v>1025</v>
      </c>
      <c r="I1692" s="564" t="s">
        <v>4401</v>
      </c>
      <c r="J1692" s="564" t="s">
        <v>1069</v>
      </c>
      <c r="K1692" s="564" t="s">
        <v>1070</v>
      </c>
      <c r="L1692" s="564" t="s">
        <v>2098</v>
      </c>
      <c r="M1692" s="564" t="s">
        <v>2098</v>
      </c>
      <c r="N1692" s="564" t="s">
        <v>1082</v>
      </c>
      <c r="O1692" s="564" t="s">
        <v>2099</v>
      </c>
      <c r="P1692" s="23"/>
      <c r="Q1692" s="23"/>
      <c r="R1692" s="23"/>
      <c r="S1692" s="23"/>
      <c r="T1692" s="23"/>
      <c r="U1692" s="23"/>
      <c r="V1692" s="23"/>
      <c r="W1692" s="23"/>
      <c r="X1692" s="23"/>
      <c r="Y1692" s="23"/>
      <c r="Z1692" s="23"/>
    </row>
    <row r="1693" spans="1:26" ht="13">
      <c r="A1693" s="562" t="s">
        <v>4615</v>
      </c>
      <c r="B1693" s="563" t="s">
        <v>4616</v>
      </c>
      <c r="C1693" s="564" t="s">
        <v>1652</v>
      </c>
      <c r="D1693" s="565">
        <v>43990</v>
      </c>
      <c r="E1693" s="565">
        <v>43994</v>
      </c>
      <c r="F1693" s="566">
        <v>3350000</v>
      </c>
      <c r="G1693" s="564" t="s">
        <v>4261</v>
      </c>
      <c r="H1693" s="564" t="s">
        <v>4261</v>
      </c>
      <c r="I1693" s="564" t="s">
        <v>70</v>
      </c>
      <c r="J1693" s="564" t="s">
        <v>1069</v>
      </c>
      <c r="K1693" s="564" t="s">
        <v>1120</v>
      </c>
      <c r="L1693" s="564" t="s">
        <v>2098</v>
      </c>
      <c r="M1693" s="564" t="s">
        <v>2098</v>
      </c>
      <c r="N1693" s="564" t="s">
        <v>70</v>
      </c>
      <c r="O1693" s="564" t="s">
        <v>2099</v>
      </c>
      <c r="P1693" s="23"/>
      <c r="Q1693" s="23"/>
      <c r="R1693" s="23"/>
      <c r="S1693" s="23"/>
      <c r="T1693" s="23"/>
      <c r="U1693" s="23"/>
      <c r="V1693" s="23"/>
      <c r="W1693" s="23"/>
      <c r="X1693" s="23"/>
      <c r="Y1693" s="23"/>
      <c r="Z1693" s="23"/>
    </row>
    <row r="1694" spans="1:26" ht="13">
      <c r="A1694" s="562" t="s">
        <v>4617</v>
      </c>
      <c r="B1694" s="563" t="s">
        <v>4618</v>
      </c>
      <c r="C1694" s="564" t="s">
        <v>1076</v>
      </c>
      <c r="D1694" s="565">
        <v>43990</v>
      </c>
      <c r="E1694" s="565">
        <v>44050</v>
      </c>
      <c r="F1694" s="566">
        <v>1732000</v>
      </c>
      <c r="G1694" s="564" t="s">
        <v>1077</v>
      </c>
      <c r="H1694" s="564" t="s">
        <v>1077</v>
      </c>
      <c r="I1694" s="564" t="s">
        <v>637</v>
      </c>
      <c r="J1694" s="564" t="s">
        <v>1069</v>
      </c>
      <c r="K1694" s="564" t="s">
        <v>1070</v>
      </c>
      <c r="L1694" s="564" t="s">
        <v>2098</v>
      </c>
      <c r="M1694" s="564" t="s">
        <v>2098</v>
      </c>
      <c r="N1694" s="564" t="s">
        <v>1082</v>
      </c>
      <c r="O1694" s="564" t="s">
        <v>2099</v>
      </c>
      <c r="P1694" s="23"/>
      <c r="Q1694" s="23"/>
      <c r="R1694" s="23"/>
      <c r="S1694" s="23"/>
      <c r="T1694" s="23"/>
      <c r="U1694" s="23"/>
      <c r="V1694" s="23"/>
      <c r="W1694" s="23"/>
      <c r="X1694" s="23"/>
      <c r="Y1694" s="23"/>
      <c r="Z1694" s="23"/>
    </row>
    <row r="1695" spans="1:26" ht="13">
      <c r="A1695" s="562" t="s">
        <v>4619</v>
      </c>
      <c r="B1695" s="563" t="s">
        <v>4620</v>
      </c>
      <c r="C1695" s="564" t="s">
        <v>1652</v>
      </c>
      <c r="D1695" s="565">
        <v>43986</v>
      </c>
      <c r="E1695" s="565">
        <v>43993</v>
      </c>
      <c r="F1695" s="566">
        <v>2135000</v>
      </c>
      <c r="G1695" s="564" t="s">
        <v>4261</v>
      </c>
      <c r="H1695" s="564" t="s">
        <v>4261</v>
      </c>
      <c r="I1695" s="564" t="s">
        <v>70</v>
      </c>
      <c r="J1695" s="564" t="s">
        <v>1069</v>
      </c>
      <c r="K1695" s="564" t="s">
        <v>1120</v>
      </c>
      <c r="L1695" s="564" t="s">
        <v>2098</v>
      </c>
      <c r="M1695" s="564" t="s">
        <v>2098</v>
      </c>
      <c r="N1695" s="564" t="s">
        <v>70</v>
      </c>
      <c r="O1695" s="564" t="s">
        <v>2099</v>
      </c>
      <c r="P1695" s="23"/>
      <c r="Q1695" s="23"/>
      <c r="R1695" s="23"/>
      <c r="S1695" s="23"/>
      <c r="T1695" s="23"/>
      <c r="U1695" s="23"/>
      <c r="V1695" s="23"/>
      <c r="W1695" s="23"/>
      <c r="X1695" s="23"/>
      <c r="Y1695" s="23"/>
      <c r="Z1695" s="23"/>
    </row>
    <row r="1696" spans="1:26" ht="13">
      <c r="A1696" s="562" t="s">
        <v>4621</v>
      </c>
      <c r="B1696" s="563" t="s">
        <v>4622</v>
      </c>
      <c r="C1696" s="564" t="s">
        <v>1475</v>
      </c>
      <c r="D1696" s="565">
        <v>43969</v>
      </c>
      <c r="E1696" s="565">
        <v>44009</v>
      </c>
      <c r="F1696" s="566">
        <v>3000000</v>
      </c>
      <c r="G1696" s="564" t="s">
        <v>1123</v>
      </c>
      <c r="H1696" s="564" t="s">
        <v>1123</v>
      </c>
      <c r="I1696" s="564" t="s">
        <v>1771</v>
      </c>
      <c r="J1696" s="564" t="s">
        <v>1069</v>
      </c>
      <c r="K1696" s="564" t="s">
        <v>1070</v>
      </c>
      <c r="L1696" s="564" t="s">
        <v>2098</v>
      </c>
      <c r="M1696" s="564" t="s">
        <v>2098</v>
      </c>
      <c r="N1696" s="564" t="s">
        <v>1082</v>
      </c>
      <c r="O1696" s="564" t="s">
        <v>2099</v>
      </c>
      <c r="P1696" s="23"/>
      <c r="Q1696" s="23"/>
      <c r="R1696" s="23"/>
      <c r="S1696" s="23"/>
      <c r="T1696" s="23"/>
      <c r="U1696" s="23"/>
      <c r="V1696" s="23"/>
      <c r="W1696" s="23"/>
      <c r="X1696" s="23"/>
      <c r="Y1696" s="23"/>
      <c r="Z1696" s="23"/>
    </row>
    <row r="1697" spans="1:26" ht="13">
      <c r="A1697" s="562" t="s">
        <v>4623</v>
      </c>
      <c r="B1697" s="563" t="s">
        <v>4624</v>
      </c>
      <c r="C1697" s="564" t="s">
        <v>1652</v>
      </c>
      <c r="D1697" s="565">
        <v>43984</v>
      </c>
      <c r="E1697" s="565">
        <v>43992</v>
      </c>
      <c r="F1697" s="566">
        <v>1144000</v>
      </c>
      <c r="G1697" s="564" t="s">
        <v>4261</v>
      </c>
      <c r="H1697" s="564" t="s">
        <v>4261</v>
      </c>
      <c r="I1697" s="564" t="s">
        <v>70</v>
      </c>
      <c r="J1697" s="564" t="s">
        <v>1069</v>
      </c>
      <c r="K1697" s="564" t="s">
        <v>1120</v>
      </c>
      <c r="L1697" s="564" t="s">
        <v>2098</v>
      </c>
      <c r="M1697" s="564" t="s">
        <v>2098</v>
      </c>
      <c r="N1697" s="564" t="s">
        <v>70</v>
      </c>
      <c r="O1697" s="564" t="s">
        <v>2099</v>
      </c>
      <c r="P1697" s="23"/>
      <c r="Q1697" s="23"/>
      <c r="R1697" s="23"/>
      <c r="S1697" s="23"/>
      <c r="T1697" s="23"/>
      <c r="U1697" s="23"/>
      <c r="V1697" s="23"/>
      <c r="W1697" s="23"/>
      <c r="X1697" s="23"/>
      <c r="Y1697" s="23"/>
      <c r="Z1697" s="23"/>
    </row>
    <row r="1698" spans="1:26" ht="13">
      <c r="A1698" s="562" t="s">
        <v>4625</v>
      </c>
      <c r="B1698" s="563" t="s">
        <v>4626</v>
      </c>
      <c r="C1698" s="564" t="s">
        <v>1652</v>
      </c>
      <c r="D1698" s="565">
        <v>43984</v>
      </c>
      <c r="E1698" s="565">
        <v>43990</v>
      </c>
      <c r="F1698" s="566">
        <v>1140000</v>
      </c>
      <c r="G1698" s="564" t="s">
        <v>4261</v>
      </c>
      <c r="H1698" s="564" t="s">
        <v>4261</v>
      </c>
      <c r="I1698" s="564" t="s">
        <v>107</v>
      </c>
      <c r="J1698" s="564" t="s">
        <v>1069</v>
      </c>
      <c r="K1698" s="564" t="s">
        <v>1120</v>
      </c>
      <c r="L1698" s="564" t="s">
        <v>2098</v>
      </c>
      <c r="M1698" s="564" t="s">
        <v>2098</v>
      </c>
      <c r="N1698" s="564" t="s">
        <v>1073</v>
      </c>
      <c r="O1698" s="564" t="s">
        <v>2099</v>
      </c>
      <c r="P1698" s="23"/>
      <c r="Q1698" s="23"/>
      <c r="R1698" s="23"/>
      <c r="S1698" s="23"/>
      <c r="T1698" s="23"/>
      <c r="U1698" s="23"/>
      <c r="V1698" s="23"/>
      <c r="W1698" s="23"/>
      <c r="X1698" s="23"/>
      <c r="Y1698" s="23"/>
      <c r="Z1698" s="23"/>
    </row>
    <row r="1699" spans="1:26" ht="13">
      <c r="A1699" s="562" t="s">
        <v>4627</v>
      </c>
      <c r="B1699" s="563" t="s">
        <v>4628</v>
      </c>
      <c r="C1699" s="564" t="s">
        <v>353</v>
      </c>
      <c r="D1699" s="565">
        <v>43979</v>
      </c>
      <c r="E1699" s="565">
        <v>43986</v>
      </c>
      <c r="F1699" s="566">
        <v>528000</v>
      </c>
      <c r="G1699" s="564" t="s">
        <v>4261</v>
      </c>
      <c r="H1699" s="564" t="s">
        <v>4261</v>
      </c>
      <c r="I1699" s="564" t="s">
        <v>4629</v>
      </c>
      <c r="J1699" s="564" t="s">
        <v>1069</v>
      </c>
      <c r="K1699" s="564" t="s">
        <v>1070</v>
      </c>
      <c r="L1699" s="564" t="s">
        <v>2098</v>
      </c>
      <c r="M1699" s="564" t="s">
        <v>2098</v>
      </c>
      <c r="N1699" s="564" t="s">
        <v>1082</v>
      </c>
      <c r="O1699" s="564" t="s">
        <v>2099</v>
      </c>
      <c r="P1699" s="23"/>
      <c r="Q1699" s="23"/>
      <c r="R1699" s="23"/>
      <c r="S1699" s="23"/>
      <c r="T1699" s="23"/>
      <c r="U1699" s="23"/>
      <c r="V1699" s="23"/>
      <c r="W1699" s="23"/>
      <c r="X1699" s="23"/>
      <c r="Y1699" s="23"/>
      <c r="Z1699" s="23"/>
    </row>
    <row r="1700" spans="1:26" ht="13">
      <c r="A1700" s="562" t="s">
        <v>4630</v>
      </c>
      <c r="B1700" s="563" t="s">
        <v>4631</v>
      </c>
      <c r="C1700" s="564" t="s">
        <v>1652</v>
      </c>
      <c r="D1700" s="565">
        <v>43973</v>
      </c>
      <c r="E1700" s="565">
        <v>44004</v>
      </c>
      <c r="F1700" s="566">
        <v>9363636</v>
      </c>
      <c r="G1700" s="564" t="s">
        <v>1623</v>
      </c>
      <c r="H1700" s="564" t="s">
        <v>1623</v>
      </c>
      <c r="I1700" s="564" t="s">
        <v>802</v>
      </c>
      <c r="J1700" s="564" t="s">
        <v>1069</v>
      </c>
      <c r="K1700" s="564" t="s">
        <v>1198</v>
      </c>
      <c r="L1700" s="564" t="s">
        <v>2098</v>
      </c>
      <c r="M1700" s="564" t="s">
        <v>2098</v>
      </c>
      <c r="N1700" s="564" t="s">
        <v>132</v>
      </c>
      <c r="O1700" s="564" t="s">
        <v>2099</v>
      </c>
      <c r="P1700" s="23"/>
      <c r="Q1700" s="23"/>
      <c r="R1700" s="23"/>
      <c r="S1700" s="23"/>
      <c r="T1700" s="23"/>
      <c r="U1700" s="23"/>
      <c r="V1700" s="23"/>
      <c r="W1700" s="23"/>
      <c r="X1700" s="23"/>
      <c r="Y1700" s="23"/>
      <c r="Z1700" s="23"/>
    </row>
    <row r="1701" spans="1:26" ht="13">
      <c r="A1701" s="562" t="s">
        <v>4632</v>
      </c>
      <c r="B1701" s="563" t="s">
        <v>4633</v>
      </c>
      <c r="C1701" s="564" t="s">
        <v>1652</v>
      </c>
      <c r="D1701" s="565">
        <v>43976</v>
      </c>
      <c r="E1701" s="565">
        <v>43978</v>
      </c>
      <c r="F1701" s="566">
        <v>18774000</v>
      </c>
      <c r="G1701" s="564" t="s">
        <v>4261</v>
      </c>
      <c r="H1701" s="564" t="s">
        <v>4261</v>
      </c>
      <c r="I1701" s="564" t="s">
        <v>70</v>
      </c>
      <c r="J1701" s="564" t="s">
        <v>1069</v>
      </c>
      <c r="K1701" s="564" t="s">
        <v>1120</v>
      </c>
      <c r="L1701" s="564" t="s">
        <v>2098</v>
      </c>
      <c r="M1701" s="564" t="s">
        <v>2098</v>
      </c>
      <c r="N1701" s="564" t="s">
        <v>70</v>
      </c>
      <c r="O1701" s="564" t="s">
        <v>2099</v>
      </c>
      <c r="P1701" s="23"/>
      <c r="Q1701" s="23"/>
      <c r="R1701" s="23"/>
      <c r="S1701" s="23"/>
      <c r="T1701" s="23"/>
      <c r="U1701" s="23"/>
      <c r="V1701" s="23"/>
      <c r="W1701" s="23"/>
      <c r="X1701" s="23"/>
      <c r="Y1701" s="23"/>
      <c r="Z1701" s="23"/>
    </row>
    <row r="1702" spans="1:26" ht="13">
      <c r="A1702" s="562" t="s">
        <v>4634</v>
      </c>
      <c r="B1702" s="563" t="s">
        <v>4635</v>
      </c>
      <c r="C1702" s="564" t="s">
        <v>1475</v>
      </c>
      <c r="D1702" s="565">
        <v>43969</v>
      </c>
      <c r="E1702" s="565">
        <v>43982</v>
      </c>
      <c r="F1702" s="566">
        <v>3000000</v>
      </c>
      <c r="G1702" s="564" t="s">
        <v>1123</v>
      </c>
      <c r="H1702" s="564" t="s">
        <v>1123</v>
      </c>
      <c r="I1702" s="564" t="s">
        <v>1771</v>
      </c>
      <c r="J1702" s="564" t="s">
        <v>1069</v>
      </c>
      <c r="K1702" s="564" t="s">
        <v>1070</v>
      </c>
      <c r="L1702" s="564" t="s">
        <v>2098</v>
      </c>
      <c r="M1702" s="564" t="s">
        <v>2098</v>
      </c>
      <c r="N1702" s="564" t="s">
        <v>1082</v>
      </c>
      <c r="O1702" s="564" t="s">
        <v>2099</v>
      </c>
      <c r="P1702" s="23"/>
      <c r="Q1702" s="23"/>
      <c r="R1702" s="23"/>
      <c r="S1702" s="23"/>
      <c r="T1702" s="23"/>
      <c r="U1702" s="23"/>
      <c r="V1702" s="23"/>
      <c r="W1702" s="23"/>
      <c r="X1702" s="23"/>
      <c r="Y1702" s="23"/>
      <c r="Z1702" s="23"/>
    </row>
    <row r="1703" spans="1:26" ht="13">
      <c r="A1703" s="562" t="s">
        <v>4636</v>
      </c>
      <c r="B1703" s="563" t="s">
        <v>4637</v>
      </c>
      <c r="C1703" s="564" t="s">
        <v>1475</v>
      </c>
      <c r="D1703" s="565">
        <v>43965</v>
      </c>
      <c r="E1703" s="565">
        <v>44042</v>
      </c>
      <c r="F1703" s="566">
        <v>54550000</v>
      </c>
      <c r="G1703" s="564" t="s">
        <v>1025</v>
      </c>
      <c r="H1703" s="564" t="s">
        <v>1025</v>
      </c>
      <c r="I1703" s="564" t="s">
        <v>4401</v>
      </c>
      <c r="J1703" s="564" t="s">
        <v>1069</v>
      </c>
      <c r="K1703" s="564" t="s">
        <v>1070</v>
      </c>
      <c r="L1703" s="564" t="s">
        <v>2098</v>
      </c>
      <c r="M1703" s="564" t="s">
        <v>2098</v>
      </c>
      <c r="N1703" s="564" t="s">
        <v>1082</v>
      </c>
      <c r="O1703" s="564" t="s">
        <v>2099</v>
      </c>
      <c r="P1703" s="23"/>
      <c r="Q1703" s="23"/>
      <c r="R1703" s="23"/>
      <c r="S1703" s="23"/>
      <c r="T1703" s="23"/>
      <c r="U1703" s="23"/>
      <c r="V1703" s="23"/>
      <c r="W1703" s="23"/>
      <c r="X1703" s="23"/>
      <c r="Y1703" s="23"/>
      <c r="Z1703" s="23"/>
    </row>
    <row r="1704" spans="1:26" ht="13">
      <c r="A1704" s="562" t="s">
        <v>4638</v>
      </c>
      <c r="B1704" s="563" t="s">
        <v>4639</v>
      </c>
      <c r="C1704" s="564" t="s">
        <v>1652</v>
      </c>
      <c r="D1704" s="565">
        <v>43970</v>
      </c>
      <c r="E1704" s="565">
        <v>43977</v>
      </c>
      <c r="F1704" s="566">
        <v>4305000</v>
      </c>
      <c r="G1704" s="564" t="s">
        <v>4261</v>
      </c>
      <c r="H1704" s="564" t="s">
        <v>4261</v>
      </c>
      <c r="I1704" s="564" t="s">
        <v>70</v>
      </c>
      <c r="J1704" s="564" t="s">
        <v>1069</v>
      </c>
      <c r="K1704" s="564" t="s">
        <v>1120</v>
      </c>
      <c r="L1704" s="564" t="s">
        <v>2098</v>
      </c>
      <c r="M1704" s="564" t="s">
        <v>2098</v>
      </c>
      <c r="N1704" s="564" t="s">
        <v>70</v>
      </c>
      <c r="O1704" s="564" t="s">
        <v>2099</v>
      </c>
      <c r="P1704" s="23"/>
      <c r="Q1704" s="23"/>
      <c r="R1704" s="23"/>
      <c r="S1704" s="23"/>
      <c r="T1704" s="23"/>
      <c r="U1704" s="23"/>
      <c r="V1704" s="23"/>
      <c r="W1704" s="23"/>
      <c r="X1704" s="23"/>
      <c r="Y1704" s="23"/>
      <c r="Z1704" s="23"/>
    </row>
    <row r="1705" spans="1:26" ht="13">
      <c r="A1705" s="562" t="s">
        <v>4640</v>
      </c>
      <c r="B1705" s="563" t="s">
        <v>4641</v>
      </c>
      <c r="C1705" s="564" t="s">
        <v>1475</v>
      </c>
      <c r="D1705" s="565">
        <v>43966</v>
      </c>
      <c r="E1705" s="565">
        <v>43980</v>
      </c>
      <c r="F1705" s="566">
        <v>480000</v>
      </c>
      <c r="G1705" s="564" t="s">
        <v>1293</v>
      </c>
      <c r="H1705" s="564" t="s">
        <v>1293</v>
      </c>
      <c r="I1705" s="564" t="s">
        <v>1247</v>
      </c>
      <c r="J1705" s="564" t="s">
        <v>1069</v>
      </c>
      <c r="K1705" s="564" t="s">
        <v>1070</v>
      </c>
      <c r="L1705" s="564" t="s">
        <v>2098</v>
      </c>
      <c r="M1705" s="564" t="s">
        <v>2098</v>
      </c>
      <c r="N1705" s="564" t="s">
        <v>1073</v>
      </c>
      <c r="O1705" s="564" t="s">
        <v>2099</v>
      </c>
      <c r="P1705" s="23"/>
      <c r="Q1705" s="23"/>
      <c r="R1705" s="23"/>
      <c r="S1705" s="23"/>
      <c r="T1705" s="23"/>
      <c r="U1705" s="23"/>
      <c r="V1705" s="23"/>
      <c r="W1705" s="23"/>
      <c r="X1705" s="23"/>
      <c r="Y1705" s="23"/>
      <c r="Z1705" s="23"/>
    </row>
    <row r="1706" spans="1:26" ht="13">
      <c r="A1706" s="562" t="s">
        <v>4642</v>
      </c>
      <c r="B1706" s="563" t="s">
        <v>4643</v>
      </c>
      <c r="C1706" s="564" t="s">
        <v>1076</v>
      </c>
      <c r="D1706" s="565">
        <v>43965</v>
      </c>
      <c r="E1706" s="565">
        <v>44026</v>
      </c>
      <c r="F1706" s="566">
        <v>1987000</v>
      </c>
      <c r="G1706" s="564" t="s">
        <v>1077</v>
      </c>
      <c r="H1706" s="564" t="s">
        <v>1077</v>
      </c>
      <c r="I1706" s="564" t="s">
        <v>637</v>
      </c>
      <c r="J1706" s="564" t="s">
        <v>1069</v>
      </c>
      <c r="K1706" s="564" t="s">
        <v>1070</v>
      </c>
      <c r="L1706" s="564" t="s">
        <v>2098</v>
      </c>
      <c r="M1706" s="564" t="s">
        <v>2098</v>
      </c>
      <c r="N1706" s="564" t="s">
        <v>1082</v>
      </c>
      <c r="O1706" s="564" t="s">
        <v>2099</v>
      </c>
      <c r="P1706" s="23"/>
      <c r="Q1706" s="23"/>
      <c r="R1706" s="23"/>
      <c r="S1706" s="23"/>
      <c r="T1706" s="23"/>
      <c r="U1706" s="23"/>
      <c r="V1706" s="23"/>
      <c r="W1706" s="23"/>
      <c r="X1706" s="23"/>
      <c r="Y1706" s="23"/>
      <c r="Z1706" s="23"/>
    </row>
    <row r="1707" spans="1:26" ht="13">
      <c r="A1707" s="562" t="s">
        <v>4644</v>
      </c>
      <c r="B1707" s="563" t="s">
        <v>4645</v>
      </c>
      <c r="C1707" s="564" t="s">
        <v>1076</v>
      </c>
      <c r="D1707" s="565">
        <v>43964</v>
      </c>
      <c r="E1707" s="565">
        <v>44025</v>
      </c>
      <c r="F1707" s="566">
        <v>528000</v>
      </c>
      <c r="G1707" s="564" t="s">
        <v>1077</v>
      </c>
      <c r="H1707" s="564" t="s">
        <v>1077</v>
      </c>
      <c r="I1707" s="564" t="s">
        <v>637</v>
      </c>
      <c r="J1707" s="564" t="s">
        <v>1069</v>
      </c>
      <c r="K1707" s="564" t="s">
        <v>1070</v>
      </c>
      <c r="L1707" s="564" t="s">
        <v>2098</v>
      </c>
      <c r="M1707" s="564" t="s">
        <v>2098</v>
      </c>
      <c r="N1707" s="564" t="s">
        <v>1082</v>
      </c>
      <c r="O1707" s="564" t="s">
        <v>2099</v>
      </c>
      <c r="P1707" s="23"/>
      <c r="Q1707" s="23"/>
      <c r="R1707" s="23"/>
      <c r="S1707" s="23"/>
      <c r="T1707" s="23"/>
      <c r="U1707" s="23"/>
      <c r="V1707" s="23"/>
      <c r="W1707" s="23"/>
      <c r="X1707" s="23"/>
      <c r="Y1707" s="23"/>
      <c r="Z1707" s="23"/>
    </row>
    <row r="1708" spans="1:26" ht="13">
      <c r="A1708" s="562" t="s">
        <v>4646</v>
      </c>
      <c r="B1708" s="563" t="s">
        <v>4647</v>
      </c>
      <c r="C1708" s="564" t="s">
        <v>353</v>
      </c>
      <c r="D1708" s="565">
        <v>43964</v>
      </c>
      <c r="E1708" s="565">
        <v>43971</v>
      </c>
      <c r="F1708" s="566">
        <v>150700</v>
      </c>
      <c r="G1708" s="564" t="s">
        <v>297</v>
      </c>
      <c r="H1708" s="564" t="s">
        <v>297</v>
      </c>
      <c r="I1708" s="564" t="s">
        <v>1161</v>
      </c>
      <c r="J1708" s="564" t="s">
        <v>1069</v>
      </c>
      <c r="K1708" s="564" t="s">
        <v>1090</v>
      </c>
      <c r="L1708" s="564" t="s">
        <v>2098</v>
      </c>
      <c r="M1708" s="564" t="s">
        <v>2098</v>
      </c>
      <c r="N1708" s="564" t="s">
        <v>1073</v>
      </c>
      <c r="O1708" s="564" t="s">
        <v>2099</v>
      </c>
      <c r="P1708" s="23"/>
      <c r="Q1708" s="23"/>
      <c r="R1708" s="23"/>
      <c r="S1708" s="23"/>
      <c r="T1708" s="23"/>
      <c r="U1708" s="23"/>
      <c r="V1708" s="23"/>
      <c r="W1708" s="23"/>
      <c r="X1708" s="23"/>
      <c r="Y1708" s="23"/>
      <c r="Z1708" s="23"/>
    </row>
    <row r="1709" spans="1:26" ht="13">
      <c r="A1709" s="562" t="s">
        <v>4648</v>
      </c>
      <c r="B1709" s="563" t="s">
        <v>4649</v>
      </c>
      <c r="C1709" s="564" t="s">
        <v>1652</v>
      </c>
      <c r="D1709" s="565">
        <v>43962</v>
      </c>
      <c r="E1709" s="565">
        <v>43966</v>
      </c>
      <c r="F1709" s="566">
        <v>3820000</v>
      </c>
      <c r="G1709" s="564" t="s">
        <v>4261</v>
      </c>
      <c r="H1709" s="564" t="s">
        <v>4261</v>
      </c>
      <c r="I1709" s="564" t="s">
        <v>70</v>
      </c>
      <c r="J1709" s="564" t="s">
        <v>1069</v>
      </c>
      <c r="K1709" s="564" t="s">
        <v>1120</v>
      </c>
      <c r="L1709" s="564" t="s">
        <v>2098</v>
      </c>
      <c r="M1709" s="564" t="s">
        <v>2098</v>
      </c>
      <c r="N1709" s="564" t="s">
        <v>70</v>
      </c>
      <c r="O1709" s="564" t="s">
        <v>2099</v>
      </c>
      <c r="P1709" s="23"/>
      <c r="Q1709" s="23"/>
      <c r="R1709" s="23"/>
      <c r="S1709" s="23"/>
      <c r="T1709" s="23"/>
      <c r="U1709" s="23"/>
      <c r="V1709" s="23"/>
      <c r="W1709" s="23"/>
      <c r="X1709" s="23"/>
      <c r="Y1709" s="23"/>
      <c r="Z1709" s="23"/>
    </row>
    <row r="1710" spans="1:26" ht="13">
      <c r="A1710" s="562" t="s">
        <v>4650</v>
      </c>
      <c r="B1710" s="563" t="s">
        <v>4601</v>
      </c>
      <c r="C1710" s="564" t="s">
        <v>1076</v>
      </c>
      <c r="D1710" s="565">
        <v>43957</v>
      </c>
      <c r="E1710" s="565">
        <v>44043</v>
      </c>
      <c r="F1710" s="566">
        <v>1987000</v>
      </c>
      <c r="G1710" s="564" t="s">
        <v>1400</v>
      </c>
      <c r="H1710" s="564" t="s">
        <v>1400</v>
      </c>
      <c r="I1710" s="564" t="s">
        <v>637</v>
      </c>
      <c r="J1710" s="564" t="s">
        <v>1069</v>
      </c>
      <c r="K1710" s="564" t="s">
        <v>1070</v>
      </c>
      <c r="L1710" s="564" t="s">
        <v>2098</v>
      </c>
      <c r="M1710" s="564" t="s">
        <v>2098</v>
      </c>
      <c r="N1710" s="564" t="s">
        <v>1082</v>
      </c>
      <c r="O1710" s="564" t="s">
        <v>2099</v>
      </c>
      <c r="P1710" s="23"/>
      <c r="Q1710" s="23"/>
      <c r="R1710" s="23"/>
      <c r="S1710" s="23"/>
      <c r="T1710" s="23"/>
      <c r="U1710" s="23"/>
      <c r="V1710" s="23"/>
      <c r="W1710" s="23"/>
      <c r="X1710" s="23"/>
      <c r="Y1710" s="23"/>
      <c r="Z1710" s="23"/>
    </row>
    <row r="1711" spans="1:26" ht="13">
      <c r="A1711" s="562" t="s">
        <v>4651</v>
      </c>
      <c r="B1711" s="563" t="s">
        <v>4652</v>
      </c>
      <c r="C1711" s="564" t="s">
        <v>1652</v>
      </c>
      <c r="D1711" s="565">
        <v>43941</v>
      </c>
      <c r="E1711" s="565">
        <v>43983</v>
      </c>
      <c r="F1711" s="566">
        <v>32871818</v>
      </c>
      <c r="G1711" s="564" t="s">
        <v>1623</v>
      </c>
      <c r="H1711" s="564" t="s">
        <v>1623</v>
      </c>
      <c r="I1711" s="564" t="s">
        <v>802</v>
      </c>
      <c r="J1711" s="564" t="s">
        <v>1069</v>
      </c>
      <c r="K1711" s="564" t="s">
        <v>1198</v>
      </c>
      <c r="L1711" s="564" t="s">
        <v>2098</v>
      </c>
      <c r="M1711" s="564" t="s">
        <v>2098</v>
      </c>
      <c r="N1711" s="564" t="s">
        <v>132</v>
      </c>
      <c r="O1711" s="564" t="s">
        <v>2099</v>
      </c>
      <c r="P1711" s="23"/>
      <c r="Q1711" s="23"/>
      <c r="R1711" s="23"/>
      <c r="S1711" s="23"/>
      <c r="T1711" s="23"/>
      <c r="U1711" s="23"/>
      <c r="V1711" s="23"/>
      <c r="W1711" s="23"/>
      <c r="X1711" s="23"/>
      <c r="Y1711" s="23"/>
      <c r="Z1711" s="23"/>
    </row>
    <row r="1712" spans="1:26" ht="13">
      <c r="A1712" s="562" t="s">
        <v>4653</v>
      </c>
      <c r="B1712" s="563" t="s">
        <v>4654</v>
      </c>
      <c r="C1712" s="564" t="s">
        <v>1652</v>
      </c>
      <c r="D1712" s="565">
        <v>43941</v>
      </c>
      <c r="E1712" s="565">
        <v>43983</v>
      </c>
      <c r="F1712" s="566">
        <v>19877272</v>
      </c>
      <c r="G1712" s="564" t="s">
        <v>1623</v>
      </c>
      <c r="H1712" s="564" t="s">
        <v>1623</v>
      </c>
      <c r="I1712" s="564" t="s">
        <v>802</v>
      </c>
      <c r="J1712" s="564" t="s">
        <v>1069</v>
      </c>
      <c r="K1712" s="564" t="s">
        <v>1198</v>
      </c>
      <c r="L1712" s="564" t="s">
        <v>2098</v>
      </c>
      <c r="M1712" s="564" t="s">
        <v>2098</v>
      </c>
      <c r="N1712" s="564" t="s">
        <v>132</v>
      </c>
      <c r="O1712" s="564" t="s">
        <v>2099</v>
      </c>
      <c r="P1712" s="23"/>
      <c r="Q1712" s="23"/>
      <c r="R1712" s="23"/>
      <c r="S1712" s="23"/>
      <c r="T1712" s="23"/>
      <c r="U1712" s="23"/>
      <c r="V1712" s="23"/>
      <c r="W1712" s="23"/>
      <c r="X1712" s="23"/>
      <c r="Y1712" s="23"/>
      <c r="Z1712" s="23"/>
    </row>
    <row r="1713" spans="1:26" ht="13">
      <c r="A1713" s="562" t="s">
        <v>4655</v>
      </c>
      <c r="B1713" s="563" t="s">
        <v>4656</v>
      </c>
      <c r="C1713" s="564" t="s">
        <v>1076</v>
      </c>
      <c r="D1713" s="565">
        <v>43942</v>
      </c>
      <c r="E1713" s="565">
        <v>44012</v>
      </c>
      <c r="F1713" s="566">
        <v>528000</v>
      </c>
      <c r="G1713" s="564" t="s">
        <v>1400</v>
      </c>
      <c r="H1713" s="564" t="s">
        <v>1400</v>
      </c>
      <c r="I1713" s="564" t="s">
        <v>637</v>
      </c>
      <c r="J1713" s="564" t="s">
        <v>1069</v>
      </c>
      <c r="K1713" s="564" t="s">
        <v>1070</v>
      </c>
      <c r="L1713" s="564" t="s">
        <v>2098</v>
      </c>
      <c r="M1713" s="564" t="s">
        <v>2098</v>
      </c>
      <c r="N1713" s="564" t="s">
        <v>1082</v>
      </c>
      <c r="O1713" s="564" t="s">
        <v>2099</v>
      </c>
      <c r="P1713" s="23"/>
      <c r="Q1713" s="23"/>
      <c r="R1713" s="23"/>
      <c r="S1713" s="23"/>
      <c r="T1713" s="23"/>
      <c r="U1713" s="23"/>
      <c r="V1713" s="23"/>
      <c r="W1713" s="23"/>
      <c r="X1713" s="23"/>
      <c r="Y1713" s="23"/>
      <c r="Z1713" s="23"/>
    </row>
    <row r="1714" spans="1:26" ht="13">
      <c r="A1714" s="562" t="s">
        <v>4657</v>
      </c>
      <c r="B1714" s="563" t="s">
        <v>4658</v>
      </c>
      <c r="C1714" s="564" t="s">
        <v>1652</v>
      </c>
      <c r="D1714" s="565">
        <v>43941</v>
      </c>
      <c r="E1714" s="565">
        <v>43983</v>
      </c>
      <c r="F1714" s="566">
        <v>81181818</v>
      </c>
      <c r="G1714" s="564" t="s">
        <v>1623</v>
      </c>
      <c r="H1714" s="564" t="s">
        <v>1623</v>
      </c>
      <c r="I1714" s="564" t="s">
        <v>802</v>
      </c>
      <c r="J1714" s="564" t="s">
        <v>1069</v>
      </c>
      <c r="K1714" s="564" t="s">
        <v>1198</v>
      </c>
      <c r="L1714" s="564" t="s">
        <v>2098</v>
      </c>
      <c r="M1714" s="564" t="s">
        <v>2098</v>
      </c>
      <c r="N1714" s="564" t="s">
        <v>132</v>
      </c>
      <c r="O1714" s="564" t="s">
        <v>2099</v>
      </c>
      <c r="P1714" s="23"/>
      <c r="Q1714" s="23"/>
      <c r="R1714" s="23"/>
      <c r="S1714" s="23"/>
      <c r="T1714" s="23"/>
      <c r="U1714" s="23"/>
      <c r="V1714" s="23"/>
      <c r="W1714" s="23"/>
      <c r="X1714" s="23"/>
      <c r="Y1714" s="23"/>
      <c r="Z1714" s="23"/>
    </row>
    <row r="1715" spans="1:26" ht="13">
      <c r="A1715" s="562" t="s">
        <v>4659</v>
      </c>
      <c r="B1715" s="563" t="s">
        <v>4660</v>
      </c>
      <c r="C1715" s="564" t="s">
        <v>1652</v>
      </c>
      <c r="D1715" s="565">
        <v>43935</v>
      </c>
      <c r="E1715" s="565">
        <v>43977</v>
      </c>
      <c r="F1715" s="566">
        <v>39705456</v>
      </c>
      <c r="G1715" s="564" t="s">
        <v>1623</v>
      </c>
      <c r="H1715" s="564" t="s">
        <v>1623</v>
      </c>
      <c r="I1715" s="564" t="s">
        <v>802</v>
      </c>
      <c r="J1715" s="564" t="s">
        <v>1069</v>
      </c>
      <c r="K1715" s="564" t="s">
        <v>1198</v>
      </c>
      <c r="L1715" s="564" t="s">
        <v>2098</v>
      </c>
      <c r="M1715" s="564" t="s">
        <v>2098</v>
      </c>
      <c r="N1715" s="564" t="s">
        <v>132</v>
      </c>
      <c r="O1715" s="564" t="s">
        <v>2099</v>
      </c>
      <c r="P1715" s="23"/>
      <c r="Q1715" s="23"/>
      <c r="R1715" s="23"/>
      <c r="S1715" s="23"/>
      <c r="T1715" s="23"/>
      <c r="U1715" s="23"/>
      <c r="V1715" s="23"/>
      <c r="W1715" s="23"/>
      <c r="X1715" s="23"/>
      <c r="Y1715" s="23"/>
      <c r="Z1715" s="23"/>
    </row>
    <row r="1716" spans="1:26" ht="13">
      <c r="A1716" s="562" t="s">
        <v>4661</v>
      </c>
      <c r="B1716" s="563" t="s">
        <v>4662</v>
      </c>
      <c r="C1716" s="564" t="s">
        <v>353</v>
      </c>
      <c r="D1716" s="565">
        <v>43942</v>
      </c>
      <c r="E1716" s="565">
        <v>43949</v>
      </c>
      <c r="F1716" s="566">
        <v>456000</v>
      </c>
      <c r="G1716" s="564" t="s">
        <v>297</v>
      </c>
      <c r="H1716" s="564" t="s">
        <v>297</v>
      </c>
      <c r="I1716" s="564" t="s">
        <v>64</v>
      </c>
      <c r="J1716" s="564" t="s">
        <v>1069</v>
      </c>
      <c r="K1716" s="564" t="s">
        <v>1090</v>
      </c>
      <c r="L1716" s="564" t="s">
        <v>2098</v>
      </c>
      <c r="M1716" s="564" t="s">
        <v>2098</v>
      </c>
      <c r="N1716" s="564" t="s">
        <v>64</v>
      </c>
      <c r="O1716" s="564" t="s">
        <v>2099</v>
      </c>
      <c r="P1716" s="23"/>
      <c r="Q1716" s="23"/>
      <c r="R1716" s="23"/>
      <c r="S1716" s="23"/>
      <c r="T1716" s="23"/>
      <c r="U1716" s="23"/>
      <c r="V1716" s="23"/>
      <c r="W1716" s="23"/>
      <c r="X1716" s="23"/>
      <c r="Y1716" s="23"/>
      <c r="Z1716" s="23"/>
    </row>
    <row r="1717" spans="1:26" ht="13">
      <c r="A1717" s="562" t="s">
        <v>4663</v>
      </c>
      <c r="B1717" s="563" t="s">
        <v>4664</v>
      </c>
      <c r="C1717" s="564" t="s">
        <v>1076</v>
      </c>
      <c r="D1717" s="565">
        <v>43935</v>
      </c>
      <c r="E1717" s="565">
        <v>44012</v>
      </c>
      <c r="F1717" s="566">
        <v>1987000</v>
      </c>
      <c r="G1717" s="564" t="s">
        <v>1400</v>
      </c>
      <c r="H1717" s="564" t="s">
        <v>1400</v>
      </c>
      <c r="I1717" s="564" t="s">
        <v>637</v>
      </c>
      <c r="J1717" s="564" t="s">
        <v>1069</v>
      </c>
      <c r="K1717" s="564" t="s">
        <v>1070</v>
      </c>
      <c r="L1717" s="564" t="s">
        <v>2098</v>
      </c>
      <c r="M1717" s="564" t="s">
        <v>2098</v>
      </c>
      <c r="N1717" s="564" t="s">
        <v>1082</v>
      </c>
      <c r="O1717" s="564" t="s">
        <v>2099</v>
      </c>
      <c r="P1717" s="23"/>
      <c r="Q1717" s="23"/>
      <c r="R1717" s="23"/>
      <c r="S1717" s="23"/>
      <c r="T1717" s="23"/>
      <c r="U1717" s="23"/>
      <c r="V1717" s="23"/>
      <c r="W1717" s="23"/>
      <c r="X1717" s="23"/>
      <c r="Y1717" s="23"/>
      <c r="Z1717" s="23"/>
    </row>
    <row r="1718" spans="1:26" ht="13">
      <c r="A1718" s="562" t="s">
        <v>4665</v>
      </c>
      <c r="B1718" s="563" t="s">
        <v>4666</v>
      </c>
      <c r="C1718" s="564" t="s">
        <v>1652</v>
      </c>
      <c r="D1718" s="565">
        <v>43930</v>
      </c>
      <c r="E1718" s="565">
        <v>43941</v>
      </c>
      <c r="F1718" s="566">
        <v>995500</v>
      </c>
      <c r="G1718" s="564" t="s">
        <v>1623</v>
      </c>
      <c r="H1718" s="564" t="s">
        <v>1623</v>
      </c>
      <c r="I1718" s="564" t="s">
        <v>1746</v>
      </c>
      <c r="J1718" s="564" t="s">
        <v>1069</v>
      </c>
      <c r="K1718" s="564" t="s">
        <v>1198</v>
      </c>
      <c r="L1718" s="564" t="s">
        <v>2098</v>
      </c>
      <c r="M1718" s="564" t="s">
        <v>2098</v>
      </c>
      <c r="N1718" s="564" t="s">
        <v>1073</v>
      </c>
      <c r="O1718" s="564" t="s">
        <v>2099</v>
      </c>
      <c r="P1718" s="23"/>
      <c r="Q1718" s="23"/>
      <c r="R1718" s="23"/>
      <c r="S1718" s="23"/>
      <c r="T1718" s="23"/>
      <c r="U1718" s="23"/>
      <c r="V1718" s="23"/>
      <c r="W1718" s="23"/>
      <c r="X1718" s="23"/>
      <c r="Y1718" s="23"/>
      <c r="Z1718" s="23"/>
    </row>
    <row r="1719" spans="1:26" ht="13">
      <c r="A1719" s="562" t="s">
        <v>4667</v>
      </c>
      <c r="B1719" s="563" t="s">
        <v>4666</v>
      </c>
      <c r="C1719" s="564" t="s">
        <v>3378</v>
      </c>
      <c r="D1719" s="565">
        <v>43930</v>
      </c>
      <c r="E1719" s="565">
        <v>43938</v>
      </c>
      <c r="F1719" s="566">
        <v>905000</v>
      </c>
      <c r="G1719" s="564" t="s">
        <v>1623</v>
      </c>
      <c r="H1719" s="564" t="s">
        <v>1623</v>
      </c>
      <c r="I1719" s="564" t="s">
        <v>1746</v>
      </c>
      <c r="J1719" s="564" t="s">
        <v>1069</v>
      </c>
      <c r="K1719" s="564" t="s">
        <v>1198</v>
      </c>
      <c r="L1719" s="564" t="s">
        <v>2098</v>
      </c>
      <c r="M1719" s="564" t="s">
        <v>2098</v>
      </c>
      <c r="N1719" s="564" t="s">
        <v>1073</v>
      </c>
      <c r="O1719" s="564" t="s">
        <v>2099</v>
      </c>
      <c r="P1719" s="23"/>
      <c r="Q1719" s="23"/>
      <c r="R1719" s="23"/>
      <c r="S1719" s="23"/>
      <c r="T1719" s="23"/>
      <c r="U1719" s="23"/>
      <c r="V1719" s="23"/>
      <c r="W1719" s="23"/>
      <c r="X1719" s="23"/>
      <c r="Y1719" s="23"/>
      <c r="Z1719" s="23"/>
    </row>
    <row r="1720" spans="1:26" ht="13">
      <c r="A1720" s="562" t="s">
        <v>4668</v>
      </c>
      <c r="B1720" s="563" t="s">
        <v>4669</v>
      </c>
      <c r="C1720" s="564" t="s">
        <v>1076</v>
      </c>
      <c r="D1720" s="565">
        <v>43928</v>
      </c>
      <c r="E1720" s="565">
        <v>44012</v>
      </c>
      <c r="F1720" s="566">
        <v>528000</v>
      </c>
      <c r="G1720" s="564" t="s">
        <v>1400</v>
      </c>
      <c r="H1720" s="564" t="s">
        <v>1400</v>
      </c>
      <c r="I1720" s="564" t="s">
        <v>637</v>
      </c>
      <c r="J1720" s="564" t="s">
        <v>1069</v>
      </c>
      <c r="K1720" s="564" t="s">
        <v>1070</v>
      </c>
      <c r="L1720" s="564" t="s">
        <v>2098</v>
      </c>
      <c r="M1720" s="564" t="s">
        <v>2098</v>
      </c>
      <c r="N1720" s="564" t="s">
        <v>1082</v>
      </c>
      <c r="O1720" s="564" t="s">
        <v>2099</v>
      </c>
      <c r="P1720" s="23"/>
      <c r="Q1720" s="23"/>
      <c r="R1720" s="23"/>
      <c r="S1720" s="23"/>
      <c r="T1720" s="23"/>
      <c r="U1720" s="23"/>
      <c r="V1720" s="23"/>
      <c r="W1720" s="23"/>
      <c r="X1720" s="23"/>
      <c r="Y1720" s="23"/>
      <c r="Z1720" s="23"/>
    </row>
    <row r="1721" spans="1:26" ht="13">
      <c r="A1721" s="562" t="s">
        <v>4670</v>
      </c>
      <c r="B1721" s="563" t="s">
        <v>4671</v>
      </c>
      <c r="C1721" s="564" t="s">
        <v>1652</v>
      </c>
      <c r="D1721" s="565">
        <v>43924</v>
      </c>
      <c r="E1721" s="565">
        <v>43931</v>
      </c>
      <c r="F1721" s="566">
        <v>3840000</v>
      </c>
      <c r="G1721" s="564" t="s">
        <v>1941</v>
      </c>
      <c r="H1721" s="564" t="s">
        <v>1941</v>
      </c>
      <c r="I1721" s="564" t="s">
        <v>70</v>
      </c>
      <c r="J1721" s="564" t="s">
        <v>1069</v>
      </c>
      <c r="K1721" s="564" t="s">
        <v>1120</v>
      </c>
      <c r="L1721" s="564" t="s">
        <v>2098</v>
      </c>
      <c r="M1721" s="564" t="s">
        <v>2098</v>
      </c>
      <c r="N1721" s="564" t="s">
        <v>70</v>
      </c>
      <c r="O1721" s="564" t="s">
        <v>2099</v>
      </c>
      <c r="P1721" s="23"/>
      <c r="Q1721" s="23"/>
      <c r="R1721" s="23"/>
      <c r="S1721" s="23"/>
      <c r="T1721" s="23"/>
      <c r="U1721" s="23"/>
      <c r="V1721" s="23"/>
      <c r="W1721" s="23"/>
      <c r="X1721" s="23"/>
      <c r="Y1721" s="23"/>
      <c r="Z1721" s="23"/>
    </row>
    <row r="1722" spans="1:26" ht="13">
      <c r="A1722" s="562" t="s">
        <v>4672</v>
      </c>
      <c r="B1722" s="563" t="s">
        <v>4673</v>
      </c>
      <c r="C1722" s="564" t="s">
        <v>1076</v>
      </c>
      <c r="D1722" s="565">
        <v>43922</v>
      </c>
      <c r="E1722" s="565">
        <v>44012</v>
      </c>
      <c r="F1722" s="566">
        <v>795000</v>
      </c>
      <c r="G1722" s="564" t="s">
        <v>1400</v>
      </c>
      <c r="H1722" s="564" t="s">
        <v>1400</v>
      </c>
      <c r="I1722" s="564" t="s">
        <v>637</v>
      </c>
      <c r="J1722" s="564" t="s">
        <v>1069</v>
      </c>
      <c r="K1722" s="564" t="s">
        <v>1070</v>
      </c>
      <c r="L1722" s="564" t="s">
        <v>2098</v>
      </c>
      <c r="M1722" s="564" t="s">
        <v>2098</v>
      </c>
      <c r="N1722" s="564" t="s">
        <v>1082</v>
      </c>
      <c r="O1722" s="564" t="s">
        <v>2099</v>
      </c>
      <c r="P1722" s="23"/>
      <c r="Q1722" s="23"/>
      <c r="R1722" s="23"/>
      <c r="S1722" s="23"/>
      <c r="T1722" s="23"/>
      <c r="U1722" s="23"/>
      <c r="V1722" s="23"/>
      <c r="W1722" s="23"/>
      <c r="X1722" s="23"/>
      <c r="Y1722" s="23"/>
      <c r="Z1722" s="23"/>
    </row>
    <row r="1723" spans="1:26" ht="13">
      <c r="A1723" s="562" t="s">
        <v>4674</v>
      </c>
      <c r="B1723" s="563" t="s">
        <v>4675</v>
      </c>
      <c r="C1723" s="564" t="s">
        <v>1076</v>
      </c>
      <c r="D1723" s="565">
        <v>43921</v>
      </c>
      <c r="E1723" s="565">
        <v>44012</v>
      </c>
      <c r="F1723" s="566">
        <v>5568000</v>
      </c>
      <c r="G1723" s="564" t="s">
        <v>1400</v>
      </c>
      <c r="H1723" s="564" t="s">
        <v>1400</v>
      </c>
      <c r="I1723" s="564" t="s">
        <v>637</v>
      </c>
      <c r="J1723" s="564" t="s">
        <v>1069</v>
      </c>
      <c r="K1723" s="564" t="s">
        <v>1070</v>
      </c>
      <c r="L1723" s="564" t="s">
        <v>2098</v>
      </c>
      <c r="M1723" s="564" t="s">
        <v>2098</v>
      </c>
      <c r="N1723" s="564" t="s">
        <v>1082</v>
      </c>
      <c r="O1723" s="564" t="s">
        <v>2099</v>
      </c>
      <c r="P1723" s="23"/>
      <c r="Q1723" s="23"/>
      <c r="R1723" s="23"/>
      <c r="S1723" s="23"/>
      <c r="T1723" s="23"/>
      <c r="U1723" s="23"/>
      <c r="V1723" s="23"/>
      <c r="W1723" s="23"/>
      <c r="X1723" s="23"/>
      <c r="Y1723" s="23"/>
      <c r="Z1723" s="23"/>
    </row>
    <row r="1724" spans="1:26" ht="13">
      <c r="A1724" s="562" t="s">
        <v>4676</v>
      </c>
      <c r="B1724" s="563" t="s">
        <v>4677</v>
      </c>
      <c r="C1724" s="564" t="s">
        <v>1076</v>
      </c>
      <c r="D1724" s="565">
        <v>43922</v>
      </c>
      <c r="E1724" s="565">
        <v>44012</v>
      </c>
      <c r="F1724" s="566">
        <v>1729000</v>
      </c>
      <c r="G1724" s="564" t="s">
        <v>1400</v>
      </c>
      <c r="H1724" s="564" t="s">
        <v>1400</v>
      </c>
      <c r="I1724" s="564" t="s">
        <v>637</v>
      </c>
      <c r="J1724" s="564" t="s">
        <v>1069</v>
      </c>
      <c r="K1724" s="564" t="s">
        <v>1070</v>
      </c>
      <c r="L1724" s="564" t="s">
        <v>2098</v>
      </c>
      <c r="M1724" s="564" t="s">
        <v>2098</v>
      </c>
      <c r="N1724" s="564" t="s">
        <v>1082</v>
      </c>
      <c r="O1724" s="564" t="s">
        <v>2099</v>
      </c>
      <c r="P1724" s="23"/>
      <c r="Q1724" s="23"/>
      <c r="R1724" s="23"/>
      <c r="S1724" s="23"/>
      <c r="T1724" s="23"/>
      <c r="U1724" s="23"/>
      <c r="V1724" s="23"/>
      <c r="W1724" s="23"/>
      <c r="X1724" s="23"/>
      <c r="Y1724" s="23"/>
      <c r="Z1724" s="23"/>
    </row>
    <row r="1725" spans="1:26" ht="13">
      <c r="A1725" s="562" t="s">
        <v>4678</v>
      </c>
      <c r="B1725" s="563" t="s">
        <v>4679</v>
      </c>
      <c r="C1725" s="564" t="s">
        <v>1652</v>
      </c>
      <c r="D1725" s="565">
        <v>43922</v>
      </c>
      <c r="E1725" s="565">
        <v>43931</v>
      </c>
      <c r="F1725" s="566">
        <v>2560000</v>
      </c>
      <c r="G1725" s="564" t="s">
        <v>1941</v>
      </c>
      <c r="H1725" s="564" t="s">
        <v>1941</v>
      </c>
      <c r="I1725" s="564" t="s">
        <v>70</v>
      </c>
      <c r="J1725" s="564" t="s">
        <v>1069</v>
      </c>
      <c r="K1725" s="564" t="s">
        <v>1120</v>
      </c>
      <c r="L1725" s="564" t="s">
        <v>2098</v>
      </c>
      <c r="M1725" s="564" t="s">
        <v>2098</v>
      </c>
      <c r="N1725" s="564" t="s">
        <v>70</v>
      </c>
      <c r="O1725" s="564" t="s">
        <v>2099</v>
      </c>
      <c r="P1725" s="23"/>
      <c r="Q1725" s="23"/>
      <c r="R1725" s="23"/>
      <c r="S1725" s="23"/>
      <c r="T1725" s="23"/>
      <c r="U1725" s="23"/>
      <c r="V1725" s="23"/>
      <c r="W1725" s="23"/>
      <c r="X1725" s="23"/>
      <c r="Y1725" s="23"/>
      <c r="Z1725" s="23"/>
    </row>
    <row r="1726" spans="1:26" ht="13">
      <c r="A1726" s="562" t="s">
        <v>4680</v>
      </c>
      <c r="B1726" s="563" t="s">
        <v>4681</v>
      </c>
      <c r="C1726" s="564" t="s">
        <v>1652</v>
      </c>
      <c r="D1726" s="565">
        <v>43920</v>
      </c>
      <c r="E1726" s="565">
        <v>43950</v>
      </c>
      <c r="F1726" s="566">
        <v>44000</v>
      </c>
      <c r="G1726" s="564" t="s">
        <v>1623</v>
      </c>
      <c r="H1726" s="564" t="s">
        <v>1623</v>
      </c>
      <c r="I1726" s="564" t="s">
        <v>802</v>
      </c>
      <c r="J1726" s="564" t="s">
        <v>1069</v>
      </c>
      <c r="K1726" s="564" t="s">
        <v>1198</v>
      </c>
      <c r="L1726" s="564" t="s">
        <v>2098</v>
      </c>
      <c r="M1726" s="564" t="s">
        <v>2098</v>
      </c>
      <c r="N1726" s="564" t="s">
        <v>132</v>
      </c>
      <c r="O1726" s="564" t="s">
        <v>2099</v>
      </c>
      <c r="P1726" s="23"/>
      <c r="Q1726" s="23"/>
      <c r="R1726" s="23"/>
      <c r="S1726" s="23"/>
      <c r="T1726" s="23"/>
      <c r="U1726" s="23"/>
      <c r="V1726" s="23"/>
      <c r="W1726" s="23"/>
      <c r="X1726" s="23"/>
      <c r="Y1726" s="23"/>
      <c r="Z1726" s="23"/>
    </row>
    <row r="1727" spans="1:26" ht="13">
      <c r="A1727" s="562" t="s">
        <v>4682</v>
      </c>
      <c r="B1727" s="563" t="s">
        <v>4683</v>
      </c>
      <c r="C1727" s="564" t="s">
        <v>1370</v>
      </c>
      <c r="D1727" s="565">
        <v>43920</v>
      </c>
      <c r="E1727" s="565">
        <v>43950</v>
      </c>
      <c r="F1727" s="566">
        <v>89500</v>
      </c>
      <c r="G1727" s="564" t="s">
        <v>1623</v>
      </c>
      <c r="H1727" s="564" t="s">
        <v>1623</v>
      </c>
      <c r="I1727" s="564" t="s">
        <v>802</v>
      </c>
      <c r="J1727" s="564" t="s">
        <v>1069</v>
      </c>
      <c r="K1727" s="564" t="s">
        <v>1198</v>
      </c>
      <c r="L1727" s="564" t="s">
        <v>2098</v>
      </c>
      <c r="M1727" s="564" t="s">
        <v>2098</v>
      </c>
      <c r="N1727" s="564" t="s">
        <v>132</v>
      </c>
      <c r="O1727" s="564" t="s">
        <v>2099</v>
      </c>
      <c r="P1727" s="23"/>
      <c r="Q1727" s="23"/>
      <c r="R1727" s="23"/>
      <c r="S1727" s="23"/>
      <c r="T1727" s="23"/>
      <c r="U1727" s="23"/>
      <c r="V1727" s="23"/>
      <c r="W1727" s="23"/>
      <c r="X1727" s="23"/>
      <c r="Y1727" s="23"/>
      <c r="Z1727" s="23"/>
    </row>
    <row r="1728" spans="1:26" ht="13">
      <c r="A1728" s="562" t="s">
        <v>4684</v>
      </c>
      <c r="B1728" s="563" t="s">
        <v>4685</v>
      </c>
      <c r="C1728" s="564" t="s">
        <v>1652</v>
      </c>
      <c r="D1728" s="565">
        <v>43920</v>
      </c>
      <c r="E1728" s="565">
        <v>43950</v>
      </c>
      <c r="F1728" s="566">
        <v>14818182</v>
      </c>
      <c r="G1728" s="564" t="s">
        <v>1623</v>
      </c>
      <c r="H1728" s="564" t="s">
        <v>1623</v>
      </c>
      <c r="I1728" s="564" t="s">
        <v>802</v>
      </c>
      <c r="J1728" s="564" t="s">
        <v>1069</v>
      </c>
      <c r="K1728" s="564" t="s">
        <v>1198</v>
      </c>
      <c r="L1728" s="564" t="s">
        <v>2098</v>
      </c>
      <c r="M1728" s="564" t="s">
        <v>2098</v>
      </c>
      <c r="N1728" s="564" t="s">
        <v>132</v>
      </c>
      <c r="O1728" s="564" t="s">
        <v>2099</v>
      </c>
      <c r="P1728" s="23"/>
      <c r="Q1728" s="23"/>
      <c r="R1728" s="23"/>
      <c r="S1728" s="23"/>
      <c r="T1728" s="23"/>
      <c r="U1728" s="23"/>
      <c r="V1728" s="23"/>
      <c r="W1728" s="23"/>
      <c r="X1728" s="23"/>
      <c r="Y1728" s="23"/>
      <c r="Z1728" s="23"/>
    </row>
    <row r="1729" spans="1:26" ht="13">
      <c r="A1729" s="562" t="s">
        <v>4686</v>
      </c>
      <c r="B1729" s="563" t="s">
        <v>4687</v>
      </c>
      <c r="C1729" s="564" t="s">
        <v>1076</v>
      </c>
      <c r="D1729" s="565">
        <v>43915</v>
      </c>
      <c r="E1729" s="565">
        <v>43980</v>
      </c>
      <c r="F1729" s="566">
        <v>4500000</v>
      </c>
      <c r="G1729" s="564" t="s">
        <v>1400</v>
      </c>
      <c r="H1729" s="564" t="s">
        <v>1400</v>
      </c>
      <c r="I1729" s="564" t="s">
        <v>637</v>
      </c>
      <c r="J1729" s="564" t="s">
        <v>1069</v>
      </c>
      <c r="K1729" s="564" t="s">
        <v>1070</v>
      </c>
      <c r="L1729" s="564" t="s">
        <v>2098</v>
      </c>
      <c r="M1729" s="564" t="s">
        <v>2098</v>
      </c>
      <c r="N1729" s="564" t="s">
        <v>1082</v>
      </c>
      <c r="O1729" s="564" t="s">
        <v>2099</v>
      </c>
      <c r="P1729" s="23"/>
      <c r="Q1729" s="23"/>
      <c r="R1729" s="23"/>
      <c r="S1729" s="23"/>
      <c r="T1729" s="23"/>
      <c r="U1729" s="23"/>
      <c r="V1729" s="23"/>
      <c r="W1729" s="23"/>
      <c r="X1729" s="23"/>
      <c r="Y1729" s="23"/>
      <c r="Z1729" s="23"/>
    </row>
    <row r="1730" spans="1:26" ht="13">
      <c r="A1730" s="562" t="s">
        <v>4688</v>
      </c>
      <c r="B1730" s="563" t="s">
        <v>4679</v>
      </c>
      <c r="C1730" s="564" t="s">
        <v>1652</v>
      </c>
      <c r="D1730" s="565">
        <v>43915</v>
      </c>
      <c r="E1730" s="565">
        <v>43924</v>
      </c>
      <c r="F1730" s="566">
        <v>1280000</v>
      </c>
      <c r="G1730" s="564" t="s">
        <v>1941</v>
      </c>
      <c r="H1730" s="564" t="s">
        <v>1941</v>
      </c>
      <c r="I1730" s="564" t="s">
        <v>70</v>
      </c>
      <c r="J1730" s="564" t="s">
        <v>1069</v>
      </c>
      <c r="K1730" s="564" t="s">
        <v>1120</v>
      </c>
      <c r="L1730" s="564" t="s">
        <v>2098</v>
      </c>
      <c r="M1730" s="564" t="s">
        <v>2098</v>
      </c>
      <c r="N1730" s="564" t="s">
        <v>70</v>
      </c>
      <c r="O1730" s="564" t="s">
        <v>2099</v>
      </c>
      <c r="P1730" s="23"/>
      <c r="Q1730" s="23"/>
      <c r="R1730" s="23"/>
      <c r="S1730" s="23"/>
      <c r="T1730" s="23"/>
      <c r="U1730" s="23"/>
      <c r="V1730" s="23"/>
      <c r="W1730" s="23"/>
      <c r="X1730" s="23"/>
      <c r="Y1730" s="23"/>
      <c r="Z1730" s="23"/>
    </row>
    <row r="1731" spans="1:26" ht="13">
      <c r="A1731" s="562" t="s">
        <v>4689</v>
      </c>
      <c r="B1731" s="563" t="s">
        <v>4690</v>
      </c>
      <c r="C1731" s="564" t="s">
        <v>1076</v>
      </c>
      <c r="D1731" s="565">
        <v>43914</v>
      </c>
      <c r="E1731" s="565">
        <v>43980</v>
      </c>
      <c r="F1731" s="566">
        <v>528000</v>
      </c>
      <c r="G1731" s="564" t="s">
        <v>1400</v>
      </c>
      <c r="H1731" s="564" t="s">
        <v>1400</v>
      </c>
      <c r="I1731" s="564" t="s">
        <v>637</v>
      </c>
      <c r="J1731" s="564" t="s">
        <v>1069</v>
      </c>
      <c r="K1731" s="564" t="s">
        <v>1070</v>
      </c>
      <c r="L1731" s="564" t="s">
        <v>2098</v>
      </c>
      <c r="M1731" s="564" t="s">
        <v>2098</v>
      </c>
      <c r="N1731" s="564" t="s">
        <v>1082</v>
      </c>
      <c r="O1731" s="564" t="s">
        <v>2099</v>
      </c>
      <c r="P1731" s="23"/>
      <c r="Q1731" s="23"/>
      <c r="R1731" s="23"/>
      <c r="S1731" s="23"/>
      <c r="T1731" s="23"/>
      <c r="U1731" s="23"/>
      <c r="V1731" s="23"/>
      <c r="W1731" s="23"/>
      <c r="X1731" s="23"/>
      <c r="Y1731" s="23"/>
      <c r="Z1731" s="23"/>
    </row>
    <row r="1732" spans="1:26" ht="13">
      <c r="A1732" s="562" t="s">
        <v>4691</v>
      </c>
      <c r="B1732" s="563" t="s">
        <v>4692</v>
      </c>
      <c r="C1732" s="564" t="s">
        <v>353</v>
      </c>
      <c r="D1732" s="565">
        <v>43908</v>
      </c>
      <c r="E1732" s="565">
        <v>43921</v>
      </c>
      <c r="F1732" s="566">
        <v>912000</v>
      </c>
      <c r="G1732" s="564" t="s">
        <v>297</v>
      </c>
      <c r="H1732" s="564" t="s">
        <v>297</v>
      </c>
      <c r="I1732" s="564" t="s">
        <v>64</v>
      </c>
      <c r="J1732" s="564" t="s">
        <v>1069</v>
      </c>
      <c r="K1732" s="564" t="s">
        <v>1090</v>
      </c>
      <c r="L1732" s="564" t="s">
        <v>2098</v>
      </c>
      <c r="M1732" s="564" t="s">
        <v>2098</v>
      </c>
      <c r="N1732" s="564" t="s">
        <v>64</v>
      </c>
      <c r="O1732" s="564" t="s">
        <v>2099</v>
      </c>
      <c r="P1732" s="23"/>
      <c r="Q1732" s="23"/>
      <c r="R1732" s="23"/>
      <c r="S1732" s="23"/>
      <c r="T1732" s="23"/>
      <c r="U1732" s="23"/>
      <c r="V1732" s="23"/>
      <c r="W1732" s="23"/>
      <c r="X1732" s="23"/>
      <c r="Y1732" s="23"/>
      <c r="Z1732" s="23"/>
    </row>
    <row r="1733" spans="1:26" ht="13">
      <c r="A1733" s="562" t="s">
        <v>4693</v>
      </c>
      <c r="B1733" s="563" t="s">
        <v>4694</v>
      </c>
      <c r="C1733" s="564" t="s">
        <v>1652</v>
      </c>
      <c r="D1733" s="565">
        <v>43910</v>
      </c>
      <c r="E1733" s="565">
        <v>43914</v>
      </c>
      <c r="F1733" s="566">
        <v>1330000</v>
      </c>
      <c r="G1733" s="564" t="s">
        <v>1941</v>
      </c>
      <c r="H1733" s="564" t="s">
        <v>1941</v>
      </c>
      <c r="I1733" s="564" t="s">
        <v>70</v>
      </c>
      <c r="J1733" s="564" t="s">
        <v>1069</v>
      </c>
      <c r="K1733" s="564" t="s">
        <v>1120</v>
      </c>
      <c r="L1733" s="564" t="s">
        <v>2098</v>
      </c>
      <c r="M1733" s="564" t="s">
        <v>2098</v>
      </c>
      <c r="N1733" s="564" t="s">
        <v>70</v>
      </c>
      <c r="O1733" s="564" t="s">
        <v>2099</v>
      </c>
      <c r="P1733" s="23"/>
      <c r="Q1733" s="23"/>
      <c r="R1733" s="23"/>
      <c r="S1733" s="23"/>
      <c r="T1733" s="23"/>
      <c r="U1733" s="23"/>
      <c r="V1733" s="23"/>
      <c r="W1733" s="23"/>
      <c r="X1733" s="23"/>
      <c r="Y1733" s="23"/>
      <c r="Z1733" s="23"/>
    </row>
    <row r="1734" spans="1:26" ht="13">
      <c r="A1734" s="562" t="s">
        <v>4695</v>
      </c>
      <c r="B1734" s="563" t="s">
        <v>4696</v>
      </c>
      <c r="C1734" s="564" t="s">
        <v>1652</v>
      </c>
      <c r="D1734" s="565">
        <v>43909</v>
      </c>
      <c r="E1734" s="565">
        <v>43937</v>
      </c>
      <c r="F1734" s="566">
        <v>1000909</v>
      </c>
      <c r="G1734" s="564" t="s">
        <v>1623</v>
      </c>
      <c r="H1734" s="564" t="s">
        <v>1623</v>
      </c>
      <c r="I1734" s="564" t="s">
        <v>802</v>
      </c>
      <c r="J1734" s="564" t="s">
        <v>1069</v>
      </c>
      <c r="K1734" s="564" t="s">
        <v>1198</v>
      </c>
      <c r="L1734" s="564" t="s">
        <v>2098</v>
      </c>
      <c r="M1734" s="564" t="s">
        <v>2098</v>
      </c>
      <c r="N1734" s="564" t="s">
        <v>132</v>
      </c>
      <c r="O1734" s="564" t="s">
        <v>2099</v>
      </c>
      <c r="P1734" s="23"/>
      <c r="Q1734" s="23"/>
      <c r="R1734" s="23"/>
      <c r="S1734" s="23"/>
      <c r="T1734" s="23"/>
      <c r="U1734" s="23"/>
      <c r="V1734" s="23"/>
      <c r="W1734" s="23"/>
      <c r="X1734" s="23"/>
      <c r="Y1734" s="23"/>
      <c r="Z1734" s="23"/>
    </row>
    <row r="1735" spans="1:26" ht="13">
      <c r="A1735" s="562" t="s">
        <v>4697</v>
      </c>
      <c r="B1735" s="563" t="s">
        <v>4698</v>
      </c>
      <c r="C1735" s="564" t="s">
        <v>1076</v>
      </c>
      <c r="D1735" s="565">
        <v>43907</v>
      </c>
      <c r="E1735" s="565">
        <v>43980</v>
      </c>
      <c r="F1735" s="566">
        <v>1987000</v>
      </c>
      <c r="G1735" s="564" t="s">
        <v>1400</v>
      </c>
      <c r="H1735" s="564" t="s">
        <v>1400</v>
      </c>
      <c r="I1735" s="564" t="s">
        <v>637</v>
      </c>
      <c r="J1735" s="564" t="s">
        <v>1069</v>
      </c>
      <c r="K1735" s="564" t="s">
        <v>1070</v>
      </c>
      <c r="L1735" s="564" t="s">
        <v>2098</v>
      </c>
      <c r="M1735" s="564" t="s">
        <v>2098</v>
      </c>
      <c r="N1735" s="564" t="s">
        <v>1082</v>
      </c>
      <c r="O1735" s="564" t="s">
        <v>2099</v>
      </c>
      <c r="P1735" s="23"/>
      <c r="Q1735" s="23"/>
      <c r="R1735" s="23"/>
      <c r="S1735" s="23"/>
      <c r="T1735" s="23"/>
      <c r="U1735" s="23"/>
      <c r="V1735" s="23"/>
      <c r="W1735" s="23"/>
      <c r="X1735" s="23"/>
      <c r="Y1735" s="23"/>
      <c r="Z1735" s="23"/>
    </row>
    <row r="1736" spans="1:26" ht="13">
      <c r="A1736" s="562" t="s">
        <v>4699</v>
      </c>
      <c r="B1736" s="563" t="s">
        <v>4700</v>
      </c>
      <c r="C1736" s="564" t="s">
        <v>1475</v>
      </c>
      <c r="D1736" s="565">
        <v>43901</v>
      </c>
      <c r="E1736" s="565">
        <v>43921</v>
      </c>
      <c r="F1736" s="566">
        <v>1475000</v>
      </c>
      <c r="G1736" s="564" t="s">
        <v>1293</v>
      </c>
      <c r="H1736" s="564" t="s">
        <v>1293</v>
      </c>
      <c r="I1736" s="564" t="s">
        <v>1247</v>
      </c>
      <c r="J1736" s="564" t="s">
        <v>1069</v>
      </c>
      <c r="K1736" s="564" t="s">
        <v>1070</v>
      </c>
      <c r="L1736" s="564" t="s">
        <v>2098</v>
      </c>
      <c r="M1736" s="564" t="s">
        <v>2098</v>
      </c>
      <c r="N1736" s="564" t="s">
        <v>1073</v>
      </c>
      <c r="O1736" s="564" t="s">
        <v>2099</v>
      </c>
      <c r="P1736" s="23"/>
      <c r="Q1736" s="23"/>
      <c r="R1736" s="23"/>
      <c r="S1736" s="23"/>
      <c r="T1736" s="23"/>
      <c r="U1736" s="23"/>
      <c r="V1736" s="23"/>
      <c r="W1736" s="23"/>
      <c r="X1736" s="23"/>
      <c r="Y1736" s="23"/>
      <c r="Z1736" s="23"/>
    </row>
    <row r="1737" spans="1:26" ht="13">
      <c r="A1737" s="562" t="s">
        <v>4701</v>
      </c>
      <c r="B1737" s="563" t="s">
        <v>4702</v>
      </c>
      <c r="C1737" s="564" t="s">
        <v>1076</v>
      </c>
      <c r="D1737" s="565">
        <v>43901</v>
      </c>
      <c r="E1737" s="565">
        <v>43980</v>
      </c>
      <c r="F1737" s="566">
        <v>1729000</v>
      </c>
      <c r="G1737" s="564" t="s">
        <v>1400</v>
      </c>
      <c r="H1737" s="564" t="s">
        <v>1400</v>
      </c>
      <c r="I1737" s="564" t="s">
        <v>637</v>
      </c>
      <c r="J1737" s="564" t="s">
        <v>1069</v>
      </c>
      <c r="K1737" s="564" t="s">
        <v>1070</v>
      </c>
      <c r="L1737" s="564" t="s">
        <v>2098</v>
      </c>
      <c r="M1737" s="564" t="s">
        <v>2098</v>
      </c>
      <c r="N1737" s="564" t="s">
        <v>1082</v>
      </c>
      <c r="O1737" s="564" t="s">
        <v>2099</v>
      </c>
      <c r="P1737" s="23"/>
      <c r="Q1737" s="23"/>
      <c r="R1737" s="23"/>
      <c r="S1737" s="23"/>
      <c r="T1737" s="23"/>
      <c r="U1737" s="23"/>
      <c r="V1737" s="23"/>
      <c r="W1737" s="23"/>
      <c r="X1737" s="23"/>
      <c r="Y1737" s="23"/>
      <c r="Z1737" s="23"/>
    </row>
    <row r="1738" spans="1:26" ht="13">
      <c r="A1738" s="562" t="s">
        <v>4703</v>
      </c>
      <c r="B1738" s="563" t="s">
        <v>4704</v>
      </c>
      <c r="C1738" s="564" t="s">
        <v>1652</v>
      </c>
      <c r="D1738" s="565">
        <v>43899</v>
      </c>
      <c r="E1738" s="565">
        <v>43927</v>
      </c>
      <c r="F1738" s="566">
        <v>2397273</v>
      </c>
      <c r="G1738" s="564" t="s">
        <v>1623</v>
      </c>
      <c r="H1738" s="564" t="s">
        <v>1623</v>
      </c>
      <c r="I1738" s="564" t="s">
        <v>802</v>
      </c>
      <c r="J1738" s="564" t="s">
        <v>1069</v>
      </c>
      <c r="K1738" s="564" t="s">
        <v>1198</v>
      </c>
      <c r="L1738" s="564" t="s">
        <v>2098</v>
      </c>
      <c r="M1738" s="564" t="s">
        <v>2098</v>
      </c>
      <c r="N1738" s="564" t="s">
        <v>132</v>
      </c>
      <c r="O1738" s="564" t="s">
        <v>2099</v>
      </c>
      <c r="P1738" s="23"/>
      <c r="Q1738" s="23"/>
      <c r="R1738" s="23"/>
      <c r="S1738" s="23"/>
      <c r="T1738" s="23"/>
      <c r="U1738" s="23"/>
      <c r="V1738" s="23"/>
      <c r="W1738" s="23"/>
      <c r="X1738" s="23"/>
      <c r="Y1738" s="23"/>
      <c r="Z1738" s="23"/>
    </row>
    <row r="1739" spans="1:26" ht="13">
      <c r="A1739" s="562" t="s">
        <v>4705</v>
      </c>
      <c r="B1739" s="563" t="s">
        <v>4706</v>
      </c>
      <c r="C1739" s="564" t="s">
        <v>1076</v>
      </c>
      <c r="D1739" s="565">
        <v>43900</v>
      </c>
      <c r="E1739" s="565">
        <v>43980</v>
      </c>
      <c r="F1739" s="566">
        <v>3937000</v>
      </c>
      <c r="G1739" s="564" t="s">
        <v>1400</v>
      </c>
      <c r="H1739" s="564" t="s">
        <v>1400</v>
      </c>
      <c r="I1739" s="564" t="s">
        <v>637</v>
      </c>
      <c r="J1739" s="564" t="s">
        <v>1069</v>
      </c>
      <c r="K1739" s="564" t="s">
        <v>1070</v>
      </c>
      <c r="L1739" s="564" t="s">
        <v>2098</v>
      </c>
      <c r="M1739" s="564" t="s">
        <v>2098</v>
      </c>
      <c r="N1739" s="564" t="s">
        <v>1082</v>
      </c>
      <c r="O1739" s="564" t="s">
        <v>2099</v>
      </c>
      <c r="P1739" s="23"/>
      <c r="Q1739" s="23"/>
      <c r="R1739" s="23"/>
      <c r="S1739" s="23"/>
      <c r="T1739" s="23"/>
      <c r="U1739" s="23"/>
      <c r="V1739" s="23"/>
      <c r="W1739" s="23"/>
      <c r="X1739" s="23"/>
      <c r="Y1739" s="23"/>
      <c r="Z1739" s="23"/>
    </row>
    <row r="1740" spans="1:26" ht="13">
      <c r="A1740" s="562" t="s">
        <v>4707</v>
      </c>
      <c r="B1740" s="563" t="s">
        <v>4708</v>
      </c>
      <c r="C1740" s="564" t="s">
        <v>353</v>
      </c>
      <c r="D1740" s="565">
        <v>43895</v>
      </c>
      <c r="E1740" s="565">
        <v>43906</v>
      </c>
      <c r="F1740" s="566">
        <v>1820000</v>
      </c>
      <c r="G1740" s="564" t="s">
        <v>297</v>
      </c>
      <c r="H1740" s="564" t="s">
        <v>297</v>
      </c>
      <c r="I1740" s="564" t="s">
        <v>45</v>
      </c>
      <c r="J1740" s="564" t="s">
        <v>1069</v>
      </c>
      <c r="K1740" s="564" t="s">
        <v>1090</v>
      </c>
      <c r="L1740" s="564" t="s">
        <v>2098</v>
      </c>
      <c r="M1740" s="564" t="s">
        <v>2098</v>
      </c>
      <c r="N1740" s="564" t="s">
        <v>45</v>
      </c>
      <c r="O1740" s="564" t="s">
        <v>2099</v>
      </c>
      <c r="P1740" s="23"/>
      <c r="Q1740" s="23"/>
      <c r="R1740" s="23"/>
      <c r="S1740" s="23"/>
      <c r="T1740" s="23"/>
      <c r="U1740" s="23"/>
      <c r="V1740" s="23"/>
      <c r="W1740" s="23"/>
      <c r="X1740" s="23"/>
      <c r="Y1740" s="23"/>
      <c r="Z1740" s="23"/>
    </row>
    <row r="1741" spans="1:26" ht="13">
      <c r="A1741" s="562" t="s">
        <v>4709</v>
      </c>
      <c r="B1741" s="563" t="s">
        <v>3704</v>
      </c>
      <c r="C1741" s="564" t="s">
        <v>353</v>
      </c>
      <c r="D1741" s="565">
        <v>43895</v>
      </c>
      <c r="E1741" s="565">
        <v>43906</v>
      </c>
      <c r="F1741" s="566">
        <v>6640000</v>
      </c>
      <c r="G1741" s="564" t="s">
        <v>1128</v>
      </c>
      <c r="H1741" s="564" t="s">
        <v>1128</v>
      </c>
      <c r="I1741" s="564" t="s">
        <v>45</v>
      </c>
      <c r="J1741" s="564" t="s">
        <v>1069</v>
      </c>
      <c r="K1741" s="564" t="s">
        <v>1090</v>
      </c>
      <c r="L1741" s="564" t="s">
        <v>2098</v>
      </c>
      <c r="M1741" s="564" t="s">
        <v>2098</v>
      </c>
      <c r="N1741" s="564" t="s">
        <v>45</v>
      </c>
      <c r="O1741" s="564" t="s">
        <v>2099</v>
      </c>
      <c r="P1741" s="23"/>
      <c r="Q1741" s="23"/>
      <c r="R1741" s="23"/>
      <c r="S1741" s="23"/>
      <c r="T1741" s="23"/>
      <c r="U1741" s="23"/>
      <c r="V1741" s="23"/>
      <c r="W1741" s="23"/>
      <c r="X1741" s="23"/>
      <c r="Y1741" s="23"/>
      <c r="Z1741" s="23"/>
    </row>
    <row r="1742" spans="1:26" ht="13">
      <c r="A1742" s="562" t="s">
        <v>4710</v>
      </c>
      <c r="B1742" s="563" t="s">
        <v>3706</v>
      </c>
      <c r="C1742" s="564" t="s">
        <v>353</v>
      </c>
      <c r="D1742" s="565">
        <v>43895</v>
      </c>
      <c r="E1742" s="565">
        <v>43906</v>
      </c>
      <c r="F1742" s="566">
        <v>229860000</v>
      </c>
      <c r="G1742" s="564" t="s">
        <v>1128</v>
      </c>
      <c r="H1742" s="564" t="s">
        <v>1128</v>
      </c>
      <c r="I1742" s="564" t="s">
        <v>45</v>
      </c>
      <c r="J1742" s="564" t="s">
        <v>1069</v>
      </c>
      <c r="K1742" s="564" t="s">
        <v>1090</v>
      </c>
      <c r="L1742" s="564" t="s">
        <v>2098</v>
      </c>
      <c r="M1742" s="564" t="s">
        <v>2098</v>
      </c>
      <c r="N1742" s="564" t="s">
        <v>45</v>
      </c>
      <c r="O1742" s="564" t="s">
        <v>2099</v>
      </c>
      <c r="P1742" s="23"/>
      <c r="Q1742" s="23"/>
      <c r="R1742" s="23"/>
      <c r="S1742" s="23"/>
      <c r="T1742" s="23"/>
      <c r="U1742" s="23"/>
      <c r="V1742" s="23"/>
      <c r="W1742" s="23"/>
      <c r="X1742" s="23"/>
      <c r="Y1742" s="23"/>
      <c r="Z1742" s="23"/>
    </row>
    <row r="1743" spans="1:26" ht="13">
      <c r="A1743" s="562" t="s">
        <v>4711</v>
      </c>
      <c r="B1743" s="563" t="s">
        <v>3702</v>
      </c>
      <c r="C1743" s="564" t="s">
        <v>353</v>
      </c>
      <c r="D1743" s="565">
        <v>43895</v>
      </c>
      <c r="E1743" s="565">
        <v>43906</v>
      </c>
      <c r="F1743" s="566">
        <v>102420000</v>
      </c>
      <c r="G1743" s="564" t="s">
        <v>1128</v>
      </c>
      <c r="H1743" s="564" t="s">
        <v>1128</v>
      </c>
      <c r="I1743" s="564" t="s">
        <v>45</v>
      </c>
      <c r="J1743" s="564" t="s">
        <v>1069</v>
      </c>
      <c r="K1743" s="564" t="s">
        <v>1090</v>
      </c>
      <c r="L1743" s="564" t="s">
        <v>2098</v>
      </c>
      <c r="M1743" s="564" t="s">
        <v>2098</v>
      </c>
      <c r="N1743" s="564" t="s">
        <v>45</v>
      </c>
      <c r="O1743" s="564" t="s">
        <v>2099</v>
      </c>
      <c r="P1743" s="23"/>
      <c r="Q1743" s="23"/>
      <c r="R1743" s="23"/>
      <c r="S1743" s="23"/>
      <c r="T1743" s="23"/>
      <c r="U1743" s="23"/>
      <c r="V1743" s="23"/>
      <c r="W1743" s="23"/>
      <c r="X1743" s="23"/>
      <c r="Y1743" s="23"/>
      <c r="Z1743" s="23"/>
    </row>
    <row r="1744" spans="1:26" ht="13">
      <c r="A1744" s="562" t="s">
        <v>4712</v>
      </c>
      <c r="B1744" s="563" t="s">
        <v>4713</v>
      </c>
      <c r="C1744" s="564" t="s">
        <v>353</v>
      </c>
      <c r="D1744" s="565">
        <v>43896</v>
      </c>
      <c r="E1744" s="565">
        <v>43906</v>
      </c>
      <c r="F1744" s="566">
        <v>14490000</v>
      </c>
      <c r="G1744" s="564" t="s">
        <v>297</v>
      </c>
      <c r="H1744" s="564" t="s">
        <v>297</v>
      </c>
      <c r="I1744" s="564" t="s">
        <v>257</v>
      </c>
      <c r="J1744" s="564" t="s">
        <v>1069</v>
      </c>
      <c r="K1744" s="564" t="s">
        <v>1209</v>
      </c>
      <c r="L1744" s="564" t="s">
        <v>2098</v>
      </c>
      <c r="M1744" s="564" t="s">
        <v>2098</v>
      </c>
      <c r="N1744" s="564" t="s">
        <v>257</v>
      </c>
      <c r="O1744" s="564" t="s">
        <v>2099</v>
      </c>
      <c r="P1744" s="23"/>
      <c r="Q1744" s="23"/>
      <c r="R1744" s="23"/>
      <c r="S1744" s="23"/>
      <c r="T1744" s="23"/>
      <c r="U1744" s="23"/>
      <c r="V1744" s="23"/>
      <c r="W1744" s="23"/>
      <c r="X1744" s="23"/>
      <c r="Y1744" s="23"/>
      <c r="Z1744" s="23"/>
    </row>
    <row r="1745" spans="1:26" ht="13">
      <c r="A1745" s="562" t="s">
        <v>4714</v>
      </c>
      <c r="B1745" s="563" t="s">
        <v>4715</v>
      </c>
      <c r="C1745" s="564" t="s">
        <v>353</v>
      </c>
      <c r="D1745" s="565">
        <v>43895</v>
      </c>
      <c r="E1745" s="565">
        <v>43910</v>
      </c>
      <c r="F1745" s="566">
        <v>170000</v>
      </c>
      <c r="G1745" s="564" t="s">
        <v>1941</v>
      </c>
      <c r="H1745" s="564" t="s">
        <v>1941</v>
      </c>
      <c r="I1745" s="564" t="s">
        <v>70</v>
      </c>
      <c r="J1745" s="564" t="s">
        <v>1069</v>
      </c>
      <c r="K1745" s="564" t="s">
        <v>1120</v>
      </c>
      <c r="L1745" s="564" t="s">
        <v>2098</v>
      </c>
      <c r="M1745" s="564" t="s">
        <v>2098</v>
      </c>
      <c r="N1745" s="564" t="s">
        <v>70</v>
      </c>
      <c r="O1745" s="564" t="s">
        <v>2099</v>
      </c>
      <c r="P1745" s="23"/>
      <c r="Q1745" s="23"/>
      <c r="R1745" s="23"/>
      <c r="S1745" s="23"/>
      <c r="T1745" s="23"/>
      <c r="U1745" s="23"/>
      <c r="V1745" s="23"/>
      <c r="W1745" s="23"/>
      <c r="X1745" s="23"/>
      <c r="Y1745" s="23"/>
      <c r="Z1745" s="23"/>
    </row>
    <row r="1746" spans="1:26" ht="13">
      <c r="A1746" s="562" t="s">
        <v>4716</v>
      </c>
      <c r="B1746" s="563" t="s">
        <v>4717</v>
      </c>
      <c r="C1746" s="564" t="s">
        <v>353</v>
      </c>
      <c r="D1746" s="565">
        <v>43894</v>
      </c>
      <c r="E1746" s="565">
        <v>43908</v>
      </c>
      <c r="F1746" s="566">
        <v>152000</v>
      </c>
      <c r="G1746" s="564" t="s">
        <v>297</v>
      </c>
      <c r="H1746" s="564" t="s">
        <v>297</v>
      </c>
      <c r="I1746" s="564" t="s">
        <v>64</v>
      </c>
      <c r="J1746" s="564" t="s">
        <v>1069</v>
      </c>
      <c r="K1746" s="564" t="s">
        <v>1090</v>
      </c>
      <c r="L1746" s="564" t="s">
        <v>2098</v>
      </c>
      <c r="M1746" s="564" t="s">
        <v>2098</v>
      </c>
      <c r="N1746" s="564" t="s">
        <v>64</v>
      </c>
      <c r="O1746" s="564" t="s">
        <v>2099</v>
      </c>
      <c r="P1746" s="23"/>
      <c r="Q1746" s="23"/>
      <c r="R1746" s="23"/>
      <c r="S1746" s="23"/>
      <c r="T1746" s="23"/>
      <c r="U1746" s="23"/>
      <c r="V1746" s="23"/>
      <c r="W1746" s="23"/>
      <c r="X1746" s="23"/>
      <c r="Y1746" s="23"/>
      <c r="Z1746" s="23"/>
    </row>
    <row r="1747" spans="1:26" ht="13">
      <c r="A1747" s="562" t="s">
        <v>4718</v>
      </c>
      <c r="B1747" s="563" t="s">
        <v>4719</v>
      </c>
      <c r="C1747" s="564" t="s">
        <v>353</v>
      </c>
      <c r="D1747" s="565">
        <v>43894</v>
      </c>
      <c r="E1747" s="565">
        <v>43908</v>
      </c>
      <c r="F1747" s="566">
        <v>152000</v>
      </c>
      <c r="G1747" s="564" t="s">
        <v>297</v>
      </c>
      <c r="H1747" s="564" t="s">
        <v>297</v>
      </c>
      <c r="I1747" s="564" t="s">
        <v>64</v>
      </c>
      <c r="J1747" s="564" t="s">
        <v>1069</v>
      </c>
      <c r="K1747" s="564" t="s">
        <v>1090</v>
      </c>
      <c r="L1747" s="564" t="s">
        <v>2098</v>
      </c>
      <c r="M1747" s="564" t="s">
        <v>2098</v>
      </c>
      <c r="N1747" s="564" t="s">
        <v>64</v>
      </c>
      <c r="O1747" s="564" t="s">
        <v>2099</v>
      </c>
      <c r="P1747" s="23"/>
      <c r="Q1747" s="23"/>
      <c r="R1747" s="23"/>
      <c r="S1747" s="23"/>
      <c r="T1747" s="23"/>
      <c r="U1747" s="23"/>
      <c r="V1747" s="23"/>
      <c r="W1747" s="23"/>
      <c r="X1747" s="23"/>
      <c r="Y1747" s="23"/>
      <c r="Z1747" s="23"/>
    </row>
    <row r="1748" spans="1:26" ht="13">
      <c r="A1748" s="562" t="s">
        <v>4720</v>
      </c>
      <c r="B1748" s="563" t="s">
        <v>4721</v>
      </c>
      <c r="C1748" s="564" t="s">
        <v>353</v>
      </c>
      <c r="D1748" s="565">
        <v>43895</v>
      </c>
      <c r="E1748" s="565">
        <v>43908</v>
      </c>
      <c r="F1748" s="566">
        <v>152000</v>
      </c>
      <c r="G1748" s="564" t="s">
        <v>297</v>
      </c>
      <c r="H1748" s="564" t="s">
        <v>297</v>
      </c>
      <c r="I1748" s="564" t="s">
        <v>64</v>
      </c>
      <c r="J1748" s="564" t="s">
        <v>1069</v>
      </c>
      <c r="K1748" s="564" t="s">
        <v>1090</v>
      </c>
      <c r="L1748" s="564" t="s">
        <v>2098</v>
      </c>
      <c r="M1748" s="564" t="s">
        <v>2098</v>
      </c>
      <c r="N1748" s="564" t="s">
        <v>64</v>
      </c>
      <c r="O1748" s="564" t="s">
        <v>2099</v>
      </c>
      <c r="P1748" s="23"/>
      <c r="Q1748" s="23"/>
      <c r="R1748" s="23"/>
      <c r="S1748" s="23"/>
      <c r="T1748" s="23"/>
      <c r="U1748" s="23"/>
      <c r="V1748" s="23"/>
      <c r="W1748" s="23"/>
      <c r="X1748" s="23"/>
      <c r="Y1748" s="23"/>
      <c r="Z1748" s="23"/>
    </row>
    <row r="1749" spans="1:26" ht="13">
      <c r="A1749" s="562" t="s">
        <v>4722</v>
      </c>
      <c r="B1749" s="563" t="s">
        <v>4723</v>
      </c>
      <c r="C1749" s="564" t="s">
        <v>353</v>
      </c>
      <c r="D1749" s="565">
        <v>43886</v>
      </c>
      <c r="E1749" s="565">
        <v>43896</v>
      </c>
      <c r="F1749" s="566">
        <v>444348000</v>
      </c>
      <c r="G1749" s="564" t="s">
        <v>1128</v>
      </c>
      <c r="H1749" s="564" t="s">
        <v>1128</v>
      </c>
      <c r="I1749" s="564" t="s">
        <v>45</v>
      </c>
      <c r="J1749" s="564" t="s">
        <v>1069</v>
      </c>
      <c r="K1749" s="564" t="s">
        <v>1090</v>
      </c>
      <c r="L1749" s="564" t="s">
        <v>2098</v>
      </c>
      <c r="M1749" s="564" t="s">
        <v>2098</v>
      </c>
      <c r="N1749" s="564" t="s">
        <v>45</v>
      </c>
      <c r="O1749" s="564" t="s">
        <v>2099</v>
      </c>
      <c r="P1749" s="23"/>
      <c r="Q1749" s="23"/>
      <c r="R1749" s="23"/>
      <c r="S1749" s="23"/>
      <c r="T1749" s="23"/>
      <c r="U1749" s="23"/>
      <c r="V1749" s="23"/>
      <c r="W1749" s="23"/>
      <c r="X1749" s="23"/>
      <c r="Y1749" s="23"/>
      <c r="Z1749" s="23"/>
    </row>
    <row r="1750" spans="1:26" ht="13">
      <c r="A1750" s="562" t="s">
        <v>4724</v>
      </c>
      <c r="B1750" s="563" t="s">
        <v>4725</v>
      </c>
      <c r="C1750" s="564" t="s">
        <v>1652</v>
      </c>
      <c r="D1750" s="565">
        <v>43894</v>
      </c>
      <c r="E1750" s="565">
        <v>43950</v>
      </c>
      <c r="F1750" s="566">
        <v>155236364</v>
      </c>
      <c r="G1750" s="564" t="s">
        <v>1623</v>
      </c>
      <c r="H1750" s="564" t="s">
        <v>1623</v>
      </c>
      <c r="I1750" s="564" t="s">
        <v>802</v>
      </c>
      <c r="J1750" s="564" t="s">
        <v>1069</v>
      </c>
      <c r="K1750" s="564" t="s">
        <v>1198</v>
      </c>
      <c r="L1750" s="564" t="s">
        <v>2098</v>
      </c>
      <c r="M1750" s="564" t="s">
        <v>2098</v>
      </c>
      <c r="N1750" s="564" t="s">
        <v>132</v>
      </c>
      <c r="O1750" s="564" t="s">
        <v>2099</v>
      </c>
      <c r="P1750" s="23"/>
      <c r="Q1750" s="23"/>
      <c r="R1750" s="23"/>
      <c r="S1750" s="23"/>
      <c r="T1750" s="23"/>
      <c r="U1750" s="23"/>
      <c r="V1750" s="23"/>
      <c r="W1750" s="23"/>
      <c r="X1750" s="23"/>
      <c r="Y1750" s="23"/>
      <c r="Z1750" s="23"/>
    </row>
    <row r="1751" spans="1:26" ht="13">
      <c r="A1751" s="562" t="s">
        <v>4726</v>
      </c>
      <c r="B1751" s="563" t="s">
        <v>4727</v>
      </c>
      <c r="C1751" s="564" t="s">
        <v>1652</v>
      </c>
      <c r="D1751" s="565">
        <v>43889</v>
      </c>
      <c r="E1751" s="565">
        <v>43924</v>
      </c>
      <c r="F1751" s="566">
        <v>9000000</v>
      </c>
      <c r="G1751" s="564" t="s">
        <v>1623</v>
      </c>
      <c r="H1751" s="564" t="s">
        <v>1623</v>
      </c>
      <c r="I1751" s="564" t="s">
        <v>802</v>
      </c>
      <c r="J1751" s="564" t="s">
        <v>1069</v>
      </c>
      <c r="K1751" s="564" t="s">
        <v>1198</v>
      </c>
      <c r="L1751" s="564" t="s">
        <v>2098</v>
      </c>
      <c r="M1751" s="564" t="s">
        <v>2098</v>
      </c>
      <c r="N1751" s="564" t="s">
        <v>132</v>
      </c>
      <c r="O1751" s="564" t="s">
        <v>2099</v>
      </c>
      <c r="P1751" s="23"/>
      <c r="Q1751" s="23"/>
      <c r="R1751" s="23"/>
      <c r="S1751" s="23"/>
      <c r="T1751" s="23"/>
      <c r="U1751" s="23"/>
      <c r="V1751" s="23"/>
      <c r="W1751" s="23"/>
      <c r="X1751" s="23"/>
      <c r="Y1751" s="23"/>
      <c r="Z1751" s="23"/>
    </row>
    <row r="1752" spans="1:26" ht="13">
      <c r="A1752" s="562" t="s">
        <v>4728</v>
      </c>
      <c r="B1752" s="563" t="s">
        <v>4729</v>
      </c>
      <c r="C1752" s="564" t="s">
        <v>353</v>
      </c>
      <c r="D1752" s="565">
        <v>43892</v>
      </c>
      <c r="E1752" s="565">
        <v>43921</v>
      </c>
      <c r="F1752" s="566">
        <v>2375000</v>
      </c>
      <c r="G1752" s="564" t="s">
        <v>1293</v>
      </c>
      <c r="H1752" s="564" t="s">
        <v>1293</v>
      </c>
      <c r="I1752" s="564" t="s">
        <v>225</v>
      </c>
      <c r="J1752" s="564" t="s">
        <v>1069</v>
      </c>
      <c r="K1752" s="564" t="s">
        <v>1105</v>
      </c>
      <c r="L1752" s="564" t="s">
        <v>2098</v>
      </c>
      <c r="M1752" s="564" t="s">
        <v>2098</v>
      </c>
      <c r="N1752" s="564" t="s">
        <v>225</v>
      </c>
      <c r="O1752" s="564" t="s">
        <v>2099</v>
      </c>
      <c r="P1752" s="23"/>
      <c r="Q1752" s="23"/>
      <c r="R1752" s="23"/>
      <c r="S1752" s="23"/>
      <c r="T1752" s="23"/>
      <c r="U1752" s="23"/>
      <c r="V1752" s="23"/>
      <c r="W1752" s="23"/>
      <c r="X1752" s="23"/>
      <c r="Y1752" s="23"/>
      <c r="Z1752" s="23"/>
    </row>
    <row r="1753" spans="1:26" ht="13">
      <c r="A1753" s="562" t="s">
        <v>4730</v>
      </c>
      <c r="B1753" s="563" t="s">
        <v>4731</v>
      </c>
      <c r="C1753" s="564" t="s">
        <v>1652</v>
      </c>
      <c r="D1753" s="565">
        <v>43889</v>
      </c>
      <c r="E1753" s="565">
        <v>43896</v>
      </c>
      <c r="F1753" s="566">
        <v>3041000</v>
      </c>
      <c r="G1753" s="564" t="s">
        <v>1941</v>
      </c>
      <c r="H1753" s="564" t="s">
        <v>1941</v>
      </c>
      <c r="I1753" s="564" t="s">
        <v>70</v>
      </c>
      <c r="J1753" s="564" t="s">
        <v>1069</v>
      </c>
      <c r="K1753" s="564" t="s">
        <v>1120</v>
      </c>
      <c r="L1753" s="564" t="s">
        <v>2098</v>
      </c>
      <c r="M1753" s="564" t="s">
        <v>2098</v>
      </c>
      <c r="N1753" s="564" t="s">
        <v>70</v>
      </c>
      <c r="O1753" s="564" t="s">
        <v>2099</v>
      </c>
      <c r="P1753" s="23"/>
      <c r="Q1753" s="23"/>
      <c r="R1753" s="23"/>
      <c r="S1753" s="23"/>
      <c r="T1753" s="23"/>
      <c r="U1753" s="23"/>
      <c r="V1753" s="23"/>
      <c r="W1753" s="23"/>
      <c r="X1753" s="23"/>
      <c r="Y1753" s="23"/>
      <c r="Z1753" s="23"/>
    </row>
    <row r="1754" spans="1:26" ht="13">
      <c r="A1754" s="562" t="s">
        <v>4732</v>
      </c>
      <c r="B1754" s="563" t="s">
        <v>4236</v>
      </c>
      <c r="C1754" s="564" t="s">
        <v>1076</v>
      </c>
      <c r="D1754" s="565">
        <v>43888</v>
      </c>
      <c r="E1754" s="565">
        <v>43951</v>
      </c>
      <c r="F1754" s="566">
        <v>141000</v>
      </c>
      <c r="G1754" s="564" t="s">
        <v>1400</v>
      </c>
      <c r="H1754" s="564" t="s">
        <v>1400</v>
      </c>
      <c r="I1754" s="564" t="s">
        <v>637</v>
      </c>
      <c r="J1754" s="564" t="s">
        <v>1069</v>
      </c>
      <c r="K1754" s="564" t="s">
        <v>1070</v>
      </c>
      <c r="L1754" s="564" t="s">
        <v>2098</v>
      </c>
      <c r="M1754" s="564" t="s">
        <v>2098</v>
      </c>
      <c r="N1754" s="564" t="s">
        <v>1082</v>
      </c>
      <c r="O1754" s="564" t="s">
        <v>2099</v>
      </c>
      <c r="P1754" s="23"/>
      <c r="Q1754" s="23"/>
      <c r="R1754" s="23"/>
      <c r="S1754" s="23"/>
      <c r="T1754" s="23"/>
      <c r="U1754" s="23"/>
      <c r="V1754" s="23"/>
      <c r="W1754" s="23"/>
      <c r="X1754" s="23"/>
      <c r="Y1754" s="23"/>
      <c r="Z1754" s="23"/>
    </row>
    <row r="1755" spans="1:26" ht="13">
      <c r="A1755" s="562" t="s">
        <v>4733</v>
      </c>
      <c r="B1755" s="563" t="s">
        <v>4734</v>
      </c>
      <c r="C1755" s="564" t="s">
        <v>1652</v>
      </c>
      <c r="D1755" s="565">
        <v>43887</v>
      </c>
      <c r="E1755" s="565">
        <v>43943</v>
      </c>
      <c r="F1755" s="566">
        <v>121727273</v>
      </c>
      <c r="G1755" s="564" t="s">
        <v>1623</v>
      </c>
      <c r="H1755" s="564" t="s">
        <v>1623</v>
      </c>
      <c r="I1755" s="564" t="s">
        <v>802</v>
      </c>
      <c r="J1755" s="564" t="s">
        <v>1069</v>
      </c>
      <c r="K1755" s="564" t="s">
        <v>1198</v>
      </c>
      <c r="L1755" s="564" t="s">
        <v>2098</v>
      </c>
      <c r="M1755" s="564" t="s">
        <v>2098</v>
      </c>
      <c r="N1755" s="564" t="s">
        <v>132</v>
      </c>
      <c r="O1755" s="564" t="s">
        <v>2099</v>
      </c>
      <c r="P1755" s="23"/>
      <c r="Q1755" s="23"/>
      <c r="R1755" s="23"/>
      <c r="S1755" s="23"/>
      <c r="T1755" s="23"/>
      <c r="U1755" s="23"/>
      <c r="V1755" s="23"/>
      <c r="W1755" s="23"/>
      <c r="X1755" s="23"/>
      <c r="Y1755" s="23"/>
      <c r="Z1755" s="23"/>
    </row>
    <row r="1756" spans="1:26" ht="13">
      <c r="A1756" s="562" t="s">
        <v>4735</v>
      </c>
      <c r="B1756" s="563" t="s">
        <v>4736</v>
      </c>
      <c r="C1756" s="564" t="s">
        <v>1475</v>
      </c>
      <c r="D1756" s="565">
        <v>43878</v>
      </c>
      <c r="E1756" s="565">
        <v>43900</v>
      </c>
      <c r="F1756" s="566">
        <v>5660000</v>
      </c>
      <c r="G1756" s="564" t="s">
        <v>1123</v>
      </c>
      <c r="H1756" s="564" t="s">
        <v>1123</v>
      </c>
      <c r="I1756" s="564" t="s">
        <v>1417</v>
      </c>
      <c r="J1756" s="564" t="s">
        <v>1069</v>
      </c>
      <c r="K1756" s="564" t="s">
        <v>1070</v>
      </c>
      <c r="L1756" s="564" t="s">
        <v>2098</v>
      </c>
      <c r="M1756" s="564" t="s">
        <v>2098</v>
      </c>
      <c r="N1756" s="564" t="s">
        <v>1082</v>
      </c>
      <c r="O1756" s="564" t="s">
        <v>2099</v>
      </c>
      <c r="P1756" s="23"/>
      <c r="Q1756" s="23"/>
      <c r="R1756" s="23"/>
      <c r="S1756" s="23"/>
      <c r="T1756" s="23"/>
      <c r="U1756" s="23"/>
      <c r="V1756" s="23"/>
      <c r="W1756" s="23"/>
      <c r="X1756" s="23"/>
      <c r="Y1756" s="23"/>
      <c r="Z1756" s="23"/>
    </row>
    <row r="1757" spans="1:26" ht="13">
      <c r="A1757" s="562" t="s">
        <v>4737</v>
      </c>
      <c r="B1757" s="563" t="s">
        <v>4738</v>
      </c>
      <c r="C1757" s="564" t="s">
        <v>1652</v>
      </c>
      <c r="D1757" s="565">
        <v>43885</v>
      </c>
      <c r="E1757" s="565">
        <v>43913</v>
      </c>
      <c r="F1757" s="566">
        <v>7258182</v>
      </c>
      <c r="G1757" s="564" t="s">
        <v>1623</v>
      </c>
      <c r="H1757" s="564" t="s">
        <v>1623</v>
      </c>
      <c r="I1757" s="564" t="s">
        <v>802</v>
      </c>
      <c r="J1757" s="564" t="s">
        <v>1069</v>
      </c>
      <c r="K1757" s="564" t="s">
        <v>1198</v>
      </c>
      <c r="L1757" s="564" t="s">
        <v>2098</v>
      </c>
      <c r="M1757" s="564" t="s">
        <v>2098</v>
      </c>
      <c r="N1757" s="564" t="s">
        <v>132</v>
      </c>
      <c r="O1757" s="564" t="s">
        <v>2099</v>
      </c>
      <c r="P1757" s="23"/>
      <c r="Q1757" s="23"/>
      <c r="R1757" s="23"/>
      <c r="S1757" s="23"/>
      <c r="T1757" s="23"/>
      <c r="U1757" s="23"/>
      <c r="V1757" s="23"/>
      <c r="W1757" s="23"/>
      <c r="X1757" s="23"/>
      <c r="Y1757" s="23"/>
      <c r="Z1757" s="23"/>
    </row>
    <row r="1758" spans="1:26" ht="13">
      <c r="A1758" s="562" t="s">
        <v>4739</v>
      </c>
      <c r="B1758" s="563" t="s">
        <v>4740</v>
      </c>
      <c r="C1758" s="564" t="s">
        <v>3378</v>
      </c>
      <c r="D1758" s="565">
        <v>43886</v>
      </c>
      <c r="E1758" s="565">
        <v>43896</v>
      </c>
      <c r="F1758" s="566">
        <v>444348000</v>
      </c>
      <c r="G1758" s="564" t="s">
        <v>1128</v>
      </c>
      <c r="H1758" s="564" t="s">
        <v>1128</v>
      </c>
      <c r="I1758" s="564" t="s">
        <v>45</v>
      </c>
      <c r="J1758" s="564" t="s">
        <v>1069</v>
      </c>
      <c r="K1758" s="564" t="s">
        <v>1090</v>
      </c>
      <c r="L1758" s="564" t="s">
        <v>2098</v>
      </c>
      <c r="M1758" s="564" t="s">
        <v>2098</v>
      </c>
      <c r="N1758" s="564" t="s">
        <v>45</v>
      </c>
      <c r="O1758" s="564" t="s">
        <v>2099</v>
      </c>
      <c r="P1758" s="23"/>
      <c r="Q1758" s="23"/>
      <c r="R1758" s="23"/>
      <c r="S1758" s="23"/>
      <c r="T1758" s="23"/>
      <c r="U1758" s="23"/>
      <c r="V1758" s="23"/>
      <c r="W1758" s="23"/>
      <c r="X1758" s="23"/>
      <c r="Y1758" s="23"/>
      <c r="Z1758" s="23"/>
    </row>
    <row r="1759" spans="1:26" ht="13">
      <c r="A1759" s="562" t="s">
        <v>4741</v>
      </c>
      <c r="B1759" s="563" t="s">
        <v>4742</v>
      </c>
      <c r="C1759" s="564" t="s">
        <v>353</v>
      </c>
      <c r="D1759" s="565">
        <v>43886</v>
      </c>
      <c r="E1759" s="565">
        <v>43896</v>
      </c>
      <c r="F1759" s="566">
        <v>152000</v>
      </c>
      <c r="G1759" s="564" t="s">
        <v>297</v>
      </c>
      <c r="H1759" s="564" t="s">
        <v>297</v>
      </c>
      <c r="I1759" s="564" t="s">
        <v>64</v>
      </c>
      <c r="J1759" s="564" t="s">
        <v>1069</v>
      </c>
      <c r="K1759" s="564" t="s">
        <v>1090</v>
      </c>
      <c r="L1759" s="564" t="s">
        <v>2098</v>
      </c>
      <c r="M1759" s="564" t="s">
        <v>2098</v>
      </c>
      <c r="N1759" s="564" t="s">
        <v>64</v>
      </c>
      <c r="O1759" s="564" t="s">
        <v>2099</v>
      </c>
      <c r="P1759" s="23"/>
      <c r="Q1759" s="23"/>
      <c r="R1759" s="23"/>
      <c r="S1759" s="23"/>
      <c r="T1759" s="23"/>
      <c r="U1759" s="23"/>
      <c r="V1759" s="23"/>
      <c r="W1759" s="23"/>
      <c r="X1759" s="23"/>
      <c r="Y1759" s="23"/>
      <c r="Z1759" s="23"/>
    </row>
    <row r="1760" spans="1:26" ht="13">
      <c r="A1760" s="562" t="s">
        <v>4743</v>
      </c>
      <c r="B1760" s="563" t="s">
        <v>4744</v>
      </c>
      <c r="C1760" s="564" t="s">
        <v>1652</v>
      </c>
      <c r="D1760" s="565">
        <v>43885</v>
      </c>
      <c r="E1760" s="565">
        <v>43889</v>
      </c>
      <c r="F1760" s="566">
        <v>15360000</v>
      </c>
      <c r="G1760" s="564" t="s">
        <v>1941</v>
      </c>
      <c r="H1760" s="564" t="s">
        <v>1941</v>
      </c>
      <c r="I1760" s="564" t="s">
        <v>70</v>
      </c>
      <c r="J1760" s="564" t="s">
        <v>1069</v>
      </c>
      <c r="K1760" s="564" t="s">
        <v>1120</v>
      </c>
      <c r="L1760" s="564" t="s">
        <v>2098</v>
      </c>
      <c r="M1760" s="564" t="s">
        <v>2098</v>
      </c>
      <c r="N1760" s="564" t="s">
        <v>70</v>
      </c>
      <c r="O1760" s="564" t="s">
        <v>2099</v>
      </c>
      <c r="P1760" s="23"/>
      <c r="Q1760" s="23"/>
      <c r="R1760" s="23"/>
      <c r="S1760" s="23"/>
      <c r="T1760" s="23"/>
      <c r="U1760" s="23"/>
      <c r="V1760" s="23"/>
      <c r="W1760" s="23"/>
      <c r="X1760" s="23"/>
      <c r="Y1760" s="23"/>
      <c r="Z1760" s="23"/>
    </row>
    <row r="1761" spans="1:26" ht="13">
      <c r="A1761" s="562" t="s">
        <v>4745</v>
      </c>
      <c r="B1761" s="563" t="s">
        <v>4746</v>
      </c>
      <c r="C1761" s="564" t="s">
        <v>2437</v>
      </c>
      <c r="D1761" s="565">
        <v>43878</v>
      </c>
      <c r="E1761" s="565">
        <v>43900</v>
      </c>
      <c r="F1761" s="566">
        <v>5660000</v>
      </c>
      <c r="G1761" s="564" t="s">
        <v>1123</v>
      </c>
      <c r="H1761" s="564" t="s">
        <v>1123</v>
      </c>
      <c r="I1761" s="564" t="s">
        <v>1417</v>
      </c>
      <c r="J1761" s="564" t="s">
        <v>1069</v>
      </c>
      <c r="K1761" s="564" t="s">
        <v>1070</v>
      </c>
      <c r="L1761" s="564" t="s">
        <v>2098</v>
      </c>
      <c r="M1761" s="564" t="s">
        <v>2098</v>
      </c>
      <c r="N1761" s="564" t="s">
        <v>1082</v>
      </c>
      <c r="O1761" s="564" t="s">
        <v>2099</v>
      </c>
      <c r="P1761" s="23"/>
      <c r="Q1761" s="23"/>
      <c r="R1761" s="23"/>
      <c r="S1761" s="23"/>
      <c r="T1761" s="23"/>
      <c r="U1761" s="23"/>
      <c r="V1761" s="23"/>
      <c r="W1761" s="23"/>
      <c r="X1761" s="23"/>
      <c r="Y1761" s="23"/>
      <c r="Z1761" s="23"/>
    </row>
    <row r="1762" spans="1:26" ht="13">
      <c r="A1762" s="562" t="s">
        <v>4747</v>
      </c>
      <c r="B1762" s="563" t="s">
        <v>4599</v>
      </c>
      <c r="C1762" s="564" t="s">
        <v>1652</v>
      </c>
      <c r="D1762" s="565">
        <v>43872</v>
      </c>
      <c r="E1762" s="565">
        <v>43900</v>
      </c>
      <c r="F1762" s="566">
        <v>18909091</v>
      </c>
      <c r="G1762" s="564" t="s">
        <v>1623</v>
      </c>
      <c r="H1762" s="564" t="s">
        <v>1623</v>
      </c>
      <c r="I1762" s="564" t="s">
        <v>802</v>
      </c>
      <c r="J1762" s="564" t="s">
        <v>1069</v>
      </c>
      <c r="K1762" s="564" t="s">
        <v>1198</v>
      </c>
      <c r="L1762" s="564" t="s">
        <v>2098</v>
      </c>
      <c r="M1762" s="564" t="s">
        <v>2098</v>
      </c>
      <c r="N1762" s="564" t="s">
        <v>132</v>
      </c>
      <c r="O1762" s="564" t="s">
        <v>2099</v>
      </c>
      <c r="P1762" s="23"/>
      <c r="Q1762" s="23"/>
      <c r="R1762" s="23"/>
      <c r="S1762" s="23"/>
      <c r="T1762" s="23"/>
      <c r="U1762" s="23"/>
      <c r="V1762" s="23"/>
      <c r="W1762" s="23"/>
      <c r="X1762" s="23"/>
      <c r="Y1762" s="23"/>
      <c r="Z1762" s="23"/>
    </row>
    <row r="1763" spans="1:26" ht="13">
      <c r="A1763" s="562" t="s">
        <v>4748</v>
      </c>
      <c r="B1763" s="563" t="s">
        <v>4658</v>
      </c>
      <c r="C1763" s="564" t="s">
        <v>1652</v>
      </c>
      <c r="D1763" s="565">
        <v>43874</v>
      </c>
      <c r="E1763" s="565">
        <v>43916</v>
      </c>
      <c r="F1763" s="566">
        <v>81181818</v>
      </c>
      <c r="G1763" s="564" t="s">
        <v>1623</v>
      </c>
      <c r="H1763" s="564" t="s">
        <v>1623</v>
      </c>
      <c r="I1763" s="564" t="s">
        <v>802</v>
      </c>
      <c r="J1763" s="564" t="s">
        <v>1069</v>
      </c>
      <c r="K1763" s="564" t="s">
        <v>1198</v>
      </c>
      <c r="L1763" s="564" t="s">
        <v>2098</v>
      </c>
      <c r="M1763" s="564" t="s">
        <v>2098</v>
      </c>
      <c r="N1763" s="564" t="s">
        <v>132</v>
      </c>
      <c r="O1763" s="564" t="s">
        <v>2099</v>
      </c>
      <c r="P1763" s="23"/>
      <c r="Q1763" s="23"/>
      <c r="R1763" s="23"/>
      <c r="S1763" s="23"/>
      <c r="T1763" s="23"/>
      <c r="U1763" s="23"/>
      <c r="V1763" s="23"/>
      <c r="W1763" s="23"/>
      <c r="X1763" s="23"/>
      <c r="Y1763" s="23"/>
      <c r="Z1763" s="23"/>
    </row>
    <row r="1764" spans="1:26" ht="13">
      <c r="A1764" s="562" t="s">
        <v>4749</v>
      </c>
      <c r="B1764" s="563" t="s">
        <v>4750</v>
      </c>
      <c r="C1764" s="564" t="s">
        <v>1652</v>
      </c>
      <c r="D1764" s="565">
        <v>43874</v>
      </c>
      <c r="E1764" s="565">
        <v>43882</v>
      </c>
      <c r="F1764" s="566">
        <v>1043000</v>
      </c>
      <c r="G1764" s="564" t="s">
        <v>1941</v>
      </c>
      <c r="H1764" s="564" t="s">
        <v>1941</v>
      </c>
      <c r="I1764" s="564" t="s">
        <v>70</v>
      </c>
      <c r="J1764" s="564" t="s">
        <v>1069</v>
      </c>
      <c r="K1764" s="564" t="s">
        <v>1120</v>
      </c>
      <c r="L1764" s="564" t="s">
        <v>2098</v>
      </c>
      <c r="M1764" s="564" t="s">
        <v>2098</v>
      </c>
      <c r="N1764" s="564" t="s">
        <v>70</v>
      </c>
      <c r="O1764" s="564" t="s">
        <v>2099</v>
      </c>
      <c r="P1764" s="23"/>
      <c r="Q1764" s="23"/>
      <c r="R1764" s="23"/>
      <c r="S1764" s="23"/>
      <c r="T1764" s="23"/>
      <c r="U1764" s="23"/>
      <c r="V1764" s="23"/>
      <c r="W1764" s="23"/>
      <c r="X1764" s="23"/>
      <c r="Y1764" s="23"/>
      <c r="Z1764" s="23"/>
    </row>
    <row r="1765" spans="1:26" ht="13">
      <c r="A1765" s="562" t="s">
        <v>4751</v>
      </c>
      <c r="B1765" s="563" t="s">
        <v>4752</v>
      </c>
      <c r="C1765" s="564" t="s">
        <v>353</v>
      </c>
      <c r="D1765" s="565">
        <v>43865</v>
      </c>
      <c r="E1765" s="565">
        <v>43890</v>
      </c>
      <c r="F1765" s="566">
        <v>7033950</v>
      </c>
      <c r="G1765" s="564" t="s">
        <v>1293</v>
      </c>
      <c r="H1765" s="564" t="s">
        <v>1293</v>
      </c>
      <c r="I1765" s="564" t="s">
        <v>121</v>
      </c>
      <c r="J1765" s="564" t="s">
        <v>1069</v>
      </c>
      <c r="K1765" s="564" t="s">
        <v>1105</v>
      </c>
      <c r="L1765" s="564" t="s">
        <v>2098</v>
      </c>
      <c r="M1765" s="564" t="s">
        <v>2098</v>
      </c>
      <c r="N1765" s="564" t="s">
        <v>1073</v>
      </c>
      <c r="O1765" s="564" t="s">
        <v>2099</v>
      </c>
      <c r="P1765" s="23"/>
      <c r="Q1765" s="23"/>
      <c r="R1765" s="23"/>
      <c r="S1765" s="23"/>
      <c r="T1765" s="23"/>
      <c r="U1765" s="23"/>
      <c r="V1765" s="23"/>
      <c r="W1765" s="23"/>
      <c r="X1765" s="23"/>
      <c r="Y1765" s="23"/>
      <c r="Z1765" s="23"/>
    </row>
    <row r="1766" spans="1:26" ht="13">
      <c r="A1766" s="562" t="s">
        <v>4753</v>
      </c>
      <c r="B1766" s="563" t="s">
        <v>4754</v>
      </c>
      <c r="C1766" s="564" t="s">
        <v>1076</v>
      </c>
      <c r="D1766" s="565">
        <v>43867</v>
      </c>
      <c r="E1766" s="565">
        <v>43951</v>
      </c>
      <c r="F1766" s="566">
        <v>795000</v>
      </c>
      <c r="G1766" s="564" t="s">
        <v>1400</v>
      </c>
      <c r="H1766" s="564" t="s">
        <v>1400</v>
      </c>
      <c r="I1766" s="564" t="s">
        <v>637</v>
      </c>
      <c r="J1766" s="564" t="s">
        <v>1069</v>
      </c>
      <c r="K1766" s="564" t="s">
        <v>1070</v>
      </c>
      <c r="L1766" s="564" t="s">
        <v>2098</v>
      </c>
      <c r="M1766" s="564" t="s">
        <v>2098</v>
      </c>
      <c r="N1766" s="564" t="s">
        <v>1082</v>
      </c>
      <c r="O1766" s="564" t="s">
        <v>2099</v>
      </c>
      <c r="P1766" s="23"/>
      <c r="Q1766" s="23"/>
      <c r="R1766" s="23"/>
      <c r="S1766" s="23"/>
      <c r="T1766" s="23"/>
      <c r="U1766" s="23"/>
      <c r="V1766" s="23"/>
      <c r="W1766" s="23"/>
      <c r="X1766" s="23"/>
      <c r="Y1766" s="23"/>
      <c r="Z1766" s="23"/>
    </row>
    <row r="1767" spans="1:26" ht="13">
      <c r="A1767" s="562" t="s">
        <v>4755</v>
      </c>
      <c r="B1767" s="563" t="s">
        <v>4756</v>
      </c>
      <c r="C1767" s="564" t="s">
        <v>1652</v>
      </c>
      <c r="D1767" s="565">
        <v>43866</v>
      </c>
      <c r="E1767" s="565">
        <v>43874</v>
      </c>
      <c r="F1767" s="566">
        <v>1280000</v>
      </c>
      <c r="G1767" s="564" t="s">
        <v>1941</v>
      </c>
      <c r="H1767" s="564" t="s">
        <v>1941</v>
      </c>
      <c r="I1767" s="564" t="s">
        <v>70</v>
      </c>
      <c r="J1767" s="564" t="s">
        <v>1069</v>
      </c>
      <c r="K1767" s="564" t="s">
        <v>1120</v>
      </c>
      <c r="L1767" s="564" t="s">
        <v>2098</v>
      </c>
      <c r="M1767" s="564" t="s">
        <v>2098</v>
      </c>
      <c r="N1767" s="564" t="s">
        <v>70</v>
      </c>
      <c r="O1767" s="564" t="s">
        <v>2099</v>
      </c>
      <c r="P1767" s="23"/>
      <c r="Q1767" s="23"/>
      <c r="R1767" s="23"/>
      <c r="S1767" s="23"/>
      <c r="T1767" s="23"/>
      <c r="U1767" s="23"/>
      <c r="V1767" s="23"/>
      <c r="W1767" s="23"/>
      <c r="X1767" s="23"/>
      <c r="Y1767" s="23"/>
      <c r="Z1767" s="23"/>
    </row>
    <row r="1768" spans="1:26" ht="13">
      <c r="A1768" s="562" t="s">
        <v>4757</v>
      </c>
      <c r="B1768" s="563" t="s">
        <v>4758</v>
      </c>
      <c r="C1768" s="564" t="s">
        <v>353</v>
      </c>
      <c r="D1768" s="565">
        <v>43825</v>
      </c>
      <c r="E1768" s="565">
        <v>43890</v>
      </c>
      <c r="F1768" s="566">
        <v>197000000</v>
      </c>
      <c r="G1768" s="564" t="s">
        <v>1128</v>
      </c>
      <c r="H1768" s="564" t="s">
        <v>1128</v>
      </c>
      <c r="I1768" s="564" t="s">
        <v>45</v>
      </c>
      <c r="J1768" s="564" t="s">
        <v>1069</v>
      </c>
      <c r="K1768" s="564" t="s">
        <v>1090</v>
      </c>
      <c r="L1768" s="564" t="s">
        <v>2098</v>
      </c>
      <c r="M1768" s="564" t="s">
        <v>2098</v>
      </c>
      <c r="N1768" s="564" t="s">
        <v>45</v>
      </c>
      <c r="O1768" s="564" t="s">
        <v>2099</v>
      </c>
      <c r="P1768" s="23"/>
      <c r="Q1768" s="23"/>
      <c r="R1768" s="23"/>
      <c r="S1768" s="23"/>
      <c r="T1768" s="23"/>
      <c r="U1768" s="23"/>
      <c r="V1768" s="23"/>
      <c r="W1768" s="23"/>
      <c r="X1768" s="23"/>
      <c r="Y1768" s="23"/>
      <c r="Z1768" s="23"/>
    </row>
    <row r="1769" spans="1:26" ht="13">
      <c r="A1769" s="562" t="s">
        <v>4759</v>
      </c>
      <c r="B1769" s="563" t="s">
        <v>4760</v>
      </c>
      <c r="C1769" s="564" t="s">
        <v>353</v>
      </c>
      <c r="D1769" s="565">
        <v>43823</v>
      </c>
      <c r="E1769" s="565">
        <v>43871</v>
      </c>
      <c r="F1769" s="566">
        <v>1972000</v>
      </c>
      <c r="G1769" s="564" t="s">
        <v>1128</v>
      </c>
      <c r="H1769" s="564" t="s">
        <v>1128</v>
      </c>
      <c r="I1769" s="564" t="s">
        <v>45</v>
      </c>
      <c r="J1769" s="564" t="s">
        <v>1069</v>
      </c>
      <c r="K1769" s="564" t="s">
        <v>1090</v>
      </c>
      <c r="L1769" s="564" t="s">
        <v>2098</v>
      </c>
      <c r="M1769" s="564" t="s">
        <v>2098</v>
      </c>
      <c r="N1769" s="564" t="s">
        <v>45</v>
      </c>
      <c r="O1769" s="564" t="s">
        <v>2099</v>
      </c>
      <c r="P1769" s="23"/>
      <c r="Q1769" s="23"/>
      <c r="R1769" s="23"/>
      <c r="S1769" s="23"/>
      <c r="T1769" s="23"/>
      <c r="U1769" s="23"/>
      <c r="V1769" s="23"/>
      <c r="W1769" s="23"/>
      <c r="X1769" s="23"/>
      <c r="Y1769" s="23"/>
      <c r="Z1769" s="23"/>
    </row>
    <row r="1770" spans="1:26" ht="13">
      <c r="A1770" s="562" t="s">
        <v>4761</v>
      </c>
      <c r="B1770" s="563" t="s">
        <v>4762</v>
      </c>
      <c r="C1770" s="564" t="s">
        <v>1076</v>
      </c>
      <c r="D1770" s="565">
        <v>43859</v>
      </c>
      <c r="E1770" s="565">
        <v>43921</v>
      </c>
      <c r="F1770" s="566">
        <v>1987000</v>
      </c>
      <c r="G1770" s="564" t="s">
        <v>1400</v>
      </c>
      <c r="H1770" s="564" t="s">
        <v>1400</v>
      </c>
      <c r="I1770" s="564" t="s">
        <v>637</v>
      </c>
      <c r="J1770" s="564" t="s">
        <v>1069</v>
      </c>
      <c r="K1770" s="564" t="s">
        <v>1070</v>
      </c>
      <c r="L1770" s="564" t="s">
        <v>2098</v>
      </c>
      <c r="M1770" s="564" t="s">
        <v>2098</v>
      </c>
      <c r="N1770" s="564" t="s">
        <v>1082</v>
      </c>
      <c r="O1770" s="564" t="s">
        <v>2099</v>
      </c>
      <c r="P1770" s="23"/>
      <c r="Q1770" s="23"/>
      <c r="R1770" s="23"/>
      <c r="S1770" s="23"/>
      <c r="T1770" s="23"/>
      <c r="U1770" s="23"/>
      <c r="V1770" s="23"/>
      <c r="W1770" s="23"/>
      <c r="X1770" s="23"/>
      <c r="Y1770" s="23"/>
      <c r="Z1770" s="23"/>
    </row>
    <row r="1771" spans="1:26" ht="13">
      <c r="A1771" s="562" t="s">
        <v>4763</v>
      </c>
      <c r="B1771" s="563" t="s">
        <v>4764</v>
      </c>
      <c r="C1771" s="564" t="s">
        <v>1652</v>
      </c>
      <c r="D1771" s="565">
        <v>43858</v>
      </c>
      <c r="E1771" s="565">
        <v>43889</v>
      </c>
      <c r="F1771" s="566">
        <v>7000000</v>
      </c>
      <c r="G1771" s="564" t="s">
        <v>1623</v>
      </c>
      <c r="H1771" s="564" t="s">
        <v>1623</v>
      </c>
      <c r="I1771" s="564" t="s">
        <v>1746</v>
      </c>
      <c r="J1771" s="564" t="s">
        <v>1069</v>
      </c>
      <c r="K1771" s="564" t="s">
        <v>1198</v>
      </c>
      <c r="L1771" s="564" t="s">
        <v>2098</v>
      </c>
      <c r="M1771" s="564" t="s">
        <v>2098</v>
      </c>
      <c r="N1771" s="564" t="s">
        <v>1073</v>
      </c>
      <c r="O1771" s="564" t="s">
        <v>2099</v>
      </c>
      <c r="P1771" s="23"/>
      <c r="Q1771" s="23"/>
      <c r="R1771" s="23"/>
      <c r="S1771" s="23"/>
      <c r="T1771" s="23"/>
      <c r="U1771" s="23"/>
      <c r="V1771" s="23"/>
      <c r="W1771" s="23"/>
      <c r="X1771" s="23"/>
      <c r="Y1771" s="23"/>
      <c r="Z1771" s="23"/>
    </row>
    <row r="1772" spans="1:26" ht="13">
      <c r="A1772" s="562" t="s">
        <v>4765</v>
      </c>
      <c r="B1772" s="563" t="s">
        <v>4766</v>
      </c>
      <c r="C1772" s="564" t="s">
        <v>1652</v>
      </c>
      <c r="D1772" s="565">
        <v>43850</v>
      </c>
      <c r="E1772" s="565">
        <v>43875</v>
      </c>
      <c r="F1772" s="566">
        <v>1005000</v>
      </c>
      <c r="G1772" s="564" t="s">
        <v>1941</v>
      </c>
      <c r="H1772" s="564" t="s">
        <v>1941</v>
      </c>
      <c r="I1772" s="564" t="s">
        <v>4767</v>
      </c>
      <c r="J1772" s="564" t="s">
        <v>1069</v>
      </c>
      <c r="K1772" s="564" t="s">
        <v>1120</v>
      </c>
      <c r="L1772" s="564" t="s">
        <v>2098</v>
      </c>
      <c r="M1772" s="564" t="s">
        <v>2098</v>
      </c>
      <c r="N1772" s="564" t="s">
        <v>70</v>
      </c>
      <c r="O1772" s="564" t="s">
        <v>2099</v>
      </c>
      <c r="P1772" s="23"/>
      <c r="Q1772" s="23"/>
      <c r="R1772" s="23"/>
      <c r="S1772" s="23"/>
      <c r="T1772" s="23"/>
      <c r="U1772" s="23"/>
      <c r="V1772" s="23"/>
      <c r="W1772" s="23"/>
      <c r="X1772" s="23"/>
      <c r="Y1772" s="23"/>
      <c r="Z1772" s="23"/>
    </row>
    <row r="1773" spans="1:26" ht="13">
      <c r="A1773" s="562" t="s">
        <v>4768</v>
      </c>
      <c r="B1773" s="563" t="s">
        <v>4769</v>
      </c>
      <c r="C1773" s="564" t="s">
        <v>1652</v>
      </c>
      <c r="D1773" s="565">
        <v>43850</v>
      </c>
      <c r="E1773" s="565">
        <v>43875</v>
      </c>
      <c r="F1773" s="566">
        <v>1005000</v>
      </c>
      <c r="G1773" s="564" t="s">
        <v>1941</v>
      </c>
      <c r="H1773" s="564" t="s">
        <v>1941</v>
      </c>
      <c r="I1773" s="564" t="s">
        <v>4767</v>
      </c>
      <c r="J1773" s="564" t="s">
        <v>1069</v>
      </c>
      <c r="K1773" s="564" t="s">
        <v>1120</v>
      </c>
      <c r="L1773" s="564" t="s">
        <v>2098</v>
      </c>
      <c r="M1773" s="564" t="s">
        <v>2098</v>
      </c>
      <c r="N1773" s="564" t="s">
        <v>70</v>
      </c>
      <c r="O1773" s="564" t="s">
        <v>2099</v>
      </c>
      <c r="P1773" s="23"/>
      <c r="Q1773" s="23"/>
      <c r="R1773" s="23"/>
      <c r="S1773" s="23"/>
      <c r="T1773" s="23"/>
      <c r="U1773" s="23"/>
      <c r="V1773" s="23"/>
      <c r="W1773" s="23"/>
      <c r="X1773" s="23"/>
      <c r="Y1773" s="23"/>
      <c r="Z1773" s="23"/>
    </row>
    <row r="1774" spans="1:26" ht="13">
      <c r="A1774" s="562" t="s">
        <v>4770</v>
      </c>
      <c r="B1774" s="563" t="s">
        <v>4618</v>
      </c>
      <c r="C1774" s="564" t="s">
        <v>1076</v>
      </c>
      <c r="D1774" s="565">
        <v>43852</v>
      </c>
      <c r="E1774" s="565">
        <v>43921</v>
      </c>
      <c r="F1774" s="566">
        <v>866000</v>
      </c>
      <c r="G1774" s="564" t="s">
        <v>1400</v>
      </c>
      <c r="H1774" s="564" t="s">
        <v>1400</v>
      </c>
      <c r="I1774" s="564" t="s">
        <v>637</v>
      </c>
      <c r="J1774" s="564" t="s">
        <v>1069</v>
      </c>
      <c r="K1774" s="564" t="s">
        <v>1070</v>
      </c>
      <c r="L1774" s="564" t="s">
        <v>2098</v>
      </c>
      <c r="M1774" s="564" t="s">
        <v>2098</v>
      </c>
      <c r="N1774" s="564" t="s">
        <v>1082</v>
      </c>
      <c r="O1774" s="564" t="s">
        <v>2099</v>
      </c>
      <c r="P1774" s="23"/>
      <c r="Q1774" s="23"/>
      <c r="R1774" s="23"/>
      <c r="S1774" s="23"/>
      <c r="T1774" s="23"/>
      <c r="U1774" s="23"/>
      <c r="V1774" s="23"/>
      <c r="W1774" s="23"/>
      <c r="X1774" s="23"/>
      <c r="Y1774" s="23"/>
      <c r="Z1774" s="23"/>
    </row>
    <row r="1775" spans="1:26" ht="13">
      <c r="A1775" s="562" t="s">
        <v>4771</v>
      </c>
      <c r="B1775" s="563" t="s">
        <v>2824</v>
      </c>
      <c r="C1775" s="564" t="s">
        <v>353</v>
      </c>
      <c r="D1775" s="565">
        <v>43847</v>
      </c>
      <c r="E1775" s="565">
        <v>43850</v>
      </c>
      <c r="F1775" s="566">
        <v>1200000</v>
      </c>
      <c r="G1775" s="564" t="s">
        <v>1128</v>
      </c>
      <c r="H1775" s="564" t="s">
        <v>1128</v>
      </c>
      <c r="I1775" s="564" t="s">
        <v>45</v>
      </c>
      <c r="J1775" s="564" t="s">
        <v>1069</v>
      </c>
      <c r="K1775" s="564" t="s">
        <v>1090</v>
      </c>
      <c r="L1775" s="564" t="s">
        <v>2098</v>
      </c>
      <c r="M1775" s="564" t="s">
        <v>2098</v>
      </c>
      <c r="N1775" s="564" t="s">
        <v>45</v>
      </c>
      <c r="O1775" s="564" t="s">
        <v>2099</v>
      </c>
      <c r="P1775" s="23"/>
      <c r="Q1775" s="23"/>
      <c r="R1775" s="23"/>
      <c r="S1775" s="23"/>
      <c r="T1775" s="23"/>
      <c r="U1775" s="23"/>
      <c r="V1775" s="23"/>
      <c r="W1775" s="23"/>
      <c r="X1775" s="23"/>
      <c r="Y1775" s="23"/>
      <c r="Z1775" s="23"/>
    </row>
    <row r="1776" spans="1:26" ht="13">
      <c r="A1776" s="562" t="s">
        <v>4772</v>
      </c>
      <c r="B1776" s="563" t="s">
        <v>4773</v>
      </c>
      <c r="C1776" s="564" t="s">
        <v>1076</v>
      </c>
      <c r="D1776" s="565">
        <v>43847</v>
      </c>
      <c r="E1776" s="565">
        <v>43921</v>
      </c>
      <c r="F1776" s="566">
        <v>3947000</v>
      </c>
      <c r="G1776" s="564" t="s">
        <v>1400</v>
      </c>
      <c r="H1776" s="564" t="s">
        <v>1400</v>
      </c>
      <c r="I1776" s="564" t="s">
        <v>637</v>
      </c>
      <c r="J1776" s="564" t="s">
        <v>1069</v>
      </c>
      <c r="K1776" s="564" t="s">
        <v>1070</v>
      </c>
      <c r="L1776" s="564" t="s">
        <v>2098</v>
      </c>
      <c r="M1776" s="564" t="s">
        <v>2098</v>
      </c>
      <c r="N1776" s="564" t="s">
        <v>1082</v>
      </c>
      <c r="O1776" s="564" t="s">
        <v>2099</v>
      </c>
      <c r="P1776" s="23"/>
      <c r="Q1776" s="23"/>
      <c r="R1776" s="23"/>
      <c r="S1776" s="23"/>
      <c r="T1776" s="23"/>
      <c r="U1776" s="23"/>
      <c r="V1776" s="23"/>
      <c r="W1776" s="23"/>
      <c r="X1776" s="23"/>
      <c r="Y1776" s="23"/>
      <c r="Z1776" s="23"/>
    </row>
    <row r="1777" spans="1:26" ht="13">
      <c r="A1777" s="562" t="s">
        <v>4774</v>
      </c>
      <c r="B1777" s="563" t="s">
        <v>4775</v>
      </c>
      <c r="C1777" s="564" t="s">
        <v>353</v>
      </c>
      <c r="D1777" s="565">
        <v>43847</v>
      </c>
      <c r="E1777" s="565">
        <v>43861</v>
      </c>
      <c r="F1777" s="566">
        <v>2220000</v>
      </c>
      <c r="G1777" s="564" t="s">
        <v>1405</v>
      </c>
      <c r="H1777" s="564" t="s">
        <v>1405</v>
      </c>
      <c r="I1777" s="564" t="s">
        <v>70</v>
      </c>
      <c r="J1777" s="564" t="s">
        <v>1069</v>
      </c>
      <c r="K1777" s="564" t="s">
        <v>1120</v>
      </c>
      <c r="L1777" s="564" t="s">
        <v>2098</v>
      </c>
      <c r="M1777" s="564" t="s">
        <v>2098</v>
      </c>
      <c r="N1777" s="564" t="s">
        <v>70</v>
      </c>
      <c r="O1777" s="564" t="s">
        <v>2099</v>
      </c>
      <c r="P1777" s="23"/>
      <c r="Q1777" s="23"/>
      <c r="R1777" s="23"/>
      <c r="S1777" s="23"/>
      <c r="T1777" s="23"/>
      <c r="U1777" s="23"/>
      <c r="V1777" s="23"/>
      <c r="W1777" s="23"/>
      <c r="X1777" s="23"/>
      <c r="Y1777" s="23"/>
      <c r="Z1777" s="23"/>
    </row>
    <row r="1778" spans="1:26" ht="13">
      <c r="A1778" s="562" t="s">
        <v>4776</v>
      </c>
      <c r="B1778" s="563" t="s">
        <v>4777</v>
      </c>
      <c r="C1778" s="564" t="s">
        <v>1652</v>
      </c>
      <c r="D1778" s="565">
        <v>43843</v>
      </c>
      <c r="E1778" s="565">
        <v>43871</v>
      </c>
      <c r="F1778" s="566">
        <v>11100000</v>
      </c>
      <c r="G1778" s="564" t="s">
        <v>1623</v>
      </c>
      <c r="H1778" s="564" t="s">
        <v>1623</v>
      </c>
      <c r="I1778" s="564" t="s">
        <v>802</v>
      </c>
      <c r="J1778" s="564" t="s">
        <v>1069</v>
      </c>
      <c r="K1778" s="564" t="s">
        <v>1198</v>
      </c>
      <c r="L1778" s="564" t="s">
        <v>2098</v>
      </c>
      <c r="M1778" s="564" t="s">
        <v>2098</v>
      </c>
      <c r="N1778" s="564" t="s">
        <v>132</v>
      </c>
      <c r="O1778" s="564" t="s">
        <v>2099</v>
      </c>
      <c r="P1778" s="23"/>
      <c r="Q1778" s="23"/>
      <c r="R1778" s="23"/>
      <c r="S1778" s="23"/>
      <c r="T1778" s="23"/>
      <c r="U1778" s="23"/>
      <c r="V1778" s="23"/>
      <c r="W1778" s="23"/>
      <c r="X1778" s="23"/>
      <c r="Y1778" s="23"/>
      <c r="Z1778" s="23"/>
    </row>
    <row r="1779" spans="1:26" ht="13">
      <c r="A1779" s="562" t="s">
        <v>4778</v>
      </c>
      <c r="B1779" s="563" t="s">
        <v>4779</v>
      </c>
      <c r="C1779" s="564" t="s">
        <v>353</v>
      </c>
      <c r="D1779" s="565">
        <v>43846</v>
      </c>
      <c r="E1779" s="565">
        <v>43882</v>
      </c>
      <c r="F1779" s="566">
        <v>1856000</v>
      </c>
      <c r="G1779" s="564" t="s">
        <v>1293</v>
      </c>
      <c r="H1779" s="564" t="s">
        <v>1293</v>
      </c>
      <c r="I1779" s="564" t="s">
        <v>4780</v>
      </c>
      <c r="J1779" s="564" t="s">
        <v>1069</v>
      </c>
      <c r="K1779" s="564" t="s">
        <v>1090</v>
      </c>
      <c r="L1779" s="564" t="s">
        <v>2098</v>
      </c>
      <c r="M1779" s="564" t="s">
        <v>2098</v>
      </c>
      <c r="N1779" s="564" t="s">
        <v>1073</v>
      </c>
      <c r="O1779" s="564" t="s">
        <v>2099</v>
      </c>
      <c r="P1779" s="23"/>
      <c r="Q1779" s="23"/>
      <c r="R1779" s="23"/>
      <c r="S1779" s="23"/>
      <c r="T1779" s="23"/>
      <c r="U1779" s="23"/>
      <c r="V1779" s="23"/>
      <c r="W1779" s="23"/>
      <c r="X1779" s="23"/>
      <c r="Y1779" s="23"/>
      <c r="Z1779" s="23"/>
    </row>
    <row r="1780" spans="1:26" ht="13">
      <c r="A1780" s="562" t="s">
        <v>4781</v>
      </c>
      <c r="B1780" s="563" t="s">
        <v>4782</v>
      </c>
      <c r="C1780" s="564" t="s">
        <v>353</v>
      </c>
      <c r="D1780" s="565">
        <v>43840</v>
      </c>
      <c r="E1780" s="565">
        <v>43882</v>
      </c>
      <c r="F1780" s="566">
        <v>1856000</v>
      </c>
      <c r="G1780" s="564" t="s">
        <v>1293</v>
      </c>
      <c r="H1780" s="564" t="s">
        <v>1293</v>
      </c>
      <c r="I1780" s="564" t="s">
        <v>4780</v>
      </c>
      <c r="J1780" s="564" t="s">
        <v>1069</v>
      </c>
      <c r="K1780" s="564" t="s">
        <v>1090</v>
      </c>
      <c r="L1780" s="564" t="s">
        <v>2098</v>
      </c>
      <c r="M1780" s="564" t="s">
        <v>2098</v>
      </c>
      <c r="N1780" s="564" t="s">
        <v>1073</v>
      </c>
      <c r="O1780" s="564" t="s">
        <v>2099</v>
      </c>
      <c r="P1780" s="23"/>
      <c r="Q1780" s="23"/>
      <c r="R1780" s="23"/>
      <c r="S1780" s="23"/>
      <c r="T1780" s="23"/>
      <c r="U1780" s="23"/>
      <c r="V1780" s="23"/>
      <c r="W1780" s="23"/>
      <c r="X1780" s="23"/>
      <c r="Y1780" s="23"/>
      <c r="Z1780" s="23"/>
    </row>
    <row r="1781" spans="1:26" ht="13">
      <c r="A1781" s="562" t="s">
        <v>4783</v>
      </c>
      <c r="B1781" s="563" t="s">
        <v>4784</v>
      </c>
      <c r="C1781" s="564" t="s">
        <v>1652</v>
      </c>
      <c r="D1781" s="565">
        <v>43837</v>
      </c>
      <c r="E1781" s="565">
        <v>43865</v>
      </c>
      <c r="F1781" s="566">
        <v>1363636</v>
      </c>
      <c r="G1781" s="564" t="s">
        <v>1623</v>
      </c>
      <c r="H1781" s="564" t="s">
        <v>1623</v>
      </c>
      <c r="I1781" s="564" t="s">
        <v>802</v>
      </c>
      <c r="J1781" s="564" t="s">
        <v>1069</v>
      </c>
      <c r="K1781" s="564" t="s">
        <v>1198</v>
      </c>
      <c r="L1781" s="564" t="s">
        <v>2098</v>
      </c>
      <c r="M1781" s="564" t="s">
        <v>2098</v>
      </c>
      <c r="N1781" s="564" t="s">
        <v>132</v>
      </c>
      <c r="O1781" s="564" t="s">
        <v>2099</v>
      </c>
      <c r="P1781" s="23"/>
      <c r="Q1781" s="23"/>
      <c r="R1781" s="23"/>
      <c r="S1781" s="23"/>
      <c r="T1781" s="23"/>
      <c r="U1781" s="23"/>
      <c r="V1781" s="23"/>
      <c r="W1781" s="23"/>
      <c r="X1781" s="23"/>
      <c r="Y1781" s="23"/>
      <c r="Z1781" s="23"/>
    </row>
    <row r="1782" spans="1:26" ht="13">
      <c r="A1782" s="562" t="s">
        <v>4785</v>
      </c>
      <c r="B1782" s="563" t="s">
        <v>4786</v>
      </c>
      <c r="C1782" s="564" t="s">
        <v>1652</v>
      </c>
      <c r="D1782" s="565">
        <v>43825</v>
      </c>
      <c r="E1782" s="565">
        <v>43836</v>
      </c>
      <c r="F1782" s="566">
        <v>8104600</v>
      </c>
      <c r="G1782" s="564" t="s">
        <v>1623</v>
      </c>
      <c r="H1782" s="564" t="s">
        <v>1623</v>
      </c>
      <c r="I1782" s="564" t="s">
        <v>802</v>
      </c>
      <c r="J1782" s="564" t="s">
        <v>1069</v>
      </c>
      <c r="K1782" s="564" t="s">
        <v>1198</v>
      </c>
      <c r="L1782" s="564" t="s">
        <v>2098</v>
      </c>
      <c r="M1782" s="564" t="s">
        <v>2098</v>
      </c>
      <c r="N1782" s="564" t="s">
        <v>132</v>
      </c>
      <c r="O1782" s="564" t="s">
        <v>2099</v>
      </c>
      <c r="P1782" s="23"/>
      <c r="Q1782" s="23"/>
      <c r="R1782" s="23"/>
      <c r="S1782" s="23"/>
      <c r="T1782" s="23"/>
      <c r="U1782" s="23"/>
      <c r="V1782" s="23"/>
      <c r="W1782" s="23"/>
      <c r="X1782" s="23"/>
      <c r="Y1782" s="23"/>
      <c r="Z1782" s="23"/>
    </row>
    <row r="1783" spans="1:26" ht="13">
      <c r="A1783" s="562" t="s">
        <v>4787</v>
      </c>
      <c r="B1783" s="563" t="s">
        <v>3712</v>
      </c>
      <c r="C1783" s="564" t="s">
        <v>353</v>
      </c>
      <c r="D1783" s="565">
        <v>43838</v>
      </c>
      <c r="E1783" s="565">
        <v>43845</v>
      </c>
      <c r="F1783" s="566">
        <v>8600000</v>
      </c>
      <c r="G1783" s="564" t="s">
        <v>1128</v>
      </c>
      <c r="H1783" s="564" t="s">
        <v>1128</v>
      </c>
      <c r="I1783" s="564" t="s">
        <v>45</v>
      </c>
      <c r="J1783" s="564" t="s">
        <v>1069</v>
      </c>
      <c r="K1783" s="564" t="s">
        <v>1090</v>
      </c>
      <c r="L1783" s="564" t="s">
        <v>2098</v>
      </c>
      <c r="M1783" s="564" t="s">
        <v>2098</v>
      </c>
      <c r="N1783" s="564" t="s">
        <v>45</v>
      </c>
      <c r="O1783" s="564" t="s">
        <v>2099</v>
      </c>
      <c r="P1783" s="23"/>
      <c r="Q1783" s="23"/>
      <c r="R1783" s="23"/>
      <c r="S1783" s="23"/>
      <c r="T1783" s="23"/>
      <c r="U1783" s="23"/>
      <c r="V1783" s="23"/>
      <c r="W1783" s="23"/>
      <c r="X1783" s="23"/>
      <c r="Y1783" s="23"/>
      <c r="Z1783" s="23"/>
    </row>
    <row r="1784" spans="1:26" ht="13">
      <c r="A1784" s="562" t="s">
        <v>4788</v>
      </c>
      <c r="B1784" s="563" t="s">
        <v>3726</v>
      </c>
      <c r="C1784" s="564" t="s">
        <v>353</v>
      </c>
      <c r="D1784" s="565">
        <v>43838</v>
      </c>
      <c r="E1784" s="565">
        <v>43861</v>
      </c>
      <c r="F1784" s="566">
        <v>9800000</v>
      </c>
      <c r="G1784" s="564" t="s">
        <v>1128</v>
      </c>
      <c r="H1784" s="564" t="s">
        <v>1128</v>
      </c>
      <c r="I1784" s="564" t="s">
        <v>45</v>
      </c>
      <c r="J1784" s="564" t="s">
        <v>1069</v>
      </c>
      <c r="K1784" s="564" t="s">
        <v>1090</v>
      </c>
      <c r="L1784" s="564" t="s">
        <v>2098</v>
      </c>
      <c r="M1784" s="564" t="s">
        <v>2098</v>
      </c>
      <c r="N1784" s="564" t="s">
        <v>45</v>
      </c>
      <c r="O1784" s="564" t="s">
        <v>2099</v>
      </c>
      <c r="P1784" s="23"/>
      <c r="Q1784" s="23"/>
      <c r="R1784" s="23"/>
      <c r="S1784" s="23"/>
      <c r="T1784" s="23"/>
      <c r="U1784" s="23"/>
      <c r="V1784" s="23"/>
      <c r="W1784" s="23"/>
      <c r="X1784" s="23"/>
      <c r="Y1784" s="23"/>
      <c r="Z1784" s="23"/>
    </row>
    <row r="1785" spans="1:26" ht="13">
      <c r="A1785" s="562" t="s">
        <v>4789</v>
      </c>
      <c r="B1785" s="563" t="s">
        <v>4790</v>
      </c>
      <c r="C1785" s="564" t="s">
        <v>1076</v>
      </c>
      <c r="D1785" s="565">
        <v>43838</v>
      </c>
      <c r="E1785" s="565">
        <v>43921</v>
      </c>
      <c r="F1785" s="566">
        <v>3464000</v>
      </c>
      <c r="G1785" s="564" t="s">
        <v>1400</v>
      </c>
      <c r="H1785" s="564" t="s">
        <v>1400</v>
      </c>
      <c r="I1785" s="564" t="s">
        <v>637</v>
      </c>
      <c r="J1785" s="564" t="s">
        <v>1069</v>
      </c>
      <c r="K1785" s="564" t="s">
        <v>1070</v>
      </c>
      <c r="L1785" s="564" t="s">
        <v>2098</v>
      </c>
      <c r="M1785" s="564" t="s">
        <v>2098</v>
      </c>
      <c r="N1785" s="564" t="s">
        <v>1082</v>
      </c>
      <c r="O1785" s="564" t="s">
        <v>2099</v>
      </c>
      <c r="P1785" s="23"/>
      <c r="Q1785" s="23"/>
      <c r="R1785" s="23"/>
      <c r="S1785" s="23"/>
      <c r="T1785" s="23"/>
      <c r="U1785" s="23"/>
      <c r="V1785" s="23"/>
      <c r="W1785" s="23"/>
      <c r="X1785" s="23"/>
      <c r="Y1785" s="23"/>
      <c r="Z1785" s="23"/>
    </row>
    <row r="1786" spans="1:26" ht="13">
      <c r="A1786" s="562" t="s">
        <v>4791</v>
      </c>
      <c r="B1786" s="563" t="s">
        <v>4792</v>
      </c>
      <c r="C1786" s="564" t="s">
        <v>353</v>
      </c>
      <c r="D1786" s="565">
        <v>43838</v>
      </c>
      <c r="E1786" s="565">
        <v>43871</v>
      </c>
      <c r="F1786" s="566">
        <v>2200000</v>
      </c>
      <c r="G1786" s="564" t="s">
        <v>1128</v>
      </c>
      <c r="H1786" s="564" t="s">
        <v>1128</v>
      </c>
      <c r="I1786" s="564" t="s">
        <v>45</v>
      </c>
      <c r="J1786" s="564" t="s">
        <v>1069</v>
      </c>
      <c r="K1786" s="564" t="s">
        <v>1090</v>
      </c>
      <c r="L1786" s="564" t="s">
        <v>2098</v>
      </c>
      <c r="M1786" s="564" t="s">
        <v>2098</v>
      </c>
      <c r="N1786" s="564" t="s">
        <v>45</v>
      </c>
      <c r="O1786" s="564" t="s">
        <v>2099</v>
      </c>
      <c r="P1786" s="23"/>
      <c r="Q1786" s="23"/>
      <c r="R1786" s="23"/>
      <c r="S1786" s="23"/>
      <c r="T1786" s="23"/>
      <c r="U1786" s="23"/>
      <c r="V1786" s="23"/>
      <c r="W1786" s="23"/>
      <c r="X1786" s="23"/>
      <c r="Y1786" s="23"/>
      <c r="Z1786" s="23"/>
    </row>
    <row r="1787" spans="1:26" ht="13">
      <c r="A1787" s="562" t="s">
        <v>4793</v>
      </c>
      <c r="B1787" s="563" t="s">
        <v>4794</v>
      </c>
      <c r="C1787" s="564" t="s">
        <v>3378</v>
      </c>
      <c r="D1787" s="565">
        <v>43838</v>
      </c>
      <c r="E1787" s="565">
        <v>43845</v>
      </c>
      <c r="F1787" s="566">
        <v>8800000</v>
      </c>
      <c r="G1787" s="564" t="s">
        <v>1128</v>
      </c>
      <c r="H1787" s="564" t="s">
        <v>1128</v>
      </c>
      <c r="I1787" s="564" t="s">
        <v>45</v>
      </c>
      <c r="J1787" s="564" t="s">
        <v>1069</v>
      </c>
      <c r="K1787" s="564" t="s">
        <v>1090</v>
      </c>
      <c r="L1787" s="564" t="s">
        <v>2098</v>
      </c>
      <c r="M1787" s="564" t="s">
        <v>2098</v>
      </c>
      <c r="N1787" s="564" t="s">
        <v>45</v>
      </c>
      <c r="O1787" s="564" t="s">
        <v>2099</v>
      </c>
      <c r="P1787" s="23"/>
      <c r="Q1787" s="23"/>
      <c r="R1787" s="23"/>
      <c r="S1787" s="23"/>
      <c r="T1787" s="23"/>
      <c r="U1787" s="23"/>
      <c r="V1787" s="23"/>
      <c r="W1787" s="23"/>
      <c r="X1787" s="23"/>
      <c r="Y1787" s="23"/>
      <c r="Z1787" s="23"/>
    </row>
    <row r="1788" spans="1:26" ht="13">
      <c r="A1788" s="562" t="s">
        <v>4795</v>
      </c>
      <c r="B1788" s="563" t="s">
        <v>4796</v>
      </c>
      <c r="C1788" s="564" t="s">
        <v>1076</v>
      </c>
      <c r="D1788" s="565">
        <v>43832</v>
      </c>
      <c r="E1788" s="565">
        <v>43921</v>
      </c>
      <c r="F1788" s="566">
        <v>3083000</v>
      </c>
      <c r="G1788" s="564" t="s">
        <v>1400</v>
      </c>
      <c r="H1788" s="564" t="s">
        <v>1400</v>
      </c>
      <c r="I1788" s="564" t="s">
        <v>637</v>
      </c>
      <c r="J1788" s="564" t="s">
        <v>1069</v>
      </c>
      <c r="K1788" s="564" t="s">
        <v>1070</v>
      </c>
      <c r="L1788" s="564" t="s">
        <v>2098</v>
      </c>
      <c r="M1788" s="564" t="s">
        <v>2098</v>
      </c>
      <c r="N1788" s="564" t="s">
        <v>1082</v>
      </c>
      <c r="O1788" s="564" t="s">
        <v>2099</v>
      </c>
      <c r="P1788" s="23"/>
      <c r="Q1788" s="23"/>
      <c r="R1788" s="23"/>
      <c r="S1788" s="23"/>
      <c r="T1788" s="23"/>
      <c r="U1788" s="23"/>
      <c r="V1788" s="23"/>
      <c r="W1788" s="23"/>
      <c r="X1788" s="23"/>
      <c r="Y1788" s="23"/>
      <c r="Z1788" s="23"/>
    </row>
    <row r="1789" spans="1:26" ht="13">
      <c r="A1789" s="562" t="s">
        <v>4797</v>
      </c>
      <c r="B1789" s="563" t="s">
        <v>4315</v>
      </c>
      <c r="C1789" s="564" t="s">
        <v>1475</v>
      </c>
      <c r="D1789" s="565">
        <v>43826</v>
      </c>
      <c r="E1789" s="565">
        <v>43861</v>
      </c>
      <c r="F1789" s="566">
        <v>550800</v>
      </c>
      <c r="G1789" s="564" t="s">
        <v>1293</v>
      </c>
      <c r="H1789" s="564" t="s">
        <v>1293</v>
      </c>
      <c r="I1789" s="564" t="s">
        <v>125</v>
      </c>
      <c r="J1789" s="564" t="s">
        <v>1069</v>
      </c>
      <c r="K1789" s="564" t="s">
        <v>1070</v>
      </c>
      <c r="L1789" s="564" t="s">
        <v>2098</v>
      </c>
      <c r="M1789" s="564" t="s">
        <v>2098</v>
      </c>
      <c r="N1789" s="564" t="s">
        <v>1073</v>
      </c>
      <c r="O1789" s="564" t="s">
        <v>4798</v>
      </c>
      <c r="P1789" s="23"/>
      <c r="Q1789" s="23"/>
      <c r="R1789" s="23"/>
      <c r="S1789" s="23"/>
      <c r="T1789" s="23"/>
      <c r="U1789" s="23"/>
      <c r="V1789" s="23"/>
      <c r="W1789" s="23"/>
      <c r="X1789" s="23"/>
      <c r="Y1789" s="23"/>
      <c r="Z1789" s="23"/>
    </row>
    <row r="1790" spans="1:26" ht="13">
      <c r="A1790" s="562" t="s">
        <v>4799</v>
      </c>
      <c r="B1790" s="563" t="s">
        <v>4786</v>
      </c>
      <c r="C1790" s="564" t="s">
        <v>1370</v>
      </c>
      <c r="D1790" s="565">
        <v>43825</v>
      </c>
      <c r="E1790" s="565">
        <v>43836</v>
      </c>
      <c r="F1790" s="566">
        <v>8104600</v>
      </c>
      <c r="G1790" s="564" t="s">
        <v>1623</v>
      </c>
      <c r="H1790" s="564" t="s">
        <v>1623</v>
      </c>
      <c r="I1790" s="564" t="s">
        <v>802</v>
      </c>
      <c r="J1790" s="564" t="s">
        <v>1069</v>
      </c>
      <c r="K1790" s="564" t="s">
        <v>1198</v>
      </c>
      <c r="L1790" s="564" t="s">
        <v>2098</v>
      </c>
      <c r="M1790" s="564" t="s">
        <v>2098</v>
      </c>
      <c r="N1790" s="564" t="s">
        <v>132</v>
      </c>
      <c r="O1790" s="564" t="s">
        <v>2099</v>
      </c>
      <c r="P1790" s="23"/>
      <c r="Q1790" s="23"/>
      <c r="R1790" s="23"/>
      <c r="S1790" s="23"/>
      <c r="T1790" s="23"/>
      <c r="U1790" s="23"/>
      <c r="V1790" s="23"/>
      <c r="W1790" s="23"/>
      <c r="X1790" s="23"/>
      <c r="Y1790" s="23"/>
      <c r="Z1790" s="23"/>
    </row>
    <row r="1791" spans="1:26" ht="13">
      <c r="A1791" s="562" t="s">
        <v>4800</v>
      </c>
      <c r="B1791" s="563" t="s">
        <v>4801</v>
      </c>
      <c r="C1791" s="564" t="s">
        <v>3378</v>
      </c>
      <c r="D1791" s="565">
        <v>43829</v>
      </c>
      <c r="E1791" s="565">
        <v>43830</v>
      </c>
      <c r="F1791" s="567"/>
      <c r="G1791" s="564" t="s">
        <v>3535</v>
      </c>
      <c r="H1791" s="564" t="s">
        <v>3535</v>
      </c>
      <c r="I1791" s="564" t="s">
        <v>64</v>
      </c>
      <c r="J1791" s="564" t="s">
        <v>1069</v>
      </c>
      <c r="K1791" s="564" t="s">
        <v>1090</v>
      </c>
      <c r="L1791" s="564" t="s">
        <v>2098</v>
      </c>
      <c r="M1791" s="564" t="s">
        <v>2098</v>
      </c>
      <c r="N1791" s="564" t="s">
        <v>64</v>
      </c>
      <c r="O1791" s="564" t="s">
        <v>2099</v>
      </c>
      <c r="P1791" s="23"/>
      <c r="Q1791" s="23"/>
      <c r="R1791" s="23"/>
      <c r="S1791" s="23"/>
      <c r="T1791" s="23"/>
      <c r="U1791" s="23"/>
      <c r="V1791" s="23"/>
      <c r="W1791" s="23"/>
      <c r="X1791" s="23"/>
      <c r="Y1791" s="23"/>
      <c r="Z1791" s="23"/>
    </row>
    <row r="1792" spans="1:26" ht="13">
      <c r="A1792" s="562" t="s">
        <v>4802</v>
      </c>
      <c r="B1792" s="563" t="s">
        <v>4803</v>
      </c>
      <c r="C1792" s="564" t="s">
        <v>1076</v>
      </c>
      <c r="D1792" s="565">
        <v>43825</v>
      </c>
      <c r="E1792" s="565">
        <v>43830</v>
      </c>
      <c r="F1792" s="566">
        <v>688500000</v>
      </c>
      <c r="G1792" s="564" t="s">
        <v>1128</v>
      </c>
      <c r="H1792" s="564" t="s">
        <v>1128</v>
      </c>
      <c r="I1792" s="564" t="s">
        <v>45</v>
      </c>
      <c r="J1792" s="564" t="s">
        <v>1069</v>
      </c>
      <c r="K1792" s="564" t="s">
        <v>1090</v>
      </c>
      <c r="L1792" s="564" t="s">
        <v>2098</v>
      </c>
      <c r="M1792" s="564" t="s">
        <v>2098</v>
      </c>
      <c r="N1792" s="564" t="s">
        <v>45</v>
      </c>
      <c r="O1792" s="564" t="s">
        <v>2099</v>
      </c>
      <c r="P1792" s="23"/>
      <c r="Q1792" s="23"/>
      <c r="R1792" s="23"/>
      <c r="S1792" s="23"/>
      <c r="T1792" s="23"/>
      <c r="U1792" s="23"/>
      <c r="V1792" s="23"/>
      <c r="W1792" s="23"/>
      <c r="X1792" s="23"/>
      <c r="Y1792" s="23"/>
      <c r="Z1792" s="23"/>
    </row>
    <row r="1793" spans="1:26" ht="13">
      <c r="A1793" s="562" t="s">
        <v>4804</v>
      </c>
      <c r="B1793" s="563" t="s">
        <v>4805</v>
      </c>
      <c r="C1793" s="564" t="s">
        <v>1475</v>
      </c>
      <c r="D1793" s="565">
        <v>43805</v>
      </c>
      <c r="E1793" s="565">
        <v>43861</v>
      </c>
      <c r="F1793" s="566">
        <v>56780000</v>
      </c>
      <c r="G1793" s="564" t="s">
        <v>1025</v>
      </c>
      <c r="H1793" s="564" t="s">
        <v>1025</v>
      </c>
      <c r="I1793" s="564" t="s">
        <v>4806</v>
      </c>
      <c r="J1793" s="564" t="s">
        <v>1069</v>
      </c>
      <c r="K1793" s="564" t="s">
        <v>1070</v>
      </c>
      <c r="L1793" s="564" t="s">
        <v>2098</v>
      </c>
      <c r="M1793" s="564" t="s">
        <v>2098</v>
      </c>
      <c r="N1793" s="564" t="s">
        <v>1082</v>
      </c>
      <c r="O1793" s="564" t="s">
        <v>2099</v>
      </c>
      <c r="P1793" s="23"/>
      <c r="Q1793" s="23"/>
      <c r="R1793" s="23"/>
      <c r="S1793" s="23"/>
      <c r="T1793" s="23"/>
      <c r="U1793" s="23"/>
      <c r="V1793" s="23"/>
      <c r="W1793" s="23"/>
      <c r="X1793" s="23"/>
      <c r="Y1793" s="23"/>
      <c r="Z1793" s="23"/>
    </row>
    <row r="1794" spans="1:26" ht="13">
      <c r="A1794" s="562" t="s">
        <v>4807</v>
      </c>
      <c r="B1794" s="563" t="s">
        <v>4599</v>
      </c>
      <c r="C1794" s="564" t="s">
        <v>1652</v>
      </c>
      <c r="D1794" s="565">
        <v>43823</v>
      </c>
      <c r="E1794" s="565">
        <v>43851</v>
      </c>
      <c r="F1794" s="566">
        <v>18909091</v>
      </c>
      <c r="G1794" s="564" t="s">
        <v>1623</v>
      </c>
      <c r="H1794" s="564" t="s">
        <v>1623</v>
      </c>
      <c r="I1794" s="564" t="s">
        <v>802</v>
      </c>
      <c r="J1794" s="564" t="s">
        <v>1069</v>
      </c>
      <c r="K1794" s="564" t="s">
        <v>1198</v>
      </c>
      <c r="L1794" s="564" t="s">
        <v>2098</v>
      </c>
      <c r="M1794" s="564" t="s">
        <v>2098</v>
      </c>
      <c r="N1794" s="564" t="s">
        <v>132</v>
      </c>
      <c r="O1794" s="564" t="s">
        <v>2099</v>
      </c>
      <c r="P1794" s="23"/>
      <c r="Q1794" s="23"/>
      <c r="R1794" s="23"/>
      <c r="S1794" s="23"/>
      <c r="T1794" s="23"/>
      <c r="U1794" s="23"/>
      <c r="V1794" s="23"/>
      <c r="W1794" s="23"/>
      <c r="X1794" s="23"/>
      <c r="Y1794" s="23"/>
      <c r="Z1794" s="23"/>
    </row>
    <row r="1795" spans="1:26" ht="13">
      <c r="A1795" s="562" t="s">
        <v>4808</v>
      </c>
      <c r="B1795" s="563" t="s">
        <v>4760</v>
      </c>
      <c r="C1795" s="564" t="s">
        <v>353</v>
      </c>
      <c r="D1795" s="565">
        <v>43823</v>
      </c>
      <c r="E1795" s="565">
        <v>43830</v>
      </c>
      <c r="F1795" s="566">
        <v>1972000</v>
      </c>
      <c r="G1795" s="564" t="s">
        <v>1128</v>
      </c>
      <c r="H1795" s="564" t="s">
        <v>1128</v>
      </c>
      <c r="I1795" s="564" t="s">
        <v>45</v>
      </c>
      <c r="J1795" s="564" t="s">
        <v>1069</v>
      </c>
      <c r="K1795" s="564" t="s">
        <v>1090</v>
      </c>
      <c r="L1795" s="564" t="s">
        <v>2098</v>
      </c>
      <c r="M1795" s="564" t="s">
        <v>2098</v>
      </c>
      <c r="N1795" s="564" t="s">
        <v>45</v>
      </c>
      <c r="O1795" s="564" t="s">
        <v>2099</v>
      </c>
      <c r="P1795" s="23"/>
      <c r="Q1795" s="23"/>
      <c r="R1795" s="23"/>
      <c r="S1795" s="23"/>
      <c r="T1795" s="23"/>
      <c r="U1795" s="23"/>
      <c r="V1795" s="23"/>
      <c r="W1795" s="23"/>
      <c r="X1795" s="23"/>
      <c r="Y1795" s="23"/>
      <c r="Z1795" s="23"/>
    </row>
    <row r="1796" spans="1:26" ht="13">
      <c r="A1796" s="562" t="s">
        <v>4809</v>
      </c>
      <c r="B1796" s="563" t="s">
        <v>4810</v>
      </c>
      <c r="C1796" s="564" t="s">
        <v>1652</v>
      </c>
      <c r="D1796" s="565">
        <v>43822</v>
      </c>
      <c r="E1796" s="565">
        <v>43850</v>
      </c>
      <c r="F1796" s="566">
        <v>975455</v>
      </c>
      <c r="G1796" s="564" t="s">
        <v>1623</v>
      </c>
      <c r="H1796" s="564" t="s">
        <v>1623</v>
      </c>
      <c r="I1796" s="564" t="s">
        <v>802</v>
      </c>
      <c r="J1796" s="564" t="s">
        <v>1069</v>
      </c>
      <c r="K1796" s="564" t="s">
        <v>1198</v>
      </c>
      <c r="L1796" s="564" t="s">
        <v>2098</v>
      </c>
      <c r="M1796" s="564" t="s">
        <v>2098</v>
      </c>
      <c r="N1796" s="564" t="s">
        <v>132</v>
      </c>
      <c r="O1796" s="564" t="s">
        <v>2099</v>
      </c>
      <c r="P1796" s="23"/>
      <c r="Q1796" s="23"/>
      <c r="R1796" s="23"/>
      <c r="S1796" s="23"/>
      <c r="T1796" s="23"/>
      <c r="U1796" s="23"/>
      <c r="V1796" s="23"/>
      <c r="W1796" s="23"/>
      <c r="X1796" s="23"/>
      <c r="Y1796" s="23"/>
      <c r="Z1796" s="23"/>
    </row>
    <row r="1797" spans="1:26" ht="13">
      <c r="A1797" s="562" t="s">
        <v>4811</v>
      </c>
      <c r="B1797" s="563" t="s">
        <v>4812</v>
      </c>
      <c r="C1797" s="564" t="s">
        <v>1652</v>
      </c>
      <c r="D1797" s="565">
        <v>43819</v>
      </c>
      <c r="E1797" s="565">
        <v>43861</v>
      </c>
      <c r="F1797" s="566">
        <v>176818000</v>
      </c>
      <c r="G1797" s="564" t="s">
        <v>1941</v>
      </c>
      <c r="H1797" s="564" t="s">
        <v>1941</v>
      </c>
      <c r="I1797" s="564" t="s">
        <v>70</v>
      </c>
      <c r="J1797" s="564" t="s">
        <v>1069</v>
      </c>
      <c r="K1797" s="564" t="s">
        <v>1120</v>
      </c>
      <c r="L1797" s="564" t="s">
        <v>2098</v>
      </c>
      <c r="M1797" s="564" t="s">
        <v>2098</v>
      </c>
      <c r="N1797" s="564" t="s">
        <v>70</v>
      </c>
      <c r="O1797" s="564" t="s">
        <v>2099</v>
      </c>
      <c r="P1797" s="23"/>
      <c r="Q1797" s="23"/>
      <c r="R1797" s="23"/>
      <c r="S1797" s="23"/>
      <c r="T1797" s="23"/>
      <c r="U1797" s="23"/>
      <c r="V1797" s="23"/>
      <c r="W1797" s="23"/>
      <c r="X1797" s="23"/>
      <c r="Y1797" s="23"/>
      <c r="Z1797" s="23"/>
    </row>
    <row r="1798" spans="1:26" ht="13">
      <c r="A1798" s="562" t="s">
        <v>4813</v>
      </c>
      <c r="B1798" s="563" t="s">
        <v>3734</v>
      </c>
      <c r="C1798" s="564" t="s">
        <v>353</v>
      </c>
      <c r="D1798" s="565">
        <v>43818</v>
      </c>
      <c r="E1798" s="565">
        <v>43829</v>
      </c>
      <c r="F1798" s="566">
        <v>16500000</v>
      </c>
      <c r="G1798" s="564" t="s">
        <v>1128</v>
      </c>
      <c r="H1798" s="564" t="s">
        <v>1128</v>
      </c>
      <c r="I1798" s="564" t="s">
        <v>45</v>
      </c>
      <c r="J1798" s="564" t="s">
        <v>1069</v>
      </c>
      <c r="K1798" s="564" t="s">
        <v>1090</v>
      </c>
      <c r="L1798" s="564" t="s">
        <v>2098</v>
      </c>
      <c r="M1798" s="564" t="s">
        <v>2098</v>
      </c>
      <c r="N1798" s="564" t="s">
        <v>45</v>
      </c>
      <c r="O1798" s="564" t="s">
        <v>2099</v>
      </c>
      <c r="P1798" s="23"/>
      <c r="Q1798" s="23"/>
      <c r="R1798" s="23"/>
      <c r="S1798" s="23"/>
      <c r="T1798" s="23"/>
      <c r="U1798" s="23"/>
      <c r="V1798" s="23"/>
      <c r="W1798" s="23"/>
      <c r="X1798" s="23"/>
      <c r="Y1798" s="23"/>
      <c r="Z1798" s="23"/>
    </row>
    <row r="1799" spans="1:26" ht="13">
      <c r="A1799" s="562" t="s">
        <v>4814</v>
      </c>
      <c r="B1799" s="563" t="s">
        <v>4815</v>
      </c>
      <c r="C1799" s="564" t="s">
        <v>2433</v>
      </c>
      <c r="D1799" s="565">
        <v>43815</v>
      </c>
      <c r="E1799" s="565">
        <v>43830</v>
      </c>
      <c r="F1799" s="566">
        <v>-2250000</v>
      </c>
      <c r="G1799" s="564" t="s">
        <v>1400</v>
      </c>
      <c r="H1799" s="564" t="s">
        <v>1400</v>
      </c>
      <c r="I1799" s="564" t="s">
        <v>4816</v>
      </c>
      <c r="J1799" s="564" t="s">
        <v>1069</v>
      </c>
      <c r="K1799" s="564" t="s">
        <v>1070</v>
      </c>
      <c r="L1799" s="564" t="s">
        <v>2098</v>
      </c>
      <c r="M1799" s="564" t="s">
        <v>2098</v>
      </c>
      <c r="N1799" s="564" t="s">
        <v>1082</v>
      </c>
      <c r="O1799" s="564" t="s">
        <v>2099</v>
      </c>
      <c r="P1799" s="23"/>
      <c r="Q1799" s="23"/>
      <c r="R1799" s="23"/>
      <c r="S1799" s="23"/>
      <c r="T1799" s="23"/>
      <c r="U1799" s="23"/>
      <c r="V1799" s="23"/>
      <c r="W1799" s="23"/>
      <c r="X1799" s="23"/>
      <c r="Y1799" s="23"/>
      <c r="Z1799" s="23"/>
    </row>
    <row r="1800" spans="1:26" ht="13">
      <c r="A1800" s="562" t="s">
        <v>4817</v>
      </c>
      <c r="B1800" s="563" t="s">
        <v>4818</v>
      </c>
      <c r="C1800" s="564" t="s">
        <v>353</v>
      </c>
      <c r="D1800" s="565">
        <v>43811</v>
      </c>
      <c r="E1800" s="565">
        <v>43829</v>
      </c>
      <c r="F1800" s="566">
        <v>160600000</v>
      </c>
      <c r="G1800" s="564" t="s">
        <v>1128</v>
      </c>
      <c r="H1800" s="564" t="s">
        <v>1128</v>
      </c>
      <c r="I1800" s="564" t="s">
        <v>45</v>
      </c>
      <c r="J1800" s="564" t="s">
        <v>1069</v>
      </c>
      <c r="K1800" s="564" t="s">
        <v>1090</v>
      </c>
      <c r="L1800" s="564" t="s">
        <v>2098</v>
      </c>
      <c r="M1800" s="564" t="s">
        <v>2098</v>
      </c>
      <c r="N1800" s="564" t="s">
        <v>45</v>
      </c>
      <c r="O1800" s="564" t="s">
        <v>2099</v>
      </c>
      <c r="P1800" s="23"/>
      <c r="Q1800" s="23"/>
      <c r="R1800" s="23"/>
      <c r="S1800" s="23"/>
      <c r="T1800" s="23"/>
      <c r="U1800" s="23"/>
      <c r="V1800" s="23"/>
      <c r="W1800" s="23"/>
      <c r="X1800" s="23"/>
      <c r="Y1800" s="23"/>
      <c r="Z1800" s="23"/>
    </row>
    <row r="1801" spans="1:26" ht="13">
      <c r="A1801" s="562" t="s">
        <v>4819</v>
      </c>
      <c r="B1801" s="563" t="s">
        <v>4820</v>
      </c>
      <c r="C1801" s="564" t="s">
        <v>1652</v>
      </c>
      <c r="D1801" s="565">
        <v>43804</v>
      </c>
      <c r="E1801" s="565">
        <v>43805</v>
      </c>
      <c r="F1801" s="566">
        <v>2010000</v>
      </c>
      <c r="G1801" s="564" t="s">
        <v>1941</v>
      </c>
      <c r="H1801" s="564" t="s">
        <v>1941</v>
      </c>
      <c r="I1801" s="564" t="s">
        <v>70</v>
      </c>
      <c r="J1801" s="564" t="s">
        <v>1069</v>
      </c>
      <c r="K1801" s="564" t="s">
        <v>1120</v>
      </c>
      <c r="L1801" s="564" t="s">
        <v>2098</v>
      </c>
      <c r="M1801" s="564" t="s">
        <v>2098</v>
      </c>
      <c r="N1801" s="564" t="s">
        <v>70</v>
      </c>
      <c r="O1801" s="564" t="s">
        <v>2099</v>
      </c>
      <c r="P1801" s="23"/>
      <c r="Q1801" s="23"/>
      <c r="R1801" s="23"/>
      <c r="S1801" s="23"/>
      <c r="T1801" s="23"/>
      <c r="U1801" s="23"/>
      <c r="V1801" s="23"/>
      <c r="W1801" s="23"/>
      <c r="X1801" s="23"/>
      <c r="Y1801" s="23"/>
      <c r="Z1801" s="23"/>
    </row>
    <row r="1802" spans="1:26" ht="13">
      <c r="A1802" s="562" t="s">
        <v>4821</v>
      </c>
      <c r="B1802" s="563" t="s">
        <v>4822</v>
      </c>
      <c r="C1802" s="564" t="s">
        <v>1652</v>
      </c>
      <c r="D1802" s="565">
        <v>43801</v>
      </c>
      <c r="E1802" s="565">
        <v>43817</v>
      </c>
      <c r="F1802" s="566">
        <v>3855000</v>
      </c>
      <c r="G1802" s="564" t="s">
        <v>1941</v>
      </c>
      <c r="H1802" s="564" t="s">
        <v>1941</v>
      </c>
      <c r="I1802" s="564" t="s">
        <v>70</v>
      </c>
      <c r="J1802" s="564" t="s">
        <v>1069</v>
      </c>
      <c r="K1802" s="564" t="s">
        <v>1120</v>
      </c>
      <c r="L1802" s="564" t="s">
        <v>2098</v>
      </c>
      <c r="M1802" s="564" t="s">
        <v>2098</v>
      </c>
      <c r="N1802" s="564" t="s">
        <v>70</v>
      </c>
      <c r="O1802" s="564" t="s">
        <v>2099</v>
      </c>
      <c r="P1802" s="23"/>
      <c r="Q1802" s="23"/>
      <c r="R1802" s="23"/>
      <c r="S1802" s="23"/>
      <c r="T1802" s="23"/>
      <c r="U1802" s="23"/>
      <c r="V1802" s="23"/>
      <c r="W1802" s="23"/>
      <c r="X1802" s="23"/>
      <c r="Y1802" s="23"/>
      <c r="Z1802" s="23"/>
    </row>
    <row r="1803" spans="1:26" ht="13">
      <c r="A1803" s="562" t="s">
        <v>4823</v>
      </c>
      <c r="B1803" s="563" t="s">
        <v>4824</v>
      </c>
      <c r="C1803" s="564" t="s">
        <v>1652</v>
      </c>
      <c r="D1803" s="565">
        <v>43810</v>
      </c>
      <c r="E1803" s="565">
        <v>43817</v>
      </c>
      <c r="F1803" s="566">
        <v>296000</v>
      </c>
      <c r="G1803" s="564" t="s">
        <v>1941</v>
      </c>
      <c r="H1803" s="564" t="s">
        <v>1941</v>
      </c>
      <c r="I1803" s="564" t="s">
        <v>1637</v>
      </c>
      <c r="J1803" s="564" t="s">
        <v>1069</v>
      </c>
      <c r="K1803" s="564" t="s">
        <v>1120</v>
      </c>
      <c r="L1803" s="564" t="s">
        <v>2098</v>
      </c>
      <c r="M1803" s="564" t="s">
        <v>2098</v>
      </c>
      <c r="N1803" s="564" t="s">
        <v>1073</v>
      </c>
      <c r="O1803" s="564" t="s">
        <v>2099</v>
      </c>
      <c r="P1803" s="23"/>
      <c r="Q1803" s="23"/>
      <c r="R1803" s="23"/>
      <c r="S1803" s="23"/>
      <c r="T1803" s="23"/>
      <c r="U1803" s="23"/>
      <c r="V1803" s="23"/>
      <c r="W1803" s="23"/>
      <c r="X1803" s="23"/>
      <c r="Y1803" s="23"/>
      <c r="Z1803" s="23"/>
    </row>
    <row r="1804" spans="1:26" ht="13">
      <c r="A1804" s="562" t="s">
        <v>4825</v>
      </c>
      <c r="B1804" s="563" t="s">
        <v>4637</v>
      </c>
      <c r="C1804" s="564" t="s">
        <v>1475</v>
      </c>
      <c r="D1804" s="565">
        <v>43805</v>
      </c>
      <c r="E1804" s="565">
        <v>43829</v>
      </c>
      <c r="F1804" s="566">
        <v>56780000</v>
      </c>
      <c r="G1804" s="564" t="s">
        <v>1025</v>
      </c>
      <c r="H1804" s="564" t="s">
        <v>1025</v>
      </c>
      <c r="I1804" s="564" t="s">
        <v>4806</v>
      </c>
      <c r="J1804" s="564" t="s">
        <v>1069</v>
      </c>
      <c r="K1804" s="564" t="s">
        <v>1070</v>
      </c>
      <c r="L1804" s="564" t="s">
        <v>2098</v>
      </c>
      <c r="M1804" s="564" t="s">
        <v>2098</v>
      </c>
      <c r="N1804" s="564" t="s">
        <v>1082</v>
      </c>
      <c r="O1804" s="564" t="s">
        <v>2099</v>
      </c>
      <c r="P1804" s="23"/>
      <c r="Q1804" s="23"/>
      <c r="R1804" s="23"/>
      <c r="S1804" s="23"/>
      <c r="T1804" s="23"/>
      <c r="U1804" s="23"/>
      <c r="V1804" s="23"/>
      <c r="W1804" s="23"/>
      <c r="X1804" s="23"/>
      <c r="Y1804" s="23"/>
      <c r="Z1804" s="23"/>
    </row>
    <row r="1805" spans="1:26" ht="13">
      <c r="A1805" s="562" t="s">
        <v>4826</v>
      </c>
      <c r="B1805" s="563" t="s">
        <v>3819</v>
      </c>
      <c r="C1805" s="564" t="s">
        <v>353</v>
      </c>
      <c r="D1805" s="565">
        <v>43808</v>
      </c>
      <c r="E1805" s="565">
        <v>43830</v>
      </c>
      <c r="F1805" s="566">
        <v>2520000</v>
      </c>
      <c r="G1805" s="564" t="s">
        <v>1157</v>
      </c>
      <c r="H1805" s="564" t="s">
        <v>1157</v>
      </c>
      <c r="I1805" s="564" t="s">
        <v>170</v>
      </c>
      <c r="J1805" s="564" t="s">
        <v>1069</v>
      </c>
      <c r="K1805" s="564" t="s">
        <v>1105</v>
      </c>
      <c r="L1805" s="564" t="s">
        <v>2098</v>
      </c>
      <c r="M1805" s="564" t="s">
        <v>2098</v>
      </c>
      <c r="N1805" s="564" t="s">
        <v>170</v>
      </c>
      <c r="O1805" s="564" t="s">
        <v>2099</v>
      </c>
      <c r="P1805" s="23"/>
      <c r="Q1805" s="23"/>
      <c r="R1805" s="23"/>
      <c r="S1805" s="23"/>
      <c r="T1805" s="23"/>
      <c r="U1805" s="23"/>
      <c r="V1805" s="23"/>
      <c r="W1805" s="23"/>
      <c r="X1805" s="23"/>
      <c r="Y1805" s="23"/>
      <c r="Z1805" s="23"/>
    </row>
    <row r="1806" spans="1:26" ht="13">
      <c r="A1806" s="562" t="s">
        <v>4827</v>
      </c>
      <c r="B1806" s="563" t="s">
        <v>4828</v>
      </c>
      <c r="C1806" s="564" t="s">
        <v>353</v>
      </c>
      <c r="D1806" s="565">
        <v>43804</v>
      </c>
      <c r="E1806" s="565">
        <v>43819</v>
      </c>
      <c r="F1806" s="566">
        <v>12000000</v>
      </c>
      <c r="G1806" s="564" t="s">
        <v>1128</v>
      </c>
      <c r="H1806" s="564" t="s">
        <v>1128</v>
      </c>
      <c r="I1806" s="564" t="s">
        <v>45</v>
      </c>
      <c r="J1806" s="564" t="s">
        <v>1069</v>
      </c>
      <c r="K1806" s="564" t="s">
        <v>1090</v>
      </c>
      <c r="L1806" s="564" t="s">
        <v>2098</v>
      </c>
      <c r="M1806" s="564" t="s">
        <v>2098</v>
      </c>
      <c r="N1806" s="564" t="s">
        <v>45</v>
      </c>
      <c r="O1806" s="564" t="s">
        <v>2099</v>
      </c>
      <c r="P1806" s="23"/>
      <c r="Q1806" s="23"/>
      <c r="R1806" s="23"/>
      <c r="S1806" s="23"/>
      <c r="T1806" s="23"/>
      <c r="U1806" s="23"/>
      <c r="V1806" s="23"/>
      <c r="W1806" s="23"/>
      <c r="X1806" s="23"/>
      <c r="Y1806" s="23"/>
      <c r="Z1806" s="23"/>
    </row>
    <row r="1807" spans="1:26" ht="13">
      <c r="A1807" s="562" t="s">
        <v>4829</v>
      </c>
      <c r="B1807" s="563" t="s">
        <v>4830</v>
      </c>
      <c r="C1807" s="564" t="s">
        <v>1652</v>
      </c>
      <c r="D1807" s="565">
        <v>43804</v>
      </c>
      <c r="E1807" s="565">
        <v>43812</v>
      </c>
      <c r="F1807" s="566">
        <v>170000</v>
      </c>
      <c r="G1807" s="564" t="s">
        <v>1941</v>
      </c>
      <c r="H1807" s="564" t="s">
        <v>1941</v>
      </c>
      <c r="I1807" s="564" t="s">
        <v>70</v>
      </c>
      <c r="J1807" s="564" t="s">
        <v>1069</v>
      </c>
      <c r="K1807" s="564" t="s">
        <v>1120</v>
      </c>
      <c r="L1807" s="564" t="s">
        <v>2098</v>
      </c>
      <c r="M1807" s="564" t="s">
        <v>2098</v>
      </c>
      <c r="N1807" s="564" t="s">
        <v>70</v>
      </c>
      <c r="O1807" s="564" t="s">
        <v>2099</v>
      </c>
      <c r="P1807" s="23"/>
      <c r="Q1807" s="23"/>
      <c r="R1807" s="23"/>
      <c r="S1807" s="23"/>
      <c r="T1807" s="23"/>
      <c r="U1807" s="23"/>
      <c r="V1807" s="23"/>
      <c r="W1807" s="23"/>
      <c r="X1807" s="23"/>
      <c r="Y1807" s="23"/>
      <c r="Z1807" s="23"/>
    </row>
    <row r="1808" spans="1:26" ht="13">
      <c r="A1808" s="562" t="s">
        <v>4831</v>
      </c>
      <c r="B1808" s="563" t="s">
        <v>4362</v>
      </c>
      <c r="C1808" s="564" t="s">
        <v>1475</v>
      </c>
      <c r="D1808" s="565">
        <v>43803</v>
      </c>
      <c r="E1808" s="565">
        <v>43830</v>
      </c>
      <c r="F1808" s="566">
        <v>1240200</v>
      </c>
      <c r="G1808" s="564" t="s">
        <v>1293</v>
      </c>
      <c r="H1808" s="564" t="s">
        <v>1293</v>
      </c>
      <c r="I1808" s="564" t="s">
        <v>3824</v>
      </c>
      <c r="J1808" s="564" t="s">
        <v>1069</v>
      </c>
      <c r="K1808" s="564" t="s">
        <v>1070</v>
      </c>
      <c r="L1808" s="564" t="s">
        <v>2098</v>
      </c>
      <c r="M1808" s="564" t="s">
        <v>2098</v>
      </c>
      <c r="N1808" s="564" t="s">
        <v>1073</v>
      </c>
      <c r="O1808" s="564" t="s">
        <v>2099</v>
      </c>
      <c r="P1808" s="23"/>
      <c r="Q1808" s="23"/>
      <c r="R1808" s="23"/>
      <c r="S1808" s="23"/>
      <c r="T1808" s="23"/>
      <c r="U1808" s="23"/>
      <c r="V1808" s="23"/>
      <c r="W1808" s="23"/>
      <c r="X1808" s="23"/>
      <c r="Y1808" s="23"/>
      <c r="Z1808" s="23"/>
    </row>
    <row r="1809" spans="1:26" ht="13">
      <c r="A1809" s="562" t="s">
        <v>4832</v>
      </c>
      <c r="B1809" s="563" t="s">
        <v>4364</v>
      </c>
      <c r="C1809" s="564" t="s">
        <v>1475</v>
      </c>
      <c r="D1809" s="565">
        <v>43803</v>
      </c>
      <c r="E1809" s="565">
        <v>43830</v>
      </c>
      <c r="F1809" s="566">
        <v>551200</v>
      </c>
      <c r="G1809" s="564" t="s">
        <v>1293</v>
      </c>
      <c r="H1809" s="564" t="s">
        <v>1293</v>
      </c>
      <c r="I1809" s="564" t="s">
        <v>2586</v>
      </c>
      <c r="J1809" s="564" t="s">
        <v>1069</v>
      </c>
      <c r="K1809" s="564" t="s">
        <v>1070</v>
      </c>
      <c r="L1809" s="564" t="s">
        <v>2098</v>
      </c>
      <c r="M1809" s="564" t="s">
        <v>2098</v>
      </c>
      <c r="N1809" s="564" t="s">
        <v>1073</v>
      </c>
      <c r="O1809" s="564" t="s">
        <v>2099</v>
      </c>
      <c r="P1809" s="23"/>
      <c r="Q1809" s="23"/>
      <c r="R1809" s="23"/>
      <c r="S1809" s="23"/>
      <c r="T1809" s="23"/>
      <c r="U1809" s="23"/>
      <c r="V1809" s="23"/>
      <c r="W1809" s="23"/>
      <c r="X1809" s="23"/>
      <c r="Y1809" s="23"/>
      <c r="Z1809" s="23"/>
    </row>
    <row r="1810" spans="1:26" ht="13">
      <c r="A1810" s="562" t="s">
        <v>4833</v>
      </c>
      <c r="B1810" s="563" t="s">
        <v>3823</v>
      </c>
      <c r="C1810" s="564" t="s">
        <v>1475</v>
      </c>
      <c r="D1810" s="565">
        <v>43803</v>
      </c>
      <c r="E1810" s="565">
        <v>43830</v>
      </c>
      <c r="F1810" s="566">
        <v>740000</v>
      </c>
      <c r="G1810" s="564" t="s">
        <v>1293</v>
      </c>
      <c r="H1810" s="564" t="s">
        <v>1293</v>
      </c>
      <c r="I1810" s="564" t="s">
        <v>3824</v>
      </c>
      <c r="J1810" s="564" t="s">
        <v>1069</v>
      </c>
      <c r="K1810" s="564" t="s">
        <v>1070</v>
      </c>
      <c r="L1810" s="564" t="s">
        <v>2098</v>
      </c>
      <c r="M1810" s="564" t="s">
        <v>2098</v>
      </c>
      <c r="N1810" s="564" t="s">
        <v>1073</v>
      </c>
      <c r="O1810" s="564" t="s">
        <v>2099</v>
      </c>
      <c r="P1810" s="23"/>
      <c r="Q1810" s="23"/>
      <c r="R1810" s="23"/>
      <c r="S1810" s="23"/>
      <c r="T1810" s="23"/>
      <c r="U1810" s="23"/>
      <c r="V1810" s="23"/>
      <c r="W1810" s="23"/>
      <c r="X1810" s="23"/>
      <c r="Y1810" s="23"/>
      <c r="Z1810" s="23"/>
    </row>
    <row r="1811" spans="1:26" ht="13">
      <c r="A1811" s="562" t="s">
        <v>4834</v>
      </c>
      <c r="B1811" s="563" t="s">
        <v>3821</v>
      </c>
      <c r="C1811" s="564" t="s">
        <v>1475</v>
      </c>
      <c r="D1811" s="565">
        <v>43803</v>
      </c>
      <c r="E1811" s="565">
        <v>43830</v>
      </c>
      <c r="F1811" s="566">
        <v>740000</v>
      </c>
      <c r="G1811" s="564" t="s">
        <v>1293</v>
      </c>
      <c r="H1811" s="564" t="s">
        <v>1293</v>
      </c>
      <c r="I1811" s="564" t="s">
        <v>2586</v>
      </c>
      <c r="J1811" s="564" t="s">
        <v>1069</v>
      </c>
      <c r="K1811" s="564" t="s">
        <v>1070</v>
      </c>
      <c r="L1811" s="564" t="s">
        <v>2098</v>
      </c>
      <c r="M1811" s="564" t="s">
        <v>2098</v>
      </c>
      <c r="N1811" s="564" t="s">
        <v>1073</v>
      </c>
      <c r="O1811" s="564" t="s">
        <v>2099</v>
      </c>
      <c r="P1811" s="23"/>
      <c r="Q1811" s="23"/>
      <c r="R1811" s="23"/>
      <c r="S1811" s="23"/>
      <c r="T1811" s="23"/>
      <c r="U1811" s="23"/>
      <c r="V1811" s="23"/>
      <c r="W1811" s="23"/>
      <c r="X1811" s="23"/>
      <c r="Y1811" s="23"/>
      <c r="Z1811" s="23"/>
    </row>
    <row r="1812" spans="1:26" ht="13">
      <c r="A1812" s="562" t="s">
        <v>4835</v>
      </c>
      <c r="B1812" s="563" t="s">
        <v>4836</v>
      </c>
      <c r="C1812" s="564" t="s">
        <v>1076</v>
      </c>
      <c r="D1812" s="565">
        <v>43803</v>
      </c>
      <c r="E1812" s="565">
        <v>43889</v>
      </c>
      <c r="F1812" s="566">
        <v>14424000</v>
      </c>
      <c r="G1812" s="564" t="s">
        <v>1400</v>
      </c>
      <c r="H1812" s="564" t="s">
        <v>1400</v>
      </c>
      <c r="I1812" s="564" t="s">
        <v>4816</v>
      </c>
      <c r="J1812" s="564" t="s">
        <v>1069</v>
      </c>
      <c r="K1812" s="564" t="s">
        <v>1070</v>
      </c>
      <c r="L1812" s="564" t="s">
        <v>2098</v>
      </c>
      <c r="M1812" s="564" t="s">
        <v>2098</v>
      </c>
      <c r="N1812" s="564" t="s">
        <v>1082</v>
      </c>
      <c r="O1812" s="564" t="s">
        <v>2099</v>
      </c>
      <c r="P1812" s="23"/>
      <c r="Q1812" s="23"/>
      <c r="R1812" s="23"/>
      <c r="S1812" s="23"/>
      <c r="T1812" s="23"/>
      <c r="U1812" s="23"/>
      <c r="V1812" s="23"/>
      <c r="W1812" s="23"/>
      <c r="X1812" s="23"/>
      <c r="Y1812" s="23"/>
      <c r="Z1812" s="23"/>
    </row>
    <row r="1813" spans="1:26" ht="13">
      <c r="A1813" s="562" t="s">
        <v>4837</v>
      </c>
      <c r="B1813" s="563" t="s">
        <v>4838</v>
      </c>
      <c r="C1813" s="564" t="s">
        <v>353</v>
      </c>
      <c r="D1813" s="565">
        <v>43800</v>
      </c>
      <c r="E1813" s="565">
        <v>43890</v>
      </c>
      <c r="F1813" s="566">
        <v>1488080</v>
      </c>
      <c r="G1813" s="564" t="s">
        <v>1498</v>
      </c>
      <c r="H1813" s="564" t="s">
        <v>1498</v>
      </c>
      <c r="I1813" s="564" t="s">
        <v>45</v>
      </c>
      <c r="J1813" s="564" t="s">
        <v>1069</v>
      </c>
      <c r="K1813" s="564" t="s">
        <v>1090</v>
      </c>
      <c r="L1813" s="564" t="s">
        <v>1071</v>
      </c>
      <c r="M1813" s="564" t="s">
        <v>1183</v>
      </c>
      <c r="N1813" s="564" t="s">
        <v>45</v>
      </c>
      <c r="O1813" s="564" t="s">
        <v>1472</v>
      </c>
      <c r="P1813" s="23"/>
      <c r="Q1813" s="23"/>
      <c r="R1813" s="23"/>
      <c r="S1813" s="23"/>
      <c r="T1813" s="23"/>
      <c r="U1813" s="23"/>
      <c r="V1813" s="23"/>
      <c r="W1813" s="23"/>
      <c r="X1813" s="23"/>
      <c r="Y1813" s="23"/>
      <c r="Z1813" s="23"/>
    </row>
    <row r="1814" spans="1:26" ht="13">
      <c r="A1814" s="562" t="s">
        <v>4839</v>
      </c>
      <c r="B1814" s="563" t="s">
        <v>4840</v>
      </c>
      <c r="C1814" s="564" t="s">
        <v>1652</v>
      </c>
      <c r="D1814" s="565">
        <v>43803</v>
      </c>
      <c r="E1814" s="565">
        <v>43812</v>
      </c>
      <c r="F1814" s="566">
        <v>3300000</v>
      </c>
      <c r="G1814" s="564" t="s">
        <v>1941</v>
      </c>
      <c r="H1814" s="564" t="s">
        <v>1941</v>
      </c>
      <c r="I1814" s="564" t="s">
        <v>1681</v>
      </c>
      <c r="J1814" s="564" t="s">
        <v>1069</v>
      </c>
      <c r="K1814" s="564" t="s">
        <v>1120</v>
      </c>
      <c r="L1814" s="564" t="s">
        <v>2098</v>
      </c>
      <c r="M1814" s="564" t="s">
        <v>2098</v>
      </c>
      <c r="N1814" s="564" t="s">
        <v>1073</v>
      </c>
      <c r="O1814" s="564" t="s">
        <v>2099</v>
      </c>
      <c r="P1814" s="23"/>
      <c r="Q1814" s="23"/>
      <c r="R1814" s="23"/>
      <c r="S1814" s="23"/>
      <c r="T1814" s="23"/>
      <c r="U1814" s="23"/>
      <c r="V1814" s="23"/>
      <c r="W1814" s="23"/>
      <c r="X1814" s="23"/>
      <c r="Y1814" s="23"/>
      <c r="Z1814" s="23"/>
    </row>
    <row r="1815" spans="1:26" ht="13">
      <c r="A1815" s="562" t="s">
        <v>4841</v>
      </c>
      <c r="B1815" s="563" t="s">
        <v>4330</v>
      </c>
      <c r="C1815" s="564" t="s">
        <v>353</v>
      </c>
      <c r="D1815" s="565">
        <v>43801</v>
      </c>
      <c r="E1815" s="565">
        <v>43819</v>
      </c>
      <c r="F1815" s="566">
        <v>20000000</v>
      </c>
      <c r="G1815" s="564" t="s">
        <v>1128</v>
      </c>
      <c r="H1815" s="564" t="s">
        <v>1128</v>
      </c>
      <c r="I1815" s="564" t="s">
        <v>45</v>
      </c>
      <c r="J1815" s="564" t="s">
        <v>1069</v>
      </c>
      <c r="K1815" s="564" t="s">
        <v>1090</v>
      </c>
      <c r="L1815" s="564" t="s">
        <v>2098</v>
      </c>
      <c r="M1815" s="564" t="s">
        <v>2098</v>
      </c>
      <c r="N1815" s="564" t="s">
        <v>45</v>
      </c>
      <c r="O1815" s="564" t="s">
        <v>2099</v>
      </c>
      <c r="P1815" s="23"/>
      <c r="Q1815" s="23"/>
      <c r="R1815" s="23"/>
      <c r="S1815" s="23"/>
      <c r="T1815" s="23"/>
      <c r="U1815" s="23"/>
      <c r="V1815" s="23"/>
      <c r="W1815" s="23"/>
      <c r="X1815" s="23"/>
      <c r="Y1815" s="23"/>
      <c r="Z1815" s="23"/>
    </row>
    <row r="1816" spans="1:26" ht="13">
      <c r="A1816" s="562" t="s">
        <v>4842</v>
      </c>
      <c r="B1816" s="563" t="s">
        <v>4843</v>
      </c>
      <c r="C1816" s="564" t="s">
        <v>353</v>
      </c>
      <c r="D1816" s="565">
        <v>43801</v>
      </c>
      <c r="E1816" s="565">
        <v>43812</v>
      </c>
      <c r="F1816" s="566">
        <v>456000</v>
      </c>
      <c r="G1816" s="564" t="s">
        <v>1498</v>
      </c>
      <c r="H1816" s="564" t="s">
        <v>1498</v>
      </c>
      <c r="I1816" s="564" t="s">
        <v>64</v>
      </c>
      <c r="J1816" s="564" t="s">
        <v>1069</v>
      </c>
      <c r="K1816" s="564" t="s">
        <v>1090</v>
      </c>
      <c r="L1816" s="564" t="s">
        <v>2098</v>
      </c>
      <c r="M1816" s="564" t="s">
        <v>2098</v>
      </c>
      <c r="N1816" s="564" t="s">
        <v>64</v>
      </c>
      <c r="O1816" s="564" t="s">
        <v>2099</v>
      </c>
      <c r="P1816" s="23"/>
      <c r="Q1816" s="23"/>
      <c r="R1816" s="23"/>
      <c r="S1816" s="23"/>
      <c r="T1816" s="23"/>
      <c r="U1816" s="23"/>
      <c r="V1816" s="23"/>
      <c r="W1816" s="23"/>
      <c r="X1816" s="23"/>
      <c r="Y1816" s="23"/>
      <c r="Z1816" s="23"/>
    </row>
    <row r="1817" spans="1:26" ht="13">
      <c r="A1817" s="562" t="s">
        <v>4844</v>
      </c>
      <c r="B1817" s="563" t="s">
        <v>4845</v>
      </c>
      <c r="C1817" s="564" t="s">
        <v>353</v>
      </c>
      <c r="D1817" s="565">
        <v>43794</v>
      </c>
      <c r="E1817" s="565">
        <v>43815</v>
      </c>
      <c r="F1817" s="566">
        <v>6640000</v>
      </c>
      <c r="G1817" s="564" t="s">
        <v>1128</v>
      </c>
      <c r="H1817" s="564" t="s">
        <v>1128</v>
      </c>
      <c r="I1817" s="564" t="s">
        <v>45</v>
      </c>
      <c r="J1817" s="564" t="s">
        <v>1069</v>
      </c>
      <c r="K1817" s="564" t="s">
        <v>1090</v>
      </c>
      <c r="L1817" s="564" t="s">
        <v>2098</v>
      </c>
      <c r="M1817" s="564" t="s">
        <v>2098</v>
      </c>
      <c r="N1817" s="564" t="s">
        <v>45</v>
      </c>
      <c r="O1817" s="564" t="s">
        <v>2099</v>
      </c>
      <c r="P1817" s="23"/>
      <c r="Q1817" s="23"/>
      <c r="R1817" s="23"/>
      <c r="S1817" s="23"/>
      <c r="T1817" s="23"/>
      <c r="U1817" s="23"/>
      <c r="V1817" s="23"/>
      <c r="W1817" s="23"/>
      <c r="X1817" s="23"/>
      <c r="Y1817" s="23"/>
      <c r="Z1817" s="23"/>
    </row>
    <row r="1818" spans="1:26" ht="13">
      <c r="A1818" s="562" t="s">
        <v>4846</v>
      </c>
      <c r="B1818" s="563" t="s">
        <v>4847</v>
      </c>
      <c r="C1818" s="564" t="s">
        <v>353</v>
      </c>
      <c r="D1818" s="565">
        <v>43794</v>
      </c>
      <c r="E1818" s="565">
        <v>43815</v>
      </c>
      <c r="F1818" s="566">
        <v>6676000</v>
      </c>
      <c r="G1818" s="564" t="s">
        <v>1128</v>
      </c>
      <c r="H1818" s="564" t="s">
        <v>1128</v>
      </c>
      <c r="I1818" s="564" t="s">
        <v>45</v>
      </c>
      <c r="J1818" s="564" t="s">
        <v>1069</v>
      </c>
      <c r="K1818" s="564" t="s">
        <v>1090</v>
      </c>
      <c r="L1818" s="564" t="s">
        <v>2098</v>
      </c>
      <c r="M1818" s="564" t="s">
        <v>2098</v>
      </c>
      <c r="N1818" s="564" t="s">
        <v>45</v>
      </c>
      <c r="O1818" s="564" t="s">
        <v>2099</v>
      </c>
      <c r="P1818" s="23"/>
      <c r="Q1818" s="23"/>
      <c r="R1818" s="23"/>
      <c r="S1818" s="23"/>
      <c r="T1818" s="23"/>
      <c r="U1818" s="23"/>
      <c r="V1818" s="23"/>
      <c r="W1818" s="23"/>
      <c r="X1818" s="23"/>
      <c r="Y1818" s="23"/>
      <c r="Z1818" s="23"/>
    </row>
    <row r="1819" spans="1:26" ht="13">
      <c r="A1819" s="562" t="s">
        <v>4848</v>
      </c>
      <c r="B1819" s="563" t="s">
        <v>4849</v>
      </c>
      <c r="C1819" s="564" t="s">
        <v>1076</v>
      </c>
      <c r="D1819" s="565">
        <v>43795</v>
      </c>
      <c r="E1819" s="565">
        <v>43861</v>
      </c>
      <c r="F1819" s="566">
        <v>816000</v>
      </c>
      <c r="G1819" s="564" t="s">
        <v>1400</v>
      </c>
      <c r="H1819" s="564" t="s">
        <v>1400</v>
      </c>
      <c r="I1819" s="564" t="s">
        <v>4816</v>
      </c>
      <c r="J1819" s="564" t="s">
        <v>1069</v>
      </c>
      <c r="K1819" s="564" t="s">
        <v>1070</v>
      </c>
      <c r="L1819" s="564" t="s">
        <v>2098</v>
      </c>
      <c r="M1819" s="564" t="s">
        <v>2098</v>
      </c>
      <c r="N1819" s="564" t="s">
        <v>1082</v>
      </c>
      <c r="O1819" s="564" t="s">
        <v>2099</v>
      </c>
      <c r="P1819" s="23"/>
      <c r="Q1819" s="23"/>
      <c r="R1819" s="23"/>
      <c r="S1819" s="23"/>
      <c r="T1819" s="23"/>
      <c r="U1819" s="23"/>
      <c r="V1819" s="23"/>
      <c r="W1819" s="23"/>
      <c r="X1819" s="23"/>
      <c r="Y1819" s="23"/>
      <c r="Z1819" s="23"/>
    </row>
    <row r="1820" spans="1:26" ht="13">
      <c r="A1820" s="562" t="s">
        <v>4850</v>
      </c>
      <c r="B1820" s="563" t="s">
        <v>4851</v>
      </c>
      <c r="C1820" s="564" t="s">
        <v>3378</v>
      </c>
      <c r="D1820" s="565">
        <v>43796</v>
      </c>
      <c r="E1820" s="565">
        <v>43805</v>
      </c>
      <c r="F1820" s="566">
        <v>3900000</v>
      </c>
      <c r="G1820" s="564" t="s">
        <v>1941</v>
      </c>
      <c r="H1820" s="564" t="s">
        <v>1941</v>
      </c>
      <c r="I1820" s="564" t="s">
        <v>1681</v>
      </c>
      <c r="J1820" s="564" t="s">
        <v>1069</v>
      </c>
      <c r="K1820" s="564" t="s">
        <v>1120</v>
      </c>
      <c r="L1820" s="564" t="s">
        <v>2098</v>
      </c>
      <c r="M1820" s="564" t="s">
        <v>2098</v>
      </c>
      <c r="N1820" s="564" t="s">
        <v>1073</v>
      </c>
      <c r="O1820" s="564" t="s">
        <v>2099</v>
      </c>
      <c r="P1820" s="23"/>
      <c r="Q1820" s="23"/>
      <c r="R1820" s="23"/>
      <c r="S1820" s="23"/>
      <c r="T1820" s="23"/>
      <c r="U1820" s="23"/>
      <c r="V1820" s="23"/>
      <c r="W1820" s="23"/>
      <c r="X1820" s="23"/>
      <c r="Y1820" s="23"/>
      <c r="Z1820" s="23"/>
    </row>
    <row r="1821" spans="1:26" ht="13">
      <c r="A1821" s="562" t="s">
        <v>4852</v>
      </c>
      <c r="B1821" s="563" t="s">
        <v>4381</v>
      </c>
      <c r="C1821" s="564" t="s">
        <v>353</v>
      </c>
      <c r="D1821" s="565">
        <v>43796</v>
      </c>
      <c r="E1821" s="565">
        <v>43826</v>
      </c>
      <c r="F1821" s="566">
        <v>390600</v>
      </c>
      <c r="G1821" s="564" t="s">
        <v>1293</v>
      </c>
      <c r="H1821" s="564" t="s">
        <v>1293</v>
      </c>
      <c r="I1821" s="564" t="s">
        <v>4853</v>
      </c>
      <c r="J1821" s="564" t="s">
        <v>1069</v>
      </c>
      <c r="K1821" s="564" t="s">
        <v>1090</v>
      </c>
      <c r="L1821" s="564" t="s">
        <v>2098</v>
      </c>
      <c r="M1821" s="564" t="s">
        <v>2098</v>
      </c>
      <c r="N1821" s="564" t="s">
        <v>1073</v>
      </c>
      <c r="O1821" s="564" t="s">
        <v>2099</v>
      </c>
      <c r="P1821" s="23"/>
      <c r="Q1821" s="23"/>
      <c r="R1821" s="23"/>
      <c r="S1821" s="23"/>
      <c r="T1821" s="23"/>
      <c r="U1821" s="23"/>
      <c r="V1821" s="23"/>
      <c r="W1821" s="23"/>
      <c r="X1821" s="23"/>
      <c r="Y1821" s="23"/>
      <c r="Z1821" s="23"/>
    </row>
    <row r="1822" spans="1:26" ht="13">
      <c r="A1822" s="562" t="s">
        <v>4854</v>
      </c>
      <c r="B1822" s="563" t="s">
        <v>4855</v>
      </c>
      <c r="C1822" s="564" t="s">
        <v>1652</v>
      </c>
      <c r="D1822" s="565">
        <v>43795</v>
      </c>
      <c r="E1822" s="565">
        <v>43824</v>
      </c>
      <c r="F1822" s="566">
        <v>17727273</v>
      </c>
      <c r="G1822" s="564" t="s">
        <v>1623</v>
      </c>
      <c r="H1822" s="564" t="s">
        <v>1623</v>
      </c>
      <c r="I1822" s="564" t="s">
        <v>802</v>
      </c>
      <c r="J1822" s="564" t="s">
        <v>1069</v>
      </c>
      <c r="K1822" s="564" t="s">
        <v>1198</v>
      </c>
      <c r="L1822" s="564" t="s">
        <v>2098</v>
      </c>
      <c r="M1822" s="564" t="s">
        <v>2098</v>
      </c>
      <c r="N1822" s="564" t="s">
        <v>132</v>
      </c>
      <c r="O1822" s="564" t="s">
        <v>2099</v>
      </c>
      <c r="P1822" s="23"/>
      <c r="Q1822" s="23"/>
      <c r="R1822" s="23"/>
      <c r="S1822" s="23"/>
      <c r="T1822" s="23"/>
      <c r="U1822" s="23"/>
      <c r="V1822" s="23"/>
      <c r="W1822" s="23"/>
      <c r="X1822" s="23"/>
      <c r="Y1822" s="23"/>
      <c r="Z1822" s="23"/>
    </row>
    <row r="1823" spans="1:26" ht="13">
      <c r="A1823" s="562" t="s">
        <v>4856</v>
      </c>
      <c r="B1823" s="563" t="s">
        <v>4857</v>
      </c>
      <c r="C1823" s="564" t="s">
        <v>1652</v>
      </c>
      <c r="D1823" s="565">
        <v>43795</v>
      </c>
      <c r="E1823" s="565">
        <v>43823</v>
      </c>
      <c r="F1823" s="566">
        <v>4877273</v>
      </c>
      <c r="G1823" s="564" t="s">
        <v>1623</v>
      </c>
      <c r="H1823" s="564" t="s">
        <v>1623</v>
      </c>
      <c r="I1823" s="564" t="s">
        <v>802</v>
      </c>
      <c r="J1823" s="564" t="s">
        <v>1069</v>
      </c>
      <c r="K1823" s="564" t="s">
        <v>1198</v>
      </c>
      <c r="L1823" s="564" t="s">
        <v>2098</v>
      </c>
      <c r="M1823" s="564" t="s">
        <v>2098</v>
      </c>
      <c r="N1823" s="564" t="s">
        <v>132</v>
      </c>
      <c r="O1823" s="564" t="s">
        <v>2099</v>
      </c>
      <c r="P1823" s="23"/>
      <c r="Q1823" s="23"/>
      <c r="R1823" s="23"/>
      <c r="S1823" s="23"/>
      <c r="T1823" s="23"/>
      <c r="U1823" s="23"/>
      <c r="V1823" s="23"/>
      <c r="W1823" s="23"/>
      <c r="X1823" s="23"/>
      <c r="Y1823" s="23"/>
      <c r="Z1823" s="23"/>
    </row>
    <row r="1824" spans="1:26" ht="13">
      <c r="A1824" s="562" t="s">
        <v>4858</v>
      </c>
      <c r="B1824" s="563" t="s">
        <v>4859</v>
      </c>
      <c r="C1824" s="564" t="s">
        <v>1652</v>
      </c>
      <c r="D1824" s="565">
        <v>43794</v>
      </c>
      <c r="E1824" s="565">
        <v>43822</v>
      </c>
      <c r="F1824" s="566">
        <v>5852727</v>
      </c>
      <c r="G1824" s="564" t="s">
        <v>1623</v>
      </c>
      <c r="H1824" s="564" t="s">
        <v>1623</v>
      </c>
      <c r="I1824" s="564" t="s">
        <v>802</v>
      </c>
      <c r="J1824" s="564" t="s">
        <v>1069</v>
      </c>
      <c r="K1824" s="564" t="s">
        <v>1198</v>
      </c>
      <c r="L1824" s="564" t="s">
        <v>2098</v>
      </c>
      <c r="M1824" s="564" t="s">
        <v>2098</v>
      </c>
      <c r="N1824" s="564" t="s">
        <v>132</v>
      </c>
      <c r="O1824" s="564" t="s">
        <v>2099</v>
      </c>
      <c r="P1824" s="23"/>
      <c r="Q1824" s="23"/>
      <c r="R1824" s="23"/>
      <c r="S1824" s="23"/>
      <c r="T1824" s="23"/>
      <c r="U1824" s="23"/>
      <c r="V1824" s="23"/>
      <c r="W1824" s="23"/>
      <c r="X1824" s="23"/>
      <c r="Y1824" s="23"/>
      <c r="Z1824" s="23"/>
    </row>
    <row r="1825" spans="1:26" ht="13">
      <c r="A1825" s="562" t="s">
        <v>4860</v>
      </c>
      <c r="B1825" s="563" t="s">
        <v>4637</v>
      </c>
      <c r="C1825" s="564" t="s">
        <v>1475</v>
      </c>
      <c r="D1825" s="565">
        <v>43789</v>
      </c>
      <c r="E1825" s="565">
        <v>43829</v>
      </c>
      <c r="F1825" s="566">
        <v>318650000</v>
      </c>
      <c r="G1825" s="564" t="s">
        <v>1025</v>
      </c>
      <c r="H1825" s="564" t="s">
        <v>1025</v>
      </c>
      <c r="I1825" s="564" t="s">
        <v>4806</v>
      </c>
      <c r="J1825" s="564" t="s">
        <v>1069</v>
      </c>
      <c r="K1825" s="564" t="s">
        <v>1070</v>
      </c>
      <c r="L1825" s="564" t="s">
        <v>2098</v>
      </c>
      <c r="M1825" s="564" t="s">
        <v>2098</v>
      </c>
      <c r="N1825" s="564" t="s">
        <v>1082</v>
      </c>
      <c r="O1825" s="564" t="s">
        <v>2099</v>
      </c>
      <c r="P1825" s="23"/>
      <c r="Q1825" s="23"/>
      <c r="R1825" s="23"/>
      <c r="S1825" s="23"/>
      <c r="T1825" s="23"/>
      <c r="U1825" s="23"/>
      <c r="V1825" s="23"/>
      <c r="W1825" s="23"/>
      <c r="X1825" s="23"/>
      <c r="Y1825" s="23"/>
      <c r="Z1825" s="23"/>
    </row>
    <row r="1826" spans="1:26" ht="13">
      <c r="A1826" s="562" t="s">
        <v>4861</v>
      </c>
      <c r="B1826" s="563" t="s">
        <v>4862</v>
      </c>
      <c r="C1826" s="564" t="s">
        <v>1652</v>
      </c>
      <c r="D1826" s="565">
        <v>43790</v>
      </c>
      <c r="E1826" s="565">
        <v>43798</v>
      </c>
      <c r="F1826" s="566">
        <v>1010000</v>
      </c>
      <c r="G1826" s="564" t="s">
        <v>1941</v>
      </c>
      <c r="H1826" s="564" t="s">
        <v>1941</v>
      </c>
      <c r="I1826" s="564" t="s">
        <v>1719</v>
      </c>
      <c r="J1826" s="564" t="s">
        <v>1069</v>
      </c>
      <c r="K1826" s="564" t="s">
        <v>1120</v>
      </c>
      <c r="L1826" s="564" t="s">
        <v>2098</v>
      </c>
      <c r="M1826" s="564" t="s">
        <v>2098</v>
      </c>
      <c r="N1826" s="564" t="s">
        <v>1073</v>
      </c>
      <c r="O1826" s="564" t="s">
        <v>2099</v>
      </c>
      <c r="P1826" s="23"/>
      <c r="Q1826" s="23"/>
      <c r="R1826" s="23"/>
      <c r="S1826" s="23"/>
      <c r="T1826" s="23"/>
      <c r="U1826" s="23"/>
      <c r="V1826" s="23"/>
      <c r="W1826" s="23"/>
      <c r="X1826" s="23"/>
      <c r="Y1826" s="23"/>
      <c r="Z1826" s="23"/>
    </row>
    <row r="1827" spans="1:26" ht="13">
      <c r="A1827" s="562" t="s">
        <v>4863</v>
      </c>
      <c r="B1827" s="563" t="s">
        <v>4864</v>
      </c>
      <c r="C1827" s="564" t="s">
        <v>1652</v>
      </c>
      <c r="D1827" s="565">
        <v>43787</v>
      </c>
      <c r="E1827" s="565">
        <v>43812</v>
      </c>
      <c r="F1827" s="566">
        <v>616000</v>
      </c>
      <c r="G1827" s="564" t="s">
        <v>1941</v>
      </c>
      <c r="H1827" s="564" t="s">
        <v>1941</v>
      </c>
      <c r="I1827" s="564" t="s">
        <v>70</v>
      </c>
      <c r="J1827" s="564" t="s">
        <v>1069</v>
      </c>
      <c r="K1827" s="564" t="s">
        <v>1120</v>
      </c>
      <c r="L1827" s="564" t="s">
        <v>2098</v>
      </c>
      <c r="M1827" s="564" t="s">
        <v>2098</v>
      </c>
      <c r="N1827" s="564" t="s">
        <v>70</v>
      </c>
      <c r="O1827" s="564" t="s">
        <v>2099</v>
      </c>
      <c r="P1827" s="23"/>
      <c r="Q1827" s="23"/>
      <c r="R1827" s="23"/>
      <c r="S1827" s="23"/>
      <c r="T1827" s="23"/>
      <c r="U1827" s="23"/>
      <c r="V1827" s="23"/>
      <c r="W1827" s="23"/>
      <c r="X1827" s="23"/>
      <c r="Y1827" s="23"/>
      <c r="Z1827" s="23"/>
    </row>
    <row r="1828" spans="1:26" ht="13">
      <c r="A1828" s="562" t="s">
        <v>4865</v>
      </c>
      <c r="B1828" s="563" t="s">
        <v>4866</v>
      </c>
      <c r="C1828" s="564" t="s">
        <v>353</v>
      </c>
      <c r="D1828" s="565">
        <v>43770</v>
      </c>
      <c r="E1828" s="565">
        <v>43789</v>
      </c>
      <c r="F1828" s="566">
        <v>1913040</v>
      </c>
      <c r="G1828" s="564" t="s">
        <v>1498</v>
      </c>
      <c r="H1828" s="564" t="s">
        <v>1498</v>
      </c>
      <c r="I1828" s="564" t="s">
        <v>45</v>
      </c>
      <c r="J1828" s="564" t="s">
        <v>1069</v>
      </c>
      <c r="K1828" s="564" t="s">
        <v>1090</v>
      </c>
      <c r="L1828" s="564" t="s">
        <v>1071</v>
      </c>
      <c r="M1828" s="564" t="s">
        <v>1183</v>
      </c>
      <c r="N1828" s="564" t="s">
        <v>45</v>
      </c>
      <c r="O1828" s="564" t="s">
        <v>1472</v>
      </c>
      <c r="P1828" s="23"/>
      <c r="Q1828" s="23"/>
      <c r="R1828" s="23"/>
      <c r="S1828" s="23"/>
      <c r="T1828" s="23"/>
      <c r="U1828" s="23"/>
      <c r="V1828" s="23"/>
      <c r="W1828" s="23"/>
      <c r="X1828" s="23"/>
      <c r="Y1828" s="23"/>
      <c r="Z1828" s="23"/>
    </row>
    <row r="1829" spans="1:26" ht="13">
      <c r="A1829" s="562" t="s">
        <v>4867</v>
      </c>
      <c r="B1829" s="563" t="s">
        <v>4868</v>
      </c>
      <c r="C1829" s="564" t="s">
        <v>353</v>
      </c>
      <c r="D1829" s="565">
        <v>43739</v>
      </c>
      <c r="E1829" s="565">
        <v>43758</v>
      </c>
      <c r="F1829" s="566">
        <v>82640</v>
      </c>
      <c r="G1829" s="564" t="s">
        <v>1498</v>
      </c>
      <c r="H1829" s="564" t="s">
        <v>1498</v>
      </c>
      <c r="I1829" s="564" t="s">
        <v>45</v>
      </c>
      <c r="J1829" s="564" t="s">
        <v>1069</v>
      </c>
      <c r="K1829" s="564" t="s">
        <v>1090</v>
      </c>
      <c r="L1829" s="564" t="s">
        <v>1071</v>
      </c>
      <c r="M1829" s="564" t="s">
        <v>1183</v>
      </c>
      <c r="N1829" s="564" t="s">
        <v>45</v>
      </c>
      <c r="O1829" s="564" t="s">
        <v>1472</v>
      </c>
      <c r="P1829" s="23"/>
      <c r="Q1829" s="23"/>
      <c r="R1829" s="23"/>
      <c r="S1829" s="23"/>
      <c r="T1829" s="23"/>
      <c r="U1829" s="23"/>
      <c r="V1829" s="23"/>
      <c r="W1829" s="23"/>
      <c r="X1829" s="23"/>
      <c r="Y1829" s="23"/>
      <c r="Z1829" s="23"/>
    </row>
    <row r="1830" spans="1:26" ht="13">
      <c r="A1830" s="562" t="s">
        <v>4869</v>
      </c>
      <c r="B1830" s="563" t="s">
        <v>4870</v>
      </c>
      <c r="C1830" s="564" t="s">
        <v>353</v>
      </c>
      <c r="D1830" s="565">
        <v>43770</v>
      </c>
      <c r="E1830" s="565">
        <v>43789</v>
      </c>
      <c r="F1830" s="566">
        <v>1398600</v>
      </c>
      <c r="G1830" s="564" t="s">
        <v>1498</v>
      </c>
      <c r="H1830" s="564" t="s">
        <v>1498</v>
      </c>
      <c r="I1830" s="564" t="s">
        <v>45</v>
      </c>
      <c r="J1830" s="564" t="s">
        <v>1069</v>
      </c>
      <c r="K1830" s="564" t="s">
        <v>1090</v>
      </c>
      <c r="L1830" s="564" t="s">
        <v>1071</v>
      </c>
      <c r="M1830" s="564" t="s">
        <v>1183</v>
      </c>
      <c r="N1830" s="564" t="s">
        <v>45</v>
      </c>
      <c r="O1830" s="564" t="s">
        <v>1472</v>
      </c>
      <c r="P1830" s="23"/>
      <c r="Q1830" s="23"/>
      <c r="R1830" s="23"/>
      <c r="S1830" s="23"/>
      <c r="T1830" s="23"/>
      <c r="U1830" s="23"/>
      <c r="V1830" s="23"/>
      <c r="W1830" s="23"/>
      <c r="X1830" s="23"/>
      <c r="Y1830" s="23"/>
      <c r="Z1830" s="23"/>
    </row>
    <row r="1831" spans="1:26" ht="13">
      <c r="A1831" s="562" t="s">
        <v>4871</v>
      </c>
      <c r="B1831" s="563" t="s">
        <v>4872</v>
      </c>
      <c r="C1831" s="564" t="s">
        <v>353</v>
      </c>
      <c r="D1831" s="565">
        <v>43770</v>
      </c>
      <c r="E1831" s="565">
        <v>43803</v>
      </c>
      <c r="F1831" s="566">
        <v>1857900</v>
      </c>
      <c r="G1831" s="564" t="s">
        <v>1405</v>
      </c>
      <c r="H1831" s="564" t="s">
        <v>1405</v>
      </c>
      <c r="I1831" s="564" t="s">
        <v>1637</v>
      </c>
      <c r="J1831" s="564" t="s">
        <v>1069</v>
      </c>
      <c r="K1831" s="564" t="s">
        <v>1120</v>
      </c>
      <c r="L1831" s="564" t="s">
        <v>2098</v>
      </c>
      <c r="M1831" s="564" t="s">
        <v>2098</v>
      </c>
      <c r="N1831" s="564" t="s">
        <v>1073</v>
      </c>
      <c r="O1831" s="564" t="s">
        <v>2099</v>
      </c>
      <c r="P1831" s="23"/>
      <c r="Q1831" s="23"/>
      <c r="R1831" s="23"/>
      <c r="S1831" s="23"/>
      <c r="T1831" s="23"/>
      <c r="U1831" s="23"/>
      <c r="V1831" s="23"/>
      <c r="W1831" s="23"/>
      <c r="X1831" s="23"/>
      <c r="Y1831" s="23"/>
      <c r="Z1831" s="23"/>
    </row>
    <row r="1832" spans="1:26" ht="13">
      <c r="A1832" s="562" t="s">
        <v>4873</v>
      </c>
      <c r="B1832" s="563" t="s">
        <v>4874</v>
      </c>
      <c r="C1832" s="564" t="s">
        <v>1652</v>
      </c>
      <c r="D1832" s="565">
        <v>43777</v>
      </c>
      <c r="E1832" s="565">
        <v>43781</v>
      </c>
      <c r="F1832" s="566">
        <v>17085000</v>
      </c>
      <c r="G1832" s="564" t="s">
        <v>1941</v>
      </c>
      <c r="H1832" s="564" t="s">
        <v>1941</v>
      </c>
      <c r="I1832" s="564" t="s">
        <v>70</v>
      </c>
      <c r="J1832" s="564" t="s">
        <v>1069</v>
      </c>
      <c r="K1832" s="564" t="s">
        <v>1120</v>
      </c>
      <c r="L1832" s="564" t="s">
        <v>2098</v>
      </c>
      <c r="M1832" s="564" t="s">
        <v>2098</v>
      </c>
      <c r="N1832" s="564" t="s">
        <v>70</v>
      </c>
      <c r="O1832" s="564" t="s">
        <v>2099</v>
      </c>
      <c r="P1832" s="23"/>
      <c r="Q1832" s="23"/>
      <c r="R1832" s="23"/>
      <c r="S1832" s="23"/>
      <c r="T1832" s="23"/>
      <c r="U1832" s="23"/>
      <c r="V1832" s="23"/>
      <c r="W1832" s="23"/>
      <c r="X1832" s="23"/>
      <c r="Y1832" s="23"/>
      <c r="Z1832" s="23"/>
    </row>
    <row r="1833" spans="1:26" ht="13">
      <c r="A1833" s="562" t="s">
        <v>4875</v>
      </c>
      <c r="B1833" s="563" t="s">
        <v>4876</v>
      </c>
      <c r="C1833" s="564" t="s">
        <v>1652</v>
      </c>
      <c r="D1833" s="565">
        <v>43774</v>
      </c>
      <c r="E1833" s="565">
        <v>43804</v>
      </c>
      <c r="F1833" s="566">
        <v>1756364</v>
      </c>
      <c r="G1833" s="564" t="s">
        <v>1623</v>
      </c>
      <c r="H1833" s="564" t="s">
        <v>1623</v>
      </c>
      <c r="I1833" s="564" t="s">
        <v>802</v>
      </c>
      <c r="J1833" s="564" t="s">
        <v>1069</v>
      </c>
      <c r="K1833" s="564" t="s">
        <v>1198</v>
      </c>
      <c r="L1833" s="564" t="s">
        <v>2098</v>
      </c>
      <c r="M1833" s="564" t="s">
        <v>2098</v>
      </c>
      <c r="N1833" s="564" t="s">
        <v>132</v>
      </c>
      <c r="O1833" s="564" t="s">
        <v>2099</v>
      </c>
      <c r="P1833" s="23"/>
      <c r="Q1833" s="23"/>
      <c r="R1833" s="23"/>
      <c r="S1833" s="23"/>
      <c r="T1833" s="23"/>
      <c r="U1833" s="23"/>
      <c r="V1833" s="23"/>
      <c r="W1833" s="23"/>
      <c r="X1833" s="23"/>
      <c r="Y1833" s="23"/>
      <c r="Z1833" s="23"/>
    </row>
    <row r="1834" spans="1:26" ht="13">
      <c r="A1834" s="562" t="s">
        <v>4877</v>
      </c>
      <c r="B1834" s="563" t="s">
        <v>4878</v>
      </c>
      <c r="C1834" s="564" t="s">
        <v>1475</v>
      </c>
      <c r="D1834" s="565">
        <v>43770</v>
      </c>
      <c r="E1834" s="565">
        <v>43819</v>
      </c>
      <c r="F1834" s="566">
        <v>207500000</v>
      </c>
      <c r="G1834" s="564" t="s">
        <v>1636</v>
      </c>
      <c r="H1834" s="564" t="s">
        <v>1636</v>
      </c>
      <c r="I1834" s="564" t="s">
        <v>1842</v>
      </c>
      <c r="J1834" s="564" t="s">
        <v>1069</v>
      </c>
      <c r="K1834" s="564" t="s">
        <v>1070</v>
      </c>
      <c r="L1834" s="564" t="s">
        <v>2098</v>
      </c>
      <c r="M1834" s="564" t="s">
        <v>2098</v>
      </c>
      <c r="N1834" s="564" t="s">
        <v>1082</v>
      </c>
      <c r="O1834" s="564" t="s">
        <v>2099</v>
      </c>
      <c r="P1834" s="23"/>
      <c r="Q1834" s="23"/>
      <c r="R1834" s="23"/>
      <c r="S1834" s="23"/>
      <c r="T1834" s="23"/>
      <c r="U1834" s="23"/>
      <c r="V1834" s="23"/>
      <c r="W1834" s="23"/>
      <c r="X1834" s="23"/>
      <c r="Y1834" s="23"/>
      <c r="Z1834" s="23"/>
    </row>
    <row r="1835" spans="1:26" ht="13">
      <c r="A1835" s="562" t="s">
        <v>4879</v>
      </c>
      <c r="B1835" s="563" t="s">
        <v>4880</v>
      </c>
      <c r="C1835" s="564" t="s">
        <v>353</v>
      </c>
      <c r="D1835" s="565">
        <v>43756</v>
      </c>
      <c r="E1835" s="565">
        <v>43782</v>
      </c>
      <c r="F1835" s="566">
        <v>515000</v>
      </c>
      <c r="G1835" s="564" t="s">
        <v>1498</v>
      </c>
      <c r="H1835" s="564" t="s">
        <v>1498</v>
      </c>
      <c r="I1835" s="564" t="s">
        <v>45</v>
      </c>
      <c r="J1835" s="564" t="s">
        <v>1069</v>
      </c>
      <c r="K1835" s="564" t="s">
        <v>1090</v>
      </c>
      <c r="L1835" s="564" t="s">
        <v>2098</v>
      </c>
      <c r="M1835" s="564" t="s">
        <v>2098</v>
      </c>
      <c r="N1835" s="564" t="s">
        <v>45</v>
      </c>
      <c r="O1835" s="564" t="s">
        <v>2099</v>
      </c>
      <c r="P1835" s="23"/>
      <c r="Q1835" s="23"/>
      <c r="R1835" s="23"/>
      <c r="S1835" s="23"/>
      <c r="T1835" s="23"/>
      <c r="U1835" s="23"/>
      <c r="V1835" s="23"/>
      <c r="W1835" s="23"/>
      <c r="X1835" s="23"/>
      <c r="Y1835" s="23"/>
      <c r="Z1835" s="23"/>
    </row>
    <row r="1836" spans="1:26" ht="13">
      <c r="A1836" s="562" t="s">
        <v>4881</v>
      </c>
      <c r="B1836" s="563" t="s">
        <v>4862</v>
      </c>
      <c r="C1836" s="564" t="s">
        <v>353</v>
      </c>
      <c r="D1836" s="565">
        <v>43773</v>
      </c>
      <c r="E1836" s="565">
        <v>43782</v>
      </c>
      <c r="F1836" s="566">
        <v>1010000</v>
      </c>
      <c r="G1836" s="564" t="s">
        <v>1941</v>
      </c>
      <c r="H1836" s="564" t="s">
        <v>1941</v>
      </c>
      <c r="I1836" s="564" t="s">
        <v>1719</v>
      </c>
      <c r="J1836" s="564" t="s">
        <v>1069</v>
      </c>
      <c r="K1836" s="564" t="s">
        <v>1120</v>
      </c>
      <c r="L1836" s="564" t="s">
        <v>2098</v>
      </c>
      <c r="M1836" s="564" t="s">
        <v>2098</v>
      </c>
      <c r="N1836" s="564" t="s">
        <v>1073</v>
      </c>
      <c r="O1836" s="564" t="s">
        <v>2099</v>
      </c>
      <c r="P1836" s="23"/>
      <c r="Q1836" s="23"/>
      <c r="R1836" s="23"/>
      <c r="S1836" s="23"/>
      <c r="T1836" s="23"/>
      <c r="U1836" s="23"/>
      <c r="V1836" s="23"/>
      <c r="W1836" s="23"/>
      <c r="X1836" s="23"/>
      <c r="Y1836" s="23"/>
      <c r="Z1836" s="23"/>
    </row>
    <row r="1837" spans="1:26" ht="13">
      <c r="A1837" s="562" t="s">
        <v>4882</v>
      </c>
      <c r="B1837" s="563" t="s">
        <v>4883</v>
      </c>
      <c r="C1837" s="564" t="s">
        <v>353</v>
      </c>
      <c r="D1837" s="565">
        <v>43774</v>
      </c>
      <c r="E1837" s="565">
        <v>43781</v>
      </c>
      <c r="F1837" s="566">
        <v>760000</v>
      </c>
      <c r="G1837" s="564" t="s">
        <v>1498</v>
      </c>
      <c r="H1837" s="564" t="s">
        <v>1498</v>
      </c>
      <c r="I1837" s="564" t="s">
        <v>64</v>
      </c>
      <c r="J1837" s="564" t="s">
        <v>1069</v>
      </c>
      <c r="K1837" s="564" t="s">
        <v>1090</v>
      </c>
      <c r="L1837" s="564" t="s">
        <v>2098</v>
      </c>
      <c r="M1837" s="564" t="s">
        <v>2098</v>
      </c>
      <c r="N1837" s="564" t="s">
        <v>64</v>
      </c>
      <c r="O1837" s="564" t="s">
        <v>2099</v>
      </c>
      <c r="P1837" s="23"/>
      <c r="Q1837" s="23"/>
      <c r="R1837" s="23"/>
      <c r="S1837" s="23"/>
      <c r="T1837" s="23"/>
      <c r="U1837" s="23"/>
      <c r="V1837" s="23"/>
      <c r="W1837" s="23"/>
      <c r="X1837" s="23"/>
      <c r="Y1837" s="23"/>
      <c r="Z1837" s="23"/>
    </row>
    <row r="1838" spans="1:26" ht="13">
      <c r="A1838" s="562" t="s">
        <v>4884</v>
      </c>
      <c r="B1838" s="563" t="s">
        <v>4885</v>
      </c>
      <c r="C1838" s="564" t="s">
        <v>1475</v>
      </c>
      <c r="D1838" s="565">
        <v>43766</v>
      </c>
      <c r="E1838" s="565">
        <v>43781</v>
      </c>
      <c r="F1838" s="566">
        <v>131400000</v>
      </c>
      <c r="G1838" s="564" t="s">
        <v>1157</v>
      </c>
      <c r="H1838" s="564" t="s">
        <v>1157</v>
      </c>
      <c r="I1838" s="564" t="s">
        <v>146</v>
      </c>
      <c r="J1838" s="564" t="s">
        <v>1069</v>
      </c>
      <c r="K1838" s="564" t="s">
        <v>1070</v>
      </c>
      <c r="L1838" s="564" t="s">
        <v>2098</v>
      </c>
      <c r="M1838" s="564" t="s">
        <v>2098</v>
      </c>
      <c r="N1838" s="564" t="s">
        <v>1073</v>
      </c>
      <c r="O1838" s="564" t="s">
        <v>2099</v>
      </c>
      <c r="P1838" s="23"/>
      <c r="Q1838" s="23"/>
      <c r="R1838" s="23"/>
      <c r="S1838" s="23"/>
      <c r="T1838" s="23"/>
      <c r="U1838" s="23"/>
      <c r="V1838" s="23"/>
      <c r="W1838" s="23"/>
      <c r="X1838" s="23"/>
      <c r="Y1838" s="23"/>
      <c r="Z1838" s="23"/>
    </row>
    <row r="1839" spans="1:26" ht="13">
      <c r="A1839" s="562" t="s">
        <v>4886</v>
      </c>
      <c r="B1839" s="563" t="s">
        <v>4887</v>
      </c>
      <c r="C1839" s="564" t="s">
        <v>353</v>
      </c>
      <c r="D1839" s="565">
        <v>43769</v>
      </c>
      <c r="E1839" s="565">
        <v>43777</v>
      </c>
      <c r="F1839" s="566">
        <v>528000</v>
      </c>
      <c r="G1839" s="564" t="s">
        <v>1941</v>
      </c>
      <c r="H1839" s="564" t="s">
        <v>1941</v>
      </c>
      <c r="I1839" s="564" t="s">
        <v>70</v>
      </c>
      <c r="J1839" s="564" t="s">
        <v>1069</v>
      </c>
      <c r="K1839" s="564" t="s">
        <v>1120</v>
      </c>
      <c r="L1839" s="564" t="s">
        <v>2098</v>
      </c>
      <c r="M1839" s="564" t="s">
        <v>2098</v>
      </c>
      <c r="N1839" s="564" t="s">
        <v>70</v>
      </c>
      <c r="O1839" s="564" t="s">
        <v>2099</v>
      </c>
      <c r="P1839" s="23"/>
      <c r="Q1839" s="23"/>
      <c r="R1839" s="23"/>
      <c r="S1839" s="23"/>
      <c r="T1839" s="23"/>
      <c r="U1839" s="23"/>
      <c r="V1839" s="23"/>
      <c r="W1839" s="23"/>
      <c r="X1839" s="23"/>
      <c r="Y1839" s="23"/>
      <c r="Z1839" s="23"/>
    </row>
    <row r="1840" spans="1:26" ht="13">
      <c r="A1840" s="562" t="s">
        <v>4888</v>
      </c>
      <c r="B1840" s="563" t="s">
        <v>4889</v>
      </c>
      <c r="C1840" s="564" t="s">
        <v>1076</v>
      </c>
      <c r="D1840" s="565">
        <v>43768</v>
      </c>
      <c r="E1840" s="565">
        <v>43830</v>
      </c>
      <c r="F1840" s="566">
        <v>1800000</v>
      </c>
      <c r="G1840" s="564" t="s">
        <v>1400</v>
      </c>
      <c r="H1840" s="564" t="s">
        <v>1400</v>
      </c>
      <c r="I1840" s="564" t="s">
        <v>4816</v>
      </c>
      <c r="J1840" s="564" t="s">
        <v>1069</v>
      </c>
      <c r="K1840" s="564" t="s">
        <v>1070</v>
      </c>
      <c r="L1840" s="564" t="s">
        <v>2098</v>
      </c>
      <c r="M1840" s="564" t="s">
        <v>2098</v>
      </c>
      <c r="N1840" s="564" t="s">
        <v>1082</v>
      </c>
      <c r="O1840" s="564" t="s">
        <v>2099</v>
      </c>
      <c r="P1840" s="23"/>
      <c r="Q1840" s="23"/>
      <c r="R1840" s="23"/>
      <c r="S1840" s="23"/>
      <c r="T1840" s="23"/>
      <c r="U1840" s="23"/>
      <c r="V1840" s="23"/>
      <c r="W1840" s="23"/>
      <c r="X1840" s="23"/>
      <c r="Y1840" s="23"/>
      <c r="Z1840" s="23"/>
    </row>
    <row r="1841" spans="1:26" ht="13">
      <c r="A1841" s="562" t="s">
        <v>4890</v>
      </c>
      <c r="B1841" s="563" t="s">
        <v>4891</v>
      </c>
      <c r="C1841" s="564" t="s">
        <v>353</v>
      </c>
      <c r="D1841" s="565">
        <v>43766</v>
      </c>
      <c r="E1841" s="565">
        <v>43769</v>
      </c>
      <c r="F1841" s="566">
        <v>640000</v>
      </c>
      <c r="G1841" s="564" t="s">
        <v>1498</v>
      </c>
      <c r="H1841" s="564" t="s">
        <v>1498</v>
      </c>
      <c r="I1841" s="564" t="s">
        <v>45</v>
      </c>
      <c r="J1841" s="564" t="s">
        <v>1069</v>
      </c>
      <c r="K1841" s="564" t="s">
        <v>1090</v>
      </c>
      <c r="L1841" s="564" t="s">
        <v>2098</v>
      </c>
      <c r="M1841" s="564" t="s">
        <v>2098</v>
      </c>
      <c r="N1841" s="564" t="s">
        <v>45</v>
      </c>
      <c r="O1841" s="564" t="s">
        <v>2099</v>
      </c>
      <c r="P1841" s="23"/>
      <c r="Q1841" s="23"/>
      <c r="R1841" s="23"/>
      <c r="S1841" s="23"/>
      <c r="T1841" s="23"/>
      <c r="U1841" s="23"/>
      <c r="V1841" s="23"/>
      <c r="W1841" s="23"/>
      <c r="X1841" s="23"/>
      <c r="Y1841" s="23"/>
      <c r="Z1841" s="23"/>
    </row>
    <row r="1842" spans="1:26" ht="13">
      <c r="A1842" s="562" t="s">
        <v>4892</v>
      </c>
      <c r="B1842" s="563" t="s">
        <v>4383</v>
      </c>
      <c r="C1842" s="564" t="s">
        <v>353</v>
      </c>
      <c r="D1842" s="565">
        <v>43766</v>
      </c>
      <c r="E1842" s="565">
        <v>43791</v>
      </c>
      <c r="F1842" s="566">
        <v>450000</v>
      </c>
      <c r="G1842" s="564" t="s">
        <v>1293</v>
      </c>
      <c r="H1842" s="564" t="s">
        <v>1293</v>
      </c>
      <c r="I1842" s="564" t="s">
        <v>225</v>
      </c>
      <c r="J1842" s="564" t="s">
        <v>1069</v>
      </c>
      <c r="K1842" s="564" t="s">
        <v>1105</v>
      </c>
      <c r="L1842" s="564" t="s">
        <v>2098</v>
      </c>
      <c r="M1842" s="564" t="s">
        <v>2098</v>
      </c>
      <c r="N1842" s="564" t="s">
        <v>225</v>
      </c>
      <c r="O1842" s="564" t="s">
        <v>2099</v>
      </c>
      <c r="P1842" s="23"/>
      <c r="Q1842" s="23"/>
      <c r="R1842" s="23"/>
      <c r="S1842" s="23"/>
      <c r="T1842" s="23"/>
      <c r="U1842" s="23"/>
      <c r="V1842" s="23"/>
      <c r="W1842" s="23"/>
      <c r="X1842" s="23"/>
      <c r="Y1842" s="23"/>
      <c r="Z1842" s="23"/>
    </row>
    <row r="1843" spans="1:26" ht="13">
      <c r="A1843" s="562" t="s">
        <v>4893</v>
      </c>
      <c r="B1843" s="563" t="s">
        <v>4432</v>
      </c>
      <c r="C1843" s="564" t="s">
        <v>1475</v>
      </c>
      <c r="D1843" s="565">
        <v>43749</v>
      </c>
      <c r="E1843" s="565">
        <v>43784</v>
      </c>
      <c r="F1843" s="566">
        <v>350000</v>
      </c>
      <c r="G1843" s="564" t="s">
        <v>1293</v>
      </c>
      <c r="H1843" s="564" t="s">
        <v>1293</v>
      </c>
      <c r="I1843" s="564" t="s">
        <v>3824</v>
      </c>
      <c r="J1843" s="564" t="s">
        <v>1069</v>
      </c>
      <c r="K1843" s="564" t="s">
        <v>1070</v>
      </c>
      <c r="L1843" s="564" t="s">
        <v>2098</v>
      </c>
      <c r="M1843" s="564" t="s">
        <v>2098</v>
      </c>
      <c r="N1843" s="564" t="s">
        <v>1073</v>
      </c>
      <c r="O1843" s="564" t="s">
        <v>2099</v>
      </c>
      <c r="P1843" s="23"/>
      <c r="Q1843" s="23"/>
      <c r="R1843" s="23"/>
      <c r="S1843" s="23"/>
      <c r="T1843" s="23"/>
      <c r="U1843" s="23"/>
      <c r="V1843" s="23"/>
      <c r="W1843" s="23"/>
      <c r="X1843" s="23"/>
      <c r="Y1843" s="23"/>
      <c r="Z1843" s="23"/>
    </row>
    <row r="1844" spans="1:26" ht="13">
      <c r="A1844" s="562" t="s">
        <v>4894</v>
      </c>
      <c r="B1844" s="563" t="s">
        <v>4434</v>
      </c>
      <c r="C1844" s="564" t="s">
        <v>1475</v>
      </c>
      <c r="D1844" s="565">
        <v>43749</v>
      </c>
      <c r="E1844" s="565">
        <v>43784</v>
      </c>
      <c r="F1844" s="566">
        <v>350000</v>
      </c>
      <c r="G1844" s="564" t="s">
        <v>1293</v>
      </c>
      <c r="H1844" s="564" t="s">
        <v>1293</v>
      </c>
      <c r="I1844" s="564" t="s">
        <v>2586</v>
      </c>
      <c r="J1844" s="564" t="s">
        <v>1069</v>
      </c>
      <c r="K1844" s="564" t="s">
        <v>1070</v>
      </c>
      <c r="L1844" s="564" t="s">
        <v>2098</v>
      </c>
      <c r="M1844" s="564" t="s">
        <v>2098</v>
      </c>
      <c r="N1844" s="564" t="s">
        <v>1073</v>
      </c>
      <c r="O1844" s="564" t="s">
        <v>2099</v>
      </c>
      <c r="P1844" s="23"/>
      <c r="Q1844" s="23"/>
      <c r="R1844" s="23"/>
      <c r="S1844" s="23"/>
      <c r="T1844" s="23"/>
      <c r="U1844" s="23"/>
      <c r="V1844" s="23"/>
      <c r="W1844" s="23"/>
      <c r="X1844" s="23"/>
      <c r="Y1844" s="23"/>
      <c r="Z1844" s="23"/>
    </row>
    <row r="1845" spans="1:26" ht="13">
      <c r="A1845" s="562" t="s">
        <v>4895</v>
      </c>
      <c r="B1845" s="563" t="s">
        <v>4896</v>
      </c>
      <c r="C1845" s="564" t="s">
        <v>1204</v>
      </c>
      <c r="D1845" s="565">
        <v>43739</v>
      </c>
      <c r="E1845" s="565">
        <v>43739</v>
      </c>
      <c r="F1845" s="566">
        <v>1068000</v>
      </c>
      <c r="G1845" s="564" t="s">
        <v>1366</v>
      </c>
      <c r="H1845" s="564" t="s">
        <v>1366</v>
      </c>
      <c r="I1845" s="564" t="s">
        <v>1471</v>
      </c>
      <c r="J1845" s="564" t="s">
        <v>1069</v>
      </c>
      <c r="K1845" s="564" t="s">
        <v>1070</v>
      </c>
      <c r="L1845" s="564" t="s">
        <v>1071</v>
      </c>
      <c r="M1845" s="564" t="s">
        <v>1183</v>
      </c>
      <c r="N1845" s="564" t="s">
        <v>1082</v>
      </c>
      <c r="O1845" s="564" t="s">
        <v>1472</v>
      </c>
      <c r="P1845" s="23"/>
      <c r="Q1845" s="23"/>
      <c r="R1845" s="23"/>
      <c r="S1845" s="23"/>
      <c r="T1845" s="23"/>
      <c r="U1845" s="23"/>
      <c r="V1845" s="23"/>
      <c r="W1845" s="23"/>
      <c r="X1845" s="23"/>
      <c r="Y1845" s="23"/>
      <c r="Z1845" s="23"/>
    </row>
    <row r="1846" spans="1:26" ht="13">
      <c r="A1846" s="562" t="s">
        <v>4897</v>
      </c>
      <c r="B1846" s="563" t="s">
        <v>4898</v>
      </c>
      <c r="C1846" s="564" t="s">
        <v>1475</v>
      </c>
      <c r="D1846" s="565">
        <v>43756</v>
      </c>
      <c r="E1846" s="565">
        <v>43799</v>
      </c>
      <c r="F1846" s="566">
        <v>25000000</v>
      </c>
      <c r="G1846" s="564" t="s">
        <v>1123</v>
      </c>
      <c r="H1846" s="564" t="s">
        <v>1123</v>
      </c>
      <c r="I1846" s="564" t="s">
        <v>4899</v>
      </c>
      <c r="J1846" s="564" t="s">
        <v>1069</v>
      </c>
      <c r="K1846" s="564" t="s">
        <v>1070</v>
      </c>
      <c r="L1846" s="564" t="s">
        <v>2098</v>
      </c>
      <c r="M1846" s="564" t="s">
        <v>2098</v>
      </c>
      <c r="N1846" s="564" t="s">
        <v>1082</v>
      </c>
      <c r="O1846" s="564" t="s">
        <v>2099</v>
      </c>
      <c r="P1846" s="23"/>
      <c r="Q1846" s="23"/>
      <c r="R1846" s="23"/>
      <c r="S1846" s="23"/>
      <c r="T1846" s="23"/>
      <c r="U1846" s="23"/>
      <c r="V1846" s="23"/>
      <c r="W1846" s="23"/>
      <c r="X1846" s="23"/>
      <c r="Y1846" s="23"/>
      <c r="Z1846" s="23"/>
    </row>
    <row r="1847" spans="1:26" ht="13">
      <c r="A1847" s="562" t="s">
        <v>4900</v>
      </c>
      <c r="B1847" s="563" t="s">
        <v>4901</v>
      </c>
      <c r="C1847" s="564" t="s">
        <v>1076</v>
      </c>
      <c r="D1847" s="565">
        <v>43760</v>
      </c>
      <c r="E1847" s="565">
        <v>43830</v>
      </c>
      <c r="F1847" s="566">
        <v>34057500</v>
      </c>
      <c r="G1847" s="564" t="s">
        <v>1400</v>
      </c>
      <c r="H1847" s="564" t="s">
        <v>1400</v>
      </c>
      <c r="I1847" s="564" t="s">
        <v>4816</v>
      </c>
      <c r="J1847" s="564" t="s">
        <v>1069</v>
      </c>
      <c r="K1847" s="564" t="s">
        <v>1070</v>
      </c>
      <c r="L1847" s="564" t="s">
        <v>2098</v>
      </c>
      <c r="M1847" s="564" t="s">
        <v>2098</v>
      </c>
      <c r="N1847" s="564" t="s">
        <v>1082</v>
      </c>
      <c r="O1847" s="564" t="s">
        <v>2099</v>
      </c>
      <c r="P1847" s="23"/>
      <c r="Q1847" s="23"/>
      <c r="R1847" s="23"/>
      <c r="S1847" s="23"/>
      <c r="T1847" s="23"/>
      <c r="U1847" s="23"/>
      <c r="V1847" s="23"/>
      <c r="W1847" s="23"/>
      <c r="X1847" s="23"/>
      <c r="Y1847" s="23"/>
      <c r="Z1847" s="23"/>
    </row>
    <row r="1848" spans="1:26" ht="13">
      <c r="A1848" s="562" t="s">
        <v>4902</v>
      </c>
      <c r="B1848" s="563" t="s">
        <v>4903</v>
      </c>
      <c r="C1848" s="564" t="s">
        <v>1652</v>
      </c>
      <c r="D1848" s="565">
        <v>43760</v>
      </c>
      <c r="E1848" s="565">
        <v>43764</v>
      </c>
      <c r="F1848" s="566">
        <v>2640000</v>
      </c>
      <c r="G1848" s="564" t="s">
        <v>1941</v>
      </c>
      <c r="H1848" s="564" t="s">
        <v>1941</v>
      </c>
      <c r="I1848" s="564" t="s">
        <v>70</v>
      </c>
      <c r="J1848" s="564" t="s">
        <v>1069</v>
      </c>
      <c r="K1848" s="564" t="s">
        <v>1120</v>
      </c>
      <c r="L1848" s="564" t="s">
        <v>2098</v>
      </c>
      <c r="M1848" s="564" t="s">
        <v>2098</v>
      </c>
      <c r="N1848" s="564" t="s">
        <v>70</v>
      </c>
      <c r="O1848" s="564" t="s">
        <v>2099</v>
      </c>
      <c r="P1848" s="23"/>
      <c r="Q1848" s="23"/>
      <c r="R1848" s="23"/>
      <c r="S1848" s="23"/>
      <c r="T1848" s="23"/>
      <c r="U1848" s="23"/>
      <c r="V1848" s="23"/>
      <c r="W1848" s="23"/>
      <c r="X1848" s="23"/>
      <c r="Y1848" s="23"/>
      <c r="Z1848" s="23"/>
    </row>
    <row r="1849" spans="1:26" ht="13">
      <c r="A1849" s="562" t="s">
        <v>4904</v>
      </c>
      <c r="B1849" s="563" t="s">
        <v>4905</v>
      </c>
      <c r="C1849" s="564" t="s">
        <v>1652</v>
      </c>
      <c r="D1849" s="565">
        <v>43752</v>
      </c>
      <c r="E1849" s="565">
        <v>43782</v>
      </c>
      <c r="F1849" s="566">
        <v>11672727</v>
      </c>
      <c r="G1849" s="564" t="s">
        <v>1623</v>
      </c>
      <c r="H1849" s="564" t="s">
        <v>1623</v>
      </c>
      <c r="I1849" s="564" t="s">
        <v>802</v>
      </c>
      <c r="J1849" s="564" t="s">
        <v>1069</v>
      </c>
      <c r="K1849" s="564" t="s">
        <v>1198</v>
      </c>
      <c r="L1849" s="564" t="s">
        <v>2098</v>
      </c>
      <c r="M1849" s="564" t="s">
        <v>2098</v>
      </c>
      <c r="N1849" s="564" t="s">
        <v>132</v>
      </c>
      <c r="O1849" s="564" t="s">
        <v>2099</v>
      </c>
      <c r="P1849" s="23"/>
      <c r="Q1849" s="23"/>
      <c r="R1849" s="23"/>
      <c r="S1849" s="23"/>
      <c r="T1849" s="23"/>
      <c r="U1849" s="23"/>
      <c r="V1849" s="23"/>
      <c r="W1849" s="23"/>
      <c r="X1849" s="23"/>
      <c r="Y1849" s="23"/>
      <c r="Z1849" s="23"/>
    </row>
    <row r="1850" spans="1:26" ht="13">
      <c r="A1850" s="562" t="s">
        <v>4906</v>
      </c>
      <c r="B1850" s="563" t="s">
        <v>4907</v>
      </c>
      <c r="C1850" s="564" t="s">
        <v>353</v>
      </c>
      <c r="D1850" s="565">
        <v>43753</v>
      </c>
      <c r="E1850" s="565">
        <v>43756</v>
      </c>
      <c r="F1850" s="566">
        <v>52550000</v>
      </c>
      <c r="G1850" s="564" t="s">
        <v>1498</v>
      </c>
      <c r="H1850" s="564" t="s">
        <v>1498</v>
      </c>
      <c r="I1850" s="564" t="s">
        <v>45</v>
      </c>
      <c r="J1850" s="564" t="s">
        <v>1069</v>
      </c>
      <c r="K1850" s="564" t="s">
        <v>1090</v>
      </c>
      <c r="L1850" s="564" t="s">
        <v>2098</v>
      </c>
      <c r="M1850" s="564" t="s">
        <v>2098</v>
      </c>
      <c r="N1850" s="564" t="s">
        <v>45</v>
      </c>
      <c r="O1850" s="564" t="s">
        <v>2099</v>
      </c>
      <c r="P1850" s="23"/>
      <c r="Q1850" s="23"/>
      <c r="R1850" s="23"/>
      <c r="S1850" s="23"/>
      <c r="T1850" s="23"/>
      <c r="U1850" s="23"/>
      <c r="V1850" s="23"/>
      <c r="W1850" s="23"/>
      <c r="X1850" s="23"/>
      <c r="Y1850" s="23"/>
      <c r="Z1850" s="23"/>
    </row>
    <row r="1851" spans="1:26" ht="13">
      <c r="A1851" s="562" t="s">
        <v>4908</v>
      </c>
      <c r="B1851" s="563" t="s">
        <v>4909</v>
      </c>
      <c r="C1851" s="564" t="s">
        <v>1076</v>
      </c>
      <c r="D1851" s="565">
        <v>43749</v>
      </c>
      <c r="E1851" s="565">
        <v>43830</v>
      </c>
      <c r="F1851" s="566">
        <v>1096000</v>
      </c>
      <c r="G1851" s="564" t="s">
        <v>1400</v>
      </c>
      <c r="H1851" s="564" t="s">
        <v>1400</v>
      </c>
      <c r="I1851" s="564" t="s">
        <v>4816</v>
      </c>
      <c r="J1851" s="564" t="s">
        <v>1069</v>
      </c>
      <c r="K1851" s="564" t="s">
        <v>1070</v>
      </c>
      <c r="L1851" s="564" t="s">
        <v>2098</v>
      </c>
      <c r="M1851" s="564" t="s">
        <v>2098</v>
      </c>
      <c r="N1851" s="564" t="s">
        <v>1082</v>
      </c>
      <c r="O1851" s="564" t="s">
        <v>2099</v>
      </c>
      <c r="P1851" s="23"/>
      <c r="Q1851" s="23"/>
      <c r="R1851" s="23"/>
      <c r="S1851" s="23"/>
      <c r="T1851" s="23"/>
      <c r="U1851" s="23"/>
      <c r="V1851" s="23"/>
      <c r="W1851" s="23"/>
      <c r="X1851" s="23"/>
      <c r="Y1851" s="23"/>
      <c r="Z1851" s="23"/>
    </row>
    <row r="1852" spans="1:26" ht="13">
      <c r="A1852" s="562" t="s">
        <v>4910</v>
      </c>
      <c r="B1852" s="563" t="s">
        <v>4911</v>
      </c>
      <c r="C1852" s="564" t="s">
        <v>1076</v>
      </c>
      <c r="D1852" s="565">
        <v>43749</v>
      </c>
      <c r="E1852" s="565">
        <v>43830</v>
      </c>
      <c r="F1852" s="566">
        <v>1732000</v>
      </c>
      <c r="G1852" s="564" t="s">
        <v>1400</v>
      </c>
      <c r="H1852" s="564" t="s">
        <v>1400</v>
      </c>
      <c r="I1852" s="564" t="s">
        <v>4816</v>
      </c>
      <c r="J1852" s="564" t="s">
        <v>1069</v>
      </c>
      <c r="K1852" s="564" t="s">
        <v>1070</v>
      </c>
      <c r="L1852" s="564" t="s">
        <v>2098</v>
      </c>
      <c r="M1852" s="564" t="s">
        <v>2098</v>
      </c>
      <c r="N1852" s="564" t="s">
        <v>1082</v>
      </c>
      <c r="O1852" s="564" t="s">
        <v>2099</v>
      </c>
      <c r="P1852" s="23"/>
      <c r="Q1852" s="23"/>
      <c r="R1852" s="23"/>
      <c r="S1852" s="23"/>
      <c r="T1852" s="23"/>
      <c r="U1852" s="23"/>
      <c r="V1852" s="23"/>
      <c r="W1852" s="23"/>
      <c r="X1852" s="23"/>
      <c r="Y1852" s="23"/>
      <c r="Z1852" s="23"/>
    </row>
    <row r="1853" spans="1:26" ht="13">
      <c r="A1853" s="562" t="s">
        <v>4912</v>
      </c>
      <c r="B1853" s="563" t="s">
        <v>4913</v>
      </c>
      <c r="C1853" s="564" t="s">
        <v>1076</v>
      </c>
      <c r="D1853" s="565">
        <v>43752</v>
      </c>
      <c r="E1853" s="565">
        <v>43830</v>
      </c>
      <c r="F1853" s="566">
        <v>91350000</v>
      </c>
      <c r="G1853" s="564" t="s">
        <v>1400</v>
      </c>
      <c r="H1853" s="564" t="s">
        <v>1400</v>
      </c>
      <c r="I1853" s="564" t="s">
        <v>4816</v>
      </c>
      <c r="J1853" s="564" t="s">
        <v>1069</v>
      </c>
      <c r="K1853" s="564" t="s">
        <v>1070</v>
      </c>
      <c r="L1853" s="564" t="s">
        <v>2098</v>
      </c>
      <c r="M1853" s="564" t="s">
        <v>2098</v>
      </c>
      <c r="N1853" s="564" t="s">
        <v>1082</v>
      </c>
      <c r="O1853" s="564" t="s">
        <v>2099</v>
      </c>
      <c r="P1853" s="23"/>
      <c r="Q1853" s="23"/>
      <c r="R1853" s="23"/>
      <c r="S1853" s="23"/>
      <c r="T1853" s="23"/>
      <c r="U1853" s="23"/>
      <c r="V1853" s="23"/>
      <c r="W1853" s="23"/>
      <c r="X1853" s="23"/>
      <c r="Y1853" s="23"/>
      <c r="Z1853" s="23"/>
    </row>
    <row r="1854" spans="1:26" ht="13">
      <c r="A1854" s="562" t="s">
        <v>4914</v>
      </c>
      <c r="B1854" s="563" t="s">
        <v>4915</v>
      </c>
      <c r="C1854" s="564" t="s">
        <v>1475</v>
      </c>
      <c r="D1854" s="565">
        <v>43753</v>
      </c>
      <c r="E1854" s="565">
        <v>43788</v>
      </c>
      <c r="F1854" s="566">
        <v>6496000</v>
      </c>
      <c r="G1854" s="564" t="s">
        <v>297</v>
      </c>
      <c r="H1854" s="564" t="s">
        <v>297</v>
      </c>
      <c r="I1854" s="564" t="s">
        <v>2586</v>
      </c>
      <c r="J1854" s="564" t="s">
        <v>1069</v>
      </c>
      <c r="K1854" s="564" t="s">
        <v>1070</v>
      </c>
      <c r="L1854" s="564" t="s">
        <v>2098</v>
      </c>
      <c r="M1854" s="564" t="s">
        <v>2098</v>
      </c>
      <c r="N1854" s="564" t="s">
        <v>1073</v>
      </c>
      <c r="O1854" s="564" t="s">
        <v>2099</v>
      </c>
      <c r="P1854" s="23"/>
      <c r="Q1854" s="23"/>
      <c r="R1854" s="23"/>
      <c r="S1854" s="23"/>
      <c r="T1854" s="23"/>
      <c r="U1854" s="23"/>
      <c r="V1854" s="23"/>
      <c r="W1854" s="23"/>
      <c r="X1854" s="23"/>
      <c r="Y1854" s="23"/>
      <c r="Z1854" s="23"/>
    </row>
    <row r="1855" spans="1:26" ht="13">
      <c r="A1855" s="562" t="s">
        <v>4916</v>
      </c>
      <c r="B1855" s="563" t="s">
        <v>4917</v>
      </c>
      <c r="C1855" s="564" t="s">
        <v>1475</v>
      </c>
      <c r="D1855" s="565">
        <v>43753</v>
      </c>
      <c r="E1855" s="565">
        <v>43788</v>
      </c>
      <c r="F1855" s="566">
        <v>25984000</v>
      </c>
      <c r="G1855" s="564" t="s">
        <v>297</v>
      </c>
      <c r="H1855" s="564" t="s">
        <v>297</v>
      </c>
      <c r="I1855" s="564" t="s">
        <v>3824</v>
      </c>
      <c r="J1855" s="564" t="s">
        <v>1069</v>
      </c>
      <c r="K1855" s="564" t="s">
        <v>1070</v>
      </c>
      <c r="L1855" s="564" t="s">
        <v>2098</v>
      </c>
      <c r="M1855" s="564" t="s">
        <v>2098</v>
      </c>
      <c r="N1855" s="564" t="s">
        <v>1073</v>
      </c>
      <c r="O1855" s="564" t="s">
        <v>2099</v>
      </c>
      <c r="P1855" s="23"/>
      <c r="Q1855" s="23"/>
      <c r="R1855" s="23"/>
      <c r="S1855" s="23"/>
      <c r="T1855" s="23"/>
      <c r="U1855" s="23"/>
      <c r="V1855" s="23"/>
      <c r="W1855" s="23"/>
      <c r="X1855" s="23"/>
      <c r="Y1855" s="23"/>
      <c r="Z1855" s="23"/>
    </row>
    <row r="1856" spans="1:26" ht="13">
      <c r="A1856" s="562" t="s">
        <v>4918</v>
      </c>
      <c r="B1856" s="563" t="s">
        <v>4919</v>
      </c>
      <c r="C1856" s="564" t="s">
        <v>1076</v>
      </c>
      <c r="D1856" s="565">
        <v>43749</v>
      </c>
      <c r="E1856" s="565">
        <v>43830</v>
      </c>
      <c r="F1856" s="566">
        <v>1632000</v>
      </c>
      <c r="G1856" s="564" t="s">
        <v>1400</v>
      </c>
      <c r="H1856" s="564" t="s">
        <v>1400</v>
      </c>
      <c r="I1856" s="564" t="s">
        <v>4816</v>
      </c>
      <c r="J1856" s="564" t="s">
        <v>1069</v>
      </c>
      <c r="K1856" s="564" t="s">
        <v>1070</v>
      </c>
      <c r="L1856" s="564" t="s">
        <v>2098</v>
      </c>
      <c r="M1856" s="564" t="s">
        <v>2098</v>
      </c>
      <c r="N1856" s="564" t="s">
        <v>1082</v>
      </c>
      <c r="O1856" s="564" t="s">
        <v>2099</v>
      </c>
      <c r="P1856" s="23"/>
      <c r="Q1856" s="23"/>
      <c r="R1856" s="23"/>
      <c r="S1856" s="23"/>
      <c r="T1856" s="23"/>
      <c r="U1856" s="23"/>
      <c r="V1856" s="23"/>
      <c r="W1856" s="23"/>
      <c r="X1856" s="23"/>
      <c r="Y1856" s="23"/>
      <c r="Z1856" s="23"/>
    </row>
    <row r="1857" spans="1:26" ht="13">
      <c r="A1857" s="562" t="s">
        <v>4920</v>
      </c>
      <c r="B1857" s="563" t="s">
        <v>4921</v>
      </c>
      <c r="C1857" s="564" t="s">
        <v>1076</v>
      </c>
      <c r="D1857" s="565">
        <v>43749</v>
      </c>
      <c r="E1857" s="565">
        <v>43830</v>
      </c>
      <c r="F1857" s="566">
        <v>1729000</v>
      </c>
      <c r="G1857" s="564" t="s">
        <v>1400</v>
      </c>
      <c r="H1857" s="564" t="s">
        <v>1400</v>
      </c>
      <c r="I1857" s="564" t="s">
        <v>4816</v>
      </c>
      <c r="J1857" s="564" t="s">
        <v>1069</v>
      </c>
      <c r="K1857" s="564" t="s">
        <v>1070</v>
      </c>
      <c r="L1857" s="564" t="s">
        <v>2098</v>
      </c>
      <c r="M1857" s="564" t="s">
        <v>2098</v>
      </c>
      <c r="N1857" s="564" t="s">
        <v>1082</v>
      </c>
      <c r="O1857" s="564" t="s">
        <v>2099</v>
      </c>
      <c r="P1857" s="23"/>
      <c r="Q1857" s="23"/>
      <c r="R1857" s="23"/>
      <c r="S1857" s="23"/>
      <c r="T1857" s="23"/>
      <c r="U1857" s="23"/>
      <c r="V1857" s="23"/>
      <c r="W1857" s="23"/>
      <c r="X1857" s="23"/>
      <c r="Y1857" s="23"/>
      <c r="Z1857" s="23"/>
    </row>
    <row r="1858" spans="1:26" ht="13">
      <c r="A1858" s="562" t="s">
        <v>4922</v>
      </c>
      <c r="B1858" s="563" t="s">
        <v>4905</v>
      </c>
      <c r="C1858" s="564" t="s">
        <v>3378</v>
      </c>
      <c r="D1858" s="565">
        <v>43752</v>
      </c>
      <c r="E1858" s="565">
        <v>43782</v>
      </c>
      <c r="F1858" s="566">
        <v>11672727</v>
      </c>
      <c r="G1858" s="564" t="s">
        <v>1623</v>
      </c>
      <c r="H1858" s="564" t="s">
        <v>1623</v>
      </c>
      <c r="I1858" s="564" t="s">
        <v>802</v>
      </c>
      <c r="J1858" s="564" t="s">
        <v>1069</v>
      </c>
      <c r="K1858" s="564" t="s">
        <v>1198</v>
      </c>
      <c r="L1858" s="564" t="s">
        <v>2098</v>
      </c>
      <c r="M1858" s="564" t="s">
        <v>2098</v>
      </c>
      <c r="N1858" s="564" t="s">
        <v>132</v>
      </c>
      <c r="O1858" s="564" t="s">
        <v>2099</v>
      </c>
      <c r="P1858" s="23"/>
      <c r="Q1858" s="23"/>
      <c r="R1858" s="23"/>
      <c r="S1858" s="23"/>
      <c r="T1858" s="23"/>
      <c r="U1858" s="23"/>
      <c r="V1858" s="23"/>
      <c r="W1858" s="23"/>
      <c r="X1858" s="23"/>
      <c r="Y1858" s="23"/>
      <c r="Z1858" s="23"/>
    </row>
    <row r="1859" spans="1:26" ht="13">
      <c r="A1859" s="562" t="s">
        <v>4923</v>
      </c>
      <c r="B1859" s="563" t="s">
        <v>4924</v>
      </c>
      <c r="C1859" s="564" t="s">
        <v>2322</v>
      </c>
      <c r="D1859" s="565">
        <v>43745</v>
      </c>
      <c r="E1859" s="565">
        <v>43830</v>
      </c>
      <c r="F1859" s="566">
        <v>56136364</v>
      </c>
      <c r="G1859" s="564" t="s">
        <v>4925</v>
      </c>
      <c r="H1859" s="564" t="s">
        <v>4925</v>
      </c>
      <c r="I1859" s="564" t="s">
        <v>4926</v>
      </c>
      <c r="J1859" s="564" t="s">
        <v>1069</v>
      </c>
      <c r="K1859" s="564" t="s">
        <v>1209</v>
      </c>
      <c r="L1859" s="564" t="s">
        <v>2098</v>
      </c>
      <c r="M1859" s="564" t="s">
        <v>2098</v>
      </c>
      <c r="N1859" s="564" t="s">
        <v>2439</v>
      </c>
      <c r="O1859" s="564" t="s">
        <v>2099</v>
      </c>
      <c r="P1859" s="23"/>
      <c r="Q1859" s="23"/>
      <c r="R1859" s="23"/>
      <c r="S1859" s="23"/>
      <c r="T1859" s="23"/>
      <c r="U1859" s="23"/>
      <c r="V1859" s="23"/>
      <c r="W1859" s="23"/>
      <c r="X1859" s="23"/>
      <c r="Y1859" s="23"/>
      <c r="Z1859" s="23"/>
    </row>
    <row r="1860" spans="1:26" ht="13">
      <c r="A1860" s="562" t="s">
        <v>4927</v>
      </c>
      <c r="B1860" s="563" t="s">
        <v>4928</v>
      </c>
      <c r="C1860" s="564" t="s">
        <v>353</v>
      </c>
      <c r="D1860" s="565">
        <v>43742</v>
      </c>
      <c r="E1860" s="565">
        <v>43799</v>
      </c>
      <c r="F1860" s="566">
        <v>137940000</v>
      </c>
      <c r="G1860" s="564" t="s">
        <v>1123</v>
      </c>
      <c r="H1860" s="564" t="s">
        <v>1123</v>
      </c>
      <c r="I1860" s="564" t="s">
        <v>516</v>
      </c>
      <c r="J1860" s="564" t="s">
        <v>1069</v>
      </c>
      <c r="K1860" s="564" t="s">
        <v>1209</v>
      </c>
      <c r="L1860" s="564" t="s">
        <v>2098</v>
      </c>
      <c r="M1860" s="564" t="s">
        <v>2098</v>
      </c>
      <c r="N1860" s="564" t="s">
        <v>1082</v>
      </c>
      <c r="O1860" s="564" t="s">
        <v>2099</v>
      </c>
      <c r="P1860" s="23"/>
      <c r="Q1860" s="23"/>
      <c r="R1860" s="23"/>
      <c r="S1860" s="23"/>
      <c r="T1860" s="23"/>
      <c r="U1860" s="23"/>
      <c r="V1860" s="23"/>
      <c r="W1860" s="23"/>
      <c r="X1860" s="23"/>
      <c r="Y1860" s="23"/>
      <c r="Z1860" s="23"/>
    </row>
    <row r="1861" spans="1:26" ht="13">
      <c r="A1861" s="562" t="s">
        <v>4929</v>
      </c>
      <c r="B1861" s="563" t="s">
        <v>4930</v>
      </c>
      <c r="C1861" s="564" t="s">
        <v>353</v>
      </c>
      <c r="D1861" s="565">
        <v>43740</v>
      </c>
      <c r="E1861" s="565">
        <v>43799</v>
      </c>
      <c r="F1861" s="566">
        <v>120020000</v>
      </c>
      <c r="G1861" s="564" t="s">
        <v>1636</v>
      </c>
      <c r="H1861" s="564" t="s">
        <v>1636</v>
      </c>
      <c r="I1861" s="564" t="s">
        <v>516</v>
      </c>
      <c r="J1861" s="564" t="s">
        <v>1069</v>
      </c>
      <c r="K1861" s="564" t="s">
        <v>1209</v>
      </c>
      <c r="L1861" s="564" t="s">
        <v>2098</v>
      </c>
      <c r="M1861" s="564" t="s">
        <v>2098</v>
      </c>
      <c r="N1861" s="564" t="s">
        <v>1082</v>
      </c>
      <c r="O1861" s="564" t="s">
        <v>2099</v>
      </c>
      <c r="P1861" s="23"/>
      <c r="Q1861" s="23"/>
      <c r="R1861" s="23"/>
      <c r="S1861" s="23"/>
      <c r="T1861" s="23"/>
      <c r="U1861" s="23"/>
      <c r="V1861" s="23"/>
      <c r="W1861" s="23"/>
      <c r="X1861" s="23"/>
      <c r="Y1861" s="23"/>
      <c r="Z1861" s="23"/>
    </row>
    <row r="1862" spans="1:26" ht="13">
      <c r="A1862" s="562" t="s">
        <v>4931</v>
      </c>
      <c r="B1862" s="563" t="s">
        <v>4932</v>
      </c>
      <c r="C1862" s="564" t="s">
        <v>1652</v>
      </c>
      <c r="D1862" s="565">
        <v>43740</v>
      </c>
      <c r="E1862" s="565">
        <v>43770</v>
      </c>
      <c r="F1862" s="566">
        <v>24856364</v>
      </c>
      <c r="G1862" s="564" t="s">
        <v>1623</v>
      </c>
      <c r="H1862" s="564" t="s">
        <v>1623</v>
      </c>
      <c r="I1862" s="564" t="s">
        <v>802</v>
      </c>
      <c r="J1862" s="564" t="s">
        <v>1069</v>
      </c>
      <c r="K1862" s="564" t="s">
        <v>1198</v>
      </c>
      <c r="L1862" s="564" t="s">
        <v>2098</v>
      </c>
      <c r="M1862" s="564" t="s">
        <v>2098</v>
      </c>
      <c r="N1862" s="564" t="s">
        <v>132</v>
      </c>
      <c r="O1862" s="564" t="s">
        <v>2099</v>
      </c>
      <c r="P1862" s="23"/>
      <c r="Q1862" s="23"/>
      <c r="R1862" s="23"/>
      <c r="S1862" s="23"/>
      <c r="T1862" s="23"/>
      <c r="U1862" s="23"/>
      <c r="V1862" s="23"/>
      <c r="W1862" s="23"/>
      <c r="X1862" s="23"/>
      <c r="Y1862" s="23"/>
      <c r="Z1862" s="23"/>
    </row>
    <row r="1863" spans="1:26" ht="13">
      <c r="A1863" s="562" t="s">
        <v>4933</v>
      </c>
      <c r="B1863" s="563" t="s">
        <v>4934</v>
      </c>
      <c r="C1863" s="564" t="s">
        <v>1475</v>
      </c>
      <c r="D1863" s="565">
        <v>43738</v>
      </c>
      <c r="E1863" s="565">
        <v>43769</v>
      </c>
      <c r="F1863" s="566">
        <v>77112000</v>
      </c>
      <c r="G1863" s="564" t="s">
        <v>4343</v>
      </c>
      <c r="H1863" s="564" t="s">
        <v>4343</v>
      </c>
      <c r="I1863" s="564" t="s">
        <v>4547</v>
      </c>
      <c r="J1863" s="564" t="s">
        <v>1069</v>
      </c>
      <c r="K1863" s="564" t="s">
        <v>1070</v>
      </c>
      <c r="L1863" s="564" t="s">
        <v>2098</v>
      </c>
      <c r="M1863" s="564" t="s">
        <v>2098</v>
      </c>
      <c r="N1863" s="564" t="s">
        <v>1082</v>
      </c>
      <c r="O1863" s="564" t="s">
        <v>2099</v>
      </c>
      <c r="P1863" s="23"/>
      <c r="Q1863" s="23"/>
      <c r="R1863" s="23"/>
      <c r="S1863" s="23"/>
      <c r="T1863" s="23"/>
      <c r="U1863" s="23"/>
      <c r="V1863" s="23"/>
      <c r="W1863" s="23"/>
      <c r="X1863" s="23"/>
      <c r="Y1863" s="23"/>
      <c r="Z1863" s="23"/>
    </row>
    <row r="1864" spans="1:26" ht="13">
      <c r="A1864" s="562" t="s">
        <v>4935</v>
      </c>
      <c r="B1864" s="563" t="s">
        <v>4936</v>
      </c>
      <c r="C1864" s="564" t="s">
        <v>353</v>
      </c>
      <c r="D1864" s="565">
        <v>43727</v>
      </c>
      <c r="E1864" s="565">
        <v>43844</v>
      </c>
      <c r="F1864" s="566">
        <v>53700000</v>
      </c>
      <c r="G1864" s="564" t="s">
        <v>1128</v>
      </c>
      <c r="H1864" s="564" t="s">
        <v>1128</v>
      </c>
      <c r="I1864" s="564" t="s">
        <v>45</v>
      </c>
      <c r="J1864" s="564" t="s">
        <v>1069</v>
      </c>
      <c r="K1864" s="564" t="s">
        <v>1090</v>
      </c>
      <c r="L1864" s="564" t="s">
        <v>2098</v>
      </c>
      <c r="M1864" s="564" t="s">
        <v>2098</v>
      </c>
      <c r="N1864" s="564" t="s">
        <v>45</v>
      </c>
      <c r="O1864" s="564" t="s">
        <v>2099</v>
      </c>
      <c r="P1864" s="23"/>
      <c r="Q1864" s="23"/>
      <c r="R1864" s="23"/>
      <c r="S1864" s="23"/>
      <c r="T1864" s="23"/>
      <c r="U1864" s="23"/>
      <c r="V1864" s="23"/>
      <c r="W1864" s="23"/>
      <c r="X1864" s="23"/>
      <c r="Y1864" s="23"/>
      <c r="Z1864" s="23"/>
    </row>
    <row r="1865" spans="1:26" ht="13">
      <c r="A1865" s="562" t="s">
        <v>4937</v>
      </c>
      <c r="B1865" s="563" t="s">
        <v>4487</v>
      </c>
      <c r="C1865" s="564" t="s">
        <v>353</v>
      </c>
      <c r="D1865" s="565">
        <v>43727</v>
      </c>
      <c r="E1865" s="565">
        <v>43830</v>
      </c>
      <c r="F1865" s="566">
        <v>128498000</v>
      </c>
      <c r="G1865" s="564" t="s">
        <v>1128</v>
      </c>
      <c r="H1865" s="564" t="s">
        <v>1128</v>
      </c>
      <c r="I1865" s="564" t="s">
        <v>45</v>
      </c>
      <c r="J1865" s="564" t="s">
        <v>1069</v>
      </c>
      <c r="K1865" s="564" t="s">
        <v>1090</v>
      </c>
      <c r="L1865" s="564" t="s">
        <v>2098</v>
      </c>
      <c r="M1865" s="564" t="s">
        <v>2098</v>
      </c>
      <c r="N1865" s="564" t="s">
        <v>45</v>
      </c>
      <c r="O1865" s="564" t="s">
        <v>2099</v>
      </c>
      <c r="P1865" s="23"/>
      <c r="Q1865" s="23"/>
      <c r="R1865" s="23"/>
      <c r="S1865" s="23"/>
      <c r="T1865" s="23"/>
      <c r="U1865" s="23"/>
      <c r="V1865" s="23"/>
      <c r="W1865" s="23"/>
      <c r="X1865" s="23"/>
      <c r="Y1865" s="23"/>
      <c r="Z1865" s="23"/>
    </row>
    <row r="1866" spans="1:26" ht="13">
      <c r="A1866" s="562" t="s">
        <v>4938</v>
      </c>
      <c r="B1866" s="563" t="s">
        <v>4939</v>
      </c>
      <c r="C1866" s="564" t="s">
        <v>353</v>
      </c>
      <c r="D1866" s="565">
        <v>43727</v>
      </c>
      <c r="E1866" s="565">
        <v>43830</v>
      </c>
      <c r="F1866" s="566">
        <v>75320000</v>
      </c>
      <c r="G1866" s="564" t="s">
        <v>1128</v>
      </c>
      <c r="H1866" s="564" t="s">
        <v>1128</v>
      </c>
      <c r="I1866" s="564" t="s">
        <v>45</v>
      </c>
      <c r="J1866" s="564" t="s">
        <v>1069</v>
      </c>
      <c r="K1866" s="564" t="s">
        <v>1090</v>
      </c>
      <c r="L1866" s="564" t="s">
        <v>2098</v>
      </c>
      <c r="M1866" s="564" t="s">
        <v>2098</v>
      </c>
      <c r="N1866" s="564" t="s">
        <v>45</v>
      </c>
      <c r="O1866" s="564" t="s">
        <v>2099</v>
      </c>
      <c r="P1866" s="23"/>
      <c r="Q1866" s="23"/>
      <c r="R1866" s="23"/>
      <c r="S1866" s="23"/>
      <c r="T1866" s="23"/>
      <c r="U1866" s="23"/>
      <c r="V1866" s="23"/>
      <c r="W1866" s="23"/>
      <c r="X1866" s="23"/>
      <c r="Y1866" s="23"/>
      <c r="Z1866" s="23"/>
    </row>
    <row r="1867" spans="1:26" ht="13">
      <c r="A1867" s="562" t="s">
        <v>4940</v>
      </c>
      <c r="B1867" s="563" t="s">
        <v>4941</v>
      </c>
      <c r="C1867" s="564" t="s">
        <v>353</v>
      </c>
      <c r="D1867" s="565">
        <v>43727</v>
      </c>
      <c r="E1867" s="565">
        <v>43830</v>
      </c>
      <c r="F1867" s="566">
        <v>28118000</v>
      </c>
      <c r="G1867" s="564" t="s">
        <v>1128</v>
      </c>
      <c r="H1867" s="564" t="s">
        <v>1128</v>
      </c>
      <c r="I1867" s="564" t="s">
        <v>45</v>
      </c>
      <c r="J1867" s="564" t="s">
        <v>1069</v>
      </c>
      <c r="K1867" s="564" t="s">
        <v>1090</v>
      </c>
      <c r="L1867" s="564" t="s">
        <v>2098</v>
      </c>
      <c r="M1867" s="564" t="s">
        <v>2098</v>
      </c>
      <c r="N1867" s="564" t="s">
        <v>45</v>
      </c>
      <c r="O1867" s="564" t="s">
        <v>2099</v>
      </c>
      <c r="P1867" s="23"/>
      <c r="Q1867" s="23"/>
      <c r="R1867" s="23"/>
      <c r="S1867" s="23"/>
      <c r="T1867" s="23"/>
      <c r="U1867" s="23"/>
      <c r="V1867" s="23"/>
      <c r="W1867" s="23"/>
      <c r="X1867" s="23"/>
      <c r="Y1867" s="23"/>
      <c r="Z1867" s="23"/>
    </row>
    <row r="1868" spans="1:26" ht="13">
      <c r="A1868" s="562" t="s">
        <v>4942</v>
      </c>
      <c r="B1868" s="563" t="s">
        <v>4943</v>
      </c>
      <c r="C1868" s="564" t="s">
        <v>353</v>
      </c>
      <c r="D1868" s="565">
        <v>43727</v>
      </c>
      <c r="E1868" s="565">
        <v>43803</v>
      </c>
      <c r="F1868" s="566">
        <v>20700000</v>
      </c>
      <c r="G1868" s="564" t="s">
        <v>1128</v>
      </c>
      <c r="H1868" s="564" t="s">
        <v>1128</v>
      </c>
      <c r="I1868" s="564" t="s">
        <v>45</v>
      </c>
      <c r="J1868" s="564" t="s">
        <v>1069</v>
      </c>
      <c r="K1868" s="564" t="s">
        <v>1090</v>
      </c>
      <c r="L1868" s="564" t="s">
        <v>2098</v>
      </c>
      <c r="M1868" s="564" t="s">
        <v>2098</v>
      </c>
      <c r="N1868" s="564" t="s">
        <v>45</v>
      </c>
      <c r="O1868" s="564" t="s">
        <v>2099</v>
      </c>
      <c r="P1868" s="23"/>
      <c r="Q1868" s="23"/>
      <c r="R1868" s="23"/>
      <c r="S1868" s="23"/>
      <c r="T1868" s="23"/>
      <c r="U1868" s="23"/>
      <c r="V1868" s="23"/>
      <c r="W1868" s="23"/>
      <c r="X1868" s="23"/>
      <c r="Y1868" s="23"/>
      <c r="Z1868" s="23"/>
    </row>
    <row r="1869" spans="1:26" ht="13">
      <c r="A1869" s="562" t="s">
        <v>4944</v>
      </c>
      <c r="B1869" s="563" t="s">
        <v>4945</v>
      </c>
      <c r="C1869" s="564" t="s">
        <v>353</v>
      </c>
      <c r="D1869" s="565">
        <v>43727</v>
      </c>
      <c r="E1869" s="565">
        <v>43861</v>
      </c>
      <c r="F1869" s="566">
        <v>13670000</v>
      </c>
      <c r="G1869" s="564" t="s">
        <v>1128</v>
      </c>
      <c r="H1869" s="564" t="s">
        <v>1128</v>
      </c>
      <c r="I1869" s="564" t="s">
        <v>45</v>
      </c>
      <c r="J1869" s="564" t="s">
        <v>1069</v>
      </c>
      <c r="K1869" s="564" t="s">
        <v>1090</v>
      </c>
      <c r="L1869" s="564" t="s">
        <v>2098</v>
      </c>
      <c r="M1869" s="564" t="s">
        <v>2098</v>
      </c>
      <c r="N1869" s="564" t="s">
        <v>45</v>
      </c>
      <c r="O1869" s="564" t="s">
        <v>2099</v>
      </c>
      <c r="P1869" s="23"/>
      <c r="Q1869" s="23"/>
      <c r="R1869" s="23"/>
      <c r="S1869" s="23"/>
      <c r="T1869" s="23"/>
      <c r="U1869" s="23"/>
      <c r="V1869" s="23"/>
      <c r="W1869" s="23"/>
      <c r="X1869" s="23"/>
      <c r="Y1869" s="23"/>
      <c r="Z1869" s="23"/>
    </row>
    <row r="1870" spans="1:26" ht="13">
      <c r="A1870" s="562" t="s">
        <v>4946</v>
      </c>
      <c r="B1870" s="563" t="s">
        <v>4947</v>
      </c>
      <c r="C1870" s="564" t="s">
        <v>353</v>
      </c>
      <c r="D1870" s="565">
        <v>43727</v>
      </c>
      <c r="E1870" s="565">
        <v>43825</v>
      </c>
      <c r="F1870" s="566">
        <v>12300000</v>
      </c>
      <c r="G1870" s="564" t="s">
        <v>1128</v>
      </c>
      <c r="H1870" s="564" t="s">
        <v>1128</v>
      </c>
      <c r="I1870" s="564" t="s">
        <v>45</v>
      </c>
      <c r="J1870" s="564" t="s">
        <v>1069</v>
      </c>
      <c r="K1870" s="564" t="s">
        <v>1090</v>
      </c>
      <c r="L1870" s="564" t="s">
        <v>2098</v>
      </c>
      <c r="M1870" s="564" t="s">
        <v>2098</v>
      </c>
      <c r="N1870" s="564" t="s">
        <v>45</v>
      </c>
      <c r="O1870" s="564" t="s">
        <v>2099</v>
      </c>
      <c r="P1870" s="23"/>
      <c r="Q1870" s="23"/>
      <c r="R1870" s="23"/>
      <c r="S1870" s="23"/>
      <c r="T1870" s="23"/>
      <c r="U1870" s="23"/>
      <c r="V1870" s="23"/>
      <c r="W1870" s="23"/>
      <c r="X1870" s="23"/>
      <c r="Y1870" s="23"/>
      <c r="Z1870" s="23"/>
    </row>
    <row r="1871" spans="1:26" ht="13">
      <c r="A1871" s="562" t="s">
        <v>4948</v>
      </c>
      <c r="B1871" s="563" t="s">
        <v>4949</v>
      </c>
      <c r="C1871" s="564" t="s">
        <v>353</v>
      </c>
      <c r="D1871" s="565">
        <v>43727</v>
      </c>
      <c r="E1871" s="565">
        <v>43798</v>
      </c>
      <c r="F1871" s="566">
        <v>5675000</v>
      </c>
      <c r="G1871" s="564" t="s">
        <v>1128</v>
      </c>
      <c r="H1871" s="564" t="s">
        <v>1128</v>
      </c>
      <c r="I1871" s="564" t="s">
        <v>45</v>
      </c>
      <c r="J1871" s="564" t="s">
        <v>1069</v>
      </c>
      <c r="K1871" s="564" t="s">
        <v>1090</v>
      </c>
      <c r="L1871" s="564" t="s">
        <v>2098</v>
      </c>
      <c r="M1871" s="564" t="s">
        <v>2098</v>
      </c>
      <c r="N1871" s="564" t="s">
        <v>45</v>
      </c>
      <c r="O1871" s="564" t="s">
        <v>2099</v>
      </c>
      <c r="P1871" s="23"/>
      <c r="Q1871" s="23"/>
      <c r="R1871" s="23"/>
      <c r="S1871" s="23"/>
      <c r="T1871" s="23"/>
      <c r="U1871" s="23"/>
      <c r="V1871" s="23"/>
      <c r="W1871" s="23"/>
      <c r="X1871" s="23"/>
      <c r="Y1871" s="23"/>
      <c r="Z1871" s="23"/>
    </row>
    <row r="1872" spans="1:26" ht="13">
      <c r="A1872" s="562" t="s">
        <v>4950</v>
      </c>
      <c r="B1872" s="563" t="s">
        <v>4951</v>
      </c>
      <c r="C1872" s="564" t="s">
        <v>1475</v>
      </c>
      <c r="D1872" s="565">
        <v>43732</v>
      </c>
      <c r="E1872" s="565">
        <v>43742</v>
      </c>
      <c r="F1872" s="566">
        <v>368500</v>
      </c>
      <c r="G1872" s="564" t="s">
        <v>1123</v>
      </c>
      <c r="H1872" s="564" t="s">
        <v>1123</v>
      </c>
      <c r="I1872" s="564" t="s">
        <v>1417</v>
      </c>
      <c r="J1872" s="564" t="s">
        <v>1069</v>
      </c>
      <c r="K1872" s="564" t="s">
        <v>1070</v>
      </c>
      <c r="L1872" s="564" t="s">
        <v>2098</v>
      </c>
      <c r="M1872" s="564" t="s">
        <v>2098</v>
      </c>
      <c r="N1872" s="564" t="s">
        <v>1082</v>
      </c>
      <c r="O1872" s="564" t="s">
        <v>2099</v>
      </c>
      <c r="P1872" s="23"/>
      <c r="Q1872" s="23"/>
      <c r="R1872" s="23"/>
      <c r="S1872" s="23"/>
      <c r="T1872" s="23"/>
      <c r="U1872" s="23"/>
      <c r="V1872" s="23"/>
      <c r="W1872" s="23"/>
      <c r="X1872" s="23"/>
      <c r="Y1872" s="23"/>
      <c r="Z1872" s="23"/>
    </row>
    <row r="1873" spans="1:26" ht="13">
      <c r="A1873" s="562" t="s">
        <v>4952</v>
      </c>
      <c r="B1873" s="563" t="s">
        <v>4953</v>
      </c>
      <c r="C1873" s="564" t="s">
        <v>353</v>
      </c>
      <c r="D1873" s="565">
        <v>43728</v>
      </c>
      <c r="E1873" s="565">
        <v>43733</v>
      </c>
      <c r="F1873" s="566">
        <v>35230000</v>
      </c>
      <c r="G1873" s="564" t="s">
        <v>1498</v>
      </c>
      <c r="H1873" s="564" t="s">
        <v>1498</v>
      </c>
      <c r="I1873" s="564" t="s">
        <v>45</v>
      </c>
      <c r="J1873" s="564" t="s">
        <v>1069</v>
      </c>
      <c r="K1873" s="564" t="s">
        <v>1090</v>
      </c>
      <c r="L1873" s="564" t="s">
        <v>2098</v>
      </c>
      <c r="M1873" s="564" t="s">
        <v>2098</v>
      </c>
      <c r="N1873" s="564" t="s">
        <v>45</v>
      </c>
      <c r="O1873" s="564" t="s">
        <v>2099</v>
      </c>
      <c r="P1873" s="23"/>
      <c r="Q1873" s="23"/>
      <c r="R1873" s="23"/>
      <c r="S1873" s="23"/>
      <c r="T1873" s="23"/>
      <c r="U1873" s="23"/>
      <c r="V1873" s="23"/>
      <c r="W1873" s="23"/>
      <c r="X1873" s="23"/>
      <c r="Y1873" s="23"/>
      <c r="Z1873" s="23"/>
    </row>
    <row r="1874" spans="1:26" ht="13">
      <c r="A1874" s="562" t="s">
        <v>4954</v>
      </c>
      <c r="B1874" s="563" t="s">
        <v>4955</v>
      </c>
      <c r="C1874" s="564" t="s">
        <v>1652</v>
      </c>
      <c r="D1874" s="565">
        <v>43522</v>
      </c>
      <c r="E1874" s="565">
        <v>43769</v>
      </c>
      <c r="F1874" s="566">
        <v>175060000</v>
      </c>
      <c r="G1874" s="564" t="s">
        <v>1623</v>
      </c>
      <c r="H1874" s="564" t="s">
        <v>1623</v>
      </c>
      <c r="I1874" s="564" t="s">
        <v>802</v>
      </c>
      <c r="J1874" s="564" t="s">
        <v>1069</v>
      </c>
      <c r="K1874" s="564" t="s">
        <v>1198</v>
      </c>
      <c r="L1874" s="564" t="s">
        <v>2098</v>
      </c>
      <c r="M1874" s="564" t="s">
        <v>2098</v>
      </c>
      <c r="N1874" s="564" t="s">
        <v>132</v>
      </c>
      <c r="O1874" s="564" t="s">
        <v>2099</v>
      </c>
      <c r="P1874" s="23"/>
      <c r="Q1874" s="23"/>
      <c r="R1874" s="23"/>
      <c r="S1874" s="23"/>
      <c r="T1874" s="23"/>
      <c r="U1874" s="23"/>
      <c r="V1874" s="23"/>
      <c r="W1874" s="23"/>
      <c r="X1874" s="23"/>
      <c r="Y1874" s="23"/>
      <c r="Z1874" s="23"/>
    </row>
    <row r="1875" spans="1:26" ht="13">
      <c r="A1875" s="562" t="s">
        <v>4956</v>
      </c>
      <c r="B1875" s="563" t="s">
        <v>4957</v>
      </c>
      <c r="C1875" s="564" t="s">
        <v>353</v>
      </c>
      <c r="D1875" s="565">
        <v>43727</v>
      </c>
      <c r="E1875" s="565">
        <v>43762</v>
      </c>
      <c r="F1875" s="566">
        <v>45870000</v>
      </c>
      <c r="G1875" s="564" t="s">
        <v>1128</v>
      </c>
      <c r="H1875" s="564" t="s">
        <v>1128</v>
      </c>
      <c r="I1875" s="564" t="s">
        <v>45</v>
      </c>
      <c r="J1875" s="564" t="s">
        <v>1069</v>
      </c>
      <c r="K1875" s="564" t="s">
        <v>1090</v>
      </c>
      <c r="L1875" s="564" t="s">
        <v>2098</v>
      </c>
      <c r="M1875" s="564" t="s">
        <v>2098</v>
      </c>
      <c r="N1875" s="564" t="s">
        <v>45</v>
      </c>
      <c r="O1875" s="564" t="s">
        <v>2099</v>
      </c>
      <c r="P1875" s="23"/>
      <c r="Q1875" s="23"/>
      <c r="R1875" s="23"/>
      <c r="S1875" s="23"/>
      <c r="T1875" s="23"/>
      <c r="U1875" s="23"/>
      <c r="V1875" s="23"/>
      <c r="W1875" s="23"/>
      <c r="X1875" s="23"/>
      <c r="Y1875" s="23"/>
      <c r="Z1875" s="23"/>
    </row>
    <row r="1876" spans="1:26" ht="13">
      <c r="A1876" s="562" t="s">
        <v>4958</v>
      </c>
      <c r="B1876" s="563" t="s">
        <v>4959</v>
      </c>
      <c r="C1876" s="564" t="s">
        <v>353</v>
      </c>
      <c r="D1876" s="565">
        <v>43727</v>
      </c>
      <c r="E1876" s="565">
        <v>43738</v>
      </c>
      <c r="F1876" s="566">
        <v>230770000</v>
      </c>
      <c r="G1876" s="564" t="s">
        <v>1128</v>
      </c>
      <c r="H1876" s="564" t="s">
        <v>1128</v>
      </c>
      <c r="I1876" s="564" t="s">
        <v>45</v>
      </c>
      <c r="J1876" s="564" t="s">
        <v>1069</v>
      </c>
      <c r="K1876" s="564" t="s">
        <v>1090</v>
      </c>
      <c r="L1876" s="564" t="s">
        <v>2098</v>
      </c>
      <c r="M1876" s="564" t="s">
        <v>2098</v>
      </c>
      <c r="N1876" s="564" t="s">
        <v>45</v>
      </c>
      <c r="O1876" s="564" t="s">
        <v>2099</v>
      </c>
      <c r="P1876" s="23"/>
      <c r="Q1876" s="23"/>
      <c r="R1876" s="23"/>
      <c r="S1876" s="23"/>
      <c r="T1876" s="23"/>
      <c r="U1876" s="23"/>
      <c r="V1876" s="23"/>
      <c r="W1876" s="23"/>
      <c r="X1876" s="23"/>
      <c r="Y1876" s="23"/>
      <c r="Z1876" s="23"/>
    </row>
    <row r="1877" spans="1:26" ht="13">
      <c r="A1877" s="562" t="s">
        <v>4960</v>
      </c>
      <c r="B1877" s="563" t="s">
        <v>4961</v>
      </c>
      <c r="C1877" s="564" t="s">
        <v>353</v>
      </c>
      <c r="D1877" s="565">
        <v>43727</v>
      </c>
      <c r="E1877" s="565">
        <v>43752</v>
      </c>
      <c r="F1877" s="566">
        <v>4716000</v>
      </c>
      <c r="G1877" s="564" t="s">
        <v>1128</v>
      </c>
      <c r="H1877" s="564" t="s">
        <v>1128</v>
      </c>
      <c r="I1877" s="564" t="s">
        <v>45</v>
      </c>
      <c r="J1877" s="564" t="s">
        <v>1069</v>
      </c>
      <c r="K1877" s="564" t="s">
        <v>1090</v>
      </c>
      <c r="L1877" s="564" t="s">
        <v>2098</v>
      </c>
      <c r="M1877" s="564" t="s">
        <v>2098</v>
      </c>
      <c r="N1877" s="564" t="s">
        <v>45</v>
      </c>
      <c r="O1877" s="564" t="s">
        <v>2099</v>
      </c>
      <c r="P1877" s="23"/>
      <c r="Q1877" s="23"/>
      <c r="R1877" s="23"/>
      <c r="S1877" s="23"/>
      <c r="T1877" s="23"/>
      <c r="U1877" s="23"/>
      <c r="V1877" s="23"/>
      <c r="W1877" s="23"/>
      <c r="X1877" s="23"/>
      <c r="Y1877" s="23"/>
      <c r="Z1877" s="23"/>
    </row>
    <row r="1878" spans="1:26" ht="13">
      <c r="A1878" s="562" t="s">
        <v>4962</v>
      </c>
      <c r="B1878" s="563" t="s">
        <v>4963</v>
      </c>
      <c r="C1878" s="564" t="s">
        <v>1652</v>
      </c>
      <c r="D1878" s="565">
        <v>43727</v>
      </c>
      <c r="E1878" s="565">
        <v>43756</v>
      </c>
      <c r="F1878" s="566">
        <v>1172727</v>
      </c>
      <c r="G1878" s="564" t="s">
        <v>1623</v>
      </c>
      <c r="H1878" s="564" t="s">
        <v>1623</v>
      </c>
      <c r="I1878" s="564" t="s">
        <v>802</v>
      </c>
      <c r="J1878" s="564" t="s">
        <v>1069</v>
      </c>
      <c r="K1878" s="564" t="s">
        <v>1198</v>
      </c>
      <c r="L1878" s="564" t="s">
        <v>2098</v>
      </c>
      <c r="M1878" s="564" t="s">
        <v>2098</v>
      </c>
      <c r="N1878" s="564" t="s">
        <v>132</v>
      </c>
      <c r="O1878" s="564" t="s">
        <v>2099</v>
      </c>
      <c r="P1878" s="23"/>
      <c r="Q1878" s="23"/>
      <c r="R1878" s="23"/>
      <c r="S1878" s="23"/>
      <c r="T1878" s="23"/>
      <c r="U1878" s="23"/>
      <c r="V1878" s="23"/>
      <c r="W1878" s="23"/>
      <c r="X1878" s="23"/>
      <c r="Y1878" s="23"/>
      <c r="Z1878" s="23"/>
    </row>
    <row r="1879" spans="1:26" ht="13">
      <c r="A1879" s="562" t="s">
        <v>4964</v>
      </c>
      <c r="B1879" s="563" t="s">
        <v>4965</v>
      </c>
      <c r="C1879" s="564" t="s">
        <v>1652</v>
      </c>
      <c r="D1879" s="565">
        <v>43727</v>
      </c>
      <c r="E1879" s="565">
        <v>43763</v>
      </c>
      <c r="F1879" s="566">
        <v>38181818</v>
      </c>
      <c r="G1879" s="564" t="s">
        <v>1623</v>
      </c>
      <c r="H1879" s="564" t="s">
        <v>1623</v>
      </c>
      <c r="I1879" s="564" t="s">
        <v>802</v>
      </c>
      <c r="J1879" s="564" t="s">
        <v>1069</v>
      </c>
      <c r="K1879" s="564" t="s">
        <v>1198</v>
      </c>
      <c r="L1879" s="564" t="s">
        <v>2098</v>
      </c>
      <c r="M1879" s="564" t="s">
        <v>2098</v>
      </c>
      <c r="N1879" s="564" t="s">
        <v>132</v>
      </c>
      <c r="O1879" s="564" t="s">
        <v>2099</v>
      </c>
      <c r="P1879" s="23"/>
      <c r="Q1879" s="23"/>
      <c r="R1879" s="23"/>
      <c r="S1879" s="23"/>
      <c r="T1879" s="23"/>
      <c r="U1879" s="23"/>
      <c r="V1879" s="23"/>
      <c r="W1879" s="23"/>
      <c r="X1879" s="23"/>
      <c r="Y1879" s="23"/>
      <c r="Z1879" s="23"/>
    </row>
    <row r="1880" spans="1:26" ht="13">
      <c r="A1880" s="562" t="s">
        <v>4966</v>
      </c>
      <c r="B1880" s="563" t="s">
        <v>4967</v>
      </c>
      <c r="C1880" s="564" t="s">
        <v>1475</v>
      </c>
      <c r="D1880" s="565">
        <v>43726</v>
      </c>
      <c r="E1880" s="565">
        <v>43741</v>
      </c>
      <c r="F1880" s="566">
        <v>510000</v>
      </c>
      <c r="G1880" s="564" t="s">
        <v>1293</v>
      </c>
      <c r="H1880" s="564" t="s">
        <v>1293</v>
      </c>
      <c r="I1880" s="564" t="s">
        <v>1628</v>
      </c>
      <c r="J1880" s="564" t="s">
        <v>1069</v>
      </c>
      <c r="K1880" s="564" t="s">
        <v>1070</v>
      </c>
      <c r="L1880" s="564" t="s">
        <v>2098</v>
      </c>
      <c r="M1880" s="564" t="s">
        <v>2098</v>
      </c>
      <c r="N1880" s="564" t="s">
        <v>1073</v>
      </c>
      <c r="O1880" s="564" t="s">
        <v>2099</v>
      </c>
      <c r="P1880" s="23"/>
      <c r="Q1880" s="23"/>
      <c r="R1880" s="23"/>
      <c r="S1880" s="23"/>
      <c r="T1880" s="23"/>
      <c r="U1880" s="23"/>
      <c r="V1880" s="23"/>
      <c r="W1880" s="23"/>
      <c r="X1880" s="23"/>
      <c r="Y1880" s="23"/>
      <c r="Z1880" s="23"/>
    </row>
    <row r="1881" spans="1:26" ht="13">
      <c r="A1881" s="562" t="s">
        <v>4968</v>
      </c>
      <c r="B1881" s="563" t="s">
        <v>4969</v>
      </c>
      <c r="C1881" s="564" t="s">
        <v>353</v>
      </c>
      <c r="D1881" s="565">
        <v>43709</v>
      </c>
      <c r="E1881" s="565">
        <v>43728</v>
      </c>
      <c r="F1881" s="566">
        <v>2206080</v>
      </c>
      <c r="G1881" s="564" t="s">
        <v>1498</v>
      </c>
      <c r="H1881" s="564" t="s">
        <v>1498</v>
      </c>
      <c r="I1881" s="564" t="s">
        <v>45</v>
      </c>
      <c r="J1881" s="564" t="s">
        <v>1069</v>
      </c>
      <c r="K1881" s="564" t="s">
        <v>1090</v>
      </c>
      <c r="L1881" s="564" t="s">
        <v>1071</v>
      </c>
      <c r="M1881" s="564" t="s">
        <v>1183</v>
      </c>
      <c r="N1881" s="564" t="s">
        <v>45</v>
      </c>
      <c r="O1881" s="564" t="s">
        <v>1472</v>
      </c>
      <c r="P1881" s="23"/>
      <c r="Q1881" s="23"/>
      <c r="R1881" s="23"/>
      <c r="S1881" s="23"/>
      <c r="T1881" s="23"/>
      <c r="U1881" s="23"/>
      <c r="V1881" s="23"/>
      <c r="W1881" s="23"/>
      <c r="X1881" s="23"/>
      <c r="Y1881" s="23"/>
      <c r="Z1881" s="23"/>
    </row>
    <row r="1882" spans="1:26" ht="13">
      <c r="A1882" s="562" t="s">
        <v>4970</v>
      </c>
      <c r="B1882" s="563" t="s">
        <v>4971</v>
      </c>
      <c r="C1882" s="564" t="s">
        <v>353</v>
      </c>
      <c r="D1882" s="565">
        <v>43719</v>
      </c>
      <c r="E1882" s="565">
        <v>43735</v>
      </c>
      <c r="F1882" s="566">
        <v>35230000</v>
      </c>
      <c r="G1882" s="564" t="s">
        <v>1498</v>
      </c>
      <c r="H1882" s="564" t="s">
        <v>1498</v>
      </c>
      <c r="I1882" s="564" t="s">
        <v>45</v>
      </c>
      <c r="J1882" s="564" t="s">
        <v>1069</v>
      </c>
      <c r="K1882" s="564" t="s">
        <v>1090</v>
      </c>
      <c r="L1882" s="564" t="s">
        <v>2098</v>
      </c>
      <c r="M1882" s="564" t="s">
        <v>2098</v>
      </c>
      <c r="N1882" s="564" t="s">
        <v>45</v>
      </c>
      <c r="O1882" s="564" t="s">
        <v>2099</v>
      </c>
      <c r="P1882" s="23"/>
      <c r="Q1882" s="23"/>
      <c r="R1882" s="23"/>
      <c r="S1882" s="23"/>
      <c r="T1882" s="23"/>
      <c r="U1882" s="23"/>
      <c r="V1882" s="23"/>
      <c r="W1882" s="23"/>
      <c r="X1882" s="23"/>
      <c r="Y1882" s="23"/>
      <c r="Z1882" s="23"/>
    </row>
    <row r="1883" spans="1:26" ht="13">
      <c r="A1883" s="562" t="s">
        <v>4972</v>
      </c>
      <c r="B1883" s="563" t="s">
        <v>4973</v>
      </c>
      <c r="C1883" s="564" t="s">
        <v>1076</v>
      </c>
      <c r="D1883" s="565">
        <v>43712</v>
      </c>
      <c r="E1883" s="565">
        <v>43798</v>
      </c>
      <c r="F1883" s="566">
        <v>1987000</v>
      </c>
      <c r="G1883" s="564" t="s">
        <v>1400</v>
      </c>
      <c r="H1883" s="564" t="s">
        <v>1400</v>
      </c>
      <c r="I1883" s="564" t="s">
        <v>4816</v>
      </c>
      <c r="J1883" s="564" t="s">
        <v>1069</v>
      </c>
      <c r="K1883" s="564" t="s">
        <v>1070</v>
      </c>
      <c r="L1883" s="564" t="s">
        <v>2098</v>
      </c>
      <c r="M1883" s="564" t="s">
        <v>2098</v>
      </c>
      <c r="N1883" s="564" t="s">
        <v>1082</v>
      </c>
      <c r="O1883" s="564" t="s">
        <v>2099</v>
      </c>
      <c r="P1883" s="23"/>
      <c r="Q1883" s="23"/>
      <c r="R1883" s="23"/>
      <c r="S1883" s="23"/>
      <c r="T1883" s="23"/>
      <c r="U1883" s="23"/>
      <c r="V1883" s="23"/>
      <c r="W1883" s="23"/>
      <c r="X1883" s="23"/>
      <c r="Y1883" s="23"/>
      <c r="Z1883" s="23"/>
    </row>
    <row r="1884" spans="1:26" ht="13">
      <c r="A1884" s="562" t="s">
        <v>4974</v>
      </c>
      <c r="B1884" s="563" t="s">
        <v>4975</v>
      </c>
      <c r="C1884" s="564" t="s">
        <v>353</v>
      </c>
      <c r="D1884" s="565">
        <v>43711</v>
      </c>
      <c r="E1884" s="565">
        <v>43770</v>
      </c>
      <c r="F1884" s="566">
        <v>1166000</v>
      </c>
      <c r="G1884" s="564" t="s">
        <v>1498</v>
      </c>
      <c r="H1884" s="564" t="s">
        <v>1498</v>
      </c>
      <c r="I1884" s="564" t="s">
        <v>45</v>
      </c>
      <c r="J1884" s="564" t="s">
        <v>1069</v>
      </c>
      <c r="K1884" s="564" t="s">
        <v>1090</v>
      </c>
      <c r="L1884" s="564" t="s">
        <v>2098</v>
      </c>
      <c r="M1884" s="564" t="s">
        <v>2098</v>
      </c>
      <c r="N1884" s="564" t="s">
        <v>45</v>
      </c>
      <c r="O1884" s="564" t="s">
        <v>2099</v>
      </c>
      <c r="P1884" s="23"/>
      <c r="Q1884" s="23"/>
      <c r="R1884" s="23"/>
      <c r="S1884" s="23"/>
      <c r="T1884" s="23"/>
      <c r="U1884" s="23"/>
      <c r="V1884" s="23"/>
      <c r="W1884" s="23"/>
      <c r="X1884" s="23"/>
      <c r="Y1884" s="23"/>
      <c r="Z1884" s="23"/>
    </row>
    <row r="1885" spans="1:26" ht="13">
      <c r="A1885" s="562" t="s">
        <v>4976</v>
      </c>
      <c r="B1885" s="563" t="s">
        <v>4977</v>
      </c>
      <c r="C1885" s="564" t="s">
        <v>1652</v>
      </c>
      <c r="D1885" s="565">
        <v>43712</v>
      </c>
      <c r="E1885" s="565">
        <v>43724</v>
      </c>
      <c r="F1885" s="566">
        <v>1890000</v>
      </c>
      <c r="G1885" s="564" t="s">
        <v>1941</v>
      </c>
      <c r="H1885" s="564" t="s">
        <v>1941</v>
      </c>
      <c r="I1885" s="564" t="s">
        <v>70</v>
      </c>
      <c r="J1885" s="564" t="s">
        <v>1069</v>
      </c>
      <c r="K1885" s="564" t="s">
        <v>1120</v>
      </c>
      <c r="L1885" s="564" t="s">
        <v>2098</v>
      </c>
      <c r="M1885" s="564" t="s">
        <v>2098</v>
      </c>
      <c r="N1885" s="564" t="s">
        <v>70</v>
      </c>
      <c r="O1885" s="564" t="s">
        <v>2099</v>
      </c>
      <c r="P1885" s="23"/>
      <c r="Q1885" s="23"/>
      <c r="R1885" s="23"/>
      <c r="S1885" s="23"/>
      <c r="T1885" s="23"/>
      <c r="U1885" s="23"/>
      <c r="V1885" s="23"/>
      <c r="W1885" s="23"/>
      <c r="X1885" s="23"/>
      <c r="Y1885" s="23"/>
      <c r="Z1885" s="23"/>
    </row>
    <row r="1886" spans="1:26" ht="13">
      <c r="A1886" s="562" t="s">
        <v>4978</v>
      </c>
      <c r="B1886" s="563" t="s">
        <v>4979</v>
      </c>
      <c r="C1886" s="564" t="s">
        <v>1204</v>
      </c>
      <c r="D1886" s="565">
        <v>43709</v>
      </c>
      <c r="E1886" s="565">
        <v>43709</v>
      </c>
      <c r="F1886" s="566">
        <v>66360</v>
      </c>
      <c r="G1886" s="564" t="s">
        <v>1366</v>
      </c>
      <c r="H1886" s="564" t="s">
        <v>1366</v>
      </c>
      <c r="I1886" s="564" t="s">
        <v>1471</v>
      </c>
      <c r="J1886" s="564" t="s">
        <v>1069</v>
      </c>
      <c r="K1886" s="564" t="s">
        <v>1070</v>
      </c>
      <c r="L1886" s="564" t="s">
        <v>1071</v>
      </c>
      <c r="M1886" s="564" t="s">
        <v>1183</v>
      </c>
      <c r="N1886" s="564" t="s">
        <v>1082</v>
      </c>
      <c r="O1886" s="564" t="s">
        <v>1472</v>
      </c>
      <c r="P1886" s="23"/>
      <c r="Q1886" s="23"/>
      <c r="R1886" s="23"/>
      <c r="S1886" s="23"/>
      <c r="T1886" s="23"/>
      <c r="U1886" s="23"/>
      <c r="V1886" s="23"/>
      <c r="W1886" s="23"/>
      <c r="X1886" s="23"/>
      <c r="Y1886" s="23"/>
      <c r="Z1886" s="23"/>
    </row>
    <row r="1887" spans="1:26" ht="13">
      <c r="A1887" s="562" t="s">
        <v>4980</v>
      </c>
      <c r="B1887" s="563" t="s">
        <v>4981</v>
      </c>
      <c r="C1887" s="564" t="s">
        <v>1475</v>
      </c>
      <c r="D1887" s="565">
        <v>43710</v>
      </c>
      <c r="E1887" s="565">
        <v>43738</v>
      </c>
      <c r="F1887" s="566">
        <v>170000</v>
      </c>
      <c r="G1887" s="564" t="s">
        <v>1293</v>
      </c>
      <c r="H1887" s="564" t="s">
        <v>1293</v>
      </c>
      <c r="I1887" s="564" t="s">
        <v>1247</v>
      </c>
      <c r="J1887" s="564" t="s">
        <v>1069</v>
      </c>
      <c r="K1887" s="564" t="s">
        <v>1070</v>
      </c>
      <c r="L1887" s="564" t="s">
        <v>2098</v>
      </c>
      <c r="M1887" s="564" t="s">
        <v>2098</v>
      </c>
      <c r="N1887" s="564" t="s">
        <v>1073</v>
      </c>
      <c r="O1887" s="564" t="s">
        <v>2099</v>
      </c>
      <c r="P1887" s="23"/>
      <c r="Q1887" s="23"/>
      <c r="R1887" s="23"/>
      <c r="S1887" s="23"/>
      <c r="T1887" s="23"/>
      <c r="U1887" s="23"/>
      <c r="V1887" s="23"/>
      <c r="W1887" s="23"/>
      <c r="X1887" s="23"/>
      <c r="Y1887" s="23"/>
      <c r="Z1887" s="23"/>
    </row>
    <row r="1888" spans="1:26" ht="13">
      <c r="A1888" s="562" t="s">
        <v>4982</v>
      </c>
      <c r="B1888" s="563" t="s">
        <v>4983</v>
      </c>
      <c r="C1888" s="564" t="s">
        <v>353</v>
      </c>
      <c r="D1888" s="565">
        <v>43705</v>
      </c>
      <c r="E1888" s="565">
        <v>43711</v>
      </c>
      <c r="F1888" s="566">
        <v>1544400</v>
      </c>
      <c r="G1888" s="564" t="s">
        <v>674</v>
      </c>
      <c r="H1888" s="564" t="s">
        <v>674</v>
      </c>
      <c r="I1888" s="564" t="s">
        <v>45</v>
      </c>
      <c r="J1888" s="564" t="s">
        <v>1069</v>
      </c>
      <c r="K1888" s="564" t="s">
        <v>1090</v>
      </c>
      <c r="L1888" s="564" t="s">
        <v>2098</v>
      </c>
      <c r="M1888" s="564" t="s">
        <v>2098</v>
      </c>
      <c r="N1888" s="564" t="s">
        <v>45</v>
      </c>
      <c r="O1888" s="564" t="s">
        <v>2099</v>
      </c>
      <c r="P1888" s="23"/>
      <c r="Q1888" s="23"/>
      <c r="R1888" s="23"/>
      <c r="S1888" s="23"/>
      <c r="T1888" s="23"/>
      <c r="U1888" s="23"/>
      <c r="V1888" s="23"/>
      <c r="W1888" s="23"/>
      <c r="X1888" s="23"/>
      <c r="Y1888" s="23"/>
      <c r="Z1888" s="23"/>
    </row>
    <row r="1889" spans="1:26" ht="13">
      <c r="A1889" s="562" t="s">
        <v>4984</v>
      </c>
      <c r="B1889" s="563" t="s">
        <v>4985</v>
      </c>
      <c r="C1889" s="564" t="s">
        <v>353</v>
      </c>
      <c r="D1889" s="565">
        <v>43706</v>
      </c>
      <c r="E1889" s="565">
        <v>43766</v>
      </c>
      <c r="F1889" s="566">
        <v>1310000</v>
      </c>
      <c r="G1889" s="564" t="s">
        <v>1498</v>
      </c>
      <c r="H1889" s="564" t="s">
        <v>1498</v>
      </c>
      <c r="I1889" s="564" t="s">
        <v>45</v>
      </c>
      <c r="J1889" s="564" t="s">
        <v>1069</v>
      </c>
      <c r="K1889" s="564" t="s">
        <v>1090</v>
      </c>
      <c r="L1889" s="564" t="s">
        <v>2098</v>
      </c>
      <c r="M1889" s="564" t="s">
        <v>2098</v>
      </c>
      <c r="N1889" s="564" t="s">
        <v>45</v>
      </c>
      <c r="O1889" s="564" t="s">
        <v>2099</v>
      </c>
      <c r="P1889" s="23"/>
      <c r="Q1889" s="23"/>
      <c r="R1889" s="23"/>
      <c r="S1889" s="23"/>
      <c r="T1889" s="23"/>
      <c r="U1889" s="23"/>
      <c r="V1889" s="23"/>
      <c r="W1889" s="23"/>
      <c r="X1889" s="23"/>
      <c r="Y1889" s="23"/>
      <c r="Z1889" s="23"/>
    </row>
    <row r="1890" spans="1:26" ht="13">
      <c r="A1890" s="562" t="s">
        <v>4986</v>
      </c>
      <c r="B1890" s="563" t="s">
        <v>4987</v>
      </c>
      <c r="C1890" s="564" t="s">
        <v>353</v>
      </c>
      <c r="D1890" s="565">
        <v>43706</v>
      </c>
      <c r="E1890" s="565">
        <v>43719</v>
      </c>
      <c r="F1890" s="566">
        <v>5600000</v>
      </c>
      <c r="G1890" s="564" t="s">
        <v>1128</v>
      </c>
      <c r="H1890" s="564" t="s">
        <v>1128</v>
      </c>
      <c r="I1890" s="564" t="s">
        <v>45</v>
      </c>
      <c r="J1890" s="564" t="s">
        <v>1069</v>
      </c>
      <c r="K1890" s="564" t="s">
        <v>1090</v>
      </c>
      <c r="L1890" s="564" t="s">
        <v>2098</v>
      </c>
      <c r="M1890" s="564" t="s">
        <v>2098</v>
      </c>
      <c r="N1890" s="564" t="s">
        <v>45</v>
      </c>
      <c r="O1890" s="564" t="s">
        <v>2099</v>
      </c>
      <c r="P1890" s="23"/>
      <c r="Q1890" s="23"/>
      <c r="R1890" s="23"/>
      <c r="S1890" s="23"/>
      <c r="T1890" s="23"/>
      <c r="U1890" s="23"/>
      <c r="V1890" s="23"/>
      <c r="W1890" s="23"/>
      <c r="X1890" s="23"/>
      <c r="Y1890" s="23"/>
      <c r="Z1890" s="23"/>
    </row>
    <row r="1891" spans="1:26" ht="13">
      <c r="A1891" s="562" t="s">
        <v>4988</v>
      </c>
      <c r="B1891" s="563" t="s">
        <v>4989</v>
      </c>
      <c r="C1891" s="564" t="s">
        <v>353</v>
      </c>
      <c r="D1891" s="565">
        <v>43696</v>
      </c>
      <c r="E1891" s="565">
        <v>43718</v>
      </c>
      <c r="F1891" s="566">
        <v>35230000</v>
      </c>
      <c r="G1891" s="564" t="s">
        <v>1498</v>
      </c>
      <c r="H1891" s="564" t="s">
        <v>1498</v>
      </c>
      <c r="I1891" s="564" t="s">
        <v>45</v>
      </c>
      <c r="J1891" s="564" t="s">
        <v>1069</v>
      </c>
      <c r="K1891" s="564" t="s">
        <v>1090</v>
      </c>
      <c r="L1891" s="564" t="s">
        <v>2098</v>
      </c>
      <c r="M1891" s="564" t="s">
        <v>2098</v>
      </c>
      <c r="N1891" s="564" t="s">
        <v>45</v>
      </c>
      <c r="O1891" s="564" t="s">
        <v>2099</v>
      </c>
      <c r="P1891" s="23"/>
      <c r="Q1891" s="23"/>
      <c r="R1891" s="23"/>
      <c r="S1891" s="23"/>
      <c r="T1891" s="23"/>
      <c r="U1891" s="23"/>
      <c r="V1891" s="23"/>
      <c r="W1891" s="23"/>
      <c r="X1891" s="23"/>
      <c r="Y1891" s="23"/>
      <c r="Z1891" s="23"/>
    </row>
    <row r="1892" spans="1:26" ht="13">
      <c r="A1892" s="562" t="s">
        <v>4990</v>
      </c>
      <c r="B1892" s="563" t="s">
        <v>4991</v>
      </c>
      <c r="C1892" s="564" t="s">
        <v>353</v>
      </c>
      <c r="D1892" s="565">
        <v>43705</v>
      </c>
      <c r="E1892" s="565">
        <v>43712</v>
      </c>
      <c r="F1892" s="566">
        <v>3045000</v>
      </c>
      <c r="G1892" s="564" t="s">
        <v>1128</v>
      </c>
      <c r="H1892" s="564" t="s">
        <v>1128</v>
      </c>
      <c r="I1892" s="564" t="s">
        <v>45</v>
      </c>
      <c r="J1892" s="564" t="s">
        <v>1069</v>
      </c>
      <c r="K1892" s="564" t="s">
        <v>1090</v>
      </c>
      <c r="L1892" s="564" t="s">
        <v>2098</v>
      </c>
      <c r="M1892" s="564" t="s">
        <v>2098</v>
      </c>
      <c r="N1892" s="564" t="s">
        <v>45</v>
      </c>
      <c r="O1892" s="564" t="s">
        <v>2099</v>
      </c>
      <c r="P1892" s="23"/>
      <c r="Q1892" s="23"/>
      <c r="R1892" s="23"/>
      <c r="S1892" s="23"/>
      <c r="T1892" s="23"/>
      <c r="U1892" s="23"/>
      <c r="V1892" s="23"/>
      <c r="W1892" s="23"/>
      <c r="X1892" s="23"/>
      <c r="Y1892" s="23"/>
      <c r="Z1892" s="23"/>
    </row>
    <row r="1893" spans="1:26" ht="13">
      <c r="A1893" s="562" t="s">
        <v>4992</v>
      </c>
      <c r="B1893" s="563" t="s">
        <v>4993</v>
      </c>
      <c r="C1893" s="564" t="s">
        <v>1652</v>
      </c>
      <c r="D1893" s="565">
        <v>43703</v>
      </c>
      <c r="E1893" s="565">
        <v>43707</v>
      </c>
      <c r="F1893" s="566">
        <v>420121910</v>
      </c>
      <c r="G1893" s="564" t="s">
        <v>1941</v>
      </c>
      <c r="H1893" s="564" t="s">
        <v>1941</v>
      </c>
      <c r="I1893" s="564" t="s">
        <v>70</v>
      </c>
      <c r="J1893" s="564" t="s">
        <v>1069</v>
      </c>
      <c r="K1893" s="564" t="s">
        <v>1120</v>
      </c>
      <c r="L1893" s="564" t="s">
        <v>2098</v>
      </c>
      <c r="M1893" s="564" t="s">
        <v>2098</v>
      </c>
      <c r="N1893" s="564" t="s">
        <v>70</v>
      </c>
      <c r="O1893" s="564" t="s">
        <v>2099</v>
      </c>
      <c r="P1893" s="23"/>
      <c r="Q1893" s="23"/>
      <c r="R1893" s="23"/>
      <c r="S1893" s="23"/>
      <c r="T1893" s="23"/>
      <c r="U1893" s="23"/>
      <c r="V1893" s="23"/>
      <c r="W1893" s="23"/>
      <c r="X1893" s="23"/>
      <c r="Y1893" s="23"/>
      <c r="Z1893" s="23"/>
    </row>
    <row r="1894" spans="1:26" ht="13">
      <c r="A1894" s="562" t="s">
        <v>4994</v>
      </c>
      <c r="B1894" s="563" t="s">
        <v>4995</v>
      </c>
      <c r="C1894" s="564" t="s">
        <v>1652</v>
      </c>
      <c r="D1894" s="565">
        <v>43703</v>
      </c>
      <c r="E1894" s="565">
        <v>43705</v>
      </c>
      <c r="F1894" s="566">
        <v>11577150</v>
      </c>
      <c r="G1894" s="564" t="s">
        <v>1623</v>
      </c>
      <c r="H1894" s="564" t="s">
        <v>1623</v>
      </c>
      <c r="I1894" s="564" t="s">
        <v>1746</v>
      </c>
      <c r="J1894" s="564" t="s">
        <v>1069</v>
      </c>
      <c r="K1894" s="564" t="s">
        <v>1198</v>
      </c>
      <c r="L1894" s="564" t="s">
        <v>2098</v>
      </c>
      <c r="M1894" s="564" t="s">
        <v>2098</v>
      </c>
      <c r="N1894" s="564" t="s">
        <v>1073</v>
      </c>
      <c r="O1894" s="564" t="s">
        <v>2099</v>
      </c>
      <c r="P1894" s="23"/>
      <c r="Q1894" s="23"/>
      <c r="R1894" s="23"/>
      <c r="S1894" s="23"/>
      <c r="T1894" s="23"/>
      <c r="U1894" s="23"/>
      <c r="V1894" s="23"/>
      <c r="W1894" s="23"/>
      <c r="X1894" s="23"/>
      <c r="Y1894" s="23"/>
      <c r="Z1894" s="23"/>
    </row>
    <row r="1895" spans="1:26" ht="13">
      <c r="A1895" s="562" t="s">
        <v>4996</v>
      </c>
      <c r="B1895" s="563" t="s">
        <v>4997</v>
      </c>
      <c r="C1895" s="564" t="s">
        <v>1652</v>
      </c>
      <c r="D1895" s="565">
        <v>43696</v>
      </c>
      <c r="E1895" s="565">
        <v>43726</v>
      </c>
      <c r="F1895" s="566">
        <v>48963636</v>
      </c>
      <c r="G1895" s="564" t="s">
        <v>1623</v>
      </c>
      <c r="H1895" s="564" t="s">
        <v>1623</v>
      </c>
      <c r="I1895" s="564" t="s">
        <v>802</v>
      </c>
      <c r="J1895" s="564" t="s">
        <v>1069</v>
      </c>
      <c r="K1895" s="564" t="s">
        <v>1198</v>
      </c>
      <c r="L1895" s="564" t="s">
        <v>2098</v>
      </c>
      <c r="M1895" s="564" t="s">
        <v>2098</v>
      </c>
      <c r="N1895" s="564" t="s">
        <v>132</v>
      </c>
      <c r="O1895" s="564" t="s">
        <v>2099</v>
      </c>
      <c r="P1895" s="23"/>
      <c r="Q1895" s="23"/>
      <c r="R1895" s="23"/>
      <c r="S1895" s="23"/>
      <c r="T1895" s="23"/>
      <c r="U1895" s="23"/>
      <c r="V1895" s="23"/>
      <c r="W1895" s="23"/>
      <c r="X1895" s="23"/>
      <c r="Y1895" s="23"/>
      <c r="Z1895" s="23"/>
    </row>
    <row r="1896" spans="1:26" ht="13">
      <c r="A1896" s="562" t="s">
        <v>4998</v>
      </c>
      <c r="B1896" s="563" t="s">
        <v>4999</v>
      </c>
      <c r="C1896" s="564" t="s">
        <v>353</v>
      </c>
      <c r="D1896" s="565">
        <v>43697</v>
      </c>
      <c r="E1896" s="565">
        <v>43703</v>
      </c>
      <c r="F1896" s="566">
        <v>1310000</v>
      </c>
      <c r="G1896" s="564" t="s">
        <v>1498</v>
      </c>
      <c r="H1896" s="564" t="s">
        <v>1498</v>
      </c>
      <c r="I1896" s="564" t="s">
        <v>45</v>
      </c>
      <c r="J1896" s="564" t="s">
        <v>1069</v>
      </c>
      <c r="K1896" s="564" t="s">
        <v>1090</v>
      </c>
      <c r="L1896" s="564" t="s">
        <v>2098</v>
      </c>
      <c r="M1896" s="564" t="s">
        <v>2098</v>
      </c>
      <c r="N1896" s="564" t="s">
        <v>45</v>
      </c>
      <c r="O1896" s="564" t="s">
        <v>2099</v>
      </c>
      <c r="P1896" s="23"/>
      <c r="Q1896" s="23"/>
      <c r="R1896" s="23"/>
      <c r="S1896" s="23"/>
      <c r="T1896" s="23"/>
      <c r="U1896" s="23"/>
      <c r="V1896" s="23"/>
      <c r="W1896" s="23"/>
      <c r="X1896" s="23"/>
      <c r="Y1896" s="23"/>
      <c r="Z1896" s="23"/>
    </row>
    <row r="1897" spans="1:26" ht="13">
      <c r="A1897" s="562" t="s">
        <v>5000</v>
      </c>
      <c r="B1897" s="563" t="s">
        <v>5001</v>
      </c>
      <c r="C1897" s="564" t="s">
        <v>353</v>
      </c>
      <c r="D1897" s="565">
        <v>43689</v>
      </c>
      <c r="E1897" s="565">
        <v>43698</v>
      </c>
      <c r="F1897" s="566">
        <v>650000</v>
      </c>
      <c r="G1897" s="564" t="s">
        <v>1498</v>
      </c>
      <c r="H1897" s="564" t="s">
        <v>1498</v>
      </c>
      <c r="I1897" s="564" t="s">
        <v>45</v>
      </c>
      <c r="J1897" s="564" t="s">
        <v>1069</v>
      </c>
      <c r="K1897" s="564" t="s">
        <v>1090</v>
      </c>
      <c r="L1897" s="564" t="s">
        <v>2098</v>
      </c>
      <c r="M1897" s="564" t="s">
        <v>2098</v>
      </c>
      <c r="N1897" s="564" t="s">
        <v>45</v>
      </c>
      <c r="O1897" s="564" t="s">
        <v>2099</v>
      </c>
      <c r="P1897" s="23"/>
      <c r="Q1897" s="23"/>
      <c r="R1897" s="23"/>
      <c r="S1897" s="23"/>
      <c r="T1897" s="23"/>
      <c r="U1897" s="23"/>
      <c r="V1897" s="23"/>
      <c r="W1897" s="23"/>
      <c r="X1897" s="23"/>
      <c r="Y1897" s="23"/>
      <c r="Z1897" s="23"/>
    </row>
    <row r="1898" spans="1:26" ht="13">
      <c r="A1898" s="562" t="s">
        <v>5002</v>
      </c>
      <c r="B1898" s="563" t="s">
        <v>5003</v>
      </c>
      <c r="C1898" s="564" t="s">
        <v>353</v>
      </c>
      <c r="D1898" s="565">
        <v>43646</v>
      </c>
      <c r="E1898" s="565">
        <v>43707</v>
      </c>
      <c r="F1898" s="566">
        <v>163873400</v>
      </c>
      <c r="G1898" s="564" t="s">
        <v>1293</v>
      </c>
      <c r="H1898" s="564" t="s">
        <v>1293</v>
      </c>
      <c r="I1898" s="564" t="s">
        <v>225</v>
      </c>
      <c r="J1898" s="564" t="s">
        <v>1069</v>
      </c>
      <c r="K1898" s="564" t="s">
        <v>1105</v>
      </c>
      <c r="L1898" s="564" t="s">
        <v>2098</v>
      </c>
      <c r="M1898" s="564" t="s">
        <v>2098</v>
      </c>
      <c r="N1898" s="564" t="s">
        <v>225</v>
      </c>
      <c r="O1898" s="564" t="s">
        <v>2099</v>
      </c>
      <c r="P1898" s="23"/>
      <c r="Q1898" s="23"/>
      <c r="R1898" s="23"/>
      <c r="S1898" s="23"/>
      <c r="T1898" s="23"/>
      <c r="U1898" s="23"/>
      <c r="V1898" s="23"/>
      <c r="W1898" s="23"/>
      <c r="X1898" s="23"/>
      <c r="Y1898" s="23"/>
      <c r="Z1898" s="23"/>
    </row>
    <row r="1899" spans="1:26" ht="13">
      <c r="A1899" s="562" t="s">
        <v>5004</v>
      </c>
      <c r="B1899" s="563" t="s">
        <v>5005</v>
      </c>
      <c r="C1899" s="564" t="s">
        <v>353</v>
      </c>
      <c r="D1899" s="565">
        <v>43646</v>
      </c>
      <c r="E1899" s="565">
        <v>43708</v>
      </c>
      <c r="F1899" s="566">
        <v>2926331150</v>
      </c>
      <c r="G1899" s="564" t="s">
        <v>1498</v>
      </c>
      <c r="H1899" s="564" t="s">
        <v>1498</v>
      </c>
      <c r="I1899" s="564" t="s">
        <v>45</v>
      </c>
      <c r="J1899" s="564" t="s">
        <v>1069</v>
      </c>
      <c r="K1899" s="564" t="s">
        <v>1090</v>
      </c>
      <c r="L1899" s="564" t="s">
        <v>2098</v>
      </c>
      <c r="M1899" s="564" t="s">
        <v>2098</v>
      </c>
      <c r="N1899" s="564" t="s">
        <v>45</v>
      </c>
      <c r="O1899" s="564" t="s">
        <v>2099</v>
      </c>
      <c r="P1899" s="23"/>
      <c r="Q1899" s="23"/>
      <c r="R1899" s="23"/>
      <c r="S1899" s="23"/>
      <c r="T1899" s="23"/>
      <c r="U1899" s="23"/>
      <c r="V1899" s="23"/>
      <c r="W1899" s="23"/>
      <c r="X1899" s="23"/>
      <c r="Y1899" s="23"/>
      <c r="Z1899" s="23"/>
    </row>
    <row r="1900" spans="1:26" ht="13">
      <c r="A1900" s="562" t="s">
        <v>5006</v>
      </c>
      <c r="B1900" s="563" t="s">
        <v>5007</v>
      </c>
      <c r="C1900" s="564" t="s">
        <v>353</v>
      </c>
      <c r="D1900" s="565">
        <v>43691</v>
      </c>
      <c r="E1900" s="565">
        <v>43707</v>
      </c>
      <c r="F1900" s="566">
        <v>16480000</v>
      </c>
      <c r="G1900" s="564" t="s">
        <v>1128</v>
      </c>
      <c r="H1900" s="564" t="s">
        <v>1128</v>
      </c>
      <c r="I1900" s="564" t="s">
        <v>45</v>
      </c>
      <c r="J1900" s="564" t="s">
        <v>1069</v>
      </c>
      <c r="K1900" s="564" t="s">
        <v>1090</v>
      </c>
      <c r="L1900" s="564" t="s">
        <v>2098</v>
      </c>
      <c r="M1900" s="564" t="s">
        <v>2098</v>
      </c>
      <c r="N1900" s="564" t="s">
        <v>45</v>
      </c>
      <c r="O1900" s="564" t="s">
        <v>2099</v>
      </c>
      <c r="P1900" s="23"/>
      <c r="Q1900" s="23"/>
      <c r="R1900" s="23"/>
      <c r="S1900" s="23"/>
      <c r="T1900" s="23"/>
      <c r="U1900" s="23"/>
      <c r="V1900" s="23"/>
      <c r="W1900" s="23"/>
      <c r="X1900" s="23"/>
      <c r="Y1900" s="23"/>
      <c r="Z1900" s="23"/>
    </row>
    <row r="1901" spans="1:26" ht="13">
      <c r="A1901" s="562" t="s">
        <v>5008</v>
      </c>
      <c r="B1901" s="563" t="s">
        <v>5009</v>
      </c>
      <c r="C1901" s="564" t="s">
        <v>1076</v>
      </c>
      <c r="D1901" s="565">
        <v>43689</v>
      </c>
      <c r="E1901" s="565">
        <v>43769</v>
      </c>
      <c r="F1901" s="566">
        <v>1987000</v>
      </c>
      <c r="G1901" s="564" t="s">
        <v>1400</v>
      </c>
      <c r="H1901" s="564" t="s">
        <v>1400</v>
      </c>
      <c r="I1901" s="564" t="s">
        <v>4816</v>
      </c>
      <c r="J1901" s="564" t="s">
        <v>1069</v>
      </c>
      <c r="K1901" s="564" t="s">
        <v>1070</v>
      </c>
      <c r="L1901" s="564" t="s">
        <v>2098</v>
      </c>
      <c r="M1901" s="564" t="s">
        <v>2098</v>
      </c>
      <c r="N1901" s="564" t="s">
        <v>1082</v>
      </c>
      <c r="O1901" s="564" t="s">
        <v>2099</v>
      </c>
      <c r="P1901" s="23"/>
      <c r="Q1901" s="23"/>
      <c r="R1901" s="23"/>
      <c r="S1901" s="23"/>
      <c r="T1901" s="23"/>
      <c r="U1901" s="23"/>
      <c r="V1901" s="23"/>
      <c r="W1901" s="23"/>
      <c r="X1901" s="23"/>
      <c r="Y1901" s="23"/>
      <c r="Z1901" s="23"/>
    </row>
    <row r="1902" spans="1:26" ht="13">
      <c r="A1902" s="562" t="s">
        <v>5010</v>
      </c>
      <c r="B1902" s="563" t="s">
        <v>5011</v>
      </c>
      <c r="C1902" s="564" t="s">
        <v>1076</v>
      </c>
      <c r="D1902" s="565">
        <v>43686</v>
      </c>
      <c r="E1902" s="565">
        <v>43769</v>
      </c>
      <c r="F1902" s="566">
        <v>528000</v>
      </c>
      <c r="G1902" s="564" t="s">
        <v>1400</v>
      </c>
      <c r="H1902" s="564" t="s">
        <v>1400</v>
      </c>
      <c r="I1902" s="564" t="s">
        <v>4816</v>
      </c>
      <c r="J1902" s="564" t="s">
        <v>1069</v>
      </c>
      <c r="K1902" s="564" t="s">
        <v>1070</v>
      </c>
      <c r="L1902" s="564" t="s">
        <v>2098</v>
      </c>
      <c r="M1902" s="564" t="s">
        <v>2098</v>
      </c>
      <c r="N1902" s="564" t="s">
        <v>1082</v>
      </c>
      <c r="O1902" s="564" t="s">
        <v>2099</v>
      </c>
      <c r="P1902" s="23"/>
      <c r="Q1902" s="23"/>
      <c r="R1902" s="23"/>
      <c r="S1902" s="23"/>
      <c r="T1902" s="23"/>
      <c r="U1902" s="23"/>
      <c r="V1902" s="23"/>
      <c r="W1902" s="23"/>
      <c r="X1902" s="23"/>
      <c r="Y1902" s="23"/>
      <c r="Z1902" s="23"/>
    </row>
    <row r="1903" spans="1:26" ht="13">
      <c r="A1903" s="562" t="s">
        <v>5012</v>
      </c>
      <c r="B1903" s="563" t="s">
        <v>5013</v>
      </c>
      <c r="C1903" s="564" t="s">
        <v>353</v>
      </c>
      <c r="D1903" s="565">
        <v>43685</v>
      </c>
      <c r="E1903" s="565">
        <v>43693</v>
      </c>
      <c r="F1903" s="566">
        <v>3768000</v>
      </c>
      <c r="G1903" s="564" t="s">
        <v>1498</v>
      </c>
      <c r="H1903" s="564" t="s">
        <v>1498</v>
      </c>
      <c r="I1903" s="564" t="s">
        <v>45</v>
      </c>
      <c r="J1903" s="564" t="s">
        <v>1069</v>
      </c>
      <c r="K1903" s="564" t="s">
        <v>1090</v>
      </c>
      <c r="L1903" s="564" t="s">
        <v>1071</v>
      </c>
      <c r="M1903" s="564" t="s">
        <v>1183</v>
      </c>
      <c r="N1903" s="564" t="s">
        <v>45</v>
      </c>
      <c r="O1903" s="564" t="s">
        <v>1472</v>
      </c>
      <c r="P1903" s="23"/>
      <c r="Q1903" s="23"/>
      <c r="R1903" s="23"/>
      <c r="S1903" s="23"/>
      <c r="T1903" s="23"/>
      <c r="U1903" s="23"/>
      <c r="V1903" s="23"/>
      <c r="W1903" s="23"/>
      <c r="X1903" s="23"/>
      <c r="Y1903" s="23"/>
      <c r="Z1903" s="23"/>
    </row>
    <row r="1904" spans="1:26" ht="13">
      <c r="A1904" s="562" t="s">
        <v>5014</v>
      </c>
      <c r="B1904" s="563" t="s">
        <v>5015</v>
      </c>
      <c r="C1904" s="564" t="s">
        <v>353</v>
      </c>
      <c r="D1904" s="565">
        <v>43684</v>
      </c>
      <c r="E1904" s="565">
        <v>43686</v>
      </c>
      <c r="F1904" s="566">
        <v>750000</v>
      </c>
      <c r="G1904" s="564" t="s">
        <v>1498</v>
      </c>
      <c r="H1904" s="564" t="s">
        <v>1498</v>
      </c>
      <c r="I1904" s="564" t="s">
        <v>45</v>
      </c>
      <c r="J1904" s="564" t="s">
        <v>1069</v>
      </c>
      <c r="K1904" s="564" t="s">
        <v>1090</v>
      </c>
      <c r="L1904" s="564" t="s">
        <v>2098</v>
      </c>
      <c r="M1904" s="564" t="s">
        <v>2098</v>
      </c>
      <c r="N1904" s="564" t="s">
        <v>45</v>
      </c>
      <c r="O1904" s="564" t="s">
        <v>2099</v>
      </c>
      <c r="P1904" s="23"/>
      <c r="Q1904" s="23"/>
      <c r="R1904" s="23"/>
      <c r="S1904" s="23"/>
      <c r="T1904" s="23"/>
      <c r="U1904" s="23"/>
      <c r="V1904" s="23"/>
      <c r="W1904" s="23"/>
      <c r="X1904" s="23"/>
      <c r="Y1904" s="23"/>
      <c r="Z1904" s="23"/>
    </row>
    <row r="1905" spans="1:26" ht="13">
      <c r="A1905" s="562" t="s">
        <v>5016</v>
      </c>
      <c r="B1905" s="563" t="s">
        <v>5017</v>
      </c>
      <c r="C1905" s="564" t="s">
        <v>353</v>
      </c>
      <c r="D1905" s="565">
        <v>43684</v>
      </c>
      <c r="E1905" s="565">
        <v>43686</v>
      </c>
      <c r="F1905" s="566">
        <v>2460000</v>
      </c>
      <c r="G1905" s="564" t="s">
        <v>1498</v>
      </c>
      <c r="H1905" s="564" t="s">
        <v>1498</v>
      </c>
      <c r="I1905" s="564" t="s">
        <v>45</v>
      </c>
      <c r="J1905" s="564" t="s">
        <v>1069</v>
      </c>
      <c r="K1905" s="564" t="s">
        <v>1090</v>
      </c>
      <c r="L1905" s="564" t="s">
        <v>2098</v>
      </c>
      <c r="M1905" s="564" t="s">
        <v>2098</v>
      </c>
      <c r="N1905" s="564" t="s">
        <v>45</v>
      </c>
      <c r="O1905" s="564" t="s">
        <v>2099</v>
      </c>
      <c r="P1905" s="23"/>
      <c r="Q1905" s="23"/>
      <c r="R1905" s="23"/>
      <c r="S1905" s="23"/>
      <c r="T1905" s="23"/>
      <c r="U1905" s="23"/>
      <c r="V1905" s="23"/>
      <c r="W1905" s="23"/>
      <c r="X1905" s="23"/>
      <c r="Y1905" s="23"/>
      <c r="Z1905" s="23"/>
    </row>
    <row r="1906" spans="1:26" ht="13">
      <c r="A1906" s="562" t="s">
        <v>5018</v>
      </c>
      <c r="B1906" s="563" t="s">
        <v>5019</v>
      </c>
      <c r="C1906" s="564" t="s">
        <v>353</v>
      </c>
      <c r="D1906" s="565">
        <v>43679</v>
      </c>
      <c r="E1906" s="565">
        <v>43690</v>
      </c>
      <c r="F1906" s="566">
        <v>1820000</v>
      </c>
      <c r="G1906" s="564" t="s">
        <v>1498</v>
      </c>
      <c r="H1906" s="564" t="s">
        <v>1498</v>
      </c>
      <c r="I1906" s="564" t="s">
        <v>45</v>
      </c>
      <c r="J1906" s="564" t="s">
        <v>1069</v>
      </c>
      <c r="K1906" s="564" t="s">
        <v>1090</v>
      </c>
      <c r="L1906" s="564" t="s">
        <v>2098</v>
      </c>
      <c r="M1906" s="564" t="s">
        <v>2098</v>
      </c>
      <c r="N1906" s="564" t="s">
        <v>45</v>
      </c>
      <c r="O1906" s="564" t="s">
        <v>2099</v>
      </c>
      <c r="P1906" s="23"/>
      <c r="Q1906" s="23"/>
      <c r="R1906" s="23"/>
      <c r="S1906" s="23"/>
      <c r="T1906" s="23"/>
      <c r="U1906" s="23"/>
      <c r="V1906" s="23"/>
      <c r="W1906" s="23"/>
      <c r="X1906" s="23"/>
      <c r="Y1906" s="23"/>
      <c r="Z1906" s="23"/>
    </row>
    <row r="1907" spans="1:26" ht="13">
      <c r="A1907" s="562" t="s">
        <v>5020</v>
      </c>
      <c r="B1907" s="563" t="s">
        <v>5021</v>
      </c>
      <c r="C1907" s="564" t="s">
        <v>353</v>
      </c>
      <c r="D1907" s="565">
        <v>43683</v>
      </c>
      <c r="E1907" s="565">
        <v>43685</v>
      </c>
      <c r="F1907" s="566">
        <v>3930000</v>
      </c>
      <c r="G1907" s="564" t="s">
        <v>1498</v>
      </c>
      <c r="H1907" s="564" t="s">
        <v>1498</v>
      </c>
      <c r="I1907" s="564" t="s">
        <v>45</v>
      </c>
      <c r="J1907" s="564" t="s">
        <v>1069</v>
      </c>
      <c r="K1907" s="564" t="s">
        <v>1090</v>
      </c>
      <c r="L1907" s="564" t="s">
        <v>2098</v>
      </c>
      <c r="M1907" s="564" t="s">
        <v>2098</v>
      </c>
      <c r="N1907" s="564" t="s">
        <v>45</v>
      </c>
      <c r="O1907" s="564" t="s">
        <v>2099</v>
      </c>
      <c r="P1907" s="23"/>
      <c r="Q1907" s="23"/>
      <c r="R1907" s="23"/>
      <c r="S1907" s="23"/>
      <c r="T1907" s="23"/>
      <c r="U1907" s="23"/>
      <c r="V1907" s="23"/>
      <c r="W1907" s="23"/>
      <c r="X1907" s="23"/>
      <c r="Y1907" s="23"/>
      <c r="Z1907" s="23"/>
    </row>
    <row r="1908" spans="1:26" ht="13">
      <c r="A1908" s="562" t="s">
        <v>5022</v>
      </c>
      <c r="B1908" s="563" t="s">
        <v>5023</v>
      </c>
      <c r="C1908" s="564" t="s">
        <v>353</v>
      </c>
      <c r="D1908" s="565">
        <v>43678</v>
      </c>
      <c r="E1908" s="565">
        <v>43684</v>
      </c>
      <c r="F1908" s="566">
        <v>1280000</v>
      </c>
      <c r="G1908" s="564" t="s">
        <v>1498</v>
      </c>
      <c r="H1908" s="564" t="s">
        <v>1498</v>
      </c>
      <c r="I1908" s="564" t="s">
        <v>45</v>
      </c>
      <c r="J1908" s="564" t="s">
        <v>1069</v>
      </c>
      <c r="K1908" s="564" t="s">
        <v>1090</v>
      </c>
      <c r="L1908" s="564" t="s">
        <v>2098</v>
      </c>
      <c r="M1908" s="564" t="s">
        <v>2098</v>
      </c>
      <c r="N1908" s="564" t="s">
        <v>45</v>
      </c>
      <c r="O1908" s="564" t="s">
        <v>2099</v>
      </c>
      <c r="P1908" s="23"/>
      <c r="Q1908" s="23"/>
      <c r="R1908" s="23"/>
      <c r="S1908" s="23"/>
      <c r="T1908" s="23"/>
      <c r="U1908" s="23"/>
      <c r="V1908" s="23"/>
      <c r="W1908" s="23"/>
      <c r="X1908" s="23"/>
      <c r="Y1908" s="23"/>
      <c r="Z1908" s="23"/>
    </row>
    <row r="1909" spans="1:26" ht="13">
      <c r="A1909" s="562" t="s">
        <v>5024</v>
      </c>
      <c r="B1909" s="563" t="s">
        <v>4576</v>
      </c>
      <c r="C1909" s="564" t="s">
        <v>353</v>
      </c>
      <c r="D1909" s="565">
        <v>43676</v>
      </c>
      <c r="E1909" s="565">
        <v>43707</v>
      </c>
      <c r="F1909" s="566">
        <v>180000</v>
      </c>
      <c r="G1909" s="564" t="s">
        <v>1293</v>
      </c>
      <c r="H1909" s="564" t="s">
        <v>1293</v>
      </c>
      <c r="I1909" s="564" t="s">
        <v>121</v>
      </c>
      <c r="J1909" s="564" t="s">
        <v>1069</v>
      </c>
      <c r="K1909" s="564" t="s">
        <v>1105</v>
      </c>
      <c r="L1909" s="564" t="s">
        <v>2098</v>
      </c>
      <c r="M1909" s="564" t="s">
        <v>2098</v>
      </c>
      <c r="N1909" s="564" t="s">
        <v>1073</v>
      </c>
      <c r="O1909" s="564" t="s">
        <v>2099</v>
      </c>
      <c r="P1909" s="23"/>
      <c r="Q1909" s="23"/>
      <c r="R1909" s="23"/>
      <c r="S1909" s="23"/>
      <c r="T1909" s="23"/>
      <c r="U1909" s="23"/>
      <c r="V1909" s="23"/>
      <c r="W1909" s="23"/>
      <c r="X1909" s="23"/>
      <c r="Y1909" s="23"/>
      <c r="Z1909" s="23"/>
    </row>
    <row r="1910" spans="1:26" ht="13">
      <c r="A1910" s="562" t="s">
        <v>5025</v>
      </c>
      <c r="B1910" s="563" t="s">
        <v>5026</v>
      </c>
      <c r="C1910" s="564" t="s">
        <v>1652</v>
      </c>
      <c r="D1910" s="565">
        <v>43679</v>
      </c>
      <c r="E1910" s="565">
        <v>43685</v>
      </c>
      <c r="F1910" s="566">
        <v>1360000</v>
      </c>
      <c r="G1910" s="564" t="s">
        <v>1405</v>
      </c>
      <c r="H1910" s="564" t="s">
        <v>1405</v>
      </c>
      <c r="I1910" s="564" t="s">
        <v>1637</v>
      </c>
      <c r="J1910" s="564" t="s">
        <v>1069</v>
      </c>
      <c r="K1910" s="564" t="s">
        <v>1120</v>
      </c>
      <c r="L1910" s="564" t="s">
        <v>2098</v>
      </c>
      <c r="M1910" s="564" t="s">
        <v>2098</v>
      </c>
      <c r="N1910" s="564" t="s">
        <v>1073</v>
      </c>
      <c r="O1910" s="564" t="s">
        <v>2099</v>
      </c>
      <c r="P1910" s="23"/>
      <c r="Q1910" s="23"/>
      <c r="R1910" s="23"/>
      <c r="S1910" s="23"/>
      <c r="T1910" s="23"/>
      <c r="U1910" s="23"/>
      <c r="V1910" s="23"/>
      <c r="W1910" s="23"/>
      <c r="X1910" s="23"/>
      <c r="Y1910" s="23"/>
      <c r="Z1910" s="23"/>
    </row>
    <row r="1911" spans="1:26" ht="13">
      <c r="A1911" s="562" t="s">
        <v>5027</v>
      </c>
      <c r="B1911" s="563" t="s">
        <v>5028</v>
      </c>
      <c r="C1911" s="564" t="s">
        <v>1076</v>
      </c>
      <c r="D1911" s="565">
        <v>43678</v>
      </c>
      <c r="E1911" s="565">
        <v>43769</v>
      </c>
      <c r="F1911" s="566">
        <v>4472000</v>
      </c>
      <c r="G1911" s="564" t="s">
        <v>1400</v>
      </c>
      <c r="H1911" s="564" t="s">
        <v>1400</v>
      </c>
      <c r="I1911" s="564" t="s">
        <v>4816</v>
      </c>
      <c r="J1911" s="564" t="s">
        <v>1069</v>
      </c>
      <c r="K1911" s="564" t="s">
        <v>1070</v>
      </c>
      <c r="L1911" s="564" t="s">
        <v>2098</v>
      </c>
      <c r="M1911" s="564" t="s">
        <v>2098</v>
      </c>
      <c r="N1911" s="564" t="s">
        <v>1082</v>
      </c>
      <c r="O1911" s="564" t="s">
        <v>2099</v>
      </c>
      <c r="P1911" s="23"/>
      <c r="Q1911" s="23"/>
      <c r="R1911" s="23"/>
      <c r="S1911" s="23"/>
      <c r="T1911" s="23"/>
      <c r="U1911" s="23"/>
      <c r="V1911" s="23"/>
      <c r="W1911" s="23"/>
      <c r="X1911" s="23"/>
      <c r="Y1911" s="23"/>
      <c r="Z1911" s="23"/>
    </row>
    <row r="1912" spans="1:26" ht="13">
      <c r="A1912" s="562" t="s">
        <v>5029</v>
      </c>
      <c r="B1912" s="563" t="s">
        <v>5030</v>
      </c>
      <c r="C1912" s="564" t="s">
        <v>1652</v>
      </c>
      <c r="D1912" s="565">
        <v>43677</v>
      </c>
      <c r="E1912" s="565">
        <v>43685</v>
      </c>
      <c r="F1912" s="566">
        <v>1360000</v>
      </c>
      <c r="G1912" s="564" t="s">
        <v>1405</v>
      </c>
      <c r="H1912" s="564" t="s">
        <v>1405</v>
      </c>
      <c r="I1912" s="564" t="s">
        <v>1713</v>
      </c>
      <c r="J1912" s="564" t="s">
        <v>1069</v>
      </c>
      <c r="K1912" s="564" t="s">
        <v>1120</v>
      </c>
      <c r="L1912" s="564" t="s">
        <v>2098</v>
      </c>
      <c r="M1912" s="564" t="s">
        <v>2098</v>
      </c>
      <c r="N1912" s="564" t="s">
        <v>1073</v>
      </c>
      <c r="O1912" s="564" t="s">
        <v>2099</v>
      </c>
      <c r="P1912" s="23"/>
      <c r="Q1912" s="23"/>
      <c r="R1912" s="23"/>
      <c r="S1912" s="23"/>
      <c r="T1912" s="23"/>
      <c r="U1912" s="23"/>
      <c r="V1912" s="23"/>
      <c r="W1912" s="23"/>
      <c r="X1912" s="23"/>
      <c r="Y1912" s="23"/>
      <c r="Z1912" s="23"/>
    </row>
    <row r="1913" spans="1:26" ht="13">
      <c r="A1913" s="562" t="s">
        <v>5031</v>
      </c>
      <c r="B1913" s="563" t="s">
        <v>5032</v>
      </c>
      <c r="C1913" s="564" t="s">
        <v>353</v>
      </c>
      <c r="D1913" s="565">
        <v>43676</v>
      </c>
      <c r="E1913" s="565">
        <v>43676</v>
      </c>
      <c r="F1913" s="566">
        <v>7220000</v>
      </c>
      <c r="G1913" s="564" t="s">
        <v>1128</v>
      </c>
      <c r="H1913" s="564" t="s">
        <v>1128</v>
      </c>
      <c r="I1913" s="564" t="s">
        <v>45</v>
      </c>
      <c r="J1913" s="564" t="s">
        <v>1069</v>
      </c>
      <c r="K1913" s="564" t="s">
        <v>1090</v>
      </c>
      <c r="L1913" s="564" t="s">
        <v>2098</v>
      </c>
      <c r="M1913" s="564" t="s">
        <v>2098</v>
      </c>
      <c r="N1913" s="564" t="s">
        <v>45</v>
      </c>
      <c r="O1913" s="564" t="s">
        <v>2099</v>
      </c>
      <c r="P1913" s="23"/>
      <c r="Q1913" s="23"/>
      <c r="R1913" s="23"/>
      <c r="S1913" s="23"/>
      <c r="T1913" s="23"/>
      <c r="U1913" s="23"/>
      <c r="V1913" s="23"/>
      <c r="W1913" s="23"/>
      <c r="X1913" s="23"/>
      <c r="Y1913" s="23"/>
      <c r="Z1913" s="23"/>
    </row>
    <row r="1914" spans="1:26" ht="13">
      <c r="A1914" s="562" t="s">
        <v>5033</v>
      </c>
      <c r="B1914" s="563" t="s">
        <v>5034</v>
      </c>
      <c r="C1914" s="564" t="s">
        <v>1076</v>
      </c>
      <c r="D1914" s="565">
        <v>43672</v>
      </c>
      <c r="E1914" s="565">
        <v>43738</v>
      </c>
      <c r="F1914" s="566">
        <v>1575000</v>
      </c>
      <c r="G1914" s="564" t="s">
        <v>1400</v>
      </c>
      <c r="H1914" s="564" t="s">
        <v>1400</v>
      </c>
      <c r="I1914" s="564" t="s">
        <v>4816</v>
      </c>
      <c r="J1914" s="564" t="s">
        <v>1069</v>
      </c>
      <c r="K1914" s="564" t="s">
        <v>1070</v>
      </c>
      <c r="L1914" s="564" t="s">
        <v>2098</v>
      </c>
      <c r="M1914" s="564" t="s">
        <v>2098</v>
      </c>
      <c r="N1914" s="564" t="s">
        <v>1082</v>
      </c>
      <c r="O1914" s="564" t="s">
        <v>2099</v>
      </c>
      <c r="P1914" s="23"/>
      <c r="Q1914" s="23"/>
      <c r="R1914" s="23"/>
      <c r="S1914" s="23"/>
      <c r="T1914" s="23"/>
      <c r="U1914" s="23"/>
      <c r="V1914" s="23"/>
      <c r="W1914" s="23"/>
      <c r="X1914" s="23"/>
      <c r="Y1914" s="23"/>
      <c r="Z1914" s="23"/>
    </row>
    <row r="1915" spans="1:26" ht="13">
      <c r="A1915" s="562" t="s">
        <v>5035</v>
      </c>
      <c r="B1915" s="563" t="s">
        <v>4687</v>
      </c>
      <c r="C1915" s="564" t="s">
        <v>1076</v>
      </c>
      <c r="D1915" s="565">
        <v>43670</v>
      </c>
      <c r="E1915" s="565">
        <v>43738</v>
      </c>
      <c r="F1915" s="566">
        <v>7000000</v>
      </c>
      <c r="G1915" s="564" t="s">
        <v>1400</v>
      </c>
      <c r="H1915" s="564" t="s">
        <v>1400</v>
      </c>
      <c r="I1915" s="564" t="s">
        <v>4816</v>
      </c>
      <c r="J1915" s="564" t="s">
        <v>1069</v>
      </c>
      <c r="K1915" s="564" t="s">
        <v>1070</v>
      </c>
      <c r="L1915" s="564" t="s">
        <v>2098</v>
      </c>
      <c r="M1915" s="564" t="s">
        <v>2098</v>
      </c>
      <c r="N1915" s="564" t="s">
        <v>1082</v>
      </c>
      <c r="O1915" s="564" t="s">
        <v>2099</v>
      </c>
      <c r="P1915" s="23"/>
      <c r="Q1915" s="23"/>
      <c r="R1915" s="23"/>
      <c r="S1915" s="23"/>
      <c r="T1915" s="23"/>
      <c r="U1915" s="23"/>
      <c r="V1915" s="23"/>
      <c r="W1915" s="23"/>
      <c r="X1915" s="23"/>
      <c r="Y1915" s="23"/>
      <c r="Z1915" s="23"/>
    </row>
    <row r="1916" spans="1:26" ht="13">
      <c r="A1916" s="562" t="s">
        <v>5036</v>
      </c>
      <c r="B1916" s="563" t="s">
        <v>5037</v>
      </c>
      <c r="C1916" s="564" t="s">
        <v>1076</v>
      </c>
      <c r="D1916" s="565">
        <v>43670</v>
      </c>
      <c r="E1916" s="565">
        <v>43738</v>
      </c>
      <c r="F1916" s="566">
        <v>816000</v>
      </c>
      <c r="G1916" s="564" t="s">
        <v>1400</v>
      </c>
      <c r="H1916" s="564" t="s">
        <v>1400</v>
      </c>
      <c r="I1916" s="564" t="s">
        <v>4816</v>
      </c>
      <c r="J1916" s="564" t="s">
        <v>1069</v>
      </c>
      <c r="K1916" s="564" t="s">
        <v>1070</v>
      </c>
      <c r="L1916" s="564" t="s">
        <v>2098</v>
      </c>
      <c r="M1916" s="564" t="s">
        <v>2098</v>
      </c>
      <c r="N1916" s="564" t="s">
        <v>1082</v>
      </c>
      <c r="O1916" s="564" t="s">
        <v>2099</v>
      </c>
      <c r="P1916" s="23"/>
      <c r="Q1916" s="23"/>
      <c r="R1916" s="23"/>
      <c r="S1916" s="23"/>
      <c r="T1916" s="23"/>
      <c r="U1916" s="23"/>
      <c r="V1916" s="23"/>
      <c r="W1916" s="23"/>
      <c r="X1916" s="23"/>
      <c r="Y1916" s="23"/>
      <c r="Z1916" s="23"/>
    </row>
    <row r="1917" spans="1:26" ht="13">
      <c r="A1917" s="562" t="s">
        <v>5038</v>
      </c>
      <c r="B1917" s="563" t="s">
        <v>5039</v>
      </c>
      <c r="C1917" s="564" t="s">
        <v>353</v>
      </c>
      <c r="D1917" s="565">
        <v>43671</v>
      </c>
      <c r="E1917" s="565">
        <v>43677</v>
      </c>
      <c r="F1917" s="566">
        <v>22270000</v>
      </c>
      <c r="G1917" s="564" t="s">
        <v>1498</v>
      </c>
      <c r="H1917" s="564" t="s">
        <v>1498</v>
      </c>
      <c r="I1917" s="564" t="s">
        <v>45</v>
      </c>
      <c r="J1917" s="564" t="s">
        <v>1069</v>
      </c>
      <c r="K1917" s="564" t="s">
        <v>1090</v>
      </c>
      <c r="L1917" s="564" t="s">
        <v>2098</v>
      </c>
      <c r="M1917" s="564" t="s">
        <v>2098</v>
      </c>
      <c r="N1917" s="564" t="s">
        <v>45</v>
      </c>
      <c r="O1917" s="564" t="s">
        <v>2099</v>
      </c>
      <c r="P1917" s="23"/>
      <c r="Q1917" s="23"/>
      <c r="R1917" s="23"/>
      <c r="S1917" s="23"/>
      <c r="T1917" s="23"/>
      <c r="U1917" s="23"/>
      <c r="V1917" s="23"/>
      <c r="W1917" s="23"/>
      <c r="X1917" s="23"/>
      <c r="Y1917" s="23"/>
      <c r="Z1917" s="23"/>
    </row>
    <row r="1918" spans="1:26" ht="13">
      <c r="A1918" s="562" t="s">
        <v>5040</v>
      </c>
      <c r="B1918" s="563" t="s">
        <v>5041</v>
      </c>
      <c r="C1918" s="564" t="s">
        <v>353</v>
      </c>
      <c r="D1918" s="565">
        <v>43671</v>
      </c>
      <c r="E1918" s="565">
        <v>43672</v>
      </c>
      <c r="F1918" s="566">
        <v>1310000</v>
      </c>
      <c r="G1918" s="564" t="s">
        <v>1498</v>
      </c>
      <c r="H1918" s="564" t="s">
        <v>1498</v>
      </c>
      <c r="I1918" s="564" t="s">
        <v>45</v>
      </c>
      <c r="J1918" s="564" t="s">
        <v>1069</v>
      </c>
      <c r="K1918" s="564" t="s">
        <v>1090</v>
      </c>
      <c r="L1918" s="564" t="s">
        <v>2098</v>
      </c>
      <c r="M1918" s="564" t="s">
        <v>2098</v>
      </c>
      <c r="N1918" s="564" t="s">
        <v>45</v>
      </c>
      <c r="O1918" s="564" t="s">
        <v>2099</v>
      </c>
      <c r="P1918" s="23"/>
      <c r="Q1918" s="23"/>
      <c r="R1918" s="23"/>
      <c r="S1918" s="23"/>
      <c r="T1918" s="23"/>
      <c r="U1918" s="23"/>
      <c r="V1918" s="23"/>
      <c r="W1918" s="23"/>
      <c r="X1918" s="23"/>
      <c r="Y1918" s="23"/>
      <c r="Z1918" s="23"/>
    </row>
    <row r="1919" spans="1:26" ht="13">
      <c r="A1919" s="562" t="s">
        <v>5042</v>
      </c>
      <c r="B1919" s="563" t="s">
        <v>5043</v>
      </c>
      <c r="C1919" s="564" t="s">
        <v>1076</v>
      </c>
      <c r="D1919" s="565">
        <v>43669</v>
      </c>
      <c r="E1919" s="565">
        <v>43738</v>
      </c>
      <c r="F1919" s="566">
        <v>1987000</v>
      </c>
      <c r="G1919" s="564" t="s">
        <v>1400</v>
      </c>
      <c r="H1919" s="564" t="s">
        <v>1400</v>
      </c>
      <c r="I1919" s="564" t="s">
        <v>4816</v>
      </c>
      <c r="J1919" s="564" t="s">
        <v>1069</v>
      </c>
      <c r="K1919" s="564" t="s">
        <v>1070</v>
      </c>
      <c r="L1919" s="564" t="s">
        <v>2098</v>
      </c>
      <c r="M1919" s="564" t="s">
        <v>2098</v>
      </c>
      <c r="N1919" s="564" t="s">
        <v>1082</v>
      </c>
      <c r="O1919" s="564" t="s">
        <v>2099</v>
      </c>
      <c r="P1919" s="23"/>
      <c r="Q1919" s="23"/>
      <c r="R1919" s="23"/>
      <c r="S1919" s="23"/>
      <c r="T1919" s="23"/>
      <c r="U1919" s="23"/>
      <c r="V1919" s="23"/>
      <c r="W1919" s="23"/>
      <c r="X1919" s="23"/>
      <c r="Y1919" s="23"/>
      <c r="Z1919" s="23"/>
    </row>
    <row r="1920" spans="1:26" ht="13">
      <c r="A1920" s="562" t="s">
        <v>5044</v>
      </c>
      <c r="B1920" s="563" t="s">
        <v>5045</v>
      </c>
      <c r="C1920" s="564" t="s">
        <v>353</v>
      </c>
      <c r="D1920" s="565">
        <v>43669</v>
      </c>
      <c r="E1920" s="565">
        <v>43672</v>
      </c>
      <c r="F1920" s="566">
        <v>35230000</v>
      </c>
      <c r="G1920" s="564" t="s">
        <v>1498</v>
      </c>
      <c r="H1920" s="564" t="s">
        <v>1498</v>
      </c>
      <c r="I1920" s="564" t="s">
        <v>45</v>
      </c>
      <c r="J1920" s="564" t="s">
        <v>1069</v>
      </c>
      <c r="K1920" s="564" t="s">
        <v>1090</v>
      </c>
      <c r="L1920" s="564" t="s">
        <v>2098</v>
      </c>
      <c r="M1920" s="564" t="s">
        <v>2098</v>
      </c>
      <c r="N1920" s="564" t="s">
        <v>45</v>
      </c>
      <c r="O1920" s="564" t="s">
        <v>2099</v>
      </c>
      <c r="P1920" s="23"/>
      <c r="Q1920" s="23"/>
      <c r="R1920" s="23"/>
      <c r="S1920" s="23"/>
      <c r="T1920" s="23"/>
      <c r="U1920" s="23"/>
      <c r="V1920" s="23"/>
      <c r="W1920" s="23"/>
      <c r="X1920" s="23"/>
      <c r="Y1920" s="23"/>
      <c r="Z1920" s="23"/>
    </row>
    <row r="1921" spans="1:26" ht="13">
      <c r="A1921" s="562" t="s">
        <v>5046</v>
      </c>
      <c r="B1921" s="563" t="s">
        <v>5047</v>
      </c>
      <c r="C1921" s="564" t="s">
        <v>1076</v>
      </c>
      <c r="D1921" s="565">
        <v>43668</v>
      </c>
      <c r="E1921" s="565">
        <v>43738</v>
      </c>
      <c r="F1921" s="566">
        <v>1575000</v>
      </c>
      <c r="G1921" s="564" t="s">
        <v>1400</v>
      </c>
      <c r="H1921" s="564" t="s">
        <v>1400</v>
      </c>
      <c r="I1921" s="564" t="s">
        <v>4816</v>
      </c>
      <c r="J1921" s="564" t="s">
        <v>1069</v>
      </c>
      <c r="K1921" s="564" t="s">
        <v>1070</v>
      </c>
      <c r="L1921" s="564" t="s">
        <v>2098</v>
      </c>
      <c r="M1921" s="564" t="s">
        <v>2098</v>
      </c>
      <c r="N1921" s="564" t="s">
        <v>1082</v>
      </c>
      <c r="O1921" s="564" t="s">
        <v>2099</v>
      </c>
      <c r="P1921" s="23"/>
      <c r="Q1921" s="23"/>
      <c r="R1921" s="23"/>
      <c r="S1921" s="23"/>
      <c r="T1921" s="23"/>
      <c r="U1921" s="23"/>
      <c r="V1921" s="23"/>
      <c r="W1921" s="23"/>
      <c r="X1921" s="23"/>
      <c r="Y1921" s="23"/>
      <c r="Z1921" s="23"/>
    </row>
    <row r="1922" spans="1:26" ht="13">
      <c r="A1922" s="562" t="s">
        <v>5048</v>
      </c>
      <c r="B1922" s="563" t="s">
        <v>5049</v>
      </c>
      <c r="C1922" s="564" t="s">
        <v>353</v>
      </c>
      <c r="D1922" s="565">
        <v>43665</v>
      </c>
      <c r="E1922" s="565">
        <v>43672</v>
      </c>
      <c r="F1922" s="566">
        <v>98000</v>
      </c>
      <c r="G1922" s="564" t="s">
        <v>1498</v>
      </c>
      <c r="H1922" s="564" t="s">
        <v>1498</v>
      </c>
      <c r="I1922" s="564" t="s">
        <v>64</v>
      </c>
      <c r="J1922" s="564" t="s">
        <v>1069</v>
      </c>
      <c r="K1922" s="564" t="s">
        <v>1090</v>
      </c>
      <c r="L1922" s="564" t="s">
        <v>2098</v>
      </c>
      <c r="M1922" s="564" t="s">
        <v>2098</v>
      </c>
      <c r="N1922" s="564" t="s">
        <v>64</v>
      </c>
      <c r="O1922" s="564" t="s">
        <v>2099</v>
      </c>
      <c r="P1922" s="23"/>
      <c r="Q1922" s="23"/>
      <c r="R1922" s="23"/>
      <c r="S1922" s="23"/>
      <c r="T1922" s="23"/>
      <c r="U1922" s="23"/>
      <c r="V1922" s="23"/>
      <c r="W1922" s="23"/>
      <c r="X1922" s="23"/>
      <c r="Y1922" s="23"/>
      <c r="Z1922" s="23"/>
    </row>
    <row r="1923" spans="1:26" ht="13">
      <c r="A1923" s="562" t="s">
        <v>5050</v>
      </c>
      <c r="B1923" s="563" t="s">
        <v>5051</v>
      </c>
      <c r="C1923" s="564" t="s">
        <v>2433</v>
      </c>
      <c r="D1923" s="565">
        <v>43665</v>
      </c>
      <c r="E1923" s="565">
        <v>43738</v>
      </c>
      <c r="F1923" s="566">
        <v>1987000</v>
      </c>
      <c r="G1923" s="564" t="s">
        <v>1400</v>
      </c>
      <c r="H1923" s="564" t="s">
        <v>1400</v>
      </c>
      <c r="I1923" s="564" t="s">
        <v>4816</v>
      </c>
      <c r="J1923" s="564" t="s">
        <v>1069</v>
      </c>
      <c r="K1923" s="564" t="s">
        <v>1070</v>
      </c>
      <c r="L1923" s="564" t="s">
        <v>2098</v>
      </c>
      <c r="M1923" s="564" t="s">
        <v>2098</v>
      </c>
      <c r="N1923" s="564" t="s">
        <v>1082</v>
      </c>
      <c r="O1923" s="564" t="s">
        <v>2099</v>
      </c>
      <c r="P1923" s="23"/>
      <c r="Q1923" s="23"/>
      <c r="R1923" s="23"/>
      <c r="S1923" s="23"/>
      <c r="T1923" s="23"/>
      <c r="U1923" s="23"/>
      <c r="V1923" s="23"/>
      <c r="W1923" s="23"/>
      <c r="X1923" s="23"/>
      <c r="Y1923" s="23"/>
      <c r="Z1923" s="23"/>
    </row>
    <row r="1924" spans="1:26" ht="13">
      <c r="A1924" s="562" t="s">
        <v>5052</v>
      </c>
      <c r="B1924" s="563" t="s">
        <v>5053</v>
      </c>
      <c r="C1924" s="564" t="s">
        <v>353</v>
      </c>
      <c r="D1924" s="565">
        <v>43665</v>
      </c>
      <c r="E1924" s="565">
        <v>43671</v>
      </c>
      <c r="F1924" s="566">
        <v>730000</v>
      </c>
      <c r="G1924" s="564" t="s">
        <v>1128</v>
      </c>
      <c r="H1924" s="564" t="s">
        <v>1128</v>
      </c>
      <c r="I1924" s="564" t="s">
        <v>5054</v>
      </c>
      <c r="J1924" s="564" t="s">
        <v>1069</v>
      </c>
      <c r="K1924" s="564" t="s">
        <v>1070</v>
      </c>
      <c r="L1924" s="564" t="s">
        <v>2098</v>
      </c>
      <c r="M1924" s="564" t="s">
        <v>2098</v>
      </c>
      <c r="N1924" s="564" t="s">
        <v>1082</v>
      </c>
      <c r="O1924" s="564" t="s">
        <v>2099</v>
      </c>
      <c r="P1924" s="23"/>
      <c r="Q1924" s="23"/>
      <c r="R1924" s="23"/>
      <c r="S1924" s="23"/>
      <c r="T1924" s="23"/>
      <c r="U1924" s="23"/>
      <c r="V1924" s="23"/>
      <c r="W1924" s="23"/>
      <c r="X1924" s="23"/>
      <c r="Y1924" s="23"/>
      <c r="Z1924" s="23"/>
    </row>
    <row r="1925" spans="1:26" ht="13">
      <c r="A1925" s="562" t="s">
        <v>5055</v>
      </c>
      <c r="B1925" s="563" t="s">
        <v>5056</v>
      </c>
      <c r="C1925" s="564" t="s">
        <v>1475</v>
      </c>
      <c r="D1925" s="565">
        <v>43662</v>
      </c>
      <c r="E1925" s="565">
        <v>43683</v>
      </c>
      <c r="F1925" s="566">
        <v>117750000</v>
      </c>
      <c r="G1925" s="564" t="s">
        <v>1025</v>
      </c>
      <c r="H1925" s="564" t="s">
        <v>1025</v>
      </c>
      <c r="I1925" s="564" t="s">
        <v>4806</v>
      </c>
      <c r="J1925" s="564" t="s">
        <v>1069</v>
      </c>
      <c r="K1925" s="564" t="s">
        <v>1070</v>
      </c>
      <c r="L1925" s="564" t="s">
        <v>2098</v>
      </c>
      <c r="M1925" s="564" t="s">
        <v>2098</v>
      </c>
      <c r="N1925" s="564" t="s">
        <v>1082</v>
      </c>
      <c r="O1925" s="564" t="s">
        <v>2099</v>
      </c>
      <c r="P1925" s="23"/>
      <c r="Q1925" s="23"/>
      <c r="R1925" s="23"/>
      <c r="S1925" s="23"/>
      <c r="T1925" s="23"/>
      <c r="U1925" s="23"/>
      <c r="V1925" s="23"/>
      <c r="W1925" s="23"/>
      <c r="X1925" s="23"/>
      <c r="Y1925" s="23"/>
      <c r="Z1925" s="23"/>
    </row>
    <row r="1926" spans="1:26" ht="13">
      <c r="A1926" s="562" t="s">
        <v>5057</v>
      </c>
      <c r="B1926" s="563" t="s">
        <v>5058</v>
      </c>
      <c r="C1926" s="564" t="s">
        <v>1475</v>
      </c>
      <c r="D1926" s="565">
        <v>43662</v>
      </c>
      <c r="E1926" s="565">
        <v>43677</v>
      </c>
      <c r="F1926" s="566">
        <v>2840000</v>
      </c>
      <c r="G1926" s="564" t="s">
        <v>1293</v>
      </c>
      <c r="H1926" s="564" t="s">
        <v>1293</v>
      </c>
      <c r="I1926" s="564" t="s">
        <v>1247</v>
      </c>
      <c r="J1926" s="564" t="s">
        <v>1069</v>
      </c>
      <c r="K1926" s="564" t="s">
        <v>1070</v>
      </c>
      <c r="L1926" s="564" t="s">
        <v>2098</v>
      </c>
      <c r="M1926" s="564" t="s">
        <v>2098</v>
      </c>
      <c r="N1926" s="564" t="s">
        <v>1073</v>
      </c>
      <c r="O1926" s="564" t="s">
        <v>2099</v>
      </c>
      <c r="P1926" s="23"/>
      <c r="Q1926" s="23"/>
      <c r="R1926" s="23"/>
      <c r="S1926" s="23"/>
      <c r="T1926" s="23"/>
      <c r="U1926" s="23"/>
      <c r="V1926" s="23"/>
      <c r="W1926" s="23"/>
      <c r="X1926" s="23"/>
      <c r="Y1926" s="23"/>
      <c r="Z1926" s="23"/>
    </row>
    <row r="1927" spans="1:26" ht="13">
      <c r="A1927" s="562" t="s">
        <v>5059</v>
      </c>
      <c r="B1927" s="563" t="s">
        <v>5060</v>
      </c>
      <c r="C1927" s="564" t="s">
        <v>1204</v>
      </c>
      <c r="D1927" s="565">
        <v>43662</v>
      </c>
      <c r="E1927" s="565">
        <v>43647</v>
      </c>
      <c r="F1927" s="566">
        <v>836640</v>
      </c>
      <c r="G1927" s="564" t="s">
        <v>1366</v>
      </c>
      <c r="H1927" s="564" t="s">
        <v>1366</v>
      </c>
      <c r="I1927" s="564" t="s">
        <v>1471</v>
      </c>
      <c r="J1927" s="564" t="s">
        <v>1069</v>
      </c>
      <c r="K1927" s="564" t="s">
        <v>1070</v>
      </c>
      <c r="L1927" s="564" t="s">
        <v>1071</v>
      </c>
      <c r="M1927" s="564" t="s">
        <v>1183</v>
      </c>
      <c r="N1927" s="564" t="s">
        <v>1082</v>
      </c>
      <c r="O1927" s="564" t="s">
        <v>1472</v>
      </c>
      <c r="P1927" s="23"/>
      <c r="Q1927" s="23"/>
      <c r="R1927" s="23"/>
      <c r="S1927" s="23"/>
      <c r="T1927" s="23"/>
      <c r="U1927" s="23"/>
      <c r="V1927" s="23"/>
      <c r="W1927" s="23"/>
      <c r="X1927" s="23"/>
      <c r="Y1927" s="23"/>
      <c r="Z1927" s="23"/>
    </row>
    <row r="1928" spans="1:26" ht="13">
      <c r="A1928" s="562" t="s">
        <v>5061</v>
      </c>
      <c r="B1928" s="563" t="s">
        <v>5062</v>
      </c>
      <c r="C1928" s="564" t="s">
        <v>1076</v>
      </c>
      <c r="D1928" s="565">
        <v>43663</v>
      </c>
      <c r="E1928" s="565">
        <v>43738</v>
      </c>
      <c r="F1928" s="566">
        <v>795000</v>
      </c>
      <c r="G1928" s="564" t="s">
        <v>1400</v>
      </c>
      <c r="H1928" s="564" t="s">
        <v>1400</v>
      </c>
      <c r="I1928" s="564" t="s">
        <v>4816</v>
      </c>
      <c r="J1928" s="564" t="s">
        <v>1069</v>
      </c>
      <c r="K1928" s="564" t="s">
        <v>1070</v>
      </c>
      <c r="L1928" s="564" t="s">
        <v>2098</v>
      </c>
      <c r="M1928" s="564" t="s">
        <v>2098</v>
      </c>
      <c r="N1928" s="564" t="s">
        <v>1082</v>
      </c>
      <c r="O1928" s="564" t="s">
        <v>2099</v>
      </c>
      <c r="P1928" s="23"/>
      <c r="Q1928" s="23"/>
      <c r="R1928" s="23"/>
      <c r="S1928" s="23"/>
      <c r="T1928" s="23"/>
      <c r="U1928" s="23"/>
      <c r="V1928" s="23"/>
      <c r="W1928" s="23"/>
      <c r="X1928" s="23"/>
      <c r="Y1928" s="23"/>
      <c r="Z1928" s="23"/>
    </row>
    <row r="1929" spans="1:26" ht="13">
      <c r="A1929" s="562" t="s">
        <v>5063</v>
      </c>
      <c r="B1929" s="563" t="s">
        <v>5064</v>
      </c>
      <c r="C1929" s="564" t="s">
        <v>1076</v>
      </c>
      <c r="D1929" s="565">
        <v>43662</v>
      </c>
      <c r="E1929" s="565">
        <v>43738</v>
      </c>
      <c r="F1929" s="566">
        <v>1096000</v>
      </c>
      <c r="G1929" s="564" t="s">
        <v>1400</v>
      </c>
      <c r="H1929" s="564" t="s">
        <v>1400</v>
      </c>
      <c r="I1929" s="564" t="s">
        <v>4816</v>
      </c>
      <c r="J1929" s="564" t="s">
        <v>1069</v>
      </c>
      <c r="K1929" s="564" t="s">
        <v>1070</v>
      </c>
      <c r="L1929" s="564" t="s">
        <v>2098</v>
      </c>
      <c r="M1929" s="564" t="s">
        <v>2098</v>
      </c>
      <c r="N1929" s="564" t="s">
        <v>1082</v>
      </c>
      <c r="O1929" s="564" t="s">
        <v>2099</v>
      </c>
      <c r="P1929" s="23"/>
      <c r="Q1929" s="23"/>
      <c r="R1929" s="23"/>
      <c r="S1929" s="23"/>
      <c r="T1929" s="23"/>
      <c r="U1929" s="23"/>
      <c r="V1929" s="23"/>
      <c r="W1929" s="23"/>
      <c r="X1929" s="23"/>
      <c r="Y1929" s="23"/>
      <c r="Z1929" s="23"/>
    </row>
    <row r="1930" spans="1:26" ht="13">
      <c r="A1930" s="562" t="s">
        <v>5065</v>
      </c>
      <c r="B1930" s="563" t="s">
        <v>5066</v>
      </c>
      <c r="C1930" s="564" t="s">
        <v>1652</v>
      </c>
      <c r="D1930" s="565">
        <v>43662</v>
      </c>
      <c r="E1930" s="565">
        <v>43677</v>
      </c>
      <c r="F1930" s="566">
        <v>275000</v>
      </c>
      <c r="G1930" s="564" t="s">
        <v>1400</v>
      </c>
      <c r="H1930" s="564" t="s">
        <v>1400</v>
      </c>
      <c r="I1930" s="564" t="s">
        <v>1581</v>
      </c>
      <c r="J1930" s="564" t="s">
        <v>1069</v>
      </c>
      <c r="K1930" s="564" t="s">
        <v>1070</v>
      </c>
      <c r="L1930" s="564" t="s">
        <v>2098</v>
      </c>
      <c r="M1930" s="564" t="s">
        <v>2098</v>
      </c>
      <c r="N1930" s="564" t="s">
        <v>1082</v>
      </c>
      <c r="O1930" s="564" t="s">
        <v>2099</v>
      </c>
      <c r="P1930" s="23"/>
      <c r="Q1930" s="23"/>
      <c r="R1930" s="23"/>
      <c r="S1930" s="23"/>
      <c r="T1930" s="23"/>
      <c r="U1930" s="23"/>
      <c r="V1930" s="23"/>
      <c r="W1930" s="23"/>
      <c r="X1930" s="23"/>
      <c r="Y1930" s="23"/>
      <c r="Z1930" s="23"/>
    </row>
    <row r="1931" spans="1:26" ht="13">
      <c r="A1931" s="562" t="s">
        <v>5067</v>
      </c>
      <c r="B1931" s="563" t="s">
        <v>5068</v>
      </c>
      <c r="C1931" s="564" t="s">
        <v>1076</v>
      </c>
      <c r="D1931" s="565">
        <v>43661</v>
      </c>
      <c r="E1931" s="565">
        <v>43738</v>
      </c>
      <c r="F1931" s="566">
        <v>4472000</v>
      </c>
      <c r="G1931" s="564" t="s">
        <v>1400</v>
      </c>
      <c r="H1931" s="564" t="s">
        <v>1400</v>
      </c>
      <c r="I1931" s="564" t="s">
        <v>4816</v>
      </c>
      <c r="J1931" s="564" t="s">
        <v>1069</v>
      </c>
      <c r="K1931" s="564" t="s">
        <v>1070</v>
      </c>
      <c r="L1931" s="564" t="s">
        <v>2098</v>
      </c>
      <c r="M1931" s="564" t="s">
        <v>2098</v>
      </c>
      <c r="N1931" s="564" t="s">
        <v>1082</v>
      </c>
      <c r="O1931" s="564" t="s">
        <v>2099</v>
      </c>
      <c r="P1931" s="23"/>
      <c r="Q1931" s="23"/>
      <c r="R1931" s="23"/>
      <c r="S1931" s="23"/>
      <c r="T1931" s="23"/>
      <c r="U1931" s="23"/>
      <c r="V1931" s="23"/>
      <c r="W1931" s="23"/>
      <c r="X1931" s="23"/>
      <c r="Y1931" s="23"/>
      <c r="Z1931" s="23"/>
    </row>
    <row r="1932" spans="1:26" ht="13">
      <c r="A1932" s="562" t="s">
        <v>5069</v>
      </c>
      <c r="B1932" s="563" t="s">
        <v>5070</v>
      </c>
      <c r="C1932" s="564" t="s">
        <v>2437</v>
      </c>
      <c r="D1932" s="565">
        <v>43663</v>
      </c>
      <c r="E1932" s="565">
        <v>43670</v>
      </c>
      <c r="F1932" s="566">
        <v>129750000</v>
      </c>
      <c r="G1932" s="564" t="s">
        <v>1025</v>
      </c>
      <c r="H1932" s="564" t="s">
        <v>1025</v>
      </c>
      <c r="I1932" s="564" t="s">
        <v>4806</v>
      </c>
      <c r="J1932" s="564" t="s">
        <v>1069</v>
      </c>
      <c r="K1932" s="564" t="s">
        <v>1070</v>
      </c>
      <c r="L1932" s="564" t="s">
        <v>2098</v>
      </c>
      <c r="M1932" s="564" t="s">
        <v>2098</v>
      </c>
      <c r="N1932" s="564" t="s">
        <v>1082</v>
      </c>
      <c r="O1932" s="564" t="s">
        <v>2099</v>
      </c>
      <c r="P1932" s="23"/>
      <c r="Q1932" s="23"/>
      <c r="R1932" s="23"/>
      <c r="S1932" s="23"/>
      <c r="T1932" s="23"/>
      <c r="U1932" s="23"/>
      <c r="V1932" s="23"/>
      <c r="W1932" s="23"/>
      <c r="X1932" s="23"/>
      <c r="Y1932" s="23"/>
      <c r="Z1932" s="23"/>
    </row>
    <row r="1933" spans="1:26" ht="13">
      <c r="A1933" s="562" t="s">
        <v>5071</v>
      </c>
      <c r="B1933" s="563" t="s">
        <v>5072</v>
      </c>
      <c r="C1933" s="564" t="s">
        <v>1652</v>
      </c>
      <c r="D1933" s="565">
        <v>43662</v>
      </c>
      <c r="E1933" s="565">
        <v>43669</v>
      </c>
      <c r="F1933" s="566">
        <v>1280000</v>
      </c>
      <c r="G1933" s="564" t="s">
        <v>1941</v>
      </c>
      <c r="H1933" s="564" t="s">
        <v>1941</v>
      </c>
      <c r="I1933" s="564" t="s">
        <v>70</v>
      </c>
      <c r="J1933" s="564" t="s">
        <v>1069</v>
      </c>
      <c r="K1933" s="564" t="s">
        <v>1120</v>
      </c>
      <c r="L1933" s="564" t="s">
        <v>2098</v>
      </c>
      <c r="M1933" s="564" t="s">
        <v>2098</v>
      </c>
      <c r="N1933" s="564" t="s">
        <v>70</v>
      </c>
      <c r="O1933" s="564" t="s">
        <v>2099</v>
      </c>
      <c r="P1933" s="23"/>
      <c r="Q1933" s="23"/>
      <c r="R1933" s="23"/>
      <c r="S1933" s="23"/>
      <c r="T1933" s="23"/>
      <c r="U1933" s="23"/>
      <c r="V1933" s="23"/>
      <c r="W1933" s="23"/>
      <c r="X1933" s="23"/>
      <c r="Y1933" s="23"/>
      <c r="Z1933" s="23"/>
    </row>
    <row r="1934" spans="1:26" ht="13">
      <c r="A1934" s="562" t="s">
        <v>5073</v>
      </c>
      <c r="B1934" s="563" t="s">
        <v>5074</v>
      </c>
      <c r="C1934" s="564" t="s">
        <v>1076</v>
      </c>
      <c r="D1934" s="565">
        <v>43661</v>
      </c>
      <c r="E1934" s="565">
        <v>43738</v>
      </c>
      <c r="F1934" s="566">
        <v>528000</v>
      </c>
      <c r="G1934" s="564" t="s">
        <v>1400</v>
      </c>
      <c r="H1934" s="564" t="s">
        <v>1400</v>
      </c>
      <c r="I1934" s="564" t="s">
        <v>4816</v>
      </c>
      <c r="J1934" s="564" t="s">
        <v>1069</v>
      </c>
      <c r="K1934" s="564" t="s">
        <v>1070</v>
      </c>
      <c r="L1934" s="564" t="s">
        <v>2098</v>
      </c>
      <c r="M1934" s="564" t="s">
        <v>2098</v>
      </c>
      <c r="N1934" s="564" t="s">
        <v>1082</v>
      </c>
      <c r="O1934" s="564" t="s">
        <v>2099</v>
      </c>
      <c r="P1934" s="23"/>
      <c r="Q1934" s="23"/>
      <c r="R1934" s="23"/>
      <c r="S1934" s="23"/>
      <c r="T1934" s="23"/>
      <c r="U1934" s="23"/>
      <c r="V1934" s="23"/>
      <c r="W1934" s="23"/>
      <c r="X1934" s="23"/>
      <c r="Y1934" s="23"/>
      <c r="Z1934" s="23"/>
    </row>
    <row r="1935" spans="1:26" ht="13">
      <c r="A1935" s="562" t="s">
        <v>5075</v>
      </c>
      <c r="B1935" s="563" t="s">
        <v>5076</v>
      </c>
      <c r="C1935" s="564" t="s">
        <v>1652</v>
      </c>
      <c r="D1935" s="565">
        <v>43661</v>
      </c>
      <c r="E1935" s="565">
        <v>43689</v>
      </c>
      <c r="F1935" s="566">
        <v>11836364</v>
      </c>
      <c r="G1935" s="564" t="s">
        <v>1623</v>
      </c>
      <c r="H1935" s="564" t="s">
        <v>1623</v>
      </c>
      <c r="I1935" s="564" t="s">
        <v>802</v>
      </c>
      <c r="J1935" s="564" t="s">
        <v>1069</v>
      </c>
      <c r="K1935" s="564" t="s">
        <v>1198</v>
      </c>
      <c r="L1935" s="564" t="s">
        <v>2098</v>
      </c>
      <c r="M1935" s="564" t="s">
        <v>2098</v>
      </c>
      <c r="N1935" s="564" t="s">
        <v>132</v>
      </c>
      <c r="O1935" s="564" t="s">
        <v>2099</v>
      </c>
      <c r="P1935" s="23"/>
      <c r="Q1935" s="23"/>
      <c r="R1935" s="23"/>
      <c r="S1935" s="23"/>
      <c r="T1935" s="23"/>
      <c r="U1935" s="23"/>
      <c r="V1935" s="23"/>
      <c r="W1935" s="23"/>
      <c r="X1935" s="23"/>
      <c r="Y1935" s="23"/>
      <c r="Z1935" s="23"/>
    </row>
    <row r="1936" spans="1:26" ht="13">
      <c r="A1936" s="562" t="s">
        <v>5077</v>
      </c>
      <c r="B1936" s="563" t="s">
        <v>5078</v>
      </c>
      <c r="C1936" s="564" t="s">
        <v>353</v>
      </c>
      <c r="D1936" s="565">
        <v>43661</v>
      </c>
      <c r="E1936" s="565">
        <v>43670</v>
      </c>
      <c r="F1936" s="566">
        <v>98000</v>
      </c>
      <c r="G1936" s="564" t="s">
        <v>1498</v>
      </c>
      <c r="H1936" s="564" t="s">
        <v>1498</v>
      </c>
      <c r="I1936" s="564" t="s">
        <v>64</v>
      </c>
      <c r="J1936" s="564" t="s">
        <v>1069</v>
      </c>
      <c r="K1936" s="564" t="s">
        <v>1090</v>
      </c>
      <c r="L1936" s="564" t="s">
        <v>2098</v>
      </c>
      <c r="M1936" s="564" t="s">
        <v>2098</v>
      </c>
      <c r="N1936" s="564" t="s">
        <v>64</v>
      </c>
      <c r="O1936" s="564" t="s">
        <v>2099</v>
      </c>
      <c r="P1936" s="23"/>
      <c r="Q1936" s="23"/>
      <c r="R1936" s="23"/>
      <c r="S1936" s="23"/>
      <c r="T1936" s="23"/>
      <c r="U1936" s="23"/>
      <c r="V1936" s="23"/>
      <c r="W1936" s="23"/>
      <c r="X1936" s="23"/>
      <c r="Y1936" s="23"/>
      <c r="Z1936" s="23"/>
    </row>
    <row r="1937" spans="1:26" ht="13">
      <c r="A1937" s="562" t="s">
        <v>5079</v>
      </c>
      <c r="B1937" s="563" t="s">
        <v>5080</v>
      </c>
      <c r="C1937" s="564" t="s">
        <v>353</v>
      </c>
      <c r="D1937" s="565">
        <v>43656</v>
      </c>
      <c r="E1937" s="565">
        <v>43708</v>
      </c>
      <c r="F1937" s="566">
        <v>152000</v>
      </c>
      <c r="G1937" s="564" t="s">
        <v>1498</v>
      </c>
      <c r="H1937" s="564" t="s">
        <v>1498</v>
      </c>
      <c r="I1937" s="564" t="s">
        <v>64</v>
      </c>
      <c r="J1937" s="564" t="s">
        <v>1069</v>
      </c>
      <c r="K1937" s="564" t="s">
        <v>1090</v>
      </c>
      <c r="L1937" s="564" t="s">
        <v>2098</v>
      </c>
      <c r="M1937" s="564" t="s">
        <v>2098</v>
      </c>
      <c r="N1937" s="564" t="s">
        <v>64</v>
      </c>
      <c r="O1937" s="564" t="s">
        <v>2099</v>
      </c>
      <c r="P1937" s="23"/>
      <c r="Q1937" s="23"/>
      <c r="R1937" s="23"/>
      <c r="S1937" s="23"/>
      <c r="T1937" s="23"/>
      <c r="U1937" s="23"/>
      <c r="V1937" s="23"/>
      <c r="W1937" s="23"/>
      <c r="X1937" s="23"/>
      <c r="Y1937" s="23"/>
      <c r="Z1937" s="23"/>
    </row>
    <row r="1938" spans="1:26" ht="13">
      <c r="A1938" s="562" t="s">
        <v>5081</v>
      </c>
      <c r="B1938" s="563" t="s">
        <v>5082</v>
      </c>
      <c r="C1938" s="564" t="s">
        <v>353</v>
      </c>
      <c r="D1938" s="565">
        <v>43656</v>
      </c>
      <c r="E1938" s="565">
        <v>43658</v>
      </c>
      <c r="F1938" s="566">
        <v>1280000</v>
      </c>
      <c r="G1938" s="564" t="s">
        <v>1498</v>
      </c>
      <c r="H1938" s="564" t="s">
        <v>1498</v>
      </c>
      <c r="I1938" s="564" t="s">
        <v>45</v>
      </c>
      <c r="J1938" s="564" t="s">
        <v>1069</v>
      </c>
      <c r="K1938" s="564" t="s">
        <v>1090</v>
      </c>
      <c r="L1938" s="564" t="s">
        <v>2098</v>
      </c>
      <c r="M1938" s="564" t="s">
        <v>2098</v>
      </c>
      <c r="N1938" s="564" t="s">
        <v>45</v>
      </c>
      <c r="O1938" s="564" t="s">
        <v>2099</v>
      </c>
      <c r="P1938" s="23"/>
      <c r="Q1938" s="23"/>
      <c r="R1938" s="23"/>
      <c r="S1938" s="23"/>
      <c r="T1938" s="23"/>
      <c r="U1938" s="23"/>
      <c r="V1938" s="23"/>
      <c r="W1938" s="23"/>
      <c r="X1938" s="23"/>
      <c r="Y1938" s="23"/>
      <c r="Z1938" s="23"/>
    </row>
    <row r="1939" spans="1:26" ht="13">
      <c r="A1939" s="562" t="s">
        <v>5083</v>
      </c>
      <c r="B1939" s="563" t="s">
        <v>5084</v>
      </c>
      <c r="C1939" s="564" t="s">
        <v>1076</v>
      </c>
      <c r="D1939" s="565">
        <v>43655</v>
      </c>
      <c r="E1939" s="565">
        <v>43738</v>
      </c>
      <c r="F1939" s="566">
        <v>1987000</v>
      </c>
      <c r="G1939" s="564" t="s">
        <v>1400</v>
      </c>
      <c r="H1939" s="564" t="s">
        <v>1400</v>
      </c>
      <c r="I1939" s="564" t="s">
        <v>4816</v>
      </c>
      <c r="J1939" s="564" t="s">
        <v>1069</v>
      </c>
      <c r="K1939" s="564" t="s">
        <v>1070</v>
      </c>
      <c r="L1939" s="564" t="s">
        <v>2098</v>
      </c>
      <c r="M1939" s="564" t="s">
        <v>2098</v>
      </c>
      <c r="N1939" s="564" t="s">
        <v>1082</v>
      </c>
      <c r="O1939" s="564" t="s">
        <v>2099</v>
      </c>
      <c r="P1939" s="23"/>
      <c r="Q1939" s="23"/>
      <c r="R1939" s="23"/>
      <c r="S1939" s="23"/>
      <c r="T1939" s="23"/>
      <c r="U1939" s="23"/>
      <c r="V1939" s="23"/>
      <c r="W1939" s="23"/>
      <c r="X1939" s="23"/>
      <c r="Y1939" s="23"/>
      <c r="Z1939" s="23"/>
    </row>
    <row r="1940" spans="1:26" ht="13">
      <c r="A1940" s="562" t="s">
        <v>5085</v>
      </c>
      <c r="B1940" s="563" t="s">
        <v>5086</v>
      </c>
      <c r="C1940" s="564" t="s">
        <v>353</v>
      </c>
      <c r="D1940" s="565">
        <v>43655</v>
      </c>
      <c r="E1940" s="565">
        <v>43665</v>
      </c>
      <c r="F1940" s="566">
        <v>278100000</v>
      </c>
      <c r="G1940" s="564" t="s">
        <v>1128</v>
      </c>
      <c r="H1940" s="564" t="s">
        <v>1128</v>
      </c>
      <c r="I1940" s="564" t="s">
        <v>45</v>
      </c>
      <c r="J1940" s="564" t="s">
        <v>1069</v>
      </c>
      <c r="K1940" s="564" t="s">
        <v>1090</v>
      </c>
      <c r="L1940" s="564" t="s">
        <v>2098</v>
      </c>
      <c r="M1940" s="564" t="s">
        <v>2098</v>
      </c>
      <c r="N1940" s="564" t="s">
        <v>45</v>
      </c>
      <c r="O1940" s="564" t="s">
        <v>2099</v>
      </c>
      <c r="P1940" s="23"/>
      <c r="Q1940" s="23"/>
      <c r="R1940" s="23"/>
      <c r="S1940" s="23"/>
      <c r="T1940" s="23"/>
      <c r="U1940" s="23"/>
      <c r="V1940" s="23"/>
      <c r="W1940" s="23"/>
      <c r="X1940" s="23"/>
      <c r="Y1940" s="23"/>
      <c r="Z1940" s="23"/>
    </row>
    <row r="1941" spans="1:26" ht="13">
      <c r="A1941" s="562" t="s">
        <v>5087</v>
      </c>
      <c r="B1941" s="563" t="s">
        <v>5088</v>
      </c>
      <c r="C1941" s="564" t="s">
        <v>353</v>
      </c>
      <c r="D1941" s="565">
        <v>43655</v>
      </c>
      <c r="E1941" s="565">
        <v>43665</v>
      </c>
      <c r="F1941" s="566">
        <v>276601000</v>
      </c>
      <c r="G1941" s="564" t="s">
        <v>1128</v>
      </c>
      <c r="H1941" s="564" t="s">
        <v>1128</v>
      </c>
      <c r="I1941" s="564" t="s">
        <v>45</v>
      </c>
      <c r="J1941" s="564" t="s">
        <v>1069</v>
      </c>
      <c r="K1941" s="564" t="s">
        <v>1090</v>
      </c>
      <c r="L1941" s="564" t="s">
        <v>2098</v>
      </c>
      <c r="M1941" s="564" t="s">
        <v>2098</v>
      </c>
      <c r="N1941" s="564" t="s">
        <v>45</v>
      </c>
      <c r="O1941" s="564" t="s">
        <v>2099</v>
      </c>
      <c r="P1941" s="23"/>
      <c r="Q1941" s="23"/>
      <c r="R1941" s="23"/>
      <c r="S1941" s="23"/>
      <c r="T1941" s="23"/>
      <c r="U1941" s="23"/>
      <c r="V1941" s="23"/>
      <c r="W1941" s="23"/>
      <c r="X1941" s="23"/>
      <c r="Y1941" s="23"/>
      <c r="Z1941" s="23"/>
    </row>
    <row r="1942" spans="1:26" ht="13">
      <c r="A1942" s="562" t="s">
        <v>5089</v>
      </c>
      <c r="B1942" s="563" t="s">
        <v>5090</v>
      </c>
      <c r="C1942" s="564" t="s">
        <v>353</v>
      </c>
      <c r="D1942" s="565">
        <v>43655</v>
      </c>
      <c r="E1942" s="565">
        <v>43665</v>
      </c>
      <c r="F1942" s="566">
        <v>8900000</v>
      </c>
      <c r="G1942" s="564" t="s">
        <v>1128</v>
      </c>
      <c r="H1942" s="564" t="s">
        <v>1128</v>
      </c>
      <c r="I1942" s="564" t="s">
        <v>45</v>
      </c>
      <c r="J1942" s="564" t="s">
        <v>1069</v>
      </c>
      <c r="K1942" s="564" t="s">
        <v>1090</v>
      </c>
      <c r="L1942" s="564" t="s">
        <v>2098</v>
      </c>
      <c r="M1942" s="564" t="s">
        <v>2098</v>
      </c>
      <c r="N1942" s="564" t="s">
        <v>45</v>
      </c>
      <c r="O1942" s="564" t="s">
        <v>2099</v>
      </c>
      <c r="P1942" s="23"/>
      <c r="Q1942" s="23"/>
      <c r="R1942" s="23"/>
      <c r="S1942" s="23"/>
      <c r="T1942" s="23"/>
      <c r="U1942" s="23"/>
      <c r="V1942" s="23"/>
      <c r="W1942" s="23"/>
      <c r="X1942" s="23"/>
      <c r="Y1942" s="23"/>
      <c r="Z1942" s="23"/>
    </row>
    <row r="1943" spans="1:26" ht="13">
      <c r="A1943" s="562" t="s">
        <v>5091</v>
      </c>
      <c r="B1943" s="563" t="s">
        <v>5092</v>
      </c>
      <c r="C1943" s="564" t="s">
        <v>353</v>
      </c>
      <c r="D1943" s="565">
        <v>43655</v>
      </c>
      <c r="E1943" s="565">
        <v>43665</v>
      </c>
      <c r="F1943" s="566">
        <v>11500000</v>
      </c>
      <c r="G1943" s="564" t="s">
        <v>1128</v>
      </c>
      <c r="H1943" s="564" t="s">
        <v>1128</v>
      </c>
      <c r="I1943" s="564" t="s">
        <v>45</v>
      </c>
      <c r="J1943" s="564" t="s">
        <v>1069</v>
      </c>
      <c r="K1943" s="564" t="s">
        <v>1090</v>
      </c>
      <c r="L1943" s="564" t="s">
        <v>2098</v>
      </c>
      <c r="M1943" s="564" t="s">
        <v>2098</v>
      </c>
      <c r="N1943" s="564" t="s">
        <v>45</v>
      </c>
      <c r="O1943" s="564" t="s">
        <v>2099</v>
      </c>
      <c r="P1943" s="23"/>
      <c r="Q1943" s="23"/>
      <c r="R1943" s="23"/>
      <c r="S1943" s="23"/>
      <c r="T1943" s="23"/>
      <c r="U1943" s="23"/>
      <c r="V1943" s="23"/>
      <c r="W1943" s="23"/>
      <c r="X1943" s="23"/>
      <c r="Y1943" s="23"/>
      <c r="Z1943" s="23"/>
    </row>
    <row r="1944" spans="1:26" ht="13">
      <c r="A1944" s="562" t="s">
        <v>5093</v>
      </c>
      <c r="B1944" s="563" t="s">
        <v>5094</v>
      </c>
      <c r="C1944" s="564" t="s">
        <v>353</v>
      </c>
      <c r="D1944" s="565">
        <v>43655</v>
      </c>
      <c r="E1944" s="565">
        <v>43665</v>
      </c>
      <c r="F1944" s="566">
        <v>13900000</v>
      </c>
      <c r="G1944" s="564" t="s">
        <v>1128</v>
      </c>
      <c r="H1944" s="564" t="s">
        <v>1128</v>
      </c>
      <c r="I1944" s="564" t="s">
        <v>45</v>
      </c>
      <c r="J1944" s="564" t="s">
        <v>1069</v>
      </c>
      <c r="K1944" s="564" t="s">
        <v>1090</v>
      </c>
      <c r="L1944" s="564" t="s">
        <v>2098</v>
      </c>
      <c r="M1944" s="564" t="s">
        <v>2098</v>
      </c>
      <c r="N1944" s="564" t="s">
        <v>45</v>
      </c>
      <c r="O1944" s="564" t="s">
        <v>2099</v>
      </c>
      <c r="P1944" s="23"/>
      <c r="Q1944" s="23"/>
      <c r="R1944" s="23"/>
      <c r="S1944" s="23"/>
      <c r="T1944" s="23"/>
      <c r="U1944" s="23"/>
      <c r="V1944" s="23"/>
      <c r="W1944" s="23"/>
      <c r="X1944" s="23"/>
      <c r="Y1944" s="23"/>
      <c r="Z1944" s="23"/>
    </row>
    <row r="1945" spans="1:26" ht="13">
      <c r="A1945" s="562" t="s">
        <v>5095</v>
      </c>
      <c r="B1945" s="563" t="s">
        <v>5096</v>
      </c>
      <c r="C1945" s="564" t="s">
        <v>353</v>
      </c>
      <c r="D1945" s="565">
        <v>43655</v>
      </c>
      <c r="E1945" s="565">
        <v>43665</v>
      </c>
      <c r="F1945" s="566">
        <v>64410000</v>
      </c>
      <c r="G1945" s="564" t="s">
        <v>1128</v>
      </c>
      <c r="H1945" s="564" t="s">
        <v>1128</v>
      </c>
      <c r="I1945" s="564" t="s">
        <v>45</v>
      </c>
      <c r="J1945" s="564" t="s">
        <v>1069</v>
      </c>
      <c r="K1945" s="564" t="s">
        <v>1090</v>
      </c>
      <c r="L1945" s="564" t="s">
        <v>2098</v>
      </c>
      <c r="M1945" s="564" t="s">
        <v>2098</v>
      </c>
      <c r="N1945" s="564" t="s">
        <v>45</v>
      </c>
      <c r="O1945" s="564" t="s">
        <v>2099</v>
      </c>
      <c r="P1945" s="23"/>
      <c r="Q1945" s="23"/>
      <c r="R1945" s="23"/>
      <c r="S1945" s="23"/>
      <c r="T1945" s="23"/>
      <c r="U1945" s="23"/>
      <c r="V1945" s="23"/>
      <c r="W1945" s="23"/>
      <c r="X1945" s="23"/>
      <c r="Y1945" s="23"/>
      <c r="Z1945" s="23"/>
    </row>
    <row r="1946" spans="1:26" ht="13">
      <c r="A1946" s="562" t="s">
        <v>5097</v>
      </c>
      <c r="B1946" s="563" t="s">
        <v>4381</v>
      </c>
      <c r="C1946" s="564" t="s">
        <v>353</v>
      </c>
      <c r="D1946" s="565">
        <v>43655</v>
      </c>
      <c r="E1946" s="565">
        <v>43677</v>
      </c>
      <c r="F1946" s="566">
        <v>441000</v>
      </c>
      <c r="G1946" s="564" t="s">
        <v>1293</v>
      </c>
      <c r="H1946" s="564" t="s">
        <v>1293</v>
      </c>
      <c r="I1946" s="564" t="s">
        <v>1586</v>
      </c>
      <c r="J1946" s="564" t="s">
        <v>1069</v>
      </c>
      <c r="K1946" s="564" t="s">
        <v>1090</v>
      </c>
      <c r="L1946" s="564" t="s">
        <v>2098</v>
      </c>
      <c r="M1946" s="564" t="s">
        <v>2098</v>
      </c>
      <c r="N1946" s="564" t="s">
        <v>1073</v>
      </c>
      <c r="O1946" s="564" t="s">
        <v>2099</v>
      </c>
      <c r="P1946" s="23"/>
      <c r="Q1946" s="23"/>
      <c r="R1946" s="23"/>
      <c r="S1946" s="23"/>
      <c r="T1946" s="23"/>
      <c r="U1946" s="23"/>
      <c r="V1946" s="23"/>
      <c r="W1946" s="23"/>
      <c r="X1946" s="23"/>
      <c r="Y1946" s="23"/>
      <c r="Z1946" s="23"/>
    </row>
    <row r="1947" spans="1:26" ht="13">
      <c r="A1947" s="562" t="s">
        <v>5098</v>
      </c>
      <c r="B1947" s="563" t="s">
        <v>5099</v>
      </c>
      <c r="C1947" s="564" t="s">
        <v>353</v>
      </c>
      <c r="D1947" s="565">
        <v>43655</v>
      </c>
      <c r="E1947" s="565">
        <v>43665</v>
      </c>
      <c r="F1947" s="566">
        <v>12400000</v>
      </c>
      <c r="G1947" s="564" t="s">
        <v>1128</v>
      </c>
      <c r="H1947" s="564" t="s">
        <v>1128</v>
      </c>
      <c r="I1947" s="564" t="s">
        <v>45</v>
      </c>
      <c r="J1947" s="564" t="s">
        <v>1069</v>
      </c>
      <c r="K1947" s="564" t="s">
        <v>1090</v>
      </c>
      <c r="L1947" s="564" t="s">
        <v>2098</v>
      </c>
      <c r="M1947" s="564" t="s">
        <v>2098</v>
      </c>
      <c r="N1947" s="564" t="s">
        <v>45</v>
      </c>
      <c r="O1947" s="564" t="s">
        <v>2099</v>
      </c>
      <c r="P1947" s="23"/>
      <c r="Q1947" s="23"/>
      <c r="R1947" s="23"/>
      <c r="S1947" s="23"/>
      <c r="T1947" s="23"/>
      <c r="U1947" s="23"/>
      <c r="V1947" s="23"/>
      <c r="W1947" s="23"/>
      <c r="X1947" s="23"/>
      <c r="Y1947" s="23"/>
      <c r="Z1947" s="23"/>
    </row>
    <row r="1948" spans="1:26" ht="13">
      <c r="A1948" s="562" t="s">
        <v>5100</v>
      </c>
      <c r="B1948" s="563" t="s">
        <v>5101</v>
      </c>
      <c r="C1948" s="564" t="s">
        <v>353</v>
      </c>
      <c r="D1948" s="565">
        <v>43655</v>
      </c>
      <c r="E1948" s="565">
        <v>43665</v>
      </c>
      <c r="F1948" s="566">
        <v>29500000</v>
      </c>
      <c r="G1948" s="564" t="s">
        <v>1128</v>
      </c>
      <c r="H1948" s="564" t="s">
        <v>1128</v>
      </c>
      <c r="I1948" s="564" t="s">
        <v>45</v>
      </c>
      <c r="J1948" s="564" t="s">
        <v>1069</v>
      </c>
      <c r="K1948" s="564" t="s">
        <v>1090</v>
      </c>
      <c r="L1948" s="564" t="s">
        <v>2098</v>
      </c>
      <c r="M1948" s="564" t="s">
        <v>2098</v>
      </c>
      <c r="N1948" s="564" t="s">
        <v>45</v>
      </c>
      <c r="O1948" s="564" t="s">
        <v>2099</v>
      </c>
      <c r="P1948" s="23"/>
      <c r="Q1948" s="23"/>
      <c r="R1948" s="23"/>
      <c r="S1948" s="23"/>
      <c r="T1948" s="23"/>
      <c r="U1948" s="23"/>
      <c r="V1948" s="23"/>
      <c r="W1948" s="23"/>
      <c r="X1948" s="23"/>
      <c r="Y1948" s="23"/>
      <c r="Z1948" s="23"/>
    </row>
    <row r="1949" spans="1:26" ht="13">
      <c r="A1949" s="562" t="s">
        <v>5102</v>
      </c>
      <c r="B1949" s="563" t="s">
        <v>5103</v>
      </c>
      <c r="C1949" s="564" t="s">
        <v>353</v>
      </c>
      <c r="D1949" s="565">
        <v>43655</v>
      </c>
      <c r="E1949" s="565">
        <v>43665</v>
      </c>
      <c r="F1949" s="566">
        <v>113500000</v>
      </c>
      <c r="G1949" s="564" t="s">
        <v>1128</v>
      </c>
      <c r="H1949" s="564" t="s">
        <v>1128</v>
      </c>
      <c r="I1949" s="564" t="s">
        <v>45</v>
      </c>
      <c r="J1949" s="564" t="s">
        <v>1069</v>
      </c>
      <c r="K1949" s="564" t="s">
        <v>1090</v>
      </c>
      <c r="L1949" s="564" t="s">
        <v>2098</v>
      </c>
      <c r="M1949" s="564" t="s">
        <v>2098</v>
      </c>
      <c r="N1949" s="564" t="s">
        <v>45</v>
      </c>
      <c r="O1949" s="564" t="s">
        <v>2099</v>
      </c>
      <c r="P1949" s="23"/>
      <c r="Q1949" s="23"/>
      <c r="R1949" s="23"/>
      <c r="S1949" s="23"/>
      <c r="T1949" s="23"/>
      <c r="U1949" s="23"/>
      <c r="V1949" s="23"/>
      <c r="W1949" s="23"/>
      <c r="X1949" s="23"/>
      <c r="Y1949" s="23"/>
      <c r="Z1949" s="23"/>
    </row>
    <row r="1950" spans="1:26" ht="13">
      <c r="A1950" s="562" t="s">
        <v>5104</v>
      </c>
      <c r="B1950" s="563" t="s">
        <v>5105</v>
      </c>
      <c r="C1950" s="564" t="s">
        <v>353</v>
      </c>
      <c r="D1950" s="565">
        <v>43655</v>
      </c>
      <c r="E1950" s="565">
        <v>43665</v>
      </c>
      <c r="F1950" s="566">
        <v>1800000</v>
      </c>
      <c r="G1950" s="564" t="s">
        <v>1128</v>
      </c>
      <c r="H1950" s="564" t="s">
        <v>1128</v>
      </c>
      <c r="I1950" s="564" t="s">
        <v>45</v>
      </c>
      <c r="J1950" s="564" t="s">
        <v>1069</v>
      </c>
      <c r="K1950" s="564" t="s">
        <v>1090</v>
      </c>
      <c r="L1950" s="564" t="s">
        <v>2098</v>
      </c>
      <c r="M1950" s="564" t="s">
        <v>2098</v>
      </c>
      <c r="N1950" s="564" t="s">
        <v>45</v>
      </c>
      <c r="O1950" s="564" t="s">
        <v>2099</v>
      </c>
      <c r="P1950" s="23"/>
      <c r="Q1950" s="23"/>
      <c r="R1950" s="23"/>
      <c r="S1950" s="23"/>
      <c r="T1950" s="23"/>
      <c r="U1950" s="23"/>
      <c r="V1950" s="23"/>
      <c r="W1950" s="23"/>
      <c r="X1950" s="23"/>
      <c r="Y1950" s="23"/>
      <c r="Z1950" s="23"/>
    </row>
    <row r="1951" spans="1:26" ht="13">
      <c r="A1951" s="562" t="s">
        <v>5106</v>
      </c>
      <c r="B1951" s="563" t="s">
        <v>5107</v>
      </c>
      <c r="C1951" s="564" t="s">
        <v>353</v>
      </c>
      <c r="D1951" s="565">
        <v>43655</v>
      </c>
      <c r="E1951" s="565">
        <v>43665</v>
      </c>
      <c r="F1951" s="566">
        <v>6320000</v>
      </c>
      <c r="G1951" s="564" t="s">
        <v>1128</v>
      </c>
      <c r="H1951" s="564" t="s">
        <v>1128</v>
      </c>
      <c r="I1951" s="564" t="s">
        <v>45</v>
      </c>
      <c r="J1951" s="564" t="s">
        <v>1069</v>
      </c>
      <c r="K1951" s="564" t="s">
        <v>1090</v>
      </c>
      <c r="L1951" s="564" t="s">
        <v>2098</v>
      </c>
      <c r="M1951" s="564" t="s">
        <v>2098</v>
      </c>
      <c r="N1951" s="564" t="s">
        <v>45</v>
      </c>
      <c r="O1951" s="564" t="s">
        <v>2099</v>
      </c>
      <c r="P1951" s="23"/>
      <c r="Q1951" s="23"/>
      <c r="R1951" s="23"/>
      <c r="S1951" s="23"/>
      <c r="T1951" s="23"/>
      <c r="U1951" s="23"/>
      <c r="V1951" s="23"/>
      <c r="W1951" s="23"/>
      <c r="X1951" s="23"/>
      <c r="Y1951" s="23"/>
      <c r="Z1951" s="23"/>
    </row>
    <row r="1952" spans="1:26" ht="13">
      <c r="A1952" s="562" t="s">
        <v>5108</v>
      </c>
      <c r="B1952" s="563" t="s">
        <v>5109</v>
      </c>
      <c r="C1952" s="564" t="s">
        <v>353</v>
      </c>
      <c r="D1952" s="565">
        <v>43655</v>
      </c>
      <c r="E1952" s="565">
        <v>43665</v>
      </c>
      <c r="F1952" s="566">
        <v>139012000</v>
      </c>
      <c r="G1952" s="564" t="s">
        <v>1128</v>
      </c>
      <c r="H1952" s="564" t="s">
        <v>1128</v>
      </c>
      <c r="I1952" s="564" t="s">
        <v>45</v>
      </c>
      <c r="J1952" s="564" t="s">
        <v>1069</v>
      </c>
      <c r="K1952" s="564" t="s">
        <v>1090</v>
      </c>
      <c r="L1952" s="564" t="s">
        <v>2098</v>
      </c>
      <c r="M1952" s="564" t="s">
        <v>2098</v>
      </c>
      <c r="N1952" s="564" t="s">
        <v>45</v>
      </c>
      <c r="O1952" s="564" t="s">
        <v>2099</v>
      </c>
      <c r="P1952" s="23"/>
      <c r="Q1952" s="23"/>
      <c r="R1952" s="23"/>
      <c r="S1952" s="23"/>
      <c r="T1952" s="23"/>
      <c r="U1952" s="23"/>
      <c r="V1952" s="23"/>
      <c r="W1952" s="23"/>
      <c r="X1952" s="23"/>
      <c r="Y1952" s="23"/>
      <c r="Z1952" s="23"/>
    </row>
    <row r="1953" spans="1:26" ht="13">
      <c r="A1953" s="562" t="s">
        <v>5110</v>
      </c>
      <c r="B1953" s="563" t="s">
        <v>5111</v>
      </c>
      <c r="C1953" s="564" t="s">
        <v>353</v>
      </c>
      <c r="D1953" s="565">
        <v>43655</v>
      </c>
      <c r="E1953" s="565">
        <v>43665</v>
      </c>
      <c r="F1953" s="566">
        <v>61000000</v>
      </c>
      <c r="G1953" s="564" t="s">
        <v>1128</v>
      </c>
      <c r="H1953" s="564" t="s">
        <v>1128</v>
      </c>
      <c r="I1953" s="564" t="s">
        <v>45</v>
      </c>
      <c r="J1953" s="564" t="s">
        <v>1069</v>
      </c>
      <c r="K1953" s="564" t="s">
        <v>1090</v>
      </c>
      <c r="L1953" s="564" t="s">
        <v>2098</v>
      </c>
      <c r="M1953" s="564" t="s">
        <v>2098</v>
      </c>
      <c r="N1953" s="564" t="s">
        <v>45</v>
      </c>
      <c r="O1953" s="564" t="s">
        <v>2099</v>
      </c>
      <c r="P1953" s="23"/>
      <c r="Q1953" s="23"/>
      <c r="R1953" s="23"/>
      <c r="S1953" s="23"/>
      <c r="T1953" s="23"/>
      <c r="U1953" s="23"/>
      <c r="V1953" s="23"/>
      <c r="W1953" s="23"/>
      <c r="X1953" s="23"/>
      <c r="Y1953" s="23"/>
      <c r="Z1953" s="23"/>
    </row>
    <row r="1954" spans="1:26" ht="13">
      <c r="A1954" s="562" t="s">
        <v>5112</v>
      </c>
      <c r="B1954" s="563" t="s">
        <v>5113</v>
      </c>
      <c r="C1954" s="564" t="s">
        <v>353</v>
      </c>
      <c r="D1954" s="565">
        <v>43654</v>
      </c>
      <c r="E1954" s="565">
        <v>43659</v>
      </c>
      <c r="F1954" s="566">
        <v>280000</v>
      </c>
      <c r="G1954" s="564" t="s">
        <v>1128</v>
      </c>
      <c r="H1954" s="564" t="s">
        <v>1128</v>
      </c>
      <c r="I1954" s="564" t="s">
        <v>45</v>
      </c>
      <c r="J1954" s="564" t="s">
        <v>1069</v>
      </c>
      <c r="K1954" s="564" t="s">
        <v>1090</v>
      </c>
      <c r="L1954" s="564" t="s">
        <v>2098</v>
      </c>
      <c r="M1954" s="564" t="s">
        <v>2098</v>
      </c>
      <c r="N1954" s="564" t="s">
        <v>45</v>
      </c>
      <c r="O1954" s="564" t="s">
        <v>2099</v>
      </c>
      <c r="P1954" s="23"/>
      <c r="Q1954" s="23"/>
      <c r="R1954" s="23"/>
      <c r="S1954" s="23"/>
      <c r="T1954" s="23"/>
      <c r="U1954" s="23"/>
      <c r="V1954" s="23"/>
      <c r="W1954" s="23"/>
      <c r="X1954" s="23"/>
      <c r="Y1954" s="23"/>
      <c r="Z1954" s="23"/>
    </row>
    <row r="1955" spans="1:26" ht="13">
      <c r="A1955" s="562" t="s">
        <v>5114</v>
      </c>
      <c r="B1955" s="563" t="s">
        <v>5115</v>
      </c>
      <c r="C1955" s="564" t="s">
        <v>1652</v>
      </c>
      <c r="D1955" s="565">
        <v>43654</v>
      </c>
      <c r="E1955" s="565">
        <v>43682</v>
      </c>
      <c r="F1955" s="566">
        <v>39724545</v>
      </c>
      <c r="G1955" s="564" t="s">
        <v>1623</v>
      </c>
      <c r="H1955" s="564" t="s">
        <v>1623</v>
      </c>
      <c r="I1955" s="564" t="s">
        <v>802</v>
      </c>
      <c r="J1955" s="564" t="s">
        <v>1069</v>
      </c>
      <c r="K1955" s="564" t="s">
        <v>1198</v>
      </c>
      <c r="L1955" s="564" t="s">
        <v>2098</v>
      </c>
      <c r="M1955" s="564" t="s">
        <v>2098</v>
      </c>
      <c r="N1955" s="564" t="s">
        <v>132</v>
      </c>
      <c r="O1955" s="564" t="s">
        <v>2099</v>
      </c>
      <c r="P1955" s="23"/>
      <c r="Q1955" s="23"/>
      <c r="R1955" s="23"/>
      <c r="S1955" s="23"/>
      <c r="T1955" s="23"/>
      <c r="U1955" s="23"/>
      <c r="V1955" s="23"/>
      <c r="W1955" s="23"/>
      <c r="X1955" s="23"/>
      <c r="Y1955" s="23"/>
      <c r="Z1955" s="23"/>
    </row>
    <row r="1956" spans="1:26" ht="13">
      <c r="A1956" s="562" t="s">
        <v>5116</v>
      </c>
      <c r="B1956" s="563" t="s">
        <v>5117</v>
      </c>
      <c r="C1956" s="564" t="s">
        <v>1652</v>
      </c>
      <c r="D1956" s="565">
        <v>43654</v>
      </c>
      <c r="E1956" s="565">
        <v>43682</v>
      </c>
      <c r="F1956" s="566">
        <v>34751818</v>
      </c>
      <c r="G1956" s="564" t="s">
        <v>1623</v>
      </c>
      <c r="H1956" s="564" t="s">
        <v>1623</v>
      </c>
      <c r="I1956" s="564" t="s">
        <v>802</v>
      </c>
      <c r="J1956" s="564" t="s">
        <v>1069</v>
      </c>
      <c r="K1956" s="564" t="s">
        <v>1198</v>
      </c>
      <c r="L1956" s="564" t="s">
        <v>2098</v>
      </c>
      <c r="M1956" s="564" t="s">
        <v>2098</v>
      </c>
      <c r="N1956" s="564" t="s">
        <v>132</v>
      </c>
      <c r="O1956" s="564" t="s">
        <v>2099</v>
      </c>
      <c r="P1956" s="23"/>
      <c r="Q1956" s="23"/>
      <c r="R1956" s="23"/>
      <c r="S1956" s="23"/>
      <c r="T1956" s="23"/>
      <c r="U1956" s="23"/>
      <c r="V1956" s="23"/>
      <c r="W1956" s="23"/>
      <c r="X1956" s="23"/>
      <c r="Y1956" s="23"/>
      <c r="Z1956" s="23"/>
    </row>
    <row r="1957" spans="1:26" ht="13">
      <c r="A1957" s="562" t="s">
        <v>5118</v>
      </c>
      <c r="B1957" s="563" t="s">
        <v>5119</v>
      </c>
      <c r="C1957" s="564" t="s">
        <v>1652</v>
      </c>
      <c r="D1957" s="565">
        <v>43651</v>
      </c>
      <c r="E1957" s="565">
        <v>43707</v>
      </c>
      <c r="F1957" s="566">
        <v>70196364</v>
      </c>
      <c r="G1957" s="564" t="s">
        <v>1623</v>
      </c>
      <c r="H1957" s="564" t="s">
        <v>1623</v>
      </c>
      <c r="I1957" s="564" t="s">
        <v>802</v>
      </c>
      <c r="J1957" s="564" t="s">
        <v>1069</v>
      </c>
      <c r="K1957" s="564" t="s">
        <v>1198</v>
      </c>
      <c r="L1957" s="564" t="s">
        <v>2098</v>
      </c>
      <c r="M1957" s="564" t="s">
        <v>2098</v>
      </c>
      <c r="N1957" s="564" t="s">
        <v>132</v>
      </c>
      <c r="O1957" s="564" t="s">
        <v>2099</v>
      </c>
      <c r="P1957" s="23"/>
      <c r="Q1957" s="23"/>
      <c r="R1957" s="23"/>
      <c r="S1957" s="23"/>
      <c r="T1957" s="23"/>
      <c r="U1957" s="23"/>
      <c r="V1957" s="23"/>
      <c r="W1957" s="23"/>
      <c r="X1957" s="23"/>
      <c r="Y1957" s="23"/>
      <c r="Z1957" s="23"/>
    </row>
    <row r="1958" spans="1:26" ht="13">
      <c r="A1958" s="562" t="s">
        <v>5120</v>
      </c>
      <c r="B1958" s="563" t="s">
        <v>5121</v>
      </c>
      <c r="C1958" s="564" t="s">
        <v>1475</v>
      </c>
      <c r="D1958" s="565">
        <v>43654</v>
      </c>
      <c r="E1958" s="565">
        <v>43658</v>
      </c>
      <c r="F1958" s="566">
        <v>850000</v>
      </c>
      <c r="G1958" s="564" t="s">
        <v>1293</v>
      </c>
      <c r="H1958" s="564" t="s">
        <v>1293</v>
      </c>
      <c r="I1958" s="564" t="s">
        <v>125</v>
      </c>
      <c r="J1958" s="564" t="s">
        <v>1069</v>
      </c>
      <c r="K1958" s="564" t="s">
        <v>1070</v>
      </c>
      <c r="L1958" s="564" t="s">
        <v>2098</v>
      </c>
      <c r="M1958" s="564" t="s">
        <v>2098</v>
      </c>
      <c r="N1958" s="564" t="s">
        <v>1073</v>
      </c>
      <c r="O1958" s="564" t="s">
        <v>2099</v>
      </c>
      <c r="P1958" s="23"/>
      <c r="Q1958" s="23"/>
      <c r="R1958" s="23"/>
      <c r="S1958" s="23"/>
      <c r="T1958" s="23"/>
      <c r="U1958" s="23"/>
      <c r="V1958" s="23"/>
      <c r="W1958" s="23"/>
      <c r="X1958" s="23"/>
      <c r="Y1958" s="23"/>
      <c r="Z1958" s="23"/>
    </row>
    <row r="1959" spans="1:26" ht="13">
      <c r="A1959" s="562" t="s">
        <v>5122</v>
      </c>
      <c r="B1959" s="563" t="s">
        <v>5123</v>
      </c>
      <c r="C1959" s="564" t="s">
        <v>353</v>
      </c>
      <c r="D1959" s="565">
        <v>43654</v>
      </c>
      <c r="E1959" s="565">
        <v>43661</v>
      </c>
      <c r="F1959" s="566">
        <v>7600320</v>
      </c>
      <c r="G1959" s="564" t="s">
        <v>1498</v>
      </c>
      <c r="H1959" s="564" t="s">
        <v>1498</v>
      </c>
      <c r="I1959" s="564" t="s">
        <v>45</v>
      </c>
      <c r="J1959" s="564" t="s">
        <v>1069</v>
      </c>
      <c r="K1959" s="564" t="s">
        <v>1090</v>
      </c>
      <c r="L1959" s="564" t="s">
        <v>1071</v>
      </c>
      <c r="M1959" s="564" t="s">
        <v>1183</v>
      </c>
      <c r="N1959" s="564" t="s">
        <v>45</v>
      </c>
      <c r="O1959" s="564" t="s">
        <v>1472</v>
      </c>
      <c r="P1959" s="23"/>
      <c r="Q1959" s="23"/>
      <c r="R1959" s="23"/>
      <c r="S1959" s="23"/>
      <c r="T1959" s="23"/>
      <c r="U1959" s="23"/>
      <c r="V1959" s="23"/>
      <c r="W1959" s="23"/>
      <c r="X1959" s="23"/>
      <c r="Y1959" s="23"/>
      <c r="Z1959" s="23"/>
    </row>
    <row r="1960" spans="1:26" ht="13">
      <c r="A1960" s="562" t="s">
        <v>5124</v>
      </c>
      <c r="B1960" s="563" t="s">
        <v>5125</v>
      </c>
      <c r="C1960" s="564" t="s">
        <v>1652</v>
      </c>
      <c r="D1960" s="565">
        <v>43651</v>
      </c>
      <c r="E1960" s="565">
        <v>43658</v>
      </c>
      <c r="F1960" s="566">
        <v>945000</v>
      </c>
      <c r="G1960" s="564" t="s">
        <v>1941</v>
      </c>
      <c r="H1960" s="564" t="s">
        <v>1941</v>
      </c>
      <c r="I1960" s="564" t="s">
        <v>70</v>
      </c>
      <c r="J1960" s="564" t="s">
        <v>1069</v>
      </c>
      <c r="K1960" s="564" t="s">
        <v>1120</v>
      </c>
      <c r="L1960" s="564" t="s">
        <v>2098</v>
      </c>
      <c r="M1960" s="564" t="s">
        <v>2098</v>
      </c>
      <c r="N1960" s="564" t="s">
        <v>70</v>
      </c>
      <c r="O1960" s="564" t="s">
        <v>2099</v>
      </c>
      <c r="P1960" s="23"/>
      <c r="Q1960" s="23"/>
      <c r="R1960" s="23"/>
      <c r="S1960" s="23"/>
      <c r="T1960" s="23"/>
      <c r="U1960" s="23"/>
      <c r="V1960" s="23"/>
      <c r="W1960" s="23"/>
      <c r="X1960" s="23"/>
      <c r="Y1960" s="23"/>
      <c r="Z1960" s="23"/>
    </row>
    <row r="1961" spans="1:26" ht="13">
      <c r="A1961" s="562" t="s">
        <v>5126</v>
      </c>
      <c r="B1961" s="563" t="s">
        <v>5080</v>
      </c>
      <c r="C1961" s="564" t="s">
        <v>353</v>
      </c>
      <c r="D1961" s="565">
        <v>43650</v>
      </c>
      <c r="E1961" s="565">
        <v>43708</v>
      </c>
      <c r="F1961" s="566">
        <v>152000</v>
      </c>
      <c r="G1961" s="564" t="s">
        <v>1498</v>
      </c>
      <c r="H1961" s="564" t="s">
        <v>1498</v>
      </c>
      <c r="I1961" s="564" t="s">
        <v>64</v>
      </c>
      <c r="J1961" s="564" t="s">
        <v>1069</v>
      </c>
      <c r="K1961" s="564" t="s">
        <v>1090</v>
      </c>
      <c r="L1961" s="564" t="s">
        <v>2098</v>
      </c>
      <c r="M1961" s="564" t="s">
        <v>2098</v>
      </c>
      <c r="N1961" s="564" t="s">
        <v>64</v>
      </c>
      <c r="O1961" s="564" t="s">
        <v>2099</v>
      </c>
      <c r="P1961" s="23"/>
      <c r="Q1961" s="23"/>
      <c r="R1961" s="23"/>
      <c r="S1961" s="23"/>
      <c r="T1961" s="23"/>
      <c r="U1961" s="23"/>
      <c r="V1961" s="23"/>
      <c r="W1961" s="23"/>
      <c r="X1961" s="23"/>
      <c r="Y1961" s="23"/>
      <c r="Z1961" s="23"/>
    </row>
    <row r="1962" spans="1:26" ht="13">
      <c r="A1962" s="562" t="s">
        <v>5127</v>
      </c>
      <c r="B1962" s="563" t="s">
        <v>5128</v>
      </c>
      <c r="C1962" s="564" t="s">
        <v>1076</v>
      </c>
      <c r="D1962" s="565">
        <v>43648</v>
      </c>
      <c r="E1962" s="565">
        <v>43738</v>
      </c>
      <c r="F1962" s="566">
        <v>1987000</v>
      </c>
      <c r="G1962" s="564" t="s">
        <v>1400</v>
      </c>
      <c r="H1962" s="564" t="s">
        <v>1400</v>
      </c>
      <c r="I1962" s="564" t="s">
        <v>4816</v>
      </c>
      <c r="J1962" s="564" t="s">
        <v>1069</v>
      </c>
      <c r="K1962" s="564" t="s">
        <v>1070</v>
      </c>
      <c r="L1962" s="564" t="s">
        <v>2098</v>
      </c>
      <c r="M1962" s="564" t="s">
        <v>2098</v>
      </c>
      <c r="N1962" s="564" t="s">
        <v>1082</v>
      </c>
      <c r="O1962" s="564" t="s">
        <v>2099</v>
      </c>
      <c r="P1962" s="23"/>
      <c r="Q1962" s="23"/>
      <c r="R1962" s="23"/>
      <c r="S1962" s="23"/>
      <c r="T1962" s="23"/>
      <c r="U1962" s="23"/>
      <c r="V1962" s="23"/>
      <c r="W1962" s="23"/>
      <c r="X1962" s="23"/>
      <c r="Y1962" s="23"/>
      <c r="Z1962" s="23"/>
    </row>
    <row r="1963" spans="1:26" ht="13">
      <c r="A1963" s="562" t="s">
        <v>5129</v>
      </c>
      <c r="B1963" s="563" t="s">
        <v>5130</v>
      </c>
      <c r="C1963" s="564" t="s">
        <v>353</v>
      </c>
      <c r="D1963" s="565">
        <v>43648</v>
      </c>
      <c r="E1963" s="565">
        <v>43655</v>
      </c>
      <c r="F1963" s="566">
        <v>2503000</v>
      </c>
      <c r="G1963" s="564" t="s">
        <v>1498</v>
      </c>
      <c r="H1963" s="564" t="s">
        <v>1498</v>
      </c>
      <c r="I1963" s="564" t="s">
        <v>45</v>
      </c>
      <c r="J1963" s="564" t="s">
        <v>1069</v>
      </c>
      <c r="K1963" s="564" t="s">
        <v>1090</v>
      </c>
      <c r="L1963" s="564" t="s">
        <v>2098</v>
      </c>
      <c r="M1963" s="564" t="s">
        <v>2098</v>
      </c>
      <c r="N1963" s="564" t="s">
        <v>45</v>
      </c>
      <c r="O1963" s="564" t="s">
        <v>2099</v>
      </c>
      <c r="P1963" s="23"/>
      <c r="Q1963" s="23"/>
      <c r="R1963" s="23"/>
      <c r="S1963" s="23"/>
      <c r="T1963" s="23"/>
      <c r="U1963" s="23"/>
      <c r="V1963" s="23"/>
      <c r="W1963" s="23"/>
      <c r="X1963" s="23"/>
      <c r="Y1963" s="23"/>
      <c r="Z1963" s="23"/>
    </row>
    <row r="1964" spans="1:26" ht="13">
      <c r="A1964" s="562" t="s">
        <v>5131</v>
      </c>
      <c r="B1964" s="563" t="s">
        <v>5132</v>
      </c>
      <c r="C1964" s="564" t="s">
        <v>353</v>
      </c>
      <c r="D1964" s="565">
        <v>43648</v>
      </c>
      <c r="E1964" s="565">
        <v>43651</v>
      </c>
      <c r="F1964" s="566">
        <v>2970000</v>
      </c>
      <c r="G1964" s="564" t="s">
        <v>1498</v>
      </c>
      <c r="H1964" s="564" t="s">
        <v>1498</v>
      </c>
      <c r="I1964" s="564" t="s">
        <v>45</v>
      </c>
      <c r="J1964" s="564" t="s">
        <v>1069</v>
      </c>
      <c r="K1964" s="564" t="s">
        <v>1090</v>
      </c>
      <c r="L1964" s="564" t="s">
        <v>2098</v>
      </c>
      <c r="M1964" s="564" t="s">
        <v>2098</v>
      </c>
      <c r="N1964" s="564" t="s">
        <v>45</v>
      </c>
      <c r="O1964" s="564" t="s">
        <v>2099</v>
      </c>
      <c r="P1964" s="23"/>
      <c r="Q1964" s="23"/>
      <c r="R1964" s="23"/>
      <c r="S1964" s="23"/>
      <c r="T1964" s="23"/>
      <c r="U1964" s="23"/>
      <c r="V1964" s="23"/>
      <c r="W1964" s="23"/>
      <c r="X1964" s="23"/>
      <c r="Y1964" s="23"/>
      <c r="Z1964" s="23"/>
    </row>
    <row r="1965" spans="1:26" ht="13">
      <c r="A1965" s="562" t="s">
        <v>5133</v>
      </c>
      <c r="B1965" s="563" t="s">
        <v>5134</v>
      </c>
      <c r="C1965" s="564" t="s">
        <v>1652</v>
      </c>
      <c r="D1965" s="565">
        <v>43647</v>
      </c>
      <c r="E1965" s="565">
        <v>43651</v>
      </c>
      <c r="F1965" s="566">
        <v>1360000</v>
      </c>
      <c r="G1965" s="564" t="s">
        <v>1941</v>
      </c>
      <c r="H1965" s="564" t="s">
        <v>1941</v>
      </c>
      <c r="I1965" s="564" t="s">
        <v>1637</v>
      </c>
      <c r="J1965" s="564" t="s">
        <v>1069</v>
      </c>
      <c r="K1965" s="564" t="s">
        <v>1120</v>
      </c>
      <c r="L1965" s="564" t="s">
        <v>2098</v>
      </c>
      <c r="M1965" s="564" t="s">
        <v>2098</v>
      </c>
      <c r="N1965" s="564" t="s">
        <v>1073</v>
      </c>
      <c r="O1965" s="564" t="s">
        <v>2099</v>
      </c>
      <c r="P1965" s="23"/>
      <c r="Q1965" s="23"/>
      <c r="R1965" s="23"/>
      <c r="S1965" s="23"/>
      <c r="T1965" s="23"/>
      <c r="U1965" s="23"/>
      <c r="V1965" s="23"/>
      <c r="W1965" s="23"/>
      <c r="X1965" s="23"/>
      <c r="Y1965" s="23"/>
      <c r="Z1965" s="23"/>
    </row>
    <row r="1966" spans="1:26" ht="13">
      <c r="A1966" s="562" t="s">
        <v>5135</v>
      </c>
      <c r="B1966" s="563" t="s">
        <v>5136</v>
      </c>
      <c r="C1966" s="564" t="s">
        <v>1076</v>
      </c>
      <c r="D1966" s="565">
        <v>43644</v>
      </c>
      <c r="E1966" s="565">
        <v>43707</v>
      </c>
      <c r="F1966" s="566">
        <v>171000</v>
      </c>
      <c r="G1966" s="564" t="s">
        <v>1400</v>
      </c>
      <c r="H1966" s="564" t="s">
        <v>1400</v>
      </c>
      <c r="I1966" s="564" t="s">
        <v>4816</v>
      </c>
      <c r="J1966" s="564" t="s">
        <v>1069</v>
      </c>
      <c r="K1966" s="564" t="s">
        <v>1070</v>
      </c>
      <c r="L1966" s="564" t="s">
        <v>2098</v>
      </c>
      <c r="M1966" s="564" t="s">
        <v>2098</v>
      </c>
      <c r="N1966" s="564" t="s">
        <v>1082</v>
      </c>
      <c r="O1966" s="564" t="s">
        <v>2099</v>
      </c>
      <c r="P1966" s="23"/>
      <c r="Q1966" s="23"/>
      <c r="R1966" s="23"/>
      <c r="S1966" s="23"/>
      <c r="T1966" s="23"/>
      <c r="U1966" s="23"/>
      <c r="V1966" s="23"/>
      <c r="W1966" s="23"/>
      <c r="X1966" s="23"/>
      <c r="Y1966" s="23"/>
      <c r="Z1966" s="23"/>
    </row>
    <row r="1967" spans="1:26" ht="13">
      <c r="A1967" s="562" t="s">
        <v>5137</v>
      </c>
      <c r="B1967" s="563" t="s">
        <v>5136</v>
      </c>
      <c r="C1967" s="564" t="s">
        <v>1076</v>
      </c>
      <c r="D1967" s="565">
        <v>43643</v>
      </c>
      <c r="E1967" s="565">
        <v>43707</v>
      </c>
      <c r="F1967" s="566">
        <v>1096000</v>
      </c>
      <c r="G1967" s="564" t="s">
        <v>1400</v>
      </c>
      <c r="H1967" s="564" t="s">
        <v>1400</v>
      </c>
      <c r="I1967" s="564" t="s">
        <v>4816</v>
      </c>
      <c r="J1967" s="564" t="s">
        <v>1069</v>
      </c>
      <c r="K1967" s="564" t="s">
        <v>1070</v>
      </c>
      <c r="L1967" s="564" t="s">
        <v>2098</v>
      </c>
      <c r="M1967" s="564" t="s">
        <v>2098</v>
      </c>
      <c r="N1967" s="564" t="s">
        <v>1082</v>
      </c>
      <c r="O1967" s="564" t="s">
        <v>2099</v>
      </c>
      <c r="P1967" s="23"/>
      <c r="Q1967" s="23"/>
      <c r="R1967" s="23"/>
      <c r="S1967" s="23"/>
      <c r="T1967" s="23"/>
      <c r="U1967" s="23"/>
      <c r="V1967" s="23"/>
      <c r="W1967" s="23"/>
      <c r="X1967" s="23"/>
      <c r="Y1967" s="23"/>
      <c r="Z1967" s="23"/>
    </row>
    <row r="1968" spans="1:26" ht="13">
      <c r="A1968" s="562" t="s">
        <v>5138</v>
      </c>
      <c r="B1968" s="563" t="s">
        <v>5139</v>
      </c>
      <c r="C1968" s="564" t="s">
        <v>1652</v>
      </c>
      <c r="D1968" s="565">
        <v>43643</v>
      </c>
      <c r="E1968" s="565">
        <v>43646</v>
      </c>
      <c r="F1968" s="566">
        <v>7982000</v>
      </c>
      <c r="G1968" s="564" t="s">
        <v>1941</v>
      </c>
      <c r="H1968" s="564" t="s">
        <v>1941</v>
      </c>
      <c r="I1968" s="564" t="s">
        <v>70</v>
      </c>
      <c r="J1968" s="564" t="s">
        <v>1069</v>
      </c>
      <c r="K1968" s="564" t="s">
        <v>1120</v>
      </c>
      <c r="L1968" s="564" t="s">
        <v>2098</v>
      </c>
      <c r="M1968" s="564" t="s">
        <v>2098</v>
      </c>
      <c r="N1968" s="564" t="s">
        <v>70</v>
      </c>
      <c r="O1968" s="564" t="s">
        <v>2099</v>
      </c>
      <c r="P1968" s="23"/>
      <c r="Q1968" s="23"/>
      <c r="R1968" s="23"/>
      <c r="S1968" s="23"/>
      <c r="T1968" s="23"/>
      <c r="U1968" s="23"/>
      <c r="V1968" s="23"/>
      <c r="W1968" s="23"/>
      <c r="X1968" s="23"/>
      <c r="Y1968" s="23"/>
      <c r="Z1968" s="23"/>
    </row>
    <row r="1969" spans="1:26" ht="13">
      <c r="A1969" s="562" t="s">
        <v>5140</v>
      </c>
      <c r="B1969" s="563" t="s">
        <v>5141</v>
      </c>
      <c r="C1969" s="564" t="s">
        <v>1076</v>
      </c>
      <c r="D1969" s="565">
        <v>43640</v>
      </c>
      <c r="E1969" s="565">
        <v>43707</v>
      </c>
      <c r="F1969" s="566">
        <v>528000</v>
      </c>
      <c r="G1969" s="564" t="s">
        <v>1400</v>
      </c>
      <c r="H1969" s="564" t="s">
        <v>1400</v>
      </c>
      <c r="I1969" s="564" t="s">
        <v>4816</v>
      </c>
      <c r="J1969" s="564" t="s">
        <v>1069</v>
      </c>
      <c r="K1969" s="564" t="s">
        <v>1070</v>
      </c>
      <c r="L1969" s="564" t="s">
        <v>2098</v>
      </c>
      <c r="M1969" s="564" t="s">
        <v>2098</v>
      </c>
      <c r="N1969" s="564" t="s">
        <v>1082</v>
      </c>
      <c r="O1969" s="564" t="s">
        <v>2099</v>
      </c>
      <c r="P1969" s="23"/>
      <c r="Q1969" s="23"/>
      <c r="R1969" s="23"/>
      <c r="S1969" s="23"/>
      <c r="T1969" s="23"/>
      <c r="U1969" s="23"/>
      <c r="V1969" s="23"/>
      <c r="W1969" s="23"/>
      <c r="X1969" s="23"/>
      <c r="Y1969" s="23"/>
      <c r="Z1969" s="23"/>
    </row>
    <row r="1970" spans="1:26" ht="13">
      <c r="A1970" s="562" t="s">
        <v>5142</v>
      </c>
      <c r="B1970" s="563" t="s">
        <v>5143</v>
      </c>
      <c r="C1970" s="564" t="s">
        <v>353</v>
      </c>
      <c r="D1970" s="565">
        <v>43641</v>
      </c>
      <c r="E1970" s="565">
        <v>43649</v>
      </c>
      <c r="F1970" s="566">
        <v>8140000</v>
      </c>
      <c r="G1970" s="564" t="s">
        <v>1498</v>
      </c>
      <c r="H1970" s="564" t="s">
        <v>1498</v>
      </c>
      <c r="I1970" s="564" t="s">
        <v>45</v>
      </c>
      <c r="J1970" s="564" t="s">
        <v>1069</v>
      </c>
      <c r="K1970" s="564" t="s">
        <v>1090</v>
      </c>
      <c r="L1970" s="564" t="s">
        <v>2098</v>
      </c>
      <c r="M1970" s="564" t="s">
        <v>2098</v>
      </c>
      <c r="N1970" s="564" t="s">
        <v>45</v>
      </c>
      <c r="O1970" s="564" t="s">
        <v>2099</v>
      </c>
      <c r="P1970" s="23"/>
      <c r="Q1970" s="23"/>
      <c r="R1970" s="23"/>
      <c r="S1970" s="23"/>
      <c r="T1970" s="23"/>
      <c r="U1970" s="23"/>
      <c r="V1970" s="23"/>
      <c r="W1970" s="23"/>
      <c r="X1970" s="23"/>
      <c r="Y1970" s="23"/>
      <c r="Z1970" s="23"/>
    </row>
    <row r="1971" spans="1:26" ht="13">
      <c r="A1971" s="562" t="s">
        <v>5144</v>
      </c>
      <c r="B1971" s="563" t="s">
        <v>5145</v>
      </c>
      <c r="C1971" s="564" t="s">
        <v>1652</v>
      </c>
      <c r="D1971" s="565">
        <v>43640</v>
      </c>
      <c r="E1971" s="565">
        <v>43669</v>
      </c>
      <c r="F1971" s="566">
        <v>18770000</v>
      </c>
      <c r="G1971" s="564" t="s">
        <v>1623</v>
      </c>
      <c r="H1971" s="564" t="s">
        <v>1623</v>
      </c>
      <c r="I1971" s="564" t="s">
        <v>802</v>
      </c>
      <c r="J1971" s="564" t="s">
        <v>1069</v>
      </c>
      <c r="K1971" s="564" t="s">
        <v>1198</v>
      </c>
      <c r="L1971" s="564" t="s">
        <v>2098</v>
      </c>
      <c r="M1971" s="564" t="s">
        <v>2098</v>
      </c>
      <c r="N1971" s="564" t="s">
        <v>132</v>
      </c>
      <c r="O1971" s="564" t="s">
        <v>2099</v>
      </c>
      <c r="P1971" s="23"/>
      <c r="Q1971" s="23"/>
      <c r="R1971" s="23"/>
      <c r="S1971" s="23"/>
      <c r="T1971" s="23"/>
      <c r="U1971" s="23"/>
      <c r="V1971" s="23"/>
      <c r="W1971" s="23"/>
      <c r="X1971" s="23"/>
      <c r="Y1971" s="23"/>
      <c r="Z1971" s="23"/>
    </row>
    <row r="1972" spans="1:26" ht="13">
      <c r="A1972" s="562" t="s">
        <v>5146</v>
      </c>
      <c r="B1972" s="563" t="s">
        <v>5147</v>
      </c>
      <c r="C1972" s="564" t="s">
        <v>1076</v>
      </c>
      <c r="D1972" s="565">
        <v>43636</v>
      </c>
      <c r="E1972" s="565">
        <v>43707</v>
      </c>
      <c r="F1972" s="566">
        <v>4472000</v>
      </c>
      <c r="G1972" s="564" t="s">
        <v>1400</v>
      </c>
      <c r="H1972" s="564" t="s">
        <v>1400</v>
      </c>
      <c r="I1972" s="564" t="s">
        <v>4816</v>
      </c>
      <c r="J1972" s="564" t="s">
        <v>1069</v>
      </c>
      <c r="K1972" s="564" t="s">
        <v>1070</v>
      </c>
      <c r="L1972" s="564" t="s">
        <v>2098</v>
      </c>
      <c r="M1972" s="564" t="s">
        <v>2098</v>
      </c>
      <c r="N1972" s="564" t="s">
        <v>1082</v>
      </c>
      <c r="O1972" s="564" t="s">
        <v>2099</v>
      </c>
      <c r="P1972" s="23"/>
      <c r="Q1972" s="23"/>
      <c r="R1972" s="23"/>
      <c r="S1972" s="23"/>
      <c r="T1972" s="23"/>
      <c r="U1972" s="23"/>
      <c r="V1972" s="23"/>
      <c r="W1972" s="23"/>
      <c r="X1972" s="23"/>
      <c r="Y1972" s="23"/>
      <c r="Z1972" s="23"/>
    </row>
    <row r="1973" spans="1:26" ht="13">
      <c r="A1973" s="562" t="s">
        <v>5148</v>
      </c>
      <c r="B1973" s="563" t="s">
        <v>5149</v>
      </c>
      <c r="C1973" s="564" t="s">
        <v>1076</v>
      </c>
      <c r="D1973" s="565">
        <v>43637</v>
      </c>
      <c r="E1973" s="565">
        <v>43707</v>
      </c>
      <c r="F1973" s="566">
        <v>1632000</v>
      </c>
      <c r="G1973" s="564" t="s">
        <v>1400</v>
      </c>
      <c r="H1973" s="564" t="s">
        <v>1400</v>
      </c>
      <c r="I1973" s="564" t="s">
        <v>4816</v>
      </c>
      <c r="J1973" s="564" t="s">
        <v>1069</v>
      </c>
      <c r="K1973" s="564" t="s">
        <v>1070</v>
      </c>
      <c r="L1973" s="564" t="s">
        <v>2098</v>
      </c>
      <c r="M1973" s="564" t="s">
        <v>2098</v>
      </c>
      <c r="N1973" s="564" t="s">
        <v>1082</v>
      </c>
      <c r="O1973" s="564" t="s">
        <v>2099</v>
      </c>
      <c r="P1973" s="23"/>
      <c r="Q1973" s="23"/>
      <c r="R1973" s="23"/>
      <c r="S1973" s="23"/>
      <c r="T1973" s="23"/>
      <c r="U1973" s="23"/>
      <c r="V1973" s="23"/>
      <c r="W1973" s="23"/>
      <c r="X1973" s="23"/>
      <c r="Y1973" s="23"/>
      <c r="Z1973" s="23"/>
    </row>
    <row r="1974" spans="1:26" ht="13">
      <c r="A1974" s="562" t="s">
        <v>5150</v>
      </c>
      <c r="B1974" s="563" t="s">
        <v>5151</v>
      </c>
      <c r="C1974" s="564" t="s">
        <v>1652</v>
      </c>
      <c r="D1974" s="565">
        <v>43640</v>
      </c>
      <c r="E1974" s="565">
        <v>43651</v>
      </c>
      <c r="F1974" s="566">
        <v>176000</v>
      </c>
      <c r="G1974" s="564" t="s">
        <v>1941</v>
      </c>
      <c r="H1974" s="564" t="s">
        <v>1941</v>
      </c>
      <c r="I1974" s="564" t="s">
        <v>1637</v>
      </c>
      <c r="J1974" s="564" t="s">
        <v>1069</v>
      </c>
      <c r="K1974" s="564" t="s">
        <v>1120</v>
      </c>
      <c r="L1974" s="564" t="s">
        <v>2098</v>
      </c>
      <c r="M1974" s="564" t="s">
        <v>2098</v>
      </c>
      <c r="N1974" s="564" t="s">
        <v>1073</v>
      </c>
      <c r="O1974" s="564" t="s">
        <v>2099</v>
      </c>
      <c r="P1974" s="23"/>
      <c r="Q1974" s="23"/>
      <c r="R1974" s="23"/>
      <c r="S1974" s="23"/>
      <c r="T1974" s="23"/>
      <c r="U1974" s="23"/>
      <c r="V1974" s="23"/>
      <c r="W1974" s="23"/>
      <c r="X1974" s="23"/>
      <c r="Y1974" s="23"/>
      <c r="Z1974" s="23"/>
    </row>
    <row r="1975" spans="1:26" ht="13">
      <c r="A1975" s="562" t="s">
        <v>5152</v>
      </c>
      <c r="B1975" s="563" t="s">
        <v>4591</v>
      </c>
      <c r="C1975" s="564" t="s">
        <v>353</v>
      </c>
      <c r="D1975" s="565">
        <v>43640</v>
      </c>
      <c r="E1975" s="565">
        <v>43651</v>
      </c>
      <c r="F1975" s="566">
        <v>3600000</v>
      </c>
      <c r="G1975" s="564" t="s">
        <v>1498</v>
      </c>
      <c r="H1975" s="564" t="s">
        <v>1498</v>
      </c>
      <c r="I1975" s="564" t="s">
        <v>64</v>
      </c>
      <c r="J1975" s="564" t="s">
        <v>1069</v>
      </c>
      <c r="K1975" s="564" t="s">
        <v>1090</v>
      </c>
      <c r="L1975" s="564" t="s">
        <v>2098</v>
      </c>
      <c r="M1975" s="564" t="s">
        <v>2098</v>
      </c>
      <c r="N1975" s="564" t="s">
        <v>64</v>
      </c>
      <c r="O1975" s="564" t="s">
        <v>2099</v>
      </c>
      <c r="P1975" s="23"/>
      <c r="Q1975" s="23"/>
      <c r="R1975" s="23"/>
      <c r="S1975" s="23"/>
      <c r="T1975" s="23"/>
      <c r="U1975" s="23"/>
      <c r="V1975" s="23"/>
      <c r="W1975" s="23"/>
      <c r="X1975" s="23"/>
      <c r="Y1975" s="23"/>
      <c r="Z1975" s="23"/>
    </row>
    <row r="1976" spans="1:26" ht="13">
      <c r="A1976" s="562" t="s">
        <v>5153</v>
      </c>
      <c r="B1976" s="563" t="s">
        <v>5154</v>
      </c>
      <c r="C1976" s="564" t="s">
        <v>353</v>
      </c>
      <c r="D1976" s="565">
        <v>43640</v>
      </c>
      <c r="E1976" s="565">
        <v>43651</v>
      </c>
      <c r="F1976" s="566">
        <v>16200000</v>
      </c>
      <c r="G1976" s="564" t="s">
        <v>1498</v>
      </c>
      <c r="H1976" s="564" t="s">
        <v>1498</v>
      </c>
      <c r="I1976" s="564" t="s">
        <v>45</v>
      </c>
      <c r="J1976" s="564" t="s">
        <v>1069</v>
      </c>
      <c r="K1976" s="564" t="s">
        <v>1090</v>
      </c>
      <c r="L1976" s="564" t="s">
        <v>2098</v>
      </c>
      <c r="M1976" s="564" t="s">
        <v>2098</v>
      </c>
      <c r="N1976" s="564" t="s">
        <v>45</v>
      </c>
      <c r="O1976" s="564" t="s">
        <v>2099</v>
      </c>
      <c r="P1976" s="23"/>
      <c r="Q1976" s="23"/>
      <c r="R1976" s="23"/>
      <c r="S1976" s="23"/>
      <c r="T1976" s="23"/>
      <c r="U1976" s="23"/>
      <c r="V1976" s="23"/>
      <c r="W1976" s="23"/>
      <c r="X1976" s="23"/>
      <c r="Y1976" s="23"/>
      <c r="Z1976" s="23"/>
    </row>
    <row r="1977" spans="1:26" ht="13">
      <c r="A1977" s="562" t="s">
        <v>5155</v>
      </c>
      <c r="B1977" s="563" t="s">
        <v>5156</v>
      </c>
      <c r="C1977" s="564" t="s">
        <v>353</v>
      </c>
      <c r="D1977" s="565">
        <v>43636</v>
      </c>
      <c r="E1977" s="565">
        <v>43656</v>
      </c>
      <c r="F1977" s="566">
        <v>152000</v>
      </c>
      <c r="G1977" s="564" t="s">
        <v>1498</v>
      </c>
      <c r="H1977" s="564" t="s">
        <v>1498</v>
      </c>
      <c r="I1977" s="564" t="s">
        <v>64</v>
      </c>
      <c r="J1977" s="564" t="s">
        <v>1069</v>
      </c>
      <c r="K1977" s="564" t="s">
        <v>1090</v>
      </c>
      <c r="L1977" s="564" t="s">
        <v>2098</v>
      </c>
      <c r="M1977" s="564" t="s">
        <v>2098</v>
      </c>
      <c r="N1977" s="564" t="s">
        <v>64</v>
      </c>
      <c r="O1977" s="564" t="s">
        <v>2099</v>
      </c>
      <c r="P1977" s="23"/>
      <c r="Q1977" s="23"/>
      <c r="R1977" s="23"/>
      <c r="S1977" s="23"/>
      <c r="T1977" s="23"/>
      <c r="U1977" s="23"/>
      <c r="V1977" s="23"/>
      <c r="W1977" s="23"/>
      <c r="X1977" s="23"/>
      <c r="Y1977" s="23"/>
      <c r="Z1977" s="23"/>
    </row>
    <row r="1978" spans="1:26" ht="13">
      <c r="A1978" s="562" t="s">
        <v>5157</v>
      </c>
      <c r="B1978" s="563" t="s">
        <v>5158</v>
      </c>
      <c r="C1978" s="564" t="s">
        <v>353</v>
      </c>
      <c r="D1978" s="565">
        <v>43636</v>
      </c>
      <c r="E1978" s="565">
        <v>43646</v>
      </c>
      <c r="F1978" s="566">
        <v>12813000</v>
      </c>
      <c r="G1978" s="564" t="s">
        <v>1498</v>
      </c>
      <c r="H1978" s="564" t="s">
        <v>1498</v>
      </c>
      <c r="I1978" s="564" t="s">
        <v>45</v>
      </c>
      <c r="J1978" s="564" t="s">
        <v>1069</v>
      </c>
      <c r="K1978" s="564" t="s">
        <v>1090</v>
      </c>
      <c r="L1978" s="564" t="s">
        <v>2098</v>
      </c>
      <c r="M1978" s="564" t="s">
        <v>2098</v>
      </c>
      <c r="N1978" s="564" t="s">
        <v>45</v>
      </c>
      <c r="O1978" s="564" t="s">
        <v>2099</v>
      </c>
      <c r="P1978" s="23"/>
      <c r="Q1978" s="23"/>
      <c r="R1978" s="23"/>
      <c r="S1978" s="23"/>
      <c r="T1978" s="23"/>
      <c r="U1978" s="23"/>
      <c r="V1978" s="23"/>
      <c r="W1978" s="23"/>
      <c r="X1978" s="23"/>
      <c r="Y1978" s="23"/>
      <c r="Z1978" s="23"/>
    </row>
    <row r="1979" spans="1:26" ht="13">
      <c r="A1979" s="562" t="s">
        <v>5159</v>
      </c>
      <c r="B1979" s="563" t="s">
        <v>5160</v>
      </c>
      <c r="C1979" s="564" t="s">
        <v>353</v>
      </c>
      <c r="D1979" s="565">
        <v>43636</v>
      </c>
      <c r="E1979" s="565">
        <v>43666</v>
      </c>
      <c r="F1979" s="566">
        <v>1352000</v>
      </c>
      <c r="G1979" s="564" t="s">
        <v>1941</v>
      </c>
      <c r="H1979" s="564" t="s">
        <v>1941</v>
      </c>
      <c r="I1979" s="564" t="s">
        <v>1230</v>
      </c>
      <c r="J1979" s="564" t="s">
        <v>1069</v>
      </c>
      <c r="K1979" s="564" t="s">
        <v>1090</v>
      </c>
      <c r="L1979" s="564" t="s">
        <v>2098</v>
      </c>
      <c r="M1979" s="564" t="s">
        <v>2098</v>
      </c>
      <c r="N1979" s="564" t="s">
        <v>1073</v>
      </c>
      <c r="O1979" s="564" t="s">
        <v>2099</v>
      </c>
      <c r="P1979" s="23"/>
      <c r="Q1979" s="23"/>
      <c r="R1979" s="23"/>
      <c r="S1979" s="23"/>
      <c r="T1979" s="23"/>
      <c r="U1979" s="23"/>
      <c r="V1979" s="23"/>
      <c r="W1979" s="23"/>
      <c r="X1979" s="23"/>
      <c r="Y1979" s="23"/>
      <c r="Z1979" s="23"/>
    </row>
    <row r="1980" spans="1:26" ht="13">
      <c r="A1980" s="562" t="s">
        <v>5161</v>
      </c>
      <c r="B1980" s="563" t="s">
        <v>5162</v>
      </c>
      <c r="C1980" s="564" t="s">
        <v>353</v>
      </c>
      <c r="D1980" s="565">
        <v>43635</v>
      </c>
      <c r="E1980" s="565">
        <v>43646</v>
      </c>
      <c r="F1980" s="566">
        <v>35230000</v>
      </c>
      <c r="G1980" s="564" t="s">
        <v>1498</v>
      </c>
      <c r="H1980" s="564" t="s">
        <v>1498</v>
      </c>
      <c r="I1980" s="564" t="s">
        <v>45</v>
      </c>
      <c r="J1980" s="564" t="s">
        <v>1069</v>
      </c>
      <c r="K1980" s="564" t="s">
        <v>1090</v>
      </c>
      <c r="L1980" s="564" t="s">
        <v>2098</v>
      </c>
      <c r="M1980" s="564" t="s">
        <v>2098</v>
      </c>
      <c r="N1980" s="564" t="s">
        <v>45</v>
      </c>
      <c r="O1980" s="564" t="s">
        <v>2099</v>
      </c>
      <c r="P1980" s="23"/>
      <c r="Q1980" s="23"/>
      <c r="R1980" s="23"/>
      <c r="S1980" s="23"/>
      <c r="T1980" s="23"/>
      <c r="U1980" s="23"/>
      <c r="V1980" s="23"/>
      <c r="W1980" s="23"/>
      <c r="X1980" s="23"/>
      <c r="Y1980" s="23"/>
      <c r="Z1980" s="23"/>
    </row>
    <row r="1981" spans="1:26" ht="13">
      <c r="A1981" s="562" t="s">
        <v>5163</v>
      </c>
      <c r="B1981" s="563" t="s">
        <v>5164</v>
      </c>
      <c r="C1981" s="564" t="s">
        <v>1652</v>
      </c>
      <c r="D1981" s="565">
        <v>43630</v>
      </c>
      <c r="E1981" s="565">
        <v>43633</v>
      </c>
      <c r="F1981" s="566">
        <v>1998000</v>
      </c>
      <c r="G1981" s="564" t="s">
        <v>1941</v>
      </c>
      <c r="H1981" s="564" t="s">
        <v>1941</v>
      </c>
      <c r="I1981" s="564" t="s">
        <v>70</v>
      </c>
      <c r="J1981" s="564" t="s">
        <v>1069</v>
      </c>
      <c r="K1981" s="564" t="s">
        <v>1120</v>
      </c>
      <c r="L1981" s="564" t="s">
        <v>2098</v>
      </c>
      <c r="M1981" s="564" t="s">
        <v>2098</v>
      </c>
      <c r="N1981" s="564" t="s">
        <v>70</v>
      </c>
      <c r="O1981" s="564" t="s">
        <v>2099</v>
      </c>
      <c r="P1981" s="23"/>
      <c r="Q1981" s="23"/>
      <c r="R1981" s="23"/>
      <c r="S1981" s="23"/>
      <c r="T1981" s="23"/>
      <c r="U1981" s="23"/>
      <c r="V1981" s="23"/>
      <c r="W1981" s="23"/>
      <c r="X1981" s="23"/>
      <c r="Y1981" s="23"/>
      <c r="Z1981" s="23"/>
    </row>
    <row r="1982" spans="1:26" ht="13">
      <c r="A1982" s="562" t="s">
        <v>5165</v>
      </c>
      <c r="B1982" s="563" t="s">
        <v>5166</v>
      </c>
      <c r="C1982" s="564" t="s">
        <v>353</v>
      </c>
      <c r="D1982" s="565">
        <v>43627</v>
      </c>
      <c r="E1982" s="565">
        <v>43630</v>
      </c>
      <c r="F1982" s="566">
        <v>387554000</v>
      </c>
      <c r="G1982" s="564" t="s">
        <v>1128</v>
      </c>
      <c r="H1982" s="564" t="s">
        <v>1128</v>
      </c>
      <c r="I1982" s="564" t="s">
        <v>45</v>
      </c>
      <c r="J1982" s="564" t="s">
        <v>1069</v>
      </c>
      <c r="K1982" s="564" t="s">
        <v>1090</v>
      </c>
      <c r="L1982" s="564" t="s">
        <v>2098</v>
      </c>
      <c r="M1982" s="564" t="s">
        <v>2098</v>
      </c>
      <c r="N1982" s="564" t="s">
        <v>45</v>
      </c>
      <c r="O1982" s="564" t="s">
        <v>2099</v>
      </c>
      <c r="P1982" s="23"/>
      <c r="Q1982" s="23"/>
      <c r="R1982" s="23"/>
      <c r="S1982" s="23"/>
      <c r="T1982" s="23"/>
      <c r="U1982" s="23"/>
      <c r="V1982" s="23"/>
      <c r="W1982" s="23"/>
      <c r="X1982" s="23"/>
      <c r="Y1982" s="23"/>
      <c r="Z1982" s="23"/>
    </row>
    <row r="1983" spans="1:26" ht="13">
      <c r="A1983" s="562" t="s">
        <v>5167</v>
      </c>
      <c r="B1983" s="563" t="s">
        <v>5168</v>
      </c>
      <c r="C1983" s="564" t="s">
        <v>353</v>
      </c>
      <c r="D1983" s="565">
        <v>43627</v>
      </c>
      <c r="E1983" s="565">
        <v>43630</v>
      </c>
      <c r="F1983" s="566">
        <v>58889000</v>
      </c>
      <c r="G1983" s="564" t="s">
        <v>1128</v>
      </c>
      <c r="H1983" s="564" t="s">
        <v>1128</v>
      </c>
      <c r="I1983" s="564" t="s">
        <v>45</v>
      </c>
      <c r="J1983" s="564" t="s">
        <v>1069</v>
      </c>
      <c r="K1983" s="564" t="s">
        <v>1090</v>
      </c>
      <c r="L1983" s="564" t="s">
        <v>2098</v>
      </c>
      <c r="M1983" s="564" t="s">
        <v>2098</v>
      </c>
      <c r="N1983" s="564" t="s">
        <v>45</v>
      </c>
      <c r="O1983" s="564" t="s">
        <v>2099</v>
      </c>
      <c r="P1983" s="23"/>
      <c r="Q1983" s="23"/>
      <c r="R1983" s="23"/>
      <c r="S1983" s="23"/>
      <c r="T1983" s="23"/>
      <c r="U1983" s="23"/>
      <c r="V1983" s="23"/>
      <c r="W1983" s="23"/>
      <c r="X1983" s="23"/>
      <c r="Y1983" s="23"/>
      <c r="Z1983" s="23"/>
    </row>
    <row r="1984" spans="1:26" ht="13">
      <c r="A1984" s="562" t="s">
        <v>5169</v>
      </c>
      <c r="B1984" s="563" t="s">
        <v>5170</v>
      </c>
      <c r="C1984" s="564" t="s">
        <v>353</v>
      </c>
      <c r="D1984" s="565">
        <v>43627</v>
      </c>
      <c r="E1984" s="565">
        <v>43630</v>
      </c>
      <c r="F1984" s="566">
        <v>75450000</v>
      </c>
      <c r="G1984" s="564" t="s">
        <v>1128</v>
      </c>
      <c r="H1984" s="564" t="s">
        <v>1128</v>
      </c>
      <c r="I1984" s="564" t="s">
        <v>45</v>
      </c>
      <c r="J1984" s="564" t="s">
        <v>1069</v>
      </c>
      <c r="K1984" s="564" t="s">
        <v>1090</v>
      </c>
      <c r="L1984" s="564" t="s">
        <v>2098</v>
      </c>
      <c r="M1984" s="564" t="s">
        <v>2098</v>
      </c>
      <c r="N1984" s="564" t="s">
        <v>45</v>
      </c>
      <c r="O1984" s="564" t="s">
        <v>2099</v>
      </c>
      <c r="P1984" s="23"/>
      <c r="Q1984" s="23"/>
      <c r="R1984" s="23"/>
      <c r="S1984" s="23"/>
      <c r="T1984" s="23"/>
      <c r="U1984" s="23"/>
      <c r="V1984" s="23"/>
      <c r="W1984" s="23"/>
      <c r="X1984" s="23"/>
      <c r="Y1984" s="23"/>
      <c r="Z1984" s="23"/>
    </row>
    <row r="1985" spans="1:26" ht="13">
      <c r="A1985" s="562" t="s">
        <v>5171</v>
      </c>
      <c r="B1985" s="563" t="s">
        <v>5172</v>
      </c>
      <c r="C1985" s="564" t="s">
        <v>353</v>
      </c>
      <c r="D1985" s="565">
        <v>43627</v>
      </c>
      <c r="E1985" s="565">
        <v>43630</v>
      </c>
      <c r="F1985" s="566">
        <v>19600000</v>
      </c>
      <c r="G1985" s="564" t="s">
        <v>1128</v>
      </c>
      <c r="H1985" s="564" t="s">
        <v>1128</v>
      </c>
      <c r="I1985" s="564" t="s">
        <v>45</v>
      </c>
      <c r="J1985" s="564" t="s">
        <v>1069</v>
      </c>
      <c r="K1985" s="564" t="s">
        <v>1090</v>
      </c>
      <c r="L1985" s="564" t="s">
        <v>2098</v>
      </c>
      <c r="M1985" s="564" t="s">
        <v>2098</v>
      </c>
      <c r="N1985" s="564" t="s">
        <v>45</v>
      </c>
      <c r="O1985" s="564" t="s">
        <v>2099</v>
      </c>
      <c r="P1985" s="23"/>
      <c r="Q1985" s="23"/>
      <c r="R1985" s="23"/>
      <c r="S1985" s="23"/>
      <c r="T1985" s="23"/>
      <c r="U1985" s="23"/>
      <c r="V1985" s="23"/>
      <c r="W1985" s="23"/>
      <c r="X1985" s="23"/>
      <c r="Y1985" s="23"/>
      <c r="Z1985" s="23"/>
    </row>
    <row r="1986" spans="1:26" ht="13">
      <c r="A1986" s="562" t="s">
        <v>5173</v>
      </c>
      <c r="B1986" s="563" t="s">
        <v>5174</v>
      </c>
      <c r="C1986" s="564" t="s">
        <v>353</v>
      </c>
      <c r="D1986" s="565">
        <v>43627</v>
      </c>
      <c r="E1986" s="565">
        <v>43630</v>
      </c>
      <c r="F1986" s="566">
        <v>28358000</v>
      </c>
      <c r="G1986" s="564" t="s">
        <v>1128</v>
      </c>
      <c r="H1986" s="564" t="s">
        <v>1128</v>
      </c>
      <c r="I1986" s="564" t="s">
        <v>45</v>
      </c>
      <c r="J1986" s="564" t="s">
        <v>1069</v>
      </c>
      <c r="K1986" s="564" t="s">
        <v>1090</v>
      </c>
      <c r="L1986" s="564" t="s">
        <v>2098</v>
      </c>
      <c r="M1986" s="564" t="s">
        <v>2098</v>
      </c>
      <c r="N1986" s="564" t="s">
        <v>45</v>
      </c>
      <c r="O1986" s="564" t="s">
        <v>2099</v>
      </c>
      <c r="P1986" s="23"/>
      <c r="Q1986" s="23"/>
      <c r="R1986" s="23"/>
      <c r="S1986" s="23"/>
      <c r="T1986" s="23"/>
      <c r="U1986" s="23"/>
      <c r="V1986" s="23"/>
      <c r="W1986" s="23"/>
      <c r="X1986" s="23"/>
      <c r="Y1986" s="23"/>
      <c r="Z1986" s="23"/>
    </row>
    <row r="1987" spans="1:26" ht="13">
      <c r="A1987" s="562" t="s">
        <v>5175</v>
      </c>
      <c r="B1987" s="563" t="s">
        <v>5176</v>
      </c>
      <c r="C1987" s="564" t="s">
        <v>353</v>
      </c>
      <c r="D1987" s="565">
        <v>43627</v>
      </c>
      <c r="E1987" s="565">
        <v>43630</v>
      </c>
      <c r="F1987" s="566">
        <v>148914000</v>
      </c>
      <c r="G1987" s="564" t="s">
        <v>1128</v>
      </c>
      <c r="H1987" s="564" t="s">
        <v>1128</v>
      </c>
      <c r="I1987" s="564" t="s">
        <v>45</v>
      </c>
      <c r="J1987" s="564" t="s">
        <v>1069</v>
      </c>
      <c r="K1987" s="564" t="s">
        <v>1090</v>
      </c>
      <c r="L1987" s="564" t="s">
        <v>2098</v>
      </c>
      <c r="M1987" s="564" t="s">
        <v>2098</v>
      </c>
      <c r="N1987" s="564" t="s">
        <v>45</v>
      </c>
      <c r="O1987" s="564" t="s">
        <v>2099</v>
      </c>
      <c r="P1987" s="23"/>
      <c r="Q1987" s="23"/>
      <c r="R1987" s="23"/>
      <c r="S1987" s="23"/>
      <c r="T1987" s="23"/>
      <c r="U1987" s="23"/>
      <c r="V1987" s="23"/>
      <c r="W1987" s="23"/>
      <c r="X1987" s="23"/>
      <c r="Y1987" s="23"/>
      <c r="Z1987" s="23"/>
    </row>
    <row r="1988" spans="1:26" ht="13">
      <c r="A1988" s="562" t="s">
        <v>5177</v>
      </c>
      <c r="B1988" s="563" t="s">
        <v>5178</v>
      </c>
      <c r="C1988" s="564" t="s">
        <v>1652</v>
      </c>
      <c r="D1988" s="565">
        <v>43626</v>
      </c>
      <c r="E1988" s="565">
        <v>43634</v>
      </c>
      <c r="F1988" s="566">
        <v>25840000</v>
      </c>
      <c r="G1988" s="564" t="s">
        <v>1941</v>
      </c>
      <c r="H1988" s="564" t="s">
        <v>1941</v>
      </c>
      <c r="I1988" s="564" t="s">
        <v>70</v>
      </c>
      <c r="J1988" s="564" t="s">
        <v>1069</v>
      </c>
      <c r="K1988" s="564" t="s">
        <v>1120</v>
      </c>
      <c r="L1988" s="564" t="s">
        <v>2098</v>
      </c>
      <c r="M1988" s="564" t="s">
        <v>2098</v>
      </c>
      <c r="N1988" s="564" t="s">
        <v>70</v>
      </c>
      <c r="O1988" s="564" t="s">
        <v>2099</v>
      </c>
      <c r="P1988" s="23"/>
      <c r="Q1988" s="23"/>
      <c r="R1988" s="23"/>
      <c r="S1988" s="23"/>
      <c r="T1988" s="23"/>
      <c r="U1988" s="23"/>
      <c r="V1988" s="23"/>
      <c r="W1988" s="23"/>
      <c r="X1988" s="23"/>
      <c r="Y1988" s="23"/>
      <c r="Z1988" s="23"/>
    </row>
    <row r="1989" spans="1:26" ht="13">
      <c r="A1989" s="562" t="s">
        <v>5179</v>
      </c>
      <c r="B1989" s="563" t="s">
        <v>5180</v>
      </c>
      <c r="C1989" s="564" t="s">
        <v>1475</v>
      </c>
      <c r="D1989" s="565">
        <v>43626</v>
      </c>
      <c r="E1989" s="565">
        <v>43644</v>
      </c>
      <c r="F1989" s="566">
        <v>4736000</v>
      </c>
      <c r="G1989" s="564" t="s">
        <v>1293</v>
      </c>
      <c r="H1989" s="564" t="s">
        <v>1293</v>
      </c>
      <c r="I1989" s="564" t="s">
        <v>146</v>
      </c>
      <c r="J1989" s="564" t="s">
        <v>1069</v>
      </c>
      <c r="K1989" s="564" t="s">
        <v>1070</v>
      </c>
      <c r="L1989" s="564" t="s">
        <v>2098</v>
      </c>
      <c r="M1989" s="564" t="s">
        <v>2098</v>
      </c>
      <c r="N1989" s="564" t="s">
        <v>1073</v>
      </c>
      <c r="O1989" s="564" t="s">
        <v>2099</v>
      </c>
      <c r="P1989" s="23"/>
      <c r="Q1989" s="23"/>
      <c r="R1989" s="23"/>
      <c r="S1989" s="23"/>
      <c r="T1989" s="23"/>
      <c r="U1989" s="23"/>
      <c r="V1989" s="23"/>
      <c r="W1989" s="23"/>
      <c r="X1989" s="23"/>
      <c r="Y1989" s="23"/>
      <c r="Z1989" s="23"/>
    </row>
    <row r="1990" spans="1:26" ht="13">
      <c r="A1990" s="562" t="s">
        <v>5181</v>
      </c>
      <c r="B1990" s="563" t="s">
        <v>5182</v>
      </c>
      <c r="C1990" s="564" t="s">
        <v>353</v>
      </c>
      <c r="D1990" s="565">
        <v>43626</v>
      </c>
      <c r="E1990" s="565">
        <v>43626</v>
      </c>
      <c r="F1990" s="566">
        <v>5748240</v>
      </c>
      <c r="G1990" s="564" t="s">
        <v>1498</v>
      </c>
      <c r="H1990" s="564" t="s">
        <v>1498</v>
      </c>
      <c r="I1990" s="564" t="s">
        <v>45</v>
      </c>
      <c r="J1990" s="564" t="s">
        <v>1069</v>
      </c>
      <c r="K1990" s="564" t="s">
        <v>1090</v>
      </c>
      <c r="L1990" s="564" t="s">
        <v>1071</v>
      </c>
      <c r="M1990" s="564" t="s">
        <v>1183</v>
      </c>
      <c r="N1990" s="564" t="s">
        <v>45</v>
      </c>
      <c r="O1990" s="564" t="s">
        <v>1472</v>
      </c>
      <c r="P1990" s="23"/>
      <c r="Q1990" s="23"/>
      <c r="R1990" s="23"/>
      <c r="S1990" s="23"/>
      <c r="T1990" s="23"/>
      <c r="U1990" s="23"/>
      <c r="V1990" s="23"/>
      <c r="W1990" s="23"/>
      <c r="X1990" s="23"/>
      <c r="Y1990" s="23"/>
      <c r="Z1990" s="23"/>
    </row>
    <row r="1991" spans="1:26" ht="13">
      <c r="A1991" s="562" t="s">
        <v>5183</v>
      </c>
      <c r="B1991" s="563" t="s">
        <v>5184</v>
      </c>
      <c r="C1991" s="564" t="s">
        <v>1076</v>
      </c>
      <c r="D1991" s="565">
        <v>43620</v>
      </c>
      <c r="E1991" s="565">
        <v>43707</v>
      </c>
      <c r="F1991" s="566">
        <v>8100000</v>
      </c>
      <c r="G1991" s="564" t="s">
        <v>1400</v>
      </c>
      <c r="H1991" s="564" t="s">
        <v>1400</v>
      </c>
      <c r="I1991" s="564" t="s">
        <v>4816</v>
      </c>
      <c r="J1991" s="564" t="s">
        <v>1069</v>
      </c>
      <c r="K1991" s="564" t="s">
        <v>1070</v>
      </c>
      <c r="L1991" s="564" t="s">
        <v>2098</v>
      </c>
      <c r="M1991" s="564" t="s">
        <v>2098</v>
      </c>
      <c r="N1991" s="564" t="s">
        <v>1082</v>
      </c>
      <c r="O1991" s="564" t="s">
        <v>2099</v>
      </c>
      <c r="P1991" s="23"/>
      <c r="Q1991" s="23"/>
      <c r="R1991" s="23"/>
      <c r="S1991" s="23"/>
      <c r="T1991" s="23"/>
      <c r="U1991" s="23"/>
      <c r="V1991" s="23"/>
      <c r="W1991" s="23"/>
      <c r="X1991" s="23"/>
      <c r="Y1991" s="23"/>
      <c r="Z1991" s="23"/>
    </row>
    <row r="1992" spans="1:26" ht="13">
      <c r="A1992" s="562" t="s">
        <v>5185</v>
      </c>
      <c r="B1992" s="563" t="s">
        <v>5186</v>
      </c>
      <c r="C1992" s="564" t="s">
        <v>2433</v>
      </c>
      <c r="D1992" s="565">
        <v>43620</v>
      </c>
      <c r="E1992" s="565">
        <v>43616</v>
      </c>
      <c r="F1992" s="567"/>
      <c r="G1992" s="564" t="s">
        <v>1400</v>
      </c>
      <c r="H1992" s="564" t="s">
        <v>1400</v>
      </c>
      <c r="I1992" s="564" t="s">
        <v>4816</v>
      </c>
      <c r="J1992" s="564" t="s">
        <v>1069</v>
      </c>
      <c r="K1992" s="564" t="s">
        <v>1070</v>
      </c>
      <c r="L1992" s="564" t="s">
        <v>2098</v>
      </c>
      <c r="M1992" s="564" t="s">
        <v>2098</v>
      </c>
      <c r="N1992" s="564" t="s">
        <v>1082</v>
      </c>
      <c r="O1992" s="564" t="s">
        <v>2099</v>
      </c>
      <c r="P1992" s="23"/>
      <c r="Q1992" s="23"/>
      <c r="R1992" s="23"/>
      <c r="S1992" s="23"/>
      <c r="T1992" s="23"/>
      <c r="U1992" s="23"/>
      <c r="V1992" s="23"/>
      <c r="W1992" s="23"/>
      <c r="X1992" s="23"/>
      <c r="Y1992" s="23"/>
      <c r="Z1992" s="23"/>
    </row>
    <row r="1993" spans="1:26" ht="13">
      <c r="A1993" s="562" t="s">
        <v>5187</v>
      </c>
      <c r="B1993" s="563" t="s">
        <v>5188</v>
      </c>
      <c r="C1993" s="564" t="s">
        <v>1652</v>
      </c>
      <c r="D1993" s="565">
        <v>43619</v>
      </c>
      <c r="E1993" s="565">
        <v>43630</v>
      </c>
      <c r="F1993" s="566">
        <v>29900000</v>
      </c>
      <c r="G1993" s="564" t="s">
        <v>1128</v>
      </c>
      <c r="H1993" s="564" t="s">
        <v>1128</v>
      </c>
      <c r="I1993" s="564" t="s">
        <v>1161</v>
      </c>
      <c r="J1993" s="564" t="s">
        <v>1069</v>
      </c>
      <c r="K1993" s="564" t="s">
        <v>1090</v>
      </c>
      <c r="L1993" s="564" t="s">
        <v>2098</v>
      </c>
      <c r="M1993" s="564" t="s">
        <v>2098</v>
      </c>
      <c r="N1993" s="564" t="s">
        <v>1073</v>
      </c>
      <c r="O1993" s="564" t="s">
        <v>2099</v>
      </c>
      <c r="P1993" s="23"/>
      <c r="Q1993" s="23"/>
      <c r="R1993" s="23"/>
      <c r="S1993" s="23"/>
      <c r="T1993" s="23"/>
      <c r="U1993" s="23"/>
      <c r="V1993" s="23"/>
      <c r="W1993" s="23"/>
      <c r="X1993" s="23"/>
      <c r="Y1993" s="23"/>
      <c r="Z1993" s="23"/>
    </row>
    <row r="1994" spans="1:26" ht="13">
      <c r="A1994" s="562" t="s">
        <v>5189</v>
      </c>
      <c r="B1994" s="563" t="s">
        <v>5190</v>
      </c>
      <c r="C1994" s="564" t="s">
        <v>1076</v>
      </c>
      <c r="D1994" s="565">
        <v>43616</v>
      </c>
      <c r="E1994" s="565">
        <v>43677</v>
      </c>
      <c r="F1994" s="566">
        <v>8575000</v>
      </c>
      <c r="G1994" s="564" t="s">
        <v>1400</v>
      </c>
      <c r="H1994" s="564" t="s">
        <v>1400</v>
      </c>
      <c r="I1994" s="564" t="s">
        <v>4816</v>
      </c>
      <c r="J1994" s="564" t="s">
        <v>1069</v>
      </c>
      <c r="K1994" s="564" t="s">
        <v>1070</v>
      </c>
      <c r="L1994" s="564" t="s">
        <v>2098</v>
      </c>
      <c r="M1994" s="564" t="s">
        <v>2098</v>
      </c>
      <c r="N1994" s="564" t="s">
        <v>1082</v>
      </c>
      <c r="O1994" s="564" t="s">
        <v>2099</v>
      </c>
      <c r="P1994" s="23"/>
      <c r="Q1994" s="23"/>
      <c r="R1994" s="23"/>
      <c r="S1994" s="23"/>
      <c r="T1994" s="23"/>
      <c r="U1994" s="23"/>
      <c r="V1994" s="23"/>
      <c r="W1994" s="23"/>
      <c r="X1994" s="23"/>
      <c r="Y1994" s="23"/>
      <c r="Z1994" s="23"/>
    </row>
    <row r="1995" spans="1:26" ht="13">
      <c r="A1995" s="562" t="s">
        <v>5191</v>
      </c>
      <c r="B1995" s="563" t="s">
        <v>5192</v>
      </c>
      <c r="C1995" s="564" t="s">
        <v>353</v>
      </c>
      <c r="D1995" s="565">
        <v>43614</v>
      </c>
      <c r="E1995" s="565">
        <v>43646</v>
      </c>
      <c r="F1995" s="566">
        <v>491500000</v>
      </c>
      <c r="G1995" s="564" t="s">
        <v>1128</v>
      </c>
      <c r="H1995" s="564" t="s">
        <v>1128</v>
      </c>
      <c r="I1995" s="564" t="s">
        <v>45</v>
      </c>
      <c r="J1995" s="564" t="s">
        <v>1069</v>
      </c>
      <c r="K1995" s="564" t="s">
        <v>1090</v>
      </c>
      <c r="L1995" s="564" t="s">
        <v>2098</v>
      </c>
      <c r="M1995" s="564" t="s">
        <v>2098</v>
      </c>
      <c r="N1995" s="564" t="s">
        <v>45</v>
      </c>
      <c r="O1995" s="564" t="s">
        <v>2099</v>
      </c>
      <c r="P1995" s="23"/>
      <c r="Q1995" s="23"/>
      <c r="R1995" s="23"/>
      <c r="S1995" s="23"/>
      <c r="T1995" s="23"/>
      <c r="U1995" s="23"/>
      <c r="V1995" s="23"/>
      <c r="W1995" s="23"/>
      <c r="X1995" s="23"/>
      <c r="Y1995" s="23"/>
      <c r="Z1995" s="23"/>
    </row>
    <row r="1996" spans="1:26" ht="13">
      <c r="A1996" s="562" t="s">
        <v>5193</v>
      </c>
      <c r="B1996" s="563" t="s">
        <v>5194</v>
      </c>
      <c r="C1996" s="564" t="s">
        <v>1475</v>
      </c>
      <c r="D1996" s="565">
        <v>43612</v>
      </c>
      <c r="E1996" s="565">
        <v>43616</v>
      </c>
      <c r="F1996" s="566">
        <v>3000000</v>
      </c>
      <c r="G1996" s="564" t="s">
        <v>1123</v>
      </c>
      <c r="H1996" s="564" t="s">
        <v>1123</v>
      </c>
      <c r="I1996" s="564" t="s">
        <v>1771</v>
      </c>
      <c r="J1996" s="564" t="s">
        <v>1069</v>
      </c>
      <c r="K1996" s="564" t="s">
        <v>1070</v>
      </c>
      <c r="L1996" s="564" t="s">
        <v>2098</v>
      </c>
      <c r="M1996" s="564" t="s">
        <v>2098</v>
      </c>
      <c r="N1996" s="564" t="s">
        <v>1082</v>
      </c>
      <c r="O1996" s="564" t="s">
        <v>2099</v>
      </c>
      <c r="P1996" s="23"/>
      <c r="Q1996" s="23"/>
      <c r="R1996" s="23"/>
      <c r="S1996" s="23"/>
      <c r="T1996" s="23"/>
      <c r="U1996" s="23"/>
      <c r="V1996" s="23"/>
      <c r="W1996" s="23"/>
      <c r="X1996" s="23"/>
      <c r="Y1996" s="23"/>
      <c r="Z1996" s="23"/>
    </row>
    <row r="1997" spans="1:26" ht="13">
      <c r="A1997" s="562" t="s">
        <v>5195</v>
      </c>
      <c r="B1997" s="563" t="s">
        <v>5196</v>
      </c>
      <c r="C1997" s="564" t="s">
        <v>353</v>
      </c>
      <c r="D1997" s="565">
        <v>43612</v>
      </c>
      <c r="E1997" s="565">
        <v>43616</v>
      </c>
      <c r="F1997" s="566">
        <v>1856000</v>
      </c>
      <c r="G1997" s="564" t="s">
        <v>1498</v>
      </c>
      <c r="H1997" s="564" t="s">
        <v>1498</v>
      </c>
      <c r="I1997" s="564" t="s">
        <v>1514</v>
      </c>
      <c r="J1997" s="564" t="s">
        <v>1069</v>
      </c>
      <c r="K1997" s="564" t="s">
        <v>1090</v>
      </c>
      <c r="L1997" s="564" t="s">
        <v>2098</v>
      </c>
      <c r="M1997" s="564" t="s">
        <v>2098</v>
      </c>
      <c r="N1997" s="564" t="s">
        <v>1073</v>
      </c>
      <c r="O1997" s="564" t="s">
        <v>2099</v>
      </c>
      <c r="P1997" s="23"/>
      <c r="Q1997" s="23"/>
      <c r="R1997" s="23"/>
      <c r="S1997" s="23"/>
      <c r="T1997" s="23"/>
      <c r="U1997" s="23"/>
      <c r="V1997" s="23"/>
      <c r="W1997" s="23"/>
      <c r="X1997" s="23"/>
      <c r="Y1997" s="23"/>
      <c r="Z1997" s="23"/>
    </row>
    <row r="1998" spans="1:26" ht="13">
      <c r="A1998" s="562" t="s">
        <v>5197</v>
      </c>
      <c r="B1998" s="563" t="s">
        <v>5198</v>
      </c>
      <c r="C1998" s="564" t="s">
        <v>1076</v>
      </c>
      <c r="D1998" s="565">
        <v>43608</v>
      </c>
      <c r="E1998" s="565">
        <v>43677</v>
      </c>
      <c r="F1998" s="566">
        <v>1987000</v>
      </c>
      <c r="G1998" s="564" t="s">
        <v>1400</v>
      </c>
      <c r="H1998" s="564" t="s">
        <v>1400</v>
      </c>
      <c r="I1998" s="564" t="s">
        <v>4816</v>
      </c>
      <c r="J1998" s="564" t="s">
        <v>1069</v>
      </c>
      <c r="K1998" s="564" t="s">
        <v>1070</v>
      </c>
      <c r="L1998" s="564" t="s">
        <v>2098</v>
      </c>
      <c r="M1998" s="564" t="s">
        <v>2098</v>
      </c>
      <c r="N1998" s="564" t="s">
        <v>1082</v>
      </c>
      <c r="O1998" s="564" t="s">
        <v>2099</v>
      </c>
      <c r="P1998" s="23"/>
      <c r="Q1998" s="23"/>
      <c r="R1998" s="23"/>
      <c r="S1998" s="23"/>
      <c r="T1998" s="23"/>
      <c r="U1998" s="23"/>
      <c r="V1998" s="23"/>
      <c r="W1998" s="23"/>
      <c r="X1998" s="23"/>
      <c r="Y1998" s="23"/>
      <c r="Z1998" s="23"/>
    </row>
    <row r="1999" spans="1:26" ht="13">
      <c r="A1999" s="562" t="s">
        <v>5199</v>
      </c>
      <c r="B1999" s="563" t="s">
        <v>5200</v>
      </c>
      <c r="C1999" s="564" t="s">
        <v>353</v>
      </c>
      <c r="D1999" s="565">
        <v>43608</v>
      </c>
      <c r="E1999" s="565">
        <v>43616</v>
      </c>
      <c r="F1999" s="566">
        <v>152000</v>
      </c>
      <c r="G1999" s="564" t="s">
        <v>1498</v>
      </c>
      <c r="H1999" s="564" t="s">
        <v>1498</v>
      </c>
      <c r="I1999" s="564" t="s">
        <v>64</v>
      </c>
      <c r="J1999" s="564" t="s">
        <v>1069</v>
      </c>
      <c r="K1999" s="564" t="s">
        <v>1090</v>
      </c>
      <c r="L1999" s="564" t="s">
        <v>2098</v>
      </c>
      <c r="M1999" s="564" t="s">
        <v>2098</v>
      </c>
      <c r="N1999" s="564" t="s">
        <v>64</v>
      </c>
      <c r="O1999" s="564" t="s">
        <v>2099</v>
      </c>
      <c r="P1999" s="23"/>
      <c r="Q1999" s="23"/>
      <c r="R1999" s="23"/>
      <c r="S1999" s="23"/>
      <c r="T1999" s="23"/>
      <c r="U1999" s="23"/>
      <c r="V1999" s="23"/>
      <c r="W1999" s="23"/>
      <c r="X1999" s="23"/>
      <c r="Y1999" s="23"/>
      <c r="Z1999" s="23"/>
    </row>
    <row r="2000" spans="1:26" ht="13">
      <c r="A2000" s="562" t="s">
        <v>5201</v>
      </c>
      <c r="B2000" s="563" t="s">
        <v>5202</v>
      </c>
      <c r="C2000" s="564" t="s">
        <v>353</v>
      </c>
      <c r="D2000" s="565">
        <v>43608</v>
      </c>
      <c r="E2000" s="565">
        <v>43616</v>
      </c>
      <c r="F2000" s="566">
        <v>152000</v>
      </c>
      <c r="G2000" s="564" t="s">
        <v>1498</v>
      </c>
      <c r="H2000" s="564" t="s">
        <v>1498</v>
      </c>
      <c r="I2000" s="564" t="s">
        <v>64</v>
      </c>
      <c r="J2000" s="564" t="s">
        <v>1069</v>
      </c>
      <c r="K2000" s="564" t="s">
        <v>1090</v>
      </c>
      <c r="L2000" s="564" t="s">
        <v>2098</v>
      </c>
      <c r="M2000" s="564" t="s">
        <v>2098</v>
      </c>
      <c r="N2000" s="564" t="s">
        <v>64</v>
      </c>
      <c r="O2000" s="564" t="s">
        <v>2099</v>
      </c>
      <c r="P2000" s="23"/>
      <c r="Q2000" s="23"/>
      <c r="R2000" s="23"/>
      <c r="S2000" s="23"/>
      <c r="T2000" s="23"/>
      <c r="U2000" s="23"/>
      <c r="V2000" s="23"/>
      <c r="W2000" s="23"/>
      <c r="X2000" s="23"/>
      <c r="Y2000" s="23"/>
      <c r="Z2000" s="23"/>
    </row>
    <row r="2001" spans="1:26" ht="13">
      <c r="A2001" s="562" t="s">
        <v>5203</v>
      </c>
      <c r="B2001" s="563" t="s">
        <v>5204</v>
      </c>
      <c r="C2001" s="564" t="s">
        <v>1475</v>
      </c>
      <c r="D2001" s="565">
        <v>43605</v>
      </c>
      <c r="E2001" s="565">
        <v>43615</v>
      </c>
      <c r="F2001" s="566">
        <v>480000</v>
      </c>
      <c r="G2001" s="564" t="s">
        <v>1293</v>
      </c>
      <c r="H2001" s="564" t="s">
        <v>1293</v>
      </c>
      <c r="I2001" s="564" t="s">
        <v>1247</v>
      </c>
      <c r="J2001" s="564" t="s">
        <v>1069</v>
      </c>
      <c r="K2001" s="564" t="s">
        <v>1070</v>
      </c>
      <c r="L2001" s="564" t="s">
        <v>2098</v>
      </c>
      <c r="M2001" s="564" t="s">
        <v>2098</v>
      </c>
      <c r="N2001" s="564" t="s">
        <v>1073</v>
      </c>
      <c r="O2001" s="564" t="s">
        <v>2099</v>
      </c>
      <c r="P2001" s="23"/>
      <c r="Q2001" s="23"/>
      <c r="R2001" s="23"/>
      <c r="S2001" s="23"/>
      <c r="T2001" s="23"/>
      <c r="U2001" s="23"/>
      <c r="V2001" s="23"/>
      <c r="W2001" s="23"/>
      <c r="X2001" s="23"/>
      <c r="Y2001" s="23"/>
      <c r="Z2001" s="23"/>
    </row>
    <row r="2002" spans="1:26" ht="13">
      <c r="A2002" s="562" t="s">
        <v>5205</v>
      </c>
      <c r="B2002" s="563" t="s">
        <v>5206</v>
      </c>
      <c r="C2002" s="564" t="s">
        <v>353</v>
      </c>
      <c r="D2002" s="565">
        <v>43605</v>
      </c>
      <c r="E2002" s="565">
        <v>43616</v>
      </c>
      <c r="F2002" s="566">
        <v>85580000</v>
      </c>
      <c r="G2002" s="564" t="s">
        <v>1128</v>
      </c>
      <c r="H2002" s="564" t="s">
        <v>1128</v>
      </c>
      <c r="I2002" s="564" t="s">
        <v>45</v>
      </c>
      <c r="J2002" s="564" t="s">
        <v>1069</v>
      </c>
      <c r="K2002" s="564" t="s">
        <v>1090</v>
      </c>
      <c r="L2002" s="564" t="s">
        <v>2098</v>
      </c>
      <c r="M2002" s="564" t="s">
        <v>2098</v>
      </c>
      <c r="N2002" s="564" t="s">
        <v>45</v>
      </c>
      <c r="O2002" s="564" t="s">
        <v>2099</v>
      </c>
      <c r="P2002" s="23"/>
      <c r="Q2002" s="23"/>
      <c r="R2002" s="23"/>
      <c r="S2002" s="23"/>
      <c r="T2002" s="23"/>
      <c r="U2002" s="23"/>
      <c r="V2002" s="23"/>
      <c r="W2002" s="23"/>
      <c r="X2002" s="23"/>
      <c r="Y2002" s="23"/>
      <c r="Z2002" s="23"/>
    </row>
    <row r="2003" spans="1:26" ht="13">
      <c r="A2003" s="562" t="s">
        <v>5207</v>
      </c>
      <c r="B2003" s="563" t="s">
        <v>5208</v>
      </c>
      <c r="C2003" s="564" t="s">
        <v>1204</v>
      </c>
      <c r="D2003" s="565">
        <v>43600</v>
      </c>
      <c r="E2003" s="565">
        <v>43586</v>
      </c>
      <c r="F2003" s="566">
        <v>3067680</v>
      </c>
      <c r="G2003" s="564" t="s">
        <v>1366</v>
      </c>
      <c r="H2003" s="564" t="s">
        <v>1366</v>
      </c>
      <c r="I2003" s="564" t="s">
        <v>1471</v>
      </c>
      <c r="J2003" s="564" t="s">
        <v>1069</v>
      </c>
      <c r="K2003" s="564" t="s">
        <v>1070</v>
      </c>
      <c r="L2003" s="564" t="s">
        <v>1071</v>
      </c>
      <c r="M2003" s="564" t="s">
        <v>1183</v>
      </c>
      <c r="N2003" s="564" t="s">
        <v>1082</v>
      </c>
      <c r="O2003" s="564" t="s">
        <v>1472</v>
      </c>
      <c r="P2003" s="23"/>
      <c r="Q2003" s="23"/>
      <c r="R2003" s="23"/>
      <c r="S2003" s="23"/>
      <c r="T2003" s="23"/>
      <c r="U2003" s="23"/>
      <c r="V2003" s="23"/>
      <c r="W2003" s="23"/>
      <c r="X2003" s="23"/>
      <c r="Y2003" s="23"/>
      <c r="Z2003" s="23"/>
    </row>
    <row r="2004" spans="1:26" ht="13">
      <c r="A2004" s="562" t="s">
        <v>5209</v>
      </c>
      <c r="B2004" s="563" t="s">
        <v>5210</v>
      </c>
      <c r="C2004" s="564" t="s">
        <v>1204</v>
      </c>
      <c r="D2004" s="565">
        <v>43600</v>
      </c>
      <c r="E2004" s="565">
        <v>43586</v>
      </c>
      <c r="F2004" s="566">
        <v>98080</v>
      </c>
      <c r="G2004" s="564" t="s">
        <v>1366</v>
      </c>
      <c r="H2004" s="564" t="s">
        <v>1366</v>
      </c>
      <c r="I2004" s="564" t="s">
        <v>1471</v>
      </c>
      <c r="J2004" s="564" t="s">
        <v>1069</v>
      </c>
      <c r="K2004" s="564" t="s">
        <v>1070</v>
      </c>
      <c r="L2004" s="564" t="s">
        <v>1071</v>
      </c>
      <c r="M2004" s="564" t="s">
        <v>1183</v>
      </c>
      <c r="N2004" s="564" t="s">
        <v>1082</v>
      </c>
      <c r="O2004" s="564" t="s">
        <v>1472</v>
      </c>
      <c r="P2004" s="23"/>
      <c r="Q2004" s="23"/>
      <c r="R2004" s="23"/>
      <c r="S2004" s="23"/>
      <c r="T2004" s="23"/>
      <c r="U2004" s="23"/>
      <c r="V2004" s="23"/>
      <c r="W2004" s="23"/>
      <c r="X2004" s="23"/>
      <c r="Y2004" s="23"/>
      <c r="Z2004" s="23"/>
    </row>
    <row r="2005" spans="1:26" ht="13">
      <c r="A2005" s="562" t="s">
        <v>5211</v>
      </c>
      <c r="B2005" s="563" t="s">
        <v>5212</v>
      </c>
      <c r="C2005" s="564" t="s">
        <v>353</v>
      </c>
      <c r="D2005" s="565">
        <v>43601</v>
      </c>
      <c r="E2005" s="565">
        <v>43615</v>
      </c>
      <c r="F2005" s="566">
        <v>2375760</v>
      </c>
      <c r="G2005" s="564" t="s">
        <v>1498</v>
      </c>
      <c r="H2005" s="564" t="s">
        <v>1498</v>
      </c>
      <c r="I2005" s="564" t="s">
        <v>45</v>
      </c>
      <c r="J2005" s="564" t="s">
        <v>1069</v>
      </c>
      <c r="K2005" s="564" t="s">
        <v>1090</v>
      </c>
      <c r="L2005" s="564" t="s">
        <v>1071</v>
      </c>
      <c r="M2005" s="564" t="s">
        <v>1183</v>
      </c>
      <c r="N2005" s="564" t="s">
        <v>45</v>
      </c>
      <c r="O2005" s="564" t="s">
        <v>1472</v>
      </c>
      <c r="P2005" s="23"/>
      <c r="Q2005" s="23"/>
      <c r="R2005" s="23"/>
      <c r="S2005" s="23"/>
      <c r="T2005" s="23"/>
      <c r="U2005" s="23"/>
      <c r="V2005" s="23"/>
      <c r="W2005" s="23"/>
      <c r="X2005" s="23"/>
      <c r="Y2005" s="23"/>
      <c r="Z2005" s="23"/>
    </row>
    <row r="2006" spans="1:26" ht="13">
      <c r="A2006" s="562" t="s">
        <v>5213</v>
      </c>
      <c r="B2006" s="563" t="s">
        <v>5214</v>
      </c>
      <c r="C2006" s="564" t="s">
        <v>353</v>
      </c>
      <c r="D2006" s="565">
        <v>43601</v>
      </c>
      <c r="E2006" s="565">
        <v>43602</v>
      </c>
      <c r="F2006" s="566">
        <v>3290360</v>
      </c>
      <c r="G2006" s="564" t="s">
        <v>1498</v>
      </c>
      <c r="H2006" s="564" t="s">
        <v>1498</v>
      </c>
      <c r="I2006" s="564" t="s">
        <v>45</v>
      </c>
      <c r="J2006" s="564" t="s">
        <v>1069</v>
      </c>
      <c r="K2006" s="564" t="s">
        <v>1090</v>
      </c>
      <c r="L2006" s="564" t="s">
        <v>1071</v>
      </c>
      <c r="M2006" s="564" t="s">
        <v>1183</v>
      </c>
      <c r="N2006" s="564" t="s">
        <v>45</v>
      </c>
      <c r="O2006" s="564" t="s">
        <v>1472</v>
      </c>
      <c r="P2006" s="23"/>
      <c r="Q2006" s="23"/>
      <c r="R2006" s="23"/>
      <c r="S2006" s="23"/>
      <c r="T2006" s="23"/>
      <c r="U2006" s="23"/>
      <c r="V2006" s="23"/>
      <c r="W2006" s="23"/>
      <c r="X2006" s="23"/>
      <c r="Y2006" s="23"/>
      <c r="Z2006" s="23"/>
    </row>
    <row r="2007" spans="1:26" ht="13">
      <c r="A2007" s="562" t="s">
        <v>5215</v>
      </c>
      <c r="B2007" s="563" t="s">
        <v>5216</v>
      </c>
      <c r="C2007" s="564" t="s">
        <v>353</v>
      </c>
      <c r="D2007" s="565">
        <v>43601</v>
      </c>
      <c r="E2007" s="565">
        <v>43602</v>
      </c>
      <c r="F2007" s="566">
        <v>10064040</v>
      </c>
      <c r="G2007" s="564" t="s">
        <v>1498</v>
      </c>
      <c r="H2007" s="564" t="s">
        <v>1498</v>
      </c>
      <c r="I2007" s="564" t="s">
        <v>45</v>
      </c>
      <c r="J2007" s="564" t="s">
        <v>1069</v>
      </c>
      <c r="K2007" s="564" t="s">
        <v>1090</v>
      </c>
      <c r="L2007" s="564" t="s">
        <v>1071</v>
      </c>
      <c r="M2007" s="564" t="s">
        <v>1183</v>
      </c>
      <c r="N2007" s="564" t="s">
        <v>45</v>
      </c>
      <c r="O2007" s="564" t="s">
        <v>1472</v>
      </c>
      <c r="P2007" s="23"/>
      <c r="Q2007" s="23"/>
      <c r="R2007" s="23"/>
      <c r="S2007" s="23"/>
      <c r="T2007" s="23"/>
      <c r="U2007" s="23"/>
      <c r="V2007" s="23"/>
      <c r="W2007" s="23"/>
      <c r="X2007" s="23"/>
      <c r="Y2007" s="23"/>
      <c r="Z2007" s="23"/>
    </row>
    <row r="2008" spans="1:26" ht="13">
      <c r="A2008" s="562" t="s">
        <v>5217</v>
      </c>
      <c r="B2008" s="563" t="s">
        <v>5218</v>
      </c>
      <c r="C2008" s="564" t="s">
        <v>353</v>
      </c>
      <c r="D2008" s="565">
        <v>43601</v>
      </c>
      <c r="E2008" s="565">
        <v>43602</v>
      </c>
      <c r="F2008" s="566">
        <v>1200000</v>
      </c>
      <c r="G2008" s="564" t="s">
        <v>1498</v>
      </c>
      <c r="H2008" s="564" t="s">
        <v>1498</v>
      </c>
      <c r="I2008" s="564" t="s">
        <v>45</v>
      </c>
      <c r="J2008" s="564" t="s">
        <v>1069</v>
      </c>
      <c r="K2008" s="564" t="s">
        <v>1090</v>
      </c>
      <c r="L2008" s="564" t="s">
        <v>2098</v>
      </c>
      <c r="M2008" s="564" t="s">
        <v>2098</v>
      </c>
      <c r="N2008" s="564" t="s">
        <v>45</v>
      </c>
      <c r="O2008" s="564" t="s">
        <v>2099</v>
      </c>
      <c r="P2008" s="23"/>
      <c r="Q2008" s="23"/>
      <c r="R2008" s="23"/>
      <c r="S2008" s="23"/>
      <c r="T2008" s="23"/>
      <c r="U2008" s="23"/>
      <c r="V2008" s="23"/>
      <c r="W2008" s="23"/>
      <c r="X2008" s="23"/>
      <c r="Y2008" s="23"/>
      <c r="Z2008" s="23"/>
    </row>
    <row r="2009" spans="1:26" ht="13">
      <c r="A2009" s="562" t="s">
        <v>5219</v>
      </c>
      <c r="B2009" s="563" t="s">
        <v>5220</v>
      </c>
      <c r="C2009" s="564" t="s">
        <v>353</v>
      </c>
      <c r="D2009" s="565">
        <v>43600</v>
      </c>
      <c r="E2009" s="565">
        <v>43616</v>
      </c>
      <c r="F2009" s="566">
        <v>152000</v>
      </c>
      <c r="G2009" s="564" t="s">
        <v>1498</v>
      </c>
      <c r="H2009" s="564" t="s">
        <v>1498</v>
      </c>
      <c r="I2009" s="564" t="s">
        <v>64</v>
      </c>
      <c r="J2009" s="564" t="s">
        <v>1069</v>
      </c>
      <c r="K2009" s="564" t="s">
        <v>1090</v>
      </c>
      <c r="L2009" s="564" t="s">
        <v>2098</v>
      </c>
      <c r="M2009" s="564" t="s">
        <v>2098</v>
      </c>
      <c r="N2009" s="564" t="s">
        <v>64</v>
      </c>
      <c r="O2009" s="564" t="s">
        <v>2099</v>
      </c>
      <c r="P2009" s="23"/>
      <c r="Q2009" s="23"/>
      <c r="R2009" s="23"/>
      <c r="S2009" s="23"/>
      <c r="T2009" s="23"/>
      <c r="U2009" s="23"/>
      <c r="V2009" s="23"/>
      <c r="W2009" s="23"/>
      <c r="X2009" s="23"/>
      <c r="Y2009" s="23"/>
      <c r="Z2009" s="23"/>
    </row>
    <row r="2010" spans="1:26" ht="13">
      <c r="A2010" s="562" t="s">
        <v>5221</v>
      </c>
      <c r="B2010" s="563" t="s">
        <v>5222</v>
      </c>
      <c r="C2010" s="564" t="s">
        <v>353</v>
      </c>
      <c r="D2010" s="565">
        <v>43600</v>
      </c>
      <c r="E2010" s="565">
        <v>43602</v>
      </c>
      <c r="F2010" s="566">
        <v>1200000</v>
      </c>
      <c r="G2010" s="564" t="s">
        <v>1498</v>
      </c>
      <c r="H2010" s="564" t="s">
        <v>1498</v>
      </c>
      <c r="I2010" s="564" t="s">
        <v>45</v>
      </c>
      <c r="J2010" s="564" t="s">
        <v>1069</v>
      </c>
      <c r="K2010" s="564" t="s">
        <v>1090</v>
      </c>
      <c r="L2010" s="564" t="s">
        <v>2098</v>
      </c>
      <c r="M2010" s="564" t="s">
        <v>2098</v>
      </c>
      <c r="N2010" s="564" t="s">
        <v>45</v>
      </c>
      <c r="O2010" s="564" t="s">
        <v>2099</v>
      </c>
      <c r="P2010" s="23"/>
      <c r="Q2010" s="23"/>
      <c r="R2010" s="23"/>
      <c r="S2010" s="23"/>
      <c r="T2010" s="23"/>
      <c r="U2010" s="23"/>
      <c r="V2010" s="23"/>
      <c r="W2010" s="23"/>
      <c r="X2010" s="23"/>
      <c r="Y2010" s="23"/>
      <c r="Z2010" s="23"/>
    </row>
    <row r="2011" spans="1:26" ht="13">
      <c r="A2011" s="562" t="s">
        <v>5223</v>
      </c>
      <c r="B2011" s="563" t="s">
        <v>5224</v>
      </c>
      <c r="C2011" s="564" t="s">
        <v>1076</v>
      </c>
      <c r="D2011" s="565">
        <v>43598</v>
      </c>
      <c r="E2011" s="565">
        <v>43677</v>
      </c>
      <c r="F2011" s="566">
        <v>3083000</v>
      </c>
      <c r="G2011" s="564" t="s">
        <v>1400</v>
      </c>
      <c r="H2011" s="564" t="s">
        <v>1400</v>
      </c>
      <c r="I2011" s="564" t="s">
        <v>4816</v>
      </c>
      <c r="J2011" s="564" t="s">
        <v>1069</v>
      </c>
      <c r="K2011" s="564" t="s">
        <v>1070</v>
      </c>
      <c r="L2011" s="564" t="s">
        <v>2098</v>
      </c>
      <c r="M2011" s="564" t="s">
        <v>2098</v>
      </c>
      <c r="N2011" s="564" t="s">
        <v>1082</v>
      </c>
      <c r="O2011" s="564" t="s">
        <v>2099</v>
      </c>
      <c r="P2011" s="23"/>
      <c r="Q2011" s="23"/>
      <c r="R2011" s="23"/>
      <c r="S2011" s="23"/>
      <c r="T2011" s="23"/>
      <c r="U2011" s="23"/>
      <c r="V2011" s="23"/>
      <c r="W2011" s="23"/>
      <c r="X2011" s="23"/>
      <c r="Y2011" s="23"/>
      <c r="Z2011" s="23"/>
    </row>
    <row r="2012" spans="1:26" ht="13">
      <c r="A2012" s="562" t="s">
        <v>5225</v>
      </c>
      <c r="B2012" s="563" t="s">
        <v>4647</v>
      </c>
      <c r="C2012" s="564" t="s">
        <v>1475</v>
      </c>
      <c r="D2012" s="565">
        <v>43598</v>
      </c>
      <c r="E2012" s="565">
        <v>43608</v>
      </c>
      <c r="F2012" s="566">
        <v>150700</v>
      </c>
      <c r="G2012" s="564" t="s">
        <v>1498</v>
      </c>
      <c r="H2012" s="564" t="s">
        <v>1498</v>
      </c>
      <c r="I2012" s="564" t="s">
        <v>1161</v>
      </c>
      <c r="J2012" s="564" t="s">
        <v>1069</v>
      </c>
      <c r="K2012" s="564" t="s">
        <v>1090</v>
      </c>
      <c r="L2012" s="564" t="s">
        <v>2098</v>
      </c>
      <c r="M2012" s="564" t="s">
        <v>2098</v>
      </c>
      <c r="N2012" s="564" t="s">
        <v>1073</v>
      </c>
      <c r="O2012" s="564" t="s">
        <v>2099</v>
      </c>
      <c r="P2012" s="23"/>
      <c r="Q2012" s="23"/>
      <c r="R2012" s="23"/>
      <c r="S2012" s="23"/>
      <c r="T2012" s="23"/>
      <c r="U2012" s="23"/>
      <c r="V2012" s="23"/>
      <c r="W2012" s="23"/>
      <c r="X2012" s="23"/>
      <c r="Y2012" s="23"/>
      <c r="Z2012" s="23"/>
    </row>
    <row r="2013" spans="1:26" ht="13">
      <c r="A2013" s="562" t="s">
        <v>5226</v>
      </c>
      <c r="B2013" s="563" t="s">
        <v>5070</v>
      </c>
      <c r="C2013" s="564" t="s">
        <v>1475</v>
      </c>
      <c r="D2013" s="565">
        <v>43593</v>
      </c>
      <c r="E2013" s="565">
        <v>43676</v>
      </c>
      <c r="F2013" s="566">
        <v>660250000</v>
      </c>
      <c r="G2013" s="564" t="s">
        <v>1025</v>
      </c>
      <c r="H2013" s="564" t="s">
        <v>1025</v>
      </c>
      <c r="I2013" s="564" t="s">
        <v>4806</v>
      </c>
      <c r="J2013" s="564" t="s">
        <v>1069</v>
      </c>
      <c r="K2013" s="564" t="s">
        <v>1070</v>
      </c>
      <c r="L2013" s="564" t="s">
        <v>2098</v>
      </c>
      <c r="M2013" s="564" t="s">
        <v>2098</v>
      </c>
      <c r="N2013" s="564" t="s">
        <v>1082</v>
      </c>
      <c r="O2013" s="564" t="s">
        <v>2099</v>
      </c>
      <c r="P2013" s="23"/>
      <c r="Q2013" s="23"/>
      <c r="R2013" s="23"/>
      <c r="S2013" s="23"/>
      <c r="T2013" s="23"/>
      <c r="U2013" s="23"/>
      <c r="V2013" s="23"/>
      <c r="W2013" s="23"/>
      <c r="X2013" s="23"/>
      <c r="Y2013" s="23"/>
      <c r="Z2013" s="23"/>
    </row>
    <row r="2014" spans="1:26" ht="13">
      <c r="A2014" s="562" t="s">
        <v>5227</v>
      </c>
      <c r="B2014" s="563" t="s">
        <v>5228</v>
      </c>
      <c r="C2014" s="564" t="s">
        <v>1475</v>
      </c>
      <c r="D2014" s="565">
        <v>43593</v>
      </c>
      <c r="E2014" s="565">
        <v>43616</v>
      </c>
      <c r="F2014" s="566">
        <v>184812000</v>
      </c>
      <c r="G2014" s="564" t="s">
        <v>1636</v>
      </c>
      <c r="H2014" s="564" t="s">
        <v>1636</v>
      </c>
      <c r="I2014" s="564" t="s">
        <v>5229</v>
      </c>
      <c r="J2014" s="564" t="s">
        <v>1069</v>
      </c>
      <c r="K2014" s="564" t="s">
        <v>1070</v>
      </c>
      <c r="L2014" s="564" t="s">
        <v>2098</v>
      </c>
      <c r="M2014" s="564" t="s">
        <v>2098</v>
      </c>
      <c r="N2014" s="564" t="s">
        <v>1082</v>
      </c>
      <c r="O2014" s="564" t="s">
        <v>2099</v>
      </c>
      <c r="P2014" s="23"/>
      <c r="Q2014" s="23"/>
      <c r="R2014" s="23"/>
      <c r="S2014" s="23"/>
      <c r="T2014" s="23"/>
      <c r="U2014" s="23"/>
      <c r="V2014" s="23"/>
      <c r="W2014" s="23"/>
      <c r="X2014" s="23"/>
      <c r="Y2014" s="23"/>
      <c r="Z2014" s="23"/>
    </row>
    <row r="2015" spans="1:26" ht="13">
      <c r="A2015" s="562" t="s">
        <v>5230</v>
      </c>
      <c r="B2015" s="563" t="s">
        <v>5231</v>
      </c>
      <c r="C2015" s="564" t="s">
        <v>1652</v>
      </c>
      <c r="D2015" s="565">
        <v>43592</v>
      </c>
      <c r="E2015" s="565">
        <v>43738</v>
      </c>
      <c r="F2015" s="566">
        <v>80000000</v>
      </c>
      <c r="G2015" s="564" t="s">
        <v>1400</v>
      </c>
      <c r="H2015" s="564" t="s">
        <v>1400</v>
      </c>
      <c r="I2015" s="564" t="s">
        <v>5232</v>
      </c>
      <c r="J2015" s="564" t="s">
        <v>1069</v>
      </c>
      <c r="K2015" s="564" t="s">
        <v>1802</v>
      </c>
      <c r="L2015" s="564" t="s">
        <v>2098</v>
      </c>
      <c r="M2015" s="564" t="s">
        <v>2098</v>
      </c>
      <c r="N2015" s="564" t="s">
        <v>1082</v>
      </c>
      <c r="O2015" s="564" t="s">
        <v>2099</v>
      </c>
      <c r="P2015" s="23"/>
      <c r="Q2015" s="23"/>
      <c r="R2015" s="23"/>
      <c r="S2015" s="23"/>
      <c r="T2015" s="23"/>
      <c r="U2015" s="23"/>
      <c r="V2015" s="23"/>
      <c r="W2015" s="23"/>
      <c r="X2015" s="23"/>
      <c r="Y2015" s="23"/>
      <c r="Z2015" s="23"/>
    </row>
    <row r="2016" spans="1:26" ht="13">
      <c r="A2016" s="562" t="s">
        <v>5233</v>
      </c>
      <c r="B2016" s="563" t="s">
        <v>5234</v>
      </c>
      <c r="C2016" s="564" t="s">
        <v>1076</v>
      </c>
      <c r="D2016" s="565">
        <v>43587</v>
      </c>
      <c r="E2016" s="565">
        <v>43677</v>
      </c>
      <c r="F2016" s="566">
        <v>5676000</v>
      </c>
      <c r="G2016" s="564" t="s">
        <v>1400</v>
      </c>
      <c r="H2016" s="564" t="s">
        <v>1400</v>
      </c>
      <c r="I2016" s="564" t="s">
        <v>4816</v>
      </c>
      <c r="J2016" s="564" t="s">
        <v>1069</v>
      </c>
      <c r="K2016" s="564" t="s">
        <v>1070</v>
      </c>
      <c r="L2016" s="564" t="s">
        <v>2098</v>
      </c>
      <c r="M2016" s="564" t="s">
        <v>2098</v>
      </c>
      <c r="N2016" s="564" t="s">
        <v>1082</v>
      </c>
      <c r="O2016" s="564" t="s">
        <v>2099</v>
      </c>
      <c r="P2016" s="23"/>
      <c r="Q2016" s="23"/>
      <c r="R2016" s="23"/>
      <c r="S2016" s="23"/>
      <c r="T2016" s="23"/>
      <c r="U2016" s="23"/>
      <c r="V2016" s="23"/>
      <c r="W2016" s="23"/>
      <c r="X2016" s="23"/>
      <c r="Y2016" s="23"/>
      <c r="Z2016" s="23"/>
    </row>
    <row r="2017" spans="1:26" ht="13">
      <c r="A2017" s="562" t="s">
        <v>5235</v>
      </c>
      <c r="B2017" s="563" t="s">
        <v>5236</v>
      </c>
      <c r="C2017" s="564" t="s">
        <v>1076</v>
      </c>
      <c r="D2017" s="565">
        <v>43587</v>
      </c>
      <c r="E2017" s="565">
        <v>43677</v>
      </c>
      <c r="F2017" s="566">
        <v>451000</v>
      </c>
      <c r="G2017" s="564" t="s">
        <v>1400</v>
      </c>
      <c r="H2017" s="564" t="s">
        <v>1400</v>
      </c>
      <c r="I2017" s="564" t="s">
        <v>4816</v>
      </c>
      <c r="J2017" s="564" t="s">
        <v>1069</v>
      </c>
      <c r="K2017" s="564" t="s">
        <v>1070</v>
      </c>
      <c r="L2017" s="564" t="s">
        <v>2098</v>
      </c>
      <c r="M2017" s="564" t="s">
        <v>2098</v>
      </c>
      <c r="N2017" s="564" t="s">
        <v>1082</v>
      </c>
      <c r="O2017" s="564" t="s">
        <v>2099</v>
      </c>
      <c r="P2017" s="23"/>
      <c r="Q2017" s="23"/>
      <c r="R2017" s="23"/>
      <c r="S2017" s="23"/>
      <c r="T2017" s="23"/>
      <c r="U2017" s="23"/>
      <c r="V2017" s="23"/>
      <c r="W2017" s="23"/>
      <c r="X2017" s="23"/>
      <c r="Y2017" s="23"/>
      <c r="Z2017" s="23"/>
    </row>
    <row r="2018" spans="1:26" ht="13">
      <c r="A2018" s="562" t="s">
        <v>5237</v>
      </c>
      <c r="B2018" s="563" t="s">
        <v>5238</v>
      </c>
      <c r="C2018" s="564" t="s">
        <v>1076</v>
      </c>
      <c r="D2018" s="565">
        <v>43587</v>
      </c>
      <c r="E2018" s="565">
        <v>43677</v>
      </c>
      <c r="F2018" s="566">
        <v>1987000</v>
      </c>
      <c r="G2018" s="564" t="s">
        <v>1400</v>
      </c>
      <c r="H2018" s="564" t="s">
        <v>1400</v>
      </c>
      <c r="I2018" s="564" t="s">
        <v>4816</v>
      </c>
      <c r="J2018" s="564" t="s">
        <v>1069</v>
      </c>
      <c r="K2018" s="564" t="s">
        <v>1070</v>
      </c>
      <c r="L2018" s="564" t="s">
        <v>2098</v>
      </c>
      <c r="M2018" s="564" t="s">
        <v>2098</v>
      </c>
      <c r="N2018" s="564" t="s">
        <v>1082</v>
      </c>
      <c r="O2018" s="564" t="s">
        <v>2099</v>
      </c>
      <c r="P2018" s="23"/>
      <c r="Q2018" s="23"/>
      <c r="R2018" s="23"/>
      <c r="S2018" s="23"/>
      <c r="T2018" s="23"/>
      <c r="U2018" s="23"/>
      <c r="V2018" s="23"/>
      <c r="W2018" s="23"/>
      <c r="X2018" s="23"/>
      <c r="Y2018" s="23"/>
      <c r="Z2018" s="23"/>
    </row>
    <row r="2019" spans="1:26" ht="13">
      <c r="A2019" s="562" t="s">
        <v>5239</v>
      </c>
      <c r="B2019" s="563" t="s">
        <v>5240</v>
      </c>
      <c r="C2019" s="564" t="s">
        <v>1076</v>
      </c>
      <c r="D2019" s="565">
        <v>43580</v>
      </c>
      <c r="E2019" s="565">
        <v>43644</v>
      </c>
      <c r="F2019" s="566">
        <v>1987000</v>
      </c>
      <c r="G2019" s="564" t="s">
        <v>1400</v>
      </c>
      <c r="H2019" s="564" t="s">
        <v>1400</v>
      </c>
      <c r="I2019" s="564" t="s">
        <v>4816</v>
      </c>
      <c r="J2019" s="564" t="s">
        <v>1069</v>
      </c>
      <c r="K2019" s="564" t="s">
        <v>1070</v>
      </c>
      <c r="L2019" s="564" t="s">
        <v>2098</v>
      </c>
      <c r="M2019" s="564" t="s">
        <v>2098</v>
      </c>
      <c r="N2019" s="564" t="s">
        <v>1082</v>
      </c>
      <c r="O2019" s="564" t="s">
        <v>2099</v>
      </c>
      <c r="P2019" s="23"/>
      <c r="Q2019" s="23"/>
      <c r="R2019" s="23"/>
      <c r="S2019" s="23"/>
      <c r="T2019" s="23"/>
      <c r="U2019" s="23"/>
      <c r="V2019" s="23"/>
      <c r="W2019" s="23"/>
      <c r="X2019" s="23"/>
      <c r="Y2019" s="23"/>
      <c r="Z2019" s="23"/>
    </row>
    <row r="2020" spans="1:26" ht="13">
      <c r="A2020" s="562" t="s">
        <v>5241</v>
      </c>
      <c r="B2020" s="563" t="s">
        <v>5242</v>
      </c>
      <c r="C2020" s="564" t="s">
        <v>1652</v>
      </c>
      <c r="D2020" s="565">
        <v>43580</v>
      </c>
      <c r="E2020" s="565">
        <v>43607</v>
      </c>
      <c r="F2020" s="566">
        <v>381000</v>
      </c>
      <c r="G2020" s="564" t="s">
        <v>1623</v>
      </c>
      <c r="H2020" s="564" t="s">
        <v>1623</v>
      </c>
      <c r="I2020" s="564" t="s">
        <v>1746</v>
      </c>
      <c r="J2020" s="564" t="s">
        <v>1069</v>
      </c>
      <c r="K2020" s="564" t="s">
        <v>1198</v>
      </c>
      <c r="L2020" s="564" t="s">
        <v>2098</v>
      </c>
      <c r="M2020" s="564" t="s">
        <v>2098</v>
      </c>
      <c r="N2020" s="564" t="s">
        <v>1073</v>
      </c>
      <c r="O2020" s="564" t="s">
        <v>2099</v>
      </c>
      <c r="P2020" s="23"/>
      <c r="Q2020" s="23"/>
      <c r="R2020" s="23"/>
      <c r="S2020" s="23"/>
      <c r="T2020" s="23"/>
      <c r="U2020" s="23"/>
      <c r="V2020" s="23"/>
      <c r="W2020" s="23"/>
      <c r="X2020" s="23"/>
      <c r="Y2020" s="23"/>
      <c r="Z2020" s="23"/>
    </row>
    <row r="2021" spans="1:26" ht="13">
      <c r="A2021" s="562" t="s">
        <v>5243</v>
      </c>
      <c r="B2021" s="563" t="s">
        <v>5244</v>
      </c>
      <c r="C2021" s="564" t="s">
        <v>1652</v>
      </c>
      <c r="D2021" s="565">
        <v>43580</v>
      </c>
      <c r="E2021" s="565">
        <v>43607</v>
      </c>
      <c r="F2021" s="566">
        <v>27654546</v>
      </c>
      <c r="G2021" s="564" t="s">
        <v>1623</v>
      </c>
      <c r="H2021" s="564" t="s">
        <v>1623</v>
      </c>
      <c r="I2021" s="564" t="s">
        <v>802</v>
      </c>
      <c r="J2021" s="564" t="s">
        <v>1069</v>
      </c>
      <c r="K2021" s="564" t="s">
        <v>1198</v>
      </c>
      <c r="L2021" s="564" t="s">
        <v>2098</v>
      </c>
      <c r="M2021" s="564" t="s">
        <v>2098</v>
      </c>
      <c r="N2021" s="564" t="s">
        <v>132</v>
      </c>
      <c r="O2021" s="564" t="s">
        <v>2099</v>
      </c>
      <c r="P2021" s="23"/>
      <c r="Q2021" s="23"/>
      <c r="R2021" s="23"/>
      <c r="S2021" s="23"/>
      <c r="T2021" s="23"/>
      <c r="U2021" s="23"/>
      <c r="V2021" s="23"/>
      <c r="W2021" s="23"/>
      <c r="X2021" s="23"/>
      <c r="Y2021" s="23"/>
      <c r="Z2021" s="23"/>
    </row>
    <row r="2022" spans="1:26" ht="13">
      <c r="A2022" s="562" t="s">
        <v>5245</v>
      </c>
      <c r="B2022" s="563" t="s">
        <v>4830</v>
      </c>
      <c r="C2022" s="564" t="s">
        <v>1652</v>
      </c>
      <c r="D2022" s="565">
        <v>43579</v>
      </c>
      <c r="E2022" s="565">
        <v>43585</v>
      </c>
      <c r="F2022" s="566">
        <v>170000</v>
      </c>
      <c r="G2022" s="564" t="s">
        <v>1941</v>
      </c>
      <c r="H2022" s="564" t="s">
        <v>1941</v>
      </c>
      <c r="I2022" s="564" t="s">
        <v>70</v>
      </c>
      <c r="J2022" s="564" t="s">
        <v>1069</v>
      </c>
      <c r="K2022" s="564" t="s">
        <v>1120</v>
      </c>
      <c r="L2022" s="564" t="s">
        <v>2098</v>
      </c>
      <c r="M2022" s="564" t="s">
        <v>2098</v>
      </c>
      <c r="N2022" s="564" t="s">
        <v>70</v>
      </c>
      <c r="O2022" s="564" t="s">
        <v>2099</v>
      </c>
      <c r="P2022" s="23"/>
      <c r="Q2022" s="23"/>
      <c r="R2022" s="23"/>
      <c r="S2022" s="23"/>
      <c r="T2022" s="23"/>
      <c r="U2022" s="23"/>
      <c r="V2022" s="23"/>
      <c r="W2022" s="23"/>
      <c r="X2022" s="23"/>
      <c r="Y2022" s="23"/>
      <c r="Z2022" s="23"/>
    </row>
    <row r="2023" spans="1:26" ht="13">
      <c r="A2023" s="562" t="s">
        <v>5246</v>
      </c>
      <c r="B2023" s="563" t="s">
        <v>5247</v>
      </c>
      <c r="C2023" s="564" t="s">
        <v>353</v>
      </c>
      <c r="D2023" s="565">
        <v>43579</v>
      </c>
      <c r="E2023" s="565">
        <v>43600</v>
      </c>
      <c r="F2023" s="566">
        <v>63660000</v>
      </c>
      <c r="G2023" s="564" t="s">
        <v>1498</v>
      </c>
      <c r="H2023" s="564" t="s">
        <v>1498</v>
      </c>
      <c r="I2023" s="564" t="s">
        <v>45</v>
      </c>
      <c r="J2023" s="564" t="s">
        <v>1069</v>
      </c>
      <c r="K2023" s="564" t="s">
        <v>1090</v>
      </c>
      <c r="L2023" s="564" t="s">
        <v>2098</v>
      </c>
      <c r="M2023" s="564" t="s">
        <v>2098</v>
      </c>
      <c r="N2023" s="564" t="s">
        <v>45</v>
      </c>
      <c r="O2023" s="564" t="s">
        <v>2099</v>
      </c>
      <c r="P2023" s="23"/>
      <c r="Q2023" s="23"/>
      <c r="R2023" s="23"/>
      <c r="S2023" s="23"/>
      <c r="T2023" s="23"/>
      <c r="U2023" s="23"/>
      <c r="V2023" s="23"/>
      <c r="W2023" s="23"/>
      <c r="X2023" s="23"/>
      <c r="Y2023" s="23"/>
      <c r="Z2023" s="23"/>
    </row>
    <row r="2024" spans="1:26" ht="13">
      <c r="A2024" s="562" t="s">
        <v>5248</v>
      </c>
      <c r="B2024" s="563" t="s">
        <v>5249</v>
      </c>
      <c r="C2024" s="564" t="s">
        <v>3378</v>
      </c>
      <c r="D2024" s="565">
        <v>43578</v>
      </c>
      <c r="E2024" s="565">
        <v>43585</v>
      </c>
      <c r="F2024" s="566">
        <v>29988000</v>
      </c>
      <c r="G2024" s="564" t="s">
        <v>1128</v>
      </c>
      <c r="H2024" s="564" t="s">
        <v>1128</v>
      </c>
      <c r="I2024" s="564" t="s">
        <v>45</v>
      </c>
      <c r="J2024" s="564" t="s">
        <v>1069</v>
      </c>
      <c r="K2024" s="564" t="s">
        <v>1090</v>
      </c>
      <c r="L2024" s="564" t="s">
        <v>2098</v>
      </c>
      <c r="M2024" s="564" t="s">
        <v>2098</v>
      </c>
      <c r="N2024" s="564" t="s">
        <v>45</v>
      </c>
      <c r="O2024" s="564" t="s">
        <v>2099</v>
      </c>
      <c r="P2024" s="23"/>
      <c r="Q2024" s="23"/>
      <c r="R2024" s="23"/>
      <c r="S2024" s="23"/>
      <c r="T2024" s="23"/>
      <c r="U2024" s="23"/>
      <c r="V2024" s="23"/>
      <c r="W2024" s="23"/>
      <c r="X2024" s="23"/>
      <c r="Y2024" s="23"/>
      <c r="Z2024" s="23"/>
    </row>
    <row r="2025" spans="1:26" ht="13">
      <c r="A2025" s="562" t="s">
        <v>5250</v>
      </c>
      <c r="B2025" s="563" t="s">
        <v>5251</v>
      </c>
      <c r="C2025" s="564" t="s">
        <v>1652</v>
      </c>
      <c r="D2025" s="565">
        <v>43578</v>
      </c>
      <c r="E2025" s="565">
        <v>43595</v>
      </c>
      <c r="F2025" s="566">
        <v>908000</v>
      </c>
      <c r="G2025" s="564" t="s">
        <v>1941</v>
      </c>
      <c r="H2025" s="564" t="s">
        <v>1941</v>
      </c>
      <c r="I2025" s="564" t="s">
        <v>1637</v>
      </c>
      <c r="J2025" s="564" t="s">
        <v>1069</v>
      </c>
      <c r="K2025" s="564" t="s">
        <v>1120</v>
      </c>
      <c r="L2025" s="564" t="s">
        <v>2098</v>
      </c>
      <c r="M2025" s="564" t="s">
        <v>2098</v>
      </c>
      <c r="N2025" s="564" t="s">
        <v>1073</v>
      </c>
      <c r="O2025" s="564" t="s">
        <v>2099</v>
      </c>
      <c r="P2025" s="23"/>
      <c r="Q2025" s="23"/>
      <c r="R2025" s="23"/>
      <c r="S2025" s="23"/>
      <c r="T2025" s="23"/>
      <c r="U2025" s="23"/>
      <c r="V2025" s="23"/>
      <c r="W2025" s="23"/>
      <c r="X2025" s="23"/>
      <c r="Y2025" s="23"/>
      <c r="Z2025" s="23"/>
    </row>
    <row r="2026" spans="1:26" ht="13">
      <c r="A2026" s="562" t="s">
        <v>5252</v>
      </c>
      <c r="B2026" s="563" t="s">
        <v>4687</v>
      </c>
      <c r="C2026" s="564" t="s">
        <v>1076</v>
      </c>
      <c r="D2026" s="565">
        <v>43573</v>
      </c>
      <c r="E2026" s="565">
        <v>43644</v>
      </c>
      <c r="F2026" s="566">
        <v>2500000</v>
      </c>
      <c r="G2026" s="564" t="s">
        <v>1400</v>
      </c>
      <c r="H2026" s="564" t="s">
        <v>1400</v>
      </c>
      <c r="I2026" s="564" t="s">
        <v>4816</v>
      </c>
      <c r="J2026" s="564" t="s">
        <v>1069</v>
      </c>
      <c r="K2026" s="564" t="s">
        <v>1070</v>
      </c>
      <c r="L2026" s="564" t="s">
        <v>2098</v>
      </c>
      <c r="M2026" s="564" t="s">
        <v>2098</v>
      </c>
      <c r="N2026" s="564" t="s">
        <v>1082</v>
      </c>
      <c r="O2026" s="564" t="s">
        <v>2099</v>
      </c>
      <c r="P2026" s="23"/>
      <c r="Q2026" s="23"/>
      <c r="R2026" s="23"/>
      <c r="S2026" s="23"/>
      <c r="T2026" s="23"/>
      <c r="U2026" s="23"/>
      <c r="V2026" s="23"/>
      <c r="W2026" s="23"/>
      <c r="X2026" s="23"/>
      <c r="Y2026" s="23"/>
      <c r="Z2026" s="23"/>
    </row>
    <row r="2027" spans="1:26" ht="13">
      <c r="A2027" s="562" t="s">
        <v>5253</v>
      </c>
      <c r="B2027" s="563" t="s">
        <v>5254</v>
      </c>
      <c r="C2027" s="564" t="s">
        <v>353</v>
      </c>
      <c r="D2027" s="565">
        <v>43572</v>
      </c>
      <c r="E2027" s="565">
        <v>43588</v>
      </c>
      <c r="F2027" s="566">
        <v>1280000</v>
      </c>
      <c r="G2027" s="564" t="s">
        <v>1498</v>
      </c>
      <c r="H2027" s="564" t="s">
        <v>1498</v>
      </c>
      <c r="I2027" s="564" t="s">
        <v>45</v>
      </c>
      <c r="J2027" s="564" t="s">
        <v>1069</v>
      </c>
      <c r="K2027" s="564" t="s">
        <v>1090</v>
      </c>
      <c r="L2027" s="564" t="s">
        <v>2098</v>
      </c>
      <c r="M2027" s="564" t="s">
        <v>2098</v>
      </c>
      <c r="N2027" s="564" t="s">
        <v>45</v>
      </c>
      <c r="O2027" s="564" t="s">
        <v>2099</v>
      </c>
      <c r="P2027" s="23"/>
      <c r="Q2027" s="23"/>
      <c r="R2027" s="23"/>
      <c r="S2027" s="23"/>
      <c r="T2027" s="23"/>
      <c r="U2027" s="23"/>
      <c r="V2027" s="23"/>
      <c r="W2027" s="23"/>
      <c r="X2027" s="23"/>
      <c r="Y2027" s="23"/>
      <c r="Z2027" s="23"/>
    </row>
    <row r="2028" spans="1:26" ht="13">
      <c r="A2028" s="562" t="s">
        <v>5255</v>
      </c>
      <c r="B2028" s="563" t="s">
        <v>5256</v>
      </c>
      <c r="C2028" s="564" t="s">
        <v>353</v>
      </c>
      <c r="D2028" s="565">
        <v>43571</v>
      </c>
      <c r="E2028" s="565">
        <v>43593</v>
      </c>
      <c r="F2028" s="566">
        <v>1680000</v>
      </c>
      <c r="G2028" s="564" t="s">
        <v>1498</v>
      </c>
      <c r="H2028" s="564" t="s">
        <v>1498</v>
      </c>
      <c r="I2028" s="564" t="s">
        <v>45</v>
      </c>
      <c r="J2028" s="564" t="s">
        <v>1069</v>
      </c>
      <c r="K2028" s="564" t="s">
        <v>1090</v>
      </c>
      <c r="L2028" s="564" t="s">
        <v>2098</v>
      </c>
      <c r="M2028" s="564" t="s">
        <v>2098</v>
      </c>
      <c r="N2028" s="564" t="s">
        <v>45</v>
      </c>
      <c r="O2028" s="564" t="s">
        <v>2099</v>
      </c>
      <c r="P2028" s="23"/>
      <c r="Q2028" s="23"/>
      <c r="R2028" s="23"/>
      <c r="S2028" s="23"/>
      <c r="T2028" s="23"/>
      <c r="U2028" s="23"/>
      <c r="V2028" s="23"/>
      <c r="W2028" s="23"/>
      <c r="X2028" s="23"/>
      <c r="Y2028" s="23"/>
      <c r="Z2028" s="23"/>
    </row>
    <row r="2029" spans="1:26" ht="13">
      <c r="A2029" s="562" t="s">
        <v>5257</v>
      </c>
      <c r="B2029" s="563" t="s">
        <v>5258</v>
      </c>
      <c r="C2029" s="564" t="s">
        <v>353</v>
      </c>
      <c r="D2029" s="565">
        <v>43571</v>
      </c>
      <c r="E2029" s="565">
        <v>43572</v>
      </c>
      <c r="F2029" s="566">
        <v>29710000</v>
      </c>
      <c r="G2029" s="564" t="s">
        <v>1128</v>
      </c>
      <c r="H2029" s="564" t="s">
        <v>1128</v>
      </c>
      <c r="I2029" s="564" t="s">
        <v>45</v>
      </c>
      <c r="J2029" s="564" t="s">
        <v>1069</v>
      </c>
      <c r="K2029" s="564" t="s">
        <v>1090</v>
      </c>
      <c r="L2029" s="564" t="s">
        <v>2098</v>
      </c>
      <c r="M2029" s="564" t="s">
        <v>2098</v>
      </c>
      <c r="N2029" s="564" t="s">
        <v>45</v>
      </c>
      <c r="O2029" s="564" t="s">
        <v>2099</v>
      </c>
      <c r="P2029" s="23"/>
      <c r="Q2029" s="23"/>
      <c r="R2029" s="23"/>
      <c r="S2029" s="23"/>
      <c r="T2029" s="23"/>
      <c r="U2029" s="23"/>
      <c r="V2029" s="23"/>
      <c r="W2029" s="23"/>
      <c r="X2029" s="23"/>
      <c r="Y2029" s="23"/>
      <c r="Z2029" s="23"/>
    </row>
    <row r="2030" spans="1:26" ht="13">
      <c r="A2030" s="562" t="s">
        <v>5259</v>
      </c>
      <c r="B2030" s="563" t="s">
        <v>5260</v>
      </c>
      <c r="C2030" s="564" t="s">
        <v>353</v>
      </c>
      <c r="D2030" s="565">
        <v>43570</v>
      </c>
      <c r="E2030" s="565">
        <v>43571</v>
      </c>
      <c r="F2030" s="566">
        <v>100012000</v>
      </c>
      <c r="G2030" s="564" t="s">
        <v>1128</v>
      </c>
      <c r="H2030" s="564" t="s">
        <v>1128</v>
      </c>
      <c r="I2030" s="564" t="s">
        <v>45</v>
      </c>
      <c r="J2030" s="564" t="s">
        <v>1069</v>
      </c>
      <c r="K2030" s="564" t="s">
        <v>1090</v>
      </c>
      <c r="L2030" s="564" t="s">
        <v>2098</v>
      </c>
      <c r="M2030" s="564" t="s">
        <v>2098</v>
      </c>
      <c r="N2030" s="564" t="s">
        <v>45</v>
      </c>
      <c r="O2030" s="564" t="s">
        <v>2099</v>
      </c>
      <c r="P2030" s="23"/>
      <c r="Q2030" s="23"/>
      <c r="R2030" s="23"/>
      <c r="S2030" s="23"/>
      <c r="T2030" s="23"/>
      <c r="U2030" s="23"/>
      <c r="V2030" s="23"/>
      <c r="W2030" s="23"/>
      <c r="X2030" s="23"/>
      <c r="Y2030" s="23"/>
      <c r="Z2030" s="23"/>
    </row>
    <row r="2031" spans="1:26" ht="13">
      <c r="A2031" s="562" t="s">
        <v>5261</v>
      </c>
      <c r="B2031" s="563" t="s">
        <v>5262</v>
      </c>
      <c r="C2031" s="564" t="s">
        <v>353</v>
      </c>
      <c r="D2031" s="565">
        <v>43570</v>
      </c>
      <c r="E2031" s="565">
        <v>43571</v>
      </c>
      <c r="F2031" s="566">
        <v>228526000</v>
      </c>
      <c r="G2031" s="564" t="s">
        <v>1128</v>
      </c>
      <c r="H2031" s="564" t="s">
        <v>1128</v>
      </c>
      <c r="I2031" s="564" t="s">
        <v>45</v>
      </c>
      <c r="J2031" s="564" t="s">
        <v>1069</v>
      </c>
      <c r="K2031" s="564" t="s">
        <v>1090</v>
      </c>
      <c r="L2031" s="564" t="s">
        <v>2098</v>
      </c>
      <c r="M2031" s="564" t="s">
        <v>2098</v>
      </c>
      <c r="N2031" s="564" t="s">
        <v>45</v>
      </c>
      <c r="O2031" s="564" t="s">
        <v>2099</v>
      </c>
      <c r="P2031" s="23"/>
      <c r="Q2031" s="23"/>
      <c r="R2031" s="23"/>
      <c r="S2031" s="23"/>
      <c r="T2031" s="23"/>
      <c r="U2031" s="23"/>
      <c r="V2031" s="23"/>
      <c r="W2031" s="23"/>
      <c r="X2031" s="23"/>
      <c r="Y2031" s="23"/>
      <c r="Z2031" s="23"/>
    </row>
    <row r="2032" spans="1:26" ht="13">
      <c r="A2032" s="562" t="s">
        <v>5263</v>
      </c>
      <c r="B2032" s="563" t="s">
        <v>5264</v>
      </c>
      <c r="C2032" s="564" t="s">
        <v>353</v>
      </c>
      <c r="D2032" s="565">
        <v>43570</v>
      </c>
      <c r="E2032" s="565">
        <v>43571</v>
      </c>
      <c r="F2032" s="566">
        <v>6621000</v>
      </c>
      <c r="G2032" s="564" t="s">
        <v>1128</v>
      </c>
      <c r="H2032" s="564" t="s">
        <v>1128</v>
      </c>
      <c r="I2032" s="564" t="s">
        <v>45</v>
      </c>
      <c r="J2032" s="564" t="s">
        <v>1069</v>
      </c>
      <c r="K2032" s="564" t="s">
        <v>1090</v>
      </c>
      <c r="L2032" s="564" t="s">
        <v>2098</v>
      </c>
      <c r="M2032" s="564" t="s">
        <v>2098</v>
      </c>
      <c r="N2032" s="564" t="s">
        <v>45</v>
      </c>
      <c r="O2032" s="564" t="s">
        <v>2099</v>
      </c>
      <c r="P2032" s="23"/>
      <c r="Q2032" s="23"/>
      <c r="R2032" s="23"/>
      <c r="S2032" s="23"/>
      <c r="T2032" s="23"/>
      <c r="U2032" s="23"/>
      <c r="V2032" s="23"/>
      <c r="W2032" s="23"/>
      <c r="X2032" s="23"/>
      <c r="Y2032" s="23"/>
      <c r="Z2032" s="23"/>
    </row>
    <row r="2033" spans="1:26" ht="13">
      <c r="A2033" s="562" t="s">
        <v>5265</v>
      </c>
      <c r="B2033" s="563" t="s">
        <v>5266</v>
      </c>
      <c r="C2033" s="564" t="s">
        <v>1652</v>
      </c>
      <c r="D2033" s="565">
        <v>43570</v>
      </c>
      <c r="E2033" s="565">
        <v>43585</v>
      </c>
      <c r="F2033" s="566">
        <v>44000</v>
      </c>
      <c r="G2033" s="564" t="s">
        <v>337</v>
      </c>
      <c r="H2033" s="564" t="s">
        <v>337</v>
      </c>
      <c r="I2033" s="564" t="s">
        <v>802</v>
      </c>
      <c r="J2033" s="564" t="s">
        <v>1069</v>
      </c>
      <c r="K2033" s="564" t="s">
        <v>1198</v>
      </c>
      <c r="L2033" s="564" t="s">
        <v>2098</v>
      </c>
      <c r="M2033" s="564" t="s">
        <v>2098</v>
      </c>
      <c r="N2033" s="564" t="s">
        <v>132</v>
      </c>
      <c r="O2033" s="564" t="s">
        <v>2099</v>
      </c>
      <c r="P2033" s="23"/>
      <c r="Q2033" s="23"/>
      <c r="R2033" s="23"/>
      <c r="S2033" s="23"/>
      <c r="T2033" s="23"/>
      <c r="U2033" s="23"/>
      <c r="V2033" s="23"/>
      <c r="W2033" s="23"/>
      <c r="X2033" s="23"/>
      <c r="Y2033" s="23"/>
      <c r="Z2033" s="23"/>
    </row>
    <row r="2034" spans="1:26" ht="13">
      <c r="A2034" s="562" t="s">
        <v>5267</v>
      </c>
      <c r="B2034" s="563" t="s">
        <v>5268</v>
      </c>
      <c r="C2034" s="564" t="s">
        <v>1076</v>
      </c>
      <c r="D2034" s="565">
        <v>43570</v>
      </c>
      <c r="E2034" s="565">
        <v>43644</v>
      </c>
      <c r="F2034" s="566">
        <v>1729000</v>
      </c>
      <c r="G2034" s="564" t="s">
        <v>1400</v>
      </c>
      <c r="H2034" s="564" t="s">
        <v>1400</v>
      </c>
      <c r="I2034" s="564" t="s">
        <v>4816</v>
      </c>
      <c r="J2034" s="564" t="s">
        <v>1069</v>
      </c>
      <c r="K2034" s="564" t="s">
        <v>1070</v>
      </c>
      <c r="L2034" s="564" t="s">
        <v>2098</v>
      </c>
      <c r="M2034" s="564" t="s">
        <v>2098</v>
      </c>
      <c r="N2034" s="564" t="s">
        <v>1082</v>
      </c>
      <c r="O2034" s="564" t="s">
        <v>2099</v>
      </c>
      <c r="P2034" s="23"/>
      <c r="Q2034" s="23"/>
      <c r="R2034" s="23"/>
      <c r="S2034" s="23"/>
      <c r="T2034" s="23"/>
      <c r="U2034" s="23"/>
      <c r="V2034" s="23"/>
      <c r="W2034" s="23"/>
      <c r="X2034" s="23"/>
      <c r="Y2034" s="23"/>
      <c r="Z2034" s="23"/>
    </row>
    <row r="2035" spans="1:26" ht="13">
      <c r="A2035" s="562" t="s">
        <v>5269</v>
      </c>
      <c r="B2035" s="563" t="s">
        <v>5270</v>
      </c>
      <c r="C2035" s="564" t="s">
        <v>2433</v>
      </c>
      <c r="D2035" s="565">
        <v>43560</v>
      </c>
      <c r="E2035" s="565">
        <v>43462</v>
      </c>
      <c r="F2035" s="567"/>
      <c r="G2035" s="564" t="s">
        <v>1400</v>
      </c>
      <c r="H2035" s="564" t="s">
        <v>1400</v>
      </c>
      <c r="I2035" s="564" t="s">
        <v>4816</v>
      </c>
      <c r="J2035" s="564" t="s">
        <v>1069</v>
      </c>
      <c r="K2035" s="564" t="s">
        <v>1070</v>
      </c>
      <c r="L2035" s="564" t="s">
        <v>2098</v>
      </c>
      <c r="M2035" s="564" t="s">
        <v>2098</v>
      </c>
      <c r="N2035" s="564" t="s">
        <v>1082</v>
      </c>
      <c r="O2035" s="564" t="s">
        <v>2099</v>
      </c>
      <c r="P2035" s="23"/>
      <c r="Q2035" s="23"/>
      <c r="R2035" s="23"/>
      <c r="S2035" s="23"/>
      <c r="T2035" s="23"/>
      <c r="U2035" s="23"/>
      <c r="V2035" s="23"/>
      <c r="W2035" s="23"/>
      <c r="X2035" s="23"/>
      <c r="Y2035" s="23"/>
      <c r="Z2035" s="23"/>
    </row>
    <row r="2036" spans="1:26" ht="13">
      <c r="A2036" s="562" t="s">
        <v>5271</v>
      </c>
      <c r="B2036" s="563" t="s">
        <v>5272</v>
      </c>
      <c r="C2036" s="564" t="s">
        <v>1076</v>
      </c>
      <c r="D2036" s="565">
        <v>43560</v>
      </c>
      <c r="E2036" s="565">
        <v>43644</v>
      </c>
      <c r="F2036" s="566">
        <v>3340560</v>
      </c>
      <c r="G2036" s="564" t="s">
        <v>1400</v>
      </c>
      <c r="H2036" s="564" t="s">
        <v>1400</v>
      </c>
      <c r="I2036" s="564" t="s">
        <v>4816</v>
      </c>
      <c r="J2036" s="564" t="s">
        <v>1069</v>
      </c>
      <c r="K2036" s="564" t="s">
        <v>1070</v>
      </c>
      <c r="L2036" s="564" t="s">
        <v>2098</v>
      </c>
      <c r="M2036" s="564" t="s">
        <v>2098</v>
      </c>
      <c r="N2036" s="564" t="s">
        <v>1082</v>
      </c>
      <c r="O2036" s="564" t="s">
        <v>2099</v>
      </c>
      <c r="P2036" s="23"/>
      <c r="Q2036" s="23"/>
      <c r="R2036" s="23"/>
      <c r="S2036" s="23"/>
      <c r="T2036" s="23"/>
      <c r="U2036" s="23"/>
      <c r="V2036" s="23"/>
      <c r="W2036" s="23"/>
      <c r="X2036" s="23"/>
      <c r="Y2036" s="23"/>
      <c r="Z2036" s="23"/>
    </row>
    <row r="2037" spans="1:26" ht="13">
      <c r="A2037" s="562" t="s">
        <v>5273</v>
      </c>
      <c r="B2037" s="563" t="s">
        <v>5274</v>
      </c>
      <c r="C2037" s="564" t="s">
        <v>353</v>
      </c>
      <c r="D2037" s="565">
        <v>43563</v>
      </c>
      <c r="E2037" s="565">
        <v>43585</v>
      </c>
      <c r="F2037" s="566">
        <v>9577200</v>
      </c>
      <c r="G2037" s="564" t="s">
        <v>1498</v>
      </c>
      <c r="H2037" s="564" t="s">
        <v>1498</v>
      </c>
      <c r="I2037" s="564" t="s">
        <v>45</v>
      </c>
      <c r="J2037" s="564" t="s">
        <v>1069</v>
      </c>
      <c r="K2037" s="564" t="s">
        <v>1090</v>
      </c>
      <c r="L2037" s="564" t="s">
        <v>1071</v>
      </c>
      <c r="M2037" s="564" t="s">
        <v>1183</v>
      </c>
      <c r="N2037" s="564" t="s">
        <v>45</v>
      </c>
      <c r="O2037" s="564" t="s">
        <v>1472</v>
      </c>
      <c r="P2037" s="23"/>
      <c r="Q2037" s="23"/>
      <c r="R2037" s="23"/>
      <c r="S2037" s="23"/>
      <c r="T2037" s="23"/>
      <c r="U2037" s="23"/>
      <c r="V2037" s="23"/>
      <c r="W2037" s="23"/>
      <c r="X2037" s="23"/>
      <c r="Y2037" s="23"/>
      <c r="Z2037" s="23"/>
    </row>
    <row r="2038" spans="1:26" ht="13">
      <c r="A2038" s="562" t="s">
        <v>5275</v>
      </c>
      <c r="B2038" s="563" t="s">
        <v>5276</v>
      </c>
      <c r="C2038" s="564" t="s">
        <v>353</v>
      </c>
      <c r="D2038" s="565">
        <v>43560</v>
      </c>
      <c r="E2038" s="565">
        <v>43585</v>
      </c>
      <c r="F2038" s="566">
        <v>3945360</v>
      </c>
      <c r="G2038" s="564" t="s">
        <v>1498</v>
      </c>
      <c r="H2038" s="564" t="s">
        <v>1498</v>
      </c>
      <c r="I2038" s="564" t="s">
        <v>45</v>
      </c>
      <c r="J2038" s="564" t="s">
        <v>1069</v>
      </c>
      <c r="K2038" s="564" t="s">
        <v>1090</v>
      </c>
      <c r="L2038" s="564" t="s">
        <v>1071</v>
      </c>
      <c r="M2038" s="564" t="s">
        <v>1183</v>
      </c>
      <c r="N2038" s="564" t="s">
        <v>45</v>
      </c>
      <c r="O2038" s="564" t="s">
        <v>1472</v>
      </c>
      <c r="P2038" s="23"/>
      <c r="Q2038" s="23"/>
      <c r="R2038" s="23"/>
      <c r="S2038" s="23"/>
      <c r="T2038" s="23"/>
      <c r="U2038" s="23"/>
      <c r="V2038" s="23"/>
      <c r="W2038" s="23"/>
      <c r="X2038" s="23"/>
      <c r="Y2038" s="23"/>
      <c r="Z2038" s="23"/>
    </row>
    <row r="2039" spans="1:26" ht="13">
      <c r="A2039" s="562" t="s">
        <v>5277</v>
      </c>
      <c r="B2039" s="563" t="s">
        <v>5278</v>
      </c>
      <c r="C2039" s="564" t="s">
        <v>1076</v>
      </c>
      <c r="D2039" s="565">
        <v>43558</v>
      </c>
      <c r="E2039" s="565">
        <v>43644</v>
      </c>
      <c r="F2039" s="566">
        <v>990000</v>
      </c>
      <c r="G2039" s="564" t="s">
        <v>1400</v>
      </c>
      <c r="H2039" s="564" t="s">
        <v>1400</v>
      </c>
      <c r="I2039" s="564" t="s">
        <v>4816</v>
      </c>
      <c r="J2039" s="564" t="s">
        <v>1069</v>
      </c>
      <c r="K2039" s="564" t="s">
        <v>1070</v>
      </c>
      <c r="L2039" s="564" t="s">
        <v>2098</v>
      </c>
      <c r="M2039" s="564" t="s">
        <v>2098</v>
      </c>
      <c r="N2039" s="564" t="s">
        <v>1082</v>
      </c>
      <c r="O2039" s="564" t="s">
        <v>2099</v>
      </c>
      <c r="P2039" s="23"/>
      <c r="Q2039" s="23"/>
      <c r="R2039" s="23"/>
      <c r="S2039" s="23"/>
      <c r="T2039" s="23"/>
      <c r="U2039" s="23"/>
      <c r="V2039" s="23"/>
      <c r="W2039" s="23"/>
      <c r="X2039" s="23"/>
      <c r="Y2039" s="23"/>
      <c r="Z2039" s="23"/>
    </row>
    <row r="2040" spans="1:26" ht="13">
      <c r="A2040" s="562" t="s">
        <v>5279</v>
      </c>
      <c r="B2040" s="563" t="s">
        <v>5280</v>
      </c>
      <c r="C2040" s="564" t="s">
        <v>353</v>
      </c>
      <c r="D2040" s="565">
        <v>43557</v>
      </c>
      <c r="E2040" s="565">
        <v>43559</v>
      </c>
      <c r="F2040" s="566">
        <v>28000000</v>
      </c>
      <c r="G2040" s="564" t="s">
        <v>1498</v>
      </c>
      <c r="H2040" s="564" t="s">
        <v>1498</v>
      </c>
      <c r="I2040" s="564" t="s">
        <v>45</v>
      </c>
      <c r="J2040" s="564" t="s">
        <v>1069</v>
      </c>
      <c r="K2040" s="564" t="s">
        <v>1090</v>
      </c>
      <c r="L2040" s="564" t="s">
        <v>2098</v>
      </c>
      <c r="M2040" s="564" t="s">
        <v>2098</v>
      </c>
      <c r="N2040" s="564" t="s">
        <v>45</v>
      </c>
      <c r="O2040" s="564" t="s">
        <v>2099</v>
      </c>
      <c r="P2040" s="23"/>
      <c r="Q2040" s="23"/>
      <c r="R2040" s="23"/>
      <c r="S2040" s="23"/>
      <c r="T2040" s="23"/>
      <c r="U2040" s="23"/>
      <c r="V2040" s="23"/>
      <c r="W2040" s="23"/>
      <c r="X2040" s="23"/>
      <c r="Y2040" s="23"/>
      <c r="Z2040" s="23"/>
    </row>
    <row r="2041" spans="1:26" ht="13">
      <c r="A2041" s="562" t="s">
        <v>5281</v>
      </c>
      <c r="B2041" s="563" t="s">
        <v>5282</v>
      </c>
      <c r="C2041" s="564" t="s">
        <v>1652</v>
      </c>
      <c r="D2041" s="565">
        <v>43557</v>
      </c>
      <c r="E2041" s="565">
        <v>43560</v>
      </c>
      <c r="F2041" s="566">
        <v>999000</v>
      </c>
      <c r="G2041" s="564" t="s">
        <v>1941</v>
      </c>
      <c r="H2041" s="564" t="s">
        <v>1941</v>
      </c>
      <c r="I2041" s="564" t="s">
        <v>70</v>
      </c>
      <c r="J2041" s="564" t="s">
        <v>1069</v>
      </c>
      <c r="K2041" s="564" t="s">
        <v>1120</v>
      </c>
      <c r="L2041" s="564" t="s">
        <v>2098</v>
      </c>
      <c r="M2041" s="564" t="s">
        <v>2098</v>
      </c>
      <c r="N2041" s="564" t="s">
        <v>70</v>
      </c>
      <c r="O2041" s="564" t="s">
        <v>2099</v>
      </c>
      <c r="P2041" s="23"/>
      <c r="Q2041" s="23"/>
      <c r="R2041" s="23"/>
      <c r="S2041" s="23"/>
      <c r="T2041" s="23"/>
      <c r="U2041" s="23"/>
      <c r="V2041" s="23"/>
      <c r="W2041" s="23"/>
      <c r="X2041" s="23"/>
      <c r="Y2041" s="23"/>
      <c r="Z2041" s="23"/>
    </row>
    <row r="2042" spans="1:26" ht="13">
      <c r="A2042" s="562" t="s">
        <v>5283</v>
      </c>
      <c r="B2042" s="563" t="s">
        <v>5282</v>
      </c>
      <c r="C2042" s="564" t="s">
        <v>3378</v>
      </c>
      <c r="D2042" s="565">
        <v>43556</v>
      </c>
      <c r="E2042" s="565">
        <v>43560</v>
      </c>
      <c r="F2042" s="566">
        <v>990000</v>
      </c>
      <c r="G2042" s="564" t="s">
        <v>1941</v>
      </c>
      <c r="H2042" s="564" t="s">
        <v>1941</v>
      </c>
      <c r="I2042" s="564" t="s">
        <v>70</v>
      </c>
      <c r="J2042" s="564" t="s">
        <v>1069</v>
      </c>
      <c r="K2042" s="564" t="s">
        <v>1120</v>
      </c>
      <c r="L2042" s="564" t="s">
        <v>2098</v>
      </c>
      <c r="M2042" s="564" t="s">
        <v>2098</v>
      </c>
      <c r="N2042" s="564" t="s">
        <v>70</v>
      </c>
      <c r="O2042" s="564" t="s">
        <v>2099</v>
      </c>
      <c r="P2042" s="23"/>
      <c r="Q2042" s="23"/>
      <c r="R2042" s="23"/>
      <c r="S2042" s="23"/>
      <c r="T2042" s="23"/>
      <c r="U2042" s="23"/>
      <c r="V2042" s="23"/>
      <c r="W2042" s="23"/>
      <c r="X2042" s="23"/>
      <c r="Y2042" s="23"/>
      <c r="Z2042" s="23"/>
    </row>
    <row r="2043" spans="1:26" ht="13">
      <c r="A2043" s="562" t="s">
        <v>5284</v>
      </c>
      <c r="B2043" s="563" t="s">
        <v>5125</v>
      </c>
      <c r="C2043" s="564" t="s">
        <v>1652</v>
      </c>
      <c r="D2043" s="565">
        <v>43556</v>
      </c>
      <c r="E2043" s="565">
        <v>43560</v>
      </c>
      <c r="F2043" s="566">
        <v>1280000</v>
      </c>
      <c r="G2043" s="564" t="s">
        <v>1941</v>
      </c>
      <c r="H2043" s="564" t="s">
        <v>1941</v>
      </c>
      <c r="I2043" s="564" t="s">
        <v>70</v>
      </c>
      <c r="J2043" s="564" t="s">
        <v>1069</v>
      </c>
      <c r="K2043" s="564" t="s">
        <v>1120</v>
      </c>
      <c r="L2043" s="564" t="s">
        <v>2098</v>
      </c>
      <c r="M2043" s="564" t="s">
        <v>2098</v>
      </c>
      <c r="N2043" s="564" t="s">
        <v>70</v>
      </c>
      <c r="O2043" s="564" t="s">
        <v>2099</v>
      </c>
      <c r="P2043" s="23"/>
      <c r="Q2043" s="23"/>
      <c r="R2043" s="23"/>
      <c r="S2043" s="23"/>
      <c r="T2043" s="23"/>
      <c r="U2043" s="23"/>
      <c r="V2043" s="23"/>
      <c r="W2043" s="23"/>
      <c r="X2043" s="23"/>
      <c r="Y2043" s="23"/>
      <c r="Z2043" s="23"/>
    </row>
    <row r="2044" spans="1:26" ht="13">
      <c r="A2044" s="562" t="s">
        <v>5285</v>
      </c>
      <c r="B2044" s="563" t="s">
        <v>5286</v>
      </c>
      <c r="C2044" s="564" t="s">
        <v>1652</v>
      </c>
      <c r="D2044" s="565">
        <v>43552</v>
      </c>
      <c r="E2044" s="565">
        <v>43585</v>
      </c>
      <c r="F2044" s="566">
        <v>88000</v>
      </c>
      <c r="G2044" s="564" t="s">
        <v>1400</v>
      </c>
      <c r="H2044" s="564" t="s">
        <v>1400</v>
      </c>
      <c r="I2044" s="564" t="s">
        <v>5287</v>
      </c>
      <c r="J2044" s="564" t="s">
        <v>1069</v>
      </c>
      <c r="K2044" s="564" t="s">
        <v>1070</v>
      </c>
      <c r="L2044" s="564" t="s">
        <v>2098</v>
      </c>
      <c r="M2044" s="564" t="s">
        <v>2098</v>
      </c>
      <c r="N2044" s="564" t="s">
        <v>1082</v>
      </c>
      <c r="O2044" s="564" t="s">
        <v>2099</v>
      </c>
      <c r="P2044" s="23"/>
      <c r="Q2044" s="23"/>
      <c r="R2044" s="23"/>
      <c r="S2044" s="23"/>
      <c r="T2044" s="23"/>
      <c r="U2044" s="23"/>
      <c r="V2044" s="23"/>
      <c r="W2044" s="23"/>
      <c r="X2044" s="23"/>
      <c r="Y2044" s="23"/>
      <c r="Z2044" s="23"/>
    </row>
    <row r="2045" spans="1:26" ht="13">
      <c r="A2045" s="562" t="s">
        <v>5288</v>
      </c>
      <c r="B2045" s="563" t="s">
        <v>5289</v>
      </c>
      <c r="C2045" s="564" t="s">
        <v>1076</v>
      </c>
      <c r="D2045" s="565">
        <v>43552</v>
      </c>
      <c r="E2045" s="565">
        <v>43616</v>
      </c>
      <c r="F2045" s="566">
        <v>816000</v>
      </c>
      <c r="G2045" s="564" t="s">
        <v>1400</v>
      </c>
      <c r="H2045" s="564" t="s">
        <v>1400</v>
      </c>
      <c r="I2045" s="564" t="s">
        <v>4816</v>
      </c>
      <c r="J2045" s="564" t="s">
        <v>1069</v>
      </c>
      <c r="K2045" s="564" t="s">
        <v>1070</v>
      </c>
      <c r="L2045" s="564" t="s">
        <v>2098</v>
      </c>
      <c r="M2045" s="564" t="s">
        <v>2098</v>
      </c>
      <c r="N2045" s="564" t="s">
        <v>1082</v>
      </c>
      <c r="O2045" s="564" t="s">
        <v>2099</v>
      </c>
      <c r="P2045" s="23"/>
      <c r="Q2045" s="23"/>
      <c r="R2045" s="23"/>
      <c r="S2045" s="23"/>
      <c r="T2045" s="23"/>
      <c r="U2045" s="23"/>
      <c r="V2045" s="23"/>
      <c r="W2045" s="23"/>
      <c r="X2045" s="23"/>
      <c r="Y2045" s="23"/>
      <c r="Z2045" s="23"/>
    </row>
    <row r="2046" spans="1:26" ht="13">
      <c r="A2046" s="562" t="s">
        <v>5290</v>
      </c>
      <c r="B2046" s="563" t="s">
        <v>5066</v>
      </c>
      <c r="C2046" s="564" t="s">
        <v>1652</v>
      </c>
      <c r="D2046" s="565">
        <v>43552</v>
      </c>
      <c r="E2046" s="565">
        <v>43585</v>
      </c>
      <c r="F2046" s="566">
        <v>88000</v>
      </c>
      <c r="G2046" s="564" t="s">
        <v>1400</v>
      </c>
      <c r="H2046" s="564" t="s">
        <v>1400</v>
      </c>
      <c r="I2046" s="564" t="s">
        <v>1581</v>
      </c>
      <c r="J2046" s="564" t="s">
        <v>1069</v>
      </c>
      <c r="K2046" s="564" t="s">
        <v>1070</v>
      </c>
      <c r="L2046" s="564" t="s">
        <v>2098</v>
      </c>
      <c r="M2046" s="564" t="s">
        <v>2098</v>
      </c>
      <c r="N2046" s="564" t="s">
        <v>1082</v>
      </c>
      <c r="O2046" s="564" t="s">
        <v>2099</v>
      </c>
      <c r="P2046" s="23"/>
      <c r="Q2046" s="23"/>
      <c r="R2046" s="23"/>
      <c r="S2046" s="23"/>
      <c r="T2046" s="23"/>
      <c r="U2046" s="23"/>
      <c r="V2046" s="23"/>
      <c r="W2046" s="23"/>
      <c r="X2046" s="23"/>
      <c r="Y2046" s="23"/>
      <c r="Z2046" s="23"/>
    </row>
    <row r="2047" spans="1:26" ht="13">
      <c r="A2047" s="562" t="s">
        <v>5291</v>
      </c>
      <c r="B2047" s="563" t="s">
        <v>5292</v>
      </c>
      <c r="C2047" s="564" t="s">
        <v>1076</v>
      </c>
      <c r="D2047" s="565">
        <v>43552</v>
      </c>
      <c r="E2047" s="565">
        <v>43644</v>
      </c>
      <c r="F2047" s="566">
        <v>7949000</v>
      </c>
      <c r="G2047" s="564" t="s">
        <v>1400</v>
      </c>
      <c r="H2047" s="564" t="s">
        <v>1400</v>
      </c>
      <c r="I2047" s="564" t="s">
        <v>4816</v>
      </c>
      <c r="J2047" s="564" t="s">
        <v>1069</v>
      </c>
      <c r="K2047" s="564" t="s">
        <v>1070</v>
      </c>
      <c r="L2047" s="564" t="s">
        <v>2098</v>
      </c>
      <c r="M2047" s="564" t="s">
        <v>2098</v>
      </c>
      <c r="N2047" s="564" t="s">
        <v>1082</v>
      </c>
      <c r="O2047" s="564" t="s">
        <v>2099</v>
      </c>
      <c r="P2047" s="23"/>
      <c r="Q2047" s="23"/>
      <c r="R2047" s="23"/>
      <c r="S2047" s="23"/>
      <c r="T2047" s="23"/>
      <c r="U2047" s="23"/>
      <c r="V2047" s="23"/>
      <c r="W2047" s="23"/>
      <c r="X2047" s="23"/>
      <c r="Y2047" s="23"/>
      <c r="Z2047" s="23"/>
    </row>
    <row r="2048" spans="1:26" ht="13">
      <c r="A2048" s="562" t="s">
        <v>5293</v>
      </c>
      <c r="B2048" s="563" t="s">
        <v>5294</v>
      </c>
      <c r="C2048" s="564" t="s">
        <v>1652</v>
      </c>
      <c r="D2048" s="565">
        <v>43552</v>
      </c>
      <c r="E2048" s="565">
        <v>43560</v>
      </c>
      <c r="F2048" s="566">
        <v>4415000</v>
      </c>
      <c r="G2048" s="564" t="s">
        <v>1623</v>
      </c>
      <c r="H2048" s="564" t="s">
        <v>1623</v>
      </c>
      <c r="I2048" s="564" t="s">
        <v>1746</v>
      </c>
      <c r="J2048" s="564" t="s">
        <v>1069</v>
      </c>
      <c r="K2048" s="564" t="s">
        <v>1198</v>
      </c>
      <c r="L2048" s="564" t="s">
        <v>2098</v>
      </c>
      <c r="M2048" s="564" t="s">
        <v>2098</v>
      </c>
      <c r="N2048" s="564" t="s">
        <v>1073</v>
      </c>
      <c r="O2048" s="564" t="s">
        <v>2099</v>
      </c>
      <c r="P2048" s="23"/>
      <c r="Q2048" s="23"/>
      <c r="R2048" s="23"/>
      <c r="S2048" s="23"/>
      <c r="T2048" s="23"/>
      <c r="U2048" s="23"/>
      <c r="V2048" s="23"/>
      <c r="W2048" s="23"/>
      <c r="X2048" s="23"/>
      <c r="Y2048" s="23"/>
      <c r="Z2048" s="23"/>
    </row>
    <row r="2049" spans="1:26" ht="13">
      <c r="A2049" s="562" t="s">
        <v>5295</v>
      </c>
      <c r="B2049" s="563" t="s">
        <v>5296</v>
      </c>
      <c r="C2049" s="564" t="s">
        <v>1652</v>
      </c>
      <c r="D2049" s="565">
        <v>43552</v>
      </c>
      <c r="E2049" s="565">
        <v>43581</v>
      </c>
      <c r="F2049" s="566">
        <v>8427273</v>
      </c>
      <c r="G2049" s="564" t="s">
        <v>1623</v>
      </c>
      <c r="H2049" s="564" t="s">
        <v>1623</v>
      </c>
      <c r="I2049" s="564" t="s">
        <v>802</v>
      </c>
      <c r="J2049" s="564" t="s">
        <v>1069</v>
      </c>
      <c r="K2049" s="564" t="s">
        <v>1198</v>
      </c>
      <c r="L2049" s="564" t="s">
        <v>2098</v>
      </c>
      <c r="M2049" s="564" t="s">
        <v>2098</v>
      </c>
      <c r="N2049" s="564" t="s">
        <v>132</v>
      </c>
      <c r="O2049" s="564" t="s">
        <v>2099</v>
      </c>
      <c r="P2049" s="23"/>
      <c r="Q2049" s="23"/>
      <c r="R2049" s="23"/>
      <c r="S2049" s="23"/>
      <c r="T2049" s="23"/>
      <c r="U2049" s="23"/>
      <c r="V2049" s="23"/>
      <c r="W2049" s="23"/>
      <c r="X2049" s="23"/>
      <c r="Y2049" s="23"/>
      <c r="Z2049" s="23"/>
    </row>
    <row r="2050" spans="1:26" ht="13">
      <c r="A2050" s="562" t="s">
        <v>5297</v>
      </c>
      <c r="B2050" s="563" t="s">
        <v>5298</v>
      </c>
      <c r="C2050" s="564" t="s">
        <v>353</v>
      </c>
      <c r="D2050" s="565">
        <v>43551</v>
      </c>
      <c r="E2050" s="565">
        <v>43560</v>
      </c>
      <c r="F2050" s="566">
        <v>98000</v>
      </c>
      <c r="G2050" s="564" t="s">
        <v>1498</v>
      </c>
      <c r="H2050" s="564" t="s">
        <v>1498</v>
      </c>
      <c r="I2050" s="564" t="s">
        <v>64</v>
      </c>
      <c r="J2050" s="564" t="s">
        <v>1069</v>
      </c>
      <c r="K2050" s="564" t="s">
        <v>1090</v>
      </c>
      <c r="L2050" s="564" t="s">
        <v>2098</v>
      </c>
      <c r="M2050" s="564" t="s">
        <v>2098</v>
      </c>
      <c r="N2050" s="564" t="s">
        <v>64</v>
      </c>
      <c r="O2050" s="564" t="s">
        <v>2099</v>
      </c>
      <c r="P2050" s="23"/>
      <c r="Q2050" s="23"/>
      <c r="R2050" s="23"/>
      <c r="S2050" s="23"/>
      <c r="T2050" s="23"/>
      <c r="U2050" s="23"/>
      <c r="V2050" s="23"/>
      <c r="W2050" s="23"/>
      <c r="X2050" s="23"/>
      <c r="Y2050" s="23"/>
      <c r="Z2050" s="23"/>
    </row>
    <row r="2051" spans="1:26" ht="13">
      <c r="A2051" s="562" t="s">
        <v>5299</v>
      </c>
      <c r="B2051" s="563" t="s">
        <v>5300</v>
      </c>
      <c r="C2051" s="564" t="s">
        <v>353</v>
      </c>
      <c r="D2051" s="565">
        <v>43551</v>
      </c>
      <c r="E2051" s="565">
        <v>43560</v>
      </c>
      <c r="F2051" s="566">
        <v>2375000</v>
      </c>
      <c r="G2051" s="564" t="s">
        <v>1157</v>
      </c>
      <c r="H2051" s="564" t="s">
        <v>1157</v>
      </c>
      <c r="I2051" s="564" t="s">
        <v>225</v>
      </c>
      <c r="J2051" s="564" t="s">
        <v>1069</v>
      </c>
      <c r="K2051" s="564" t="s">
        <v>1105</v>
      </c>
      <c r="L2051" s="564" t="s">
        <v>2098</v>
      </c>
      <c r="M2051" s="564" t="s">
        <v>2098</v>
      </c>
      <c r="N2051" s="564" t="s">
        <v>225</v>
      </c>
      <c r="O2051" s="564" t="s">
        <v>2099</v>
      </c>
      <c r="P2051" s="23"/>
      <c r="Q2051" s="23"/>
      <c r="R2051" s="23"/>
      <c r="S2051" s="23"/>
      <c r="T2051" s="23"/>
      <c r="U2051" s="23"/>
      <c r="V2051" s="23"/>
      <c r="W2051" s="23"/>
      <c r="X2051" s="23"/>
      <c r="Y2051" s="23"/>
      <c r="Z2051" s="23"/>
    </row>
    <row r="2052" spans="1:26" ht="13">
      <c r="A2052" s="562" t="s">
        <v>5301</v>
      </c>
      <c r="B2052" s="563" t="s">
        <v>5302</v>
      </c>
      <c r="C2052" s="564" t="s">
        <v>1076</v>
      </c>
      <c r="D2052" s="565">
        <v>43550</v>
      </c>
      <c r="E2052" s="565">
        <v>43616</v>
      </c>
      <c r="F2052" s="566">
        <v>1041000</v>
      </c>
      <c r="G2052" s="564" t="s">
        <v>1400</v>
      </c>
      <c r="H2052" s="564" t="s">
        <v>1400</v>
      </c>
      <c r="I2052" s="564" t="s">
        <v>4816</v>
      </c>
      <c r="J2052" s="564" t="s">
        <v>1069</v>
      </c>
      <c r="K2052" s="564" t="s">
        <v>1070</v>
      </c>
      <c r="L2052" s="564" t="s">
        <v>2098</v>
      </c>
      <c r="M2052" s="564" t="s">
        <v>2098</v>
      </c>
      <c r="N2052" s="564" t="s">
        <v>1082</v>
      </c>
      <c r="O2052" s="564" t="s">
        <v>2099</v>
      </c>
      <c r="P2052" s="23"/>
      <c r="Q2052" s="23"/>
      <c r="R2052" s="23"/>
      <c r="S2052" s="23"/>
      <c r="T2052" s="23"/>
      <c r="U2052" s="23"/>
      <c r="V2052" s="23"/>
      <c r="W2052" s="23"/>
      <c r="X2052" s="23"/>
      <c r="Y2052" s="23"/>
      <c r="Z2052" s="23"/>
    </row>
    <row r="2053" spans="1:26" ht="13">
      <c r="A2053" s="562" t="s">
        <v>5303</v>
      </c>
      <c r="B2053" s="563" t="s">
        <v>5304</v>
      </c>
      <c r="C2053" s="564" t="s">
        <v>1652</v>
      </c>
      <c r="D2053" s="565">
        <v>43549</v>
      </c>
      <c r="E2053" s="565">
        <v>43763</v>
      </c>
      <c r="F2053" s="566">
        <v>509000000</v>
      </c>
      <c r="G2053" s="564" t="s">
        <v>1623</v>
      </c>
      <c r="H2053" s="564" t="s">
        <v>1623</v>
      </c>
      <c r="I2053" s="564" t="s">
        <v>802</v>
      </c>
      <c r="J2053" s="564" t="s">
        <v>1069</v>
      </c>
      <c r="K2053" s="564" t="s">
        <v>1198</v>
      </c>
      <c r="L2053" s="564" t="s">
        <v>2098</v>
      </c>
      <c r="M2053" s="564" t="s">
        <v>2098</v>
      </c>
      <c r="N2053" s="564" t="s">
        <v>132</v>
      </c>
      <c r="O2053" s="564" t="s">
        <v>2099</v>
      </c>
      <c r="P2053" s="23"/>
      <c r="Q2053" s="23"/>
      <c r="R2053" s="23"/>
      <c r="S2053" s="23"/>
      <c r="T2053" s="23"/>
      <c r="U2053" s="23"/>
      <c r="V2053" s="23"/>
      <c r="W2053" s="23"/>
      <c r="X2053" s="23"/>
      <c r="Y2053" s="23"/>
      <c r="Z2053" s="23"/>
    </row>
    <row r="2054" spans="1:26" ht="13">
      <c r="A2054" s="562" t="s">
        <v>5305</v>
      </c>
      <c r="B2054" s="563" t="s">
        <v>5306</v>
      </c>
      <c r="C2054" s="564" t="s">
        <v>1652</v>
      </c>
      <c r="D2054" s="565">
        <v>43549</v>
      </c>
      <c r="E2054" s="565">
        <v>43553</v>
      </c>
      <c r="F2054" s="566">
        <v>36538000</v>
      </c>
      <c r="G2054" s="564" t="s">
        <v>1941</v>
      </c>
      <c r="H2054" s="564" t="s">
        <v>1941</v>
      </c>
      <c r="I2054" s="564" t="s">
        <v>70</v>
      </c>
      <c r="J2054" s="564" t="s">
        <v>1069</v>
      </c>
      <c r="K2054" s="564" t="s">
        <v>1120</v>
      </c>
      <c r="L2054" s="564" t="s">
        <v>2098</v>
      </c>
      <c r="M2054" s="564" t="s">
        <v>2098</v>
      </c>
      <c r="N2054" s="564" t="s">
        <v>70</v>
      </c>
      <c r="O2054" s="564" t="s">
        <v>2099</v>
      </c>
      <c r="P2054" s="23"/>
      <c r="Q2054" s="23"/>
      <c r="R2054" s="23"/>
      <c r="S2054" s="23"/>
      <c r="T2054" s="23"/>
      <c r="U2054" s="23"/>
      <c r="V2054" s="23"/>
      <c r="W2054" s="23"/>
      <c r="X2054" s="23"/>
      <c r="Y2054" s="23"/>
      <c r="Z2054" s="23"/>
    </row>
    <row r="2055" spans="1:26" ht="13">
      <c r="A2055" s="562" t="s">
        <v>5307</v>
      </c>
      <c r="B2055" s="563" t="s">
        <v>5304</v>
      </c>
      <c r="C2055" s="564" t="s">
        <v>3378</v>
      </c>
      <c r="D2055" s="565">
        <v>43549</v>
      </c>
      <c r="E2055" s="565">
        <v>43763</v>
      </c>
      <c r="F2055" s="566">
        <v>509000000</v>
      </c>
      <c r="G2055" s="564" t="s">
        <v>1623</v>
      </c>
      <c r="H2055" s="564" t="s">
        <v>1623</v>
      </c>
      <c r="I2055" s="564" t="s">
        <v>802</v>
      </c>
      <c r="J2055" s="564" t="s">
        <v>1069</v>
      </c>
      <c r="K2055" s="564" t="s">
        <v>1198</v>
      </c>
      <c r="L2055" s="564" t="s">
        <v>2098</v>
      </c>
      <c r="M2055" s="564" t="s">
        <v>2098</v>
      </c>
      <c r="N2055" s="564" t="s">
        <v>132</v>
      </c>
      <c r="O2055" s="564" t="s">
        <v>2099</v>
      </c>
      <c r="P2055" s="23"/>
      <c r="Q2055" s="23"/>
      <c r="R2055" s="23"/>
      <c r="S2055" s="23"/>
      <c r="T2055" s="23"/>
      <c r="U2055" s="23"/>
      <c r="V2055" s="23"/>
      <c r="W2055" s="23"/>
      <c r="X2055" s="23"/>
      <c r="Y2055" s="23"/>
      <c r="Z2055" s="23"/>
    </row>
    <row r="2056" spans="1:26" ht="13">
      <c r="A2056" s="562" t="s">
        <v>5308</v>
      </c>
      <c r="B2056" s="563" t="s">
        <v>5309</v>
      </c>
      <c r="C2056" s="564" t="s">
        <v>2322</v>
      </c>
      <c r="D2056" s="565">
        <v>43549</v>
      </c>
      <c r="E2056" s="565">
        <v>43621</v>
      </c>
      <c r="F2056" s="566">
        <v>280000000</v>
      </c>
      <c r="G2056" s="564" t="s">
        <v>1640</v>
      </c>
      <c r="H2056" s="564" t="s">
        <v>1640</v>
      </c>
      <c r="I2056" s="564" t="s">
        <v>5310</v>
      </c>
      <c r="J2056" s="564" t="s">
        <v>1069</v>
      </c>
      <c r="K2056" s="564" t="s">
        <v>1209</v>
      </c>
      <c r="L2056" s="564" t="s">
        <v>2098</v>
      </c>
      <c r="M2056" s="564" t="s">
        <v>2098</v>
      </c>
      <c r="N2056" s="564" t="s">
        <v>1082</v>
      </c>
      <c r="O2056" s="564" t="s">
        <v>2099</v>
      </c>
      <c r="P2056" s="23"/>
      <c r="Q2056" s="23"/>
      <c r="R2056" s="23"/>
      <c r="S2056" s="23"/>
      <c r="T2056" s="23"/>
      <c r="U2056" s="23"/>
      <c r="V2056" s="23"/>
      <c r="W2056" s="23"/>
      <c r="X2056" s="23"/>
      <c r="Y2056" s="23"/>
      <c r="Z2056" s="23"/>
    </row>
    <row r="2057" spans="1:26" ht="13">
      <c r="A2057" s="562" t="s">
        <v>5311</v>
      </c>
      <c r="B2057" s="563" t="s">
        <v>5312</v>
      </c>
      <c r="C2057" s="564" t="s">
        <v>1076</v>
      </c>
      <c r="D2057" s="565">
        <v>43546</v>
      </c>
      <c r="E2057" s="565">
        <v>43616</v>
      </c>
      <c r="F2057" s="566">
        <v>1987000</v>
      </c>
      <c r="G2057" s="564" t="s">
        <v>1400</v>
      </c>
      <c r="H2057" s="564" t="s">
        <v>1400</v>
      </c>
      <c r="I2057" s="564" t="s">
        <v>4816</v>
      </c>
      <c r="J2057" s="564" t="s">
        <v>1069</v>
      </c>
      <c r="K2057" s="564" t="s">
        <v>1070</v>
      </c>
      <c r="L2057" s="564" t="s">
        <v>2098</v>
      </c>
      <c r="M2057" s="564" t="s">
        <v>2098</v>
      </c>
      <c r="N2057" s="564" t="s">
        <v>1082</v>
      </c>
      <c r="O2057" s="564" t="s">
        <v>2099</v>
      </c>
      <c r="P2057" s="23"/>
      <c r="Q2057" s="23"/>
      <c r="R2057" s="23"/>
      <c r="S2057" s="23"/>
      <c r="T2057" s="23"/>
      <c r="U2057" s="23"/>
      <c r="V2057" s="23"/>
      <c r="W2057" s="23"/>
      <c r="X2057" s="23"/>
      <c r="Y2057" s="23"/>
      <c r="Z2057" s="23"/>
    </row>
    <row r="2058" spans="1:26" ht="13">
      <c r="A2058" s="562" t="s">
        <v>5313</v>
      </c>
      <c r="B2058" s="563" t="s">
        <v>5314</v>
      </c>
      <c r="C2058" s="564" t="s">
        <v>1475</v>
      </c>
      <c r="D2058" s="565">
        <v>43545</v>
      </c>
      <c r="E2058" s="565">
        <v>43555</v>
      </c>
      <c r="F2058" s="566">
        <v>14790000</v>
      </c>
      <c r="G2058" s="564" t="s">
        <v>1529</v>
      </c>
      <c r="H2058" s="564" t="s">
        <v>1529</v>
      </c>
      <c r="I2058" s="564" t="s">
        <v>1417</v>
      </c>
      <c r="J2058" s="564" t="s">
        <v>1069</v>
      </c>
      <c r="K2058" s="564" t="s">
        <v>1070</v>
      </c>
      <c r="L2058" s="564" t="s">
        <v>2098</v>
      </c>
      <c r="M2058" s="564" t="s">
        <v>2098</v>
      </c>
      <c r="N2058" s="564" t="s">
        <v>1082</v>
      </c>
      <c r="O2058" s="564" t="s">
        <v>2099</v>
      </c>
      <c r="P2058" s="23"/>
      <c r="Q2058" s="23"/>
      <c r="R2058" s="23"/>
      <c r="S2058" s="23"/>
      <c r="T2058" s="23"/>
      <c r="U2058" s="23"/>
      <c r="V2058" s="23"/>
      <c r="W2058" s="23"/>
      <c r="X2058" s="23"/>
      <c r="Y2058" s="23"/>
      <c r="Z2058" s="23"/>
    </row>
    <row r="2059" spans="1:26" ht="13">
      <c r="A2059" s="562" t="s">
        <v>5315</v>
      </c>
      <c r="B2059" s="563" t="s">
        <v>4889</v>
      </c>
      <c r="C2059" s="564" t="s">
        <v>1076</v>
      </c>
      <c r="D2059" s="565">
        <v>43545</v>
      </c>
      <c r="E2059" s="565">
        <v>43616</v>
      </c>
      <c r="F2059" s="566">
        <v>2250000</v>
      </c>
      <c r="G2059" s="564" t="s">
        <v>1400</v>
      </c>
      <c r="H2059" s="564" t="s">
        <v>1400</v>
      </c>
      <c r="I2059" s="564" t="s">
        <v>4816</v>
      </c>
      <c r="J2059" s="564" t="s">
        <v>1069</v>
      </c>
      <c r="K2059" s="564" t="s">
        <v>1070</v>
      </c>
      <c r="L2059" s="564" t="s">
        <v>2098</v>
      </c>
      <c r="M2059" s="564" t="s">
        <v>2098</v>
      </c>
      <c r="N2059" s="564" t="s">
        <v>1082</v>
      </c>
      <c r="O2059" s="564" t="s">
        <v>2099</v>
      </c>
      <c r="P2059" s="23"/>
      <c r="Q2059" s="23"/>
      <c r="R2059" s="23"/>
      <c r="S2059" s="23"/>
      <c r="T2059" s="23"/>
      <c r="U2059" s="23"/>
      <c r="V2059" s="23"/>
      <c r="W2059" s="23"/>
      <c r="X2059" s="23"/>
      <c r="Y2059" s="23"/>
      <c r="Z2059" s="23"/>
    </row>
    <row r="2060" spans="1:26" ht="13">
      <c r="A2060" s="562" t="s">
        <v>5316</v>
      </c>
      <c r="B2060" s="563" t="s">
        <v>5317</v>
      </c>
      <c r="C2060" s="564" t="s">
        <v>353</v>
      </c>
      <c r="D2060" s="565">
        <v>43544</v>
      </c>
      <c r="E2060" s="565">
        <v>43565</v>
      </c>
      <c r="F2060" s="566">
        <v>1200000</v>
      </c>
      <c r="G2060" s="564" t="s">
        <v>1498</v>
      </c>
      <c r="H2060" s="564" t="s">
        <v>1498</v>
      </c>
      <c r="I2060" s="564" t="s">
        <v>45</v>
      </c>
      <c r="J2060" s="564" t="s">
        <v>1069</v>
      </c>
      <c r="K2060" s="564" t="s">
        <v>1090</v>
      </c>
      <c r="L2060" s="564" t="s">
        <v>2098</v>
      </c>
      <c r="M2060" s="564" t="s">
        <v>2098</v>
      </c>
      <c r="N2060" s="564" t="s">
        <v>45</v>
      </c>
      <c r="O2060" s="564" t="s">
        <v>2099</v>
      </c>
      <c r="P2060" s="23"/>
      <c r="Q2060" s="23"/>
      <c r="R2060" s="23"/>
      <c r="S2060" s="23"/>
      <c r="T2060" s="23"/>
      <c r="U2060" s="23"/>
      <c r="V2060" s="23"/>
      <c r="W2060" s="23"/>
      <c r="X2060" s="23"/>
      <c r="Y2060" s="23"/>
      <c r="Z2060" s="23"/>
    </row>
    <row r="2061" spans="1:26" ht="13">
      <c r="A2061" s="562" t="s">
        <v>5318</v>
      </c>
      <c r="B2061" s="563" t="s">
        <v>5319</v>
      </c>
      <c r="C2061" s="564" t="s">
        <v>1204</v>
      </c>
      <c r="D2061" s="565">
        <v>43543</v>
      </c>
      <c r="E2061" s="565">
        <v>43525</v>
      </c>
      <c r="F2061" s="566">
        <v>2263200</v>
      </c>
      <c r="G2061" s="564" t="s">
        <v>1366</v>
      </c>
      <c r="H2061" s="564" t="s">
        <v>1366</v>
      </c>
      <c r="I2061" s="564" t="s">
        <v>1471</v>
      </c>
      <c r="J2061" s="564" t="s">
        <v>1069</v>
      </c>
      <c r="K2061" s="564" t="s">
        <v>1070</v>
      </c>
      <c r="L2061" s="564" t="s">
        <v>1071</v>
      </c>
      <c r="M2061" s="564" t="s">
        <v>1183</v>
      </c>
      <c r="N2061" s="564" t="s">
        <v>1082</v>
      </c>
      <c r="O2061" s="564" t="s">
        <v>1472</v>
      </c>
      <c r="P2061" s="23"/>
      <c r="Q2061" s="23"/>
      <c r="R2061" s="23"/>
      <c r="S2061" s="23"/>
      <c r="T2061" s="23"/>
      <c r="U2061" s="23"/>
      <c r="V2061" s="23"/>
      <c r="W2061" s="23"/>
      <c r="X2061" s="23"/>
      <c r="Y2061" s="23"/>
      <c r="Z2061" s="23"/>
    </row>
    <row r="2062" spans="1:26" ht="13">
      <c r="A2062" s="562" t="s">
        <v>5320</v>
      </c>
      <c r="B2062" s="563" t="s">
        <v>5321</v>
      </c>
      <c r="C2062" s="564" t="s">
        <v>1204</v>
      </c>
      <c r="D2062" s="565">
        <v>43543</v>
      </c>
      <c r="E2062" s="565">
        <v>43525</v>
      </c>
      <c r="F2062" s="566">
        <v>238896</v>
      </c>
      <c r="G2062" s="564" t="s">
        <v>1366</v>
      </c>
      <c r="H2062" s="564" t="s">
        <v>1366</v>
      </c>
      <c r="I2062" s="564" t="s">
        <v>1471</v>
      </c>
      <c r="J2062" s="564" t="s">
        <v>1069</v>
      </c>
      <c r="K2062" s="564" t="s">
        <v>1070</v>
      </c>
      <c r="L2062" s="564" t="s">
        <v>1071</v>
      </c>
      <c r="M2062" s="564" t="s">
        <v>1183</v>
      </c>
      <c r="N2062" s="564" t="s">
        <v>1082</v>
      </c>
      <c r="O2062" s="564" t="s">
        <v>1472</v>
      </c>
      <c r="P2062" s="23"/>
      <c r="Q2062" s="23"/>
      <c r="R2062" s="23"/>
      <c r="S2062" s="23"/>
      <c r="T2062" s="23"/>
      <c r="U2062" s="23"/>
      <c r="V2062" s="23"/>
      <c r="W2062" s="23"/>
      <c r="X2062" s="23"/>
      <c r="Y2062" s="23"/>
      <c r="Z2062" s="23"/>
    </row>
    <row r="2063" spans="1:26" ht="13">
      <c r="A2063" s="562" t="s">
        <v>5322</v>
      </c>
      <c r="B2063" s="563" t="s">
        <v>5323</v>
      </c>
      <c r="C2063" s="564" t="s">
        <v>1076</v>
      </c>
      <c r="D2063" s="565">
        <v>43537</v>
      </c>
      <c r="E2063" s="565">
        <v>43616</v>
      </c>
      <c r="F2063" s="566">
        <v>451000</v>
      </c>
      <c r="G2063" s="564" t="s">
        <v>1400</v>
      </c>
      <c r="H2063" s="564" t="s">
        <v>1400</v>
      </c>
      <c r="I2063" s="564" t="s">
        <v>4816</v>
      </c>
      <c r="J2063" s="564" t="s">
        <v>1069</v>
      </c>
      <c r="K2063" s="564" t="s">
        <v>1070</v>
      </c>
      <c r="L2063" s="564" t="s">
        <v>2098</v>
      </c>
      <c r="M2063" s="564" t="s">
        <v>2098</v>
      </c>
      <c r="N2063" s="564" t="s">
        <v>1082</v>
      </c>
      <c r="O2063" s="564" t="s">
        <v>2099</v>
      </c>
      <c r="P2063" s="23"/>
      <c r="Q2063" s="23"/>
      <c r="R2063" s="23"/>
      <c r="S2063" s="23"/>
      <c r="T2063" s="23"/>
      <c r="U2063" s="23"/>
      <c r="V2063" s="23"/>
      <c r="W2063" s="23"/>
      <c r="X2063" s="23"/>
      <c r="Y2063" s="23"/>
      <c r="Z2063" s="23"/>
    </row>
    <row r="2064" spans="1:26" ht="13">
      <c r="A2064" s="562" t="s">
        <v>5324</v>
      </c>
      <c r="B2064" s="563" t="s">
        <v>5325</v>
      </c>
      <c r="C2064" s="564" t="s">
        <v>1076</v>
      </c>
      <c r="D2064" s="565">
        <v>43537</v>
      </c>
      <c r="E2064" s="565">
        <v>43616</v>
      </c>
      <c r="F2064" s="566">
        <v>16764000</v>
      </c>
      <c r="G2064" s="564" t="s">
        <v>1400</v>
      </c>
      <c r="H2064" s="564" t="s">
        <v>1400</v>
      </c>
      <c r="I2064" s="564" t="s">
        <v>4816</v>
      </c>
      <c r="J2064" s="564" t="s">
        <v>1069</v>
      </c>
      <c r="K2064" s="564" t="s">
        <v>1070</v>
      </c>
      <c r="L2064" s="564" t="s">
        <v>2098</v>
      </c>
      <c r="M2064" s="564" t="s">
        <v>2098</v>
      </c>
      <c r="N2064" s="564" t="s">
        <v>1082</v>
      </c>
      <c r="O2064" s="564" t="s">
        <v>2099</v>
      </c>
      <c r="P2064" s="23"/>
      <c r="Q2064" s="23"/>
      <c r="R2064" s="23"/>
      <c r="S2064" s="23"/>
      <c r="T2064" s="23"/>
      <c r="U2064" s="23"/>
      <c r="V2064" s="23"/>
      <c r="W2064" s="23"/>
      <c r="X2064" s="23"/>
      <c r="Y2064" s="23"/>
      <c r="Z2064" s="23"/>
    </row>
    <row r="2065" spans="1:26" ht="13">
      <c r="A2065" s="562" t="s">
        <v>5326</v>
      </c>
      <c r="B2065" s="563" t="s">
        <v>5327</v>
      </c>
      <c r="C2065" s="564" t="s">
        <v>353</v>
      </c>
      <c r="D2065" s="565">
        <v>43537</v>
      </c>
      <c r="E2065" s="565">
        <v>43555</v>
      </c>
      <c r="F2065" s="566">
        <v>98000</v>
      </c>
      <c r="G2065" s="564" t="s">
        <v>1498</v>
      </c>
      <c r="H2065" s="564" t="s">
        <v>1498</v>
      </c>
      <c r="I2065" s="564" t="s">
        <v>64</v>
      </c>
      <c r="J2065" s="564" t="s">
        <v>1069</v>
      </c>
      <c r="K2065" s="564" t="s">
        <v>1090</v>
      </c>
      <c r="L2065" s="564" t="s">
        <v>2098</v>
      </c>
      <c r="M2065" s="564" t="s">
        <v>2098</v>
      </c>
      <c r="N2065" s="564" t="s">
        <v>64</v>
      </c>
      <c r="O2065" s="564" t="s">
        <v>2099</v>
      </c>
      <c r="P2065" s="23"/>
      <c r="Q2065" s="23"/>
      <c r="R2065" s="23"/>
      <c r="S2065" s="23"/>
      <c r="T2065" s="23"/>
      <c r="U2065" s="23"/>
      <c r="V2065" s="23"/>
      <c r="W2065" s="23"/>
      <c r="X2065" s="23"/>
      <c r="Y2065" s="23"/>
      <c r="Z2065" s="23"/>
    </row>
    <row r="2066" spans="1:26" ht="13">
      <c r="A2066" s="562" t="s">
        <v>5328</v>
      </c>
      <c r="B2066" s="563" t="s">
        <v>5329</v>
      </c>
      <c r="C2066" s="564" t="s">
        <v>2433</v>
      </c>
      <c r="D2066" s="565">
        <v>43536</v>
      </c>
      <c r="E2066" s="565">
        <v>43616</v>
      </c>
      <c r="F2066" s="566">
        <v>1987000</v>
      </c>
      <c r="G2066" s="564" t="s">
        <v>1400</v>
      </c>
      <c r="H2066" s="564" t="s">
        <v>1400</v>
      </c>
      <c r="I2066" s="564" t="s">
        <v>4816</v>
      </c>
      <c r="J2066" s="564" t="s">
        <v>1069</v>
      </c>
      <c r="K2066" s="564" t="s">
        <v>1070</v>
      </c>
      <c r="L2066" s="564" t="s">
        <v>2098</v>
      </c>
      <c r="M2066" s="564" t="s">
        <v>2098</v>
      </c>
      <c r="N2066" s="564" t="s">
        <v>1082</v>
      </c>
      <c r="O2066" s="564" t="s">
        <v>2099</v>
      </c>
      <c r="P2066" s="23"/>
      <c r="Q2066" s="23"/>
      <c r="R2066" s="23"/>
      <c r="S2066" s="23"/>
      <c r="T2066" s="23"/>
      <c r="U2066" s="23"/>
      <c r="V2066" s="23"/>
      <c r="W2066" s="23"/>
      <c r="X2066" s="23"/>
      <c r="Y2066" s="23"/>
      <c r="Z2066" s="23"/>
    </row>
    <row r="2067" spans="1:26" ht="13">
      <c r="A2067" s="562" t="s">
        <v>5330</v>
      </c>
      <c r="B2067" s="563" t="s">
        <v>5331</v>
      </c>
      <c r="C2067" s="564" t="s">
        <v>1076</v>
      </c>
      <c r="D2067" s="565">
        <v>43532</v>
      </c>
      <c r="E2067" s="565">
        <v>43616</v>
      </c>
      <c r="F2067" s="566">
        <v>1575000</v>
      </c>
      <c r="G2067" s="564" t="s">
        <v>1400</v>
      </c>
      <c r="H2067" s="564" t="s">
        <v>1400</v>
      </c>
      <c r="I2067" s="564" t="s">
        <v>4816</v>
      </c>
      <c r="J2067" s="564" t="s">
        <v>1069</v>
      </c>
      <c r="K2067" s="564" t="s">
        <v>1070</v>
      </c>
      <c r="L2067" s="564" t="s">
        <v>2098</v>
      </c>
      <c r="M2067" s="564" t="s">
        <v>2098</v>
      </c>
      <c r="N2067" s="564" t="s">
        <v>1082</v>
      </c>
      <c r="O2067" s="564" t="s">
        <v>2099</v>
      </c>
      <c r="P2067" s="23"/>
      <c r="Q2067" s="23"/>
      <c r="R2067" s="23"/>
      <c r="S2067" s="23"/>
      <c r="T2067" s="23"/>
      <c r="U2067" s="23"/>
      <c r="V2067" s="23"/>
      <c r="W2067" s="23"/>
      <c r="X2067" s="23"/>
      <c r="Y2067" s="23"/>
      <c r="Z2067" s="23"/>
    </row>
    <row r="2068" spans="1:26" ht="13">
      <c r="A2068" s="562" t="s">
        <v>5332</v>
      </c>
      <c r="B2068" s="563" t="s">
        <v>5333</v>
      </c>
      <c r="C2068" s="564" t="s">
        <v>353</v>
      </c>
      <c r="D2068" s="565">
        <v>43535</v>
      </c>
      <c r="E2068" s="565">
        <v>43555</v>
      </c>
      <c r="F2068" s="566">
        <v>294000</v>
      </c>
      <c r="G2068" s="564" t="s">
        <v>1498</v>
      </c>
      <c r="H2068" s="564" t="s">
        <v>1498</v>
      </c>
      <c r="I2068" s="564" t="s">
        <v>64</v>
      </c>
      <c r="J2068" s="564" t="s">
        <v>1069</v>
      </c>
      <c r="K2068" s="564" t="s">
        <v>1090</v>
      </c>
      <c r="L2068" s="564" t="s">
        <v>2098</v>
      </c>
      <c r="M2068" s="564" t="s">
        <v>2098</v>
      </c>
      <c r="N2068" s="564" t="s">
        <v>64</v>
      </c>
      <c r="O2068" s="564" t="s">
        <v>2099</v>
      </c>
      <c r="P2068" s="23"/>
      <c r="Q2068" s="23"/>
      <c r="R2068" s="23"/>
      <c r="S2068" s="23"/>
      <c r="T2068" s="23"/>
      <c r="U2068" s="23"/>
      <c r="V2068" s="23"/>
      <c r="W2068" s="23"/>
      <c r="X2068" s="23"/>
      <c r="Y2068" s="23"/>
      <c r="Z2068" s="23"/>
    </row>
    <row r="2069" spans="1:26" ht="13">
      <c r="A2069" s="562" t="s">
        <v>5334</v>
      </c>
      <c r="B2069" s="563" t="s">
        <v>5335</v>
      </c>
      <c r="C2069" s="564" t="s">
        <v>353</v>
      </c>
      <c r="D2069" s="565">
        <v>43530</v>
      </c>
      <c r="E2069" s="565">
        <v>43567</v>
      </c>
      <c r="F2069" s="566">
        <v>3045000</v>
      </c>
      <c r="G2069" s="564" t="s">
        <v>1498</v>
      </c>
      <c r="H2069" s="564" t="s">
        <v>1498</v>
      </c>
      <c r="I2069" s="564" t="s">
        <v>45</v>
      </c>
      <c r="J2069" s="564" t="s">
        <v>1069</v>
      </c>
      <c r="K2069" s="564" t="s">
        <v>1090</v>
      </c>
      <c r="L2069" s="564" t="s">
        <v>2098</v>
      </c>
      <c r="M2069" s="564" t="s">
        <v>2098</v>
      </c>
      <c r="N2069" s="564" t="s">
        <v>45</v>
      </c>
      <c r="O2069" s="564" t="s">
        <v>2099</v>
      </c>
      <c r="P2069" s="23"/>
      <c r="Q2069" s="23"/>
      <c r="R2069" s="23"/>
      <c r="S2069" s="23"/>
      <c r="T2069" s="23"/>
      <c r="U2069" s="23"/>
      <c r="V2069" s="23"/>
      <c r="W2069" s="23"/>
      <c r="X2069" s="23"/>
      <c r="Y2069" s="23"/>
      <c r="Z2069" s="23"/>
    </row>
    <row r="2070" spans="1:26" ht="13">
      <c r="A2070" s="562" t="s">
        <v>5336</v>
      </c>
      <c r="B2070" s="563" t="s">
        <v>5337</v>
      </c>
      <c r="C2070" s="564" t="s">
        <v>353</v>
      </c>
      <c r="D2070" s="565">
        <v>43530</v>
      </c>
      <c r="E2070" s="565">
        <v>43567</v>
      </c>
      <c r="F2070" s="566">
        <v>1280000</v>
      </c>
      <c r="G2070" s="564" t="s">
        <v>1498</v>
      </c>
      <c r="H2070" s="564" t="s">
        <v>1498</v>
      </c>
      <c r="I2070" s="564" t="s">
        <v>45</v>
      </c>
      <c r="J2070" s="564" t="s">
        <v>1069</v>
      </c>
      <c r="K2070" s="564" t="s">
        <v>1090</v>
      </c>
      <c r="L2070" s="564" t="s">
        <v>2098</v>
      </c>
      <c r="M2070" s="564" t="s">
        <v>2098</v>
      </c>
      <c r="N2070" s="564" t="s">
        <v>45</v>
      </c>
      <c r="O2070" s="564" t="s">
        <v>2099</v>
      </c>
      <c r="P2070" s="23"/>
      <c r="Q2070" s="23"/>
      <c r="R2070" s="23"/>
      <c r="S2070" s="23"/>
      <c r="T2070" s="23"/>
      <c r="U2070" s="23"/>
      <c r="V2070" s="23"/>
      <c r="W2070" s="23"/>
      <c r="X2070" s="23"/>
      <c r="Y2070" s="23"/>
      <c r="Z2070" s="23"/>
    </row>
    <row r="2071" spans="1:26" ht="13">
      <c r="A2071" s="562" t="s">
        <v>5338</v>
      </c>
      <c r="B2071" s="563" t="s">
        <v>5339</v>
      </c>
      <c r="C2071" s="564" t="s">
        <v>353</v>
      </c>
      <c r="D2071" s="565">
        <v>43529</v>
      </c>
      <c r="E2071" s="565">
        <v>43555</v>
      </c>
      <c r="F2071" s="566">
        <v>8610000</v>
      </c>
      <c r="G2071" s="564" t="s">
        <v>1498</v>
      </c>
      <c r="H2071" s="564" t="s">
        <v>1498</v>
      </c>
      <c r="I2071" s="564" t="s">
        <v>45</v>
      </c>
      <c r="J2071" s="564" t="s">
        <v>1069</v>
      </c>
      <c r="K2071" s="564" t="s">
        <v>1090</v>
      </c>
      <c r="L2071" s="564" t="s">
        <v>2098</v>
      </c>
      <c r="M2071" s="564" t="s">
        <v>2098</v>
      </c>
      <c r="N2071" s="564" t="s">
        <v>45</v>
      </c>
      <c r="O2071" s="564" t="s">
        <v>2099</v>
      </c>
      <c r="P2071" s="23"/>
      <c r="Q2071" s="23"/>
      <c r="R2071" s="23"/>
      <c r="S2071" s="23"/>
      <c r="T2071" s="23"/>
      <c r="U2071" s="23"/>
      <c r="V2071" s="23"/>
      <c r="W2071" s="23"/>
      <c r="X2071" s="23"/>
      <c r="Y2071" s="23"/>
      <c r="Z2071" s="23"/>
    </row>
    <row r="2072" spans="1:26" ht="13">
      <c r="A2072" s="562" t="s">
        <v>5340</v>
      </c>
      <c r="B2072" s="563" t="s">
        <v>4236</v>
      </c>
      <c r="C2072" s="564" t="s">
        <v>1076</v>
      </c>
      <c r="D2072" s="565">
        <v>43528</v>
      </c>
      <c r="E2072" s="565">
        <v>43616</v>
      </c>
      <c r="F2072" s="566">
        <v>141000</v>
      </c>
      <c r="G2072" s="564" t="s">
        <v>1400</v>
      </c>
      <c r="H2072" s="564" t="s">
        <v>1400</v>
      </c>
      <c r="I2072" s="564" t="s">
        <v>4816</v>
      </c>
      <c r="J2072" s="564" t="s">
        <v>1069</v>
      </c>
      <c r="K2072" s="564" t="s">
        <v>1070</v>
      </c>
      <c r="L2072" s="564" t="s">
        <v>2098</v>
      </c>
      <c r="M2072" s="564" t="s">
        <v>2098</v>
      </c>
      <c r="N2072" s="564" t="s">
        <v>1082</v>
      </c>
      <c r="O2072" s="564" t="s">
        <v>2099</v>
      </c>
      <c r="P2072" s="23"/>
      <c r="Q2072" s="23"/>
      <c r="R2072" s="23"/>
      <c r="S2072" s="23"/>
      <c r="T2072" s="23"/>
      <c r="U2072" s="23"/>
      <c r="V2072" s="23"/>
      <c r="W2072" s="23"/>
      <c r="X2072" s="23"/>
      <c r="Y2072" s="23"/>
      <c r="Z2072" s="23"/>
    </row>
    <row r="2073" spans="1:26" ht="13">
      <c r="A2073" s="562" t="s">
        <v>5341</v>
      </c>
      <c r="B2073" s="563" t="s">
        <v>4913</v>
      </c>
      <c r="C2073" s="564" t="s">
        <v>1076</v>
      </c>
      <c r="D2073" s="565">
        <v>43523</v>
      </c>
      <c r="E2073" s="565">
        <v>43585</v>
      </c>
      <c r="F2073" s="566">
        <v>57150000</v>
      </c>
      <c r="G2073" s="564" t="s">
        <v>1400</v>
      </c>
      <c r="H2073" s="564" t="s">
        <v>1400</v>
      </c>
      <c r="I2073" s="564" t="s">
        <v>4816</v>
      </c>
      <c r="J2073" s="564" t="s">
        <v>1069</v>
      </c>
      <c r="K2073" s="564" t="s">
        <v>1070</v>
      </c>
      <c r="L2073" s="564" t="s">
        <v>2098</v>
      </c>
      <c r="M2073" s="564" t="s">
        <v>2098</v>
      </c>
      <c r="N2073" s="564" t="s">
        <v>1082</v>
      </c>
      <c r="O2073" s="564" t="s">
        <v>2099</v>
      </c>
      <c r="P2073" s="23"/>
      <c r="Q2073" s="23"/>
      <c r="R2073" s="23"/>
      <c r="S2073" s="23"/>
      <c r="T2073" s="23"/>
      <c r="U2073" s="23"/>
      <c r="V2073" s="23"/>
      <c r="W2073" s="23"/>
      <c r="X2073" s="23"/>
      <c r="Y2073" s="23"/>
      <c r="Z2073" s="23"/>
    </row>
    <row r="2074" spans="1:26" ht="13">
      <c r="A2074" s="562" t="s">
        <v>5342</v>
      </c>
      <c r="B2074" s="563" t="s">
        <v>5343</v>
      </c>
      <c r="C2074" s="564" t="s">
        <v>353</v>
      </c>
      <c r="D2074" s="565">
        <v>43523</v>
      </c>
      <c r="E2074" s="565">
        <v>43544</v>
      </c>
      <c r="F2074" s="566">
        <v>882000</v>
      </c>
      <c r="G2074" s="564" t="s">
        <v>1498</v>
      </c>
      <c r="H2074" s="564" t="s">
        <v>1498</v>
      </c>
      <c r="I2074" s="564" t="s">
        <v>64</v>
      </c>
      <c r="J2074" s="564" t="s">
        <v>1069</v>
      </c>
      <c r="K2074" s="564" t="s">
        <v>1090</v>
      </c>
      <c r="L2074" s="564" t="s">
        <v>2098</v>
      </c>
      <c r="M2074" s="564" t="s">
        <v>2098</v>
      </c>
      <c r="N2074" s="564" t="s">
        <v>64</v>
      </c>
      <c r="O2074" s="564" t="s">
        <v>2099</v>
      </c>
      <c r="P2074" s="23"/>
      <c r="Q2074" s="23"/>
      <c r="R2074" s="23"/>
      <c r="S2074" s="23"/>
      <c r="T2074" s="23"/>
      <c r="U2074" s="23"/>
      <c r="V2074" s="23"/>
      <c r="W2074" s="23"/>
      <c r="X2074" s="23"/>
      <c r="Y2074" s="23"/>
      <c r="Z2074" s="23"/>
    </row>
    <row r="2075" spans="1:26" ht="13">
      <c r="A2075" s="562" t="s">
        <v>5344</v>
      </c>
      <c r="B2075" s="563" t="s">
        <v>5345</v>
      </c>
      <c r="C2075" s="564" t="s">
        <v>353</v>
      </c>
      <c r="D2075" s="565">
        <v>43523</v>
      </c>
      <c r="E2075" s="565">
        <v>43544</v>
      </c>
      <c r="F2075" s="566">
        <v>98000</v>
      </c>
      <c r="G2075" s="564" t="s">
        <v>1498</v>
      </c>
      <c r="H2075" s="564" t="s">
        <v>1498</v>
      </c>
      <c r="I2075" s="564" t="s">
        <v>64</v>
      </c>
      <c r="J2075" s="564" t="s">
        <v>1069</v>
      </c>
      <c r="K2075" s="564" t="s">
        <v>1090</v>
      </c>
      <c r="L2075" s="564" t="s">
        <v>2098</v>
      </c>
      <c r="M2075" s="564" t="s">
        <v>2098</v>
      </c>
      <c r="N2075" s="564" t="s">
        <v>64</v>
      </c>
      <c r="O2075" s="564" t="s">
        <v>2099</v>
      </c>
      <c r="P2075" s="23"/>
      <c r="Q2075" s="23"/>
      <c r="R2075" s="23"/>
      <c r="S2075" s="23"/>
      <c r="T2075" s="23"/>
      <c r="U2075" s="23"/>
      <c r="V2075" s="23"/>
      <c r="W2075" s="23"/>
      <c r="X2075" s="23"/>
      <c r="Y2075" s="23"/>
      <c r="Z2075" s="23"/>
    </row>
    <row r="2076" spans="1:26" ht="13">
      <c r="A2076" s="562" t="s">
        <v>5346</v>
      </c>
      <c r="B2076" s="563" t="s">
        <v>5347</v>
      </c>
      <c r="C2076" s="564" t="s">
        <v>353</v>
      </c>
      <c r="D2076" s="565">
        <v>43523</v>
      </c>
      <c r="E2076" s="565">
        <v>43544</v>
      </c>
      <c r="F2076" s="566">
        <v>98000</v>
      </c>
      <c r="G2076" s="564" t="s">
        <v>1498</v>
      </c>
      <c r="H2076" s="564" t="s">
        <v>1498</v>
      </c>
      <c r="I2076" s="564" t="s">
        <v>64</v>
      </c>
      <c r="J2076" s="564" t="s">
        <v>1069</v>
      </c>
      <c r="K2076" s="564" t="s">
        <v>1090</v>
      </c>
      <c r="L2076" s="564" t="s">
        <v>2098</v>
      </c>
      <c r="M2076" s="564" t="s">
        <v>2098</v>
      </c>
      <c r="N2076" s="564" t="s">
        <v>64</v>
      </c>
      <c r="O2076" s="564" t="s">
        <v>2099</v>
      </c>
      <c r="P2076" s="23"/>
      <c r="Q2076" s="23"/>
      <c r="R2076" s="23"/>
      <c r="S2076" s="23"/>
      <c r="T2076" s="23"/>
      <c r="U2076" s="23"/>
      <c r="V2076" s="23"/>
      <c r="W2076" s="23"/>
      <c r="X2076" s="23"/>
      <c r="Y2076" s="23"/>
      <c r="Z2076" s="23"/>
    </row>
    <row r="2077" spans="1:26" ht="13">
      <c r="A2077" s="562" t="s">
        <v>5348</v>
      </c>
      <c r="B2077" s="563" t="s">
        <v>5349</v>
      </c>
      <c r="C2077" s="564" t="s">
        <v>353</v>
      </c>
      <c r="D2077" s="565">
        <v>43523</v>
      </c>
      <c r="E2077" s="565">
        <v>43544</v>
      </c>
      <c r="F2077" s="566">
        <v>98000</v>
      </c>
      <c r="G2077" s="564" t="s">
        <v>1498</v>
      </c>
      <c r="H2077" s="564" t="s">
        <v>1498</v>
      </c>
      <c r="I2077" s="564" t="s">
        <v>64</v>
      </c>
      <c r="J2077" s="564" t="s">
        <v>1069</v>
      </c>
      <c r="K2077" s="564" t="s">
        <v>1090</v>
      </c>
      <c r="L2077" s="564" t="s">
        <v>2098</v>
      </c>
      <c r="M2077" s="564" t="s">
        <v>2098</v>
      </c>
      <c r="N2077" s="564" t="s">
        <v>64</v>
      </c>
      <c r="O2077" s="564" t="s">
        <v>2099</v>
      </c>
      <c r="P2077" s="23"/>
      <c r="Q2077" s="23"/>
      <c r="R2077" s="23"/>
      <c r="S2077" s="23"/>
      <c r="T2077" s="23"/>
      <c r="U2077" s="23"/>
      <c r="V2077" s="23"/>
      <c r="W2077" s="23"/>
      <c r="X2077" s="23"/>
      <c r="Y2077" s="23"/>
      <c r="Z2077" s="23"/>
    </row>
    <row r="2078" spans="1:26" ht="13">
      <c r="A2078" s="562" t="s">
        <v>5350</v>
      </c>
      <c r="B2078" s="563" t="s">
        <v>5351</v>
      </c>
      <c r="C2078" s="564" t="s">
        <v>1652</v>
      </c>
      <c r="D2078" s="565">
        <v>43523</v>
      </c>
      <c r="E2078" s="565">
        <v>43546</v>
      </c>
      <c r="F2078" s="566">
        <v>73727273</v>
      </c>
      <c r="G2078" s="564" t="s">
        <v>1623</v>
      </c>
      <c r="H2078" s="564" t="s">
        <v>1623</v>
      </c>
      <c r="I2078" s="564" t="s">
        <v>802</v>
      </c>
      <c r="J2078" s="564" t="s">
        <v>1069</v>
      </c>
      <c r="K2078" s="564" t="s">
        <v>1198</v>
      </c>
      <c r="L2078" s="564" t="s">
        <v>2098</v>
      </c>
      <c r="M2078" s="564" t="s">
        <v>2098</v>
      </c>
      <c r="N2078" s="564" t="s">
        <v>132</v>
      </c>
      <c r="O2078" s="564" t="s">
        <v>2099</v>
      </c>
      <c r="P2078" s="23"/>
      <c r="Q2078" s="23"/>
      <c r="R2078" s="23"/>
      <c r="S2078" s="23"/>
      <c r="T2078" s="23"/>
      <c r="U2078" s="23"/>
      <c r="V2078" s="23"/>
      <c r="W2078" s="23"/>
      <c r="X2078" s="23"/>
      <c r="Y2078" s="23"/>
      <c r="Z2078" s="23"/>
    </row>
    <row r="2079" spans="1:26" ht="13">
      <c r="A2079" s="562" t="s">
        <v>5352</v>
      </c>
      <c r="B2079" s="563" t="s">
        <v>5353</v>
      </c>
      <c r="C2079" s="564" t="s">
        <v>353</v>
      </c>
      <c r="D2079" s="565">
        <v>43522</v>
      </c>
      <c r="E2079" s="565">
        <v>43544</v>
      </c>
      <c r="F2079" s="566">
        <v>22410000</v>
      </c>
      <c r="G2079" s="564" t="s">
        <v>1498</v>
      </c>
      <c r="H2079" s="564" t="s">
        <v>1498</v>
      </c>
      <c r="I2079" s="564" t="s">
        <v>45</v>
      </c>
      <c r="J2079" s="564" t="s">
        <v>1069</v>
      </c>
      <c r="K2079" s="564" t="s">
        <v>1090</v>
      </c>
      <c r="L2079" s="564" t="s">
        <v>2098</v>
      </c>
      <c r="M2079" s="564" t="s">
        <v>2098</v>
      </c>
      <c r="N2079" s="564" t="s">
        <v>45</v>
      </c>
      <c r="O2079" s="564" t="s">
        <v>2099</v>
      </c>
      <c r="P2079" s="23"/>
      <c r="Q2079" s="23"/>
      <c r="R2079" s="23"/>
      <c r="S2079" s="23"/>
      <c r="T2079" s="23"/>
      <c r="U2079" s="23"/>
      <c r="V2079" s="23"/>
      <c r="W2079" s="23"/>
      <c r="X2079" s="23"/>
      <c r="Y2079" s="23"/>
      <c r="Z2079" s="23"/>
    </row>
    <row r="2080" spans="1:26" ht="13">
      <c r="A2080" s="562" t="s">
        <v>5354</v>
      </c>
      <c r="B2080" s="563" t="s">
        <v>5355</v>
      </c>
      <c r="C2080" s="564" t="s">
        <v>353</v>
      </c>
      <c r="D2080" s="565">
        <v>43522</v>
      </c>
      <c r="E2080" s="565">
        <v>43553</v>
      </c>
      <c r="F2080" s="566">
        <v>1400000</v>
      </c>
      <c r="G2080" s="564" t="s">
        <v>1498</v>
      </c>
      <c r="H2080" s="564" t="s">
        <v>1498</v>
      </c>
      <c r="I2080" s="564" t="s">
        <v>45</v>
      </c>
      <c r="J2080" s="564" t="s">
        <v>1069</v>
      </c>
      <c r="K2080" s="564" t="s">
        <v>1090</v>
      </c>
      <c r="L2080" s="564" t="s">
        <v>2098</v>
      </c>
      <c r="M2080" s="564" t="s">
        <v>2098</v>
      </c>
      <c r="N2080" s="564" t="s">
        <v>45</v>
      </c>
      <c r="O2080" s="564" t="s">
        <v>2099</v>
      </c>
      <c r="P2080" s="23"/>
      <c r="Q2080" s="23"/>
      <c r="R2080" s="23"/>
      <c r="S2080" s="23"/>
      <c r="T2080" s="23"/>
      <c r="U2080" s="23"/>
      <c r="V2080" s="23"/>
      <c r="W2080" s="23"/>
      <c r="X2080" s="23"/>
      <c r="Y2080" s="23"/>
      <c r="Z2080" s="23"/>
    </row>
    <row r="2081" spans="1:26" ht="13">
      <c r="A2081" s="562" t="s">
        <v>5356</v>
      </c>
      <c r="B2081" s="563" t="s">
        <v>5357</v>
      </c>
      <c r="C2081" s="564" t="s">
        <v>1076</v>
      </c>
      <c r="D2081" s="565">
        <v>43515</v>
      </c>
      <c r="E2081" s="565">
        <v>43585</v>
      </c>
      <c r="F2081" s="566">
        <v>1590000</v>
      </c>
      <c r="G2081" s="564" t="s">
        <v>1400</v>
      </c>
      <c r="H2081" s="564" t="s">
        <v>1400</v>
      </c>
      <c r="I2081" s="564" t="s">
        <v>4816</v>
      </c>
      <c r="J2081" s="564" t="s">
        <v>1069</v>
      </c>
      <c r="K2081" s="564" t="s">
        <v>1070</v>
      </c>
      <c r="L2081" s="564" t="s">
        <v>2098</v>
      </c>
      <c r="M2081" s="564" t="s">
        <v>2098</v>
      </c>
      <c r="N2081" s="564" t="s">
        <v>1082</v>
      </c>
      <c r="O2081" s="564" t="s">
        <v>2099</v>
      </c>
      <c r="P2081" s="23"/>
      <c r="Q2081" s="23"/>
      <c r="R2081" s="23"/>
      <c r="S2081" s="23"/>
      <c r="T2081" s="23"/>
      <c r="U2081" s="23"/>
      <c r="V2081" s="23"/>
      <c r="W2081" s="23"/>
      <c r="X2081" s="23"/>
      <c r="Y2081" s="23"/>
      <c r="Z2081" s="23"/>
    </row>
    <row r="2082" spans="1:26" ht="13">
      <c r="A2082" s="562" t="s">
        <v>5358</v>
      </c>
      <c r="B2082" s="563" t="s">
        <v>5359</v>
      </c>
      <c r="C2082" s="564" t="s">
        <v>1076</v>
      </c>
      <c r="D2082" s="565">
        <v>43515</v>
      </c>
      <c r="E2082" s="565">
        <v>43585</v>
      </c>
      <c r="F2082" s="566">
        <v>3972000</v>
      </c>
      <c r="G2082" s="564" t="s">
        <v>1400</v>
      </c>
      <c r="H2082" s="564" t="s">
        <v>1400</v>
      </c>
      <c r="I2082" s="564" t="s">
        <v>4816</v>
      </c>
      <c r="J2082" s="564" t="s">
        <v>1069</v>
      </c>
      <c r="K2082" s="564" t="s">
        <v>1070</v>
      </c>
      <c r="L2082" s="564" t="s">
        <v>2098</v>
      </c>
      <c r="M2082" s="564" t="s">
        <v>2098</v>
      </c>
      <c r="N2082" s="564" t="s">
        <v>1082</v>
      </c>
      <c r="O2082" s="564" t="s">
        <v>2099</v>
      </c>
      <c r="P2082" s="23"/>
      <c r="Q2082" s="23"/>
      <c r="R2082" s="23"/>
      <c r="S2082" s="23"/>
      <c r="T2082" s="23"/>
      <c r="U2082" s="23"/>
      <c r="V2082" s="23"/>
      <c r="W2082" s="23"/>
      <c r="X2082" s="23"/>
      <c r="Y2082" s="23"/>
      <c r="Z2082" s="23"/>
    </row>
    <row r="2083" spans="1:26" ht="13">
      <c r="A2083" s="562" t="s">
        <v>5360</v>
      </c>
      <c r="B2083" s="563" t="s">
        <v>5361</v>
      </c>
      <c r="C2083" s="564" t="s">
        <v>1076</v>
      </c>
      <c r="D2083" s="565">
        <v>43515</v>
      </c>
      <c r="E2083" s="565">
        <v>43539</v>
      </c>
      <c r="F2083" s="566">
        <v>75150000</v>
      </c>
      <c r="G2083" s="564" t="s">
        <v>1529</v>
      </c>
      <c r="H2083" s="564" t="s">
        <v>1529</v>
      </c>
      <c r="I2083" s="564" t="s">
        <v>1417</v>
      </c>
      <c r="J2083" s="564" t="s">
        <v>1069</v>
      </c>
      <c r="K2083" s="564" t="s">
        <v>1070</v>
      </c>
      <c r="L2083" s="564" t="s">
        <v>2098</v>
      </c>
      <c r="M2083" s="564" t="s">
        <v>2098</v>
      </c>
      <c r="N2083" s="564" t="s">
        <v>1082</v>
      </c>
      <c r="O2083" s="564" t="s">
        <v>2099</v>
      </c>
      <c r="P2083" s="23"/>
      <c r="Q2083" s="23"/>
      <c r="R2083" s="23"/>
      <c r="S2083" s="23"/>
      <c r="T2083" s="23"/>
      <c r="U2083" s="23"/>
      <c r="V2083" s="23"/>
      <c r="W2083" s="23"/>
      <c r="X2083" s="23"/>
      <c r="Y2083" s="23"/>
      <c r="Z2083" s="23"/>
    </row>
    <row r="2084" spans="1:26" ht="13">
      <c r="A2084" s="562" t="s">
        <v>5362</v>
      </c>
      <c r="B2084" s="563" t="s">
        <v>5363</v>
      </c>
      <c r="C2084" s="564" t="s">
        <v>1076</v>
      </c>
      <c r="D2084" s="565">
        <v>43516</v>
      </c>
      <c r="E2084" s="565">
        <v>43585</v>
      </c>
      <c r="F2084" s="566">
        <v>8446000</v>
      </c>
      <c r="G2084" s="564" t="s">
        <v>1400</v>
      </c>
      <c r="H2084" s="564" t="s">
        <v>1400</v>
      </c>
      <c r="I2084" s="564" t="s">
        <v>4816</v>
      </c>
      <c r="J2084" s="564" t="s">
        <v>1069</v>
      </c>
      <c r="K2084" s="564" t="s">
        <v>1070</v>
      </c>
      <c r="L2084" s="564" t="s">
        <v>2098</v>
      </c>
      <c r="M2084" s="564" t="s">
        <v>2098</v>
      </c>
      <c r="N2084" s="564" t="s">
        <v>1082</v>
      </c>
      <c r="O2084" s="564" t="s">
        <v>2099</v>
      </c>
      <c r="P2084" s="23"/>
      <c r="Q2084" s="23"/>
      <c r="R2084" s="23"/>
      <c r="S2084" s="23"/>
      <c r="T2084" s="23"/>
      <c r="U2084" s="23"/>
      <c r="V2084" s="23"/>
      <c r="W2084" s="23"/>
      <c r="X2084" s="23"/>
      <c r="Y2084" s="23"/>
      <c r="Z2084" s="23"/>
    </row>
    <row r="2085" spans="1:26" ht="13">
      <c r="A2085" s="562" t="s">
        <v>5364</v>
      </c>
      <c r="B2085" s="563" t="s">
        <v>5049</v>
      </c>
      <c r="C2085" s="564" t="s">
        <v>3378</v>
      </c>
      <c r="D2085" s="565">
        <v>43516</v>
      </c>
      <c r="E2085" s="565">
        <v>43524</v>
      </c>
      <c r="F2085" s="566">
        <v>152000</v>
      </c>
      <c r="G2085" s="564" t="s">
        <v>1498</v>
      </c>
      <c r="H2085" s="564" t="s">
        <v>1498</v>
      </c>
      <c r="I2085" s="564" t="s">
        <v>64</v>
      </c>
      <c r="J2085" s="564" t="s">
        <v>1069</v>
      </c>
      <c r="K2085" s="564" t="s">
        <v>1090</v>
      </c>
      <c r="L2085" s="564" t="s">
        <v>2098</v>
      </c>
      <c r="M2085" s="564" t="s">
        <v>2098</v>
      </c>
      <c r="N2085" s="564" t="s">
        <v>64</v>
      </c>
      <c r="O2085" s="564" t="s">
        <v>2099</v>
      </c>
      <c r="P2085" s="23"/>
      <c r="Q2085" s="23"/>
      <c r="R2085" s="23"/>
      <c r="S2085" s="23"/>
      <c r="T2085" s="23"/>
      <c r="U2085" s="23"/>
      <c r="V2085" s="23"/>
      <c r="W2085" s="23"/>
      <c r="X2085" s="23"/>
      <c r="Y2085" s="23"/>
      <c r="Z2085" s="23"/>
    </row>
    <row r="2086" spans="1:26" ht="13">
      <c r="A2086" s="562" t="s">
        <v>5365</v>
      </c>
      <c r="B2086" s="563" t="s">
        <v>5298</v>
      </c>
      <c r="C2086" s="564" t="s">
        <v>3378</v>
      </c>
      <c r="D2086" s="565">
        <v>43516</v>
      </c>
      <c r="E2086" s="565">
        <v>43524</v>
      </c>
      <c r="F2086" s="566">
        <v>912000</v>
      </c>
      <c r="G2086" s="564" t="s">
        <v>1498</v>
      </c>
      <c r="H2086" s="564" t="s">
        <v>1498</v>
      </c>
      <c r="I2086" s="564" t="s">
        <v>64</v>
      </c>
      <c r="J2086" s="564" t="s">
        <v>1069</v>
      </c>
      <c r="K2086" s="564" t="s">
        <v>1090</v>
      </c>
      <c r="L2086" s="564" t="s">
        <v>2098</v>
      </c>
      <c r="M2086" s="564" t="s">
        <v>2098</v>
      </c>
      <c r="N2086" s="564" t="s">
        <v>64</v>
      </c>
      <c r="O2086" s="564" t="s">
        <v>2099</v>
      </c>
      <c r="P2086" s="23"/>
      <c r="Q2086" s="23"/>
      <c r="R2086" s="23"/>
      <c r="S2086" s="23"/>
      <c r="T2086" s="23"/>
      <c r="U2086" s="23"/>
      <c r="V2086" s="23"/>
      <c r="W2086" s="23"/>
      <c r="X2086" s="23"/>
      <c r="Y2086" s="23"/>
      <c r="Z2086" s="23"/>
    </row>
    <row r="2087" spans="1:26" ht="13">
      <c r="A2087" s="562" t="s">
        <v>5366</v>
      </c>
      <c r="B2087" s="563" t="s">
        <v>5367</v>
      </c>
      <c r="C2087" s="564" t="s">
        <v>353</v>
      </c>
      <c r="D2087" s="565">
        <v>43516</v>
      </c>
      <c r="E2087" s="565">
        <v>43524</v>
      </c>
      <c r="F2087" s="566">
        <v>152000</v>
      </c>
      <c r="G2087" s="564" t="s">
        <v>1498</v>
      </c>
      <c r="H2087" s="564" t="s">
        <v>1498</v>
      </c>
      <c r="I2087" s="564" t="s">
        <v>64</v>
      </c>
      <c r="J2087" s="564" t="s">
        <v>1069</v>
      </c>
      <c r="K2087" s="564" t="s">
        <v>1090</v>
      </c>
      <c r="L2087" s="564" t="s">
        <v>2098</v>
      </c>
      <c r="M2087" s="564" t="s">
        <v>2098</v>
      </c>
      <c r="N2087" s="564" t="s">
        <v>64</v>
      </c>
      <c r="O2087" s="564" t="s">
        <v>2099</v>
      </c>
      <c r="P2087" s="23"/>
      <c r="Q2087" s="23"/>
      <c r="R2087" s="23"/>
      <c r="S2087" s="23"/>
      <c r="T2087" s="23"/>
      <c r="U2087" s="23"/>
      <c r="V2087" s="23"/>
      <c r="W2087" s="23"/>
      <c r="X2087" s="23"/>
      <c r="Y2087" s="23"/>
      <c r="Z2087" s="23"/>
    </row>
    <row r="2088" spans="1:26" ht="13">
      <c r="A2088" s="562" t="s">
        <v>5368</v>
      </c>
      <c r="B2088" s="563" t="s">
        <v>5202</v>
      </c>
      <c r="C2088" s="564" t="s">
        <v>3378</v>
      </c>
      <c r="D2088" s="565">
        <v>43516</v>
      </c>
      <c r="E2088" s="565">
        <v>43524</v>
      </c>
      <c r="F2088" s="566">
        <v>152000</v>
      </c>
      <c r="G2088" s="564" t="s">
        <v>1498</v>
      </c>
      <c r="H2088" s="564" t="s">
        <v>1498</v>
      </c>
      <c r="I2088" s="564" t="s">
        <v>64</v>
      </c>
      <c r="J2088" s="564" t="s">
        <v>1069</v>
      </c>
      <c r="K2088" s="564" t="s">
        <v>1090</v>
      </c>
      <c r="L2088" s="564" t="s">
        <v>2098</v>
      </c>
      <c r="M2088" s="564" t="s">
        <v>2098</v>
      </c>
      <c r="N2088" s="564" t="s">
        <v>64</v>
      </c>
      <c r="O2088" s="564" t="s">
        <v>2099</v>
      </c>
      <c r="P2088" s="23"/>
      <c r="Q2088" s="23"/>
      <c r="R2088" s="23"/>
      <c r="S2088" s="23"/>
      <c r="T2088" s="23"/>
      <c r="U2088" s="23"/>
      <c r="V2088" s="23"/>
      <c r="W2088" s="23"/>
      <c r="X2088" s="23"/>
      <c r="Y2088" s="23"/>
      <c r="Z2088" s="23"/>
    </row>
    <row r="2089" spans="1:26" ht="13">
      <c r="A2089" s="562" t="s">
        <v>5369</v>
      </c>
      <c r="B2089" s="563" t="s">
        <v>5156</v>
      </c>
      <c r="C2089" s="564" t="s">
        <v>3378</v>
      </c>
      <c r="D2089" s="565">
        <v>43516</v>
      </c>
      <c r="E2089" s="565">
        <v>43524</v>
      </c>
      <c r="F2089" s="566">
        <v>152000</v>
      </c>
      <c r="G2089" s="564" t="s">
        <v>1498</v>
      </c>
      <c r="H2089" s="564" t="s">
        <v>1498</v>
      </c>
      <c r="I2089" s="564" t="s">
        <v>64</v>
      </c>
      <c r="J2089" s="564" t="s">
        <v>1069</v>
      </c>
      <c r="K2089" s="564" t="s">
        <v>1090</v>
      </c>
      <c r="L2089" s="564" t="s">
        <v>2098</v>
      </c>
      <c r="M2089" s="564" t="s">
        <v>2098</v>
      </c>
      <c r="N2089" s="564" t="s">
        <v>64</v>
      </c>
      <c r="O2089" s="564" t="s">
        <v>2099</v>
      </c>
      <c r="P2089" s="23"/>
      <c r="Q2089" s="23"/>
      <c r="R2089" s="23"/>
      <c r="S2089" s="23"/>
      <c r="T2089" s="23"/>
      <c r="U2089" s="23"/>
      <c r="V2089" s="23"/>
      <c r="W2089" s="23"/>
      <c r="X2089" s="23"/>
      <c r="Y2089" s="23"/>
      <c r="Z2089" s="23"/>
    </row>
    <row r="2090" spans="1:26" ht="13">
      <c r="A2090" s="562" t="s">
        <v>5370</v>
      </c>
      <c r="B2090" s="563" t="s">
        <v>5371</v>
      </c>
      <c r="C2090" s="564" t="s">
        <v>353</v>
      </c>
      <c r="D2090" s="565">
        <v>43515</v>
      </c>
      <c r="E2090" s="565">
        <v>43555</v>
      </c>
      <c r="F2090" s="566">
        <v>1015213000</v>
      </c>
      <c r="G2090" s="564" t="s">
        <v>1498</v>
      </c>
      <c r="H2090" s="564" t="s">
        <v>1498</v>
      </c>
      <c r="I2090" s="564" t="s">
        <v>45</v>
      </c>
      <c r="J2090" s="564" t="s">
        <v>1069</v>
      </c>
      <c r="K2090" s="564" t="s">
        <v>1090</v>
      </c>
      <c r="L2090" s="564" t="s">
        <v>2098</v>
      </c>
      <c r="M2090" s="564" t="s">
        <v>2098</v>
      </c>
      <c r="N2090" s="564" t="s">
        <v>45</v>
      </c>
      <c r="O2090" s="564" t="s">
        <v>2099</v>
      </c>
      <c r="P2090" s="23"/>
      <c r="Q2090" s="23"/>
      <c r="R2090" s="23"/>
      <c r="S2090" s="23"/>
      <c r="T2090" s="23"/>
      <c r="U2090" s="23"/>
      <c r="V2090" s="23"/>
      <c r="W2090" s="23"/>
      <c r="X2090" s="23"/>
      <c r="Y2090" s="23"/>
      <c r="Z2090" s="23"/>
    </row>
    <row r="2091" spans="1:26" ht="13">
      <c r="A2091" s="562" t="s">
        <v>5372</v>
      </c>
      <c r="B2091" s="563" t="s">
        <v>5373</v>
      </c>
      <c r="C2091" s="564" t="s">
        <v>353</v>
      </c>
      <c r="D2091" s="565">
        <v>43515</v>
      </c>
      <c r="E2091" s="565">
        <v>43539</v>
      </c>
      <c r="F2091" s="566">
        <v>189805000</v>
      </c>
      <c r="G2091" s="564" t="s">
        <v>1498</v>
      </c>
      <c r="H2091" s="564" t="s">
        <v>1498</v>
      </c>
      <c r="I2091" s="564" t="s">
        <v>45</v>
      </c>
      <c r="J2091" s="564" t="s">
        <v>1069</v>
      </c>
      <c r="K2091" s="564" t="s">
        <v>1090</v>
      </c>
      <c r="L2091" s="564" t="s">
        <v>2098</v>
      </c>
      <c r="M2091" s="564" t="s">
        <v>2098</v>
      </c>
      <c r="N2091" s="564" t="s">
        <v>45</v>
      </c>
      <c r="O2091" s="564" t="s">
        <v>2099</v>
      </c>
      <c r="P2091" s="23"/>
      <c r="Q2091" s="23"/>
      <c r="R2091" s="23"/>
      <c r="S2091" s="23"/>
      <c r="T2091" s="23"/>
      <c r="U2091" s="23"/>
      <c r="V2091" s="23"/>
      <c r="W2091" s="23"/>
      <c r="X2091" s="23"/>
      <c r="Y2091" s="23"/>
      <c r="Z2091" s="23"/>
    </row>
    <row r="2092" spans="1:26" ht="13">
      <c r="A2092" s="562" t="s">
        <v>5374</v>
      </c>
      <c r="B2092" s="563" t="s">
        <v>5375</v>
      </c>
      <c r="C2092" s="564" t="s">
        <v>1652</v>
      </c>
      <c r="D2092" s="565">
        <v>43510</v>
      </c>
      <c r="E2092" s="565">
        <v>43531</v>
      </c>
      <c r="F2092" s="566">
        <v>2060000</v>
      </c>
      <c r="G2092" s="564" t="s">
        <v>1366</v>
      </c>
      <c r="H2092" s="564" t="s">
        <v>1366</v>
      </c>
      <c r="I2092" s="564" t="s">
        <v>70</v>
      </c>
      <c r="J2092" s="564" t="s">
        <v>1069</v>
      </c>
      <c r="K2092" s="564" t="s">
        <v>1120</v>
      </c>
      <c r="L2092" s="564" t="s">
        <v>2098</v>
      </c>
      <c r="M2092" s="564" t="s">
        <v>2098</v>
      </c>
      <c r="N2092" s="564" t="s">
        <v>70</v>
      </c>
      <c r="O2092" s="564" t="s">
        <v>2099</v>
      </c>
      <c r="P2092" s="23"/>
      <c r="Q2092" s="23"/>
      <c r="R2092" s="23"/>
      <c r="S2092" s="23"/>
      <c r="T2092" s="23"/>
      <c r="U2092" s="23"/>
      <c r="V2092" s="23"/>
      <c r="W2092" s="23"/>
      <c r="X2092" s="23"/>
      <c r="Y2092" s="23"/>
      <c r="Z2092" s="23"/>
    </row>
    <row r="2093" spans="1:26" ht="13">
      <c r="A2093" s="562" t="s">
        <v>5376</v>
      </c>
      <c r="B2093" s="563" t="s">
        <v>5377</v>
      </c>
      <c r="C2093" s="564" t="s">
        <v>1076</v>
      </c>
      <c r="D2093" s="565">
        <v>43510</v>
      </c>
      <c r="E2093" s="565">
        <v>43585</v>
      </c>
      <c r="F2093" s="566">
        <v>46155000</v>
      </c>
      <c r="G2093" s="564" t="s">
        <v>1400</v>
      </c>
      <c r="H2093" s="564" t="s">
        <v>1400</v>
      </c>
      <c r="I2093" s="564" t="s">
        <v>4816</v>
      </c>
      <c r="J2093" s="564" t="s">
        <v>1069</v>
      </c>
      <c r="K2093" s="564" t="s">
        <v>1070</v>
      </c>
      <c r="L2093" s="564" t="s">
        <v>2098</v>
      </c>
      <c r="M2093" s="564" t="s">
        <v>2098</v>
      </c>
      <c r="N2093" s="564" t="s">
        <v>1082</v>
      </c>
      <c r="O2093" s="564" t="s">
        <v>2099</v>
      </c>
      <c r="P2093" s="23"/>
      <c r="Q2093" s="23"/>
      <c r="R2093" s="23"/>
      <c r="S2093" s="23"/>
      <c r="T2093" s="23"/>
      <c r="U2093" s="23"/>
      <c r="V2093" s="23"/>
      <c r="W2093" s="23"/>
      <c r="X2093" s="23"/>
      <c r="Y2093" s="23"/>
      <c r="Z2093" s="23"/>
    </row>
    <row r="2094" spans="1:26" ht="13">
      <c r="A2094" s="562" t="s">
        <v>5378</v>
      </c>
      <c r="B2094" s="563" t="s">
        <v>5379</v>
      </c>
      <c r="C2094" s="564" t="s">
        <v>1652</v>
      </c>
      <c r="D2094" s="565">
        <v>43509</v>
      </c>
      <c r="E2094" s="565">
        <v>43524</v>
      </c>
      <c r="F2094" s="566">
        <v>34000</v>
      </c>
      <c r="G2094" s="564" t="s">
        <v>1366</v>
      </c>
      <c r="H2094" s="564" t="s">
        <v>1366</v>
      </c>
      <c r="I2094" s="564" t="s">
        <v>1581</v>
      </c>
      <c r="J2094" s="564" t="s">
        <v>1069</v>
      </c>
      <c r="K2094" s="564" t="s">
        <v>1070</v>
      </c>
      <c r="L2094" s="564" t="s">
        <v>2098</v>
      </c>
      <c r="M2094" s="564" t="s">
        <v>2098</v>
      </c>
      <c r="N2094" s="564" t="s">
        <v>1082</v>
      </c>
      <c r="O2094" s="564" t="s">
        <v>2099</v>
      </c>
      <c r="P2094" s="23"/>
      <c r="Q2094" s="23"/>
      <c r="R2094" s="23"/>
      <c r="S2094" s="23"/>
      <c r="T2094" s="23"/>
      <c r="U2094" s="23"/>
      <c r="V2094" s="23"/>
      <c r="W2094" s="23"/>
      <c r="X2094" s="23"/>
      <c r="Y2094" s="23"/>
      <c r="Z2094" s="23"/>
    </row>
    <row r="2095" spans="1:26" ht="13">
      <c r="A2095" s="562" t="s">
        <v>5380</v>
      </c>
      <c r="B2095" s="563" t="s">
        <v>5381</v>
      </c>
      <c r="C2095" s="564" t="s">
        <v>1652</v>
      </c>
      <c r="D2095" s="565">
        <v>43509</v>
      </c>
      <c r="E2095" s="565">
        <v>43524</v>
      </c>
      <c r="F2095" s="566">
        <v>910000</v>
      </c>
      <c r="G2095" s="564" t="s">
        <v>1636</v>
      </c>
      <c r="H2095" s="564" t="s">
        <v>1636</v>
      </c>
      <c r="I2095" s="564" t="s">
        <v>1637</v>
      </c>
      <c r="J2095" s="564" t="s">
        <v>1069</v>
      </c>
      <c r="K2095" s="564" t="s">
        <v>1120</v>
      </c>
      <c r="L2095" s="564" t="s">
        <v>2098</v>
      </c>
      <c r="M2095" s="564" t="s">
        <v>2098</v>
      </c>
      <c r="N2095" s="564" t="s">
        <v>1073</v>
      </c>
      <c r="O2095" s="564" t="s">
        <v>2099</v>
      </c>
      <c r="P2095" s="23"/>
      <c r="Q2095" s="23"/>
      <c r="R2095" s="23"/>
      <c r="S2095" s="23"/>
      <c r="T2095" s="23"/>
      <c r="U2095" s="23"/>
      <c r="V2095" s="23"/>
      <c r="W2095" s="23"/>
      <c r="X2095" s="23"/>
      <c r="Y2095" s="23"/>
      <c r="Z2095" s="23"/>
    </row>
    <row r="2096" spans="1:26" ht="13">
      <c r="A2096" s="562" t="s">
        <v>5382</v>
      </c>
      <c r="B2096" s="563" t="s">
        <v>5383</v>
      </c>
      <c r="C2096" s="564" t="s">
        <v>1076</v>
      </c>
      <c r="D2096" s="565">
        <v>43503</v>
      </c>
      <c r="E2096" s="565">
        <v>43585</v>
      </c>
      <c r="F2096" s="566">
        <v>2448000</v>
      </c>
      <c r="G2096" s="564" t="s">
        <v>1400</v>
      </c>
      <c r="H2096" s="564" t="s">
        <v>1400</v>
      </c>
      <c r="I2096" s="564" t="s">
        <v>4816</v>
      </c>
      <c r="J2096" s="564" t="s">
        <v>1069</v>
      </c>
      <c r="K2096" s="564" t="s">
        <v>1070</v>
      </c>
      <c r="L2096" s="564" t="s">
        <v>2098</v>
      </c>
      <c r="M2096" s="564" t="s">
        <v>2098</v>
      </c>
      <c r="N2096" s="564" t="s">
        <v>1082</v>
      </c>
      <c r="O2096" s="564" t="s">
        <v>2099</v>
      </c>
      <c r="P2096" s="23"/>
      <c r="Q2096" s="23"/>
      <c r="R2096" s="23"/>
      <c r="S2096" s="23"/>
      <c r="T2096" s="23"/>
      <c r="U2096" s="23"/>
      <c r="V2096" s="23"/>
      <c r="W2096" s="23"/>
      <c r="X2096" s="23"/>
      <c r="Y2096" s="23"/>
      <c r="Z2096" s="23"/>
    </row>
    <row r="2097" spans="1:26" ht="13">
      <c r="A2097" s="562" t="s">
        <v>5384</v>
      </c>
      <c r="B2097" s="563" t="s">
        <v>5385</v>
      </c>
      <c r="C2097" s="564" t="s">
        <v>353</v>
      </c>
      <c r="D2097" s="565">
        <v>43504</v>
      </c>
      <c r="E2097" s="565">
        <v>43539</v>
      </c>
      <c r="F2097" s="566">
        <v>3840000</v>
      </c>
      <c r="G2097" s="564" t="s">
        <v>1366</v>
      </c>
      <c r="H2097" s="564" t="s">
        <v>1366</v>
      </c>
      <c r="I2097" s="564" t="s">
        <v>45</v>
      </c>
      <c r="J2097" s="564" t="s">
        <v>1069</v>
      </c>
      <c r="K2097" s="564" t="s">
        <v>1090</v>
      </c>
      <c r="L2097" s="564" t="s">
        <v>2098</v>
      </c>
      <c r="M2097" s="564" t="s">
        <v>2098</v>
      </c>
      <c r="N2097" s="564" t="s">
        <v>45</v>
      </c>
      <c r="O2097" s="564" t="s">
        <v>2099</v>
      </c>
      <c r="P2097" s="23"/>
      <c r="Q2097" s="23"/>
      <c r="R2097" s="23"/>
      <c r="S2097" s="23"/>
      <c r="T2097" s="23"/>
      <c r="U2097" s="23"/>
      <c r="V2097" s="23"/>
      <c r="W2097" s="23"/>
      <c r="X2097" s="23"/>
      <c r="Y2097" s="23"/>
      <c r="Z2097" s="23"/>
    </row>
    <row r="2098" spans="1:26" ht="13">
      <c r="A2098" s="562" t="s">
        <v>5386</v>
      </c>
      <c r="B2098" s="563" t="s">
        <v>5387</v>
      </c>
      <c r="C2098" s="564" t="s">
        <v>353</v>
      </c>
      <c r="D2098" s="565">
        <v>43497</v>
      </c>
      <c r="E2098" s="565">
        <v>43496</v>
      </c>
      <c r="F2098" s="566">
        <v>18200000</v>
      </c>
      <c r="G2098" s="564" t="s">
        <v>1128</v>
      </c>
      <c r="H2098" s="564" t="s">
        <v>1128</v>
      </c>
      <c r="I2098" s="564" t="s">
        <v>45</v>
      </c>
      <c r="J2098" s="564" t="s">
        <v>1069</v>
      </c>
      <c r="K2098" s="564" t="s">
        <v>1090</v>
      </c>
      <c r="L2098" s="564" t="s">
        <v>2098</v>
      </c>
      <c r="M2098" s="564" t="s">
        <v>2098</v>
      </c>
      <c r="N2098" s="564" t="s">
        <v>45</v>
      </c>
      <c r="O2098" s="564" t="s">
        <v>2099</v>
      </c>
      <c r="P2098" s="23"/>
      <c r="Q2098" s="23"/>
      <c r="R2098" s="23"/>
      <c r="S2098" s="23"/>
      <c r="T2098" s="23"/>
      <c r="U2098" s="23"/>
      <c r="V2098" s="23"/>
      <c r="W2098" s="23"/>
      <c r="X2098" s="23"/>
      <c r="Y2098" s="23"/>
      <c r="Z2098" s="23"/>
    </row>
    <row r="2099" spans="1:26" ht="13">
      <c r="A2099" s="562" t="s">
        <v>5388</v>
      </c>
      <c r="B2099" s="563" t="s">
        <v>5389</v>
      </c>
      <c r="C2099" s="564" t="s">
        <v>353</v>
      </c>
      <c r="D2099" s="565">
        <v>43497</v>
      </c>
      <c r="E2099" s="565">
        <v>43497</v>
      </c>
      <c r="F2099" s="566">
        <v>10089360</v>
      </c>
      <c r="G2099" s="564" t="s">
        <v>1366</v>
      </c>
      <c r="H2099" s="564" t="s">
        <v>1366</v>
      </c>
      <c r="I2099" s="564" t="s">
        <v>45</v>
      </c>
      <c r="J2099" s="564" t="s">
        <v>1069</v>
      </c>
      <c r="K2099" s="564" t="s">
        <v>1090</v>
      </c>
      <c r="L2099" s="564" t="s">
        <v>1071</v>
      </c>
      <c r="M2099" s="564" t="s">
        <v>1183</v>
      </c>
      <c r="N2099" s="564" t="s">
        <v>45</v>
      </c>
      <c r="O2099" s="564" t="s">
        <v>1472</v>
      </c>
      <c r="P2099" s="23"/>
      <c r="Q2099" s="23"/>
      <c r="R2099" s="23"/>
      <c r="S2099" s="23"/>
      <c r="T2099" s="23"/>
      <c r="U2099" s="23"/>
      <c r="V2099" s="23"/>
      <c r="W2099" s="23"/>
      <c r="X2099" s="23"/>
      <c r="Y2099" s="23"/>
      <c r="Z2099" s="23"/>
    </row>
    <row r="2100" spans="1:26" ht="13">
      <c r="A2100" s="562" t="s">
        <v>5390</v>
      </c>
      <c r="B2100" s="563" t="s">
        <v>5391</v>
      </c>
      <c r="C2100" s="564" t="s">
        <v>1475</v>
      </c>
      <c r="D2100" s="565">
        <v>43496</v>
      </c>
      <c r="E2100" s="565">
        <v>43546</v>
      </c>
      <c r="F2100" s="566">
        <v>125000000</v>
      </c>
      <c r="G2100" s="564" t="s">
        <v>1123</v>
      </c>
      <c r="H2100" s="564" t="s">
        <v>1123</v>
      </c>
      <c r="I2100" s="564" t="s">
        <v>5392</v>
      </c>
      <c r="J2100" s="564" t="s">
        <v>1069</v>
      </c>
      <c r="K2100" s="564" t="s">
        <v>2430</v>
      </c>
      <c r="L2100" s="564" t="s">
        <v>2098</v>
      </c>
      <c r="M2100" s="564" t="s">
        <v>2098</v>
      </c>
      <c r="N2100" s="564" t="s">
        <v>1082</v>
      </c>
      <c r="O2100" s="564" t="s">
        <v>2099</v>
      </c>
      <c r="P2100" s="23"/>
      <c r="Q2100" s="23"/>
      <c r="R2100" s="23"/>
      <c r="S2100" s="23"/>
      <c r="T2100" s="23"/>
      <c r="U2100" s="23"/>
      <c r="V2100" s="23"/>
      <c r="W2100" s="23"/>
      <c r="X2100" s="23"/>
      <c r="Y2100" s="23"/>
      <c r="Z2100" s="23"/>
    </row>
    <row r="2101" spans="1:26" ht="13">
      <c r="A2101" s="562" t="s">
        <v>5393</v>
      </c>
      <c r="B2101" s="563" t="s">
        <v>5394</v>
      </c>
      <c r="C2101" s="564" t="s">
        <v>1475</v>
      </c>
      <c r="D2101" s="565">
        <v>43496</v>
      </c>
      <c r="E2101" s="565">
        <v>43546</v>
      </c>
      <c r="F2101" s="566">
        <v>89000000</v>
      </c>
      <c r="G2101" s="564" t="s">
        <v>1123</v>
      </c>
      <c r="H2101" s="564" t="s">
        <v>1123</v>
      </c>
      <c r="I2101" s="564" t="s">
        <v>5395</v>
      </c>
      <c r="J2101" s="564" t="s">
        <v>1069</v>
      </c>
      <c r="K2101" s="564" t="s">
        <v>2430</v>
      </c>
      <c r="L2101" s="564" t="s">
        <v>2098</v>
      </c>
      <c r="M2101" s="564" t="s">
        <v>2098</v>
      </c>
      <c r="N2101" s="564" t="s">
        <v>1082</v>
      </c>
      <c r="O2101" s="564" t="s">
        <v>2099</v>
      </c>
      <c r="P2101" s="23"/>
      <c r="Q2101" s="23"/>
      <c r="R2101" s="23"/>
      <c r="S2101" s="23"/>
      <c r="T2101" s="23"/>
      <c r="U2101" s="23"/>
      <c r="V2101" s="23"/>
      <c r="W2101" s="23"/>
      <c r="X2101" s="23"/>
      <c r="Y2101" s="23"/>
      <c r="Z2101" s="23"/>
    </row>
    <row r="2102" spans="1:26" ht="13">
      <c r="A2102" s="562" t="s">
        <v>5396</v>
      </c>
      <c r="B2102" s="563" t="s">
        <v>5397</v>
      </c>
      <c r="C2102" s="564" t="s">
        <v>353</v>
      </c>
      <c r="D2102" s="565">
        <v>43496</v>
      </c>
      <c r="E2102" s="565">
        <v>43553</v>
      </c>
      <c r="F2102" s="566">
        <v>142448580</v>
      </c>
      <c r="G2102" s="564" t="s">
        <v>1400</v>
      </c>
      <c r="H2102" s="564" t="s">
        <v>1400</v>
      </c>
      <c r="I2102" s="564" t="s">
        <v>45</v>
      </c>
      <c r="J2102" s="564" t="s">
        <v>1069</v>
      </c>
      <c r="K2102" s="564" t="s">
        <v>1090</v>
      </c>
      <c r="L2102" s="564" t="s">
        <v>2098</v>
      </c>
      <c r="M2102" s="564" t="s">
        <v>2098</v>
      </c>
      <c r="N2102" s="564" t="s">
        <v>45</v>
      </c>
      <c r="O2102" s="564" t="s">
        <v>2099</v>
      </c>
      <c r="P2102" s="23"/>
      <c r="Q2102" s="23"/>
      <c r="R2102" s="23"/>
      <c r="S2102" s="23"/>
      <c r="T2102" s="23"/>
      <c r="U2102" s="23"/>
      <c r="V2102" s="23"/>
      <c r="W2102" s="23"/>
      <c r="X2102" s="23"/>
      <c r="Y2102" s="23"/>
      <c r="Z2102" s="23"/>
    </row>
    <row r="2103" spans="1:26" ht="13">
      <c r="A2103" s="562" t="s">
        <v>5398</v>
      </c>
      <c r="B2103" s="563" t="s">
        <v>5399</v>
      </c>
      <c r="C2103" s="564" t="s">
        <v>353</v>
      </c>
      <c r="D2103" s="565">
        <v>43495</v>
      </c>
      <c r="E2103" s="565">
        <v>43518</v>
      </c>
      <c r="F2103" s="566">
        <v>152000</v>
      </c>
      <c r="G2103" s="564" t="s">
        <v>1366</v>
      </c>
      <c r="H2103" s="564" t="s">
        <v>1366</v>
      </c>
      <c r="I2103" s="564" t="s">
        <v>64</v>
      </c>
      <c r="J2103" s="564" t="s">
        <v>1069</v>
      </c>
      <c r="K2103" s="564" t="s">
        <v>1090</v>
      </c>
      <c r="L2103" s="564" t="s">
        <v>2098</v>
      </c>
      <c r="M2103" s="564" t="s">
        <v>2098</v>
      </c>
      <c r="N2103" s="564" t="s">
        <v>64</v>
      </c>
      <c r="O2103" s="564" t="s">
        <v>2099</v>
      </c>
      <c r="P2103" s="23"/>
      <c r="Q2103" s="23"/>
      <c r="R2103" s="23"/>
      <c r="S2103" s="23"/>
      <c r="T2103" s="23"/>
      <c r="U2103" s="23"/>
      <c r="V2103" s="23"/>
      <c r="W2103" s="23"/>
      <c r="X2103" s="23"/>
      <c r="Y2103" s="23"/>
      <c r="Z2103" s="23"/>
    </row>
    <row r="2104" spans="1:26" ht="13">
      <c r="A2104" s="562" t="s">
        <v>5400</v>
      </c>
      <c r="B2104" s="563" t="s">
        <v>5220</v>
      </c>
      <c r="C2104" s="564" t="s">
        <v>353</v>
      </c>
      <c r="D2104" s="565">
        <v>43495</v>
      </c>
      <c r="E2104" s="565">
        <v>43518</v>
      </c>
      <c r="F2104" s="566">
        <v>304000</v>
      </c>
      <c r="G2104" s="564" t="s">
        <v>1366</v>
      </c>
      <c r="H2104" s="564" t="s">
        <v>1366</v>
      </c>
      <c r="I2104" s="564" t="s">
        <v>64</v>
      </c>
      <c r="J2104" s="564" t="s">
        <v>1069</v>
      </c>
      <c r="K2104" s="564" t="s">
        <v>1090</v>
      </c>
      <c r="L2104" s="564" t="s">
        <v>2098</v>
      </c>
      <c r="M2104" s="564" t="s">
        <v>2098</v>
      </c>
      <c r="N2104" s="564" t="s">
        <v>64</v>
      </c>
      <c r="O2104" s="564" t="s">
        <v>2099</v>
      </c>
      <c r="P2104" s="23"/>
      <c r="Q2104" s="23"/>
      <c r="R2104" s="23"/>
      <c r="S2104" s="23"/>
      <c r="T2104" s="23"/>
      <c r="U2104" s="23"/>
      <c r="V2104" s="23"/>
      <c r="W2104" s="23"/>
      <c r="X2104" s="23"/>
      <c r="Y2104" s="23"/>
      <c r="Z2104" s="23"/>
    </row>
    <row r="2105" spans="1:26" ht="13">
      <c r="A2105" s="562" t="s">
        <v>5401</v>
      </c>
      <c r="B2105" s="563" t="s">
        <v>5402</v>
      </c>
      <c r="C2105" s="564" t="s">
        <v>353</v>
      </c>
      <c r="D2105" s="565">
        <v>43494</v>
      </c>
      <c r="E2105" s="565">
        <v>43524</v>
      </c>
      <c r="F2105" s="566">
        <v>11408000</v>
      </c>
      <c r="G2105" s="564" t="s">
        <v>1366</v>
      </c>
      <c r="H2105" s="564" t="s">
        <v>1366</v>
      </c>
      <c r="I2105" s="564" t="s">
        <v>64</v>
      </c>
      <c r="J2105" s="564" t="s">
        <v>1069</v>
      </c>
      <c r="K2105" s="564" t="s">
        <v>1090</v>
      </c>
      <c r="L2105" s="564" t="s">
        <v>2098</v>
      </c>
      <c r="M2105" s="564" t="s">
        <v>2098</v>
      </c>
      <c r="N2105" s="564" t="s">
        <v>64</v>
      </c>
      <c r="O2105" s="564" t="s">
        <v>2099</v>
      </c>
      <c r="P2105" s="23"/>
      <c r="Q2105" s="23"/>
      <c r="R2105" s="23"/>
      <c r="S2105" s="23"/>
      <c r="T2105" s="23"/>
      <c r="U2105" s="23"/>
      <c r="V2105" s="23"/>
      <c r="W2105" s="23"/>
      <c r="X2105" s="23"/>
      <c r="Y2105" s="23"/>
      <c r="Z2105" s="23"/>
    </row>
    <row r="2106" spans="1:26" ht="13">
      <c r="A2106" s="562" t="s">
        <v>5403</v>
      </c>
      <c r="B2106" s="563" t="s">
        <v>5404</v>
      </c>
      <c r="C2106" s="564" t="s">
        <v>1652</v>
      </c>
      <c r="D2106" s="565">
        <v>43494</v>
      </c>
      <c r="E2106" s="565">
        <v>43516</v>
      </c>
      <c r="F2106" s="566">
        <v>880000</v>
      </c>
      <c r="G2106" s="564" t="s">
        <v>1366</v>
      </c>
      <c r="H2106" s="564" t="s">
        <v>1366</v>
      </c>
      <c r="I2106" s="564" t="s">
        <v>1581</v>
      </c>
      <c r="J2106" s="564" t="s">
        <v>1069</v>
      </c>
      <c r="K2106" s="564" t="s">
        <v>1070</v>
      </c>
      <c r="L2106" s="564" t="s">
        <v>2098</v>
      </c>
      <c r="M2106" s="564" t="s">
        <v>2098</v>
      </c>
      <c r="N2106" s="564" t="s">
        <v>1082</v>
      </c>
      <c r="O2106" s="564" t="s">
        <v>2099</v>
      </c>
      <c r="P2106" s="23"/>
      <c r="Q2106" s="23"/>
      <c r="R2106" s="23"/>
      <c r="S2106" s="23"/>
      <c r="T2106" s="23"/>
      <c r="U2106" s="23"/>
      <c r="V2106" s="23"/>
      <c r="W2106" s="23"/>
      <c r="X2106" s="23"/>
      <c r="Y2106" s="23"/>
      <c r="Z2106" s="23"/>
    </row>
    <row r="2107" spans="1:26" ht="13">
      <c r="A2107" s="562" t="s">
        <v>5405</v>
      </c>
      <c r="B2107" s="563" t="s">
        <v>5406</v>
      </c>
      <c r="C2107" s="564" t="s">
        <v>353</v>
      </c>
      <c r="D2107" s="565">
        <v>43494</v>
      </c>
      <c r="E2107" s="565">
        <v>43516</v>
      </c>
      <c r="F2107" s="566">
        <v>3648000</v>
      </c>
      <c r="G2107" s="564" t="s">
        <v>1366</v>
      </c>
      <c r="H2107" s="564" t="s">
        <v>1366</v>
      </c>
      <c r="I2107" s="564" t="s">
        <v>64</v>
      </c>
      <c r="J2107" s="564" t="s">
        <v>1069</v>
      </c>
      <c r="K2107" s="564" t="s">
        <v>1090</v>
      </c>
      <c r="L2107" s="564" t="s">
        <v>2098</v>
      </c>
      <c r="M2107" s="564" t="s">
        <v>2098</v>
      </c>
      <c r="N2107" s="564" t="s">
        <v>64</v>
      </c>
      <c r="O2107" s="564" t="s">
        <v>2099</v>
      </c>
      <c r="P2107" s="23"/>
      <c r="Q2107" s="23"/>
      <c r="R2107" s="23"/>
      <c r="S2107" s="23"/>
      <c r="T2107" s="23"/>
      <c r="U2107" s="23"/>
      <c r="V2107" s="23"/>
      <c r="W2107" s="23"/>
      <c r="X2107" s="23"/>
      <c r="Y2107" s="23"/>
      <c r="Z2107" s="23"/>
    </row>
    <row r="2108" spans="1:26" ht="13">
      <c r="A2108" s="562" t="s">
        <v>5407</v>
      </c>
      <c r="B2108" s="563" t="s">
        <v>5408</v>
      </c>
      <c r="C2108" s="564" t="s">
        <v>1076</v>
      </c>
      <c r="D2108" s="565">
        <v>43488</v>
      </c>
      <c r="E2108" s="565">
        <v>43553</v>
      </c>
      <c r="F2108" s="566">
        <v>4248000</v>
      </c>
      <c r="G2108" s="564" t="s">
        <v>1400</v>
      </c>
      <c r="H2108" s="564" t="s">
        <v>1400</v>
      </c>
      <c r="I2108" s="564" t="s">
        <v>4816</v>
      </c>
      <c r="J2108" s="564" t="s">
        <v>1069</v>
      </c>
      <c r="K2108" s="564" t="s">
        <v>1070</v>
      </c>
      <c r="L2108" s="564" t="s">
        <v>2098</v>
      </c>
      <c r="M2108" s="564" t="s">
        <v>2098</v>
      </c>
      <c r="N2108" s="564" t="s">
        <v>1082</v>
      </c>
      <c r="O2108" s="564" t="s">
        <v>2099</v>
      </c>
      <c r="P2108" s="23"/>
      <c r="Q2108" s="23"/>
      <c r="R2108" s="23"/>
      <c r="S2108" s="23"/>
      <c r="T2108" s="23"/>
      <c r="U2108" s="23"/>
      <c r="V2108" s="23"/>
      <c r="W2108" s="23"/>
      <c r="X2108" s="23"/>
      <c r="Y2108" s="23"/>
      <c r="Z2108" s="23"/>
    </row>
    <row r="2109" spans="1:26" ht="13">
      <c r="A2109" s="562" t="s">
        <v>5409</v>
      </c>
      <c r="B2109" s="563" t="s">
        <v>5410</v>
      </c>
      <c r="C2109" s="564" t="s">
        <v>1652</v>
      </c>
      <c r="D2109" s="565">
        <v>43488</v>
      </c>
      <c r="E2109" s="565">
        <v>43511</v>
      </c>
      <c r="F2109" s="566">
        <v>185000</v>
      </c>
      <c r="G2109" s="564" t="s">
        <v>1366</v>
      </c>
      <c r="H2109" s="564" t="s">
        <v>1366</v>
      </c>
      <c r="I2109" s="564" t="s">
        <v>70</v>
      </c>
      <c r="J2109" s="564" t="s">
        <v>1069</v>
      </c>
      <c r="K2109" s="564" t="s">
        <v>1120</v>
      </c>
      <c r="L2109" s="564" t="s">
        <v>2098</v>
      </c>
      <c r="M2109" s="564" t="s">
        <v>2098</v>
      </c>
      <c r="N2109" s="564" t="s">
        <v>70</v>
      </c>
      <c r="O2109" s="564" t="s">
        <v>2099</v>
      </c>
      <c r="P2109" s="23"/>
      <c r="Q2109" s="23"/>
      <c r="R2109" s="23"/>
      <c r="S2109" s="23"/>
      <c r="T2109" s="23"/>
      <c r="U2109" s="23"/>
      <c r="V2109" s="23"/>
      <c r="W2109" s="23"/>
      <c r="X2109" s="23"/>
      <c r="Y2109" s="23"/>
      <c r="Z2109" s="23"/>
    </row>
    <row r="2110" spans="1:26" ht="13">
      <c r="A2110" s="562" t="s">
        <v>5411</v>
      </c>
      <c r="B2110" s="563" t="s">
        <v>5412</v>
      </c>
      <c r="C2110" s="564" t="s">
        <v>353</v>
      </c>
      <c r="D2110" s="565">
        <v>43489</v>
      </c>
      <c r="E2110" s="565">
        <v>43524</v>
      </c>
      <c r="F2110" s="566">
        <v>336000</v>
      </c>
      <c r="G2110" s="564" t="s">
        <v>1400</v>
      </c>
      <c r="H2110" s="564" t="s">
        <v>1400</v>
      </c>
      <c r="I2110" s="564" t="s">
        <v>45</v>
      </c>
      <c r="J2110" s="564" t="s">
        <v>1069</v>
      </c>
      <c r="K2110" s="564" t="s">
        <v>1090</v>
      </c>
      <c r="L2110" s="564" t="s">
        <v>2098</v>
      </c>
      <c r="M2110" s="564" t="s">
        <v>2098</v>
      </c>
      <c r="N2110" s="564" t="s">
        <v>45</v>
      </c>
      <c r="O2110" s="564" t="s">
        <v>2099</v>
      </c>
      <c r="P2110" s="23"/>
      <c r="Q2110" s="23"/>
      <c r="R2110" s="23"/>
      <c r="S2110" s="23"/>
      <c r="T2110" s="23"/>
      <c r="U2110" s="23"/>
      <c r="V2110" s="23"/>
      <c r="W2110" s="23"/>
      <c r="X2110" s="23"/>
      <c r="Y2110" s="23"/>
      <c r="Z2110" s="23"/>
    </row>
    <row r="2111" spans="1:26" ht="13">
      <c r="A2111" s="562" t="s">
        <v>5413</v>
      </c>
      <c r="B2111" s="563" t="s">
        <v>5414</v>
      </c>
      <c r="C2111" s="564" t="s">
        <v>1652</v>
      </c>
      <c r="D2111" s="565">
        <v>43487</v>
      </c>
      <c r="E2111" s="565">
        <v>43504</v>
      </c>
      <c r="F2111" s="566">
        <v>1030000</v>
      </c>
      <c r="G2111" s="564" t="s">
        <v>1366</v>
      </c>
      <c r="H2111" s="564" t="s">
        <v>1366</v>
      </c>
      <c r="I2111" s="564" t="s">
        <v>70</v>
      </c>
      <c r="J2111" s="564" t="s">
        <v>1069</v>
      </c>
      <c r="K2111" s="564" t="s">
        <v>1120</v>
      </c>
      <c r="L2111" s="564" t="s">
        <v>2098</v>
      </c>
      <c r="M2111" s="564" t="s">
        <v>2098</v>
      </c>
      <c r="N2111" s="564" t="s">
        <v>70</v>
      </c>
      <c r="O2111" s="564" t="s">
        <v>2099</v>
      </c>
      <c r="P2111" s="23"/>
      <c r="Q2111" s="23"/>
      <c r="R2111" s="23"/>
      <c r="S2111" s="23"/>
      <c r="T2111" s="23"/>
      <c r="U2111" s="23"/>
      <c r="V2111" s="23"/>
      <c r="W2111" s="23"/>
      <c r="X2111" s="23"/>
      <c r="Y2111" s="23"/>
      <c r="Z2111" s="23"/>
    </row>
    <row r="2112" spans="1:26" ht="13">
      <c r="A2112" s="562" t="s">
        <v>5415</v>
      </c>
      <c r="B2112" s="563" t="s">
        <v>5416</v>
      </c>
      <c r="C2112" s="564" t="s">
        <v>1204</v>
      </c>
      <c r="D2112" s="565">
        <v>43487</v>
      </c>
      <c r="E2112" s="565">
        <v>43487</v>
      </c>
      <c r="F2112" s="566">
        <v>318720</v>
      </c>
      <c r="G2112" s="564" t="s">
        <v>1366</v>
      </c>
      <c r="H2112" s="564" t="s">
        <v>1366</v>
      </c>
      <c r="I2112" s="564" t="s">
        <v>1471</v>
      </c>
      <c r="J2112" s="564" t="s">
        <v>1069</v>
      </c>
      <c r="K2112" s="564" t="s">
        <v>1070</v>
      </c>
      <c r="L2112" s="564" t="s">
        <v>1071</v>
      </c>
      <c r="M2112" s="564" t="s">
        <v>1183</v>
      </c>
      <c r="N2112" s="564" t="s">
        <v>1082</v>
      </c>
      <c r="O2112" s="564" t="s">
        <v>1472</v>
      </c>
      <c r="P2112" s="23"/>
      <c r="Q2112" s="23"/>
      <c r="R2112" s="23"/>
      <c r="S2112" s="23"/>
      <c r="T2112" s="23"/>
      <c r="U2112" s="23"/>
      <c r="V2112" s="23"/>
      <c r="W2112" s="23"/>
      <c r="X2112" s="23"/>
      <c r="Y2112" s="23"/>
      <c r="Z2112" s="23"/>
    </row>
    <row r="2113" spans="1:26" ht="13">
      <c r="A2113" s="562" t="s">
        <v>5417</v>
      </c>
      <c r="B2113" s="563" t="s">
        <v>5418</v>
      </c>
      <c r="C2113" s="564" t="s">
        <v>1652</v>
      </c>
      <c r="D2113" s="565">
        <v>43486</v>
      </c>
      <c r="E2113" s="565">
        <v>43508</v>
      </c>
      <c r="F2113" s="566">
        <v>908000</v>
      </c>
      <c r="G2113" s="564" t="s">
        <v>1366</v>
      </c>
      <c r="H2113" s="564" t="s">
        <v>1366</v>
      </c>
      <c r="I2113" s="564" t="s">
        <v>1637</v>
      </c>
      <c r="J2113" s="564" t="s">
        <v>1069</v>
      </c>
      <c r="K2113" s="564" t="s">
        <v>1120</v>
      </c>
      <c r="L2113" s="564" t="s">
        <v>2098</v>
      </c>
      <c r="M2113" s="564" t="s">
        <v>2098</v>
      </c>
      <c r="N2113" s="564" t="s">
        <v>1073</v>
      </c>
      <c r="O2113" s="564" t="s">
        <v>2099</v>
      </c>
      <c r="P2113" s="23"/>
      <c r="Q2113" s="23"/>
      <c r="R2113" s="23"/>
      <c r="S2113" s="23"/>
      <c r="T2113" s="23"/>
      <c r="U2113" s="23"/>
      <c r="V2113" s="23"/>
      <c r="W2113" s="23"/>
      <c r="X2113" s="23"/>
      <c r="Y2113" s="23"/>
      <c r="Z2113" s="23"/>
    </row>
    <row r="2114" spans="1:26" ht="13">
      <c r="A2114" s="562" t="s">
        <v>5419</v>
      </c>
      <c r="B2114" s="563" t="s">
        <v>5420</v>
      </c>
      <c r="C2114" s="564" t="s">
        <v>353</v>
      </c>
      <c r="D2114" s="565">
        <v>43483</v>
      </c>
      <c r="E2114" s="565">
        <v>43524</v>
      </c>
      <c r="F2114" s="566">
        <v>212900000</v>
      </c>
      <c r="G2114" s="564" t="s">
        <v>1366</v>
      </c>
      <c r="H2114" s="564" t="s">
        <v>1366</v>
      </c>
      <c r="I2114" s="564" t="s">
        <v>45</v>
      </c>
      <c r="J2114" s="564" t="s">
        <v>1069</v>
      </c>
      <c r="K2114" s="564" t="s">
        <v>1090</v>
      </c>
      <c r="L2114" s="564" t="s">
        <v>2098</v>
      </c>
      <c r="M2114" s="564" t="s">
        <v>2098</v>
      </c>
      <c r="N2114" s="564" t="s">
        <v>45</v>
      </c>
      <c r="O2114" s="564" t="s">
        <v>2099</v>
      </c>
      <c r="P2114" s="23"/>
      <c r="Q2114" s="23"/>
      <c r="R2114" s="23"/>
      <c r="S2114" s="23"/>
      <c r="T2114" s="23"/>
      <c r="U2114" s="23"/>
      <c r="V2114" s="23"/>
      <c r="W2114" s="23"/>
      <c r="X2114" s="23"/>
      <c r="Y2114" s="23"/>
      <c r="Z2114" s="23"/>
    </row>
    <row r="2115" spans="1:26" ht="13">
      <c r="A2115" s="562" t="s">
        <v>5421</v>
      </c>
      <c r="B2115" s="563" t="s">
        <v>5375</v>
      </c>
      <c r="C2115" s="564" t="s">
        <v>1652</v>
      </c>
      <c r="D2115" s="565">
        <v>43481</v>
      </c>
      <c r="E2115" s="565">
        <v>43504</v>
      </c>
      <c r="F2115" s="566">
        <v>1030000</v>
      </c>
      <c r="G2115" s="564" t="s">
        <v>1366</v>
      </c>
      <c r="H2115" s="564" t="s">
        <v>1366</v>
      </c>
      <c r="I2115" s="564" t="s">
        <v>70</v>
      </c>
      <c r="J2115" s="564" t="s">
        <v>1069</v>
      </c>
      <c r="K2115" s="564" t="s">
        <v>1120</v>
      </c>
      <c r="L2115" s="564" t="s">
        <v>2098</v>
      </c>
      <c r="M2115" s="564" t="s">
        <v>2098</v>
      </c>
      <c r="N2115" s="564" t="s">
        <v>70</v>
      </c>
      <c r="O2115" s="564" t="s">
        <v>2099</v>
      </c>
      <c r="P2115" s="23"/>
      <c r="Q2115" s="23"/>
      <c r="R2115" s="23"/>
      <c r="S2115" s="23"/>
      <c r="T2115" s="23"/>
      <c r="U2115" s="23"/>
      <c r="V2115" s="23"/>
      <c r="W2115" s="23"/>
      <c r="X2115" s="23"/>
      <c r="Y2115" s="23"/>
      <c r="Z2115" s="23"/>
    </row>
    <row r="2116" spans="1:26" ht="13">
      <c r="A2116" s="562" t="s">
        <v>5422</v>
      </c>
      <c r="B2116" s="563" t="s">
        <v>5423</v>
      </c>
      <c r="C2116" s="564" t="s">
        <v>353</v>
      </c>
      <c r="D2116" s="565">
        <v>43481</v>
      </c>
      <c r="E2116" s="565">
        <v>43496</v>
      </c>
      <c r="F2116" s="566">
        <v>2200000</v>
      </c>
      <c r="G2116" s="564" t="s">
        <v>1128</v>
      </c>
      <c r="H2116" s="564" t="s">
        <v>1128</v>
      </c>
      <c r="I2116" s="564" t="s">
        <v>45</v>
      </c>
      <c r="J2116" s="564" t="s">
        <v>1069</v>
      </c>
      <c r="K2116" s="564" t="s">
        <v>1090</v>
      </c>
      <c r="L2116" s="564" t="s">
        <v>2098</v>
      </c>
      <c r="M2116" s="564" t="s">
        <v>2098</v>
      </c>
      <c r="N2116" s="564" t="s">
        <v>45</v>
      </c>
      <c r="O2116" s="564" t="s">
        <v>2099</v>
      </c>
      <c r="P2116" s="23"/>
      <c r="Q2116" s="23"/>
      <c r="R2116" s="23"/>
      <c r="S2116" s="23"/>
      <c r="T2116" s="23"/>
      <c r="U2116" s="23"/>
      <c r="V2116" s="23"/>
      <c r="W2116" s="23"/>
      <c r="X2116" s="23"/>
      <c r="Y2116" s="23"/>
      <c r="Z2116" s="23"/>
    </row>
    <row r="2117" spans="1:26" ht="13">
      <c r="A2117" s="562" t="s">
        <v>5424</v>
      </c>
      <c r="B2117" s="563" t="s">
        <v>5425</v>
      </c>
      <c r="C2117" s="564" t="s">
        <v>1652</v>
      </c>
      <c r="D2117" s="565">
        <v>43481</v>
      </c>
      <c r="E2117" s="565">
        <v>43510</v>
      </c>
      <c r="F2117" s="566">
        <v>13527273</v>
      </c>
      <c r="G2117" s="564" t="s">
        <v>1157</v>
      </c>
      <c r="H2117" s="564" t="s">
        <v>1157</v>
      </c>
      <c r="I2117" s="564" t="s">
        <v>802</v>
      </c>
      <c r="J2117" s="564" t="s">
        <v>1069</v>
      </c>
      <c r="K2117" s="564" t="s">
        <v>1198</v>
      </c>
      <c r="L2117" s="564" t="s">
        <v>2098</v>
      </c>
      <c r="M2117" s="564" t="s">
        <v>2098</v>
      </c>
      <c r="N2117" s="564" t="s">
        <v>132</v>
      </c>
      <c r="O2117" s="564" t="s">
        <v>2099</v>
      </c>
      <c r="P2117" s="23"/>
      <c r="Q2117" s="23"/>
      <c r="R2117" s="23"/>
      <c r="S2117" s="23"/>
      <c r="T2117" s="23"/>
      <c r="U2117" s="23"/>
      <c r="V2117" s="23"/>
      <c r="W2117" s="23"/>
      <c r="X2117" s="23"/>
      <c r="Y2117" s="23"/>
      <c r="Z2117" s="23"/>
    </row>
    <row r="2118" spans="1:26" ht="13">
      <c r="A2118" s="562" t="s">
        <v>5426</v>
      </c>
      <c r="B2118" s="563" t="s">
        <v>5427</v>
      </c>
      <c r="C2118" s="564" t="s">
        <v>353</v>
      </c>
      <c r="D2118" s="565">
        <v>43480</v>
      </c>
      <c r="E2118" s="565">
        <v>43496</v>
      </c>
      <c r="F2118" s="566">
        <v>20000000</v>
      </c>
      <c r="G2118" s="564" t="s">
        <v>1128</v>
      </c>
      <c r="H2118" s="564" t="s">
        <v>1128</v>
      </c>
      <c r="I2118" s="564" t="s">
        <v>45</v>
      </c>
      <c r="J2118" s="564" t="s">
        <v>1069</v>
      </c>
      <c r="K2118" s="564" t="s">
        <v>1090</v>
      </c>
      <c r="L2118" s="564" t="s">
        <v>2098</v>
      </c>
      <c r="M2118" s="564" t="s">
        <v>2098</v>
      </c>
      <c r="N2118" s="564" t="s">
        <v>45</v>
      </c>
      <c r="O2118" s="564" t="s">
        <v>2099</v>
      </c>
      <c r="P2118" s="23"/>
      <c r="Q2118" s="23"/>
      <c r="R2118" s="23"/>
      <c r="S2118" s="23"/>
      <c r="T2118" s="23"/>
      <c r="U2118" s="23"/>
      <c r="V2118" s="23"/>
      <c r="W2118" s="23"/>
      <c r="X2118" s="23"/>
      <c r="Y2118" s="23"/>
      <c r="Z2118" s="23"/>
    </row>
    <row r="2119" spans="1:26" ht="13">
      <c r="A2119" s="562" t="s">
        <v>5428</v>
      </c>
      <c r="B2119" s="563" t="s">
        <v>5429</v>
      </c>
      <c r="C2119" s="564" t="s">
        <v>353</v>
      </c>
      <c r="D2119" s="565">
        <v>43480</v>
      </c>
      <c r="E2119" s="565">
        <v>43496</v>
      </c>
      <c r="F2119" s="566">
        <v>9800000</v>
      </c>
      <c r="G2119" s="564" t="s">
        <v>1128</v>
      </c>
      <c r="H2119" s="564" t="s">
        <v>1128</v>
      </c>
      <c r="I2119" s="564" t="s">
        <v>45</v>
      </c>
      <c r="J2119" s="564" t="s">
        <v>1069</v>
      </c>
      <c r="K2119" s="564" t="s">
        <v>1090</v>
      </c>
      <c r="L2119" s="564" t="s">
        <v>2098</v>
      </c>
      <c r="M2119" s="564" t="s">
        <v>2098</v>
      </c>
      <c r="N2119" s="564" t="s">
        <v>45</v>
      </c>
      <c r="O2119" s="564" t="s">
        <v>2099</v>
      </c>
      <c r="P2119" s="23"/>
      <c r="Q2119" s="23"/>
      <c r="R2119" s="23"/>
      <c r="S2119" s="23"/>
      <c r="T2119" s="23"/>
      <c r="U2119" s="23"/>
      <c r="V2119" s="23"/>
      <c r="W2119" s="23"/>
      <c r="X2119" s="23"/>
      <c r="Y2119" s="23"/>
      <c r="Z2119" s="23"/>
    </row>
    <row r="2120" spans="1:26" ht="13">
      <c r="A2120" s="562" t="s">
        <v>5430</v>
      </c>
      <c r="B2120" s="563" t="s">
        <v>5431</v>
      </c>
      <c r="C2120" s="564" t="s">
        <v>1076</v>
      </c>
      <c r="D2120" s="565">
        <v>43479</v>
      </c>
      <c r="E2120" s="565">
        <v>43553</v>
      </c>
      <c r="F2120" s="566">
        <v>1987000</v>
      </c>
      <c r="G2120" s="564" t="s">
        <v>1400</v>
      </c>
      <c r="H2120" s="564" t="s">
        <v>1400</v>
      </c>
      <c r="I2120" s="564" t="s">
        <v>4816</v>
      </c>
      <c r="J2120" s="564" t="s">
        <v>1069</v>
      </c>
      <c r="K2120" s="564" t="s">
        <v>1070</v>
      </c>
      <c r="L2120" s="564" t="s">
        <v>2098</v>
      </c>
      <c r="M2120" s="564" t="s">
        <v>2098</v>
      </c>
      <c r="N2120" s="564" t="s">
        <v>1082</v>
      </c>
      <c r="O2120" s="564" t="s">
        <v>2099</v>
      </c>
      <c r="P2120" s="23"/>
      <c r="Q2120" s="23"/>
      <c r="R2120" s="23"/>
      <c r="S2120" s="23"/>
      <c r="T2120" s="23"/>
      <c r="U2120" s="23"/>
      <c r="V2120" s="23"/>
      <c r="W2120" s="23"/>
      <c r="X2120" s="23"/>
      <c r="Y2120" s="23"/>
      <c r="Z2120" s="23"/>
    </row>
    <row r="2121" spans="1:26" ht="13">
      <c r="A2121" s="562" t="s">
        <v>5432</v>
      </c>
      <c r="B2121" s="563" t="s">
        <v>5433</v>
      </c>
      <c r="C2121" s="564" t="s">
        <v>353</v>
      </c>
      <c r="D2121" s="565">
        <v>43476</v>
      </c>
      <c r="E2121" s="565">
        <v>43496</v>
      </c>
      <c r="F2121" s="566">
        <v>152000</v>
      </c>
      <c r="G2121" s="564" t="s">
        <v>1366</v>
      </c>
      <c r="H2121" s="564" t="s">
        <v>1366</v>
      </c>
      <c r="I2121" s="564" t="s">
        <v>64</v>
      </c>
      <c r="J2121" s="564" t="s">
        <v>1069</v>
      </c>
      <c r="K2121" s="564" t="s">
        <v>1090</v>
      </c>
      <c r="L2121" s="564" t="s">
        <v>2098</v>
      </c>
      <c r="M2121" s="564" t="s">
        <v>2098</v>
      </c>
      <c r="N2121" s="564" t="s">
        <v>64</v>
      </c>
      <c r="O2121" s="564" t="s">
        <v>2099</v>
      </c>
      <c r="P2121" s="23"/>
      <c r="Q2121" s="23"/>
      <c r="R2121" s="23"/>
      <c r="S2121" s="23"/>
      <c r="T2121" s="23"/>
      <c r="U2121" s="23"/>
      <c r="V2121" s="23"/>
      <c r="W2121" s="23"/>
      <c r="X2121" s="23"/>
      <c r="Y2121" s="23"/>
      <c r="Z2121" s="23"/>
    </row>
    <row r="2122" spans="1:26" ht="13">
      <c r="A2122" s="562" t="s">
        <v>5434</v>
      </c>
      <c r="B2122" s="563" t="s">
        <v>5435</v>
      </c>
      <c r="C2122" s="564" t="s">
        <v>3378</v>
      </c>
      <c r="D2122" s="565">
        <v>43479</v>
      </c>
      <c r="E2122" s="565">
        <v>43488</v>
      </c>
      <c r="F2122" s="566">
        <v>-663636</v>
      </c>
      <c r="G2122" s="564" t="s">
        <v>1157</v>
      </c>
      <c r="H2122" s="564" t="s">
        <v>1157</v>
      </c>
      <c r="I2122" s="564" t="s">
        <v>1746</v>
      </c>
      <c r="J2122" s="564" t="s">
        <v>1069</v>
      </c>
      <c r="K2122" s="564" t="s">
        <v>1198</v>
      </c>
      <c r="L2122" s="564" t="s">
        <v>2098</v>
      </c>
      <c r="M2122" s="564" t="s">
        <v>2098</v>
      </c>
      <c r="N2122" s="564" t="s">
        <v>1073</v>
      </c>
      <c r="O2122" s="564" t="s">
        <v>2099</v>
      </c>
      <c r="P2122" s="23"/>
      <c r="Q2122" s="23"/>
      <c r="R2122" s="23"/>
      <c r="S2122" s="23"/>
      <c r="T2122" s="23"/>
      <c r="U2122" s="23"/>
      <c r="V2122" s="23"/>
      <c r="W2122" s="23"/>
      <c r="X2122" s="23"/>
      <c r="Y2122" s="23"/>
      <c r="Z2122" s="23"/>
    </row>
    <row r="2123" spans="1:26" ht="13">
      <c r="A2123" s="562" t="s">
        <v>5436</v>
      </c>
      <c r="B2123" s="563" t="s">
        <v>5437</v>
      </c>
      <c r="C2123" s="564" t="s">
        <v>1652</v>
      </c>
      <c r="D2123" s="565">
        <v>43475</v>
      </c>
      <c r="E2123" s="565">
        <v>43504</v>
      </c>
      <c r="F2123" s="566">
        <v>4105455</v>
      </c>
      <c r="G2123" s="564" t="s">
        <v>1157</v>
      </c>
      <c r="H2123" s="564" t="s">
        <v>1157</v>
      </c>
      <c r="I2123" s="564" t="s">
        <v>802</v>
      </c>
      <c r="J2123" s="564" t="s">
        <v>1069</v>
      </c>
      <c r="K2123" s="564" t="s">
        <v>1198</v>
      </c>
      <c r="L2123" s="564" t="s">
        <v>2098</v>
      </c>
      <c r="M2123" s="564" t="s">
        <v>2098</v>
      </c>
      <c r="N2123" s="564" t="s">
        <v>132</v>
      </c>
      <c r="O2123" s="564" t="s">
        <v>2099</v>
      </c>
      <c r="P2123" s="23"/>
      <c r="Q2123" s="23"/>
      <c r="R2123" s="23"/>
      <c r="S2123" s="23"/>
      <c r="T2123" s="23"/>
      <c r="U2123" s="23"/>
      <c r="V2123" s="23"/>
      <c r="W2123" s="23"/>
      <c r="X2123" s="23"/>
      <c r="Y2123" s="23"/>
      <c r="Z2123" s="23"/>
    </row>
    <row r="2124" spans="1:26" ht="13">
      <c r="A2124" s="562" t="s">
        <v>5438</v>
      </c>
      <c r="B2124" s="563" t="s">
        <v>5439</v>
      </c>
      <c r="C2124" s="564" t="s">
        <v>1652</v>
      </c>
      <c r="D2124" s="565">
        <v>43475</v>
      </c>
      <c r="E2124" s="565">
        <v>43496</v>
      </c>
      <c r="F2124" s="566">
        <v>264000</v>
      </c>
      <c r="G2124" s="564" t="s">
        <v>1366</v>
      </c>
      <c r="H2124" s="564" t="s">
        <v>1366</v>
      </c>
      <c r="I2124" s="564" t="s">
        <v>1637</v>
      </c>
      <c r="J2124" s="564" t="s">
        <v>1069</v>
      </c>
      <c r="K2124" s="564" t="s">
        <v>1120</v>
      </c>
      <c r="L2124" s="564" t="s">
        <v>2098</v>
      </c>
      <c r="M2124" s="564" t="s">
        <v>2098</v>
      </c>
      <c r="N2124" s="564" t="s">
        <v>1073</v>
      </c>
      <c r="O2124" s="564" t="s">
        <v>2099</v>
      </c>
      <c r="P2124" s="23"/>
      <c r="Q2124" s="23"/>
      <c r="R2124" s="23"/>
      <c r="S2124" s="23"/>
      <c r="T2124" s="23"/>
      <c r="U2124" s="23"/>
      <c r="V2124" s="23"/>
      <c r="W2124" s="23"/>
      <c r="X2124" s="23"/>
      <c r="Y2124" s="23"/>
      <c r="Z2124" s="23"/>
    </row>
    <row r="2125" spans="1:26" ht="13">
      <c r="A2125" s="562" t="s">
        <v>5440</v>
      </c>
      <c r="B2125" s="563" t="s">
        <v>5441</v>
      </c>
      <c r="C2125" s="564" t="s">
        <v>353</v>
      </c>
      <c r="D2125" s="565">
        <v>43475</v>
      </c>
      <c r="E2125" s="565">
        <v>43496</v>
      </c>
      <c r="F2125" s="566">
        <v>304000</v>
      </c>
      <c r="G2125" s="564" t="s">
        <v>1366</v>
      </c>
      <c r="H2125" s="564" t="s">
        <v>1366</v>
      </c>
      <c r="I2125" s="564" t="s">
        <v>64</v>
      </c>
      <c r="J2125" s="564" t="s">
        <v>1069</v>
      </c>
      <c r="K2125" s="564" t="s">
        <v>1090</v>
      </c>
      <c r="L2125" s="564" t="s">
        <v>2098</v>
      </c>
      <c r="M2125" s="564" t="s">
        <v>2098</v>
      </c>
      <c r="N2125" s="564" t="s">
        <v>64</v>
      </c>
      <c r="O2125" s="564" t="s">
        <v>2099</v>
      </c>
      <c r="P2125" s="23"/>
      <c r="Q2125" s="23"/>
      <c r="R2125" s="23"/>
      <c r="S2125" s="23"/>
      <c r="T2125" s="23"/>
      <c r="U2125" s="23"/>
      <c r="V2125" s="23"/>
      <c r="W2125" s="23"/>
      <c r="X2125" s="23"/>
      <c r="Y2125" s="23"/>
      <c r="Z2125" s="23"/>
    </row>
    <row r="2126" spans="1:26" ht="13">
      <c r="A2126" s="562" t="s">
        <v>5442</v>
      </c>
      <c r="B2126" s="563" t="s">
        <v>5443</v>
      </c>
      <c r="C2126" s="564" t="s">
        <v>1652</v>
      </c>
      <c r="D2126" s="565">
        <v>43474</v>
      </c>
      <c r="E2126" s="565">
        <v>43503</v>
      </c>
      <c r="F2126" s="566">
        <v>7653800</v>
      </c>
      <c r="G2126" s="564" t="s">
        <v>1157</v>
      </c>
      <c r="H2126" s="564" t="s">
        <v>1157</v>
      </c>
      <c r="I2126" s="564" t="s">
        <v>802</v>
      </c>
      <c r="J2126" s="564" t="s">
        <v>1069</v>
      </c>
      <c r="K2126" s="564" t="s">
        <v>1198</v>
      </c>
      <c r="L2126" s="564" t="s">
        <v>2098</v>
      </c>
      <c r="M2126" s="564" t="s">
        <v>2098</v>
      </c>
      <c r="N2126" s="564" t="s">
        <v>132</v>
      </c>
      <c r="O2126" s="564" t="s">
        <v>2099</v>
      </c>
      <c r="P2126" s="23"/>
      <c r="Q2126" s="23"/>
      <c r="R2126" s="23"/>
      <c r="S2126" s="23"/>
      <c r="T2126" s="23"/>
      <c r="U2126" s="23"/>
      <c r="V2126" s="23"/>
      <c r="W2126" s="23"/>
      <c r="X2126" s="23"/>
      <c r="Y2126" s="23"/>
      <c r="Z2126" s="23"/>
    </row>
    <row r="2127" spans="1:26" ht="13">
      <c r="A2127" s="562" t="s">
        <v>5444</v>
      </c>
      <c r="B2127" s="563" t="s">
        <v>5445</v>
      </c>
      <c r="C2127" s="564" t="s">
        <v>353</v>
      </c>
      <c r="D2127" s="565">
        <v>43473</v>
      </c>
      <c r="E2127" s="565">
        <v>43473</v>
      </c>
      <c r="F2127" s="566">
        <v>1417800</v>
      </c>
      <c r="G2127" s="564" t="s">
        <v>1366</v>
      </c>
      <c r="H2127" s="564" t="s">
        <v>1366</v>
      </c>
      <c r="I2127" s="564" t="s">
        <v>45</v>
      </c>
      <c r="J2127" s="564" t="s">
        <v>1069</v>
      </c>
      <c r="K2127" s="564" t="s">
        <v>1090</v>
      </c>
      <c r="L2127" s="564" t="s">
        <v>1071</v>
      </c>
      <c r="M2127" s="564" t="s">
        <v>1183</v>
      </c>
      <c r="N2127" s="564" t="s">
        <v>45</v>
      </c>
      <c r="O2127" s="564" t="s">
        <v>1472</v>
      </c>
      <c r="P2127" s="23"/>
      <c r="Q2127" s="23"/>
      <c r="R2127" s="23"/>
      <c r="S2127" s="23"/>
      <c r="T2127" s="23"/>
      <c r="U2127" s="23"/>
      <c r="V2127" s="23"/>
      <c r="W2127" s="23"/>
      <c r="X2127" s="23"/>
      <c r="Y2127" s="23"/>
      <c r="Z2127" s="23"/>
    </row>
    <row r="2128" spans="1:26" ht="13">
      <c r="A2128" s="562" t="s">
        <v>5446</v>
      </c>
      <c r="B2128" s="563" t="s">
        <v>5418</v>
      </c>
      <c r="C2128" s="564" t="s">
        <v>1652</v>
      </c>
      <c r="D2128" s="565">
        <v>43474</v>
      </c>
      <c r="E2128" s="565">
        <v>43496</v>
      </c>
      <c r="F2128" s="566">
        <v>1964000</v>
      </c>
      <c r="G2128" s="564" t="s">
        <v>1366</v>
      </c>
      <c r="H2128" s="564" t="s">
        <v>1366</v>
      </c>
      <c r="I2128" s="564" t="s">
        <v>1637</v>
      </c>
      <c r="J2128" s="564" t="s">
        <v>1069</v>
      </c>
      <c r="K2128" s="564" t="s">
        <v>1120</v>
      </c>
      <c r="L2128" s="564" t="s">
        <v>2098</v>
      </c>
      <c r="M2128" s="564" t="s">
        <v>2098</v>
      </c>
      <c r="N2128" s="564" t="s">
        <v>1073</v>
      </c>
      <c r="O2128" s="564" t="s">
        <v>2099</v>
      </c>
      <c r="P2128" s="23"/>
      <c r="Q2128" s="23"/>
      <c r="R2128" s="23"/>
      <c r="S2128" s="23"/>
      <c r="T2128" s="23"/>
      <c r="U2128" s="23"/>
      <c r="V2128" s="23"/>
      <c r="W2128" s="23"/>
      <c r="X2128" s="23"/>
      <c r="Y2128" s="23"/>
      <c r="Z2128" s="23"/>
    </row>
    <row r="2129" spans="1:26" ht="13">
      <c r="A2129" s="562" t="s">
        <v>5447</v>
      </c>
      <c r="B2129" s="563" t="s">
        <v>5448</v>
      </c>
      <c r="C2129" s="564" t="s">
        <v>353</v>
      </c>
      <c r="D2129" s="565">
        <v>43469</v>
      </c>
      <c r="E2129" s="565">
        <v>43553</v>
      </c>
      <c r="F2129" s="566">
        <v>32200000</v>
      </c>
      <c r="G2129" s="564" t="s">
        <v>1400</v>
      </c>
      <c r="H2129" s="564" t="s">
        <v>1400</v>
      </c>
      <c r="I2129" s="564" t="s">
        <v>45</v>
      </c>
      <c r="J2129" s="564" t="s">
        <v>1069</v>
      </c>
      <c r="K2129" s="564" t="s">
        <v>1090</v>
      </c>
      <c r="L2129" s="564" t="s">
        <v>2098</v>
      </c>
      <c r="M2129" s="564" t="s">
        <v>2098</v>
      </c>
      <c r="N2129" s="564" t="s">
        <v>45</v>
      </c>
      <c r="O2129" s="564" t="s">
        <v>2099</v>
      </c>
      <c r="P2129" s="23"/>
      <c r="Q2129" s="23"/>
      <c r="R2129" s="23"/>
      <c r="S2129" s="23"/>
      <c r="T2129" s="23"/>
      <c r="U2129" s="23"/>
      <c r="V2129" s="23"/>
      <c r="W2129" s="23"/>
      <c r="X2129" s="23"/>
      <c r="Y2129" s="23"/>
      <c r="Z2129" s="23"/>
    </row>
    <row r="2130" spans="1:26" ht="13">
      <c r="A2130" s="562" t="s">
        <v>5449</v>
      </c>
      <c r="B2130" s="563" t="s">
        <v>5450</v>
      </c>
      <c r="C2130" s="564" t="s">
        <v>1475</v>
      </c>
      <c r="D2130" s="565">
        <v>43469</v>
      </c>
      <c r="E2130" s="565">
        <v>43483</v>
      </c>
      <c r="F2130" s="566">
        <v>740000</v>
      </c>
      <c r="G2130" s="564" t="s">
        <v>1366</v>
      </c>
      <c r="H2130" s="564" t="s">
        <v>1366</v>
      </c>
      <c r="I2130" s="564" t="s">
        <v>3824</v>
      </c>
      <c r="J2130" s="564" t="s">
        <v>1069</v>
      </c>
      <c r="K2130" s="564" t="s">
        <v>1070</v>
      </c>
      <c r="L2130" s="564" t="s">
        <v>2098</v>
      </c>
      <c r="M2130" s="564" t="s">
        <v>2098</v>
      </c>
      <c r="N2130" s="564" t="s">
        <v>1073</v>
      </c>
      <c r="O2130" s="564" t="s">
        <v>2099</v>
      </c>
      <c r="P2130" s="23"/>
      <c r="Q2130" s="23"/>
      <c r="R2130" s="23"/>
      <c r="S2130" s="23"/>
      <c r="T2130" s="23"/>
      <c r="U2130" s="23"/>
      <c r="V2130" s="23"/>
      <c r="W2130" s="23"/>
      <c r="X2130" s="23"/>
      <c r="Y2130" s="23"/>
      <c r="Z2130" s="23"/>
    </row>
    <row r="2131" spans="1:26" ht="13">
      <c r="A2131" s="562" t="s">
        <v>5451</v>
      </c>
      <c r="B2131" s="563" t="s">
        <v>5452</v>
      </c>
      <c r="C2131" s="564" t="s">
        <v>1475</v>
      </c>
      <c r="D2131" s="565">
        <v>43469</v>
      </c>
      <c r="E2131" s="565">
        <v>43483</v>
      </c>
      <c r="F2131" s="566">
        <v>740000</v>
      </c>
      <c r="G2131" s="564" t="s">
        <v>1366</v>
      </c>
      <c r="H2131" s="564" t="s">
        <v>1366</v>
      </c>
      <c r="I2131" s="564" t="s">
        <v>2586</v>
      </c>
      <c r="J2131" s="564" t="s">
        <v>1069</v>
      </c>
      <c r="K2131" s="564" t="s">
        <v>1070</v>
      </c>
      <c r="L2131" s="564" t="s">
        <v>2098</v>
      </c>
      <c r="M2131" s="564" t="s">
        <v>2098</v>
      </c>
      <c r="N2131" s="564" t="s">
        <v>1073</v>
      </c>
      <c r="O2131" s="564" t="s">
        <v>2099</v>
      </c>
      <c r="P2131" s="23"/>
      <c r="Q2131" s="23"/>
      <c r="R2131" s="23"/>
      <c r="S2131" s="23"/>
      <c r="T2131" s="23"/>
      <c r="U2131" s="23"/>
      <c r="V2131" s="23"/>
      <c r="W2131" s="23"/>
      <c r="X2131" s="23"/>
      <c r="Y2131" s="23"/>
      <c r="Z2131" s="23"/>
    </row>
    <row r="2132" spans="1:26" ht="13">
      <c r="A2132" s="562" t="s">
        <v>5453</v>
      </c>
      <c r="B2132" s="563" t="s">
        <v>5454</v>
      </c>
      <c r="C2132" s="564" t="s">
        <v>1652</v>
      </c>
      <c r="D2132" s="565">
        <v>43472</v>
      </c>
      <c r="E2132" s="565">
        <v>43486</v>
      </c>
      <c r="F2132" s="566">
        <v>88000</v>
      </c>
      <c r="G2132" s="564" t="s">
        <v>1366</v>
      </c>
      <c r="H2132" s="564" t="s">
        <v>1366</v>
      </c>
      <c r="I2132" s="564" t="s">
        <v>1581</v>
      </c>
      <c r="J2132" s="564" t="s">
        <v>1069</v>
      </c>
      <c r="K2132" s="564" t="s">
        <v>1070</v>
      </c>
      <c r="L2132" s="564" t="s">
        <v>2098</v>
      </c>
      <c r="M2132" s="564" t="s">
        <v>2098</v>
      </c>
      <c r="N2132" s="564" t="s">
        <v>1082</v>
      </c>
      <c r="O2132" s="564" t="s">
        <v>2099</v>
      </c>
      <c r="P2132" s="23"/>
      <c r="Q2132" s="23"/>
      <c r="R2132" s="23"/>
      <c r="S2132" s="23"/>
      <c r="T2132" s="23"/>
      <c r="U2132" s="23"/>
      <c r="V2132" s="23"/>
      <c r="W2132" s="23"/>
      <c r="X2132" s="23"/>
      <c r="Y2132" s="23"/>
      <c r="Z2132" s="23"/>
    </row>
    <row r="2133" spans="1:26" ht="13">
      <c r="A2133" s="562" t="s">
        <v>5455</v>
      </c>
      <c r="B2133" s="563" t="s">
        <v>5456</v>
      </c>
      <c r="C2133" s="564" t="s">
        <v>353</v>
      </c>
      <c r="D2133" s="565">
        <v>43469</v>
      </c>
      <c r="E2133" s="565">
        <v>43511</v>
      </c>
      <c r="F2133" s="566">
        <v>9600000</v>
      </c>
      <c r="G2133" s="564" t="s">
        <v>1366</v>
      </c>
      <c r="H2133" s="564" t="s">
        <v>1366</v>
      </c>
      <c r="I2133" s="564" t="s">
        <v>45</v>
      </c>
      <c r="J2133" s="564" t="s">
        <v>1069</v>
      </c>
      <c r="K2133" s="564" t="s">
        <v>1090</v>
      </c>
      <c r="L2133" s="564" t="s">
        <v>2098</v>
      </c>
      <c r="M2133" s="564" t="s">
        <v>2098</v>
      </c>
      <c r="N2133" s="564" t="s">
        <v>45</v>
      </c>
      <c r="O2133" s="564" t="s">
        <v>2099</v>
      </c>
      <c r="P2133" s="23"/>
      <c r="Q2133" s="23"/>
      <c r="R2133" s="23"/>
      <c r="S2133" s="23"/>
      <c r="T2133" s="23"/>
      <c r="U2133" s="23"/>
      <c r="V2133" s="23"/>
      <c r="W2133" s="23"/>
      <c r="X2133" s="23"/>
      <c r="Y2133" s="23"/>
      <c r="Z2133" s="23"/>
    </row>
    <row r="2134" spans="1:26" ht="13">
      <c r="A2134" s="562" t="s">
        <v>5457</v>
      </c>
      <c r="B2134" s="563" t="s">
        <v>5458</v>
      </c>
      <c r="C2134" s="564" t="s">
        <v>1475</v>
      </c>
      <c r="D2134" s="565">
        <v>43468</v>
      </c>
      <c r="E2134" s="565">
        <v>43496</v>
      </c>
      <c r="F2134" s="566">
        <v>760000</v>
      </c>
      <c r="G2134" s="564" t="s">
        <v>1366</v>
      </c>
      <c r="H2134" s="564" t="s">
        <v>1366</v>
      </c>
      <c r="I2134" s="564" t="s">
        <v>146</v>
      </c>
      <c r="J2134" s="564" t="s">
        <v>1069</v>
      </c>
      <c r="K2134" s="564" t="s">
        <v>1070</v>
      </c>
      <c r="L2134" s="564" t="s">
        <v>2098</v>
      </c>
      <c r="M2134" s="564" t="s">
        <v>2098</v>
      </c>
      <c r="N2134" s="564" t="s">
        <v>1073</v>
      </c>
      <c r="O2134" s="564" t="s">
        <v>2099</v>
      </c>
      <c r="P2134" s="23"/>
      <c r="Q2134" s="23"/>
      <c r="R2134" s="23"/>
      <c r="S2134" s="23"/>
      <c r="T2134" s="23"/>
      <c r="U2134" s="23"/>
      <c r="V2134" s="23"/>
      <c r="W2134" s="23"/>
      <c r="X2134" s="23"/>
      <c r="Y2134" s="23"/>
      <c r="Z2134" s="23"/>
    </row>
    <row r="2135" spans="1:26" ht="13">
      <c r="A2135" s="562" t="s">
        <v>5459</v>
      </c>
      <c r="B2135" s="563" t="s">
        <v>5460</v>
      </c>
      <c r="C2135" s="564" t="s">
        <v>1475</v>
      </c>
      <c r="D2135" s="565">
        <v>43467</v>
      </c>
      <c r="E2135" s="565">
        <v>43524</v>
      </c>
      <c r="F2135" s="566">
        <v>84622000</v>
      </c>
      <c r="G2135" s="564" t="s">
        <v>1366</v>
      </c>
      <c r="H2135" s="564" t="s">
        <v>1366</v>
      </c>
      <c r="I2135" s="564" t="s">
        <v>1842</v>
      </c>
      <c r="J2135" s="564" t="s">
        <v>1069</v>
      </c>
      <c r="K2135" s="564" t="s">
        <v>1070</v>
      </c>
      <c r="L2135" s="564" t="s">
        <v>2098</v>
      </c>
      <c r="M2135" s="564" t="s">
        <v>2098</v>
      </c>
      <c r="N2135" s="564" t="s">
        <v>1082</v>
      </c>
      <c r="O2135" s="564" t="s">
        <v>2099</v>
      </c>
      <c r="P2135" s="23"/>
      <c r="Q2135" s="23"/>
      <c r="R2135" s="23"/>
      <c r="S2135" s="23"/>
      <c r="T2135" s="23"/>
      <c r="U2135" s="23"/>
      <c r="V2135" s="23"/>
      <c r="W2135" s="23"/>
      <c r="X2135" s="23"/>
      <c r="Y2135" s="23"/>
      <c r="Z2135" s="23"/>
    </row>
    <row r="2136" spans="1:26" ht="13">
      <c r="A2136" s="562" t="s">
        <v>5461</v>
      </c>
      <c r="B2136" s="563" t="s">
        <v>5462</v>
      </c>
      <c r="C2136" s="564" t="s">
        <v>353</v>
      </c>
      <c r="D2136" s="565">
        <v>43467</v>
      </c>
      <c r="E2136" s="565">
        <v>43483</v>
      </c>
      <c r="F2136" s="566">
        <v>7033950</v>
      </c>
      <c r="G2136" s="564" t="s">
        <v>1366</v>
      </c>
      <c r="H2136" s="564" t="s">
        <v>1366</v>
      </c>
      <c r="I2136" s="564" t="s">
        <v>121</v>
      </c>
      <c r="J2136" s="564" t="s">
        <v>1069</v>
      </c>
      <c r="K2136" s="564" t="s">
        <v>1105</v>
      </c>
      <c r="L2136" s="564" t="s">
        <v>2098</v>
      </c>
      <c r="M2136" s="564" t="s">
        <v>2098</v>
      </c>
      <c r="N2136" s="564" t="s">
        <v>1073</v>
      </c>
      <c r="O2136" s="564" t="s">
        <v>2099</v>
      </c>
      <c r="P2136" s="23"/>
      <c r="Q2136" s="23"/>
      <c r="R2136" s="23"/>
      <c r="S2136" s="23"/>
      <c r="T2136" s="23"/>
      <c r="U2136" s="23"/>
      <c r="V2136" s="23"/>
      <c r="W2136" s="23"/>
      <c r="X2136" s="23"/>
      <c r="Y2136" s="23"/>
      <c r="Z2136" s="23"/>
    </row>
    <row r="2137" spans="1:26" ht="13">
      <c r="A2137" s="562" t="s">
        <v>5463</v>
      </c>
      <c r="B2137" s="563" t="s">
        <v>5464</v>
      </c>
      <c r="C2137" s="564" t="s">
        <v>353</v>
      </c>
      <c r="D2137" s="565">
        <v>43467</v>
      </c>
      <c r="E2137" s="565">
        <v>43496</v>
      </c>
      <c r="F2137" s="566">
        <v>8600000</v>
      </c>
      <c r="G2137" s="564" t="s">
        <v>5465</v>
      </c>
      <c r="H2137" s="564" t="s">
        <v>5465</v>
      </c>
      <c r="I2137" s="564" t="s">
        <v>45</v>
      </c>
      <c r="J2137" s="564" t="s">
        <v>1069</v>
      </c>
      <c r="K2137" s="564" t="s">
        <v>1090</v>
      </c>
      <c r="L2137" s="564" t="s">
        <v>2098</v>
      </c>
      <c r="M2137" s="564" t="s">
        <v>2098</v>
      </c>
      <c r="N2137" s="564" t="s">
        <v>45</v>
      </c>
      <c r="O2137" s="564" t="s">
        <v>2099</v>
      </c>
      <c r="P2137" s="23"/>
      <c r="Q2137" s="23"/>
      <c r="R2137" s="23"/>
      <c r="S2137" s="23"/>
      <c r="T2137" s="23"/>
      <c r="U2137" s="23"/>
      <c r="V2137" s="23"/>
      <c r="W2137" s="23"/>
      <c r="X2137" s="23"/>
      <c r="Y2137" s="23"/>
      <c r="Z2137" s="23"/>
    </row>
    <row r="2138" spans="1:26" ht="13">
      <c r="A2138" s="562" t="s">
        <v>5466</v>
      </c>
      <c r="B2138" s="563" t="s">
        <v>5467</v>
      </c>
      <c r="C2138" s="564" t="s">
        <v>1076</v>
      </c>
      <c r="D2138" s="565">
        <v>43467</v>
      </c>
      <c r="E2138" s="565">
        <v>43524</v>
      </c>
      <c r="F2138" s="566">
        <v>1872000</v>
      </c>
      <c r="G2138" s="564" t="s">
        <v>1400</v>
      </c>
      <c r="H2138" s="564" t="s">
        <v>1400</v>
      </c>
      <c r="I2138" s="564" t="s">
        <v>4816</v>
      </c>
      <c r="J2138" s="564" t="s">
        <v>1069</v>
      </c>
      <c r="K2138" s="564" t="s">
        <v>1070</v>
      </c>
      <c r="L2138" s="564" t="s">
        <v>2098</v>
      </c>
      <c r="M2138" s="564" t="s">
        <v>2098</v>
      </c>
      <c r="N2138" s="564" t="s">
        <v>1082</v>
      </c>
      <c r="O2138" s="564" t="s">
        <v>2099</v>
      </c>
      <c r="P2138" s="23"/>
      <c r="Q2138" s="23"/>
      <c r="R2138" s="23"/>
      <c r="S2138" s="23"/>
      <c r="T2138" s="23"/>
      <c r="U2138" s="23"/>
      <c r="V2138" s="23"/>
      <c r="W2138" s="23"/>
      <c r="X2138" s="23"/>
      <c r="Y2138" s="23"/>
      <c r="Z2138" s="23"/>
    </row>
    <row r="2139" spans="1:26" ht="13">
      <c r="A2139" s="562" t="s">
        <v>5468</v>
      </c>
      <c r="B2139" s="563" t="s">
        <v>5066</v>
      </c>
      <c r="C2139" s="564" t="s">
        <v>353</v>
      </c>
      <c r="D2139" s="565">
        <v>43467</v>
      </c>
      <c r="E2139" s="565">
        <v>43490</v>
      </c>
      <c r="F2139" s="566">
        <v>176000</v>
      </c>
      <c r="G2139" s="564" t="s">
        <v>1366</v>
      </c>
      <c r="H2139" s="564" t="s">
        <v>1366</v>
      </c>
      <c r="I2139" s="564" t="s">
        <v>1581</v>
      </c>
      <c r="J2139" s="564" t="s">
        <v>1069</v>
      </c>
      <c r="K2139" s="564" t="s">
        <v>1070</v>
      </c>
      <c r="L2139" s="564" t="s">
        <v>2098</v>
      </c>
      <c r="M2139" s="564" t="s">
        <v>2098</v>
      </c>
      <c r="N2139" s="564" t="s">
        <v>1082</v>
      </c>
      <c r="O2139" s="564" t="s">
        <v>2099</v>
      </c>
      <c r="P2139" s="23"/>
      <c r="Q2139" s="23"/>
      <c r="R2139" s="23"/>
      <c r="S2139" s="23"/>
      <c r="T2139" s="23"/>
      <c r="U2139" s="23"/>
      <c r="V2139" s="23"/>
      <c r="W2139" s="23"/>
      <c r="X2139" s="23"/>
      <c r="Y2139" s="23"/>
      <c r="Z2139" s="23"/>
    </row>
    <row r="2140" spans="1:26" ht="13">
      <c r="A2140" s="562" t="s">
        <v>5469</v>
      </c>
      <c r="B2140" s="563" t="s">
        <v>5470</v>
      </c>
      <c r="C2140" s="564" t="s">
        <v>353</v>
      </c>
      <c r="D2140" s="565">
        <v>43462</v>
      </c>
      <c r="E2140" s="565">
        <v>43496</v>
      </c>
      <c r="F2140" s="566">
        <v>2350000</v>
      </c>
      <c r="G2140" s="564" t="s">
        <v>1636</v>
      </c>
      <c r="H2140" s="564" t="s">
        <v>1636</v>
      </c>
      <c r="I2140" s="564" t="s">
        <v>45</v>
      </c>
      <c r="J2140" s="564" t="s">
        <v>1069</v>
      </c>
      <c r="K2140" s="564" t="s">
        <v>1090</v>
      </c>
      <c r="L2140" s="564" t="s">
        <v>2098</v>
      </c>
      <c r="M2140" s="564" t="s">
        <v>2098</v>
      </c>
      <c r="N2140" s="564" t="s">
        <v>45</v>
      </c>
      <c r="O2140" s="564" t="s">
        <v>2099</v>
      </c>
      <c r="P2140" s="23"/>
      <c r="Q2140" s="23"/>
      <c r="R2140" s="23"/>
      <c r="S2140" s="23"/>
      <c r="T2140" s="23"/>
      <c r="U2140" s="23"/>
      <c r="V2140" s="23"/>
      <c r="W2140" s="23"/>
      <c r="X2140" s="23"/>
      <c r="Y2140" s="23"/>
      <c r="Z2140" s="23"/>
    </row>
    <row r="2141" spans="1:26" ht="13">
      <c r="A2141" s="562" t="s">
        <v>5471</v>
      </c>
      <c r="B2141" s="563" t="s">
        <v>5472</v>
      </c>
      <c r="C2141" s="564" t="s">
        <v>1652</v>
      </c>
      <c r="D2141" s="565">
        <v>43462</v>
      </c>
      <c r="E2141" s="565">
        <v>43115</v>
      </c>
      <c r="F2141" s="566">
        <v>2112000</v>
      </c>
      <c r="G2141" s="564" t="s">
        <v>1366</v>
      </c>
      <c r="H2141" s="564" t="s">
        <v>1366</v>
      </c>
      <c r="I2141" s="564" t="s">
        <v>1637</v>
      </c>
      <c r="J2141" s="564" t="s">
        <v>1069</v>
      </c>
      <c r="K2141" s="564" t="s">
        <v>1120</v>
      </c>
      <c r="L2141" s="564" t="s">
        <v>2098</v>
      </c>
      <c r="M2141" s="564" t="s">
        <v>2098</v>
      </c>
      <c r="N2141" s="564" t="s">
        <v>1073</v>
      </c>
      <c r="O2141" s="564" t="s">
        <v>2099</v>
      </c>
      <c r="P2141" s="23"/>
      <c r="Q2141" s="23"/>
      <c r="R2141" s="23"/>
      <c r="S2141" s="23"/>
      <c r="T2141" s="23"/>
      <c r="U2141" s="23"/>
      <c r="V2141" s="23"/>
      <c r="W2141" s="23"/>
      <c r="X2141" s="23"/>
      <c r="Y2141" s="23"/>
      <c r="Z2141" s="23"/>
    </row>
    <row r="2142" spans="1:26" ht="13">
      <c r="A2142" s="562" t="s">
        <v>5473</v>
      </c>
      <c r="B2142" s="563" t="s">
        <v>5474</v>
      </c>
      <c r="C2142" s="564" t="s">
        <v>1475</v>
      </c>
      <c r="D2142" s="565">
        <v>43460</v>
      </c>
      <c r="E2142" s="565">
        <v>43490</v>
      </c>
      <c r="F2142" s="566">
        <v>40800000</v>
      </c>
      <c r="G2142" s="564" t="s">
        <v>1498</v>
      </c>
      <c r="H2142" s="564" t="s">
        <v>1498</v>
      </c>
      <c r="I2142" s="564" t="s">
        <v>5475</v>
      </c>
      <c r="J2142" s="564" t="s">
        <v>1069</v>
      </c>
      <c r="K2142" s="564" t="s">
        <v>1070</v>
      </c>
      <c r="L2142" s="564" t="s">
        <v>2098</v>
      </c>
      <c r="M2142" s="564" t="s">
        <v>2098</v>
      </c>
      <c r="N2142" s="564" t="s">
        <v>1082</v>
      </c>
      <c r="O2142" s="564" t="s">
        <v>2099</v>
      </c>
      <c r="P2142" s="23"/>
      <c r="Q2142" s="23"/>
      <c r="R2142" s="23"/>
      <c r="S2142" s="23"/>
      <c r="T2142" s="23"/>
      <c r="U2142" s="23"/>
      <c r="V2142" s="23"/>
      <c r="W2142" s="23"/>
      <c r="X2142" s="23"/>
      <c r="Y2142" s="23"/>
      <c r="Z2142" s="23"/>
    </row>
    <row r="2143" spans="1:26" ht="13">
      <c r="A2143" s="562" t="s">
        <v>5476</v>
      </c>
      <c r="B2143" s="563" t="s">
        <v>5477</v>
      </c>
      <c r="C2143" s="564" t="s">
        <v>1076</v>
      </c>
      <c r="D2143" s="565">
        <v>43460</v>
      </c>
      <c r="E2143" s="565">
        <v>43524</v>
      </c>
      <c r="F2143" s="566">
        <v>1096000</v>
      </c>
      <c r="G2143" s="564" t="s">
        <v>1400</v>
      </c>
      <c r="H2143" s="564" t="s">
        <v>1400</v>
      </c>
      <c r="I2143" s="564" t="s">
        <v>4816</v>
      </c>
      <c r="J2143" s="564" t="s">
        <v>1069</v>
      </c>
      <c r="K2143" s="564" t="s">
        <v>1070</v>
      </c>
      <c r="L2143" s="564" t="s">
        <v>2098</v>
      </c>
      <c r="M2143" s="564" t="s">
        <v>2098</v>
      </c>
      <c r="N2143" s="564" t="s">
        <v>1082</v>
      </c>
      <c r="O2143" s="564" t="s">
        <v>2099</v>
      </c>
      <c r="P2143" s="23"/>
      <c r="Q2143" s="23"/>
      <c r="R2143" s="23"/>
      <c r="S2143" s="23"/>
      <c r="T2143" s="23"/>
      <c r="U2143" s="23"/>
      <c r="V2143" s="23"/>
      <c r="W2143" s="23"/>
      <c r="X2143" s="23"/>
      <c r="Y2143" s="23"/>
      <c r="Z2143" s="23"/>
    </row>
    <row r="2144" spans="1:26" ht="13">
      <c r="A2144" s="562" t="s">
        <v>5478</v>
      </c>
      <c r="B2144" s="563" t="s">
        <v>5479</v>
      </c>
      <c r="C2144" s="564" t="s">
        <v>1076</v>
      </c>
      <c r="D2144" s="565">
        <v>43460</v>
      </c>
      <c r="E2144" s="565">
        <v>43524</v>
      </c>
      <c r="F2144" s="566">
        <v>1987000</v>
      </c>
      <c r="G2144" s="564" t="s">
        <v>1400</v>
      </c>
      <c r="H2144" s="564" t="s">
        <v>1400</v>
      </c>
      <c r="I2144" s="564" t="s">
        <v>4816</v>
      </c>
      <c r="J2144" s="564" t="s">
        <v>1069</v>
      </c>
      <c r="K2144" s="564" t="s">
        <v>1070</v>
      </c>
      <c r="L2144" s="564" t="s">
        <v>2098</v>
      </c>
      <c r="M2144" s="564" t="s">
        <v>2098</v>
      </c>
      <c r="N2144" s="564" t="s">
        <v>1082</v>
      </c>
      <c r="O2144" s="564" t="s">
        <v>2099</v>
      </c>
      <c r="P2144" s="23"/>
      <c r="Q2144" s="23"/>
      <c r="R2144" s="23"/>
      <c r="S2144" s="23"/>
      <c r="T2144" s="23"/>
      <c r="U2144" s="23"/>
      <c r="V2144" s="23"/>
      <c r="W2144" s="23"/>
      <c r="X2144" s="23"/>
      <c r="Y2144" s="23"/>
      <c r="Z2144" s="23"/>
    </row>
    <row r="2145" spans="1:26" ht="13">
      <c r="A2145" s="562" t="s">
        <v>5480</v>
      </c>
      <c r="B2145" s="563" t="s">
        <v>5481</v>
      </c>
      <c r="C2145" s="564" t="s">
        <v>3378</v>
      </c>
      <c r="D2145" s="565">
        <v>43461</v>
      </c>
      <c r="E2145" s="565">
        <v>43488</v>
      </c>
      <c r="F2145" s="566">
        <v>663636</v>
      </c>
      <c r="G2145" s="564" t="s">
        <v>1157</v>
      </c>
      <c r="H2145" s="564" t="s">
        <v>1157</v>
      </c>
      <c r="I2145" s="564" t="s">
        <v>1746</v>
      </c>
      <c r="J2145" s="564" t="s">
        <v>1069</v>
      </c>
      <c r="K2145" s="564" t="s">
        <v>1198</v>
      </c>
      <c r="L2145" s="564" t="s">
        <v>2098</v>
      </c>
      <c r="M2145" s="564" t="s">
        <v>2098</v>
      </c>
      <c r="N2145" s="564" t="s">
        <v>1073</v>
      </c>
      <c r="O2145" s="564" t="s">
        <v>2099</v>
      </c>
      <c r="P2145" s="23"/>
      <c r="Q2145" s="23"/>
      <c r="R2145" s="23"/>
      <c r="S2145" s="23"/>
      <c r="T2145" s="23"/>
      <c r="U2145" s="23"/>
      <c r="V2145" s="23"/>
      <c r="W2145" s="23"/>
      <c r="X2145" s="23"/>
      <c r="Y2145" s="23"/>
      <c r="Z2145" s="23"/>
    </row>
    <row r="2146" spans="1:26" ht="13">
      <c r="A2146" s="562" t="s">
        <v>5482</v>
      </c>
      <c r="B2146" s="563" t="s">
        <v>5483</v>
      </c>
      <c r="C2146" s="564" t="s">
        <v>1548</v>
      </c>
      <c r="D2146" s="565">
        <v>43458</v>
      </c>
      <c r="E2146" s="565">
        <v>43501</v>
      </c>
      <c r="F2146" s="566">
        <v>552000</v>
      </c>
      <c r="G2146" s="564" t="s">
        <v>1366</v>
      </c>
      <c r="H2146" s="564" t="s">
        <v>1366</v>
      </c>
      <c r="I2146" s="564" t="s">
        <v>125</v>
      </c>
      <c r="J2146" s="564" t="s">
        <v>1069</v>
      </c>
      <c r="K2146" s="564" t="s">
        <v>1070</v>
      </c>
      <c r="L2146" s="564" t="s">
        <v>2098</v>
      </c>
      <c r="M2146" s="564" t="s">
        <v>2098</v>
      </c>
      <c r="N2146" s="564" t="s">
        <v>1073</v>
      </c>
      <c r="O2146" s="564" t="s">
        <v>2099</v>
      </c>
      <c r="P2146" s="23"/>
      <c r="Q2146" s="23"/>
      <c r="R2146" s="23"/>
      <c r="S2146" s="23"/>
      <c r="T2146" s="23"/>
      <c r="U2146" s="23"/>
      <c r="V2146" s="23"/>
      <c r="W2146" s="23"/>
      <c r="X2146" s="23"/>
      <c r="Y2146" s="23"/>
      <c r="Z2146" s="23"/>
    </row>
    <row r="2147" spans="1:26" ht="13">
      <c r="A2147" s="562" t="s">
        <v>5484</v>
      </c>
      <c r="B2147" s="563" t="s">
        <v>5485</v>
      </c>
      <c r="C2147" s="564" t="s">
        <v>1475</v>
      </c>
      <c r="D2147" s="565">
        <v>43455</v>
      </c>
      <c r="E2147" s="565">
        <v>43461</v>
      </c>
      <c r="F2147" s="566">
        <v>16500000</v>
      </c>
      <c r="G2147" s="564" t="s">
        <v>1529</v>
      </c>
      <c r="H2147" s="564" t="s">
        <v>1529</v>
      </c>
      <c r="I2147" s="564" t="s">
        <v>1771</v>
      </c>
      <c r="J2147" s="564" t="s">
        <v>1069</v>
      </c>
      <c r="K2147" s="564" t="s">
        <v>1070</v>
      </c>
      <c r="L2147" s="564" t="s">
        <v>2098</v>
      </c>
      <c r="M2147" s="564" t="s">
        <v>2098</v>
      </c>
      <c r="N2147" s="564" t="s">
        <v>1082</v>
      </c>
      <c r="O2147" s="564" t="s">
        <v>2099</v>
      </c>
      <c r="P2147" s="23"/>
      <c r="Q2147" s="23"/>
      <c r="R2147" s="23"/>
      <c r="S2147" s="23"/>
      <c r="T2147" s="23"/>
      <c r="U2147" s="23"/>
      <c r="V2147" s="23"/>
      <c r="W2147" s="23"/>
      <c r="X2147" s="23"/>
      <c r="Y2147" s="23"/>
      <c r="Z2147" s="23"/>
    </row>
    <row r="2148" spans="1:26" ht="13">
      <c r="A2148" s="562" t="s">
        <v>5486</v>
      </c>
      <c r="B2148" s="563" t="s">
        <v>5418</v>
      </c>
      <c r="C2148" s="564" t="s">
        <v>3378</v>
      </c>
      <c r="D2148" s="565">
        <v>43455</v>
      </c>
      <c r="E2148" s="565">
        <v>43119</v>
      </c>
      <c r="F2148" s="566">
        <v>5132000</v>
      </c>
      <c r="G2148" s="564" t="s">
        <v>1366</v>
      </c>
      <c r="H2148" s="564" t="s">
        <v>1366</v>
      </c>
      <c r="I2148" s="564" t="s">
        <v>1637</v>
      </c>
      <c r="J2148" s="564" t="s">
        <v>1069</v>
      </c>
      <c r="K2148" s="564" t="s">
        <v>1120</v>
      </c>
      <c r="L2148" s="564" t="s">
        <v>2098</v>
      </c>
      <c r="M2148" s="564" t="s">
        <v>2098</v>
      </c>
      <c r="N2148" s="564" t="s">
        <v>1073</v>
      </c>
      <c r="O2148" s="564" t="s">
        <v>2099</v>
      </c>
      <c r="P2148" s="23"/>
      <c r="Q2148" s="23"/>
      <c r="R2148" s="23"/>
      <c r="S2148" s="23"/>
      <c r="T2148" s="23"/>
      <c r="U2148" s="23"/>
      <c r="V2148" s="23"/>
      <c r="W2148" s="23"/>
      <c r="X2148" s="23"/>
      <c r="Y2148" s="23"/>
      <c r="Z2148" s="23"/>
    </row>
    <row r="2149" spans="1:26" ht="13">
      <c r="A2149" s="562" t="s">
        <v>5487</v>
      </c>
      <c r="B2149" s="563" t="s">
        <v>5488</v>
      </c>
      <c r="C2149" s="564" t="s">
        <v>1652</v>
      </c>
      <c r="D2149" s="565">
        <v>43454</v>
      </c>
      <c r="E2149" s="565">
        <v>43481</v>
      </c>
      <c r="F2149" s="566">
        <v>49727273</v>
      </c>
      <c r="G2149" s="564" t="s">
        <v>1157</v>
      </c>
      <c r="H2149" s="564" t="s">
        <v>1157</v>
      </c>
      <c r="I2149" s="564" t="s">
        <v>802</v>
      </c>
      <c r="J2149" s="564" t="s">
        <v>1069</v>
      </c>
      <c r="K2149" s="564" t="s">
        <v>1198</v>
      </c>
      <c r="L2149" s="564" t="s">
        <v>2098</v>
      </c>
      <c r="M2149" s="564" t="s">
        <v>2098</v>
      </c>
      <c r="N2149" s="564" t="s">
        <v>132</v>
      </c>
      <c r="O2149" s="564" t="s">
        <v>2099</v>
      </c>
      <c r="P2149" s="23"/>
      <c r="Q2149" s="23"/>
      <c r="R2149" s="23"/>
      <c r="S2149" s="23"/>
      <c r="T2149" s="23"/>
      <c r="U2149" s="23"/>
      <c r="V2149" s="23"/>
      <c r="W2149" s="23"/>
      <c r="X2149" s="23"/>
      <c r="Y2149" s="23"/>
      <c r="Z2149" s="23"/>
    </row>
    <row r="2150" spans="1:26" ht="13">
      <c r="A2150" s="562" t="s">
        <v>5489</v>
      </c>
      <c r="B2150" s="563" t="s">
        <v>5490</v>
      </c>
      <c r="C2150" s="564" t="s">
        <v>1076</v>
      </c>
      <c r="D2150" s="565">
        <v>43455</v>
      </c>
      <c r="E2150" s="565">
        <v>43524</v>
      </c>
      <c r="F2150" s="566">
        <v>4585000</v>
      </c>
      <c r="G2150" s="564" t="s">
        <v>1400</v>
      </c>
      <c r="H2150" s="564" t="s">
        <v>1400</v>
      </c>
      <c r="I2150" s="564" t="s">
        <v>4816</v>
      </c>
      <c r="J2150" s="564" t="s">
        <v>1069</v>
      </c>
      <c r="K2150" s="564" t="s">
        <v>1070</v>
      </c>
      <c r="L2150" s="564" t="s">
        <v>2098</v>
      </c>
      <c r="M2150" s="564" t="s">
        <v>2098</v>
      </c>
      <c r="N2150" s="564" t="s">
        <v>1082</v>
      </c>
      <c r="O2150" s="564" t="s">
        <v>2099</v>
      </c>
      <c r="P2150" s="23"/>
      <c r="Q2150" s="23"/>
      <c r="R2150" s="23"/>
      <c r="S2150" s="23"/>
      <c r="T2150" s="23"/>
      <c r="U2150" s="23"/>
      <c r="V2150" s="23"/>
      <c r="W2150" s="23"/>
      <c r="X2150" s="23"/>
      <c r="Y2150" s="23"/>
      <c r="Z2150" s="23"/>
    </row>
    <row r="2151" spans="1:26" ht="13">
      <c r="A2151" s="562" t="s">
        <v>5491</v>
      </c>
      <c r="B2151" s="563" t="s">
        <v>5492</v>
      </c>
      <c r="C2151" s="564" t="s">
        <v>1652</v>
      </c>
      <c r="D2151" s="565">
        <v>43454</v>
      </c>
      <c r="E2151" s="565">
        <v>43476</v>
      </c>
      <c r="F2151" s="566">
        <v>1270000</v>
      </c>
      <c r="G2151" s="564" t="s">
        <v>1366</v>
      </c>
      <c r="H2151" s="564" t="s">
        <v>1366</v>
      </c>
      <c r="I2151" s="564" t="s">
        <v>1681</v>
      </c>
      <c r="J2151" s="564" t="s">
        <v>1069</v>
      </c>
      <c r="K2151" s="564" t="s">
        <v>1120</v>
      </c>
      <c r="L2151" s="564" t="s">
        <v>2098</v>
      </c>
      <c r="M2151" s="564" t="s">
        <v>2098</v>
      </c>
      <c r="N2151" s="564" t="s">
        <v>1073</v>
      </c>
      <c r="O2151" s="564" t="s">
        <v>2099</v>
      </c>
      <c r="P2151" s="23"/>
      <c r="Q2151" s="23"/>
      <c r="R2151" s="23"/>
      <c r="S2151" s="23"/>
      <c r="T2151" s="23"/>
      <c r="U2151" s="23"/>
      <c r="V2151" s="23"/>
      <c r="W2151" s="23"/>
      <c r="X2151" s="23"/>
      <c r="Y2151" s="23"/>
      <c r="Z2151" s="23"/>
    </row>
    <row r="2152" spans="1:26" ht="13">
      <c r="A2152" s="562" t="s">
        <v>5493</v>
      </c>
      <c r="B2152" s="563" t="s">
        <v>5418</v>
      </c>
      <c r="C2152" s="564" t="s">
        <v>1652</v>
      </c>
      <c r="D2152" s="565">
        <v>43452</v>
      </c>
      <c r="E2152" s="565">
        <v>43470</v>
      </c>
      <c r="F2152" s="566">
        <v>908000</v>
      </c>
      <c r="G2152" s="564" t="s">
        <v>1366</v>
      </c>
      <c r="H2152" s="564" t="s">
        <v>1366</v>
      </c>
      <c r="I2152" s="564" t="s">
        <v>1637</v>
      </c>
      <c r="J2152" s="564" t="s">
        <v>1069</v>
      </c>
      <c r="K2152" s="564" t="s">
        <v>1120</v>
      </c>
      <c r="L2152" s="564" t="s">
        <v>2098</v>
      </c>
      <c r="M2152" s="564" t="s">
        <v>2098</v>
      </c>
      <c r="N2152" s="564" t="s">
        <v>1073</v>
      </c>
      <c r="O2152" s="564" t="s">
        <v>2099</v>
      </c>
      <c r="P2152" s="23"/>
      <c r="Q2152" s="23"/>
      <c r="R2152" s="23"/>
      <c r="S2152" s="23"/>
      <c r="T2152" s="23"/>
      <c r="U2152" s="23"/>
      <c r="V2152" s="23"/>
      <c r="W2152" s="23"/>
      <c r="X2152" s="23"/>
      <c r="Y2152" s="23"/>
      <c r="Z2152" s="23"/>
    </row>
    <row r="2153" spans="1:26" ht="13">
      <c r="A2153" s="562" t="s">
        <v>5494</v>
      </c>
      <c r="B2153" s="563" t="s">
        <v>5495</v>
      </c>
      <c r="C2153" s="564" t="s">
        <v>1652</v>
      </c>
      <c r="D2153" s="565">
        <v>43445</v>
      </c>
      <c r="E2153" s="565">
        <v>43465</v>
      </c>
      <c r="F2153" s="566">
        <v>27545455</v>
      </c>
      <c r="G2153" s="564" t="s">
        <v>1157</v>
      </c>
      <c r="H2153" s="564" t="s">
        <v>1157</v>
      </c>
      <c r="I2153" s="564" t="s">
        <v>802</v>
      </c>
      <c r="J2153" s="564" t="s">
        <v>1069</v>
      </c>
      <c r="K2153" s="564" t="s">
        <v>1198</v>
      </c>
      <c r="L2153" s="564" t="s">
        <v>2098</v>
      </c>
      <c r="M2153" s="564" t="s">
        <v>2098</v>
      </c>
      <c r="N2153" s="564" t="s">
        <v>132</v>
      </c>
      <c r="O2153" s="564" t="s">
        <v>2099</v>
      </c>
      <c r="P2153" s="23"/>
      <c r="Q2153" s="23"/>
      <c r="R2153" s="23"/>
      <c r="S2153" s="23"/>
      <c r="T2153" s="23"/>
      <c r="U2153" s="23"/>
      <c r="V2153" s="23"/>
      <c r="W2153" s="23"/>
      <c r="X2153" s="23"/>
      <c r="Y2153" s="23"/>
      <c r="Z2153" s="23"/>
    </row>
    <row r="2154" spans="1:26" ht="13">
      <c r="A2154" s="562" t="s">
        <v>5496</v>
      </c>
      <c r="B2154" s="563" t="s">
        <v>5497</v>
      </c>
      <c r="C2154" s="564" t="s">
        <v>1548</v>
      </c>
      <c r="D2154" s="565">
        <v>43445</v>
      </c>
      <c r="E2154" s="565">
        <v>43458</v>
      </c>
      <c r="F2154" s="566">
        <v>551200</v>
      </c>
      <c r="G2154" s="564" t="s">
        <v>1366</v>
      </c>
      <c r="H2154" s="564" t="s">
        <v>1366</v>
      </c>
      <c r="I2154" s="564" t="s">
        <v>2586</v>
      </c>
      <c r="J2154" s="564" t="s">
        <v>1069</v>
      </c>
      <c r="K2154" s="564" t="s">
        <v>1070</v>
      </c>
      <c r="L2154" s="564" t="s">
        <v>2098</v>
      </c>
      <c r="M2154" s="564" t="s">
        <v>2098</v>
      </c>
      <c r="N2154" s="564" t="s">
        <v>1073</v>
      </c>
      <c r="O2154" s="564" t="s">
        <v>2099</v>
      </c>
      <c r="P2154" s="23"/>
      <c r="Q2154" s="23"/>
      <c r="R2154" s="23"/>
      <c r="S2154" s="23"/>
      <c r="T2154" s="23"/>
      <c r="U2154" s="23"/>
      <c r="V2154" s="23"/>
      <c r="W2154" s="23"/>
      <c r="X2154" s="23"/>
      <c r="Y2154" s="23"/>
      <c r="Z2154" s="23"/>
    </row>
    <row r="2155" spans="1:26" ht="13">
      <c r="A2155" s="562" t="s">
        <v>5498</v>
      </c>
      <c r="B2155" s="563" t="s">
        <v>5499</v>
      </c>
      <c r="C2155" s="564" t="s">
        <v>1551</v>
      </c>
      <c r="D2155" s="565">
        <v>43445</v>
      </c>
      <c r="E2155" s="565">
        <v>43458</v>
      </c>
      <c r="F2155" s="566">
        <v>390600</v>
      </c>
      <c r="G2155" s="564" t="s">
        <v>1366</v>
      </c>
      <c r="H2155" s="564" t="s">
        <v>1366</v>
      </c>
      <c r="I2155" s="564" t="s">
        <v>4853</v>
      </c>
      <c r="J2155" s="564" t="s">
        <v>1069</v>
      </c>
      <c r="K2155" s="564" t="s">
        <v>1090</v>
      </c>
      <c r="L2155" s="564" t="s">
        <v>2098</v>
      </c>
      <c r="M2155" s="564" t="s">
        <v>2098</v>
      </c>
      <c r="N2155" s="564" t="s">
        <v>1073</v>
      </c>
      <c r="O2155" s="564" t="s">
        <v>2099</v>
      </c>
      <c r="P2155" s="23"/>
      <c r="Q2155" s="23"/>
      <c r="R2155" s="23"/>
      <c r="S2155" s="23"/>
      <c r="T2155" s="23"/>
      <c r="U2155" s="23"/>
      <c r="V2155" s="23"/>
      <c r="W2155" s="23"/>
      <c r="X2155" s="23"/>
      <c r="Y2155" s="23"/>
      <c r="Z2155" s="23"/>
    </row>
    <row r="2156" spans="1:26" ht="13">
      <c r="A2156" s="562" t="s">
        <v>5500</v>
      </c>
      <c r="B2156" s="563" t="s">
        <v>5501</v>
      </c>
      <c r="C2156" s="564" t="s">
        <v>1548</v>
      </c>
      <c r="D2156" s="565">
        <v>43445</v>
      </c>
      <c r="E2156" s="565">
        <v>43458</v>
      </c>
      <c r="F2156" s="566">
        <v>1240200</v>
      </c>
      <c r="G2156" s="564" t="s">
        <v>1366</v>
      </c>
      <c r="H2156" s="564" t="s">
        <v>1366</v>
      </c>
      <c r="I2156" s="564" t="s">
        <v>3824</v>
      </c>
      <c r="J2156" s="564" t="s">
        <v>1069</v>
      </c>
      <c r="K2156" s="564" t="s">
        <v>1070</v>
      </c>
      <c r="L2156" s="564" t="s">
        <v>2098</v>
      </c>
      <c r="M2156" s="564" t="s">
        <v>2098</v>
      </c>
      <c r="N2156" s="564" t="s">
        <v>1073</v>
      </c>
      <c r="O2156" s="564" t="s">
        <v>2099</v>
      </c>
      <c r="P2156" s="23"/>
      <c r="Q2156" s="23"/>
      <c r="R2156" s="23"/>
      <c r="S2156" s="23"/>
      <c r="T2156" s="23"/>
      <c r="U2156" s="23"/>
      <c r="V2156" s="23"/>
      <c r="W2156" s="23"/>
      <c r="X2156" s="23"/>
      <c r="Y2156" s="23"/>
      <c r="Z2156" s="23"/>
    </row>
    <row r="2157" spans="1:26" ht="13">
      <c r="A2157" s="562" t="s">
        <v>5502</v>
      </c>
      <c r="B2157" s="563" t="s">
        <v>5503</v>
      </c>
      <c r="C2157" s="564" t="s">
        <v>1652</v>
      </c>
      <c r="D2157" s="565">
        <v>43444</v>
      </c>
      <c r="E2157" s="565">
        <v>43448</v>
      </c>
      <c r="F2157" s="566">
        <v>940000</v>
      </c>
      <c r="G2157" s="564" t="s">
        <v>1366</v>
      </c>
      <c r="H2157" s="564" t="s">
        <v>1366</v>
      </c>
      <c r="I2157" s="564" t="s">
        <v>70</v>
      </c>
      <c r="J2157" s="564" t="s">
        <v>1069</v>
      </c>
      <c r="K2157" s="564" t="s">
        <v>1120</v>
      </c>
      <c r="L2157" s="564" t="s">
        <v>2098</v>
      </c>
      <c r="M2157" s="564" t="s">
        <v>2098</v>
      </c>
      <c r="N2157" s="564" t="s">
        <v>70</v>
      </c>
      <c r="O2157" s="564" t="s">
        <v>2099</v>
      </c>
      <c r="P2157" s="23"/>
      <c r="Q2157" s="23"/>
      <c r="R2157" s="23"/>
      <c r="S2157" s="23"/>
      <c r="T2157" s="23"/>
      <c r="U2157" s="23"/>
      <c r="V2157" s="23"/>
      <c r="W2157" s="23"/>
      <c r="X2157" s="23"/>
      <c r="Y2157" s="23"/>
      <c r="Z2157" s="23"/>
    </row>
    <row r="2158" spans="1:26" ht="13">
      <c r="A2158" s="562" t="s">
        <v>5504</v>
      </c>
      <c r="B2158" s="563" t="s">
        <v>5505</v>
      </c>
      <c r="C2158" s="564" t="s">
        <v>1551</v>
      </c>
      <c r="D2158" s="565">
        <v>43439</v>
      </c>
      <c r="E2158" s="565">
        <v>43462</v>
      </c>
      <c r="F2158" s="566">
        <v>52500000</v>
      </c>
      <c r="G2158" s="564" t="s">
        <v>5465</v>
      </c>
      <c r="H2158" s="564" t="s">
        <v>5465</v>
      </c>
      <c r="I2158" s="564" t="s">
        <v>45</v>
      </c>
      <c r="J2158" s="564" t="s">
        <v>1069</v>
      </c>
      <c r="K2158" s="564" t="s">
        <v>1090</v>
      </c>
      <c r="L2158" s="564" t="s">
        <v>2098</v>
      </c>
      <c r="M2158" s="564" t="s">
        <v>2098</v>
      </c>
      <c r="N2158" s="564" t="s">
        <v>45</v>
      </c>
      <c r="O2158" s="564" t="s">
        <v>2099</v>
      </c>
      <c r="P2158" s="23"/>
      <c r="Q2158" s="23"/>
      <c r="R2158" s="23"/>
      <c r="S2158" s="23"/>
      <c r="T2158" s="23"/>
      <c r="U2158" s="23"/>
      <c r="V2158" s="23"/>
      <c r="W2158" s="23"/>
      <c r="X2158" s="23"/>
      <c r="Y2158" s="23"/>
      <c r="Z2158" s="23"/>
    </row>
    <row r="2159" spans="1:26" ht="13">
      <c r="A2159" s="562" t="s">
        <v>5506</v>
      </c>
      <c r="B2159" s="563" t="s">
        <v>5507</v>
      </c>
      <c r="C2159" s="564" t="s">
        <v>1551</v>
      </c>
      <c r="D2159" s="565">
        <v>43439</v>
      </c>
      <c r="E2159" s="565">
        <v>43462</v>
      </c>
      <c r="F2159" s="566">
        <v>75000000</v>
      </c>
      <c r="G2159" s="564" t="s">
        <v>5465</v>
      </c>
      <c r="H2159" s="564" t="s">
        <v>5465</v>
      </c>
      <c r="I2159" s="564" t="s">
        <v>45</v>
      </c>
      <c r="J2159" s="564" t="s">
        <v>1069</v>
      </c>
      <c r="K2159" s="564" t="s">
        <v>1090</v>
      </c>
      <c r="L2159" s="564" t="s">
        <v>2098</v>
      </c>
      <c r="M2159" s="564" t="s">
        <v>2098</v>
      </c>
      <c r="N2159" s="564" t="s">
        <v>45</v>
      </c>
      <c r="O2159" s="564" t="s">
        <v>2099</v>
      </c>
      <c r="P2159" s="23"/>
      <c r="Q2159" s="23"/>
      <c r="R2159" s="23"/>
      <c r="S2159" s="23"/>
      <c r="T2159" s="23"/>
      <c r="U2159" s="23"/>
      <c r="V2159" s="23"/>
      <c r="W2159" s="23"/>
      <c r="X2159" s="23"/>
      <c r="Y2159" s="23"/>
      <c r="Z2159" s="23"/>
    </row>
    <row r="2160" spans="1:26" ht="13">
      <c r="A2160" s="562" t="s">
        <v>5508</v>
      </c>
      <c r="B2160" s="563" t="s">
        <v>5509</v>
      </c>
      <c r="C2160" s="564" t="s">
        <v>1551</v>
      </c>
      <c r="D2160" s="565">
        <v>43439</v>
      </c>
      <c r="E2160" s="565">
        <v>43462</v>
      </c>
      <c r="F2160" s="566">
        <v>13670000</v>
      </c>
      <c r="G2160" s="564" t="s">
        <v>5465</v>
      </c>
      <c r="H2160" s="564" t="s">
        <v>5465</v>
      </c>
      <c r="I2160" s="564" t="s">
        <v>45</v>
      </c>
      <c r="J2160" s="564" t="s">
        <v>1069</v>
      </c>
      <c r="K2160" s="564" t="s">
        <v>1090</v>
      </c>
      <c r="L2160" s="564" t="s">
        <v>2098</v>
      </c>
      <c r="M2160" s="564" t="s">
        <v>2098</v>
      </c>
      <c r="N2160" s="564" t="s">
        <v>45</v>
      </c>
      <c r="O2160" s="564" t="s">
        <v>2099</v>
      </c>
      <c r="P2160" s="23"/>
      <c r="Q2160" s="23"/>
      <c r="R2160" s="23"/>
      <c r="S2160" s="23"/>
      <c r="T2160" s="23"/>
      <c r="U2160" s="23"/>
      <c r="V2160" s="23"/>
      <c r="W2160" s="23"/>
      <c r="X2160" s="23"/>
      <c r="Y2160" s="23"/>
      <c r="Z2160" s="23"/>
    </row>
    <row r="2161" spans="1:26" ht="13">
      <c r="A2161" s="562" t="s">
        <v>5510</v>
      </c>
      <c r="B2161" s="563" t="s">
        <v>5511</v>
      </c>
      <c r="C2161" s="564" t="s">
        <v>1551</v>
      </c>
      <c r="D2161" s="565">
        <v>43439</v>
      </c>
      <c r="E2161" s="565">
        <v>43462</v>
      </c>
      <c r="F2161" s="566">
        <v>125406000</v>
      </c>
      <c r="G2161" s="564" t="s">
        <v>5465</v>
      </c>
      <c r="H2161" s="564" t="s">
        <v>5465</v>
      </c>
      <c r="I2161" s="564" t="s">
        <v>45</v>
      </c>
      <c r="J2161" s="564" t="s">
        <v>1069</v>
      </c>
      <c r="K2161" s="564" t="s">
        <v>1090</v>
      </c>
      <c r="L2161" s="564" t="s">
        <v>2098</v>
      </c>
      <c r="M2161" s="564" t="s">
        <v>2098</v>
      </c>
      <c r="N2161" s="564" t="s">
        <v>45</v>
      </c>
      <c r="O2161" s="564" t="s">
        <v>2099</v>
      </c>
      <c r="P2161" s="23"/>
      <c r="Q2161" s="23"/>
      <c r="R2161" s="23"/>
      <c r="S2161" s="23"/>
      <c r="T2161" s="23"/>
      <c r="U2161" s="23"/>
      <c r="V2161" s="23"/>
      <c r="W2161" s="23"/>
      <c r="X2161" s="23"/>
      <c r="Y2161" s="23"/>
      <c r="Z2161" s="23"/>
    </row>
    <row r="2162" spans="1:26" ht="13">
      <c r="A2162" s="562" t="s">
        <v>5512</v>
      </c>
      <c r="B2162" s="563" t="s">
        <v>5513</v>
      </c>
      <c r="C2162" s="564" t="s">
        <v>1551</v>
      </c>
      <c r="D2162" s="565">
        <v>43439</v>
      </c>
      <c r="E2162" s="565">
        <v>43462</v>
      </c>
      <c r="F2162" s="566">
        <v>28118000</v>
      </c>
      <c r="G2162" s="564" t="s">
        <v>5465</v>
      </c>
      <c r="H2162" s="564" t="s">
        <v>5465</v>
      </c>
      <c r="I2162" s="564" t="s">
        <v>45</v>
      </c>
      <c r="J2162" s="564" t="s">
        <v>1069</v>
      </c>
      <c r="K2162" s="564" t="s">
        <v>1090</v>
      </c>
      <c r="L2162" s="564" t="s">
        <v>2098</v>
      </c>
      <c r="M2162" s="564" t="s">
        <v>2098</v>
      </c>
      <c r="N2162" s="564" t="s">
        <v>45</v>
      </c>
      <c r="O2162" s="564" t="s">
        <v>2099</v>
      </c>
      <c r="P2162" s="23"/>
      <c r="Q2162" s="23"/>
      <c r="R2162" s="23"/>
      <c r="S2162" s="23"/>
      <c r="T2162" s="23"/>
      <c r="U2162" s="23"/>
      <c r="V2162" s="23"/>
      <c r="W2162" s="23"/>
      <c r="X2162" s="23"/>
      <c r="Y2162" s="23"/>
      <c r="Z2162" s="23"/>
    </row>
    <row r="2163" spans="1:26" ht="13">
      <c r="A2163" s="562" t="s">
        <v>5514</v>
      </c>
      <c r="B2163" s="563" t="s">
        <v>5515</v>
      </c>
      <c r="C2163" s="564" t="s">
        <v>1551</v>
      </c>
      <c r="D2163" s="565">
        <v>43439</v>
      </c>
      <c r="E2163" s="565">
        <v>43462</v>
      </c>
      <c r="F2163" s="566">
        <v>12000000</v>
      </c>
      <c r="G2163" s="564" t="s">
        <v>5465</v>
      </c>
      <c r="H2163" s="564" t="s">
        <v>5465</v>
      </c>
      <c r="I2163" s="564" t="s">
        <v>45</v>
      </c>
      <c r="J2163" s="564" t="s">
        <v>1069</v>
      </c>
      <c r="K2163" s="564" t="s">
        <v>1090</v>
      </c>
      <c r="L2163" s="564" t="s">
        <v>2098</v>
      </c>
      <c r="M2163" s="564" t="s">
        <v>2098</v>
      </c>
      <c r="N2163" s="564" t="s">
        <v>45</v>
      </c>
      <c r="O2163" s="564" t="s">
        <v>2099</v>
      </c>
      <c r="P2163" s="23"/>
      <c r="Q2163" s="23"/>
      <c r="R2163" s="23"/>
      <c r="S2163" s="23"/>
      <c r="T2163" s="23"/>
      <c r="U2163" s="23"/>
      <c r="V2163" s="23"/>
      <c r="W2163" s="23"/>
      <c r="X2163" s="23"/>
      <c r="Y2163" s="23"/>
      <c r="Z2163" s="23"/>
    </row>
    <row r="2164" spans="1:26" ht="13">
      <c r="A2164" s="562" t="s">
        <v>5516</v>
      </c>
      <c r="B2164" s="563" t="s">
        <v>5517</v>
      </c>
      <c r="C2164" s="564" t="s">
        <v>1551</v>
      </c>
      <c r="D2164" s="565">
        <v>43439</v>
      </c>
      <c r="E2164" s="565">
        <v>43462</v>
      </c>
      <c r="F2164" s="566">
        <v>12045000</v>
      </c>
      <c r="G2164" s="564" t="s">
        <v>5465</v>
      </c>
      <c r="H2164" s="564" t="s">
        <v>5465</v>
      </c>
      <c r="I2164" s="564" t="s">
        <v>45</v>
      </c>
      <c r="J2164" s="564" t="s">
        <v>1069</v>
      </c>
      <c r="K2164" s="564" t="s">
        <v>1090</v>
      </c>
      <c r="L2164" s="564" t="s">
        <v>2098</v>
      </c>
      <c r="M2164" s="564" t="s">
        <v>2098</v>
      </c>
      <c r="N2164" s="564" t="s">
        <v>45</v>
      </c>
      <c r="O2164" s="564" t="s">
        <v>2099</v>
      </c>
      <c r="P2164" s="23"/>
      <c r="Q2164" s="23"/>
      <c r="R2164" s="23"/>
      <c r="S2164" s="23"/>
      <c r="T2164" s="23"/>
      <c r="U2164" s="23"/>
      <c r="V2164" s="23"/>
      <c r="W2164" s="23"/>
      <c r="X2164" s="23"/>
      <c r="Y2164" s="23"/>
      <c r="Z2164" s="23"/>
    </row>
    <row r="2165" spans="1:26" ht="13">
      <c r="A2165" s="562" t="s">
        <v>5518</v>
      </c>
      <c r="B2165" s="563" t="s">
        <v>5519</v>
      </c>
      <c r="C2165" s="564" t="s">
        <v>3378</v>
      </c>
      <c r="D2165" s="565">
        <v>43441</v>
      </c>
      <c r="E2165" s="565">
        <v>43435</v>
      </c>
      <c r="F2165" s="566">
        <v>20910960</v>
      </c>
      <c r="G2165" s="564" t="s">
        <v>1366</v>
      </c>
      <c r="H2165" s="564" t="s">
        <v>1366</v>
      </c>
      <c r="I2165" s="564" t="s">
        <v>45</v>
      </c>
      <c r="J2165" s="564" t="s">
        <v>1069</v>
      </c>
      <c r="K2165" s="564" t="s">
        <v>1090</v>
      </c>
      <c r="L2165" s="564" t="s">
        <v>1071</v>
      </c>
      <c r="M2165" s="564" t="s">
        <v>1183</v>
      </c>
      <c r="N2165" s="564" t="s">
        <v>45</v>
      </c>
      <c r="O2165" s="564" t="s">
        <v>1472</v>
      </c>
      <c r="P2165" s="23"/>
      <c r="Q2165" s="23"/>
      <c r="R2165" s="23"/>
      <c r="S2165" s="23"/>
      <c r="T2165" s="23"/>
      <c r="U2165" s="23"/>
      <c r="V2165" s="23"/>
      <c r="W2165" s="23"/>
      <c r="X2165" s="23"/>
      <c r="Y2165" s="23"/>
      <c r="Z2165" s="23"/>
    </row>
    <row r="2166" spans="1:26" ht="13">
      <c r="A2166" s="562" t="s">
        <v>5520</v>
      </c>
      <c r="B2166" s="563" t="s">
        <v>5375</v>
      </c>
      <c r="C2166" s="564" t="s">
        <v>1652</v>
      </c>
      <c r="D2166" s="565">
        <v>43437</v>
      </c>
      <c r="E2166" s="565">
        <v>43465</v>
      </c>
      <c r="F2166" s="566">
        <v>1390000</v>
      </c>
      <c r="G2166" s="564" t="s">
        <v>1366</v>
      </c>
      <c r="H2166" s="564" t="s">
        <v>1366</v>
      </c>
      <c r="I2166" s="564" t="s">
        <v>70</v>
      </c>
      <c r="J2166" s="564" t="s">
        <v>1069</v>
      </c>
      <c r="K2166" s="564" t="s">
        <v>1120</v>
      </c>
      <c r="L2166" s="564" t="s">
        <v>2098</v>
      </c>
      <c r="M2166" s="564" t="s">
        <v>2098</v>
      </c>
      <c r="N2166" s="564" t="s">
        <v>70</v>
      </c>
      <c r="O2166" s="564" t="s">
        <v>2099</v>
      </c>
      <c r="P2166" s="23"/>
      <c r="Q2166" s="23"/>
      <c r="R2166" s="23"/>
      <c r="S2166" s="23"/>
      <c r="T2166" s="23"/>
      <c r="U2166" s="23"/>
      <c r="V2166" s="23"/>
      <c r="W2166" s="23"/>
      <c r="X2166" s="23"/>
      <c r="Y2166" s="23"/>
      <c r="Z2166" s="23"/>
    </row>
    <row r="2167" spans="1:26" ht="13">
      <c r="A2167" s="562" t="s">
        <v>5521</v>
      </c>
      <c r="B2167" s="563" t="s">
        <v>4847</v>
      </c>
      <c r="C2167" s="564" t="s">
        <v>1551</v>
      </c>
      <c r="D2167" s="565">
        <v>43439</v>
      </c>
      <c r="E2167" s="565">
        <v>43448</v>
      </c>
      <c r="F2167" s="566">
        <v>5644000</v>
      </c>
      <c r="G2167" s="564" t="s">
        <v>1128</v>
      </c>
      <c r="H2167" s="564" t="s">
        <v>1128</v>
      </c>
      <c r="I2167" s="564" t="s">
        <v>45</v>
      </c>
      <c r="J2167" s="564" t="s">
        <v>1069</v>
      </c>
      <c r="K2167" s="564" t="s">
        <v>1090</v>
      </c>
      <c r="L2167" s="564" t="s">
        <v>2098</v>
      </c>
      <c r="M2167" s="564" t="s">
        <v>2098</v>
      </c>
      <c r="N2167" s="564" t="s">
        <v>45</v>
      </c>
      <c r="O2167" s="564" t="s">
        <v>2099</v>
      </c>
      <c r="P2167" s="23"/>
      <c r="Q2167" s="23"/>
      <c r="R2167" s="23"/>
      <c r="S2167" s="23"/>
      <c r="T2167" s="23"/>
      <c r="U2167" s="23"/>
      <c r="V2167" s="23"/>
      <c r="W2167" s="23"/>
      <c r="X2167" s="23"/>
      <c r="Y2167" s="23"/>
      <c r="Z2167" s="23"/>
    </row>
    <row r="2168" spans="1:26" ht="13">
      <c r="A2168" s="562" t="s">
        <v>5522</v>
      </c>
      <c r="B2168" s="563" t="s">
        <v>5523</v>
      </c>
      <c r="C2168" s="564" t="s">
        <v>1652</v>
      </c>
      <c r="D2168" s="565">
        <v>43437</v>
      </c>
      <c r="E2168" s="565">
        <v>43465</v>
      </c>
      <c r="F2168" s="566">
        <v>608000</v>
      </c>
      <c r="G2168" s="564" t="s">
        <v>1366</v>
      </c>
      <c r="H2168" s="564" t="s">
        <v>1366</v>
      </c>
      <c r="I2168" s="564" t="s">
        <v>1637</v>
      </c>
      <c r="J2168" s="564" t="s">
        <v>1069</v>
      </c>
      <c r="K2168" s="564" t="s">
        <v>1120</v>
      </c>
      <c r="L2168" s="564" t="s">
        <v>2098</v>
      </c>
      <c r="M2168" s="564" t="s">
        <v>2098</v>
      </c>
      <c r="N2168" s="564" t="s">
        <v>1073</v>
      </c>
      <c r="O2168" s="564" t="s">
        <v>2099</v>
      </c>
      <c r="P2168" s="23"/>
      <c r="Q2168" s="23"/>
      <c r="R2168" s="23"/>
      <c r="S2168" s="23"/>
      <c r="T2168" s="23"/>
      <c r="U2168" s="23"/>
      <c r="V2168" s="23"/>
      <c r="W2168" s="23"/>
      <c r="X2168" s="23"/>
      <c r="Y2168" s="23"/>
      <c r="Z2168" s="23"/>
    </row>
    <row r="2169" spans="1:26" ht="13">
      <c r="A2169" s="562" t="s">
        <v>5524</v>
      </c>
      <c r="B2169" s="563" t="s">
        <v>5525</v>
      </c>
      <c r="C2169" s="564" t="s">
        <v>1551</v>
      </c>
      <c r="D2169" s="565">
        <v>43437</v>
      </c>
      <c r="E2169" s="565">
        <v>43458</v>
      </c>
      <c r="F2169" s="566">
        <v>490000</v>
      </c>
      <c r="G2169" s="564" t="s">
        <v>1366</v>
      </c>
      <c r="H2169" s="564" t="s">
        <v>1366</v>
      </c>
      <c r="I2169" s="564" t="s">
        <v>64</v>
      </c>
      <c r="J2169" s="564" t="s">
        <v>1069</v>
      </c>
      <c r="K2169" s="564" t="s">
        <v>1090</v>
      </c>
      <c r="L2169" s="564" t="s">
        <v>2098</v>
      </c>
      <c r="M2169" s="564" t="s">
        <v>2098</v>
      </c>
      <c r="N2169" s="564" t="s">
        <v>64</v>
      </c>
      <c r="O2169" s="564" t="s">
        <v>2099</v>
      </c>
      <c r="P2169" s="23"/>
      <c r="Q2169" s="23"/>
      <c r="R2169" s="23"/>
      <c r="S2169" s="23"/>
      <c r="T2169" s="23"/>
      <c r="U2169" s="23"/>
      <c r="V2169" s="23"/>
      <c r="W2169" s="23"/>
      <c r="X2169" s="23"/>
      <c r="Y2169" s="23"/>
      <c r="Z2169" s="23"/>
    </row>
    <row r="2170" spans="1:26" ht="13">
      <c r="A2170" s="562" t="s">
        <v>5526</v>
      </c>
      <c r="B2170" s="563" t="s">
        <v>5527</v>
      </c>
      <c r="C2170" s="564" t="s">
        <v>3378</v>
      </c>
      <c r="D2170" s="565">
        <v>43431</v>
      </c>
      <c r="E2170" s="565">
        <v>43445</v>
      </c>
      <c r="F2170" s="566">
        <v>740000</v>
      </c>
      <c r="G2170" s="564" t="s">
        <v>1366</v>
      </c>
      <c r="H2170" s="564" t="s">
        <v>1366</v>
      </c>
      <c r="I2170" s="564" t="s">
        <v>1637</v>
      </c>
      <c r="J2170" s="564" t="s">
        <v>1069</v>
      </c>
      <c r="K2170" s="564" t="s">
        <v>1120</v>
      </c>
      <c r="L2170" s="564" t="s">
        <v>2098</v>
      </c>
      <c r="M2170" s="564" t="s">
        <v>2098</v>
      </c>
      <c r="N2170" s="564" t="s">
        <v>1073</v>
      </c>
      <c r="O2170" s="564" t="s">
        <v>2099</v>
      </c>
      <c r="P2170" s="23"/>
      <c r="Q2170" s="23"/>
      <c r="R2170" s="23"/>
      <c r="S2170" s="23"/>
      <c r="T2170" s="23"/>
      <c r="U2170" s="23"/>
      <c r="V2170" s="23"/>
      <c r="W2170" s="23"/>
      <c r="X2170" s="23"/>
      <c r="Y2170" s="23"/>
      <c r="Z2170" s="23"/>
    </row>
    <row r="2171" spans="1:26" ht="13">
      <c r="A2171" s="562" t="s">
        <v>5528</v>
      </c>
      <c r="B2171" s="563" t="s">
        <v>5529</v>
      </c>
      <c r="C2171" s="564" t="s">
        <v>353</v>
      </c>
      <c r="D2171" s="565">
        <v>43431</v>
      </c>
      <c r="E2171" s="565">
        <v>43496</v>
      </c>
      <c r="F2171" s="566">
        <v>1953000</v>
      </c>
      <c r="G2171" s="564" t="s">
        <v>5465</v>
      </c>
      <c r="H2171" s="564" t="s">
        <v>5465</v>
      </c>
      <c r="I2171" s="564" t="s">
        <v>45</v>
      </c>
      <c r="J2171" s="564" t="s">
        <v>1069</v>
      </c>
      <c r="K2171" s="564" t="s">
        <v>1090</v>
      </c>
      <c r="L2171" s="564" t="s">
        <v>2098</v>
      </c>
      <c r="M2171" s="564" t="s">
        <v>2098</v>
      </c>
      <c r="N2171" s="564" t="s">
        <v>45</v>
      </c>
      <c r="O2171" s="564" t="s">
        <v>2099</v>
      </c>
      <c r="P2171" s="23"/>
      <c r="Q2171" s="23"/>
      <c r="R2171" s="23"/>
      <c r="S2171" s="23"/>
      <c r="T2171" s="23"/>
      <c r="U2171" s="23"/>
      <c r="V2171" s="23"/>
      <c r="W2171" s="23"/>
      <c r="X2171" s="23"/>
      <c r="Y2171" s="23"/>
      <c r="Z2171" s="23"/>
    </row>
    <row r="2172" spans="1:26" ht="13">
      <c r="A2172" s="562" t="s">
        <v>5530</v>
      </c>
      <c r="B2172" s="563" t="s">
        <v>5531</v>
      </c>
      <c r="C2172" s="564" t="s">
        <v>353</v>
      </c>
      <c r="D2172" s="565">
        <v>43431</v>
      </c>
      <c r="E2172" s="565">
        <v>43462</v>
      </c>
      <c r="F2172" s="566">
        <v>3850000</v>
      </c>
      <c r="G2172" s="564" t="s">
        <v>5465</v>
      </c>
      <c r="H2172" s="564" t="s">
        <v>5465</v>
      </c>
      <c r="I2172" s="564" t="s">
        <v>45</v>
      </c>
      <c r="J2172" s="564" t="s">
        <v>1069</v>
      </c>
      <c r="K2172" s="564" t="s">
        <v>1090</v>
      </c>
      <c r="L2172" s="564" t="s">
        <v>2098</v>
      </c>
      <c r="M2172" s="564" t="s">
        <v>2098</v>
      </c>
      <c r="N2172" s="564" t="s">
        <v>45</v>
      </c>
      <c r="O2172" s="564" t="s">
        <v>2099</v>
      </c>
      <c r="P2172" s="23"/>
      <c r="Q2172" s="23"/>
      <c r="R2172" s="23"/>
      <c r="S2172" s="23"/>
      <c r="T2172" s="23"/>
      <c r="U2172" s="23"/>
      <c r="V2172" s="23"/>
      <c r="W2172" s="23"/>
      <c r="X2172" s="23"/>
      <c r="Y2172" s="23"/>
      <c r="Z2172" s="23"/>
    </row>
    <row r="2173" spans="1:26" ht="13">
      <c r="A2173" s="562" t="s">
        <v>5532</v>
      </c>
      <c r="B2173" s="563" t="s">
        <v>5533</v>
      </c>
      <c r="C2173" s="564" t="s">
        <v>1551</v>
      </c>
      <c r="D2173" s="565">
        <v>43427</v>
      </c>
      <c r="E2173" s="565">
        <v>43441</v>
      </c>
      <c r="F2173" s="566">
        <v>210000</v>
      </c>
      <c r="G2173" s="564" t="s">
        <v>1366</v>
      </c>
      <c r="H2173" s="564" t="s">
        <v>1366</v>
      </c>
      <c r="I2173" s="564" t="s">
        <v>170</v>
      </c>
      <c r="J2173" s="564" t="s">
        <v>1069</v>
      </c>
      <c r="K2173" s="564" t="s">
        <v>1105</v>
      </c>
      <c r="L2173" s="564" t="s">
        <v>2098</v>
      </c>
      <c r="M2173" s="564" t="s">
        <v>2098</v>
      </c>
      <c r="N2173" s="564" t="s">
        <v>170</v>
      </c>
      <c r="O2173" s="564" t="s">
        <v>2099</v>
      </c>
      <c r="P2173" s="23"/>
      <c r="Q2173" s="23"/>
      <c r="R2173" s="23"/>
      <c r="S2173" s="23"/>
      <c r="T2173" s="23"/>
      <c r="U2173" s="23"/>
      <c r="V2173" s="23"/>
      <c r="W2173" s="23"/>
      <c r="X2173" s="23"/>
      <c r="Y2173" s="23"/>
      <c r="Z2173" s="23"/>
    </row>
    <row r="2174" spans="1:26" ht="13">
      <c r="A2174" s="562" t="s">
        <v>5534</v>
      </c>
      <c r="B2174" s="563" t="s">
        <v>5535</v>
      </c>
      <c r="C2174" s="564" t="s">
        <v>1551</v>
      </c>
      <c r="D2174" s="565">
        <v>43427</v>
      </c>
      <c r="E2174" s="565">
        <v>43441</v>
      </c>
      <c r="F2174" s="566">
        <v>1180000</v>
      </c>
      <c r="G2174" s="564" t="s">
        <v>1366</v>
      </c>
      <c r="H2174" s="564" t="s">
        <v>1366</v>
      </c>
      <c r="I2174" s="564" t="s">
        <v>45</v>
      </c>
      <c r="J2174" s="564" t="s">
        <v>1069</v>
      </c>
      <c r="K2174" s="564" t="s">
        <v>1090</v>
      </c>
      <c r="L2174" s="564" t="s">
        <v>2098</v>
      </c>
      <c r="M2174" s="564" t="s">
        <v>2098</v>
      </c>
      <c r="N2174" s="564" t="s">
        <v>45</v>
      </c>
      <c r="O2174" s="564" t="s">
        <v>2099</v>
      </c>
      <c r="P2174" s="23"/>
      <c r="Q2174" s="23"/>
      <c r="R2174" s="23"/>
      <c r="S2174" s="23"/>
      <c r="T2174" s="23"/>
      <c r="U2174" s="23"/>
      <c r="V2174" s="23"/>
      <c r="W2174" s="23"/>
      <c r="X2174" s="23"/>
      <c r="Y2174" s="23"/>
      <c r="Z2174" s="23"/>
    </row>
    <row r="2175" spans="1:26" ht="13">
      <c r="A2175" s="562" t="s">
        <v>5536</v>
      </c>
      <c r="B2175" s="563" t="s">
        <v>5537</v>
      </c>
      <c r="C2175" s="564" t="s">
        <v>1652</v>
      </c>
      <c r="D2175" s="565">
        <v>43427</v>
      </c>
      <c r="E2175" s="565">
        <v>43441</v>
      </c>
      <c r="F2175" s="566">
        <v>4584000</v>
      </c>
      <c r="G2175" s="564" t="s">
        <v>1366</v>
      </c>
      <c r="H2175" s="564" t="s">
        <v>1366</v>
      </c>
      <c r="I2175" s="564" t="s">
        <v>70</v>
      </c>
      <c r="J2175" s="564" t="s">
        <v>1069</v>
      </c>
      <c r="K2175" s="564" t="s">
        <v>1120</v>
      </c>
      <c r="L2175" s="564" t="s">
        <v>2098</v>
      </c>
      <c r="M2175" s="564" t="s">
        <v>2098</v>
      </c>
      <c r="N2175" s="564" t="s">
        <v>70</v>
      </c>
      <c r="O2175" s="564" t="s">
        <v>2099</v>
      </c>
      <c r="P2175" s="23"/>
      <c r="Q2175" s="23"/>
      <c r="R2175" s="23"/>
      <c r="S2175" s="23"/>
      <c r="T2175" s="23"/>
      <c r="U2175" s="23"/>
      <c r="V2175" s="23"/>
      <c r="W2175" s="23"/>
      <c r="X2175" s="23"/>
      <c r="Y2175" s="23"/>
      <c r="Z2175" s="23"/>
    </row>
    <row r="2176" spans="1:26" ht="13">
      <c r="A2176" s="562" t="s">
        <v>5538</v>
      </c>
      <c r="B2176" s="563" t="s">
        <v>5539</v>
      </c>
      <c r="C2176" s="564" t="s">
        <v>1551</v>
      </c>
      <c r="D2176" s="565">
        <v>43427</v>
      </c>
      <c r="E2176" s="565">
        <v>43405</v>
      </c>
      <c r="F2176" s="566">
        <v>10476000</v>
      </c>
      <c r="G2176" s="564" t="s">
        <v>1366</v>
      </c>
      <c r="H2176" s="564" t="s">
        <v>1366</v>
      </c>
      <c r="I2176" s="564" t="s">
        <v>64</v>
      </c>
      <c r="J2176" s="564" t="s">
        <v>1069</v>
      </c>
      <c r="K2176" s="564" t="s">
        <v>1090</v>
      </c>
      <c r="L2176" s="564" t="s">
        <v>2098</v>
      </c>
      <c r="M2176" s="564" t="s">
        <v>2098</v>
      </c>
      <c r="N2176" s="564" t="s">
        <v>64</v>
      </c>
      <c r="O2176" s="564" t="s">
        <v>2099</v>
      </c>
      <c r="P2176" s="23"/>
      <c r="Q2176" s="23"/>
      <c r="R2176" s="23"/>
      <c r="S2176" s="23"/>
      <c r="T2176" s="23"/>
      <c r="U2176" s="23"/>
      <c r="V2176" s="23"/>
      <c r="W2176" s="23"/>
      <c r="X2176" s="23"/>
      <c r="Y2176" s="23"/>
      <c r="Z2176" s="23"/>
    </row>
    <row r="2177" spans="1:26" ht="13">
      <c r="A2177" s="562" t="s">
        <v>5540</v>
      </c>
      <c r="B2177" s="563" t="s">
        <v>5541</v>
      </c>
      <c r="C2177" s="564" t="s">
        <v>1551</v>
      </c>
      <c r="D2177" s="565">
        <v>43426</v>
      </c>
      <c r="E2177" s="565">
        <v>43440</v>
      </c>
      <c r="F2177" s="566">
        <v>490000</v>
      </c>
      <c r="G2177" s="564" t="s">
        <v>1366</v>
      </c>
      <c r="H2177" s="564" t="s">
        <v>1366</v>
      </c>
      <c r="I2177" s="564" t="s">
        <v>64</v>
      </c>
      <c r="J2177" s="564" t="s">
        <v>1069</v>
      </c>
      <c r="K2177" s="564" t="s">
        <v>1090</v>
      </c>
      <c r="L2177" s="564" t="s">
        <v>2098</v>
      </c>
      <c r="M2177" s="564" t="s">
        <v>2098</v>
      </c>
      <c r="N2177" s="564" t="s">
        <v>64</v>
      </c>
      <c r="O2177" s="564" t="s">
        <v>2099</v>
      </c>
      <c r="P2177" s="23"/>
      <c r="Q2177" s="23"/>
      <c r="R2177" s="23"/>
      <c r="S2177" s="23"/>
      <c r="T2177" s="23"/>
      <c r="U2177" s="23"/>
      <c r="V2177" s="23"/>
      <c r="W2177" s="23"/>
      <c r="X2177" s="23"/>
      <c r="Y2177" s="23"/>
      <c r="Z2177" s="23"/>
    </row>
    <row r="2178" spans="1:26" ht="13">
      <c r="A2178" s="562" t="s">
        <v>5542</v>
      </c>
      <c r="B2178" s="563" t="s">
        <v>5543</v>
      </c>
      <c r="C2178" s="564" t="s">
        <v>1548</v>
      </c>
      <c r="D2178" s="565">
        <v>43425</v>
      </c>
      <c r="E2178" s="565">
        <v>43439</v>
      </c>
      <c r="F2178" s="566">
        <v>264000</v>
      </c>
      <c r="G2178" s="564" t="s">
        <v>1366</v>
      </c>
      <c r="H2178" s="564" t="s">
        <v>1366</v>
      </c>
      <c r="I2178" s="564" t="s">
        <v>1161</v>
      </c>
      <c r="J2178" s="564" t="s">
        <v>1069</v>
      </c>
      <c r="K2178" s="564" t="s">
        <v>1090</v>
      </c>
      <c r="L2178" s="564" t="s">
        <v>2098</v>
      </c>
      <c r="M2178" s="564" t="s">
        <v>2098</v>
      </c>
      <c r="N2178" s="564" t="s">
        <v>1073</v>
      </c>
      <c r="O2178" s="564" t="s">
        <v>2099</v>
      </c>
      <c r="P2178" s="23"/>
      <c r="Q2178" s="23"/>
      <c r="R2178" s="23"/>
      <c r="S2178" s="23"/>
      <c r="T2178" s="23"/>
      <c r="U2178" s="23"/>
      <c r="V2178" s="23"/>
      <c r="W2178" s="23"/>
      <c r="X2178" s="23"/>
      <c r="Y2178" s="23"/>
      <c r="Z2178" s="23"/>
    </row>
    <row r="2179" spans="1:26" ht="13">
      <c r="A2179" s="562" t="s">
        <v>5544</v>
      </c>
      <c r="B2179" s="563" t="s">
        <v>5545</v>
      </c>
      <c r="C2179" s="564" t="s">
        <v>1551</v>
      </c>
      <c r="D2179" s="565">
        <v>43425</v>
      </c>
      <c r="E2179" s="565">
        <v>43439</v>
      </c>
      <c r="F2179" s="566">
        <v>98000</v>
      </c>
      <c r="G2179" s="564" t="s">
        <v>1366</v>
      </c>
      <c r="H2179" s="564" t="s">
        <v>1366</v>
      </c>
      <c r="I2179" s="564" t="s">
        <v>64</v>
      </c>
      <c r="J2179" s="564" t="s">
        <v>1069</v>
      </c>
      <c r="K2179" s="564" t="s">
        <v>1090</v>
      </c>
      <c r="L2179" s="564" t="s">
        <v>2098</v>
      </c>
      <c r="M2179" s="564" t="s">
        <v>2098</v>
      </c>
      <c r="N2179" s="564" t="s">
        <v>64</v>
      </c>
      <c r="O2179" s="564" t="s">
        <v>2099</v>
      </c>
      <c r="P2179" s="23"/>
      <c r="Q2179" s="23"/>
      <c r="R2179" s="23"/>
      <c r="S2179" s="23"/>
      <c r="T2179" s="23"/>
      <c r="U2179" s="23"/>
      <c r="V2179" s="23"/>
      <c r="W2179" s="23"/>
      <c r="X2179" s="23"/>
      <c r="Y2179" s="23"/>
      <c r="Z2179" s="23"/>
    </row>
    <row r="2180" spans="1:26" ht="13">
      <c r="A2180" s="562" t="s">
        <v>5546</v>
      </c>
      <c r="B2180" s="563" t="s">
        <v>5547</v>
      </c>
      <c r="C2180" s="564" t="s">
        <v>1076</v>
      </c>
      <c r="D2180" s="565">
        <v>43424</v>
      </c>
      <c r="E2180" s="565">
        <v>43496</v>
      </c>
      <c r="F2180" s="566">
        <v>913000</v>
      </c>
      <c r="G2180" s="564" t="s">
        <v>1400</v>
      </c>
      <c r="H2180" s="564" t="s">
        <v>1400</v>
      </c>
      <c r="I2180" s="564" t="s">
        <v>4816</v>
      </c>
      <c r="J2180" s="564" t="s">
        <v>1069</v>
      </c>
      <c r="K2180" s="564" t="s">
        <v>1070</v>
      </c>
      <c r="L2180" s="564" t="s">
        <v>2098</v>
      </c>
      <c r="M2180" s="564" t="s">
        <v>2098</v>
      </c>
      <c r="N2180" s="564" t="s">
        <v>1082</v>
      </c>
      <c r="O2180" s="564" t="s">
        <v>2099</v>
      </c>
      <c r="P2180" s="23"/>
      <c r="Q2180" s="23"/>
      <c r="R2180" s="23"/>
      <c r="S2180" s="23"/>
      <c r="T2180" s="23"/>
      <c r="U2180" s="23"/>
      <c r="V2180" s="23"/>
      <c r="W2180" s="23"/>
      <c r="X2180" s="23"/>
      <c r="Y2180" s="23"/>
      <c r="Z2180" s="23"/>
    </row>
    <row r="2181" spans="1:26" ht="13">
      <c r="A2181" s="562" t="s">
        <v>5548</v>
      </c>
      <c r="B2181" s="563" t="s">
        <v>5549</v>
      </c>
      <c r="C2181" s="564" t="s">
        <v>1652</v>
      </c>
      <c r="D2181" s="565">
        <v>43423</v>
      </c>
      <c r="E2181" s="565">
        <v>43448</v>
      </c>
      <c r="F2181" s="566">
        <v>1232000</v>
      </c>
      <c r="G2181" s="564" t="s">
        <v>1366</v>
      </c>
      <c r="H2181" s="564" t="s">
        <v>1366</v>
      </c>
      <c r="I2181" s="564" t="s">
        <v>70</v>
      </c>
      <c r="J2181" s="564" t="s">
        <v>1069</v>
      </c>
      <c r="K2181" s="564" t="s">
        <v>1120</v>
      </c>
      <c r="L2181" s="564" t="s">
        <v>2098</v>
      </c>
      <c r="M2181" s="564" t="s">
        <v>2098</v>
      </c>
      <c r="N2181" s="564" t="s">
        <v>70</v>
      </c>
      <c r="O2181" s="564" t="s">
        <v>2099</v>
      </c>
      <c r="P2181" s="23"/>
      <c r="Q2181" s="23"/>
      <c r="R2181" s="23"/>
      <c r="S2181" s="23"/>
      <c r="T2181" s="23"/>
      <c r="U2181" s="23"/>
      <c r="V2181" s="23"/>
      <c r="W2181" s="23"/>
      <c r="X2181" s="23"/>
      <c r="Y2181" s="23"/>
      <c r="Z2181" s="23"/>
    </row>
    <row r="2182" spans="1:26" ht="13">
      <c r="A2182" s="562" t="s">
        <v>5550</v>
      </c>
      <c r="B2182" s="563" t="s">
        <v>5551</v>
      </c>
      <c r="C2182" s="564" t="s">
        <v>1652</v>
      </c>
      <c r="D2182" s="565">
        <v>43423</v>
      </c>
      <c r="E2182" s="565">
        <v>43476</v>
      </c>
      <c r="F2182" s="566">
        <v>283825000</v>
      </c>
      <c r="G2182" s="564" t="s">
        <v>1366</v>
      </c>
      <c r="H2182" s="564" t="s">
        <v>1366</v>
      </c>
      <c r="I2182" s="564" t="s">
        <v>70</v>
      </c>
      <c r="J2182" s="564" t="s">
        <v>1069</v>
      </c>
      <c r="K2182" s="564" t="s">
        <v>1120</v>
      </c>
      <c r="L2182" s="564" t="s">
        <v>2098</v>
      </c>
      <c r="M2182" s="564" t="s">
        <v>2098</v>
      </c>
      <c r="N2182" s="564" t="s">
        <v>70</v>
      </c>
      <c r="O2182" s="564" t="s">
        <v>2099</v>
      </c>
      <c r="P2182" s="23"/>
      <c r="Q2182" s="23"/>
      <c r="R2182" s="23"/>
      <c r="S2182" s="23"/>
      <c r="T2182" s="23"/>
      <c r="U2182" s="23"/>
      <c r="V2182" s="23"/>
      <c r="W2182" s="23"/>
      <c r="X2182" s="23"/>
      <c r="Y2182" s="23"/>
      <c r="Z2182" s="23"/>
    </row>
    <row r="2183" spans="1:26" ht="13">
      <c r="A2183" s="562" t="s">
        <v>5552</v>
      </c>
      <c r="B2183" s="563" t="s">
        <v>5553</v>
      </c>
      <c r="C2183" s="564" t="s">
        <v>1652</v>
      </c>
      <c r="D2183" s="565">
        <v>43424</v>
      </c>
      <c r="E2183" s="565">
        <v>43448</v>
      </c>
      <c r="F2183" s="566">
        <v>17350000</v>
      </c>
      <c r="G2183" s="564" t="s">
        <v>1366</v>
      </c>
      <c r="H2183" s="564" t="s">
        <v>1366</v>
      </c>
      <c r="I2183" s="564" t="s">
        <v>70</v>
      </c>
      <c r="J2183" s="564" t="s">
        <v>1069</v>
      </c>
      <c r="K2183" s="564" t="s">
        <v>1120</v>
      </c>
      <c r="L2183" s="564" t="s">
        <v>2098</v>
      </c>
      <c r="M2183" s="564" t="s">
        <v>2098</v>
      </c>
      <c r="N2183" s="564" t="s">
        <v>70</v>
      </c>
      <c r="O2183" s="564" t="s">
        <v>2099</v>
      </c>
      <c r="P2183" s="23"/>
      <c r="Q2183" s="23"/>
      <c r="R2183" s="23"/>
      <c r="S2183" s="23"/>
      <c r="T2183" s="23"/>
      <c r="U2183" s="23"/>
      <c r="V2183" s="23"/>
      <c r="W2183" s="23"/>
      <c r="X2183" s="23"/>
      <c r="Y2183" s="23"/>
      <c r="Z2183" s="23"/>
    </row>
    <row r="2184" spans="1:26" ht="13">
      <c r="A2184" s="562" t="s">
        <v>5554</v>
      </c>
      <c r="B2184" s="563" t="s">
        <v>5555</v>
      </c>
      <c r="C2184" s="564" t="s">
        <v>1551</v>
      </c>
      <c r="D2184" s="565">
        <v>43416</v>
      </c>
      <c r="E2184" s="565">
        <v>43434</v>
      </c>
      <c r="F2184" s="566">
        <v>5600000</v>
      </c>
      <c r="G2184" s="564" t="s">
        <v>5465</v>
      </c>
      <c r="H2184" s="564" t="s">
        <v>5465</v>
      </c>
      <c r="I2184" s="564" t="s">
        <v>45</v>
      </c>
      <c r="J2184" s="564" t="s">
        <v>1069</v>
      </c>
      <c r="K2184" s="564" t="s">
        <v>1090</v>
      </c>
      <c r="L2184" s="564" t="s">
        <v>2098</v>
      </c>
      <c r="M2184" s="564" t="s">
        <v>2098</v>
      </c>
      <c r="N2184" s="564" t="s">
        <v>45</v>
      </c>
      <c r="O2184" s="564" t="s">
        <v>2099</v>
      </c>
      <c r="P2184" s="23"/>
      <c r="Q2184" s="23"/>
      <c r="R2184" s="23"/>
      <c r="S2184" s="23"/>
      <c r="T2184" s="23"/>
      <c r="U2184" s="23"/>
      <c r="V2184" s="23"/>
      <c r="W2184" s="23"/>
      <c r="X2184" s="23"/>
      <c r="Y2184" s="23"/>
      <c r="Z2184" s="23"/>
    </row>
    <row r="2185" spans="1:26" ht="13">
      <c r="A2185" s="562" t="s">
        <v>5556</v>
      </c>
      <c r="B2185" s="563" t="s">
        <v>5557</v>
      </c>
      <c r="C2185" s="564" t="s">
        <v>1551</v>
      </c>
      <c r="D2185" s="565">
        <v>43417</v>
      </c>
      <c r="E2185" s="565">
        <v>43434</v>
      </c>
      <c r="F2185" s="566">
        <v>45870000</v>
      </c>
      <c r="G2185" s="564" t="s">
        <v>5465</v>
      </c>
      <c r="H2185" s="564" t="s">
        <v>5465</v>
      </c>
      <c r="I2185" s="564" t="s">
        <v>45</v>
      </c>
      <c r="J2185" s="564" t="s">
        <v>1069</v>
      </c>
      <c r="K2185" s="564" t="s">
        <v>1090</v>
      </c>
      <c r="L2185" s="564" t="s">
        <v>2098</v>
      </c>
      <c r="M2185" s="564" t="s">
        <v>2098</v>
      </c>
      <c r="N2185" s="564" t="s">
        <v>45</v>
      </c>
      <c r="O2185" s="564" t="s">
        <v>2099</v>
      </c>
      <c r="P2185" s="23"/>
      <c r="Q2185" s="23"/>
      <c r="R2185" s="23"/>
      <c r="S2185" s="23"/>
      <c r="T2185" s="23"/>
      <c r="U2185" s="23"/>
      <c r="V2185" s="23"/>
      <c r="W2185" s="23"/>
      <c r="X2185" s="23"/>
      <c r="Y2185" s="23"/>
      <c r="Z2185" s="23"/>
    </row>
    <row r="2186" spans="1:26" ht="13">
      <c r="A2186" s="562" t="s">
        <v>5558</v>
      </c>
      <c r="B2186" s="563" t="s">
        <v>5559</v>
      </c>
      <c r="C2186" s="564" t="s">
        <v>1548</v>
      </c>
      <c r="D2186" s="565">
        <v>43416</v>
      </c>
      <c r="E2186" s="565">
        <v>43426</v>
      </c>
      <c r="F2186" s="566">
        <v>4540000</v>
      </c>
      <c r="G2186" s="564" t="s">
        <v>1366</v>
      </c>
      <c r="H2186" s="564" t="s">
        <v>1366</v>
      </c>
      <c r="I2186" s="564" t="s">
        <v>146</v>
      </c>
      <c r="J2186" s="564" t="s">
        <v>1069</v>
      </c>
      <c r="K2186" s="564" t="s">
        <v>1070</v>
      </c>
      <c r="L2186" s="564" t="s">
        <v>2098</v>
      </c>
      <c r="M2186" s="564" t="s">
        <v>2098</v>
      </c>
      <c r="N2186" s="564" t="s">
        <v>1073</v>
      </c>
      <c r="O2186" s="564" t="s">
        <v>2099</v>
      </c>
      <c r="P2186" s="23"/>
      <c r="Q2186" s="23"/>
      <c r="R2186" s="23"/>
      <c r="S2186" s="23"/>
      <c r="T2186" s="23"/>
      <c r="U2186" s="23"/>
      <c r="V2186" s="23"/>
      <c r="W2186" s="23"/>
      <c r="X2186" s="23"/>
      <c r="Y2186" s="23"/>
      <c r="Z2186" s="23"/>
    </row>
    <row r="2187" spans="1:26" ht="13">
      <c r="A2187" s="562" t="s">
        <v>5560</v>
      </c>
      <c r="B2187" s="563" t="s">
        <v>5561</v>
      </c>
      <c r="C2187" s="564" t="s">
        <v>353</v>
      </c>
      <c r="D2187" s="565">
        <v>43417</v>
      </c>
      <c r="E2187" s="565">
        <v>43465</v>
      </c>
      <c r="F2187" s="566">
        <v>35580000</v>
      </c>
      <c r="G2187" s="564" t="s">
        <v>1366</v>
      </c>
      <c r="H2187" s="564" t="s">
        <v>1366</v>
      </c>
      <c r="I2187" s="564" t="s">
        <v>45</v>
      </c>
      <c r="J2187" s="564" t="s">
        <v>1069</v>
      </c>
      <c r="K2187" s="564" t="s">
        <v>1090</v>
      </c>
      <c r="L2187" s="564" t="s">
        <v>2098</v>
      </c>
      <c r="M2187" s="564" t="s">
        <v>2098</v>
      </c>
      <c r="N2187" s="564" t="s">
        <v>45</v>
      </c>
      <c r="O2187" s="564" t="s">
        <v>2099</v>
      </c>
      <c r="P2187" s="23"/>
      <c r="Q2187" s="23"/>
      <c r="R2187" s="23"/>
      <c r="S2187" s="23"/>
      <c r="T2187" s="23"/>
      <c r="U2187" s="23"/>
      <c r="V2187" s="23"/>
      <c r="W2187" s="23"/>
      <c r="X2187" s="23"/>
      <c r="Y2187" s="23"/>
      <c r="Z2187" s="23"/>
    </row>
    <row r="2188" spans="1:26" ht="13">
      <c r="A2188" s="562" t="s">
        <v>5562</v>
      </c>
      <c r="B2188" s="563" t="s">
        <v>5563</v>
      </c>
      <c r="C2188" s="564" t="s">
        <v>1551</v>
      </c>
      <c r="D2188" s="565">
        <v>43412</v>
      </c>
      <c r="E2188" s="565">
        <v>43434</v>
      </c>
      <c r="F2188" s="566">
        <v>450000</v>
      </c>
      <c r="G2188" s="564" t="s">
        <v>1366</v>
      </c>
      <c r="H2188" s="564" t="s">
        <v>1366</v>
      </c>
      <c r="I2188" s="564" t="s">
        <v>225</v>
      </c>
      <c r="J2188" s="564" t="s">
        <v>1069</v>
      </c>
      <c r="K2188" s="564" t="s">
        <v>1105</v>
      </c>
      <c r="L2188" s="564" t="s">
        <v>2098</v>
      </c>
      <c r="M2188" s="564" t="s">
        <v>2098</v>
      </c>
      <c r="N2188" s="564" t="s">
        <v>225</v>
      </c>
      <c r="O2188" s="564" t="s">
        <v>2099</v>
      </c>
      <c r="P2188" s="23"/>
      <c r="Q2188" s="23"/>
      <c r="R2188" s="23"/>
      <c r="S2188" s="23"/>
      <c r="T2188" s="23"/>
      <c r="U2188" s="23"/>
      <c r="V2188" s="23"/>
      <c r="W2188" s="23"/>
      <c r="X2188" s="23"/>
      <c r="Y2188" s="23"/>
      <c r="Z2188" s="23"/>
    </row>
    <row r="2189" spans="1:26" ht="13">
      <c r="A2189" s="562" t="s">
        <v>5564</v>
      </c>
      <c r="B2189" s="563" t="s">
        <v>5565</v>
      </c>
      <c r="C2189" s="564" t="s">
        <v>1551</v>
      </c>
      <c r="D2189" s="565">
        <v>43412</v>
      </c>
      <c r="E2189" s="565">
        <v>43434</v>
      </c>
      <c r="F2189" s="566">
        <v>170000</v>
      </c>
      <c r="G2189" s="564" t="s">
        <v>1366</v>
      </c>
      <c r="H2189" s="564" t="s">
        <v>1366</v>
      </c>
      <c r="I2189" s="564" t="s">
        <v>225</v>
      </c>
      <c r="J2189" s="564" t="s">
        <v>1069</v>
      </c>
      <c r="K2189" s="564" t="s">
        <v>1105</v>
      </c>
      <c r="L2189" s="564" t="s">
        <v>2098</v>
      </c>
      <c r="M2189" s="564" t="s">
        <v>2098</v>
      </c>
      <c r="N2189" s="564" t="s">
        <v>225</v>
      </c>
      <c r="O2189" s="564" t="s">
        <v>2099</v>
      </c>
      <c r="P2189" s="23"/>
      <c r="Q2189" s="23"/>
      <c r="R2189" s="23"/>
      <c r="S2189" s="23"/>
      <c r="T2189" s="23"/>
      <c r="U2189" s="23"/>
      <c r="V2189" s="23"/>
      <c r="W2189" s="23"/>
      <c r="X2189" s="23"/>
      <c r="Y2189" s="23"/>
      <c r="Z2189" s="23"/>
    </row>
    <row r="2190" spans="1:26" ht="13">
      <c r="A2190" s="562" t="s">
        <v>5566</v>
      </c>
      <c r="B2190" s="563" t="s">
        <v>5567</v>
      </c>
      <c r="C2190" s="564" t="s">
        <v>3378</v>
      </c>
      <c r="D2190" s="565">
        <v>43412</v>
      </c>
      <c r="E2190" s="565">
        <v>43405</v>
      </c>
      <c r="F2190" s="566">
        <v>8136720</v>
      </c>
      <c r="G2190" s="564" t="s">
        <v>1366</v>
      </c>
      <c r="H2190" s="564" t="s">
        <v>1366</v>
      </c>
      <c r="I2190" s="564" t="s">
        <v>45</v>
      </c>
      <c r="J2190" s="564" t="s">
        <v>1069</v>
      </c>
      <c r="K2190" s="564" t="s">
        <v>1090</v>
      </c>
      <c r="L2190" s="564" t="s">
        <v>1071</v>
      </c>
      <c r="M2190" s="564" t="s">
        <v>1183</v>
      </c>
      <c r="N2190" s="564" t="s">
        <v>45</v>
      </c>
      <c r="O2190" s="564" t="s">
        <v>1472</v>
      </c>
      <c r="P2190" s="23"/>
      <c r="Q2190" s="23"/>
      <c r="R2190" s="23"/>
      <c r="S2190" s="23"/>
      <c r="T2190" s="23"/>
      <c r="U2190" s="23"/>
      <c r="V2190" s="23"/>
      <c r="W2190" s="23"/>
      <c r="X2190" s="23"/>
      <c r="Y2190" s="23"/>
      <c r="Z2190" s="23"/>
    </row>
    <row r="2191" spans="1:26" ht="13">
      <c r="A2191" s="562" t="s">
        <v>5568</v>
      </c>
      <c r="B2191" s="563" t="s">
        <v>5569</v>
      </c>
      <c r="C2191" s="564" t="s">
        <v>3378</v>
      </c>
      <c r="D2191" s="565">
        <v>43412</v>
      </c>
      <c r="E2191" s="565">
        <v>43405</v>
      </c>
      <c r="F2191" s="566">
        <v>2188800</v>
      </c>
      <c r="G2191" s="564" t="s">
        <v>1366</v>
      </c>
      <c r="H2191" s="564" t="s">
        <v>1366</v>
      </c>
      <c r="I2191" s="564" t="s">
        <v>45</v>
      </c>
      <c r="J2191" s="564" t="s">
        <v>1069</v>
      </c>
      <c r="K2191" s="564" t="s">
        <v>1090</v>
      </c>
      <c r="L2191" s="564" t="s">
        <v>1071</v>
      </c>
      <c r="M2191" s="564" t="s">
        <v>1183</v>
      </c>
      <c r="N2191" s="564" t="s">
        <v>45</v>
      </c>
      <c r="O2191" s="564" t="s">
        <v>1472</v>
      </c>
      <c r="P2191" s="23"/>
      <c r="Q2191" s="23"/>
      <c r="R2191" s="23"/>
      <c r="S2191" s="23"/>
      <c r="T2191" s="23"/>
      <c r="U2191" s="23"/>
      <c r="V2191" s="23"/>
      <c r="W2191" s="23"/>
      <c r="X2191" s="23"/>
      <c r="Y2191" s="23"/>
      <c r="Z2191" s="23"/>
    </row>
    <row r="2192" spans="1:26" ht="13">
      <c r="A2192" s="562" t="s">
        <v>5570</v>
      </c>
      <c r="B2192" s="563" t="s">
        <v>5571</v>
      </c>
      <c r="C2192" s="564" t="s">
        <v>3378</v>
      </c>
      <c r="D2192" s="565">
        <v>43411</v>
      </c>
      <c r="E2192" s="565">
        <v>43616</v>
      </c>
      <c r="F2192" s="566">
        <v>491500000</v>
      </c>
      <c r="G2192" s="564" t="s">
        <v>5465</v>
      </c>
      <c r="H2192" s="564" t="s">
        <v>5465</v>
      </c>
      <c r="I2192" s="564" t="s">
        <v>45</v>
      </c>
      <c r="J2192" s="564" t="s">
        <v>1069</v>
      </c>
      <c r="K2192" s="564" t="s">
        <v>1090</v>
      </c>
      <c r="L2192" s="564" t="s">
        <v>2098</v>
      </c>
      <c r="M2192" s="564" t="s">
        <v>2098</v>
      </c>
      <c r="N2192" s="564" t="s">
        <v>45</v>
      </c>
      <c r="O2192" s="564" t="s">
        <v>2099</v>
      </c>
      <c r="P2192" s="23"/>
      <c r="Q2192" s="23"/>
      <c r="R2192" s="23"/>
      <c r="S2192" s="23"/>
      <c r="T2192" s="23"/>
      <c r="U2192" s="23"/>
      <c r="V2192" s="23"/>
      <c r="W2192" s="23"/>
      <c r="X2192" s="23"/>
      <c r="Y2192" s="23"/>
      <c r="Z2192" s="23"/>
    </row>
    <row r="2193" spans="1:26" ht="13">
      <c r="A2193" s="562" t="s">
        <v>5572</v>
      </c>
      <c r="B2193" s="563" t="s">
        <v>5573</v>
      </c>
      <c r="C2193" s="564" t="s">
        <v>1873</v>
      </c>
      <c r="D2193" s="565">
        <v>43410</v>
      </c>
      <c r="E2193" s="565">
        <v>43434</v>
      </c>
      <c r="F2193" s="566">
        <v>338000</v>
      </c>
      <c r="G2193" s="564" t="s">
        <v>1366</v>
      </c>
      <c r="H2193" s="564" t="s">
        <v>1366</v>
      </c>
      <c r="I2193" s="564" t="s">
        <v>170</v>
      </c>
      <c r="J2193" s="564" t="s">
        <v>1069</v>
      </c>
      <c r="K2193" s="564" t="s">
        <v>1105</v>
      </c>
      <c r="L2193" s="564" t="s">
        <v>2098</v>
      </c>
      <c r="M2193" s="564" t="s">
        <v>2098</v>
      </c>
      <c r="N2193" s="564" t="s">
        <v>170</v>
      </c>
      <c r="O2193" s="564" t="s">
        <v>2099</v>
      </c>
      <c r="P2193" s="23"/>
      <c r="Q2193" s="23"/>
      <c r="R2193" s="23"/>
      <c r="S2193" s="23"/>
      <c r="T2193" s="23"/>
      <c r="U2193" s="23"/>
      <c r="V2193" s="23"/>
      <c r="W2193" s="23"/>
      <c r="X2193" s="23"/>
      <c r="Y2193" s="23"/>
      <c r="Z2193" s="23"/>
    </row>
    <row r="2194" spans="1:26" ht="13">
      <c r="A2194" s="562" t="s">
        <v>5574</v>
      </c>
      <c r="B2194" s="563" t="s">
        <v>5575</v>
      </c>
      <c r="C2194" s="564" t="s">
        <v>1548</v>
      </c>
      <c r="D2194" s="565">
        <v>43406</v>
      </c>
      <c r="E2194" s="565">
        <v>43422</v>
      </c>
      <c r="F2194" s="566">
        <v>4910000</v>
      </c>
      <c r="G2194" s="564" t="s">
        <v>1123</v>
      </c>
      <c r="H2194" s="564" t="s">
        <v>1123</v>
      </c>
      <c r="I2194" s="564" t="s">
        <v>1781</v>
      </c>
      <c r="J2194" s="564" t="s">
        <v>1069</v>
      </c>
      <c r="K2194" s="564" t="s">
        <v>1070</v>
      </c>
      <c r="L2194" s="564" t="s">
        <v>2098</v>
      </c>
      <c r="M2194" s="564" t="s">
        <v>2098</v>
      </c>
      <c r="N2194" s="564" t="s">
        <v>1073</v>
      </c>
      <c r="O2194" s="564" t="s">
        <v>2099</v>
      </c>
      <c r="P2194" s="23"/>
      <c r="Q2194" s="23"/>
      <c r="R2194" s="23"/>
      <c r="S2194" s="23"/>
      <c r="T2194" s="23"/>
      <c r="U2194" s="23"/>
      <c r="V2194" s="23"/>
      <c r="W2194" s="23"/>
      <c r="X2194" s="23"/>
      <c r="Y2194" s="23"/>
      <c r="Z2194" s="23"/>
    </row>
    <row r="2195" spans="1:26" ht="13">
      <c r="A2195" s="562" t="s">
        <v>5576</v>
      </c>
      <c r="B2195" s="563" t="s">
        <v>5577</v>
      </c>
      <c r="C2195" s="564" t="s">
        <v>2387</v>
      </c>
      <c r="D2195" s="565">
        <v>43406</v>
      </c>
      <c r="E2195" s="565">
        <v>43496</v>
      </c>
      <c r="F2195" s="566">
        <v>2142000</v>
      </c>
      <c r="G2195" s="564" t="s">
        <v>1400</v>
      </c>
      <c r="H2195" s="564" t="s">
        <v>1400</v>
      </c>
      <c r="I2195" s="564" t="s">
        <v>4816</v>
      </c>
      <c r="J2195" s="564" t="s">
        <v>1069</v>
      </c>
      <c r="K2195" s="564" t="s">
        <v>1070</v>
      </c>
      <c r="L2195" s="564" t="s">
        <v>2098</v>
      </c>
      <c r="M2195" s="564" t="s">
        <v>2098</v>
      </c>
      <c r="N2195" s="564" t="s">
        <v>1082</v>
      </c>
      <c r="O2195" s="564" t="s">
        <v>2099</v>
      </c>
      <c r="P2195" s="23"/>
      <c r="Q2195" s="23"/>
      <c r="R2195" s="23"/>
      <c r="S2195" s="23"/>
      <c r="T2195" s="23"/>
      <c r="U2195" s="23"/>
      <c r="V2195" s="23"/>
      <c r="W2195" s="23"/>
      <c r="X2195" s="23"/>
      <c r="Y2195" s="23"/>
      <c r="Z2195" s="23"/>
    </row>
    <row r="2196" spans="1:26" ht="13">
      <c r="A2196" s="562" t="s">
        <v>5578</v>
      </c>
      <c r="B2196" s="563" t="s">
        <v>5579</v>
      </c>
      <c r="C2196" s="564" t="s">
        <v>1551</v>
      </c>
      <c r="D2196" s="565">
        <v>43409</v>
      </c>
      <c r="E2196" s="565">
        <v>43434</v>
      </c>
      <c r="F2196" s="566">
        <v>20700000</v>
      </c>
      <c r="G2196" s="564" t="s">
        <v>5465</v>
      </c>
      <c r="H2196" s="564" t="s">
        <v>5465</v>
      </c>
      <c r="I2196" s="564" t="s">
        <v>45</v>
      </c>
      <c r="J2196" s="564" t="s">
        <v>1069</v>
      </c>
      <c r="K2196" s="564" t="s">
        <v>1090</v>
      </c>
      <c r="L2196" s="564" t="s">
        <v>2098</v>
      </c>
      <c r="M2196" s="564" t="s">
        <v>2098</v>
      </c>
      <c r="N2196" s="564" t="s">
        <v>45</v>
      </c>
      <c r="O2196" s="564" t="s">
        <v>2099</v>
      </c>
      <c r="P2196" s="23"/>
      <c r="Q2196" s="23"/>
      <c r="R2196" s="23"/>
      <c r="S2196" s="23"/>
      <c r="T2196" s="23"/>
      <c r="U2196" s="23"/>
      <c r="V2196" s="23"/>
      <c r="W2196" s="23"/>
      <c r="X2196" s="23"/>
      <c r="Y2196" s="23"/>
      <c r="Z2196" s="23"/>
    </row>
    <row r="2197" spans="1:26" ht="13">
      <c r="A2197" s="562" t="s">
        <v>5580</v>
      </c>
      <c r="B2197" s="563" t="s">
        <v>5581</v>
      </c>
      <c r="C2197" s="564" t="s">
        <v>1551</v>
      </c>
      <c r="D2197" s="565">
        <v>43406</v>
      </c>
      <c r="E2197" s="565">
        <v>43434</v>
      </c>
      <c r="F2197" s="566">
        <v>5510000</v>
      </c>
      <c r="G2197" s="564" t="s">
        <v>5465</v>
      </c>
      <c r="H2197" s="564" t="s">
        <v>5465</v>
      </c>
      <c r="I2197" s="564" t="s">
        <v>45</v>
      </c>
      <c r="J2197" s="564" t="s">
        <v>1069</v>
      </c>
      <c r="K2197" s="564" t="s">
        <v>1090</v>
      </c>
      <c r="L2197" s="564" t="s">
        <v>2098</v>
      </c>
      <c r="M2197" s="564" t="s">
        <v>2098</v>
      </c>
      <c r="N2197" s="564" t="s">
        <v>45</v>
      </c>
      <c r="O2197" s="564" t="s">
        <v>2099</v>
      </c>
      <c r="P2197" s="23"/>
      <c r="Q2197" s="23"/>
      <c r="R2197" s="23"/>
      <c r="S2197" s="23"/>
      <c r="T2197" s="23"/>
      <c r="U2197" s="23"/>
      <c r="V2197" s="23"/>
      <c r="W2197" s="23"/>
      <c r="X2197" s="23"/>
      <c r="Y2197" s="23"/>
      <c r="Z2197" s="23"/>
    </row>
    <row r="2198" spans="1:26" ht="13">
      <c r="A2198" s="562" t="s">
        <v>5582</v>
      </c>
      <c r="B2198" s="563" t="s">
        <v>5583</v>
      </c>
      <c r="C2198" s="564" t="s">
        <v>1548</v>
      </c>
      <c r="D2198" s="565">
        <v>43403</v>
      </c>
      <c r="E2198" s="565">
        <v>43414</v>
      </c>
      <c r="F2198" s="566">
        <v>9800000</v>
      </c>
      <c r="G2198" s="564" t="s">
        <v>1529</v>
      </c>
      <c r="H2198" s="564" t="s">
        <v>1529</v>
      </c>
      <c r="I2198" s="564" t="s">
        <v>1417</v>
      </c>
      <c r="J2198" s="564" t="s">
        <v>1069</v>
      </c>
      <c r="K2198" s="564" t="s">
        <v>1070</v>
      </c>
      <c r="L2198" s="564" t="s">
        <v>2098</v>
      </c>
      <c r="M2198" s="564" t="s">
        <v>2098</v>
      </c>
      <c r="N2198" s="564" t="s">
        <v>1082</v>
      </c>
      <c r="O2198" s="564" t="s">
        <v>2099</v>
      </c>
      <c r="P2198" s="23"/>
      <c r="Q2198" s="23"/>
      <c r="R2198" s="23"/>
      <c r="S2198" s="23"/>
      <c r="T2198" s="23"/>
      <c r="U2198" s="23"/>
      <c r="V2198" s="23"/>
      <c r="W2198" s="23"/>
      <c r="X2198" s="23"/>
      <c r="Y2198" s="23"/>
      <c r="Z2198" s="23"/>
    </row>
    <row r="2199" spans="1:26" ht="13">
      <c r="A2199" s="562" t="s">
        <v>5584</v>
      </c>
      <c r="B2199" s="563" t="s">
        <v>5585</v>
      </c>
      <c r="C2199" s="564" t="s">
        <v>1548</v>
      </c>
      <c r="D2199" s="565">
        <v>43399</v>
      </c>
      <c r="E2199" s="565">
        <v>43413</v>
      </c>
      <c r="F2199" s="566">
        <v>1920000</v>
      </c>
      <c r="G2199" s="564" t="s">
        <v>1366</v>
      </c>
      <c r="H2199" s="564" t="s">
        <v>1366</v>
      </c>
      <c r="I2199" s="564" t="s">
        <v>3824</v>
      </c>
      <c r="J2199" s="564" t="s">
        <v>1069</v>
      </c>
      <c r="K2199" s="564" t="s">
        <v>1070</v>
      </c>
      <c r="L2199" s="564" t="s">
        <v>2098</v>
      </c>
      <c r="M2199" s="564" t="s">
        <v>2098</v>
      </c>
      <c r="N2199" s="564" t="s">
        <v>1073</v>
      </c>
      <c r="O2199" s="564" t="s">
        <v>2099</v>
      </c>
      <c r="P2199" s="23"/>
      <c r="Q2199" s="23"/>
      <c r="R2199" s="23"/>
      <c r="S2199" s="23"/>
      <c r="T2199" s="23"/>
      <c r="U2199" s="23"/>
      <c r="V2199" s="23"/>
      <c r="W2199" s="23"/>
      <c r="X2199" s="23"/>
      <c r="Y2199" s="23"/>
      <c r="Z2199" s="23"/>
    </row>
    <row r="2200" spans="1:26" ht="13">
      <c r="A2200" s="562" t="s">
        <v>5586</v>
      </c>
      <c r="B2200" s="563" t="s">
        <v>5587</v>
      </c>
      <c r="C2200" s="564" t="s">
        <v>2433</v>
      </c>
      <c r="D2200" s="565">
        <v>43398</v>
      </c>
      <c r="E2200" s="565">
        <v>43462</v>
      </c>
      <c r="F2200" s="566">
        <v>3600000</v>
      </c>
      <c r="G2200" s="564" t="s">
        <v>1400</v>
      </c>
      <c r="H2200" s="564" t="s">
        <v>1400</v>
      </c>
      <c r="I2200" s="564" t="s">
        <v>4816</v>
      </c>
      <c r="J2200" s="564" t="s">
        <v>1069</v>
      </c>
      <c r="K2200" s="564" t="s">
        <v>1070</v>
      </c>
      <c r="L2200" s="564" t="s">
        <v>2098</v>
      </c>
      <c r="M2200" s="564" t="s">
        <v>2098</v>
      </c>
      <c r="N2200" s="564" t="s">
        <v>1082</v>
      </c>
      <c r="O2200" s="564" t="s">
        <v>2099</v>
      </c>
      <c r="P2200" s="23"/>
      <c r="Q2200" s="23"/>
      <c r="R2200" s="23"/>
      <c r="S2200" s="23"/>
      <c r="T2200" s="23"/>
      <c r="U2200" s="23"/>
      <c r="V2200" s="23"/>
      <c r="W2200" s="23"/>
      <c r="X2200" s="23"/>
      <c r="Y2200" s="23"/>
      <c r="Z2200" s="23"/>
    </row>
    <row r="2201" spans="1:26" ht="13">
      <c r="A2201" s="562" t="s">
        <v>5588</v>
      </c>
      <c r="B2201" s="563" t="s">
        <v>5589</v>
      </c>
      <c r="C2201" s="564" t="s">
        <v>2387</v>
      </c>
      <c r="D2201" s="565">
        <v>43399</v>
      </c>
      <c r="E2201" s="565">
        <v>43462</v>
      </c>
      <c r="F2201" s="566">
        <v>1987000</v>
      </c>
      <c r="G2201" s="564" t="s">
        <v>1400</v>
      </c>
      <c r="H2201" s="564" t="s">
        <v>1400</v>
      </c>
      <c r="I2201" s="564" t="s">
        <v>4816</v>
      </c>
      <c r="J2201" s="564" t="s">
        <v>1069</v>
      </c>
      <c r="K2201" s="564" t="s">
        <v>1070</v>
      </c>
      <c r="L2201" s="564" t="s">
        <v>2098</v>
      </c>
      <c r="M2201" s="564" t="s">
        <v>2098</v>
      </c>
      <c r="N2201" s="564" t="s">
        <v>1082</v>
      </c>
      <c r="O2201" s="564" t="s">
        <v>2099</v>
      </c>
      <c r="P2201" s="23"/>
      <c r="Q2201" s="23"/>
      <c r="R2201" s="23"/>
      <c r="S2201" s="23"/>
      <c r="T2201" s="23"/>
      <c r="U2201" s="23"/>
      <c r="V2201" s="23"/>
      <c r="W2201" s="23"/>
      <c r="X2201" s="23"/>
      <c r="Y2201" s="23"/>
      <c r="Z2201" s="23"/>
    </row>
    <row r="2202" spans="1:26" ht="13">
      <c r="A2202" s="562" t="s">
        <v>5590</v>
      </c>
      <c r="B2202" s="563" t="s">
        <v>5591</v>
      </c>
      <c r="C2202" s="564" t="s">
        <v>1551</v>
      </c>
      <c r="D2202" s="565">
        <v>43399</v>
      </c>
      <c r="E2202" s="565">
        <v>43413</v>
      </c>
      <c r="F2202" s="566">
        <v>1180000</v>
      </c>
      <c r="G2202" s="564" t="s">
        <v>1366</v>
      </c>
      <c r="H2202" s="564" t="s">
        <v>1366</v>
      </c>
      <c r="I2202" s="564" t="s">
        <v>45</v>
      </c>
      <c r="J2202" s="564" t="s">
        <v>1069</v>
      </c>
      <c r="K2202" s="564" t="s">
        <v>1090</v>
      </c>
      <c r="L2202" s="564" t="s">
        <v>2098</v>
      </c>
      <c r="M2202" s="564" t="s">
        <v>2098</v>
      </c>
      <c r="N2202" s="564" t="s">
        <v>45</v>
      </c>
      <c r="O2202" s="564" t="s">
        <v>2099</v>
      </c>
      <c r="P2202" s="23"/>
      <c r="Q2202" s="23"/>
      <c r="R2202" s="23"/>
      <c r="S2202" s="23"/>
      <c r="T2202" s="23"/>
      <c r="U2202" s="23"/>
      <c r="V2202" s="23"/>
      <c r="W2202" s="23"/>
      <c r="X2202" s="23"/>
      <c r="Y2202" s="23"/>
      <c r="Z2202" s="23"/>
    </row>
    <row r="2203" spans="1:26" ht="13">
      <c r="A2203" s="562" t="s">
        <v>5592</v>
      </c>
      <c r="B2203" s="563" t="s">
        <v>5593</v>
      </c>
      <c r="C2203" s="564" t="s">
        <v>1548</v>
      </c>
      <c r="D2203" s="565">
        <v>43402</v>
      </c>
      <c r="E2203" s="565">
        <v>43416</v>
      </c>
      <c r="F2203" s="566">
        <v>2880000</v>
      </c>
      <c r="G2203" s="564" t="s">
        <v>1366</v>
      </c>
      <c r="H2203" s="564" t="s">
        <v>1366</v>
      </c>
      <c r="I2203" s="564" t="s">
        <v>2586</v>
      </c>
      <c r="J2203" s="564" t="s">
        <v>1069</v>
      </c>
      <c r="K2203" s="564" t="s">
        <v>1070</v>
      </c>
      <c r="L2203" s="564" t="s">
        <v>2098</v>
      </c>
      <c r="M2203" s="564" t="s">
        <v>2098</v>
      </c>
      <c r="N2203" s="564" t="s">
        <v>1073</v>
      </c>
      <c r="O2203" s="564" t="s">
        <v>2099</v>
      </c>
      <c r="P2203" s="23"/>
      <c r="Q2203" s="23"/>
      <c r="R2203" s="23"/>
      <c r="S2203" s="23"/>
      <c r="T2203" s="23"/>
      <c r="U2203" s="23"/>
      <c r="V2203" s="23"/>
      <c r="W2203" s="23"/>
      <c r="X2203" s="23"/>
      <c r="Y2203" s="23"/>
      <c r="Z2203" s="23"/>
    </row>
    <row r="2204" spans="1:26" ht="13">
      <c r="A2204" s="562" t="s">
        <v>5594</v>
      </c>
      <c r="B2204" s="563" t="s">
        <v>5066</v>
      </c>
      <c r="C2204" s="564" t="s">
        <v>1551</v>
      </c>
      <c r="D2204" s="565">
        <v>43397</v>
      </c>
      <c r="E2204" s="565">
        <v>43413</v>
      </c>
      <c r="F2204" s="566">
        <v>451000</v>
      </c>
      <c r="G2204" s="564" t="s">
        <v>1366</v>
      </c>
      <c r="H2204" s="564" t="s">
        <v>1366</v>
      </c>
      <c r="I2204" s="564" t="s">
        <v>1581</v>
      </c>
      <c r="J2204" s="564" t="s">
        <v>1069</v>
      </c>
      <c r="K2204" s="564" t="s">
        <v>1070</v>
      </c>
      <c r="L2204" s="564" t="s">
        <v>2098</v>
      </c>
      <c r="M2204" s="564" t="s">
        <v>2098</v>
      </c>
      <c r="N2204" s="564" t="s">
        <v>1082</v>
      </c>
      <c r="O2204" s="564" t="s">
        <v>2099</v>
      </c>
      <c r="P2204" s="23"/>
      <c r="Q2204" s="23"/>
      <c r="R2204" s="23"/>
      <c r="S2204" s="23"/>
      <c r="T2204" s="23"/>
      <c r="U2204" s="23"/>
      <c r="V2204" s="23"/>
      <c r="W2204" s="23"/>
      <c r="X2204" s="23"/>
      <c r="Y2204" s="23"/>
      <c r="Z2204" s="23"/>
    </row>
    <row r="2205" spans="1:26" ht="13">
      <c r="A2205" s="562" t="s">
        <v>5595</v>
      </c>
      <c r="B2205" s="563" t="s">
        <v>5596</v>
      </c>
      <c r="C2205" s="564" t="s">
        <v>1551</v>
      </c>
      <c r="D2205" s="565">
        <v>43398</v>
      </c>
      <c r="E2205" s="565">
        <v>43413</v>
      </c>
      <c r="F2205" s="566">
        <v>304000</v>
      </c>
      <c r="G2205" s="564" t="s">
        <v>1366</v>
      </c>
      <c r="H2205" s="564" t="s">
        <v>1366</v>
      </c>
      <c r="I2205" s="564" t="s">
        <v>64</v>
      </c>
      <c r="J2205" s="564" t="s">
        <v>1069</v>
      </c>
      <c r="K2205" s="564" t="s">
        <v>1090</v>
      </c>
      <c r="L2205" s="564" t="s">
        <v>2098</v>
      </c>
      <c r="M2205" s="564" t="s">
        <v>2098</v>
      </c>
      <c r="N2205" s="564" t="s">
        <v>64</v>
      </c>
      <c r="O2205" s="564" t="s">
        <v>2099</v>
      </c>
      <c r="P2205" s="23"/>
      <c r="Q2205" s="23"/>
      <c r="R2205" s="23"/>
      <c r="S2205" s="23"/>
      <c r="T2205" s="23"/>
      <c r="U2205" s="23"/>
      <c r="V2205" s="23"/>
      <c r="W2205" s="23"/>
      <c r="X2205" s="23"/>
      <c r="Y2205" s="23"/>
      <c r="Z2205" s="23"/>
    </row>
    <row r="2206" spans="1:26" ht="13">
      <c r="A2206" s="562" t="s">
        <v>5597</v>
      </c>
      <c r="B2206" s="563" t="s">
        <v>5598</v>
      </c>
      <c r="C2206" s="564" t="s">
        <v>2387</v>
      </c>
      <c r="D2206" s="565">
        <v>43397</v>
      </c>
      <c r="E2206" s="565">
        <v>43462</v>
      </c>
      <c r="F2206" s="566">
        <v>4472000</v>
      </c>
      <c r="G2206" s="564" t="s">
        <v>1400</v>
      </c>
      <c r="H2206" s="564" t="s">
        <v>1400</v>
      </c>
      <c r="I2206" s="564" t="s">
        <v>4816</v>
      </c>
      <c r="J2206" s="564" t="s">
        <v>1069</v>
      </c>
      <c r="K2206" s="564" t="s">
        <v>1070</v>
      </c>
      <c r="L2206" s="564" t="s">
        <v>2098</v>
      </c>
      <c r="M2206" s="564" t="s">
        <v>2098</v>
      </c>
      <c r="N2206" s="564" t="s">
        <v>1082</v>
      </c>
      <c r="O2206" s="564" t="s">
        <v>2099</v>
      </c>
      <c r="P2206" s="23"/>
      <c r="Q2206" s="23"/>
      <c r="R2206" s="23"/>
      <c r="S2206" s="23"/>
      <c r="T2206" s="23"/>
      <c r="U2206" s="23"/>
      <c r="V2206" s="23"/>
      <c r="W2206" s="23"/>
      <c r="X2206" s="23"/>
      <c r="Y2206" s="23"/>
      <c r="Z2206" s="23"/>
    </row>
    <row r="2207" spans="1:26" ht="13">
      <c r="A2207" s="562" t="s">
        <v>5599</v>
      </c>
      <c r="B2207" s="563" t="s">
        <v>5600</v>
      </c>
      <c r="C2207" s="564" t="s">
        <v>1652</v>
      </c>
      <c r="D2207" s="565">
        <v>43398</v>
      </c>
      <c r="E2207" s="565">
        <v>43413</v>
      </c>
      <c r="F2207" s="566">
        <v>4540000</v>
      </c>
      <c r="G2207" s="564" t="s">
        <v>1366</v>
      </c>
      <c r="H2207" s="564" t="s">
        <v>1366</v>
      </c>
      <c r="I2207" s="564" t="s">
        <v>70</v>
      </c>
      <c r="J2207" s="564" t="s">
        <v>1069</v>
      </c>
      <c r="K2207" s="564" t="s">
        <v>1120</v>
      </c>
      <c r="L2207" s="564" t="s">
        <v>2098</v>
      </c>
      <c r="M2207" s="564" t="s">
        <v>2098</v>
      </c>
      <c r="N2207" s="564" t="s">
        <v>70</v>
      </c>
      <c r="O2207" s="564" t="s">
        <v>2099</v>
      </c>
      <c r="P2207" s="23"/>
      <c r="Q2207" s="23"/>
      <c r="R2207" s="23"/>
      <c r="S2207" s="23"/>
      <c r="T2207" s="23"/>
      <c r="U2207" s="23"/>
      <c r="V2207" s="23"/>
      <c r="W2207" s="23"/>
      <c r="X2207" s="23"/>
      <c r="Y2207" s="23"/>
      <c r="Z2207" s="23"/>
    </row>
    <row r="2208" spans="1:26" ht="13">
      <c r="A2208" s="562" t="s">
        <v>5601</v>
      </c>
      <c r="B2208" s="563" t="s">
        <v>5602</v>
      </c>
      <c r="C2208" s="564" t="s">
        <v>3378</v>
      </c>
      <c r="D2208" s="565">
        <v>43390</v>
      </c>
      <c r="E2208" s="565">
        <v>43374</v>
      </c>
      <c r="F2208" s="566">
        <v>7574760</v>
      </c>
      <c r="G2208" s="564" t="s">
        <v>1366</v>
      </c>
      <c r="H2208" s="564" t="s">
        <v>1366</v>
      </c>
      <c r="I2208" s="564" t="s">
        <v>45</v>
      </c>
      <c r="J2208" s="564" t="s">
        <v>1069</v>
      </c>
      <c r="K2208" s="564" t="s">
        <v>1090</v>
      </c>
      <c r="L2208" s="564" t="s">
        <v>1071</v>
      </c>
      <c r="M2208" s="564" t="s">
        <v>1183</v>
      </c>
      <c r="N2208" s="564" t="s">
        <v>45</v>
      </c>
      <c r="O2208" s="564" t="s">
        <v>1472</v>
      </c>
      <c r="P2208" s="23"/>
      <c r="Q2208" s="23"/>
      <c r="R2208" s="23"/>
      <c r="S2208" s="23"/>
      <c r="T2208" s="23"/>
      <c r="U2208" s="23"/>
      <c r="V2208" s="23"/>
      <c r="W2208" s="23"/>
      <c r="X2208" s="23"/>
      <c r="Y2208" s="23"/>
      <c r="Z2208" s="23"/>
    </row>
    <row r="2209" spans="1:26" ht="13">
      <c r="A2209" s="562" t="s">
        <v>5603</v>
      </c>
      <c r="B2209" s="563" t="s">
        <v>4679</v>
      </c>
      <c r="C2209" s="564" t="s">
        <v>1652</v>
      </c>
      <c r="D2209" s="565">
        <v>43391</v>
      </c>
      <c r="E2209" s="565">
        <v>43405</v>
      </c>
      <c r="F2209" s="566">
        <v>7080000</v>
      </c>
      <c r="G2209" s="564" t="s">
        <v>1366</v>
      </c>
      <c r="H2209" s="564" t="s">
        <v>1366</v>
      </c>
      <c r="I2209" s="564" t="s">
        <v>70</v>
      </c>
      <c r="J2209" s="564" t="s">
        <v>1069</v>
      </c>
      <c r="K2209" s="564" t="s">
        <v>1120</v>
      </c>
      <c r="L2209" s="564" t="s">
        <v>2098</v>
      </c>
      <c r="M2209" s="564" t="s">
        <v>2098</v>
      </c>
      <c r="N2209" s="564" t="s">
        <v>70</v>
      </c>
      <c r="O2209" s="564" t="s">
        <v>2099</v>
      </c>
      <c r="P2209" s="23"/>
      <c r="Q2209" s="23"/>
      <c r="R2209" s="23"/>
      <c r="S2209" s="23"/>
      <c r="T2209" s="23"/>
      <c r="U2209" s="23"/>
      <c r="V2209" s="23"/>
      <c r="W2209" s="23"/>
      <c r="X2209" s="23"/>
      <c r="Y2209" s="23"/>
      <c r="Z2209" s="23"/>
    </row>
    <row r="2210" spans="1:26" ht="13">
      <c r="A2210" s="562" t="s">
        <v>5604</v>
      </c>
      <c r="B2210" s="563" t="s">
        <v>5605</v>
      </c>
      <c r="C2210" s="564" t="s">
        <v>2387</v>
      </c>
      <c r="D2210" s="565">
        <v>43389</v>
      </c>
      <c r="E2210" s="565">
        <v>43465</v>
      </c>
      <c r="F2210" s="566">
        <v>1987000</v>
      </c>
      <c r="G2210" s="564" t="s">
        <v>1400</v>
      </c>
      <c r="H2210" s="564" t="s">
        <v>1400</v>
      </c>
      <c r="I2210" s="564" t="s">
        <v>4816</v>
      </c>
      <c r="J2210" s="564" t="s">
        <v>1069</v>
      </c>
      <c r="K2210" s="564" t="s">
        <v>1070</v>
      </c>
      <c r="L2210" s="564" t="s">
        <v>2098</v>
      </c>
      <c r="M2210" s="564" t="s">
        <v>2098</v>
      </c>
      <c r="N2210" s="564" t="s">
        <v>1082</v>
      </c>
      <c r="O2210" s="564" t="s">
        <v>2099</v>
      </c>
      <c r="P2210" s="23"/>
      <c r="Q2210" s="23"/>
      <c r="R2210" s="23"/>
      <c r="S2210" s="23"/>
      <c r="T2210" s="23"/>
      <c r="U2210" s="23"/>
      <c r="V2210" s="23"/>
      <c r="W2210" s="23"/>
      <c r="X2210" s="23"/>
      <c r="Y2210" s="23"/>
      <c r="Z2210" s="23"/>
    </row>
    <row r="2211" spans="1:26" ht="13">
      <c r="A2211" s="562" t="s">
        <v>5606</v>
      </c>
      <c r="B2211" s="563" t="s">
        <v>5607</v>
      </c>
      <c r="C2211" s="564" t="s">
        <v>2387</v>
      </c>
      <c r="D2211" s="565">
        <v>43388</v>
      </c>
      <c r="E2211" s="565">
        <v>43465</v>
      </c>
      <c r="F2211" s="566">
        <v>2192000</v>
      </c>
      <c r="G2211" s="564" t="s">
        <v>1400</v>
      </c>
      <c r="H2211" s="564" t="s">
        <v>1400</v>
      </c>
      <c r="I2211" s="564" t="s">
        <v>4816</v>
      </c>
      <c r="J2211" s="564" t="s">
        <v>1069</v>
      </c>
      <c r="K2211" s="564" t="s">
        <v>1070</v>
      </c>
      <c r="L2211" s="564" t="s">
        <v>2098</v>
      </c>
      <c r="M2211" s="564" t="s">
        <v>2098</v>
      </c>
      <c r="N2211" s="564" t="s">
        <v>1082</v>
      </c>
      <c r="O2211" s="564" t="s">
        <v>2099</v>
      </c>
      <c r="P2211" s="23"/>
      <c r="Q2211" s="23"/>
      <c r="R2211" s="23"/>
      <c r="S2211" s="23"/>
      <c r="T2211" s="23"/>
      <c r="U2211" s="23"/>
      <c r="V2211" s="23"/>
      <c r="W2211" s="23"/>
      <c r="X2211" s="23"/>
      <c r="Y2211" s="23"/>
      <c r="Z2211" s="23"/>
    </row>
    <row r="2212" spans="1:26" ht="13">
      <c r="A2212" s="562" t="s">
        <v>5608</v>
      </c>
      <c r="B2212" s="563" t="s">
        <v>5609</v>
      </c>
      <c r="C2212" s="564" t="s">
        <v>1204</v>
      </c>
      <c r="D2212" s="565">
        <v>43388</v>
      </c>
      <c r="E2212" s="565">
        <v>43344</v>
      </c>
      <c r="F2212" s="566">
        <v>265440</v>
      </c>
      <c r="G2212" s="564" t="s">
        <v>1366</v>
      </c>
      <c r="H2212" s="564" t="s">
        <v>1366</v>
      </c>
      <c r="I2212" s="564" t="s">
        <v>1471</v>
      </c>
      <c r="J2212" s="564" t="s">
        <v>1069</v>
      </c>
      <c r="K2212" s="564" t="s">
        <v>1070</v>
      </c>
      <c r="L2212" s="564" t="s">
        <v>1071</v>
      </c>
      <c r="M2212" s="564" t="s">
        <v>1183</v>
      </c>
      <c r="N2212" s="564" t="s">
        <v>1082</v>
      </c>
      <c r="O2212" s="564" t="s">
        <v>1472</v>
      </c>
      <c r="P2212" s="23"/>
      <c r="Q2212" s="23"/>
      <c r="R2212" s="23"/>
      <c r="S2212" s="23"/>
      <c r="T2212" s="23"/>
      <c r="U2212" s="23"/>
      <c r="V2212" s="23"/>
      <c r="W2212" s="23"/>
      <c r="X2212" s="23"/>
      <c r="Y2212" s="23"/>
      <c r="Z2212" s="23"/>
    </row>
    <row r="2213" spans="1:26" ht="13">
      <c r="A2213" s="562" t="s">
        <v>5610</v>
      </c>
      <c r="B2213" s="563" t="s">
        <v>3734</v>
      </c>
      <c r="C2213" s="564" t="s">
        <v>1551</v>
      </c>
      <c r="D2213" s="565">
        <v>43385</v>
      </c>
      <c r="E2213" s="565">
        <v>43404</v>
      </c>
      <c r="F2213" s="566">
        <v>16500000</v>
      </c>
      <c r="G2213" s="564" t="s">
        <v>5465</v>
      </c>
      <c r="H2213" s="564" t="s">
        <v>5465</v>
      </c>
      <c r="I2213" s="564" t="s">
        <v>45</v>
      </c>
      <c r="J2213" s="564" t="s">
        <v>1069</v>
      </c>
      <c r="K2213" s="564" t="s">
        <v>1090</v>
      </c>
      <c r="L2213" s="564" t="s">
        <v>2098</v>
      </c>
      <c r="M2213" s="564" t="s">
        <v>2098</v>
      </c>
      <c r="N2213" s="564" t="s">
        <v>45</v>
      </c>
      <c r="O2213" s="564" t="s">
        <v>2099</v>
      </c>
      <c r="P2213" s="23"/>
      <c r="Q2213" s="23"/>
      <c r="R2213" s="23"/>
      <c r="S2213" s="23"/>
      <c r="T2213" s="23"/>
      <c r="U2213" s="23"/>
      <c r="V2213" s="23"/>
      <c r="W2213" s="23"/>
      <c r="X2213" s="23"/>
      <c r="Y2213" s="23"/>
      <c r="Z2213" s="23"/>
    </row>
    <row r="2214" spans="1:26" ht="13">
      <c r="A2214" s="562" t="s">
        <v>5611</v>
      </c>
      <c r="B2214" s="563" t="s">
        <v>5612</v>
      </c>
      <c r="C2214" s="564" t="s">
        <v>1551</v>
      </c>
      <c r="D2214" s="565">
        <v>43385</v>
      </c>
      <c r="E2214" s="565">
        <v>43391</v>
      </c>
      <c r="F2214" s="566">
        <v>152000</v>
      </c>
      <c r="G2214" s="564" t="s">
        <v>1366</v>
      </c>
      <c r="H2214" s="564" t="s">
        <v>1366</v>
      </c>
      <c r="I2214" s="564" t="s">
        <v>64</v>
      </c>
      <c r="J2214" s="564" t="s">
        <v>1069</v>
      </c>
      <c r="K2214" s="564" t="s">
        <v>1090</v>
      </c>
      <c r="L2214" s="564" t="s">
        <v>2098</v>
      </c>
      <c r="M2214" s="564" t="s">
        <v>2098</v>
      </c>
      <c r="N2214" s="564" t="s">
        <v>64</v>
      </c>
      <c r="O2214" s="564" t="s">
        <v>2099</v>
      </c>
      <c r="P2214" s="23"/>
      <c r="Q2214" s="23"/>
      <c r="R2214" s="23"/>
      <c r="S2214" s="23"/>
      <c r="T2214" s="23"/>
      <c r="U2214" s="23"/>
      <c r="V2214" s="23"/>
      <c r="W2214" s="23"/>
      <c r="X2214" s="23"/>
      <c r="Y2214" s="23"/>
      <c r="Z2214" s="23"/>
    </row>
    <row r="2215" spans="1:26" ht="13">
      <c r="A2215" s="562" t="s">
        <v>5613</v>
      </c>
      <c r="B2215" s="563" t="s">
        <v>4721</v>
      </c>
      <c r="C2215" s="564" t="s">
        <v>1551</v>
      </c>
      <c r="D2215" s="565">
        <v>43383</v>
      </c>
      <c r="E2215" s="565">
        <v>43404</v>
      </c>
      <c r="F2215" s="566">
        <v>152000</v>
      </c>
      <c r="G2215" s="564" t="s">
        <v>1366</v>
      </c>
      <c r="H2215" s="564" t="s">
        <v>1366</v>
      </c>
      <c r="I2215" s="564" t="s">
        <v>64</v>
      </c>
      <c r="J2215" s="564" t="s">
        <v>1069</v>
      </c>
      <c r="K2215" s="564" t="s">
        <v>1090</v>
      </c>
      <c r="L2215" s="564" t="s">
        <v>2098</v>
      </c>
      <c r="M2215" s="564" t="s">
        <v>2098</v>
      </c>
      <c r="N2215" s="564" t="s">
        <v>64</v>
      </c>
      <c r="O2215" s="564" t="s">
        <v>2099</v>
      </c>
      <c r="P2215" s="23"/>
      <c r="Q2215" s="23"/>
      <c r="R2215" s="23"/>
      <c r="S2215" s="23"/>
      <c r="T2215" s="23"/>
      <c r="U2215" s="23"/>
      <c r="V2215" s="23"/>
      <c r="W2215" s="23"/>
      <c r="X2215" s="23"/>
      <c r="Y2215" s="23"/>
      <c r="Z2215" s="23"/>
    </row>
    <row r="2216" spans="1:26" ht="13">
      <c r="A2216" s="562" t="s">
        <v>5614</v>
      </c>
      <c r="B2216" s="563" t="s">
        <v>4719</v>
      </c>
      <c r="C2216" s="564" t="s">
        <v>1551</v>
      </c>
      <c r="D2216" s="565">
        <v>43383</v>
      </c>
      <c r="E2216" s="565">
        <v>43404</v>
      </c>
      <c r="F2216" s="566">
        <v>152000</v>
      </c>
      <c r="G2216" s="564" t="s">
        <v>1366</v>
      </c>
      <c r="H2216" s="564" t="s">
        <v>1366</v>
      </c>
      <c r="I2216" s="564" t="s">
        <v>64</v>
      </c>
      <c r="J2216" s="564" t="s">
        <v>1069</v>
      </c>
      <c r="K2216" s="564" t="s">
        <v>1090</v>
      </c>
      <c r="L2216" s="564" t="s">
        <v>2098</v>
      </c>
      <c r="M2216" s="564" t="s">
        <v>2098</v>
      </c>
      <c r="N2216" s="564" t="s">
        <v>64</v>
      </c>
      <c r="O2216" s="564" t="s">
        <v>2099</v>
      </c>
      <c r="P2216" s="23"/>
      <c r="Q2216" s="23"/>
      <c r="R2216" s="23"/>
      <c r="S2216" s="23"/>
      <c r="T2216" s="23"/>
      <c r="U2216" s="23"/>
      <c r="V2216" s="23"/>
      <c r="W2216" s="23"/>
      <c r="X2216" s="23"/>
      <c r="Y2216" s="23"/>
      <c r="Z2216" s="23"/>
    </row>
    <row r="2217" spans="1:26" ht="13">
      <c r="A2217" s="562" t="s">
        <v>5615</v>
      </c>
      <c r="B2217" s="563" t="s">
        <v>5616</v>
      </c>
      <c r="C2217" s="564" t="s">
        <v>1551</v>
      </c>
      <c r="D2217" s="565">
        <v>43383</v>
      </c>
      <c r="E2217" s="565">
        <v>43404</v>
      </c>
      <c r="F2217" s="566">
        <v>608000</v>
      </c>
      <c r="G2217" s="564" t="s">
        <v>1366</v>
      </c>
      <c r="H2217" s="564" t="s">
        <v>1366</v>
      </c>
      <c r="I2217" s="564" t="s">
        <v>64</v>
      </c>
      <c r="J2217" s="564" t="s">
        <v>1069</v>
      </c>
      <c r="K2217" s="564" t="s">
        <v>1090</v>
      </c>
      <c r="L2217" s="564" t="s">
        <v>2098</v>
      </c>
      <c r="M2217" s="564" t="s">
        <v>2098</v>
      </c>
      <c r="N2217" s="564" t="s">
        <v>64</v>
      </c>
      <c r="O2217" s="564" t="s">
        <v>2099</v>
      </c>
      <c r="P2217" s="23"/>
      <c r="Q2217" s="23"/>
      <c r="R2217" s="23"/>
      <c r="S2217" s="23"/>
      <c r="T2217" s="23"/>
      <c r="U2217" s="23"/>
      <c r="V2217" s="23"/>
      <c r="W2217" s="23"/>
      <c r="X2217" s="23"/>
      <c r="Y2217" s="23"/>
      <c r="Z2217" s="23"/>
    </row>
    <row r="2218" spans="1:26" ht="13">
      <c r="A2218" s="562" t="s">
        <v>5617</v>
      </c>
      <c r="B2218" s="563" t="s">
        <v>5618</v>
      </c>
      <c r="C2218" s="564" t="s">
        <v>1652</v>
      </c>
      <c r="D2218" s="565">
        <v>43377</v>
      </c>
      <c r="E2218" s="565">
        <v>43404</v>
      </c>
      <c r="F2218" s="566">
        <v>264000</v>
      </c>
      <c r="G2218" s="564" t="s">
        <v>1366</v>
      </c>
      <c r="H2218" s="564" t="s">
        <v>1366</v>
      </c>
      <c r="I2218" s="564" t="s">
        <v>1637</v>
      </c>
      <c r="J2218" s="564" t="s">
        <v>1069</v>
      </c>
      <c r="K2218" s="564" t="s">
        <v>1120</v>
      </c>
      <c r="L2218" s="564" t="s">
        <v>2098</v>
      </c>
      <c r="M2218" s="564" t="s">
        <v>2098</v>
      </c>
      <c r="N2218" s="564" t="s">
        <v>1073</v>
      </c>
      <c r="O2218" s="564" t="s">
        <v>2099</v>
      </c>
      <c r="P2218" s="23"/>
      <c r="Q2218" s="23"/>
      <c r="R2218" s="23"/>
      <c r="S2218" s="23"/>
      <c r="T2218" s="23"/>
      <c r="U2218" s="23"/>
      <c r="V2218" s="23"/>
      <c r="W2218" s="23"/>
      <c r="X2218" s="23"/>
      <c r="Y2218" s="23"/>
      <c r="Z2218" s="23"/>
    </row>
    <row r="2219" spans="1:26" ht="13">
      <c r="A2219" s="562" t="s">
        <v>5619</v>
      </c>
      <c r="B2219" s="563" t="s">
        <v>5620</v>
      </c>
      <c r="C2219" s="564" t="s">
        <v>2387</v>
      </c>
      <c r="D2219" s="565">
        <v>43375</v>
      </c>
      <c r="E2219" s="565">
        <v>43465</v>
      </c>
      <c r="F2219" s="566">
        <v>528000</v>
      </c>
      <c r="G2219" s="564" t="s">
        <v>1400</v>
      </c>
      <c r="H2219" s="564" t="s">
        <v>1400</v>
      </c>
      <c r="I2219" s="564" t="s">
        <v>4816</v>
      </c>
      <c r="J2219" s="564" t="s">
        <v>1069</v>
      </c>
      <c r="K2219" s="564" t="s">
        <v>1070</v>
      </c>
      <c r="L2219" s="564" t="s">
        <v>2098</v>
      </c>
      <c r="M2219" s="564" t="s">
        <v>2098</v>
      </c>
      <c r="N2219" s="564" t="s">
        <v>1082</v>
      </c>
      <c r="O2219" s="564" t="s">
        <v>2099</v>
      </c>
      <c r="P2219" s="23"/>
      <c r="Q2219" s="23"/>
      <c r="R2219" s="23"/>
      <c r="S2219" s="23"/>
      <c r="T2219" s="23"/>
      <c r="U2219" s="23"/>
      <c r="V2219" s="23"/>
      <c r="W2219" s="23"/>
      <c r="X2219" s="23"/>
      <c r="Y2219" s="23"/>
      <c r="Z2219" s="23"/>
    </row>
    <row r="2220" spans="1:26" ht="13">
      <c r="A2220" s="562" t="s">
        <v>5621</v>
      </c>
      <c r="B2220" s="563" t="s">
        <v>5622</v>
      </c>
      <c r="C2220" s="564" t="s">
        <v>1548</v>
      </c>
      <c r="D2220" s="565">
        <v>43377</v>
      </c>
      <c r="E2220" s="565">
        <v>43404</v>
      </c>
      <c r="F2220" s="566">
        <v>612000</v>
      </c>
      <c r="G2220" s="564" t="s">
        <v>1366</v>
      </c>
      <c r="H2220" s="564" t="s">
        <v>1366</v>
      </c>
      <c r="I2220" s="564" t="s">
        <v>3824</v>
      </c>
      <c r="J2220" s="564" t="s">
        <v>1069</v>
      </c>
      <c r="K2220" s="564" t="s">
        <v>1070</v>
      </c>
      <c r="L2220" s="564" t="s">
        <v>2098</v>
      </c>
      <c r="M2220" s="564" t="s">
        <v>2098</v>
      </c>
      <c r="N2220" s="564" t="s">
        <v>1073</v>
      </c>
      <c r="O2220" s="564" t="s">
        <v>2099</v>
      </c>
      <c r="P2220" s="23"/>
      <c r="Q2220" s="23"/>
      <c r="R2220" s="23"/>
      <c r="S2220" s="23"/>
      <c r="T2220" s="23"/>
      <c r="U2220" s="23"/>
      <c r="V2220" s="23"/>
      <c r="W2220" s="23"/>
      <c r="X2220" s="23"/>
      <c r="Y2220" s="23"/>
      <c r="Z2220" s="23"/>
    </row>
    <row r="2221" spans="1:26" ht="13">
      <c r="A2221" s="562" t="s">
        <v>5623</v>
      </c>
      <c r="B2221" s="563" t="s">
        <v>5624</v>
      </c>
      <c r="C2221" s="564" t="s">
        <v>1548</v>
      </c>
      <c r="D2221" s="565">
        <v>43377</v>
      </c>
      <c r="E2221" s="565">
        <v>43404</v>
      </c>
      <c r="F2221" s="566">
        <v>408000</v>
      </c>
      <c r="G2221" s="564" t="s">
        <v>1366</v>
      </c>
      <c r="H2221" s="564" t="s">
        <v>1366</v>
      </c>
      <c r="I2221" s="564" t="s">
        <v>2586</v>
      </c>
      <c r="J2221" s="564" t="s">
        <v>1069</v>
      </c>
      <c r="K2221" s="564" t="s">
        <v>1070</v>
      </c>
      <c r="L2221" s="564" t="s">
        <v>2098</v>
      </c>
      <c r="M2221" s="564" t="s">
        <v>2098</v>
      </c>
      <c r="N2221" s="564" t="s">
        <v>1073</v>
      </c>
      <c r="O2221" s="564" t="s">
        <v>2099</v>
      </c>
      <c r="P2221" s="23"/>
      <c r="Q2221" s="23"/>
      <c r="R2221" s="23"/>
      <c r="S2221" s="23"/>
      <c r="T2221" s="23"/>
      <c r="U2221" s="23"/>
      <c r="V2221" s="23"/>
      <c r="W2221" s="23"/>
      <c r="X2221" s="23"/>
      <c r="Y2221" s="23"/>
      <c r="Z2221" s="23"/>
    </row>
    <row r="2222" spans="1:26" ht="13">
      <c r="A2222" s="562" t="s">
        <v>5625</v>
      </c>
      <c r="B2222" s="563" t="s">
        <v>5626</v>
      </c>
      <c r="C2222" s="564" t="s">
        <v>2387</v>
      </c>
      <c r="D2222" s="565">
        <v>43371</v>
      </c>
      <c r="E2222" s="565">
        <v>43434</v>
      </c>
      <c r="F2222" s="566">
        <v>3648000</v>
      </c>
      <c r="G2222" s="564" t="s">
        <v>1400</v>
      </c>
      <c r="H2222" s="564" t="s">
        <v>1400</v>
      </c>
      <c r="I2222" s="564" t="s">
        <v>4816</v>
      </c>
      <c r="J2222" s="564" t="s">
        <v>1069</v>
      </c>
      <c r="K2222" s="564" t="s">
        <v>1070</v>
      </c>
      <c r="L2222" s="564" t="s">
        <v>2098</v>
      </c>
      <c r="M2222" s="564" t="s">
        <v>2098</v>
      </c>
      <c r="N2222" s="564" t="s">
        <v>1082</v>
      </c>
      <c r="O2222" s="564" t="s">
        <v>2099</v>
      </c>
      <c r="P2222" s="23"/>
      <c r="Q2222" s="23"/>
      <c r="R2222" s="23"/>
      <c r="S2222" s="23"/>
      <c r="T2222" s="23"/>
      <c r="U2222" s="23"/>
      <c r="V2222" s="23"/>
      <c r="W2222" s="23"/>
      <c r="X2222" s="23"/>
      <c r="Y2222" s="23"/>
      <c r="Z2222" s="23"/>
    </row>
    <row r="2223" spans="1:26" ht="13">
      <c r="A2223" s="562" t="s">
        <v>5627</v>
      </c>
      <c r="B2223" s="563" t="s">
        <v>5628</v>
      </c>
      <c r="C2223" s="564" t="s">
        <v>1652</v>
      </c>
      <c r="D2223" s="565">
        <v>43371</v>
      </c>
      <c r="E2223" s="565">
        <v>43392</v>
      </c>
      <c r="F2223" s="566">
        <v>1204000</v>
      </c>
      <c r="G2223" s="564" t="s">
        <v>1366</v>
      </c>
      <c r="H2223" s="564" t="s">
        <v>1366</v>
      </c>
      <c r="I2223" s="564" t="s">
        <v>1637</v>
      </c>
      <c r="J2223" s="564" t="s">
        <v>1069</v>
      </c>
      <c r="K2223" s="564" t="s">
        <v>1120</v>
      </c>
      <c r="L2223" s="564" t="s">
        <v>2098</v>
      </c>
      <c r="M2223" s="564" t="s">
        <v>2098</v>
      </c>
      <c r="N2223" s="564" t="s">
        <v>1073</v>
      </c>
      <c r="O2223" s="564" t="s">
        <v>2099</v>
      </c>
      <c r="P2223" s="23"/>
      <c r="Q2223" s="23"/>
      <c r="R2223" s="23"/>
      <c r="S2223" s="23"/>
      <c r="T2223" s="23"/>
      <c r="U2223" s="23"/>
      <c r="V2223" s="23"/>
      <c r="W2223" s="23"/>
      <c r="X2223" s="23"/>
      <c r="Y2223" s="23"/>
      <c r="Z2223" s="23"/>
    </row>
    <row r="2224" spans="1:26" ht="13">
      <c r="A2224" s="562" t="s">
        <v>5629</v>
      </c>
      <c r="B2224" s="563" t="s">
        <v>5630</v>
      </c>
      <c r="C2224" s="564" t="s">
        <v>1551</v>
      </c>
      <c r="D2224" s="565">
        <v>43370</v>
      </c>
      <c r="E2224" s="565">
        <v>43385</v>
      </c>
      <c r="F2224" s="566">
        <v>1090000</v>
      </c>
      <c r="G2224" s="564" t="s">
        <v>1366</v>
      </c>
      <c r="H2224" s="564" t="s">
        <v>1366</v>
      </c>
      <c r="I2224" s="564" t="s">
        <v>45</v>
      </c>
      <c r="J2224" s="564" t="s">
        <v>1069</v>
      </c>
      <c r="K2224" s="564" t="s">
        <v>1090</v>
      </c>
      <c r="L2224" s="564" t="s">
        <v>2098</v>
      </c>
      <c r="M2224" s="564" t="s">
        <v>2098</v>
      </c>
      <c r="N2224" s="564" t="s">
        <v>45</v>
      </c>
      <c r="O2224" s="564" t="s">
        <v>2099</v>
      </c>
      <c r="P2224" s="23"/>
      <c r="Q2224" s="23"/>
      <c r="R2224" s="23"/>
      <c r="S2224" s="23"/>
      <c r="T2224" s="23"/>
      <c r="U2224" s="23"/>
      <c r="V2224" s="23"/>
      <c r="W2224" s="23"/>
      <c r="X2224" s="23"/>
      <c r="Y2224" s="23"/>
      <c r="Z2224" s="23"/>
    </row>
    <row r="2225" spans="1:26" ht="13">
      <c r="A2225" s="562" t="s">
        <v>5631</v>
      </c>
      <c r="B2225" s="563" t="s">
        <v>5632</v>
      </c>
      <c r="C2225" s="564" t="s">
        <v>2387</v>
      </c>
      <c r="D2225" s="565">
        <v>43364</v>
      </c>
      <c r="E2225" s="565">
        <v>43434</v>
      </c>
      <c r="F2225" s="566">
        <v>1987000</v>
      </c>
      <c r="G2225" s="564" t="s">
        <v>1400</v>
      </c>
      <c r="H2225" s="564" t="s">
        <v>1400</v>
      </c>
      <c r="I2225" s="564" t="s">
        <v>4816</v>
      </c>
      <c r="J2225" s="564" t="s">
        <v>1069</v>
      </c>
      <c r="K2225" s="564" t="s">
        <v>1070</v>
      </c>
      <c r="L2225" s="564" t="s">
        <v>2098</v>
      </c>
      <c r="M2225" s="564" t="s">
        <v>2098</v>
      </c>
      <c r="N2225" s="564" t="s">
        <v>1082</v>
      </c>
      <c r="O2225" s="564" t="s">
        <v>2099</v>
      </c>
      <c r="P2225" s="23"/>
      <c r="Q2225" s="23"/>
      <c r="R2225" s="23"/>
      <c r="S2225" s="23"/>
      <c r="T2225" s="23"/>
      <c r="U2225" s="23"/>
      <c r="V2225" s="23"/>
      <c r="W2225" s="23"/>
      <c r="X2225" s="23"/>
      <c r="Y2225" s="23"/>
      <c r="Z2225" s="23"/>
    </row>
    <row r="2226" spans="1:26" ht="13">
      <c r="A2226" s="562" t="s">
        <v>5633</v>
      </c>
      <c r="B2226" s="563" t="s">
        <v>5634</v>
      </c>
      <c r="C2226" s="564" t="s">
        <v>1652</v>
      </c>
      <c r="D2226" s="565">
        <v>43363</v>
      </c>
      <c r="E2226" s="565">
        <v>43385</v>
      </c>
      <c r="F2226" s="566">
        <v>2112000</v>
      </c>
      <c r="G2226" s="564" t="s">
        <v>1366</v>
      </c>
      <c r="H2226" s="564" t="s">
        <v>1366</v>
      </c>
      <c r="I2226" s="564" t="s">
        <v>1719</v>
      </c>
      <c r="J2226" s="564" t="s">
        <v>1069</v>
      </c>
      <c r="K2226" s="564" t="s">
        <v>1120</v>
      </c>
      <c r="L2226" s="564" t="s">
        <v>2098</v>
      </c>
      <c r="M2226" s="564" t="s">
        <v>2098</v>
      </c>
      <c r="N2226" s="564" t="s">
        <v>1073</v>
      </c>
      <c r="O2226" s="564" t="s">
        <v>2099</v>
      </c>
      <c r="P2226" s="23"/>
      <c r="Q2226" s="23"/>
      <c r="R2226" s="23"/>
      <c r="S2226" s="23"/>
      <c r="T2226" s="23"/>
      <c r="U2226" s="23"/>
      <c r="V2226" s="23"/>
      <c r="W2226" s="23"/>
      <c r="X2226" s="23"/>
      <c r="Y2226" s="23"/>
      <c r="Z2226" s="23"/>
    </row>
    <row r="2227" spans="1:26" ht="13">
      <c r="A2227" s="562" t="s">
        <v>5635</v>
      </c>
      <c r="B2227" s="563" t="s">
        <v>5636</v>
      </c>
      <c r="C2227" s="564" t="s">
        <v>3378</v>
      </c>
      <c r="D2227" s="565">
        <v>43360</v>
      </c>
      <c r="E2227" s="565">
        <v>43344</v>
      </c>
      <c r="F2227" s="566">
        <v>439200</v>
      </c>
      <c r="G2227" s="564" t="s">
        <v>1366</v>
      </c>
      <c r="H2227" s="564" t="s">
        <v>1366</v>
      </c>
      <c r="I2227" s="564" t="s">
        <v>45</v>
      </c>
      <c r="J2227" s="564" t="s">
        <v>1069</v>
      </c>
      <c r="K2227" s="564" t="s">
        <v>1090</v>
      </c>
      <c r="L2227" s="564" t="s">
        <v>1071</v>
      </c>
      <c r="M2227" s="564" t="s">
        <v>1183</v>
      </c>
      <c r="N2227" s="564" t="s">
        <v>45</v>
      </c>
      <c r="O2227" s="564" t="s">
        <v>1472</v>
      </c>
      <c r="P2227" s="23"/>
      <c r="Q2227" s="23"/>
      <c r="R2227" s="23"/>
      <c r="S2227" s="23"/>
      <c r="T2227" s="23"/>
      <c r="U2227" s="23"/>
      <c r="V2227" s="23"/>
      <c r="W2227" s="23"/>
      <c r="X2227" s="23"/>
      <c r="Y2227" s="23"/>
      <c r="Z2227" s="23"/>
    </row>
    <row r="2228" spans="1:26" ht="13">
      <c r="A2228" s="562" t="s">
        <v>5637</v>
      </c>
      <c r="B2228" s="563" t="s">
        <v>5638</v>
      </c>
      <c r="C2228" s="564" t="s">
        <v>3378</v>
      </c>
      <c r="D2228" s="565">
        <v>43360</v>
      </c>
      <c r="E2228" s="565">
        <v>43344</v>
      </c>
      <c r="F2228" s="566">
        <v>3155760</v>
      </c>
      <c r="G2228" s="564" t="s">
        <v>1366</v>
      </c>
      <c r="H2228" s="564" t="s">
        <v>1366</v>
      </c>
      <c r="I2228" s="564" t="s">
        <v>45</v>
      </c>
      <c r="J2228" s="564" t="s">
        <v>1069</v>
      </c>
      <c r="K2228" s="564" t="s">
        <v>1090</v>
      </c>
      <c r="L2228" s="564" t="s">
        <v>1071</v>
      </c>
      <c r="M2228" s="564" t="s">
        <v>1183</v>
      </c>
      <c r="N2228" s="564" t="s">
        <v>45</v>
      </c>
      <c r="O2228" s="564" t="s">
        <v>1472</v>
      </c>
      <c r="P2228" s="23"/>
      <c r="Q2228" s="23"/>
      <c r="R2228" s="23"/>
      <c r="S2228" s="23"/>
      <c r="T2228" s="23"/>
      <c r="U2228" s="23"/>
      <c r="V2228" s="23"/>
      <c r="W2228" s="23"/>
      <c r="X2228" s="23"/>
      <c r="Y2228" s="23"/>
      <c r="Z2228" s="23"/>
    </row>
    <row r="2229" spans="1:26" ht="13">
      <c r="A2229" s="562" t="s">
        <v>5639</v>
      </c>
      <c r="B2229" s="563" t="s">
        <v>5640</v>
      </c>
      <c r="C2229" s="564" t="s">
        <v>1551</v>
      </c>
      <c r="D2229" s="565">
        <v>43360</v>
      </c>
      <c r="E2229" s="565">
        <v>43385</v>
      </c>
      <c r="F2229" s="566">
        <v>94630000</v>
      </c>
      <c r="G2229" s="564" t="s">
        <v>1366</v>
      </c>
      <c r="H2229" s="564" t="s">
        <v>1366</v>
      </c>
      <c r="I2229" s="564" t="s">
        <v>45</v>
      </c>
      <c r="J2229" s="564" t="s">
        <v>1069</v>
      </c>
      <c r="K2229" s="564" t="s">
        <v>1090</v>
      </c>
      <c r="L2229" s="564" t="s">
        <v>2098</v>
      </c>
      <c r="M2229" s="564" t="s">
        <v>2098</v>
      </c>
      <c r="N2229" s="564" t="s">
        <v>45</v>
      </c>
      <c r="O2229" s="564" t="s">
        <v>2099</v>
      </c>
      <c r="P2229" s="23"/>
      <c r="Q2229" s="23"/>
      <c r="R2229" s="23"/>
      <c r="S2229" s="23"/>
      <c r="T2229" s="23"/>
      <c r="U2229" s="23"/>
      <c r="V2229" s="23"/>
      <c r="W2229" s="23"/>
      <c r="X2229" s="23"/>
      <c r="Y2229" s="23"/>
      <c r="Z2229" s="23"/>
    </row>
    <row r="2230" spans="1:26" ht="13">
      <c r="A2230" s="562" t="s">
        <v>5641</v>
      </c>
      <c r="B2230" s="563" t="s">
        <v>5642</v>
      </c>
      <c r="C2230" s="564" t="s">
        <v>1551</v>
      </c>
      <c r="D2230" s="565">
        <v>43355</v>
      </c>
      <c r="E2230" s="565">
        <v>43371</v>
      </c>
      <c r="F2230" s="566">
        <v>1755000</v>
      </c>
      <c r="G2230" s="564" t="s">
        <v>5465</v>
      </c>
      <c r="H2230" s="564" t="s">
        <v>5465</v>
      </c>
      <c r="I2230" s="564" t="s">
        <v>45</v>
      </c>
      <c r="J2230" s="564" t="s">
        <v>1069</v>
      </c>
      <c r="K2230" s="564" t="s">
        <v>1090</v>
      </c>
      <c r="L2230" s="564" t="s">
        <v>2098</v>
      </c>
      <c r="M2230" s="564" t="s">
        <v>2098</v>
      </c>
      <c r="N2230" s="564" t="s">
        <v>45</v>
      </c>
      <c r="O2230" s="564" t="s">
        <v>2099</v>
      </c>
      <c r="P2230" s="23"/>
      <c r="Q2230" s="23"/>
      <c r="R2230" s="23"/>
      <c r="S2230" s="23"/>
      <c r="T2230" s="23"/>
      <c r="U2230" s="23"/>
      <c r="V2230" s="23"/>
      <c r="W2230" s="23"/>
      <c r="X2230" s="23"/>
      <c r="Y2230" s="23"/>
      <c r="Z2230" s="23"/>
    </row>
    <row r="2231" spans="1:26" ht="13">
      <c r="A2231" s="562" t="s">
        <v>5643</v>
      </c>
      <c r="B2231" s="563" t="s">
        <v>5644</v>
      </c>
      <c r="C2231" s="564" t="s">
        <v>1548</v>
      </c>
      <c r="D2231" s="565">
        <v>43355</v>
      </c>
      <c r="E2231" s="565">
        <v>43361</v>
      </c>
      <c r="F2231" s="566">
        <v>735000</v>
      </c>
      <c r="G2231" s="564" t="s">
        <v>1123</v>
      </c>
      <c r="H2231" s="564" t="s">
        <v>1123</v>
      </c>
      <c r="I2231" s="564" t="s">
        <v>1781</v>
      </c>
      <c r="J2231" s="564" t="s">
        <v>1069</v>
      </c>
      <c r="K2231" s="564" t="s">
        <v>1070</v>
      </c>
      <c r="L2231" s="564" t="s">
        <v>2098</v>
      </c>
      <c r="M2231" s="564" t="s">
        <v>2098</v>
      </c>
      <c r="N2231" s="564" t="s">
        <v>1073</v>
      </c>
      <c r="O2231" s="564" t="s">
        <v>2099</v>
      </c>
      <c r="P2231" s="23"/>
      <c r="Q2231" s="23"/>
      <c r="R2231" s="23"/>
      <c r="S2231" s="23"/>
      <c r="T2231" s="23"/>
      <c r="U2231" s="23"/>
      <c r="V2231" s="23"/>
      <c r="W2231" s="23"/>
      <c r="X2231" s="23"/>
      <c r="Y2231" s="23"/>
      <c r="Z2231" s="23"/>
    </row>
    <row r="2232" spans="1:26" ht="13">
      <c r="A2232" s="562" t="s">
        <v>5645</v>
      </c>
      <c r="B2232" s="563" t="s">
        <v>5626</v>
      </c>
      <c r="C2232" s="564" t="s">
        <v>2387</v>
      </c>
      <c r="D2232" s="565">
        <v>43350</v>
      </c>
      <c r="E2232" s="565">
        <v>43371</v>
      </c>
      <c r="F2232" s="566">
        <v>3040000</v>
      </c>
      <c r="G2232" s="564" t="s">
        <v>1400</v>
      </c>
      <c r="H2232" s="564" t="s">
        <v>1400</v>
      </c>
      <c r="I2232" s="564" t="s">
        <v>4816</v>
      </c>
      <c r="J2232" s="564" t="s">
        <v>1069</v>
      </c>
      <c r="K2232" s="564" t="s">
        <v>1070</v>
      </c>
      <c r="L2232" s="564" t="s">
        <v>2098</v>
      </c>
      <c r="M2232" s="564" t="s">
        <v>2098</v>
      </c>
      <c r="N2232" s="564" t="s">
        <v>1082</v>
      </c>
      <c r="O2232" s="564" t="s">
        <v>2099</v>
      </c>
      <c r="P2232" s="23"/>
      <c r="Q2232" s="23"/>
      <c r="R2232" s="23"/>
      <c r="S2232" s="23"/>
      <c r="T2232" s="23"/>
      <c r="U2232" s="23"/>
      <c r="V2232" s="23"/>
      <c r="W2232" s="23"/>
      <c r="X2232" s="23"/>
      <c r="Y2232" s="23"/>
      <c r="Z2232" s="23"/>
    </row>
    <row r="2233" spans="1:26" ht="13">
      <c r="A2233" s="562" t="s">
        <v>5646</v>
      </c>
      <c r="B2233" s="563" t="s">
        <v>5647</v>
      </c>
      <c r="C2233" s="564" t="s">
        <v>1652</v>
      </c>
      <c r="D2233" s="565">
        <v>43350</v>
      </c>
      <c r="E2233" s="565">
        <v>43371</v>
      </c>
      <c r="F2233" s="566">
        <v>1816000</v>
      </c>
      <c r="G2233" s="564" t="s">
        <v>1400</v>
      </c>
      <c r="H2233" s="564" t="s">
        <v>1400</v>
      </c>
      <c r="I2233" s="564" t="s">
        <v>70</v>
      </c>
      <c r="J2233" s="564" t="s">
        <v>1069</v>
      </c>
      <c r="K2233" s="564" t="s">
        <v>1120</v>
      </c>
      <c r="L2233" s="564" t="s">
        <v>2098</v>
      </c>
      <c r="M2233" s="564" t="s">
        <v>2098</v>
      </c>
      <c r="N2233" s="564" t="s">
        <v>70</v>
      </c>
      <c r="O2233" s="564" t="s">
        <v>2099</v>
      </c>
      <c r="P2233" s="23"/>
      <c r="Q2233" s="23"/>
      <c r="R2233" s="23"/>
      <c r="S2233" s="23"/>
      <c r="T2233" s="23"/>
      <c r="U2233" s="23"/>
      <c r="V2233" s="23"/>
      <c r="W2233" s="23"/>
      <c r="X2233" s="23"/>
      <c r="Y2233" s="23"/>
      <c r="Z2233" s="23"/>
    </row>
    <row r="2234" spans="1:26" ht="13">
      <c r="A2234" s="562" t="s">
        <v>5648</v>
      </c>
      <c r="B2234" s="563" t="s">
        <v>5649</v>
      </c>
      <c r="C2234" s="564" t="s">
        <v>1551</v>
      </c>
      <c r="D2234" s="565">
        <v>43350</v>
      </c>
      <c r="E2234" s="565">
        <v>43357</v>
      </c>
      <c r="F2234" s="566">
        <v>4550000</v>
      </c>
      <c r="G2234" s="564" t="s">
        <v>1400</v>
      </c>
      <c r="H2234" s="564" t="s">
        <v>1400</v>
      </c>
      <c r="I2234" s="564" t="s">
        <v>45</v>
      </c>
      <c r="J2234" s="564" t="s">
        <v>1069</v>
      </c>
      <c r="K2234" s="564" t="s">
        <v>1090</v>
      </c>
      <c r="L2234" s="564" t="s">
        <v>2098</v>
      </c>
      <c r="M2234" s="564" t="s">
        <v>2098</v>
      </c>
      <c r="N2234" s="564" t="s">
        <v>45</v>
      </c>
      <c r="O2234" s="564" t="s">
        <v>2099</v>
      </c>
      <c r="P2234" s="23"/>
      <c r="Q2234" s="23"/>
      <c r="R2234" s="23"/>
      <c r="S2234" s="23"/>
      <c r="T2234" s="23"/>
      <c r="U2234" s="23"/>
      <c r="V2234" s="23"/>
      <c r="W2234" s="23"/>
      <c r="X2234" s="23"/>
      <c r="Y2234" s="23"/>
      <c r="Z2234" s="23"/>
    </row>
    <row r="2235" spans="1:26" ht="13">
      <c r="A2235" s="562" t="s">
        <v>5650</v>
      </c>
      <c r="B2235" s="563" t="s">
        <v>5651</v>
      </c>
      <c r="C2235" s="564" t="s">
        <v>1551</v>
      </c>
      <c r="D2235" s="565">
        <v>43352</v>
      </c>
      <c r="E2235" s="565">
        <v>43371</v>
      </c>
      <c r="F2235" s="566">
        <v>11190000</v>
      </c>
      <c r="G2235" s="564" t="s">
        <v>5465</v>
      </c>
      <c r="H2235" s="564" t="s">
        <v>5465</v>
      </c>
      <c r="I2235" s="564" t="s">
        <v>45</v>
      </c>
      <c r="J2235" s="564" t="s">
        <v>1069</v>
      </c>
      <c r="K2235" s="564" t="s">
        <v>1090</v>
      </c>
      <c r="L2235" s="564" t="s">
        <v>2098</v>
      </c>
      <c r="M2235" s="564" t="s">
        <v>2098</v>
      </c>
      <c r="N2235" s="564" t="s">
        <v>45</v>
      </c>
      <c r="O2235" s="564" t="s">
        <v>2099</v>
      </c>
      <c r="P2235" s="23"/>
      <c r="Q2235" s="23"/>
      <c r="R2235" s="23"/>
      <c r="S2235" s="23"/>
      <c r="T2235" s="23"/>
      <c r="U2235" s="23"/>
      <c r="V2235" s="23"/>
      <c r="W2235" s="23"/>
      <c r="X2235" s="23"/>
      <c r="Y2235" s="23"/>
      <c r="Z2235" s="23"/>
    </row>
    <row r="2236" spans="1:26" ht="13">
      <c r="A2236" s="562" t="s">
        <v>5652</v>
      </c>
      <c r="B2236" s="563" t="s">
        <v>5653</v>
      </c>
      <c r="C2236" s="564" t="s">
        <v>1551</v>
      </c>
      <c r="D2236" s="565">
        <v>43353</v>
      </c>
      <c r="E2236" s="565">
        <v>43371</v>
      </c>
      <c r="F2236" s="566">
        <v>4676000</v>
      </c>
      <c r="G2236" s="564" t="s">
        <v>5465</v>
      </c>
      <c r="H2236" s="564" t="s">
        <v>5465</v>
      </c>
      <c r="I2236" s="564" t="s">
        <v>45</v>
      </c>
      <c r="J2236" s="564" t="s">
        <v>1069</v>
      </c>
      <c r="K2236" s="564" t="s">
        <v>1090</v>
      </c>
      <c r="L2236" s="564" t="s">
        <v>2098</v>
      </c>
      <c r="M2236" s="564" t="s">
        <v>2098</v>
      </c>
      <c r="N2236" s="564" t="s">
        <v>45</v>
      </c>
      <c r="O2236" s="564" t="s">
        <v>2099</v>
      </c>
      <c r="P2236" s="23"/>
      <c r="Q2236" s="23"/>
      <c r="R2236" s="23"/>
      <c r="S2236" s="23"/>
      <c r="T2236" s="23"/>
      <c r="U2236" s="23"/>
      <c r="V2236" s="23"/>
      <c r="W2236" s="23"/>
      <c r="X2236" s="23"/>
      <c r="Y2236" s="23"/>
      <c r="Z2236" s="23"/>
    </row>
    <row r="2237" spans="1:26" ht="13">
      <c r="A2237" s="562" t="s">
        <v>5654</v>
      </c>
      <c r="B2237" s="563" t="s">
        <v>5655</v>
      </c>
      <c r="C2237" s="564" t="s">
        <v>1551</v>
      </c>
      <c r="D2237" s="565">
        <v>43349</v>
      </c>
      <c r="E2237" s="565">
        <v>43371</v>
      </c>
      <c r="F2237" s="566">
        <v>268737000</v>
      </c>
      <c r="G2237" s="564" t="s">
        <v>5465</v>
      </c>
      <c r="H2237" s="564" t="s">
        <v>5465</v>
      </c>
      <c r="I2237" s="564" t="s">
        <v>45</v>
      </c>
      <c r="J2237" s="564" t="s">
        <v>1069</v>
      </c>
      <c r="K2237" s="564" t="s">
        <v>1090</v>
      </c>
      <c r="L2237" s="564" t="s">
        <v>2098</v>
      </c>
      <c r="M2237" s="564" t="s">
        <v>2098</v>
      </c>
      <c r="N2237" s="564" t="s">
        <v>45</v>
      </c>
      <c r="O2237" s="564" t="s">
        <v>2099</v>
      </c>
      <c r="P2237" s="23"/>
      <c r="Q2237" s="23"/>
      <c r="R2237" s="23"/>
      <c r="S2237" s="23"/>
      <c r="T2237" s="23"/>
      <c r="U2237" s="23"/>
      <c r="V2237" s="23"/>
      <c r="W2237" s="23"/>
      <c r="X2237" s="23"/>
      <c r="Y2237" s="23"/>
      <c r="Z2237" s="23"/>
    </row>
    <row r="2238" spans="1:26" ht="13">
      <c r="A2238" s="562" t="s">
        <v>5656</v>
      </c>
      <c r="B2238" s="563" t="s">
        <v>5509</v>
      </c>
      <c r="C2238" s="564" t="s">
        <v>1551</v>
      </c>
      <c r="D2238" s="565">
        <v>43353</v>
      </c>
      <c r="E2238" s="565">
        <v>43371</v>
      </c>
      <c r="F2238" s="566">
        <v>12700000</v>
      </c>
      <c r="G2238" s="564" t="s">
        <v>5465</v>
      </c>
      <c r="H2238" s="564" t="s">
        <v>5465</v>
      </c>
      <c r="I2238" s="564" t="s">
        <v>45</v>
      </c>
      <c r="J2238" s="564" t="s">
        <v>1069</v>
      </c>
      <c r="K2238" s="564" t="s">
        <v>1090</v>
      </c>
      <c r="L2238" s="564" t="s">
        <v>2098</v>
      </c>
      <c r="M2238" s="564" t="s">
        <v>2098</v>
      </c>
      <c r="N2238" s="564" t="s">
        <v>45</v>
      </c>
      <c r="O2238" s="564" t="s">
        <v>2099</v>
      </c>
      <c r="P2238" s="23"/>
      <c r="Q2238" s="23"/>
      <c r="R2238" s="23"/>
      <c r="S2238" s="23"/>
      <c r="T2238" s="23"/>
      <c r="U2238" s="23"/>
      <c r="V2238" s="23"/>
      <c r="W2238" s="23"/>
      <c r="X2238" s="23"/>
      <c r="Y2238" s="23"/>
      <c r="Z2238" s="23"/>
    </row>
    <row r="2239" spans="1:26" ht="13">
      <c r="A2239" s="562" t="s">
        <v>5657</v>
      </c>
      <c r="B2239" s="563" t="s">
        <v>5658</v>
      </c>
      <c r="C2239" s="564" t="s">
        <v>1551</v>
      </c>
      <c r="D2239" s="565">
        <v>43353</v>
      </c>
      <c r="E2239" s="565">
        <v>43371</v>
      </c>
      <c r="F2239" s="566">
        <v>62540000</v>
      </c>
      <c r="G2239" s="564" t="s">
        <v>5465</v>
      </c>
      <c r="H2239" s="564" t="s">
        <v>5465</v>
      </c>
      <c r="I2239" s="564" t="s">
        <v>45</v>
      </c>
      <c r="J2239" s="564" t="s">
        <v>1069</v>
      </c>
      <c r="K2239" s="564" t="s">
        <v>1090</v>
      </c>
      <c r="L2239" s="564" t="s">
        <v>2098</v>
      </c>
      <c r="M2239" s="564" t="s">
        <v>2098</v>
      </c>
      <c r="N2239" s="564" t="s">
        <v>45</v>
      </c>
      <c r="O2239" s="564" t="s">
        <v>2099</v>
      </c>
      <c r="P2239" s="23"/>
      <c r="Q2239" s="23"/>
      <c r="R2239" s="23"/>
      <c r="S2239" s="23"/>
      <c r="T2239" s="23"/>
      <c r="U2239" s="23"/>
      <c r="V2239" s="23"/>
      <c r="W2239" s="23"/>
      <c r="X2239" s="23"/>
      <c r="Y2239" s="23"/>
      <c r="Z2239" s="23"/>
    </row>
    <row r="2240" spans="1:26" ht="13">
      <c r="A2240" s="562" t="s">
        <v>5659</v>
      </c>
      <c r="B2240" s="563" t="s">
        <v>5660</v>
      </c>
      <c r="C2240" s="564" t="s">
        <v>1551</v>
      </c>
      <c r="D2240" s="565">
        <v>43350</v>
      </c>
      <c r="E2240" s="565">
        <v>43371</v>
      </c>
      <c r="F2240" s="566">
        <v>225011000</v>
      </c>
      <c r="G2240" s="564" t="s">
        <v>5465</v>
      </c>
      <c r="H2240" s="564" t="s">
        <v>5465</v>
      </c>
      <c r="I2240" s="564" t="s">
        <v>45</v>
      </c>
      <c r="J2240" s="564" t="s">
        <v>1069</v>
      </c>
      <c r="K2240" s="564" t="s">
        <v>1090</v>
      </c>
      <c r="L2240" s="564" t="s">
        <v>2098</v>
      </c>
      <c r="M2240" s="564" t="s">
        <v>2098</v>
      </c>
      <c r="N2240" s="564" t="s">
        <v>45</v>
      </c>
      <c r="O2240" s="564" t="s">
        <v>2099</v>
      </c>
      <c r="P2240" s="23"/>
      <c r="Q2240" s="23"/>
      <c r="R2240" s="23"/>
      <c r="S2240" s="23"/>
      <c r="T2240" s="23"/>
      <c r="U2240" s="23"/>
      <c r="V2240" s="23"/>
      <c r="W2240" s="23"/>
      <c r="X2240" s="23"/>
      <c r="Y2240" s="23"/>
      <c r="Z2240" s="23"/>
    </row>
    <row r="2241" spans="1:26" ht="13">
      <c r="A2241" s="562" t="s">
        <v>5661</v>
      </c>
      <c r="B2241" s="563" t="s">
        <v>5662</v>
      </c>
      <c r="C2241" s="564" t="s">
        <v>2387</v>
      </c>
      <c r="D2241" s="565">
        <v>43348</v>
      </c>
      <c r="E2241" s="565">
        <v>43434</v>
      </c>
      <c r="F2241" s="566">
        <v>145600</v>
      </c>
      <c r="G2241" s="564" t="s">
        <v>1400</v>
      </c>
      <c r="H2241" s="564" t="s">
        <v>1400</v>
      </c>
      <c r="I2241" s="564" t="s">
        <v>4816</v>
      </c>
      <c r="J2241" s="564" t="s">
        <v>1069</v>
      </c>
      <c r="K2241" s="564" t="s">
        <v>1070</v>
      </c>
      <c r="L2241" s="564" t="s">
        <v>2098</v>
      </c>
      <c r="M2241" s="564" t="s">
        <v>2098</v>
      </c>
      <c r="N2241" s="564" t="s">
        <v>1082</v>
      </c>
      <c r="O2241" s="564" t="s">
        <v>2099</v>
      </c>
      <c r="P2241" s="23"/>
      <c r="Q2241" s="23"/>
      <c r="R2241" s="23"/>
      <c r="S2241" s="23"/>
      <c r="T2241" s="23"/>
      <c r="U2241" s="23"/>
      <c r="V2241" s="23"/>
      <c r="W2241" s="23"/>
      <c r="X2241" s="23"/>
      <c r="Y2241" s="23"/>
      <c r="Z2241" s="23"/>
    </row>
    <row r="2242" spans="1:26" ht="13">
      <c r="A2242" s="562" t="s">
        <v>5663</v>
      </c>
      <c r="B2242" s="563" t="s">
        <v>5664</v>
      </c>
      <c r="C2242" s="564" t="s">
        <v>1551</v>
      </c>
      <c r="D2242" s="565">
        <v>43346</v>
      </c>
      <c r="E2242" s="565">
        <v>43357</v>
      </c>
      <c r="F2242" s="566">
        <v>9800000</v>
      </c>
      <c r="G2242" s="564" t="s">
        <v>1400</v>
      </c>
      <c r="H2242" s="564" t="s">
        <v>1400</v>
      </c>
      <c r="I2242" s="564" t="s">
        <v>45</v>
      </c>
      <c r="J2242" s="564" t="s">
        <v>1069</v>
      </c>
      <c r="K2242" s="564" t="s">
        <v>1090</v>
      </c>
      <c r="L2242" s="564" t="s">
        <v>2098</v>
      </c>
      <c r="M2242" s="564" t="s">
        <v>2098</v>
      </c>
      <c r="N2242" s="564" t="s">
        <v>45</v>
      </c>
      <c r="O2242" s="564" t="s">
        <v>2099</v>
      </c>
      <c r="P2242" s="23"/>
      <c r="Q2242" s="23"/>
      <c r="R2242" s="23"/>
      <c r="S2242" s="23"/>
      <c r="T2242" s="23"/>
      <c r="U2242" s="23"/>
      <c r="V2242" s="23"/>
      <c r="W2242" s="23"/>
      <c r="X2242" s="23"/>
      <c r="Y2242" s="23"/>
      <c r="Z2242" s="23"/>
    </row>
    <row r="2243" spans="1:26" ht="13">
      <c r="A2243" s="562" t="s">
        <v>5665</v>
      </c>
      <c r="B2243" s="563" t="s">
        <v>5666</v>
      </c>
      <c r="C2243" s="564" t="s">
        <v>1551</v>
      </c>
      <c r="D2243" s="565">
        <v>43346</v>
      </c>
      <c r="E2243" s="565">
        <v>43371</v>
      </c>
      <c r="F2243" s="566">
        <v>456000</v>
      </c>
      <c r="G2243" s="564" t="s">
        <v>1400</v>
      </c>
      <c r="H2243" s="564" t="s">
        <v>1400</v>
      </c>
      <c r="I2243" s="564" t="s">
        <v>64</v>
      </c>
      <c r="J2243" s="564" t="s">
        <v>1069</v>
      </c>
      <c r="K2243" s="564" t="s">
        <v>1090</v>
      </c>
      <c r="L2243" s="564" t="s">
        <v>2098</v>
      </c>
      <c r="M2243" s="564" t="s">
        <v>2098</v>
      </c>
      <c r="N2243" s="564" t="s">
        <v>64</v>
      </c>
      <c r="O2243" s="564" t="s">
        <v>2099</v>
      </c>
      <c r="P2243" s="23"/>
      <c r="Q2243" s="23"/>
      <c r="R2243" s="23"/>
      <c r="S2243" s="23"/>
      <c r="T2243" s="23"/>
      <c r="U2243" s="23"/>
      <c r="V2243" s="23"/>
      <c r="W2243" s="23"/>
      <c r="X2243" s="23"/>
      <c r="Y2243" s="23"/>
      <c r="Z2243" s="23"/>
    </row>
    <row r="2244" spans="1:26" ht="13">
      <c r="A2244" s="562" t="s">
        <v>5667</v>
      </c>
      <c r="B2244" s="563" t="s">
        <v>5668</v>
      </c>
      <c r="C2244" s="564" t="s">
        <v>1551</v>
      </c>
      <c r="D2244" s="565">
        <v>43346</v>
      </c>
      <c r="E2244" s="565">
        <v>43371</v>
      </c>
      <c r="F2244" s="566">
        <v>456000</v>
      </c>
      <c r="G2244" s="564" t="s">
        <v>1400</v>
      </c>
      <c r="H2244" s="564" t="s">
        <v>1400</v>
      </c>
      <c r="I2244" s="564" t="s">
        <v>64</v>
      </c>
      <c r="J2244" s="564" t="s">
        <v>1069</v>
      </c>
      <c r="K2244" s="564" t="s">
        <v>1090</v>
      </c>
      <c r="L2244" s="564" t="s">
        <v>2098</v>
      </c>
      <c r="M2244" s="564" t="s">
        <v>2098</v>
      </c>
      <c r="N2244" s="564" t="s">
        <v>64</v>
      </c>
      <c r="O2244" s="564" t="s">
        <v>2099</v>
      </c>
      <c r="P2244" s="23"/>
      <c r="Q2244" s="23"/>
      <c r="R2244" s="23"/>
      <c r="S2244" s="23"/>
      <c r="T2244" s="23"/>
      <c r="U2244" s="23"/>
      <c r="V2244" s="23"/>
      <c r="W2244" s="23"/>
      <c r="X2244" s="23"/>
      <c r="Y2244" s="23"/>
      <c r="Z2244" s="23"/>
    </row>
    <row r="2245" spans="1:26" ht="13">
      <c r="A2245" s="562" t="s">
        <v>5669</v>
      </c>
      <c r="B2245" s="563" t="s">
        <v>5670</v>
      </c>
      <c r="C2245" s="564" t="s">
        <v>1551</v>
      </c>
      <c r="D2245" s="565">
        <v>43346</v>
      </c>
      <c r="E2245" s="565">
        <v>43371</v>
      </c>
      <c r="F2245" s="566">
        <v>2180000</v>
      </c>
      <c r="G2245" s="564" t="s">
        <v>1400</v>
      </c>
      <c r="H2245" s="564" t="s">
        <v>1400</v>
      </c>
      <c r="I2245" s="564" t="s">
        <v>45</v>
      </c>
      <c r="J2245" s="564" t="s">
        <v>1069</v>
      </c>
      <c r="K2245" s="564" t="s">
        <v>1090</v>
      </c>
      <c r="L2245" s="564" t="s">
        <v>2098</v>
      </c>
      <c r="M2245" s="564" t="s">
        <v>2098</v>
      </c>
      <c r="N2245" s="564" t="s">
        <v>45</v>
      </c>
      <c r="O2245" s="564" t="s">
        <v>2099</v>
      </c>
      <c r="P2245" s="23"/>
      <c r="Q2245" s="23"/>
      <c r="R2245" s="23"/>
      <c r="S2245" s="23"/>
      <c r="T2245" s="23"/>
      <c r="U2245" s="23"/>
      <c r="V2245" s="23"/>
      <c r="W2245" s="23"/>
      <c r="X2245" s="23"/>
      <c r="Y2245" s="23"/>
      <c r="Z2245" s="23"/>
    </row>
    <row r="2246" spans="1:26" ht="13">
      <c r="A2246" s="562" t="s">
        <v>5671</v>
      </c>
      <c r="B2246" s="563" t="s">
        <v>5672</v>
      </c>
      <c r="C2246" s="564" t="s">
        <v>1551</v>
      </c>
      <c r="D2246" s="565">
        <v>43342</v>
      </c>
      <c r="E2246" s="565">
        <v>43371</v>
      </c>
      <c r="F2246" s="566">
        <v>285317700</v>
      </c>
      <c r="G2246" s="564" t="s">
        <v>5465</v>
      </c>
      <c r="H2246" s="564" t="s">
        <v>5465</v>
      </c>
      <c r="I2246" s="564" t="s">
        <v>45</v>
      </c>
      <c r="J2246" s="564" t="s">
        <v>1069</v>
      </c>
      <c r="K2246" s="564" t="s">
        <v>1090</v>
      </c>
      <c r="L2246" s="564" t="s">
        <v>2098</v>
      </c>
      <c r="M2246" s="564" t="s">
        <v>2098</v>
      </c>
      <c r="N2246" s="564" t="s">
        <v>45</v>
      </c>
      <c r="O2246" s="564" t="s">
        <v>2099</v>
      </c>
      <c r="P2246" s="23"/>
      <c r="Q2246" s="23"/>
      <c r="R2246" s="23"/>
      <c r="S2246" s="23"/>
      <c r="T2246" s="23"/>
      <c r="U2246" s="23"/>
      <c r="V2246" s="23"/>
      <c r="W2246" s="23"/>
      <c r="X2246" s="23"/>
      <c r="Y2246" s="23"/>
      <c r="Z2246" s="23"/>
    </row>
    <row r="2247" spans="1:26" ht="13">
      <c r="A2247" s="562" t="s">
        <v>5673</v>
      </c>
      <c r="B2247" s="563" t="s">
        <v>5674</v>
      </c>
      <c r="C2247" s="564" t="s">
        <v>2387</v>
      </c>
      <c r="D2247" s="565">
        <v>43342</v>
      </c>
      <c r="E2247" s="565">
        <v>43404</v>
      </c>
      <c r="F2247" s="566">
        <v>4575800</v>
      </c>
      <c r="G2247" s="564" t="s">
        <v>1400</v>
      </c>
      <c r="H2247" s="564" t="s">
        <v>1400</v>
      </c>
      <c r="I2247" s="564" t="s">
        <v>4816</v>
      </c>
      <c r="J2247" s="564" t="s">
        <v>1069</v>
      </c>
      <c r="K2247" s="564" t="s">
        <v>1070</v>
      </c>
      <c r="L2247" s="564" t="s">
        <v>2098</v>
      </c>
      <c r="M2247" s="564" t="s">
        <v>2098</v>
      </c>
      <c r="N2247" s="564" t="s">
        <v>1082</v>
      </c>
      <c r="O2247" s="564" t="s">
        <v>2099</v>
      </c>
      <c r="P2247" s="23"/>
      <c r="Q2247" s="23"/>
      <c r="R2247" s="23"/>
      <c r="S2247" s="23"/>
      <c r="T2247" s="23"/>
      <c r="U2247" s="23"/>
      <c r="V2247" s="23"/>
      <c r="W2247" s="23"/>
      <c r="X2247" s="23"/>
      <c r="Y2247" s="23"/>
      <c r="Z2247" s="23"/>
    </row>
    <row r="2248" spans="1:26" ht="13">
      <c r="A2248" s="562" t="s">
        <v>5675</v>
      </c>
      <c r="B2248" s="563" t="s">
        <v>5676</v>
      </c>
      <c r="C2248" s="564" t="s">
        <v>2387</v>
      </c>
      <c r="D2248" s="565">
        <v>43340</v>
      </c>
      <c r="E2248" s="565">
        <v>43404</v>
      </c>
      <c r="F2248" s="566">
        <v>1986000</v>
      </c>
      <c r="G2248" s="564" t="s">
        <v>1400</v>
      </c>
      <c r="H2248" s="564" t="s">
        <v>1400</v>
      </c>
      <c r="I2248" s="564" t="s">
        <v>4816</v>
      </c>
      <c r="J2248" s="564" t="s">
        <v>1069</v>
      </c>
      <c r="K2248" s="564" t="s">
        <v>1070</v>
      </c>
      <c r="L2248" s="564" t="s">
        <v>2098</v>
      </c>
      <c r="M2248" s="564" t="s">
        <v>2098</v>
      </c>
      <c r="N2248" s="564" t="s">
        <v>1082</v>
      </c>
      <c r="O2248" s="564" t="s">
        <v>2099</v>
      </c>
      <c r="P2248" s="23"/>
      <c r="Q2248" s="23"/>
      <c r="R2248" s="23"/>
      <c r="S2248" s="23"/>
      <c r="T2248" s="23"/>
      <c r="U2248" s="23"/>
      <c r="V2248" s="23"/>
      <c r="W2248" s="23"/>
      <c r="X2248" s="23"/>
      <c r="Y2248" s="23"/>
      <c r="Z2248" s="23"/>
    </row>
    <row r="2249" spans="1:26" ht="13">
      <c r="A2249" s="562" t="s">
        <v>5677</v>
      </c>
      <c r="B2249" s="563" t="s">
        <v>5678</v>
      </c>
      <c r="C2249" s="564" t="s">
        <v>1652</v>
      </c>
      <c r="D2249" s="565">
        <v>43346</v>
      </c>
      <c r="E2249" s="565">
        <v>43371</v>
      </c>
      <c r="F2249" s="566">
        <v>3122000</v>
      </c>
      <c r="G2249" s="564" t="s">
        <v>1636</v>
      </c>
      <c r="H2249" s="564" t="s">
        <v>1636</v>
      </c>
      <c r="I2249" s="564" t="s">
        <v>1637</v>
      </c>
      <c r="J2249" s="564" t="s">
        <v>1069</v>
      </c>
      <c r="K2249" s="564" t="s">
        <v>1120</v>
      </c>
      <c r="L2249" s="564" t="s">
        <v>2098</v>
      </c>
      <c r="M2249" s="564" t="s">
        <v>2098</v>
      </c>
      <c r="N2249" s="564" t="s">
        <v>1073</v>
      </c>
      <c r="O2249" s="564" t="s">
        <v>2099</v>
      </c>
      <c r="P2249" s="23"/>
      <c r="Q2249" s="23"/>
      <c r="R2249" s="23"/>
      <c r="S2249" s="23"/>
      <c r="T2249" s="23"/>
      <c r="U2249" s="23"/>
      <c r="V2249" s="23"/>
      <c r="W2249" s="23"/>
      <c r="X2249" s="23"/>
      <c r="Y2249" s="23"/>
      <c r="Z2249" s="23"/>
    </row>
    <row r="2250" spans="1:26" ht="13">
      <c r="A2250" s="562" t="s">
        <v>5679</v>
      </c>
      <c r="B2250" s="563" t="s">
        <v>5680</v>
      </c>
      <c r="C2250" s="564" t="s">
        <v>1652</v>
      </c>
      <c r="D2250" s="565">
        <v>43342</v>
      </c>
      <c r="E2250" s="565">
        <v>43371</v>
      </c>
      <c r="F2250" s="566">
        <v>2260000</v>
      </c>
      <c r="G2250" s="564" t="s">
        <v>1400</v>
      </c>
      <c r="H2250" s="564" t="s">
        <v>1400</v>
      </c>
      <c r="I2250" s="564" t="s">
        <v>1637</v>
      </c>
      <c r="J2250" s="564" t="s">
        <v>1069</v>
      </c>
      <c r="K2250" s="564" t="s">
        <v>1120</v>
      </c>
      <c r="L2250" s="564" t="s">
        <v>2098</v>
      </c>
      <c r="M2250" s="564" t="s">
        <v>2098</v>
      </c>
      <c r="N2250" s="564" t="s">
        <v>1073</v>
      </c>
      <c r="O2250" s="564" t="s">
        <v>2099</v>
      </c>
      <c r="P2250" s="23"/>
      <c r="Q2250" s="23"/>
      <c r="R2250" s="23"/>
      <c r="S2250" s="23"/>
      <c r="T2250" s="23"/>
      <c r="U2250" s="23"/>
      <c r="V2250" s="23"/>
      <c r="W2250" s="23"/>
      <c r="X2250" s="23"/>
      <c r="Y2250" s="23"/>
      <c r="Z2250" s="23"/>
    </row>
    <row r="2251" spans="1:26" ht="13">
      <c r="A2251" s="562" t="s">
        <v>5681</v>
      </c>
      <c r="B2251" s="563" t="s">
        <v>5682</v>
      </c>
      <c r="C2251" s="564" t="s">
        <v>1551</v>
      </c>
      <c r="D2251" s="565">
        <v>43342</v>
      </c>
      <c r="E2251" s="565">
        <v>43373</v>
      </c>
      <c r="F2251" s="566">
        <v>243000000</v>
      </c>
      <c r="G2251" s="564" t="s">
        <v>1400</v>
      </c>
      <c r="H2251" s="564" t="s">
        <v>1400</v>
      </c>
      <c r="I2251" s="564" t="s">
        <v>45</v>
      </c>
      <c r="J2251" s="564" t="s">
        <v>1069</v>
      </c>
      <c r="K2251" s="564" t="s">
        <v>1090</v>
      </c>
      <c r="L2251" s="564" t="s">
        <v>2098</v>
      </c>
      <c r="M2251" s="564" t="s">
        <v>2098</v>
      </c>
      <c r="N2251" s="564" t="s">
        <v>45</v>
      </c>
      <c r="O2251" s="564" t="s">
        <v>2099</v>
      </c>
      <c r="P2251" s="23"/>
      <c r="Q2251" s="23"/>
      <c r="R2251" s="23"/>
      <c r="S2251" s="23"/>
      <c r="T2251" s="23"/>
      <c r="U2251" s="23"/>
      <c r="V2251" s="23"/>
      <c r="W2251" s="23"/>
      <c r="X2251" s="23"/>
      <c r="Y2251" s="23"/>
      <c r="Z2251" s="23"/>
    </row>
    <row r="2252" spans="1:26" ht="13">
      <c r="A2252" s="562" t="s">
        <v>5683</v>
      </c>
      <c r="B2252" s="563" t="s">
        <v>5684</v>
      </c>
      <c r="C2252" s="564" t="s">
        <v>1551</v>
      </c>
      <c r="D2252" s="565">
        <v>43340</v>
      </c>
      <c r="E2252" s="565">
        <v>43373</v>
      </c>
      <c r="F2252" s="566">
        <v>44550000</v>
      </c>
      <c r="G2252" s="564" t="s">
        <v>1400</v>
      </c>
      <c r="H2252" s="564" t="s">
        <v>1400</v>
      </c>
      <c r="I2252" s="564" t="s">
        <v>45</v>
      </c>
      <c r="J2252" s="564" t="s">
        <v>1069</v>
      </c>
      <c r="K2252" s="564" t="s">
        <v>1090</v>
      </c>
      <c r="L2252" s="564" t="s">
        <v>2098</v>
      </c>
      <c r="M2252" s="564" t="s">
        <v>2098</v>
      </c>
      <c r="N2252" s="564" t="s">
        <v>45</v>
      </c>
      <c r="O2252" s="564" t="s">
        <v>2099</v>
      </c>
      <c r="P2252" s="23"/>
      <c r="Q2252" s="23"/>
      <c r="R2252" s="23"/>
      <c r="S2252" s="23"/>
      <c r="T2252" s="23"/>
      <c r="U2252" s="23"/>
      <c r="V2252" s="23"/>
      <c r="W2252" s="23"/>
      <c r="X2252" s="23"/>
      <c r="Y2252" s="23"/>
      <c r="Z2252" s="23"/>
    </row>
    <row r="2253" spans="1:26" ht="13">
      <c r="A2253" s="562" t="s">
        <v>5685</v>
      </c>
      <c r="B2253" s="563" t="s">
        <v>5686</v>
      </c>
      <c r="C2253" s="564" t="s">
        <v>353</v>
      </c>
      <c r="D2253" s="565">
        <v>43339</v>
      </c>
      <c r="E2253" s="565">
        <v>43373</v>
      </c>
      <c r="F2253" s="566">
        <v>1090824000</v>
      </c>
      <c r="G2253" s="564" t="s">
        <v>1400</v>
      </c>
      <c r="H2253" s="564" t="s">
        <v>1400</v>
      </c>
      <c r="I2253" s="564" t="s">
        <v>45</v>
      </c>
      <c r="J2253" s="564" t="s">
        <v>1069</v>
      </c>
      <c r="K2253" s="564" t="s">
        <v>1090</v>
      </c>
      <c r="L2253" s="564" t="s">
        <v>2098</v>
      </c>
      <c r="M2253" s="564" t="s">
        <v>2098</v>
      </c>
      <c r="N2253" s="564" t="s">
        <v>45</v>
      </c>
      <c r="O2253" s="564" t="s">
        <v>2099</v>
      </c>
      <c r="P2253" s="23"/>
      <c r="Q2253" s="23"/>
      <c r="R2253" s="23"/>
      <c r="S2253" s="23"/>
      <c r="T2253" s="23"/>
      <c r="U2253" s="23"/>
      <c r="V2253" s="23"/>
      <c r="W2253" s="23"/>
      <c r="X2253" s="23"/>
      <c r="Y2253" s="23"/>
      <c r="Z2253" s="23"/>
    </row>
    <row r="2254" spans="1:26" ht="13">
      <c r="A2254" s="562" t="s">
        <v>5687</v>
      </c>
      <c r="B2254" s="563" t="s">
        <v>5688</v>
      </c>
      <c r="C2254" s="564" t="s">
        <v>2387</v>
      </c>
      <c r="D2254" s="565">
        <v>43334</v>
      </c>
      <c r="E2254" s="565">
        <v>43404</v>
      </c>
      <c r="F2254" s="566">
        <v>816000</v>
      </c>
      <c r="G2254" s="564" t="s">
        <v>1400</v>
      </c>
      <c r="H2254" s="564" t="s">
        <v>1400</v>
      </c>
      <c r="I2254" s="564" t="s">
        <v>4816</v>
      </c>
      <c r="J2254" s="564" t="s">
        <v>1069</v>
      </c>
      <c r="K2254" s="564" t="s">
        <v>1070</v>
      </c>
      <c r="L2254" s="564" t="s">
        <v>2098</v>
      </c>
      <c r="M2254" s="564" t="s">
        <v>2098</v>
      </c>
      <c r="N2254" s="564" t="s">
        <v>1082</v>
      </c>
      <c r="O2254" s="564" t="s">
        <v>2099</v>
      </c>
      <c r="P2254" s="23"/>
      <c r="Q2254" s="23"/>
      <c r="R2254" s="23"/>
      <c r="S2254" s="23"/>
      <c r="T2254" s="23"/>
      <c r="U2254" s="23"/>
      <c r="V2254" s="23"/>
      <c r="W2254" s="23"/>
      <c r="X2254" s="23"/>
      <c r="Y2254" s="23"/>
      <c r="Z2254" s="23"/>
    </row>
    <row r="2255" spans="1:26" ht="13">
      <c r="A2255" s="562" t="s">
        <v>5689</v>
      </c>
      <c r="B2255" s="563" t="s">
        <v>5690</v>
      </c>
      <c r="C2255" s="564" t="s">
        <v>1551</v>
      </c>
      <c r="D2255" s="565">
        <v>43334</v>
      </c>
      <c r="E2255" s="565">
        <v>43371</v>
      </c>
      <c r="F2255" s="566">
        <v>63330000</v>
      </c>
      <c r="G2255" s="564" t="s">
        <v>1400</v>
      </c>
      <c r="H2255" s="564" t="s">
        <v>1400</v>
      </c>
      <c r="I2255" s="564" t="s">
        <v>45</v>
      </c>
      <c r="J2255" s="564" t="s">
        <v>1069</v>
      </c>
      <c r="K2255" s="564" t="s">
        <v>1090</v>
      </c>
      <c r="L2255" s="564" t="s">
        <v>2098</v>
      </c>
      <c r="M2255" s="564" t="s">
        <v>2098</v>
      </c>
      <c r="N2255" s="564" t="s">
        <v>45</v>
      </c>
      <c r="O2255" s="564" t="s">
        <v>2099</v>
      </c>
      <c r="P2255" s="23"/>
      <c r="Q2255" s="23"/>
      <c r="R2255" s="23"/>
      <c r="S2255" s="23"/>
      <c r="T2255" s="23"/>
      <c r="U2255" s="23"/>
      <c r="V2255" s="23"/>
      <c r="W2255" s="23"/>
      <c r="X2255" s="23"/>
      <c r="Y2255" s="23"/>
      <c r="Z2255" s="23"/>
    </row>
    <row r="2256" spans="1:26" ht="13">
      <c r="A2256" s="562" t="s">
        <v>5691</v>
      </c>
      <c r="B2256" s="563" t="s">
        <v>3819</v>
      </c>
      <c r="C2256" s="564" t="s">
        <v>1551</v>
      </c>
      <c r="D2256" s="565">
        <v>43329</v>
      </c>
      <c r="E2256" s="565">
        <v>43343</v>
      </c>
      <c r="F2256" s="566">
        <v>3570000</v>
      </c>
      <c r="G2256" s="564" t="s">
        <v>1157</v>
      </c>
      <c r="H2256" s="564" t="s">
        <v>1157</v>
      </c>
      <c r="I2256" s="564" t="s">
        <v>170</v>
      </c>
      <c r="J2256" s="564" t="s">
        <v>1069</v>
      </c>
      <c r="K2256" s="564" t="s">
        <v>1105</v>
      </c>
      <c r="L2256" s="564" t="s">
        <v>2098</v>
      </c>
      <c r="M2256" s="564" t="s">
        <v>2098</v>
      </c>
      <c r="N2256" s="564" t="s">
        <v>170</v>
      </c>
      <c r="O2256" s="564" t="s">
        <v>2099</v>
      </c>
      <c r="P2256" s="23"/>
      <c r="Q2256" s="23"/>
      <c r="R2256" s="23"/>
      <c r="S2256" s="23"/>
      <c r="T2256" s="23"/>
      <c r="U2256" s="23"/>
      <c r="V2256" s="23"/>
      <c r="W2256" s="23"/>
      <c r="X2256" s="23"/>
      <c r="Y2256" s="23"/>
      <c r="Z2256" s="23"/>
    </row>
    <row r="2257" spans="1:26" ht="13">
      <c r="A2257" s="562" t="s">
        <v>5692</v>
      </c>
      <c r="B2257" s="563" t="s">
        <v>5693</v>
      </c>
      <c r="C2257" s="564" t="s">
        <v>1548</v>
      </c>
      <c r="D2257" s="565">
        <v>43328</v>
      </c>
      <c r="E2257" s="565">
        <v>43343</v>
      </c>
      <c r="F2257" s="566">
        <v>5160000</v>
      </c>
      <c r="G2257" s="564" t="s">
        <v>1636</v>
      </c>
      <c r="H2257" s="564" t="s">
        <v>1636</v>
      </c>
      <c r="I2257" s="564" t="s">
        <v>5694</v>
      </c>
      <c r="J2257" s="564" t="s">
        <v>1069</v>
      </c>
      <c r="K2257" s="564" t="s">
        <v>1105</v>
      </c>
      <c r="L2257" s="564" t="s">
        <v>2098</v>
      </c>
      <c r="M2257" s="564" t="s">
        <v>2098</v>
      </c>
      <c r="N2257" s="564" t="s">
        <v>1082</v>
      </c>
      <c r="O2257" s="564" t="s">
        <v>2099</v>
      </c>
      <c r="P2257" s="23"/>
      <c r="Q2257" s="23"/>
      <c r="R2257" s="23"/>
      <c r="S2257" s="23"/>
      <c r="T2257" s="23"/>
      <c r="U2257" s="23"/>
      <c r="V2257" s="23"/>
      <c r="W2257" s="23"/>
      <c r="X2257" s="23"/>
      <c r="Y2257" s="23"/>
      <c r="Z2257" s="23"/>
    </row>
    <row r="2258" spans="1:26" ht="13">
      <c r="A2258" s="562" t="s">
        <v>5695</v>
      </c>
      <c r="B2258" s="563" t="s">
        <v>5696</v>
      </c>
      <c r="C2258" s="564" t="s">
        <v>1551</v>
      </c>
      <c r="D2258" s="565">
        <v>43326</v>
      </c>
      <c r="E2258" s="565">
        <v>43371</v>
      </c>
      <c r="F2258" s="566">
        <v>1400000</v>
      </c>
      <c r="G2258" s="564" t="s">
        <v>1400</v>
      </c>
      <c r="H2258" s="564" t="s">
        <v>1400</v>
      </c>
      <c r="I2258" s="564" t="s">
        <v>45</v>
      </c>
      <c r="J2258" s="564" t="s">
        <v>1069</v>
      </c>
      <c r="K2258" s="564" t="s">
        <v>1090</v>
      </c>
      <c r="L2258" s="564" t="s">
        <v>2098</v>
      </c>
      <c r="M2258" s="564" t="s">
        <v>2098</v>
      </c>
      <c r="N2258" s="564" t="s">
        <v>45</v>
      </c>
      <c r="O2258" s="564" t="s">
        <v>2099</v>
      </c>
      <c r="P2258" s="23"/>
      <c r="Q2258" s="23"/>
      <c r="R2258" s="23"/>
      <c r="S2258" s="23"/>
      <c r="T2258" s="23"/>
      <c r="U2258" s="23"/>
      <c r="V2258" s="23"/>
      <c r="W2258" s="23"/>
      <c r="X2258" s="23"/>
      <c r="Y2258" s="23"/>
      <c r="Z2258" s="23"/>
    </row>
    <row r="2259" spans="1:26" ht="13">
      <c r="A2259" s="562" t="s">
        <v>5697</v>
      </c>
      <c r="B2259" s="563" t="s">
        <v>5698</v>
      </c>
      <c r="C2259" s="564" t="s">
        <v>1652</v>
      </c>
      <c r="D2259" s="565">
        <v>43321</v>
      </c>
      <c r="E2259" s="565">
        <v>43496</v>
      </c>
      <c r="F2259" s="566">
        <v>2188000000</v>
      </c>
      <c r="G2259" s="564" t="s">
        <v>1529</v>
      </c>
      <c r="H2259" s="564" t="s">
        <v>1529</v>
      </c>
      <c r="I2259" s="564" t="s">
        <v>1842</v>
      </c>
      <c r="J2259" s="564" t="s">
        <v>1069</v>
      </c>
      <c r="K2259" s="564" t="s">
        <v>1070</v>
      </c>
      <c r="L2259" s="564" t="s">
        <v>2098</v>
      </c>
      <c r="M2259" s="564" t="s">
        <v>2098</v>
      </c>
      <c r="N2259" s="564" t="s">
        <v>1082</v>
      </c>
      <c r="O2259" s="564" t="s">
        <v>2099</v>
      </c>
      <c r="P2259" s="23"/>
      <c r="Q2259" s="23"/>
      <c r="R2259" s="23"/>
      <c r="S2259" s="23"/>
      <c r="T2259" s="23"/>
      <c r="U2259" s="23"/>
      <c r="V2259" s="23"/>
      <c r="W2259" s="23"/>
      <c r="X2259" s="23"/>
      <c r="Y2259" s="23"/>
      <c r="Z2259" s="23"/>
    </row>
    <row r="2260" spans="1:26" ht="13">
      <c r="A2260" s="562" t="s">
        <v>5699</v>
      </c>
      <c r="B2260" s="563" t="s">
        <v>5700</v>
      </c>
      <c r="C2260" s="564" t="s">
        <v>1551</v>
      </c>
      <c r="D2260" s="565">
        <v>43322</v>
      </c>
      <c r="E2260" s="565">
        <v>43343</v>
      </c>
      <c r="F2260" s="566">
        <v>6804000</v>
      </c>
      <c r="G2260" s="564" t="s">
        <v>5465</v>
      </c>
      <c r="H2260" s="564" t="s">
        <v>5465</v>
      </c>
      <c r="I2260" s="564" t="s">
        <v>45</v>
      </c>
      <c r="J2260" s="564" t="s">
        <v>1069</v>
      </c>
      <c r="K2260" s="564" t="s">
        <v>1090</v>
      </c>
      <c r="L2260" s="564" t="s">
        <v>2098</v>
      </c>
      <c r="M2260" s="564" t="s">
        <v>2098</v>
      </c>
      <c r="N2260" s="564" t="s">
        <v>45</v>
      </c>
      <c r="O2260" s="564" t="s">
        <v>2099</v>
      </c>
      <c r="P2260" s="23"/>
      <c r="Q2260" s="23"/>
      <c r="R2260" s="23"/>
      <c r="S2260" s="23"/>
      <c r="T2260" s="23"/>
      <c r="U2260" s="23"/>
      <c r="V2260" s="23"/>
      <c r="W2260" s="23"/>
      <c r="X2260" s="23"/>
      <c r="Y2260" s="23"/>
      <c r="Z2260" s="23"/>
    </row>
    <row r="2261" spans="1:26" ht="13">
      <c r="A2261" s="562" t="s">
        <v>5701</v>
      </c>
      <c r="B2261" s="563" t="s">
        <v>5702</v>
      </c>
      <c r="C2261" s="564" t="s">
        <v>1370</v>
      </c>
      <c r="D2261" s="565">
        <v>43321</v>
      </c>
      <c r="E2261" s="565">
        <v>43334</v>
      </c>
      <c r="F2261" s="566">
        <v>8565455</v>
      </c>
      <c r="G2261" s="564" t="s">
        <v>1157</v>
      </c>
      <c r="H2261" s="564" t="s">
        <v>1157</v>
      </c>
      <c r="I2261" s="564" t="s">
        <v>1746</v>
      </c>
      <c r="J2261" s="564" t="s">
        <v>1069</v>
      </c>
      <c r="K2261" s="564" t="s">
        <v>1198</v>
      </c>
      <c r="L2261" s="564" t="s">
        <v>2098</v>
      </c>
      <c r="M2261" s="564" t="s">
        <v>2098</v>
      </c>
      <c r="N2261" s="564" t="s">
        <v>1073</v>
      </c>
      <c r="O2261" s="564" t="s">
        <v>2099</v>
      </c>
      <c r="P2261" s="23"/>
      <c r="Q2261" s="23"/>
      <c r="R2261" s="23"/>
      <c r="S2261" s="23"/>
      <c r="T2261" s="23"/>
      <c r="U2261" s="23"/>
      <c r="V2261" s="23"/>
      <c r="W2261" s="23"/>
      <c r="X2261" s="23"/>
      <c r="Y2261" s="23"/>
      <c r="Z2261" s="23"/>
    </row>
    <row r="2262" spans="1:26" ht="13">
      <c r="A2262" s="562" t="s">
        <v>5703</v>
      </c>
      <c r="B2262" s="563" t="s">
        <v>5704</v>
      </c>
      <c r="C2262" s="564" t="s">
        <v>3378</v>
      </c>
      <c r="D2262" s="565">
        <v>43321</v>
      </c>
      <c r="E2262" s="565">
        <v>43616</v>
      </c>
      <c r="F2262" s="566">
        <v>142448580</v>
      </c>
      <c r="G2262" s="564" t="s">
        <v>1400</v>
      </c>
      <c r="H2262" s="564" t="s">
        <v>1400</v>
      </c>
      <c r="I2262" s="564" t="s">
        <v>45</v>
      </c>
      <c r="J2262" s="564" t="s">
        <v>1069</v>
      </c>
      <c r="K2262" s="564" t="s">
        <v>1090</v>
      </c>
      <c r="L2262" s="564" t="s">
        <v>2098</v>
      </c>
      <c r="M2262" s="564" t="s">
        <v>2098</v>
      </c>
      <c r="N2262" s="564" t="s">
        <v>45</v>
      </c>
      <c r="O2262" s="564" t="s">
        <v>2099</v>
      </c>
      <c r="P2262" s="23"/>
      <c r="Q2262" s="23"/>
      <c r="R2262" s="23"/>
      <c r="S2262" s="23"/>
      <c r="T2262" s="23"/>
      <c r="U2262" s="23"/>
      <c r="V2262" s="23"/>
      <c r="W2262" s="23"/>
      <c r="X2262" s="23"/>
      <c r="Y2262" s="23"/>
      <c r="Z2262" s="23"/>
    </row>
    <row r="2263" spans="1:26" ht="13">
      <c r="A2263" s="562" t="s">
        <v>5705</v>
      </c>
      <c r="B2263" s="563" t="s">
        <v>5706</v>
      </c>
      <c r="C2263" s="564" t="s">
        <v>1551</v>
      </c>
      <c r="D2263" s="565">
        <v>43318</v>
      </c>
      <c r="E2263" s="565">
        <v>43343</v>
      </c>
      <c r="F2263" s="566">
        <v>9000000</v>
      </c>
      <c r="G2263" s="564" t="s">
        <v>5465</v>
      </c>
      <c r="H2263" s="564" t="s">
        <v>5465</v>
      </c>
      <c r="I2263" s="564" t="s">
        <v>45</v>
      </c>
      <c r="J2263" s="564" t="s">
        <v>1069</v>
      </c>
      <c r="K2263" s="564" t="s">
        <v>1090</v>
      </c>
      <c r="L2263" s="564" t="s">
        <v>2098</v>
      </c>
      <c r="M2263" s="564" t="s">
        <v>2098</v>
      </c>
      <c r="N2263" s="564" t="s">
        <v>45</v>
      </c>
      <c r="O2263" s="564" t="s">
        <v>2099</v>
      </c>
      <c r="P2263" s="23"/>
      <c r="Q2263" s="23"/>
      <c r="R2263" s="23"/>
      <c r="S2263" s="23"/>
      <c r="T2263" s="23"/>
      <c r="U2263" s="23"/>
      <c r="V2263" s="23"/>
      <c r="W2263" s="23"/>
      <c r="X2263" s="23"/>
      <c r="Y2263" s="23"/>
      <c r="Z2263" s="23"/>
    </row>
    <row r="2264" spans="1:26" ht="13">
      <c r="A2264" s="562" t="s">
        <v>5707</v>
      </c>
      <c r="B2264" s="563" t="s">
        <v>5708</v>
      </c>
      <c r="C2264" s="564" t="s">
        <v>3378</v>
      </c>
      <c r="D2264" s="565">
        <v>43315</v>
      </c>
      <c r="E2264" s="565">
        <v>43282</v>
      </c>
      <c r="F2264" s="566">
        <v>11532360</v>
      </c>
      <c r="G2264" s="564" t="s">
        <v>1424</v>
      </c>
      <c r="H2264" s="564" t="s">
        <v>1424</v>
      </c>
      <c r="I2264" s="564" t="s">
        <v>45</v>
      </c>
      <c r="J2264" s="564" t="s">
        <v>1069</v>
      </c>
      <c r="K2264" s="564" t="s">
        <v>1090</v>
      </c>
      <c r="L2264" s="564" t="s">
        <v>1071</v>
      </c>
      <c r="M2264" s="564" t="s">
        <v>1183</v>
      </c>
      <c r="N2264" s="564" t="s">
        <v>45</v>
      </c>
      <c r="O2264" s="564" t="s">
        <v>1472</v>
      </c>
      <c r="P2264" s="23"/>
      <c r="Q2264" s="23"/>
      <c r="R2264" s="23"/>
      <c r="S2264" s="23"/>
      <c r="T2264" s="23"/>
      <c r="U2264" s="23"/>
      <c r="V2264" s="23"/>
      <c r="W2264" s="23"/>
      <c r="X2264" s="23"/>
      <c r="Y2264" s="23"/>
      <c r="Z2264" s="23"/>
    </row>
    <row r="2265" spans="1:26" ht="13">
      <c r="A2265" s="562" t="s">
        <v>5709</v>
      </c>
      <c r="B2265" s="563" t="s">
        <v>5710</v>
      </c>
      <c r="C2265" s="564" t="s">
        <v>2387</v>
      </c>
      <c r="D2265" s="565">
        <v>43315</v>
      </c>
      <c r="E2265" s="565">
        <v>43404</v>
      </c>
      <c r="F2265" s="566">
        <v>816000</v>
      </c>
      <c r="G2265" s="564" t="s">
        <v>1400</v>
      </c>
      <c r="H2265" s="564" t="s">
        <v>1400</v>
      </c>
      <c r="I2265" s="564" t="s">
        <v>4816</v>
      </c>
      <c r="J2265" s="564" t="s">
        <v>1069</v>
      </c>
      <c r="K2265" s="564" t="s">
        <v>1070</v>
      </c>
      <c r="L2265" s="564" t="s">
        <v>2098</v>
      </c>
      <c r="M2265" s="564" t="s">
        <v>2098</v>
      </c>
      <c r="N2265" s="564" t="s">
        <v>1082</v>
      </c>
      <c r="O2265" s="564" t="s">
        <v>2099</v>
      </c>
      <c r="P2265" s="23"/>
      <c r="Q2265" s="23"/>
      <c r="R2265" s="23"/>
      <c r="S2265" s="23"/>
      <c r="T2265" s="23"/>
      <c r="U2265" s="23"/>
      <c r="V2265" s="23"/>
      <c r="W2265" s="23"/>
      <c r="X2265" s="23"/>
      <c r="Y2265" s="23"/>
      <c r="Z2265" s="23"/>
    </row>
    <row r="2266" spans="1:26" ht="13">
      <c r="A2266" s="562" t="s">
        <v>5711</v>
      </c>
      <c r="B2266" s="563" t="s">
        <v>5712</v>
      </c>
      <c r="C2266" s="564" t="s">
        <v>1551</v>
      </c>
      <c r="D2266" s="565">
        <v>43315</v>
      </c>
      <c r="E2266" s="565">
        <v>43343</v>
      </c>
      <c r="F2266" s="566">
        <v>1025000</v>
      </c>
      <c r="G2266" s="564" t="s">
        <v>1400</v>
      </c>
      <c r="H2266" s="564" t="s">
        <v>1400</v>
      </c>
      <c r="I2266" s="564" t="s">
        <v>121</v>
      </c>
      <c r="J2266" s="564" t="s">
        <v>1069</v>
      </c>
      <c r="K2266" s="564" t="s">
        <v>1105</v>
      </c>
      <c r="L2266" s="564" t="s">
        <v>2098</v>
      </c>
      <c r="M2266" s="564" t="s">
        <v>2098</v>
      </c>
      <c r="N2266" s="564" t="s">
        <v>1073</v>
      </c>
      <c r="O2266" s="564" t="s">
        <v>2099</v>
      </c>
      <c r="P2266" s="23"/>
      <c r="Q2266" s="23"/>
      <c r="R2266" s="23"/>
      <c r="S2266" s="23"/>
      <c r="T2266" s="23"/>
      <c r="U2266" s="23"/>
      <c r="V2266" s="23"/>
      <c r="W2266" s="23"/>
      <c r="X2266" s="23"/>
      <c r="Y2266" s="23"/>
      <c r="Z2266" s="23"/>
    </row>
    <row r="2267" spans="1:26" ht="13">
      <c r="A2267" s="562" t="s">
        <v>5713</v>
      </c>
      <c r="B2267" s="563" t="s">
        <v>5714</v>
      </c>
      <c r="C2267" s="564" t="s">
        <v>3378</v>
      </c>
      <c r="D2267" s="565">
        <v>43315</v>
      </c>
      <c r="E2267" s="565">
        <v>43282</v>
      </c>
      <c r="F2267" s="566">
        <v>996600</v>
      </c>
      <c r="G2267" s="564" t="s">
        <v>1424</v>
      </c>
      <c r="H2267" s="564" t="s">
        <v>1424</v>
      </c>
      <c r="I2267" s="564" t="s">
        <v>45</v>
      </c>
      <c r="J2267" s="564" t="s">
        <v>1069</v>
      </c>
      <c r="K2267" s="564" t="s">
        <v>1090</v>
      </c>
      <c r="L2267" s="564" t="s">
        <v>1071</v>
      </c>
      <c r="M2267" s="564" t="s">
        <v>1183</v>
      </c>
      <c r="N2267" s="564" t="s">
        <v>45</v>
      </c>
      <c r="O2267" s="564" t="s">
        <v>1472</v>
      </c>
      <c r="P2267" s="23"/>
      <c r="Q2267" s="23"/>
      <c r="R2267" s="23"/>
      <c r="S2267" s="23"/>
      <c r="T2267" s="23"/>
      <c r="U2267" s="23"/>
      <c r="V2267" s="23"/>
      <c r="W2267" s="23"/>
      <c r="X2267" s="23"/>
      <c r="Y2267" s="23"/>
      <c r="Z2267" s="23"/>
    </row>
    <row r="2268" spans="1:26" ht="13">
      <c r="A2268" s="562" t="s">
        <v>5715</v>
      </c>
      <c r="B2268" s="563" t="s">
        <v>5716</v>
      </c>
      <c r="C2268" s="564" t="s">
        <v>2387</v>
      </c>
      <c r="D2268" s="565">
        <v>43313</v>
      </c>
      <c r="E2268" s="565">
        <v>43404</v>
      </c>
      <c r="F2268" s="566">
        <v>542000</v>
      </c>
      <c r="G2268" s="564" t="s">
        <v>1400</v>
      </c>
      <c r="H2268" s="564" t="s">
        <v>1400</v>
      </c>
      <c r="I2268" s="564" t="s">
        <v>4816</v>
      </c>
      <c r="J2268" s="564" t="s">
        <v>1069</v>
      </c>
      <c r="K2268" s="564" t="s">
        <v>1070</v>
      </c>
      <c r="L2268" s="564" t="s">
        <v>2098</v>
      </c>
      <c r="M2268" s="564" t="s">
        <v>2098</v>
      </c>
      <c r="N2268" s="564" t="s">
        <v>1082</v>
      </c>
      <c r="O2268" s="564" t="s">
        <v>2099</v>
      </c>
      <c r="P2268" s="23"/>
      <c r="Q2268" s="23"/>
      <c r="R2268" s="23"/>
      <c r="S2268" s="23"/>
      <c r="T2268" s="23"/>
      <c r="U2268" s="23"/>
      <c r="V2268" s="23"/>
      <c r="W2268" s="23"/>
      <c r="X2268" s="23"/>
      <c r="Y2268" s="23"/>
      <c r="Z2268" s="23"/>
    </row>
    <row r="2269" spans="1:26" ht="13">
      <c r="A2269" s="562" t="s">
        <v>5717</v>
      </c>
      <c r="B2269" s="563" t="s">
        <v>5718</v>
      </c>
      <c r="C2269" s="564" t="s">
        <v>1551</v>
      </c>
      <c r="D2269" s="565">
        <v>43314</v>
      </c>
      <c r="E2269" s="565">
        <v>43343</v>
      </c>
      <c r="F2269" s="566">
        <v>1180000</v>
      </c>
      <c r="G2269" s="564" t="s">
        <v>1424</v>
      </c>
      <c r="H2269" s="564" t="s">
        <v>1424</v>
      </c>
      <c r="I2269" s="564" t="s">
        <v>45</v>
      </c>
      <c r="J2269" s="564" t="s">
        <v>1069</v>
      </c>
      <c r="K2269" s="564" t="s">
        <v>1090</v>
      </c>
      <c r="L2269" s="564" t="s">
        <v>2098</v>
      </c>
      <c r="M2269" s="564" t="s">
        <v>2098</v>
      </c>
      <c r="N2269" s="564" t="s">
        <v>45</v>
      </c>
      <c r="O2269" s="564" t="s">
        <v>2099</v>
      </c>
      <c r="P2269" s="23"/>
      <c r="Q2269" s="23"/>
      <c r="R2269" s="23"/>
      <c r="S2269" s="23"/>
      <c r="T2269" s="23"/>
      <c r="U2269" s="23"/>
      <c r="V2269" s="23"/>
      <c r="W2269" s="23"/>
      <c r="X2269" s="23"/>
      <c r="Y2269" s="23"/>
      <c r="Z2269" s="23"/>
    </row>
    <row r="2270" spans="1:26" ht="13">
      <c r="A2270" s="562" t="s">
        <v>5719</v>
      </c>
      <c r="B2270" s="563" t="s">
        <v>5718</v>
      </c>
      <c r="C2270" s="564" t="s">
        <v>1551</v>
      </c>
      <c r="D2270" s="565">
        <v>43314</v>
      </c>
      <c r="E2270" s="565">
        <v>43343</v>
      </c>
      <c r="F2270" s="566">
        <v>550000</v>
      </c>
      <c r="G2270" s="564" t="s">
        <v>1424</v>
      </c>
      <c r="H2270" s="564" t="s">
        <v>1424</v>
      </c>
      <c r="I2270" s="564" t="s">
        <v>45</v>
      </c>
      <c r="J2270" s="564" t="s">
        <v>1069</v>
      </c>
      <c r="K2270" s="564" t="s">
        <v>1090</v>
      </c>
      <c r="L2270" s="564" t="s">
        <v>2098</v>
      </c>
      <c r="M2270" s="564" t="s">
        <v>2098</v>
      </c>
      <c r="N2270" s="564" t="s">
        <v>45</v>
      </c>
      <c r="O2270" s="564" t="s">
        <v>2099</v>
      </c>
      <c r="P2270" s="23"/>
      <c r="Q2270" s="23"/>
      <c r="R2270" s="23"/>
      <c r="S2270" s="23"/>
      <c r="T2270" s="23"/>
      <c r="U2270" s="23"/>
      <c r="V2270" s="23"/>
      <c r="W2270" s="23"/>
      <c r="X2270" s="23"/>
      <c r="Y2270" s="23"/>
      <c r="Z2270" s="23"/>
    </row>
    <row r="2271" spans="1:26" ht="13">
      <c r="A2271" s="562" t="s">
        <v>5720</v>
      </c>
      <c r="B2271" s="563" t="s">
        <v>5721</v>
      </c>
      <c r="C2271" s="564" t="s">
        <v>1652</v>
      </c>
      <c r="D2271" s="565">
        <v>43311</v>
      </c>
      <c r="E2271" s="565">
        <v>43332</v>
      </c>
      <c r="F2271" s="566">
        <v>908000</v>
      </c>
      <c r="G2271" s="564" t="s">
        <v>1424</v>
      </c>
      <c r="H2271" s="564" t="s">
        <v>1424</v>
      </c>
      <c r="I2271" s="564" t="s">
        <v>1637</v>
      </c>
      <c r="J2271" s="564" t="s">
        <v>1069</v>
      </c>
      <c r="K2271" s="564" t="s">
        <v>1120</v>
      </c>
      <c r="L2271" s="564" t="s">
        <v>2098</v>
      </c>
      <c r="M2271" s="564" t="s">
        <v>2098</v>
      </c>
      <c r="N2271" s="564" t="s">
        <v>1073</v>
      </c>
      <c r="O2271" s="564" t="s">
        <v>2099</v>
      </c>
      <c r="P2271" s="23"/>
      <c r="Q2271" s="23"/>
      <c r="R2271" s="23"/>
      <c r="S2271" s="23"/>
      <c r="T2271" s="23"/>
      <c r="U2271" s="23"/>
      <c r="V2271" s="23"/>
      <c r="W2271" s="23"/>
      <c r="X2271" s="23"/>
      <c r="Y2271" s="23"/>
      <c r="Z2271" s="23"/>
    </row>
    <row r="2272" spans="1:26" ht="13">
      <c r="A2272" s="562" t="s">
        <v>5722</v>
      </c>
      <c r="B2272" s="563" t="s">
        <v>5723</v>
      </c>
      <c r="C2272" s="564" t="s">
        <v>1551</v>
      </c>
      <c r="D2272" s="565">
        <v>43311</v>
      </c>
      <c r="E2272" s="565">
        <v>43339</v>
      </c>
      <c r="F2272" s="566">
        <v>1129000</v>
      </c>
      <c r="G2272" s="564" t="s">
        <v>1400</v>
      </c>
      <c r="H2272" s="564" t="s">
        <v>1400</v>
      </c>
      <c r="I2272" s="564" t="s">
        <v>170</v>
      </c>
      <c r="J2272" s="564" t="s">
        <v>1069</v>
      </c>
      <c r="K2272" s="564" t="s">
        <v>1105</v>
      </c>
      <c r="L2272" s="564" t="s">
        <v>2098</v>
      </c>
      <c r="M2272" s="564" t="s">
        <v>2098</v>
      </c>
      <c r="N2272" s="564" t="s">
        <v>170</v>
      </c>
      <c r="O2272" s="564" t="s">
        <v>2099</v>
      </c>
      <c r="P2272" s="23"/>
      <c r="Q2272" s="23"/>
      <c r="R2272" s="23"/>
      <c r="S2272" s="23"/>
      <c r="T2272" s="23"/>
      <c r="U2272" s="23"/>
      <c r="V2272" s="23"/>
      <c r="W2272" s="23"/>
      <c r="X2272" s="23"/>
      <c r="Y2272" s="23"/>
      <c r="Z2272" s="23"/>
    </row>
    <row r="2273" spans="1:26" ht="13">
      <c r="A2273" s="562" t="s">
        <v>5724</v>
      </c>
      <c r="B2273" s="563" t="s">
        <v>5725</v>
      </c>
      <c r="C2273" s="564" t="s">
        <v>2387</v>
      </c>
      <c r="D2273" s="565">
        <v>43307</v>
      </c>
      <c r="E2273" s="565">
        <v>43371</v>
      </c>
      <c r="F2273" s="566">
        <v>1729000</v>
      </c>
      <c r="G2273" s="564" t="s">
        <v>1400</v>
      </c>
      <c r="H2273" s="564" t="s">
        <v>1400</v>
      </c>
      <c r="I2273" s="564" t="s">
        <v>4816</v>
      </c>
      <c r="J2273" s="564" t="s">
        <v>1069</v>
      </c>
      <c r="K2273" s="564" t="s">
        <v>1070</v>
      </c>
      <c r="L2273" s="564" t="s">
        <v>2098</v>
      </c>
      <c r="M2273" s="564" t="s">
        <v>2098</v>
      </c>
      <c r="N2273" s="564" t="s">
        <v>1082</v>
      </c>
      <c r="O2273" s="564" t="s">
        <v>2099</v>
      </c>
      <c r="P2273" s="23"/>
      <c r="Q2273" s="23"/>
      <c r="R2273" s="23"/>
      <c r="S2273" s="23"/>
      <c r="T2273" s="23"/>
      <c r="U2273" s="23"/>
      <c r="V2273" s="23"/>
      <c r="W2273" s="23"/>
      <c r="X2273" s="23"/>
      <c r="Y2273" s="23"/>
      <c r="Z2273" s="23"/>
    </row>
    <row r="2274" spans="1:26" ht="13">
      <c r="A2274" s="562" t="s">
        <v>5726</v>
      </c>
      <c r="B2274" s="563" t="s">
        <v>5727</v>
      </c>
      <c r="C2274" s="564" t="s">
        <v>1548</v>
      </c>
      <c r="D2274" s="565">
        <v>43306</v>
      </c>
      <c r="E2274" s="565">
        <v>43336</v>
      </c>
      <c r="F2274" s="566">
        <v>51000</v>
      </c>
      <c r="G2274" s="564" t="s">
        <v>1424</v>
      </c>
      <c r="H2274" s="564" t="s">
        <v>1424</v>
      </c>
      <c r="I2274" s="564" t="s">
        <v>125</v>
      </c>
      <c r="J2274" s="564" t="s">
        <v>1069</v>
      </c>
      <c r="K2274" s="564" t="s">
        <v>1070</v>
      </c>
      <c r="L2274" s="564" t="s">
        <v>2098</v>
      </c>
      <c r="M2274" s="564" t="s">
        <v>2098</v>
      </c>
      <c r="N2274" s="564" t="s">
        <v>1073</v>
      </c>
      <c r="O2274" s="564" t="s">
        <v>2099</v>
      </c>
      <c r="P2274" s="23"/>
      <c r="Q2274" s="23"/>
      <c r="R2274" s="23"/>
      <c r="S2274" s="23"/>
      <c r="T2274" s="23"/>
      <c r="U2274" s="23"/>
      <c r="V2274" s="23"/>
      <c r="W2274" s="23"/>
      <c r="X2274" s="23"/>
      <c r="Y2274" s="23"/>
      <c r="Z2274" s="23"/>
    </row>
    <row r="2275" spans="1:26" ht="13">
      <c r="A2275" s="562" t="s">
        <v>5728</v>
      </c>
      <c r="B2275" s="563" t="s">
        <v>5729</v>
      </c>
      <c r="C2275" s="564" t="s">
        <v>1551</v>
      </c>
      <c r="D2275" s="565">
        <v>43306</v>
      </c>
      <c r="E2275" s="565">
        <v>43343</v>
      </c>
      <c r="F2275" s="566">
        <v>29988000</v>
      </c>
      <c r="G2275" s="564" t="s">
        <v>5465</v>
      </c>
      <c r="H2275" s="564" t="s">
        <v>5465</v>
      </c>
      <c r="I2275" s="564" t="s">
        <v>45</v>
      </c>
      <c r="J2275" s="564" t="s">
        <v>1069</v>
      </c>
      <c r="K2275" s="564" t="s">
        <v>1090</v>
      </c>
      <c r="L2275" s="564" t="s">
        <v>2098</v>
      </c>
      <c r="M2275" s="564" t="s">
        <v>2098</v>
      </c>
      <c r="N2275" s="564" t="s">
        <v>45</v>
      </c>
      <c r="O2275" s="564" t="s">
        <v>2099</v>
      </c>
      <c r="P2275" s="23"/>
      <c r="Q2275" s="23"/>
      <c r="R2275" s="23"/>
      <c r="S2275" s="23"/>
      <c r="T2275" s="23"/>
      <c r="U2275" s="23"/>
      <c r="V2275" s="23"/>
      <c r="W2275" s="23"/>
      <c r="X2275" s="23"/>
      <c r="Y2275" s="23"/>
      <c r="Z2275" s="23"/>
    </row>
    <row r="2276" spans="1:26" ht="13">
      <c r="A2276" s="562" t="s">
        <v>5730</v>
      </c>
      <c r="B2276" s="563" t="s">
        <v>5731</v>
      </c>
      <c r="C2276" s="564" t="s">
        <v>1548</v>
      </c>
      <c r="D2276" s="565">
        <v>43305</v>
      </c>
      <c r="E2276" s="565">
        <v>43311</v>
      </c>
      <c r="F2276" s="566">
        <v>3000000</v>
      </c>
      <c r="G2276" s="564" t="s">
        <v>1529</v>
      </c>
      <c r="H2276" s="564" t="s">
        <v>1529</v>
      </c>
      <c r="I2276" s="564" t="s">
        <v>1771</v>
      </c>
      <c r="J2276" s="564" t="s">
        <v>1069</v>
      </c>
      <c r="K2276" s="564" t="s">
        <v>1070</v>
      </c>
      <c r="L2276" s="564" t="s">
        <v>2098</v>
      </c>
      <c r="M2276" s="564" t="s">
        <v>2098</v>
      </c>
      <c r="N2276" s="564" t="s">
        <v>1082</v>
      </c>
      <c r="O2276" s="564" t="s">
        <v>2099</v>
      </c>
      <c r="P2276" s="23"/>
      <c r="Q2276" s="23"/>
      <c r="R2276" s="23"/>
      <c r="S2276" s="23"/>
      <c r="T2276" s="23"/>
      <c r="U2276" s="23"/>
      <c r="V2276" s="23"/>
      <c r="W2276" s="23"/>
      <c r="X2276" s="23"/>
      <c r="Y2276" s="23"/>
      <c r="Z2276" s="23"/>
    </row>
    <row r="2277" spans="1:26" ht="13">
      <c r="A2277" s="562" t="s">
        <v>5732</v>
      </c>
      <c r="B2277" s="563" t="s">
        <v>5733</v>
      </c>
      <c r="C2277" s="564" t="s">
        <v>2387</v>
      </c>
      <c r="D2277" s="565">
        <v>43305</v>
      </c>
      <c r="E2277" s="565">
        <v>43371</v>
      </c>
      <c r="F2277" s="566">
        <v>1562000</v>
      </c>
      <c r="G2277" s="564" t="s">
        <v>1400</v>
      </c>
      <c r="H2277" s="564" t="s">
        <v>1400</v>
      </c>
      <c r="I2277" s="564" t="s">
        <v>4816</v>
      </c>
      <c r="J2277" s="564" t="s">
        <v>1069</v>
      </c>
      <c r="K2277" s="564" t="s">
        <v>1070</v>
      </c>
      <c r="L2277" s="564" t="s">
        <v>2098</v>
      </c>
      <c r="M2277" s="564" t="s">
        <v>2098</v>
      </c>
      <c r="N2277" s="564" t="s">
        <v>1082</v>
      </c>
      <c r="O2277" s="564" t="s">
        <v>2099</v>
      </c>
      <c r="P2277" s="23"/>
      <c r="Q2277" s="23"/>
      <c r="R2277" s="23"/>
      <c r="S2277" s="23"/>
      <c r="T2277" s="23"/>
      <c r="U2277" s="23"/>
      <c r="V2277" s="23"/>
      <c r="W2277" s="23"/>
      <c r="X2277" s="23"/>
      <c r="Y2277" s="23"/>
      <c r="Z2277" s="23"/>
    </row>
    <row r="2278" spans="1:26" ht="13">
      <c r="A2278" s="562" t="s">
        <v>5734</v>
      </c>
      <c r="B2278" s="563" t="s">
        <v>5735</v>
      </c>
      <c r="C2278" s="564" t="s">
        <v>1370</v>
      </c>
      <c r="D2278" s="565">
        <v>43300</v>
      </c>
      <c r="E2278" s="565">
        <v>43319</v>
      </c>
      <c r="F2278" s="566">
        <v>260000</v>
      </c>
      <c r="G2278" s="564" t="s">
        <v>1157</v>
      </c>
      <c r="H2278" s="564" t="s">
        <v>1157</v>
      </c>
      <c r="I2278" s="564" t="s">
        <v>802</v>
      </c>
      <c r="J2278" s="564" t="s">
        <v>1069</v>
      </c>
      <c r="K2278" s="564" t="s">
        <v>1198</v>
      </c>
      <c r="L2278" s="564" t="s">
        <v>2098</v>
      </c>
      <c r="M2278" s="564" t="s">
        <v>2098</v>
      </c>
      <c r="N2278" s="564" t="s">
        <v>132</v>
      </c>
      <c r="O2278" s="564" t="s">
        <v>2099</v>
      </c>
      <c r="P2278" s="23"/>
      <c r="Q2278" s="23"/>
      <c r="R2278" s="23"/>
      <c r="S2278" s="23"/>
      <c r="T2278" s="23"/>
      <c r="U2278" s="23"/>
      <c r="V2278" s="23"/>
      <c r="W2278" s="23"/>
      <c r="X2278" s="23"/>
      <c r="Y2278" s="23"/>
      <c r="Z2278" s="23"/>
    </row>
    <row r="2279" spans="1:26" ht="13">
      <c r="A2279" s="562" t="s">
        <v>5736</v>
      </c>
      <c r="B2279" s="563" t="s">
        <v>5737</v>
      </c>
      <c r="C2279" s="564" t="s">
        <v>3378</v>
      </c>
      <c r="D2279" s="565">
        <v>43297</v>
      </c>
      <c r="E2279" s="565">
        <v>43373</v>
      </c>
      <c r="F2279" s="566">
        <v>336919000</v>
      </c>
      <c r="G2279" s="564" t="s">
        <v>1123</v>
      </c>
      <c r="H2279" s="564" t="s">
        <v>1123</v>
      </c>
      <c r="I2279" s="564" t="s">
        <v>146</v>
      </c>
      <c r="J2279" s="564" t="s">
        <v>1069</v>
      </c>
      <c r="K2279" s="564" t="s">
        <v>1070</v>
      </c>
      <c r="L2279" s="564" t="s">
        <v>2098</v>
      </c>
      <c r="M2279" s="564" t="s">
        <v>2098</v>
      </c>
      <c r="N2279" s="564" t="s">
        <v>1073</v>
      </c>
      <c r="O2279" s="564" t="s">
        <v>2099</v>
      </c>
      <c r="P2279" s="23"/>
      <c r="Q2279" s="23"/>
      <c r="R2279" s="23"/>
      <c r="S2279" s="23"/>
      <c r="T2279" s="23"/>
      <c r="U2279" s="23"/>
      <c r="V2279" s="23"/>
      <c r="W2279" s="23"/>
      <c r="X2279" s="23"/>
      <c r="Y2279" s="23"/>
      <c r="Z2279" s="23"/>
    </row>
    <row r="2280" spans="1:26" ht="13">
      <c r="A2280" s="562" t="s">
        <v>5738</v>
      </c>
      <c r="B2280" s="563" t="s">
        <v>5739</v>
      </c>
      <c r="C2280" s="564" t="s">
        <v>1551</v>
      </c>
      <c r="D2280" s="565">
        <v>43293</v>
      </c>
      <c r="E2280" s="565">
        <v>43318</v>
      </c>
      <c r="F2280" s="566">
        <v>7782000</v>
      </c>
      <c r="G2280" s="564" t="s">
        <v>1424</v>
      </c>
      <c r="H2280" s="564" t="s">
        <v>1424</v>
      </c>
      <c r="I2280" s="564" t="s">
        <v>45</v>
      </c>
      <c r="J2280" s="564" t="s">
        <v>1069</v>
      </c>
      <c r="K2280" s="564" t="s">
        <v>1090</v>
      </c>
      <c r="L2280" s="564" t="s">
        <v>2098</v>
      </c>
      <c r="M2280" s="564" t="s">
        <v>2098</v>
      </c>
      <c r="N2280" s="564" t="s">
        <v>45</v>
      </c>
      <c r="O2280" s="564" t="s">
        <v>2099</v>
      </c>
      <c r="P2280" s="23"/>
      <c r="Q2280" s="23"/>
      <c r="R2280" s="23"/>
      <c r="S2280" s="23"/>
      <c r="T2280" s="23"/>
      <c r="U2280" s="23"/>
      <c r="V2280" s="23"/>
      <c r="W2280" s="23"/>
      <c r="X2280" s="23"/>
      <c r="Y2280" s="23"/>
      <c r="Z2280" s="23"/>
    </row>
    <row r="2281" spans="1:26" ht="13">
      <c r="A2281" s="562" t="s">
        <v>5740</v>
      </c>
      <c r="B2281" s="563" t="s">
        <v>5741</v>
      </c>
      <c r="C2281" s="564" t="s">
        <v>1551</v>
      </c>
      <c r="D2281" s="565">
        <v>43293</v>
      </c>
      <c r="E2281" s="565">
        <v>43322</v>
      </c>
      <c r="F2281" s="566">
        <v>19200000</v>
      </c>
      <c r="G2281" s="564" t="s">
        <v>1424</v>
      </c>
      <c r="H2281" s="564" t="s">
        <v>1424</v>
      </c>
      <c r="I2281" s="564" t="s">
        <v>45</v>
      </c>
      <c r="J2281" s="564" t="s">
        <v>1069</v>
      </c>
      <c r="K2281" s="564" t="s">
        <v>1090</v>
      </c>
      <c r="L2281" s="564" t="s">
        <v>2098</v>
      </c>
      <c r="M2281" s="564" t="s">
        <v>2098</v>
      </c>
      <c r="N2281" s="564" t="s">
        <v>45</v>
      </c>
      <c r="O2281" s="564" t="s">
        <v>2099</v>
      </c>
      <c r="P2281" s="23"/>
      <c r="Q2281" s="23"/>
      <c r="R2281" s="23"/>
      <c r="S2281" s="23"/>
      <c r="T2281" s="23"/>
      <c r="U2281" s="23"/>
      <c r="V2281" s="23"/>
      <c r="W2281" s="23"/>
      <c r="X2281" s="23"/>
      <c r="Y2281" s="23"/>
      <c r="Z2281" s="23"/>
    </row>
    <row r="2282" spans="1:26" ht="13">
      <c r="A2282" s="562" t="s">
        <v>5742</v>
      </c>
      <c r="B2282" s="563" t="s">
        <v>5618</v>
      </c>
      <c r="C2282" s="564" t="s">
        <v>1652</v>
      </c>
      <c r="D2282" s="565">
        <v>43291</v>
      </c>
      <c r="E2282" s="565">
        <v>43322</v>
      </c>
      <c r="F2282" s="566">
        <v>176000</v>
      </c>
      <c r="G2282" s="564" t="s">
        <v>1424</v>
      </c>
      <c r="H2282" s="564" t="s">
        <v>1424</v>
      </c>
      <c r="I2282" s="564" t="s">
        <v>1637</v>
      </c>
      <c r="J2282" s="564" t="s">
        <v>1069</v>
      </c>
      <c r="K2282" s="564" t="s">
        <v>1120</v>
      </c>
      <c r="L2282" s="564" t="s">
        <v>2098</v>
      </c>
      <c r="M2282" s="564" t="s">
        <v>2098</v>
      </c>
      <c r="N2282" s="564" t="s">
        <v>1073</v>
      </c>
      <c r="O2282" s="564" t="s">
        <v>2099</v>
      </c>
      <c r="P2282" s="23"/>
      <c r="Q2282" s="23"/>
      <c r="R2282" s="23"/>
      <c r="S2282" s="23"/>
      <c r="T2282" s="23"/>
      <c r="U2282" s="23"/>
      <c r="V2282" s="23"/>
      <c r="W2282" s="23"/>
      <c r="X2282" s="23"/>
      <c r="Y2282" s="23"/>
      <c r="Z2282" s="23"/>
    </row>
    <row r="2283" spans="1:26" ht="13">
      <c r="A2283" s="562" t="s">
        <v>5743</v>
      </c>
      <c r="B2283" s="563" t="s">
        <v>5744</v>
      </c>
      <c r="C2283" s="564" t="s">
        <v>2387</v>
      </c>
      <c r="D2283" s="565">
        <v>43287</v>
      </c>
      <c r="E2283" s="565">
        <v>43371</v>
      </c>
      <c r="F2283" s="566">
        <v>866000</v>
      </c>
      <c r="G2283" s="564" t="s">
        <v>1400</v>
      </c>
      <c r="H2283" s="564" t="s">
        <v>1400</v>
      </c>
      <c r="I2283" s="564" t="s">
        <v>4816</v>
      </c>
      <c r="J2283" s="564" t="s">
        <v>1069</v>
      </c>
      <c r="K2283" s="564" t="s">
        <v>1070</v>
      </c>
      <c r="L2283" s="564" t="s">
        <v>2098</v>
      </c>
      <c r="M2283" s="564" t="s">
        <v>2098</v>
      </c>
      <c r="N2283" s="564" t="s">
        <v>1082</v>
      </c>
      <c r="O2283" s="564" t="s">
        <v>2099</v>
      </c>
      <c r="P2283" s="23"/>
      <c r="Q2283" s="23"/>
      <c r="R2283" s="23"/>
      <c r="S2283" s="23"/>
      <c r="T2283" s="23"/>
      <c r="U2283" s="23"/>
      <c r="V2283" s="23"/>
      <c r="W2283" s="23"/>
      <c r="X2283" s="23"/>
      <c r="Y2283" s="23"/>
      <c r="Z2283" s="23"/>
    </row>
    <row r="2284" spans="1:26" ht="13">
      <c r="A2284" s="562" t="s">
        <v>5745</v>
      </c>
      <c r="B2284" s="563" t="s">
        <v>5547</v>
      </c>
      <c r="C2284" s="564" t="s">
        <v>2387</v>
      </c>
      <c r="D2284" s="565">
        <v>43287</v>
      </c>
      <c r="E2284" s="565">
        <v>43371</v>
      </c>
      <c r="F2284" s="566">
        <v>913000</v>
      </c>
      <c r="G2284" s="564" t="s">
        <v>1400</v>
      </c>
      <c r="H2284" s="564" t="s">
        <v>1400</v>
      </c>
      <c r="I2284" s="564" t="s">
        <v>4816</v>
      </c>
      <c r="J2284" s="564" t="s">
        <v>1069</v>
      </c>
      <c r="K2284" s="564" t="s">
        <v>1070</v>
      </c>
      <c r="L2284" s="564" t="s">
        <v>2098</v>
      </c>
      <c r="M2284" s="564" t="s">
        <v>2098</v>
      </c>
      <c r="N2284" s="564" t="s">
        <v>1082</v>
      </c>
      <c r="O2284" s="564" t="s">
        <v>2099</v>
      </c>
      <c r="P2284" s="23"/>
      <c r="Q2284" s="23"/>
      <c r="R2284" s="23"/>
      <c r="S2284" s="23"/>
      <c r="T2284" s="23"/>
      <c r="U2284" s="23"/>
      <c r="V2284" s="23"/>
      <c r="W2284" s="23"/>
      <c r="X2284" s="23"/>
      <c r="Y2284" s="23"/>
      <c r="Z2284" s="23"/>
    </row>
    <row r="2285" spans="1:26" ht="13">
      <c r="A2285" s="562" t="s">
        <v>5746</v>
      </c>
      <c r="B2285" s="563" t="s">
        <v>5747</v>
      </c>
      <c r="C2285" s="564" t="s">
        <v>2433</v>
      </c>
      <c r="D2285" s="565">
        <v>43286</v>
      </c>
      <c r="E2285" s="565">
        <v>43251</v>
      </c>
      <c r="F2285" s="567"/>
      <c r="G2285" s="564" t="s">
        <v>1400</v>
      </c>
      <c r="H2285" s="564" t="s">
        <v>1400</v>
      </c>
      <c r="I2285" s="564" t="s">
        <v>4816</v>
      </c>
      <c r="J2285" s="564" t="s">
        <v>1069</v>
      </c>
      <c r="K2285" s="564" t="s">
        <v>1070</v>
      </c>
      <c r="L2285" s="564" t="s">
        <v>2098</v>
      </c>
      <c r="M2285" s="564" t="s">
        <v>2098</v>
      </c>
      <c r="N2285" s="564" t="s">
        <v>1082</v>
      </c>
      <c r="O2285" s="564" t="s">
        <v>2099</v>
      </c>
      <c r="P2285" s="23"/>
      <c r="Q2285" s="23"/>
      <c r="R2285" s="23"/>
      <c r="S2285" s="23"/>
      <c r="T2285" s="23"/>
      <c r="U2285" s="23"/>
      <c r="V2285" s="23"/>
      <c r="W2285" s="23"/>
      <c r="X2285" s="23"/>
      <c r="Y2285" s="23"/>
      <c r="Z2285" s="23"/>
    </row>
    <row r="2286" spans="1:26" ht="13">
      <c r="A2286" s="562" t="s">
        <v>5748</v>
      </c>
      <c r="B2286" s="563" t="s">
        <v>5749</v>
      </c>
      <c r="C2286" s="564" t="s">
        <v>1652</v>
      </c>
      <c r="D2286" s="565">
        <v>43285</v>
      </c>
      <c r="E2286" s="565">
        <v>43315</v>
      </c>
      <c r="F2286" s="566">
        <v>12720000</v>
      </c>
      <c r="G2286" s="564" t="s">
        <v>1424</v>
      </c>
      <c r="H2286" s="564" t="s">
        <v>1424</v>
      </c>
      <c r="I2286" s="564" t="s">
        <v>1681</v>
      </c>
      <c r="J2286" s="564" t="s">
        <v>1069</v>
      </c>
      <c r="K2286" s="564" t="s">
        <v>1120</v>
      </c>
      <c r="L2286" s="564" t="s">
        <v>2098</v>
      </c>
      <c r="M2286" s="564" t="s">
        <v>2098</v>
      </c>
      <c r="N2286" s="564" t="s">
        <v>1073</v>
      </c>
      <c r="O2286" s="564" t="s">
        <v>2099</v>
      </c>
      <c r="P2286" s="23"/>
      <c r="Q2286" s="23"/>
      <c r="R2286" s="23"/>
      <c r="S2286" s="23"/>
      <c r="T2286" s="23"/>
      <c r="U2286" s="23"/>
      <c r="V2286" s="23"/>
      <c r="W2286" s="23"/>
      <c r="X2286" s="23"/>
      <c r="Y2286" s="23"/>
      <c r="Z2286" s="23"/>
    </row>
    <row r="2287" spans="1:26" ht="13">
      <c r="A2287" s="562" t="s">
        <v>5750</v>
      </c>
      <c r="B2287" s="563" t="s">
        <v>5751</v>
      </c>
      <c r="C2287" s="564" t="s">
        <v>1548</v>
      </c>
      <c r="D2287" s="565">
        <v>43285</v>
      </c>
      <c r="E2287" s="565">
        <v>43353</v>
      </c>
      <c r="F2287" s="566">
        <v>116500000</v>
      </c>
      <c r="G2287" s="564" t="s">
        <v>1187</v>
      </c>
      <c r="H2287" s="564" t="s">
        <v>1187</v>
      </c>
      <c r="I2287" s="564" t="s">
        <v>5752</v>
      </c>
      <c r="J2287" s="564" t="s">
        <v>1069</v>
      </c>
      <c r="K2287" s="564" t="s">
        <v>1802</v>
      </c>
      <c r="L2287" s="564" t="s">
        <v>2098</v>
      </c>
      <c r="M2287" s="564" t="s">
        <v>2098</v>
      </c>
      <c r="N2287" s="564" t="s">
        <v>1082</v>
      </c>
      <c r="O2287" s="564" t="s">
        <v>2099</v>
      </c>
      <c r="P2287" s="23"/>
      <c r="Q2287" s="23"/>
      <c r="R2287" s="23"/>
      <c r="S2287" s="23"/>
      <c r="T2287" s="23"/>
      <c r="U2287" s="23"/>
      <c r="V2287" s="23"/>
      <c r="W2287" s="23"/>
      <c r="X2287" s="23"/>
      <c r="Y2287" s="23"/>
      <c r="Z2287" s="23"/>
    </row>
    <row r="2288" spans="1:26" ht="13">
      <c r="A2288" s="562" t="s">
        <v>5753</v>
      </c>
      <c r="B2288" s="563" t="s">
        <v>5754</v>
      </c>
      <c r="C2288" s="564" t="s">
        <v>2387</v>
      </c>
      <c r="D2288" s="565">
        <v>43285</v>
      </c>
      <c r="E2288" s="565">
        <v>43371</v>
      </c>
      <c r="F2288" s="566">
        <v>528000</v>
      </c>
      <c r="G2288" s="564" t="s">
        <v>1400</v>
      </c>
      <c r="H2288" s="564" t="s">
        <v>1400</v>
      </c>
      <c r="I2288" s="564" t="s">
        <v>4816</v>
      </c>
      <c r="J2288" s="564" t="s">
        <v>1069</v>
      </c>
      <c r="K2288" s="564" t="s">
        <v>1070</v>
      </c>
      <c r="L2288" s="564" t="s">
        <v>2098</v>
      </c>
      <c r="M2288" s="564" t="s">
        <v>2098</v>
      </c>
      <c r="N2288" s="564" t="s">
        <v>1082</v>
      </c>
      <c r="O2288" s="564" t="s">
        <v>2099</v>
      </c>
      <c r="P2288" s="23"/>
      <c r="Q2288" s="23"/>
      <c r="R2288" s="23"/>
      <c r="S2288" s="23"/>
      <c r="T2288" s="23"/>
      <c r="U2288" s="23"/>
      <c r="V2288" s="23"/>
      <c r="W2288" s="23"/>
      <c r="X2288" s="23"/>
      <c r="Y2288" s="23"/>
      <c r="Z2288" s="23"/>
    </row>
    <row r="2289" spans="1:26" ht="13">
      <c r="A2289" s="562" t="s">
        <v>5755</v>
      </c>
      <c r="B2289" s="563" t="s">
        <v>5756</v>
      </c>
      <c r="C2289" s="564" t="s">
        <v>3378</v>
      </c>
      <c r="D2289" s="565">
        <v>43282</v>
      </c>
      <c r="E2289" s="565">
        <v>43283</v>
      </c>
      <c r="F2289" s="566">
        <v>458400</v>
      </c>
      <c r="G2289" s="564" t="s">
        <v>1424</v>
      </c>
      <c r="H2289" s="564" t="s">
        <v>1424</v>
      </c>
      <c r="I2289" s="564" t="s">
        <v>146</v>
      </c>
      <c r="J2289" s="564" t="s">
        <v>1069</v>
      </c>
      <c r="K2289" s="564" t="s">
        <v>1070</v>
      </c>
      <c r="L2289" s="564" t="s">
        <v>1071</v>
      </c>
      <c r="M2289" s="564" t="s">
        <v>1183</v>
      </c>
      <c r="N2289" s="564" t="s">
        <v>1073</v>
      </c>
      <c r="O2289" s="564" t="s">
        <v>1472</v>
      </c>
      <c r="P2289" s="23"/>
      <c r="Q2289" s="23"/>
      <c r="R2289" s="23"/>
      <c r="S2289" s="23"/>
      <c r="T2289" s="23"/>
      <c r="U2289" s="23"/>
      <c r="V2289" s="23"/>
      <c r="W2289" s="23"/>
      <c r="X2289" s="23"/>
      <c r="Y2289" s="23"/>
      <c r="Z2289" s="23"/>
    </row>
    <row r="2290" spans="1:26" ht="13">
      <c r="A2290" s="562" t="s">
        <v>5757</v>
      </c>
      <c r="B2290" s="563" t="s">
        <v>5758</v>
      </c>
      <c r="C2290" s="564" t="s">
        <v>3378</v>
      </c>
      <c r="D2290" s="565">
        <v>43252</v>
      </c>
      <c r="E2290" s="565">
        <v>43283</v>
      </c>
      <c r="F2290" s="566">
        <v>18380880</v>
      </c>
      <c r="G2290" s="564" t="s">
        <v>1424</v>
      </c>
      <c r="H2290" s="564" t="s">
        <v>1424</v>
      </c>
      <c r="I2290" s="564" t="s">
        <v>45</v>
      </c>
      <c r="J2290" s="564" t="s">
        <v>1069</v>
      </c>
      <c r="K2290" s="564" t="s">
        <v>1090</v>
      </c>
      <c r="L2290" s="564" t="s">
        <v>1071</v>
      </c>
      <c r="M2290" s="564" t="s">
        <v>1183</v>
      </c>
      <c r="N2290" s="564" t="s">
        <v>45</v>
      </c>
      <c r="O2290" s="564" t="s">
        <v>1472</v>
      </c>
      <c r="P2290" s="23"/>
      <c r="Q2290" s="23"/>
      <c r="R2290" s="23"/>
      <c r="S2290" s="23"/>
      <c r="T2290" s="23"/>
      <c r="U2290" s="23"/>
      <c r="V2290" s="23"/>
      <c r="W2290" s="23"/>
      <c r="X2290" s="23"/>
      <c r="Y2290" s="23"/>
      <c r="Z2290" s="23"/>
    </row>
    <row r="2291" spans="1:26" ht="13">
      <c r="A2291" s="562" t="s">
        <v>5759</v>
      </c>
      <c r="B2291" s="563" t="s">
        <v>5760</v>
      </c>
      <c r="C2291" s="564" t="s">
        <v>1652</v>
      </c>
      <c r="D2291" s="565">
        <v>43280</v>
      </c>
      <c r="E2291" s="565">
        <v>43308</v>
      </c>
      <c r="F2291" s="566">
        <v>660000</v>
      </c>
      <c r="G2291" s="564" t="s">
        <v>1424</v>
      </c>
      <c r="H2291" s="564" t="s">
        <v>1424</v>
      </c>
      <c r="I2291" s="564" t="s">
        <v>5761</v>
      </c>
      <c r="J2291" s="564" t="s">
        <v>1069</v>
      </c>
      <c r="K2291" s="564" t="s">
        <v>1070</v>
      </c>
      <c r="L2291" s="564" t="s">
        <v>2098</v>
      </c>
      <c r="M2291" s="564" t="s">
        <v>2098</v>
      </c>
      <c r="N2291" s="564" t="s">
        <v>1082</v>
      </c>
      <c r="O2291" s="564" t="s">
        <v>2099</v>
      </c>
      <c r="P2291" s="23"/>
      <c r="Q2291" s="23"/>
      <c r="R2291" s="23"/>
      <c r="S2291" s="23"/>
      <c r="T2291" s="23"/>
      <c r="U2291" s="23"/>
      <c r="V2291" s="23"/>
      <c r="W2291" s="23"/>
      <c r="X2291" s="23"/>
      <c r="Y2291" s="23"/>
      <c r="Z2291" s="23"/>
    </row>
    <row r="2292" spans="1:26" ht="13">
      <c r="A2292" s="562" t="s">
        <v>5762</v>
      </c>
      <c r="B2292" s="563" t="s">
        <v>5763</v>
      </c>
      <c r="C2292" s="564" t="s">
        <v>1370</v>
      </c>
      <c r="D2292" s="565">
        <v>43283</v>
      </c>
      <c r="E2292" s="565">
        <v>43294</v>
      </c>
      <c r="F2292" s="566">
        <v>8800000</v>
      </c>
      <c r="G2292" s="564" t="s">
        <v>1157</v>
      </c>
      <c r="H2292" s="564" t="s">
        <v>1157</v>
      </c>
      <c r="I2292" s="564" t="s">
        <v>802</v>
      </c>
      <c r="J2292" s="564" t="s">
        <v>1069</v>
      </c>
      <c r="K2292" s="564" t="s">
        <v>1198</v>
      </c>
      <c r="L2292" s="564" t="s">
        <v>2098</v>
      </c>
      <c r="M2292" s="564" t="s">
        <v>2098</v>
      </c>
      <c r="N2292" s="564" t="s">
        <v>132</v>
      </c>
      <c r="O2292" s="564" t="s">
        <v>2099</v>
      </c>
      <c r="P2292" s="23"/>
      <c r="Q2292" s="23"/>
      <c r="R2292" s="23"/>
      <c r="S2292" s="23"/>
      <c r="T2292" s="23"/>
      <c r="U2292" s="23"/>
      <c r="V2292" s="23"/>
      <c r="W2292" s="23"/>
      <c r="X2292" s="23"/>
      <c r="Y2292" s="23"/>
      <c r="Z2292" s="23"/>
    </row>
    <row r="2293" spans="1:26" ht="13">
      <c r="A2293" s="562" t="s">
        <v>5764</v>
      </c>
      <c r="B2293" s="563" t="s">
        <v>5765</v>
      </c>
      <c r="C2293" s="564" t="s">
        <v>1652</v>
      </c>
      <c r="D2293" s="565">
        <v>43280</v>
      </c>
      <c r="E2293" s="565">
        <v>43312</v>
      </c>
      <c r="F2293" s="566">
        <v>7982000</v>
      </c>
      <c r="G2293" s="564" t="s">
        <v>1424</v>
      </c>
      <c r="H2293" s="564" t="s">
        <v>1424</v>
      </c>
      <c r="I2293" s="564" t="s">
        <v>70</v>
      </c>
      <c r="J2293" s="564" t="s">
        <v>1069</v>
      </c>
      <c r="K2293" s="564" t="s">
        <v>1120</v>
      </c>
      <c r="L2293" s="564" t="s">
        <v>2098</v>
      </c>
      <c r="M2293" s="564" t="s">
        <v>2098</v>
      </c>
      <c r="N2293" s="564" t="s">
        <v>70</v>
      </c>
      <c r="O2293" s="564" t="s">
        <v>2099</v>
      </c>
      <c r="P2293" s="23"/>
      <c r="Q2293" s="23"/>
      <c r="R2293" s="23"/>
      <c r="S2293" s="23"/>
      <c r="T2293" s="23"/>
      <c r="U2293" s="23"/>
      <c r="V2293" s="23"/>
      <c r="W2293" s="23"/>
      <c r="X2293" s="23"/>
      <c r="Y2293" s="23"/>
      <c r="Z2293" s="23"/>
    </row>
    <row r="2294" spans="1:26" ht="13">
      <c r="A2294" s="562" t="s">
        <v>5766</v>
      </c>
      <c r="B2294" s="563" t="s">
        <v>5767</v>
      </c>
      <c r="C2294" s="564" t="s">
        <v>1370</v>
      </c>
      <c r="D2294" s="565">
        <v>43280</v>
      </c>
      <c r="E2294" s="565">
        <v>43294</v>
      </c>
      <c r="F2294" s="566">
        <v>17029910</v>
      </c>
      <c r="G2294" s="564" t="s">
        <v>1157</v>
      </c>
      <c r="H2294" s="564" t="s">
        <v>1157</v>
      </c>
      <c r="I2294" s="564" t="s">
        <v>802</v>
      </c>
      <c r="J2294" s="564" t="s">
        <v>1069</v>
      </c>
      <c r="K2294" s="564" t="s">
        <v>1198</v>
      </c>
      <c r="L2294" s="564" t="s">
        <v>2098</v>
      </c>
      <c r="M2294" s="564" t="s">
        <v>2098</v>
      </c>
      <c r="N2294" s="564" t="s">
        <v>132</v>
      </c>
      <c r="O2294" s="564" t="s">
        <v>2099</v>
      </c>
      <c r="P2294" s="23"/>
      <c r="Q2294" s="23"/>
      <c r="R2294" s="23"/>
      <c r="S2294" s="23"/>
      <c r="T2294" s="23"/>
      <c r="U2294" s="23"/>
      <c r="V2294" s="23"/>
      <c r="W2294" s="23"/>
      <c r="X2294" s="23"/>
      <c r="Y2294" s="23"/>
      <c r="Z2294" s="23"/>
    </row>
    <row r="2295" spans="1:26" ht="13">
      <c r="A2295" s="562" t="s">
        <v>5768</v>
      </c>
      <c r="B2295" s="563" t="s">
        <v>5769</v>
      </c>
      <c r="C2295" s="564" t="s">
        <v>1551</v>
      </c>
      <c r="D2295" s="565">
        <v>43280</v>
      </c>
      <c r="E2295" s="565">
        <v>43301</v>
      </c>
      <c r="F2295" s="566">
        <v>1404000</v>
      </c>
      <c r="G2295" s="564" t="s">
        <v>1424</v>
      </c>
      <c r="H2295" s="564" t="s">
        <v>1424</v>
      </c>
      <c r="I2295" s="564" t="s">
        <v>1230</v>
      </c>
      <c r="J2295" s="564" t="s">
        <v>1069</v>
      </c>
      <c r="K2295" s="564" t="s">
        <v>1090</v>
      </c>
      <c r="L2295" s="564" t="s">
        <v>2098</v>
      </c>
      <c r="M2295" s="564" t="s">
        <v>2098</v>
      </c>
      <c r="N2295" s="564" t="s">
        <v>1073</v>
      </c>
      <c r="O2295" s="564" t="s">
        <v>2099</v>
      </c>
      <c r="P2295" s="23"/>
      <c r="Q2295" s="23"/>
      <c r="R2295" s="23"/>
      <c r="S2295" s="23"/>
      <c r="T2295" s="23"/>
      <c r="U2295" s="23"/>
      <c r="V2295" s="23"/>
      <c r="W2295" s="23"/>
      <c r="X2295" s="23"/>
      <c r="Y2295" s="23"/>
      <c r="Z2295" s="23"/>
    </row>
    <row r="2296" spans="1:26" ht="13">
      <c r="A2296" s="562" t="s">
        <v>5770</v>
      </c>
      <c r="B2296" s="563" t="s">
        <v>5626</v>
      </c>
      <c r="C2296" s="564" t="s">
        <v>2387</v>
      </c>
      <c r="D2296" s="565">
        <v>43279</v>
      </c>
      <c r="E2296" s="565">
        <v>43343</v>
      </c>
      <c r="F2296" s="566">
        <v>3192000</v>
      </c>
      <c r="G2296" s="564" t="s">
        <v>1400</v>
      </c>
      <c r="H2296" s="564" t="s">
        <v>1400</v>
      </c>
      <c r="I2296" s="564" t="s">
        <v>4816</v>
      </c>
      <c r="J2296" s="564" t="s">
        <v>1069</v>
      </c>
      <c r="K2296" s="564" t="s">
        <v>1070</v>
      </c>
      <c r="L2296" s="564" t="s">
        <v>2098</v>
      </c>
      <c r="M2296" s="564" t="s">
        <v>2098</v>
      </c>
      <c r="N2296" s="564" t="s">
        <v>1082</v>
      </c>
      <c r="O2296" s="564" t="s">
        <v>2099</v>
      </c>
      <c r="P2296" s="23"/>
      <c r="Q2296" s="23"/>
      <c r="R2296" s="23"/>
      <c r="S2296" s="23"/>
      <c r="T2296" s="23"/>
      <c r="U2296" s="23"/>
      <c r="V2296" s="23"/>
      <c r="W2296" s="23"/>
      <c r="X2296" s="23"/>
      <c r="Y2296" s="23"/>
      <c r="Z2296" s="23"/>
    </row>
    <row r="2297" spans="1:26" ht="13">
      <c r="A2297" s="562" t="s">
        <v>5771</v>
      </c>
      <c r="B2297" s="563" t="s">
        <v>5772</v>
      </c>
      <c r="C2297" s="564" t="s">
        <v>1551</v>
      </c>
      <c r="D2297" s="565">
        <v>43278</v>
      </c>
      <c r="E2297" s="565">
        <v>43312</v>
      </c>
      <c r="F2297" s="566">
        <v>40400000</v>
      </c>
      <c r="G2297" s="564" t="s">
        <v>5465</v>
      </c>
      <c r="H2297" s="564" t="s">
        <v>5465</v>
      </c>
      <c r="I2297" s="564" t="s">
        <v>45</v>
      </c>
      <c r="J2297" s="564" t="s">
        <v>1069</v>
      </c>
      <c r="K2297" s="564" t="s">
        <v>1090</v>
      </c>
      <c r="L2297" s="564" t="s">
        <v>2098</v>
      </c>
      <c r="M2297" s="564" t="s">
        <v>2098</v>
      </c>
      <c r="N2297" s="564" t="s">
        <v>45</v>
      </c>
      <c r="O2297" s="564" t="s">
        <v>2099</v>
      </c>
      <c r="P2297" s="23"/>
      <c r="Q2297" s="23"/>
      <c r="R2297" s="23"/>
      <c r="S2297" s="23"/>
      <c r="T2297" s="23"/>
      <c r="U2297" s="23"/>
      <c r="V2297" s="23"/>
      <c r="W2297" s="23"/>
      <c r="X2297" s="23"/>
      <c r="Y2297" s="23"/>
      <c r="Z2297" s="23"/>
    </row>
    <row r="2298" spans="1:26" ht="13">
      <c r="A2298" s="562" t="s">
        <v>5773</v>
      </c>
      <c r="B2298" s="563" t="s">
        <v>5774</v>
      </c>
      <c r="C2298" s="564" t="s">
        <v>1551</v>
      </c>
      <c r="D2298" s="565">
        <v>43278</v>
      </c>
      <c r="E2298" s="565">
        <v>43312</v>
      </c>
      <c r="F2298" s="566">
        <v>1760000</v>
      </c>
      <c r="G2298" s="564" t="s">
        <v>5465</v>
      </c>
      <c r="H2298" s="564" t="s">
        <v>5465</v>
      </c>
      <c r="I2298" s="564" t="s">
        <v>45</v>
      </c>
      <c r="J2298" s="564" t="s">
        <v>1069</v>
      </c>
      <c r="K2298" s="564" t="s">
        <v>1090</v>
      </c>
      <c r="L2298" s="564" t="s">
        <v>2098</v>
      </c>
      <c r="M2298" s="564" t="s">
        <v>2098</v>
      </c>
      <c r="N2298" s="564" t="s">
        <v>45</v>
      </c>
      <c r="O2298" s="564" t="s">
        <v>2099</v>
      </c>
      <c r="P2298" s="23"/>
      <c r="Q2298" s="23"/>
      <c r="R2298" s="23"/>
      <c r="S2298" s="23"/>
      <c r="T2298" s="23"/>
      <c r="U2298" s="23"/>
      <c r="V2298" s="23"/>
      <c r="W2298" s="23"/>
      <c r="X2298" s="23"/>
      <c r="Y2298" s="23"/>
      <c r="Z2298" s="23"/>
    </row>
    <row r="2299" spans="1:26" ht="13">
      <c r="A2299" s="562" t="s">
        <v>5775</v>
      </c>
      <c r="B2299" s="563" t="s">
        <v>5776</v>
      </c>
      <c r="C2299" s="564" t="s">
        <v>1551</v>
      </c>
      <c r="D2299" s="565">
        <v>43278</v>
      </c>
      <c r="E2299" s="565">
        <v>43312</v>
      </c>
      <c r="F2299" s="566">
        <v>119200000</v>
      </c>
      <c r="G2299" s="564" t="s">
        <v>5465</v>
      </c>
      <c r="H2299" s="564" t="s">
        <v>5465</v>
      </c>
      <c r="I2299" s="564" t="s">
        <v>45</v>
      </c>
      <c r="J2299" s="564" t="s">
        <v>1069</v>
      </c>
      <c r="K2299" s="564" t="s">
        <v>1090</v>
      </c>
      <c r="L2299" s="564" t="s">
        <v>2098</v>
      </c>
      <c r="M2299" s="564" t="s">
        <v>2098</v>
      </c>
      <c r="N2299" s="564" t="s">
        <v>45</v>
      </c>
      <c r="O2299" s="564" t="s">
        <v>2099</v>
      </c>
      <c r="P2299" s="23"/>
      <c r="Q2299" s="23"/>
      <c r="R2299" s="23"/>
      <c r="S2299" s="23"/>
      <c r="T2299" s="23"/>
      <c r="U2299" s="23"/>
      <c r="V2299" s="23"/>
      <c r="W2299" s="23"/>
      <c r="X2299" s="23"/>
      <c r="Y2299" s="23"/>
      <c r="Z2299" s="23"/>
    </row>
    <row r="2300" spans="1:26" ht="13">
      <c r="A2300" s="562" t="s">
        <v>5777</v>
      </c>
      <c r="B2300" s="563" t="s">
        <v>5778</v>
      </c>
      <c r="C2300" s="564" t="s">
        <v>1551</v>
      </c>
      <c r="D2300" s="565">
        <v>43279</v>
      </c>
      <c r="E2300" s="565">
        <v>43312</v>
      </c>
      <c r="F2300" s="566">
        <v>6236000</v>
      </c>
      <c r="G2300" s="564" t="s">
        <v>5465</v>
      </c>
      <c r="H2300" s="564" t="s">
        <v>5465</v>
      </c>
      <c r="I2300" s="564" t="s">
        <v>45</v>
      </c>
      <c r="J2300" s="564" t="s">
        <v>1069</v>
      </c>
      <c r="K2300" s="564" t="s">
        <v>1090</v>
      </c>
      <c r="L2300" s="564" t="s">
        <v>2098</v>
      </c>
      <c r="M2300" s="564" t="s">
        <v>2098</v>
      </c>
      <c r="N2300" s="564" t="s">
        <v>45</v>
      </c>
      <c r="O2300" s="564" t="s">
        <v>2099</v>
      </c>
      <c r="P2300" s="23"/>
      <c r="Q2300" s="23"/>
      <c r="R2300" s="23"/>
      <c r="S2300" s="23"/>
      <c r="T2300" s="23"/>
      <c r="U2300" s="23"/>
      <c r="V2300" s="23"/>
      <c r="W2300" s="23"/>
      <c r="X2300" s="23"/>
      <c r="Y2300" s="23"/>
      <c r="Z2300" s="23"/>
    </row>
    <row r="2301" spans="1:26" ht="13">
      <c r="A2301" s="562" t="s">
        <v>5779</v>
      </c>
      <c r="B2301" s="563" t="s">
        <v>5780</v>
      </c>
      <c r="C2301" s="564" t="s">
        <v>1551</v>
      </c>
      <c r="D2301" s="565">
        <v>43278</v>
      </c>
      <c r="E2301" s="565">
        <v>43312</v>
      </c>
      <c r="F2301" s="566">
        <v>59275000</v>
      </c>
      <c r="G2301" s="564" t="s">
        <v>5465</v>
      </c>
      <c r="H2301" s="564" t="s">
        <v>5465</v>
      </c>
      <c r="I2301" s="564" t="s">
        <v>45</v>
      </c>
      <c r="J2301" s="564" t="s">
        <v>1069</v>
      </c>
      <c r="K2301" s="564" t="s">
        <v>1090</v>
      </c>
      <c r="L2301" s="564" t="s">
        <v>2098</v>
      </c>
      <c r="M2301" s="564" t="s">
        <v>2098</v>
      </c>
      <c r="N2301" s="564" t="s">
        <v>45</v>
      </c>
      <c r="O2301" s="564" t="s">
        <v>2099</v>
      </c>
      <c r="P2301" s="23"/>
      <c r="Q2301" s="23"/>
      <c r="R2301" s="23"/>
      <c r="S2301" s="23"/>
      <c r="T2301" s="23"/>
      <c r="U2301" s="23"/>
      <c r="V2301" s="23"/>
      <c r="W2301" s="23"/>
      <c r="X2301" s="23"/>
      <c r="Y2301" s="23"/>
      <c r="Z2301" s="23"/>
    </row>
    <row r="2302" spans="1:26" ht="13">
      <c r="A2302" s="562" t="s">
        <v>5781</v>
      </c>
      <c r="B2302" s="563" t="s">
        <v>5782</v>
      </c>
      <c r="C2302" s="564" t="s">
        <v>2387</v>
      </c>
      <c r="D2302" s="565">
        <v>43278</v>
      </c>
      <c r="E2302" s="565">
        <v>43343</v>
      </c>
      <c r="F2302" s="566">
        <v>1380000</v>
      </c>
      <c r="G2302" s="564" t="s">
        <v>1400</v>
      </c>
      <c r="H2302" s="564" t="s">
        <v>1400</v>
      </c>
      <c r="I2302" s="564" t="s">
        <v>4816</v>
      </c>
      <c r="J2302" s="564" t="s">
        <v>1069</v>
      </c>
      <c r="K2302" s="564" t="s">
        <v>1070</v>
      </c>
      <c r="L2302" s="564" t="s">
        <v>2098</v>
      </c>
      <c r="M2302" s="564" t="s">
        <v>2098</v>
      </c>
      <c r="N2302" s="564" t="s">
        <v>1082</v>
      </c>
      <c r="O2302" s="564" t="s">
        <v>2099</v>
      </c>
      <c r="P2302" s="23"/>
      <c r="Q2302" s="23"/>
      <c r="R2302" s="23"/>
      <c r="S2302" s="23"/>
      <c r="T2302" s="23"/>
      <c r="U2302" s="23"/>
      <c r="V2302" s="23"/>
      <c r="W2302" s="23"/>
      <c r="X2302" s="23"/>
      <c r="Y2302" s="23"/>
      <c r="Z2302" s="23"/>
    </row>
    <row r="2303" spans="1:26" ht="13">
      <c r="A2303" s="562" t="s">
        <v>5783</v>
      </c>
      <c r="B2303" s="563" t="s">
        <v>5784</v>
      </c>
      <c r="C2303" s="564" t="s">
        <v>2387</v>
      </c>
      <c r="D2303" s="565">
        <v>43278</v>
      </c>
      <c r="E2303" s="565">
        <v>43343</v>
      </c>
      <c r="F2303" s="566">
        <v>1729000</v>
      </c>
      <c r="G2303" s="564" t="s">
        <v>1400</v>
      </c>
      <c r="H2303" s="564" t="s">
        <v>1400</v>
      </c>
      <c r="I2303" s="564" t="s">
        <v>4816</v>
      </c>
      <c r="J2303" s="564" t="s">
        <v>1069</v>
      </c>
      <c r="K2303" s="564" t="s">
        <v>1070</v>
      </c>
      <c r="L2303" s="564" t="s">
        <v>2098</v>
      </c>
      <c r="M2303" s="564" t="s">
        <v>2098</v>
      </c>
      <c r="N2303" s="564" t="s">
        <v>1082</v>
      </c>
      <c r="O2303" s="564" t="s">
        <v>2099</v>
      </c>
      <c r="P2303" s="23"/>
      <c r="Q2303" s="23"/>
      <c r="R2303" s="23"/>
      <c r="S2303" s="23"/>
      <c r="T2303" s="23"/>
      <c r="U2303" s="23"/>
      <c r="V2303" s="23"/>
      <c r="W2303" s="23"/>
      <c r="X2303" s="23"/>
      <c r="Y2303" s="23"/>
      <c r="Z2303" s="23"/>
    </row>
    <row r="2304" spans="1:26" ht="13">
      <c r="A2304" s="562" t="s">
        <v>5785</v>
      </c>
      <c r="B2304" s="563" t="s">
        <v>5786</v>
      </c>
      <c r="C2304" s="564" t="s">
        <v>2387</v>
      </c>
      <c r="D2304" s="565">
        <v>43278</v>
      </c>
      <c r="E2304" s="565">
        <v>43343</v>
      </c>
      <c r="F2304" s="566">
        <v>1729000</v>
      </c>
      <c r="G2304" s="564" t="s">
        <v>1400</v>
      </c>
      <c r="H2304" s="564" t="s">
        <v>1400</v>
      </c>
      <c r="I2304" s="564" t="s">
        <v>4816</v>
      </c>
      <c r="J2304" s="564" t="s">
        <v>1069</v>
      </c>
      <c r="K2304" s="564" t="s">
        <v>1070</v>
      </c>
      <c r="L2304" s="564" t="s">
        <v>2098</v>
      </c>
      <c r="M2304" s="564" t="s">
        <v>2098</v>
      </c>
      <c r="N2304" s="564" t="s">
        <v>1082</v>
      </c>
      <c r="O2304" s="564" t="s">
        <v>2099</v>
      </c>
      <c r="P2304" s="23"/>
      <c r="Q2304" s="23"/>
      <c r="R2304" s="23"/>
      <c r="S2304" s="23"/>
      <c r="T2304" s="23"/>
      <c r="U2304" s="23"/>
      <c r="V2304" s="23"/>
      <c r="W2304" s="23"/>
      <c r="X2304" s="23"/>
      <c r="Y2304" s="23"/>
      <c r="Z2304" s="23"/>
    </row>
    <row r="2305" spans="1:26" ht="13">
      <c r="A2305" s="562" t="s">
        <v>5787</v>
      </c>
      <c r="B2305" s="563" t="s">
        <v>5788</v>
      </c>
      <c r="C2305" s="564" t="s">
        <v>1652</v>
      </c>
      <c r="D2305" s="565">
        <v>43278</v>
      </c>
      <c r="E2305" s="565">
        <v>43312</v>
      </c>
      <c r="F2305" s="566">
        <v>2530000</v>
      </c>
      <c r="G2305" s="564" t="s">
        <v>1636</v>
      </c>
      <c r="H2305" s="564" t="s">
        <v>1636</v>
      </c>
      <c r="I2305" s="564" t="s">
        <v>1637</v>
      </c>
      <c r="J2305" s="564" t="s">
        <v>1069</v>
      </c>
      <c r="K2305" s="564" t="s">
        <v>1120</v>
      </c>
      <c r="L2305" s="564" t="s">
        <v>2098</v>
      </c>
      <c r="M2305" s="564" t="s">
        <v>2098</v>
      </c>
      <c r="N2305" s="564" t="s">
        <v>1073</v>
      </c>
      <c r="O2305" s="564" t="s">
        <v>2099</v>
      </c>
      <c r="P2305" s="23"/>
      <c r="Q2305" s="23"/>
      <c r="R2305" s="23"/>
      <c r="S2305" s="23"/>
      <c r="T2305" s="23"/>
      <c r="U2305" s="23"/>
      <c r="V2305" s="23"/>
      <c r="W2305" s="23"/>
      <c r="X2305" s="23"/>
      <c r="Y2305" s="23"/>
      <c r="Z2305" s="23"/>
    </row>
    <row r="2306" spans="1:26" ht="13">
      <c r="A2306" s="562" t="s">
        <v>5789</v>
      </c>
      <c r="B2306" s="563" t="s">
        <v>5790</v>
      </c>
      <c r="C2306" s="564" t="s">
        <v>1548</v>
      </c>
      <c r="D2306" s="565">
        <v>43278</v>
      </c>
      <c r="E2306" s="565">
        <v>43343</v>
      </c>
      <c r="F2306" s="566">
        <v>9900000</v>
      </c>
      <c r="G2306" s="564" t="s">
        <v>1400</v>
      </c>
      <c r="H2306" s="564" t="s">
        <v>1400</v>
      </c>
      <c r="I2306" s="564" t="s">
        <v>5791</v>
      </c>
      <c r="J2306" s="564" t="s">
        <v>1069</v>
      </c>
      <c r="K2306" s="564" t="s">
        <v>1070</v>
      </c>
      <c r="L2306" s="564" t="s">
        <v>2098</v>
      </c>
      <c r="M2306" s="564" t="s">
        <v>2098</v>
      </c>
      <c r="N2306" s="564" t="s">
        <v>1082</v>
      </c>
      <c r="O2306" s="564" t="s">
        <v>2099</v>
      </c>
      <c r="P2306" s="23"/>
      <c r="Q2306" s="23"/>
      <c r="R2306" s="23"/>
      <c r="S2306" s="23"/>
      <c r="T2306" s="23"/>
      <c r="U2306" s="23"/>
      <c r="V2306" s="23"/>
      <c r="W2306" s="23"/>
      <c r="X2306" s="23"/>
      <c r="Y2306" s="23"/>
      <c r="Z2306" s="23"/>
    </row>
    <row r="2307" spans="1:26" ht="13">
      <c r="A2307" s="562" t="s">
        <v>5792</v>
      </c>
      <c r="B2307" s="563" t="s">
        <v>5793</v>
      </c>
      <c r="C2307" s="564" t="s">
        <v>1551</v>
      </c>
      <c r="D2307" s="565">
        <v>43277</v>
      </c>
      <c r="E2307" s="565">
        <v>43281</v>
      </c>
      <c r="F2307" s="566">
        <v>3349748630</v>
      </c>
      <c r="G2307" s="564" t="s">
        <v>1424</v>
      </c>
      <c r="H2307" s="564" t="s">
        <v>1424</v>
      </c>
      <c r="I2307" s="564" t="s">
        <v>45</v>
      </c>
      <c r="J2307" s="564" t="s">
        <v>1069</v>
      </c>
      <c r="K2307" s="564" t="s">
        <v>1090</v>
      </c>
      <c r="L2307" s="564" t="s">
        <v>2098</v>
      </c>
      <c r="M2307" s="564" t="s">
        <v>2098</v>
      </c>
      <c r="N2307" s="564" t="s">
        <v>45</v>
      </c>
      <c r="O2307" s="564" t="s">
        <v>2099</v>
      </c>
      <c r="P2307" s="23"/>
      <c r="Q2307" s="23"/>
      <c r="R2307" s="23"/>
      <c r="S2307" s="23"/>
      <c r="T2307" s="23"/>
      <c r="U2307" s="23"/>
      <c r="V2307" s="23"/>
      <c r="W2307" s="23"/>
      <c r="X2307" s="23"/>
      <c r="Y2307" s="23"/>
      <c r="Z2307" s="23"/>
    </row>
    <row r="2308" spans="1:26" ht="13">
      <c r="A2308" s="562" t="s">
        <v>5794</v>
      </c>
      <c r="B2308" s="563" t="s">
        <v>5795</v>
      </c>
      <c r="C2308" s="564" t="s">
        <v>2387</v>
      </c>
      <c r="D2308" s="565">
        <v>43276</v>
      </c>
      <c r="E2308" s="565">
        <v>43343</v>
      </c>
      <c r="F2308" s="566">
        <v>3000000</v>
      </c>
      <c r="G2308" s="564" t="s">
        <v>1400</v>
      </c>
      <c r="H2308" s="564" t="s">
        <v>1400</v>
      </c>
      <c r="I2308" s="564" t="s">
        <v>4816</v>
      </c>
      <c r="J2308" s="564" t="s">
        <v>1069</v>
      </c>
      <c r="K2308" s="564" t="s">
        <v>1070</v>
      </c>
      <c r="L2308" s="564" t="s">
        <v>2098</v>
      </c>
      <c r="M2308" s="564" t="s">
        <v>2098</v>
      </c>
      <c r="N2308" s="564" t="s">
        <v>1082</v>
      </c>
      <c r="O2308" s="564" t="s">
        <v>2099</v>
      </c>
      <c r="P2308" s="23"/>
      <c r="Q2308" s="23"/>
      <c r="R2308" s="23"/>
      <c r="S2308" s="23"/>
      <c r="T2308" s="23"/>
      <c r="U2308" s="23"/>
      <c r="V2308" s="23"/>
      <c r="W2308" s="23"/>
      <c r="X2308" s="23"/>
      <c r="Y2308" s="23"/>
      <c r="Z2308" s="23"/>
    </row>
    <row r="2309" spans="1:26" ht="13">
      <c r="A2309" s="562" t="s">
        <v>5796</v>
      </c>
      <c r="B2309" s="563" t="s">
        <v>5797</v>
      </c>
      <c r="C2309" s="564" t="s">
        <v>1551</v>
      </c>
      <c r="D2309" s="565">
        <v>43273</v>
      </c>
      <c r="E2309" s="565">
        <v>43280</v>
      </c>
      <c r="F2309" s="566">
        <v>35722700</v>
      </c>
      <c r="G2309" s="564" t="s">
        <v>1128</v>
      </c>
      <c r="H2309" s="564" t="s">
        <v>1128</v>
      </c>
      <c r="I2309" s="564" t="s">
        <v>45</v>
      </c>
      <c r="J2309" s="564" t="s">
        <v>1069</v>
      </c>
      <c r="K2309" s="564" t="s">
        <v>1090</v>
      </c>
      <c r="L2309" s="564" t="s">
        <v>2098</v>
      </c>
      <c r="M2309" s="564" t="s">
        <v>2098</v>
      </c>
      <c r="N2309" s="564" t="s">
        <v>45</v>
      </c>
      <c r="O2309" s="564" t="s">
        <v>2099</v>
      </c>
      <c r="P2309" s="23"/>
      <c r="Q2309" s="23"/>
      <c r="R2309" s="23"/>
      <c r="S2309" s="23"/>
      <c r="T2309" s="23"/>
      <c r="U2309" s="23"/>
      <c r="V2309" s="23"/>
      <c r="W2309" s="23"/>
      <c r="X2309" s="23"/>
      <c r="Y2309" s="23"/>
      <c r="Z2309" s="23"/>
    </row>
    <row r="2310" spans="1:26" ht="13">
      <c r="A2310" s="562" t="s">
        <v>5798</v>
      </c>
      <c r="B2310" s="563" t="s">
        <v>5799</v>
      </c>
      <c r="C2310" s="564" t="s">
        <v>1551</v>
      </c>
      <c r="D2310" s="565">
        <v>43272</v>
      </c>
      <c r="E2310" s="565">
        <v>43301</v>
      </c>
      <c r="F2310" s="566">
        <v>152000</v>
      </c>
      <c r="G2310" s="564" t="s">
        <v>1424</v>
      </c>
      <c r="H2310" s="564" t="s">
        <v>1424</v>
      </c>
      <c r="I2310" s="564" t="s">
        <v>64</v>
      </c>
      <c r="J2310" s="564" t="s">
        <v>1069</v>
      </c>
      <c r="K2310" s="564" t="s">
        <v>1090</v>
      </c>
      <c r="L2310" s="564" t="s">
        <v>2098</v>
      </c>
      <c r="M2310" s="564" t="s">
        <v>2098</v>
      </c>
      <c r="N2310" s="564" t="s">
        <v>64</v>
      </c>
      <c r="O2310" s="564" t="s">
        <v>2099</v>
      </c>
      <c r="P2310" s="23"/>
      <c r="Q2310" s="23"/>
      <c r="R2310" s="23"/>
      <c r="S2310" s="23"/>
      <c r="T2310" s="23"/>
      <c r="U2310" s="23"/>
      <c r="V2310" s="23"/>
      <c r="W2310" s="23"/>
      <c r="X2310" s="23"/>
      <c r="Y2310" s="23"/>
      <c r="Z2310" s="23"/>
    </row>
    <row r="2311" spans="1:26" ht="13">
      <c r="A2311" s="562" t="s">
        <v>5800</v>
      </c>
      <c r="B2311" s="563" t="s">
        <v>5801</v>
      </c>
      <c r="C2311" s="564" t="s">
        <v>1551</v>
      </c>
      <c r="D2311" s="565">
        <v>43272</v>
      </c>
      <c r="E2311" s="565">
        <v>43299</v>
      </c>
      <c r="F2311" s="566">
        <v>4710000</v>
      </c>
      <c r="G2311" s="564" t="s">
        <v>1424</v>
      </c>
      <c r="H2311" s="564" t="s">
        <v>1424</v>
      </c>
      <c r="I2311" s="564" t="s">
        <v>45</v>
      </c>
      <c r="J2311" s="564" t="s">
        <v>1069</v>
      </c>
      <c r="K2311" s="564" t="s">
        <v>1090</v>
      </c>
      <c r="L2311" s="564" t="s">
        <v>2098</v>
      </c>
      <c r="M2311" s="564" t="s">
        <v>2098</v>
      </c>
      <c r="N2311" s="564" t="s">
        <v>45</v>
      </c>
      <c r="O2311" s="564" t="s">
        <v>2099</v>
      </c>
      <c r="P2311" s="23"/>
      <c r="Q2311" s="23"/>
      <c r="R2311" s="23"/>
      <c r="S2311" s="23"/>
      <c r="T2311" s="23"/>
      <c r="U2311" s="23"/>
      <c r="V2311" s="23"/>
      <c r="W2311" s="23"/>
      <c r="X2311" s="23"/>
      <c r="Y2311" s="23"/>
      <c r="Z2311" s="23"/>
    </row>
    <row r="2312" spans="1:26" ht="13">
      <c r="A2312" s="562" t="s">
        <v>5802</v>
      </c>
      <c r="B2312" s="563" t="s">
        <v>5573</v>
      </c>
      <c r="C2312" s="564" t="s">
        <v>1551</v>
      </c>
      <c r="D2312" s="565">
        <v>43272</v>
      </c>
      <c r="E2312" s="565">
        <v>43300</v>
      </c>
      <c r="F2312" s="566">
        <v>473000</v>
      </c>
      <c r="G2312" s="564" t="s">
        <v>1424</v>
      </c>
      <c r="H2312" s="564" t="s">
        <v>1424</v>
      </c>
      <c r="I2312" s="564" t="s">
        <v>170</v>
      </c>
      <c r="J2312" s="564" t="s">
        <v>1069</v>
      </c>
      <c r="K2312" s="564" t="s">
        <v>1105</v>
      </c>
      <c r="L2312" s="564" t="s">
        <v>2098</v>
      </c>
      <c r="M2312" s="564" t="s">
        <v>2098</v>
      </c>
      <c r="N2312" s="564" t="s">
        <v>170</v>
      </c>
      <c r="O2312" s="564" t="s">
        <v>2099</v>
      </c>
      <c r="P2312" s="23"/>
      <c r="Q2312" s="23"/>
      <c r="R2312" s="23"/>
      <c r="S2312" s="23"/>
      <c r="T2312" s="23"/>
      <c r="U2312" s="23"/>
      <c r="V2312" s="23"/>
      <c r="W2312" s="23"/>
      <c r="X2312" s="23"/>
      <c r="Y2312" s="23"/>
      <c r="Z2312" s="23"/>
    </row>
    <row r="2313" spans="1:26" ht="13">
      <c r="A2313" s="562" t="s">
        <v>5803</v>
      </c>
      <c r="B2313" s="563" t="s">
        <v>5804</v>
      </c>
      <c r="C2313" s="564" t="s">
        <v>1370</v>
      </c>
      <c r="D2313" s="565">
        <v>43272</v>
      </c>
      <c r="E2313" s="565">
        <v>43285</v>
      </c>
      <c r="F2313" s="566">
        <v>663636</v>
      </c>
      <c r="G2313" s="564" t="s">
        <v>1157</v>
      </c>
      <c r="H2313" s="564" t="s">
        <v>1157</v>
      </c>
      <c r="I2313" s="564" t="s">
        <v>1746</v>
      </c>
      <c r="J2313" s="564" t="s">
        <v>1069</v>
      </c>
      <c r="K2313" s="564" t="s">
        <v>1198</v>
      </c>
      <c r="L2313" s="564" t="s">
        <v>2098</v>
      </c>
      <c r="M2313" s="564" t="s">
        <v>2098</v>
      </c>
      <c r="N2313" s="564" t="s">
        <v>1073</v>
      </c>
      <c r="O2313" s="564" t="s">
        <v>2099</v>
      </c>
      <c r="P2313" s="23"/>
      <c r="Q2313" s="23"/>
      <c r="R2313" s="23"/>
      <c r="S2313" s="23"/>
      <c r="T2313" s="23"/>
      <c r="U2313" s="23"/>
      <c r="V2313" s="23"/>
      <c r="W2313" s="23"/>
      <c r="X2313" s="23"/>
      <c r="Y2313" s="23"/>
      <c r="Z2313" s="23"/>
    </row>
    <row r="2314" spans="1:26" ht="13">
      <c r="A2314" s="562" t="s">
        <v>5805</v>
      </c>
      <c r="B2314" s="563" t="s">
        <v>5806</v>
      </c>
      <c r="C2314" s="564" t="s">
        <v>1370</v>
      </c>
      <c r="D2314" s="565">
        <v>43271</v>
      </c>
      <c r="E2314" s="565">
        <v>43287</v>
      </c>
      <c r="F2314" s="566">
        <v>11210182</v>
      </c>
      <c r="G2314" s="564" t="s">
        <v>1157</v>
      </c>
      <c r="H2314" s="564" t="s">
        <v>1157</v>
      </c>
      <c r="I2314" s="564" t="s">
        <v>802</v>
      </c>
      <c r="J2314" s="564" t="s">
        <v>1069</v>
      </c>
      <c r="K2314" s="564" t="s">
        <v>1198</v>
      </c>
      <c r="L2314" s="564" t="s">
        <v>2098</v>
      </c>
      <c r="M2314" s="564" t="s">
        <v>2098</v>
      </c>
      <c r="N2314" s="564" t="s">
        <v>132</v>
      </c>
      <c r="O2314" s="564" t="s">
        <v>2099</v>
      </c>
      <c r="P2314" s="23"/>
      <c r="Q2314" s="23"/>
      <c r="R2314" s="23"/>
      <c r="S2314" s="23"/>
      <c r="T2314" s="23"/>
      <c r="U2314" s="23"/>
      <c r="V2314" s="23"/>
      <c r="W2314" s="23"/>
      <c r="X2314" s="23"/>
      <c r="Y2314" s="23"/>
      <c r="Z2314" s="23"/>
    </row>
    <row r="2315" spans="1:26" ht="13">
      <c r="A2315" s="562" t="s">
        <v>5807</v>
      </c>
      <c r="B2315" s="563" t="s">
        <v>5808</v>
      </c>
      <c r="C2315" s="564" t="s">
        <v>3378</v>
      </c>
      <c r="D2315" s="565">
        <v>43271</v>
      </c>
      <c r="E2315" s="565">
        <v>43270</v>
      </c>
      <c r="F2315" s="566">
        <v>30610000</v>
      </c>
      <c r="G2315" s="564" t="s">
        <v>1424</v>
      </c>
      <c r="H2315" s="564" t="s">
        <v>1424</v>
      </c>
      <c r="I2315" s="564" t="s">
        <v>45</v>
      </c>
      <c r="J2315" s="564" t="s">
        <v>1069</v>
      </c>
      <c r="K2315" s="564" t="s">
        <v>1090</v>
      </c>
      <c r="L2315" s="564" t="s">
        <v>2098</v>
      </c>
      <c r="M2315" s="564" t="s">
        <v>2098</v>
      </c>
      <c r="N2315" s="564" t="s">
        <v>45</v>
      </c>
      <c r="O2315" s="564" t="s">
        <v>2099</v>
      </c>
      <c r="P2315" s="23"/>
      <c r="Q2315" s="23"/>
      <c r="R2315" s="23"/>
      <c r="S2315" s="23"/>
      <c r="T2315" s="23"/>
      <c r="U2315" s="23"/>
      <c r="V2315" s="23"/>
      <c r="W2315" s="23"/>
      <c r="X2315" s="23"/>
      <c r="Y2315" s="23"/>
      <c r="Z2315" s="23"/>
    </row>
    <row r="2316" spans="1:26" ht="13">
      <c r="A2316" s="562" t="s">
        <v>5809</v>
      </c>
      <c r="B2316" s="563" t="s">
        <v>5810</v>
      </c>
      <c r="C2316" s="564" t="s">
        <v>1652</v>
      </c>
      <c r="D2316" s="565">
        <v>43270</v>
      </c>
      <c r="E2316" s="565">
        <v>43299</v>
      </c>
      <c r="F2316" s="566">
        <v>1030000</v>
      </c>
      <c r="G2316" s="564" t="s">
        <v>1424</v>
      </c>
      <c r="H2316" s="564" t="s">
        <v>1424</v>
      </c>
      <c r="I2316" s="564" t="s">
        <v>70</v>
      </c>
      <c r="J2316" s="564" t="s">
        <v>1069</v>
      </c>
      <c r="K2316" s="564" t="s">
        <v>1120</v>
      </c>
      <c r="L2316" s="564" t="s">
        <v>2098</v>
      </c>
      <c r="M2316" s="564" t="s">
        <v>2098</v>
      </c>
      <c r="N2316" s="564" t="s">
        <v>70</v>
      </c>
      <c r="O2316" s="564" t="s">
        <v>2099</v>
      </c>
      <c r="P2316" s="23"/>
      <c r="Q2316" s="23"/>
      <c r="R2316" s="23"/>
      <c r="S2316" s="23"/>
      <c r="T2316" s="23"/>
      <c r="U2316" s="23"/>
      <c r="V2316" s="23"/>
      <c r="W2316" s="23"/>
      <c r="X2316" s="23"/>
      <c r="Y2316" s="23"/>
      <c r="Z2316" s="23"/>
    </row>
    <row r="2317" spans="1:26" ht="13">
      <c r="A2317" s="562" t="s">
        <v>5811</v>
      </c>
      <c r="B2317" s="563" t="s">
        <v>5812</v>
      </c>
      <c r="C2317" s="564" t="s">
        <v>1551</v>
      </c>
      <c r="D2317" s="565">
        <v>43266</v>
      </c>
      <c r="E2317" s="565">
        <v>43294</v>
      </c>
      <c r="F2317" s="566">
        <v>3600000</v>
      </c>
      <c r="G2317" s="564" t="s">
        <v>1424</v>
      </c>
      <c r="H2317" s="564" t="s">
        <v>1424</v>
      </c>
      <c r="I2317" s="564" t="s">
        <v>64</v>
      </c>
      <c r="J2317" s="564" t="s">
        <v>1069</v>
      </c>
      <c r="K2317" s="564" t="s">
        <v>1090</v>
      </c>
      <c r="L2317" s="564" t="s">
        <v>2098</v>
      </c>
      <c r="M2317" s="564" t="s">
        <v>2098</v>
      </c>
      <c r="N2317" s="564" t="s">
        <v>64</v>
      </c>
      <c r="O2317" s="564" t="s">
        <v>2099</v>
      </c>
      <c r="P2317" s="23"/>
      <c r="Q2317" s="23"/>
      <c r="R2317" s="23"/>
      <c r="S2317" s="23"/>
      <c r="T2317" s="23"/>
      <c r="U2317" s="23"/>
      <c r="V2317" s="23"/>
      <c r="W2317" s="23"/>
      <c r="X2317" s="23"/>
      <c r="Y2317" s="23"/>
      <c r="Z2317" s="23"/>
    </row>
    <row r="2318" spans="1:26" ht="13">
      <c r="A2318" s="562" t="s">
        <v>5813</v>
      </c>
      <c r="B2318" s="563" t="s">
        <v>5814</v>
      </c>
      <c r="C2318" s="564" t="s">
        <v>1551</v>
      </c>
      <c r="D2318" s="565">
        <v>43266</v>
      </c>
      <c r="E2318" s="565">
        <v>43404</v>
      </c>
      <c r="F2318" s="566">
        <v>491500000</v>
      </c>
      <c r="G2318" s="564" t="s">
        <v>5465</v>
      </c>
      <c r="H2318" s="564" t="s">
        <v>5465</v>
      </c>
      <c r="I2318" s="564" t="s">
        <v>45</v>
      </c>
      <c r="J2318" s="564" t="s">
        <v>1069</v>
      </c>
      <c r="K2318" s="564" t="s">
        <v>1090</v>
      </c>
      <c r="L2318" s="564" t="s">
        <v>2098</v>
      </c>
      <c r="M2318" s="564" t="s">
        <v>2098</v>
      </c>
      <c r="N2318" s="564" t="s">
        <v>45</v>
      </c>
      <c r="O2318" s="564" t="s">
        <v>2099</v>
      </c>
      <c r="P2318" s="23"/>
      <c r="Q2318" s="23"/>
      <c r="R2318" s="23"/>
      <c r="S2318" s="23"/>
      <c r="T2318" s="23"/>
      <c r="U2318" s="23"/>
      <c r="V2318" s="23"/>
      <c r="W2318" s="23"/>
      <c r="X2318" s="23"/>
      <c r="Y2318" s="23"/>
      <c r="Z2318" s="23"/>
    </row>
    <row r="2319" spans="1:26" ht="13">
      <c r="A2319" s="562" t="s">
        <v>5815</v>
      </c>
      <c r="B2319" s="563" t="s">
        <v>5816</v>
      </c>
      <c r="C2319" s="564" t="s">
        <v>1548</v>
      </c>
      <c r="D2319" s="565">
        <v>43265</v>
      </c>
      <c r="E2319" s="565">
        <v>43343</v>
      </c>
      <c r="F2319" s="566">
        <v>162000000</v>
      </c>
      <c r="G2319" s="564" t="s">
        <v>1636</v>
      </c>
      <c r="H2319" s="564" t="s">
        <v>1636</v>
      </c>
      <c r="I2319" s="564" t="s">
        <v>5694</v>
      </c>
      <c r="J2319" s="564" t="s">
        <v>1069</v>
      </c>
      <c r="K2319" s="564" t="s">
        <v>1105</v>
      </c>
      <c r="L2319" s="564" t="s">
        <v>2098</v>
      </c>
      <c r="M2319" s="564" t="s">
        <v>2098</v>
      </c>
      <c r="N2319" s="564" t="s">
        <v>1082</v>
      </c>
      <c r="O2319" s="564" t="s">
        <v>2099</v>
      </c>
      <c r="P2319" s="23"/>
      <c r="Q2319" s="23"/>
      <c r="R2319" s="23"/>
      <c r="S2319" s="23"/>
      <c r="T2319" s="23"/>
      <c r="U2319" s="23"/>
      <c r="V2319" s="23"/>
      <c r="W2319" s="23"/>
      <c r="X2319" s="23"/>
      <c r="Y2319" s="23"/>
      <c r="Z2319" s="23"/>
    </row>
    <row r="2320" spans="1:26" ht="13">
      <c r="A2320" s="562" t="s">
        <v>5817</v>
      </c>
      <c r="B2320" s="563" t="s">
        <v>5818</v>
      </c>
      <c r="C2320" s="564" t="s">
        <v>2387</v>
      </c>
      <c r="D2320" s="565">
        <v>43263</v>
      </c>
      <c r="E2320" s="565">
        <v>43343</v>
      </c>
      <c r="F2320" s="566">
        <v>1729000</v>
      </c>
      <c r="G2320" s="564" t="s">
        <v>1400</v>
      </c>
      <c r="H2320" s="564" t="s">
        <v>1400</v>
      </c>
      <c r="I2320" s="564" t="s">
        <v>4816</v>
      </c>
      <c r="J2320" s="564" t="s">
        <v>1069</v>
      </c>
      <c r="K2320" s="564" t="s">
        <v>1070</v>
      </c>
      <c r="L2320" s="564" t="s">
        <v>2098</v>
      </c>
      <c r="M2320" s="564" t="s">
        <v>2098</v>
      </c>
      <c r="N2320" s="564" t="s">
        <v>1082</v>
      </c>
      <c r="O2320" s="564" t="s">
        <v>2099</v>
      </c>
      <c r="P2320" s="23"/>
      <c r="Q2320" s="23"/>
      <c r="R2320" s="23"/>
      <c r="S2320" s="23"/>
      <c r="T2320" s="23"/>
      <c r="U2320" s="23"/>
      <c r="V2320" s="23"/>
      <c r="W2320" s="23"/>
      <c r="X2320" s="23"/>
      <c r="Y2320" s="23"/>
      <c r="Z2320" s="23"/>
    </row>
    <row r="2321" spans="1:26" ht="13">
      <c r="A2321" s="562" t="s">
        <v>5819</v>
      </c>
      <c r="B2321" s="563" t="s">
        <v>5820</v>
      </c>
      <c r="C2321" s="564" t="s">
        <v>2387</v>
      </c>
      <c r="D2321" s="565">
        <v>43263</v>
      </c>
      <c r="E2321" s="565">
        <v>43343</v>
      </c>
      <c r="F2321" s="566">
        <v>1987000</v>
      </c>
      <c r="G2321" s="564" t="s">
        <v>1400</v>
      </c>
      <c r="H2321" s="564" t="s">
        <v>1400</v>
      </c>
      <c r="I2321" s="564" t="s">
        <v>4816</v>
      </c>
      <c r="J2321" s="564" t="s">
        <v>1069</v>
      </c>
      <c r="K2321" s="564" t="s">
        <v>1070</v>
      </c>
      <c r="L2321" s="564" t="s">
        <v>2098</v>
      </c>
      <c r="M2321" s="564" t="s">
        <v>2098</v>
      </c>
      <c r="N2321" s="564" t="s">
        <v>1082</v>
      </c>
      <c r="O2321" s="564" t="s">
        <v>2099</v>
      </c>
      <c r="P2321" s="23"/>
      <c r="Q2321" s="23"/>
      <c r="R2321" s="23"/>
      <c r="S2321" s="23"/>
      <c r="T2321" s="23"/>
      <c r="U2321" s="23"/>
      <c r="V2321" s="23"/>
      <c r="W2321" s="23"/>
      <c r="X2321" s="23"/>
      <c r="Y2321" s="23"/>
      <c r="Z2321" s="23"/>
    </row>
    <row r="2322" spans="1:26" ht="13">
      <c r="A2322" s="562" t="s">
        <v>5821</v>
      </c>
      <c r="B2322" s="563" t="s">
        <v>5822</v>
      </c>
      <c r="C2322" s="564" t="s">
        <v>1652</v>
      </c>
      <c r="D2322" s="565">
        <v>43262</v>
      </c>
      <c r="E2322" s="565">
        <v>43287</v>
      </c>
      <c r="F2322" s="566">
        <v>908000</v>
      </c>
      <c r="G2322" s="564" t="s">
        <v>1424</v>
      </c>
      <c r="H2322" s="564" t="s">
        <v>1424</v>
      </c>
      <c r="I2322" s="564" t="s">
        <v>70</v>
      </c>
      <c r="J2322" s="564" t="s">
        <v>1069</v>
      </c>
      <c r="K2322" s="564" t="s">
        <v>1120</v>
      </c>
      <c r="L2322" s="564" t="s">
        <v>2098</v>
      </c>
      <c r="M2322" s="564" t="s">
        <v>2098</v>
      </c>
      <c r="N2322" s="564" t="s">
        <v>70</v>
      </c>
      <c r="O2322" s="564" t="s">
        <v>2099</v>
      </c>
      <c r="P2322" s="23"/>
      <c r="Q2322" s="23"/>
      <c r="R2322" s="23"/>
      <c r="S2322" s="23"/>
      <c r="T2322" s="23"/>
      <c r="U2322" s="23"/>
      <c r="V2322" s="23"/>
      <c r="W2322" s="23"/>
      <c r="X2322" s="23"/>
      <c r="Y2322" s="23"/>
      <c r="Z2322" s="23"/>
    </row>
    <row r="2323" spans="1:26" ht="13">
      <c r="A2323" s="562" t="s">
        <v>5823</v>
      </c>
      <c r="B2323" s="563" t="s">
        <v>5824</v>
      </c>
      <c r="C2323" s="564" t="s">
        <v>2387</v>
      </c>
      <c r="D2323" s="565">
        <v>43262</v>
      </c>
      <c r="E2323" s="565">
        <v>43343</v>
      </c>
      <c r="F2323" s="566">
        <v>528000</v>
      </c>
      <c r="G2323" s="564" t="s">
        <v>1400</v>
      </c>
      <c r="H2323" s="564" t="s">
        <v>1400</v>
      </c>
      <c r="I2323" s="564" t="s">
        <v>4816</v>
      </c>
      <c r="J2323" s="564" t="s">
        <v>1069</v>
      </c>
      <c r="K2323" s="564" t="s">
        <v>1070</v>
      </c>
      <c r="L2323" s="564" t="s">
        <v>2098</v>
      </c>
      <c r="M2323" s="564" t="s">
        <v>2098</v>
      </c>
      <c r="N2323" s="564" t="s">
        <v>1082</v>
      </c>
      <c r="O2323" s="564" t="s">
        <v>2099</v>
      </c>
      <c r="P2323" s="23"/>
      <c r="Q2323" s="23"/>
      <c r="R2323" s="23"/>
      <c r="S2323" s="23"/>
      <c r="T2323" s="23"/>
      <c r="U2323" s="23"/>
      <c r="V2323" s="23"/>
      <c r="W2323" s="23"/>
      <c r="X2323" s="23"/>
      <c r="Y2323" s="23"/>
      <c r="Z2323" s="23"/>
    </row>
    <row r="2324" spans="1:26" ht="13">
      <c r="A2324" s="562" t="s">
        <v>5825</v>
      </c>
      <c r="B2324" s="563" t="s">
        <v>5826</v>
      </c>
      <c r="C2324" s="564" t="s">
        <v>1548</v>
      </c>
      <c r="D2324" s="565">
        <v>43262</v>
      </c>
      <c r="E2324" s="565">
        <v>43271</v>
      </c>
      <c r="F2324" s="566">
        <v>3000000</v>
      </c>
      <c r="G2324" s="564" t="s">
        <v>1529</v>
      </c>
      <c r="H2324" s="564" t="s">
        <v>1529</v>
      </c>
      <c r="I2324" s="564" t="s">
        <v>1771</v>
      </c>
      <c r="J2324" s="564" t="s">
        <v>1069</v>
      </c>
      <c r="K2324" s="564" t="s">
        <v>1070</v>
      </c>
      <c r="L2324" s="564" t="s">
        <v>2098</v>
      </c>
      <c r="M2324" s="564" t="s">
        <v>2098</v>
      </c>
      <c r="N2324" s="564" t="s">
        <v>1082</v>
      </c>
      <c r="O2324" s="564" t="s">
        <v>2099</v>
      </c>
      <c r="P2324" s="23"/>
      <c r="Q2324" s="23"/>
      <c r="R2324" s="23"/>
      <c r="S2324" s="23"/>
      <c r="T2324" s="23"/>
      <c r="U2324" s="23"/>
      <c r="V2324" s="23"/>
      <c r="W2324" s="23"/>
      <c r="X2324" s="23"/>
      <c r="Y2324" s="23"/>
      <c r="Z2324" s="23"/>
    </row>
    <row r="2325" spans="1:26" ht="13">
      <c r="A2325" s="562" t="s">
        <v>5827</v>
      </c>
      <c r="B2325" s="563" t="s">
        <v>5828</v>
      </c>
      <c r="C2325" s="564" t="s">
        <v>1204</v>
      </c>
      <c r="D2325" s="565">
        <v>43259</v>
      </c>
      <c r="E2325" s="565">
        <v>43221</v>
      </c>
      <c r="F2325" s="566">
        <v>707940</v>
      </c>
      <c r="G2325" s="564" t="s">
        <v>1424</v>
      </c>
      <c r="H2325" s="564" t="s">
        <v>1424</v>
      </c>
      <c r="I2325" s="564" t="s">
        <v>1471</v>
      </c>
      <c r="J2325" s="564" t="s">
        <v>1069</v>
      </c>
      <c r="K2325" s="564" t="s">
        <v>1070</v>
      </c>
      <c r="L2325" s="564" t="s">
        <v>1071</v>
      </c>
      <c r="M2325" s="564" t="s">
        <v>1183</v>
      </c>
      <c r="N2325" s="564" t="s">
        <v>1082</v>
      </c>
      <c r="O2325" s="564" t="s">
        <v>1472</v>
      </c>
      <c r="P2325" s="23"/>
      <c r="Q2325" s="23"/>
      <c r="R2325" s="23"/>
      <c r="S2325" s="23"/>
      <c r="T2325" s="23"/>
      <c r="U2325" s="23"/>
      <c r="V2325" s="23"/>
      <c r="W2325" s="23"/>
      <c r="X2325" s="23"/>
      <c r="Y2325" s="23"/>
      <c r="Z2325" s="23"/>
    </row>
    <row r="2326" spans="1:26" ht="13">
      <c r="A2326" s="562" t="s">
        <v>5829</v>
      </c>
      <c r="B2326" s="563" t="s">
        <v>5799</v>
      </c>
      <c r="C2326" s="564" t="s">
        <v>1551</v>
      </c>
      <c r="D2326" s="565">
        <v>43258</v>
      </c>
      <c r="E2326" s="565">
        <v>43287</v>
      </c>
      <c r="F2326" s="566">
        <v>614000</v>
      </c>
      <c r="G2326" s="564" t="s">
        <v>1424</v>
      </c>
      <c r="H2326" s="564" t="s">
        <v>1424</v>
      </c>
      <c r="I2326" s="564" t="s">
        <v>64</v>
      </c>
      <c r="J2326" s="564" t="s">
        <v>1069</v>
      </c>
      <c r="K2326" s="564" t="s">
        <v>1090</v>
      </c>
      <c r="L2326" s="564" t="s">
        <v>2098</v>
      </c>
      <c r="M2326" s="564" t="s">
        <v>2098</v>
      </c>
      <c r="N2326" s="564" t="s">
        <v>64</v>
      </c>
      <c r="O2326" s="564" t="s">
        <v>2099</v>
      </c>
      <c r="P2326" s="23"/>
      <c r="Q2326" s="23"/>
      <c r="R2326" s="23"/>
      <c r="S2326" s="23"/>
      <c r="T2326" s="23"/>
      <c r="U2326" s="23"/>
      <c r="V2326" s="23"/>
      <c r="W2326" s="23"/>
      <c r="X2326" s="23"/>
      <c r="Y2326" s="23"/>
      <c r="Z2326" s="23"/>
    </row>
    <row r="2327" spans="1:26" ht="13">
      <c r="A2327" s="562" t="s">
        <v>5830</v>
      </c>
      <c r="B2327" s="563" t="s">
        <v>5831</v>
      </c>
      <c r="C2327" s="564" t="s">
        <v>2387</v>
      </c>
      <c r="D2327" s="565">
        <v>43259</v>
      </c>
      <c r="E2327" s="565">
        <v>43343</v>
      </c>
      <c r="F2327" s="566">
        <v>1096000</v>
      </c>
      <c r="G2327" s="564" t="s">
        <v>1400</v>
      </c>
      <c r="H2327" s="564" t="s">
        <v>1400</v>
      </c>
      <c r="I2327" s="564" t="s">
        <v>4816</v>
      </c>
      <c r="J2327" s="564" t="s">
        <v>1069</v>
      </c>
      <c r="K2327" s="564" t="s">
        <v>1070</v>
      </c>
      <c r="L2327" s="564" t="s">
        <v>2098</v>
      </c>
      <c r="M2327" s="564" t="s">
        <v>2098</v>
      </c>
      <c r="N2327" s="564" t="s">
        <v>1082</v>
      </c>
      <c r="O2327" s="564" t="s">
        <v>2099</v>
      </c>
      <c r="P2327" s="23"/>
      <c r="Q2327" s="23"/>
      <c r="R2327" s="23"/>
      <c r="S2327" s="23"/>
      <c r="T2327" s="23"/>
      <c r="U2327" s="23"/>
      <c r="V2327" s="23"/>
      <c r="W2327" s="23"/>
      <c r="X2327" s="23"/>
      <c r="Y2327" s="23"/>
      <c r="Z2327" s="23"/>
    </row>
    <row r="2328" spans="1:26" ht="13">
      <c r="A2328" s="562" t="s">
        <v>5832</v>
      </c>
      <c r="B2328" s="563" t="s">
        <v>5634</v>
      </c>
      <c r="C2328" s="564" t="s">
        <v>1652</v>
      </c>
      <c r="D2328" s="565">
        <v>43256</v>
      </c>
      <c r="E2328" s="565">
        <v>43285</v>
      </c>
      <c r="F2328" s="566">
        <v>6336000</v>
      </c>
      <c r="G2328" s="564" t="s">
        <v>1424</v>
      </c>
      <c r="H2328" s="564" t="s">
        <v>1424</v>
      </c>
      <c r="I2328" s="564" t="s">
        <v>1719</v>
      </c>
      <c r="J2328" s="564" t="s">
        <v>1069</v>
      </c>
      <c r="K2328" s="564" t="s">
        <v>1120</v>
      </c>
      <c r="L2328" s="564" t="s">
        <v>2098</v>
      </c>
      <c r="M2328" s="564" t="s">
        <v>2098</v>
      </c>
      <c r="N2328" s="564" t="s">
        <v>1073</v>
      </c>
      <c r="O2328" s="564" t="s">
        <v>2099</v>
      </c>
      <c r="P2328" s="23"/>
      <c r="Q2328" s="23"/>
      <c r="R2328" s="23"/>
      <c r="S2328" s="23"/>
      <c r="T2328" s="23"/>
      <c r="U2328" s="23"/>
      <c r="V2328" s="23"/>
      <c r="W2328" s="23"/>
      <c r="X2328" s="23"/>
      <c r="Y2328" s="23"/>
      <c r="Z2328" s="23"/>
    </row>
    <row r="2329" spans="1:26" ht="13">
      <c r="A2329" s="562" t="s">
        <v>5833</v>
      </c>
      <c r="B2329" s="563" t="s">
        <v>5834</v>
      </c>
      <c r="C2329" s="564" t="s">
        <v>3378</v>
      </c>
      <c r="D2329" s="565">
        <v>43256</v>
      </c>
      <c r="E2329" s="565">
        <v>43221</v>
      </c>
      <c r="F2329" s="566">
        <v>14916360</v>
      </c>
      <c r="G2329" s="564" t="s">
        <v>1424</v>
      </c>
      <c r="H2329" s="564" t="s">
        <v>1424</v>
      </c>
      <c r="I2329" s="564" t="s">
        <v>45</v>
      </c>
      <c r="J2329" s="564" t="s">
        <v>1069</v>
      </c>
      <c r="K2329" s="564" t="s">
        <v>1090</v>
      </c>
      <c r="L2329" s="564" t="s">
        <v>1071</v>
      </c>
      <c r="M2329" s="564" t="s">
        <v>1183</v>
      </c>
      <c r="N2329" s="564" t="s">
        <v>45</v>
      </c>
      <c r="O2329" s="564" t="s">
        <v>1472</v>
      </c>
      <c r="P2329" s="23"/>
      <c r="Q2329" s="23"/>
      <c r="R2329" s="23"/>
      <c r="S2329" s="23"/>
      <c r="T2329" s="23"/>
      <c r="U2329" s="23"/>
      <c r="V2329" s="23"/>
      <c r="W2329" s="23"/>
      <c r="X2329" s="23"/>
      <c r="Y2329" s="23"/>
      <c r="Z2329" s="23"/>
    </row>
    <row r="2330" spans="1:26" ht="13">
      <c r="A2330" s="562" t="s">
        <v>5835</v>
      </c>
      <c r="B2330" s="563" t="s">
        <v>5836</v>
      </c>
      <c r="C2330" s="564" t="s">
        <v>2387</v>
      </c>
      <c r="D2330" s="565">
        <v>43256</v>
      </c>
      <c r="E2330" s="565">
        <v>43343</v>
      </c>
      <c r="F2330" s="566">
        <v>5217000</v>
      </c>
      <c r="G2330" s="564" t="s">
        <v>1400</v>
      </c>
      <c r="H2330" s="564" t="s">
        <v>1400</v>
      </c>
      <c r="I2330" s="564" t="s">
        <v>4816</v>
      </c>
      <c r="J2330" s="564" t="s">
        <v>1069</v>
      </c>
      <c r="K2330" s="564" t="s">
        <v>1070</v>
      </c>
      <c r="L2330" s="564" t="s">
        <v>2098</v>
      </c>
      <c r="M2330" s="564" t="s">
        <v>2098</v>
      </c>
      <c r="N2330" s="564" t="s">
        <v>1082</v>
      </c>
      <c r="O2330" s="564" t="s">
        <v>2099</v>
      </c>
      <c r="P2330" s="23"/>
      <c r="Q2330" s="23"/>
      <c r="R2330" s="23"/>
      <c r="S2330" s="23"/>
      <c r="T2330" s="23"/>
      <c r="U2330" s="23"/>
      <c r="V2330" s="23"/>
      <c r="W2330" s="23"/>
      <c r="X2330" s="23"/>
      <c r="Y2330" s="23"/>
      <c r="Z2330" s="23"/>
    </row>
    <row r="2331" spans="1:26" ht="13">
      <c r="A2331" s="562" t="s">
        <v>5837</v>
      </c>
      <c r="B2331" s="563" t="s">
        <v>5838</v>
      </c>
      <c r="C2331" s="564" t="s">
        <v>3378</v>
      </c>
      <c r="D2331" s="565">
        <v>43256</v>
      </c>
      <c r="E2331" s="565">
        <v>43221</v>
      </c>
      <c r="F2331" s="566">
        <v>15448320</v>
      </c>
      <c r="G2331" s="564" t="s">
        <v>1424</v>
      </c>
      <c r="H2331" s="564" t="s">
        <v>1424</v>
      </c>
      <c r="I2331" s="564" t="s">
        <v>45</v>
      </c>
      <c r="J2331" s="564" t="s">
        <v>1069</v>
      </c>
      <c r="K2331" s="564" t="s">
        <v>1090</v>
      </c>
      <c r="L2331" s="564" t="s">
        <v>1071</v>
      </c>
      <c r="M2331" s="564" t="s">
        <v>1183</v>
      </c>
      <c r="N2331" s="564" t="s">
        <v>45</v>
      </c>
      <c r="O2331" s="564" t="s">
        <v>1472</v>
      </c>
      <c r="P2331" s="23"/>
      <c r="Q2331" s="23"/>
      <c r="R2331" s="23"/>
      <c r="S2331" s="23"/>
      <c r="T2331" s="23"/>
      <c r="U2331" s="23"/>
      <c r="V2331" s="23"/>
      <c r="W2331" s="23"/>
      <c r="X2331" s="23"/>
      <c r="Y2331" s="23"/>
      <c r="Z2331" s="23"/>
    </row>
    <row r="2332" spans="1:26" ht="13">
      <c r="A2332" s="562" t="s">
        <v>5839</v>
      </c>
      <c r="B2332" s="563" t="s">
        <v>5840</v>
      </c>
      <c r="C2332" s="564" t="s">
        <v>2433</v>
      </c>
      <c r="D2332" s="565">
        <v>43255</v>
      </c>
      <c r="E2332" s="565">
        <v>43312</v>
      </c>
      <c r="F2332" s="567"/>
      <c r="G2332" s="564" t="s">
        <v>1400</v>
      </c>
      <c r="H2332" s="564" t="s">
        <v>1400</v>
      </c>
      <c r="I2332" s="564" t="s">
        <v>4816</v>
      </c>
      <c r="J2332" s="564" t="s">
        <v>1069</v>
      </c>
      <c r="K2332" s="564" t="s">
        <v>1070</v>
      </c>
      <c r="L2332" s="564" t="s">
        <v>2098</v>
      </c>
      <c r="M2332" s="564" t="s">
        <v>2098</v>
      </c>
      <c r="N2332" s="564" t="s">
        <v>1082</v>
      </c>
      <c r="O2332" s="564" t="s">
        <v>2099</v>
      </c>
      <c r="P2332" s="23"/>
      <c r="Q2332" s="23"/>
      <c r="R2332" s="23"/>
      <c r="S2332" s="23"/>
      <c r="T2332" s="23"/>
      <c r="U2332" s="23"/>
      <c r="V2332" s="23"/>
      <c r="W2332" s="23"/>
      <c r="X2332" s="23"/>
      <c r="Y2332" s="23"/>
      <c r="Z2332" s="23"/>
    </row>
    <row r="2333" spans="1:26" ht="13">
      <c r="A2333" s="562" t="s">
        <v>5841</v>
      </c>
      <c r="B2333" s="563" t="s">
        <v>5822</v>
      </c>
      <c r="C2333" s="564" t="s">
        <v>1652</v>
      </c>
      <c r="D2333" s="565">
        <v>43251</v>
      </c>
      <c r="E2333" s="565">
        <v>43280</v>
      </c>
      <c r="F2333" s="566">
        <v>990000</v>
      </c>
      <c r="G2333" s="564" t="s">
        <v>1424</v>
      </c>
      <c r="H2333" s="564" t="s">
        <v>1424</v>
      </c>
      <c r="I2333" s="564" t="s">
        <v>70</v>
      </c>
      <c r="J2333" s="564" t="s">
        <v>1069</v>
      </c>
      <c r="K2333" s="564" t="s">
        <v>1120</v>
      </c>
      <c r="L2333" s="564" t="s">
        <v>2098</v>
      </c>
      <c r="M2333" s="564" t="s">
        <v>2098</v>
      </c>
      <c r="N2333" s="564" t="s">
        <v>70</v>
      </c>
      <c r="O2333" s="564" t="s">
        <v>2099</v>
      </c>
      <c r="P2333" s="23"/>
      <c r="Q2333" s="23"/>
      <c r="R2333" s="23"/>
      <c r="S2333" s="23"/>
      <c r="T2333" s="23"/>
      <c r="U2333" s="23"/>
      <c r="V2333" s="23"/>
      <c r="W2333" s="23"/>
      <c r="X2333" s="23"/>
      <c r="Y2333" s="23"/>
      <c r="Z2333" s="23"/>
    </row>
    <row r="2334" spans="1:26" ht="13">
      <c r="A2334" s="562" t="s">
        <v>5842</v>
      </c>
      <c r="B2334" s="563" t="s">
        <v>5843</v>
      </c>
      <c r="C2334" s="564" t="s">
        <v>1548</v>
      </c>
      <c r="D2334" s="565">
        <v>43251</v>
      </c>
      <c r="E2334" s="565">
        <v>43266</v>
      </c>
      <c r="F2334" s="566">
        <v>13600000</v>
      </c>
      <c r="G2334" s="564" t="s">
        <v>5844</v>
      </c>
      <c r="H2334" s="564" t="s">
        <v>5844</v>
      </c>
      <c r="I2334" s="564" t="s">
        <v>3824</v>
      </c>
      <c r="J2334" s="564" t="s">
        <v>1069</v>
      </c>
      <c r="K2334" s="564" t="s">
        <v>1070</v>
      </c>
      <c r="L2334" s="564" t="s">
        <v>2098</v>
      </c>
      <c r="M2334" s="564" t="s">
        <v>2098</v>
      </c>
      <c r="N2334" s="564" t="s">
        <v>1073</v>
      </c>
      <c r="O2334" s="564" t="s">
        <v>2099</v>
      </c>
      <c r="P2334" s="23"/>
      <c r="Q2334" s="23"/>
      <c r="R2334" s="23"/>
      <c r="S2334" s="23"/>
      <c r="T2334" s="23"/>
      <c r="U2334" s="23"/>
      <c r="V2334" s="23"/>
      <c r="W2334" s="23"/>
      <c r="X2334" s="23"/>
      <c r="Y2334" s="23"/>
      <c r="Z2334" s="23"/>
    </row>
    <row r="2335" spans="1:26" ht="13">
      <c r="A2335" s="562" t="s">
        <v>5845</v>
      </c>
      <c r="B2335" s="563" t="s">
        <v>5846</v>
      </c>
      <c r="C2335" s="564" t="s">
        <v>1551</v>
      </c>
      <c r="D2335" s="565">
        <v>43249</v>
      </c>
      <c r="E2335" s="565">
        <v>43280</v>
      </c>
      <c r="F2335" s="566">
        <v>137044000</v>
      </c>
      <c r="G2335" s="564" t="s">
        <v>5465</v>
      </c>
      <c r="H2335" s="564" t="s">
        <v>5465</v>
      </c>
      <c r="I2335" s="564" t="s">
        <v>45</v>
      </c>
      <c r="J2335" s="564" t="s">
        <v>1069</v>
      </c>
      <c r="K2335" s="564" t="s">
        <v>1090</v>
      </c>
      <c r="L2335" s="564" t="s">
        <v>2098</v>
      </c>
      <c r="M2335" s="564" t="s">
        <v>2098</v>
      </c>
      <c r="N2335" s="564" t="s">
        <v>45</v>
      </c>
      <c r="O2335" s="564" t="s">
        <v>2099</v>
      </c>
      <c r="P2335" s="23"/>
      <c r="Q2335" s="23"/>
      <c r="R2335" s="23"/>
      <c r="S2335" s="23"/>
      <c r="T2335" s="23"/>
      <c r="U2335" s="23"/>
      <c r="V2335" s="23"/>
      <c r="W2335" s="23"/>
      <c r="X2335" s="23"/>
      <c r="Y2335" s="23"/>
      <c r="Z2335" s="23"/>
    </row>
    <row r="2336" spans="1:26" ht="13">
      <c r="A2336" s="562" t="s">
        <v>5847</v>
      </c>
      <c r="B2336" s="563" t="s">
        <v>5848</v>
      </c>
      <c r="C2336" s="564" t="s">
        <v>2387</v>
      </c>
      <c r="D2336" s="565">
        <v>43250</v>
      </c>
      <c r="E2336" s="565">
        <v>43312</v>
      </c>
      <c r="F2336" s="566">
        <v>2853000</v>
      </c>
      <c r="G2336" s="564" t="s">
        <v>1400</v>
      </c>
      <c r="H2336" s="564" t="s">
        <v>1400</v>
      </c>
      <c r="I2336" s="564" t="s">
        <v>4816</v>
      </c>
      <c r="J2336" s="564" t="s">
        <v>1069</v>
      </c>
      <c r="K2336" s="564" t="s">
        <v>1070</v>
      </c>
      <c r="L2336" s="564" t="s">
        <v>2098</v>
      </c>
      <c r="M2336" s="564" t="s">
        <v>2098</v>
      </c>
      <c r="N2336" s="564" t="s">
        <v>1082</v>
      </c>
      <c r="O2336" s="564" t="s">
        <v>2099</v>
      </c>
      <c r="P2336" s="23"/>
      <c r="Q2336" s="23"/>
      <c r="R2336" s="23"/>
      <c r="S2336" s="23"/>
      <c r="T2336" s="23"/>
      <c r="U2336" s="23"/>
      <c r="V2336" s="23"/>
      <c r="W2336" s="23"/>
      <c r="X2336" s="23"/>
      <c r="Y2336" s="23"/>
      <c r="Z2336" s="23"/>
    </row>
    <row r="2337" spans="1:26" ht="13">
      <c r="A2337" s="562" t="s">
        <v>5849</v>
      </c>
      <c r="B2337" s="563" t="s">
        <v>5850</v>
      </c>
      <c r="C2337" s="564" t="s">
        <v>1652</v>
      </c>
      <c r="D2337" s="565">
        <v>43248</v>
      </c>
      <c r="E2337" s="565">
        <v>43279</v>
      </c>
      <c r="F2337" s="566">
        <v>900000</v>
      </c>
      <c r="G2337" s="564" t="s">
        <v>1424</v>
      </c>
      <c r="H2337" s="564" t="s">
        <v>1424</v>
      </c>
      <c r="I2337" s="564" t="s">
        <v>70</v>
      </c>
      <c r="J2337" s="564" t="s">
        <v>1069</v>
      </c>
      <c r="K2337" s="564" t="s">
        <v>1120</v>
      </c>
      <c r="L2337" s="564" t="s">
        <v>2098</v>
      </c>
      <c r="M2337" s="564" t="s">
        <v>2098</v>
      </c>
      <c r="N2337" s="564" t="s">
        <v>70</v>
      </c>
      <c r="O2337" s="564" t="s">
        <v>2099</v>
      </c>
      <c r="P2337" s="23"/>
      <c r="Q2337" s="23"/>
      <c r="R2337" s="23"/>
      <c r="S2337" s="23"/>
      <c r="T2337" s="23"/>
      <c r="U2337" s="23"/>
      <c r="V2337" s="23"/>
      <c r="W2337" s="23"/>
      <c r="X2337" s="23"/>
      <c r="Y2337" s="23"/>
      <c r="Z2337" s="23"/>
    </row>
    <row r="2338" spans="1:26" ht="13">
      <c r="A2338" s="562" t="s">
        <v>5851</v>
      </c>
      <c r="B2338" s="563" t="s">
        <v>5852</v>
      </c>
      <c r="C2338" s="564" t="s">
        <v>1370</v>
      </c>
      <c r="D2338" s="565">
        <v>43249</v>
      </c>
      <c r="E2338" s="565">
        <v>43265</v>
      </c>
      <c r="F2338" s="566">
        <v>700000</v>
      </c>
      <c r="G2338" s="564" t="s">
        <v>1157</v>
      </c>
      <c r="H2338" s="564" t="s">
        <v>1157</v>
      </c>
      <c r="I2338" s="564" t="s">
        <v>802</v>
      </c>
      <c r="J2338" s="564" t="s">
        <v>1069</v>
      </c>
      <c r="K2338" s="564" t="s">
        <v>1198</v>
      </c>
      <c r="L2338" s="564" t="s">
        <v>2098</v>
      </c>
      <c r="M2338" s="564" t="s">
        <v>2098</v>
      </c>
      <c r="N2338" s="564" t="s">
        <v>132</v>
      </c>
      <c r="O2338" s="564" t="s">
        <v>2099</v>
      </c>
      <c r="P2338" s="23"/>
      <c r="Q2338" s="23"/>
      <c r="R2338" s="23"/>
      <c r="S2338" s="23"/>
      <c r="T2338" s="23"/>
      <c r="U2338" s="23"/>
      <c r="V2338" s="23"/>
      <c r="W2338" s="23"/>
      <c r="X2338" s="23"/>
      <c r="Y2338" s="23"/>
      <c r="Z2338" s="23"/>
    </row>
    <row r="2339" spans="1:26" ht="13">
      <c r="A2339" s="562" t="s">
        <v>5853</v>
      </c>
      <c r="B2339" s="563" t="s">
        <v>5854</v>
      </c>
      <c r="C2339" s="564" t="s">
        <v>1551</v>
      </c>
      <c r="D2339" s="565">
        <v>43249</v>
      </c>
      <c r="E2339" s="565">
        <v>43280</v>
      </c>
      <c r="F2339" s="566">
        <v>73000000</v>
      </c>
      <c r="G2339" s="564" t="s">
        <v>5465</v>
      </c>
      <c r="H2339" s="564" t="s">
        <v>5465</v>
      </c>
      <c r="I2339" s="564" t="s">
        <v>45</v>
      </c>
      <c r="J2339" s="564" t="s">
        <v>1069</v>
      </c>
      <c r="K2339" s="564" t="s">
        <v>1090</v>
      </c>
      <c r="L2339" s="564" t="s">
        <v>2098</v>
      </c>
      <c r="M2339" s="564" t="s">
        <v>2098</v>
      </c>
      <c r="N2339" s="564" t="s">
        <v>45</v>
      </c>
      <c r="O2339" s="564" t="s">
        <v>2099</v>
      </c>
      <c r="P2339" s="23"/>
      <c r="Q2339" s="23"/>
      <c r="R2339" s="23"/>
      <c r="S2339" s="23"/>
      <c r="T2339" s="23"/>
      <c r="U2339" s="23"/>
      <c r="V2339" s="23"/>
      <c r="W2339" s="23"/>
      <c r="X2339" s="23"/>
      <c r="Y2339" s="23"/>
      <c r="Z2339" s="23"/>
    </row>
    <row r="2340" spans="1:26" ht="13">
      <c r="A2340" s="562" t="s">
        <v>5855</v>
      </c>
      <c r="B2340" s="563" t="s">
        <v>5856</v>
      </c>
      <c r="C2340" s="564" t="s">
        <v>1551</v>
      </c>
      <c r="D2340" s="565">
        <v>43249</v>
      </c>
      <c r="E2340" s="565">
        <v>43280</v>
      </c>
      <c r="F2340" s="566">
        <v>19318000</v>
      </c>
      <c r="G2340" s="564" t="s">
        <v>5465</v>
      </c>
      <c r="H2340" s="564" t="s">
        <v>5465</v>
      </c>
      <c r="I2340" s="564" t="s">
        <v>45</v>
      </c>
      <c r="J2340" s="564" t="s">
        <v>1069</v>
      </c>
      <c r="K2340" s="564" t="s">
        <v>1090</v>
      </c>
      <c r="L2340" s="564" t="s">
        <v>2098</v>
      </c>
      <c r="M2340" s="564" t="s">
        <v>2098</v>
      </c>
      <c r="N2340" s="564" t="s">
        <v>45</v>
      </c>
      <c r="O2340" s="564" t="s">
        <v>2099</v>
      </c>
      <c r="P2340" s="23"/>
      <c r="Q2340" s="23"/>
      <c r="R2340" s="23"/>
      <c r="S2340" s="23"/>
      <c r="T2340" s="23"/>
      <c r="U2340" s="23"/>
      <c r="V2340" s="23"/>
      <c r="W2340" s="23"/>
      <c r="X2340" s="23"/>
      <c r="Y2340" s="23"/>
      <c r="Z2340" s="23"/>
    </row>
    <row r="2341" spans="1:26" ht="13">
      <c r="A2341" s="562" t="s">
        <v>5857</v>
      </c>
      <c r="B2341" s="563" t="s">
        <v>5858</v>
      </c>
      <c r="C2341" s="564" t="s">
        <v>1548</v>
      </c>
      <c r="D2341" s="565">
        <v>43244</v>
      </c>
      <c r="E2341" s="565">
        <v>43251</v>
      </c>
      <c r="F2341" s="566">
        <v>320000</v>
      </c>
      <c r="G2341" s="564" t="s">
        <v>5844</v>
      </c>
      <c r="H2341" s="564" t="s">
        <v>5844</v>
      </c>
      <c r="I2341" s="564" t="s">
        <v>3824</v>
      </c>
      <c r="J2341" s="564" t="s">
        <v>1069</v>
      </c>
      <c r="K2341" s="564" t="s">
        <v>1070</v>
      </c>
      <c r="L2341" s="564" t="s">
        <v>2098</v>
      </c>
      <c r="M2341" s="564" t="s">
        <v>2098</v>
      </c>
      <c r="N2341" s="564" t="s">
        <v>1073</v>
      </c>
      <c r="O2341" s="564" t="s">
        <v>2099</v>
      </c>
      <c r="P2341" s="23"/>
      <c r="Q2341" s="23"/>
      <c r="R2341" s="23"/>
      <c r="S2341" s="23"/>
      <c r="T2341" s="23"/>
      <c r="U2341" s="23"/>
      <c r="V2341" s="23"/>
      <c r="W2341" s="23"/>
      <c r="X2341" s="23"/>
      <c r="Y2341" s="23"/>
      <c r="Z2341" s="23"/>
    </row>
    <row r="2342" spans="1:26" ht="13">
      <c r="A2342" s="562" t="s">
        <v>5859</v>
      </c>
      <c r="B2342" s="563" t="s">
        <v>5860</v>
      </c>
      <c r="C2342" s="564" t="s">
        <v>2387</v>
      </c>
      <c r="D2342" s="565">
        <v>43243</v>
      </c>
      <c r="E2342" s="565">
        <v>43251</v>
      </c>
      <c r="F2342" s="566">
        <v>2112000</v>
      </c>
      <c r="G2342" s="564" t="s">
        <v>1400</v>
      </c>
      <c r="H2342" s="564" t="s">
        <v>1400</v>
      </c>
      <c r="I2342" s="564" t="s">
        <v>4816</v>
      </c>
      <c r="J2342" s="564" t="s">
        <v>1069</v>
      </c>
      <c r="K2342" s="564" t="s">
        <v>1070</v>
      </c>
      <c r="L2342" s="564" t="s">
        <v>2098</v>
      </c>
      <c r="M2342" s="564" t="s">
        <v>2098</v>
      </c>
      <c r="N2342" s="564" t="s">
        <v>1082</v>
      </c>
      <c r="O2342" s="564" t="s">
        <v>2099</v>
      </c>
      <c r="P2342" s="23"/>
      <c r="Q2342" s="23"/>
      <c r="R2342" s="23"/>
      <c r="S2342" s="23"/>
      <c r="T2342" s="23"/>
      <c r="U2342" s="23"/>
      <c r="V2342" s="23"/>
      <c r="W2342" s="23"/>
      <c r="X2342" s="23"/>
      <c r="Y2342" s="23"/>
      <c r="Z2342" s="23"/>
    </row>
    <row r="2343" spans="1:26" ht="13">
      <c r="A2343" s="562" t="s">
        <v>5861</v>
      </c>
      <c r="B2343" s="563" t="s">
        <v>5862</v>
      </c>
      <c r="C2343" s="564" t="s">
        <v>1551</v>
      </c>
      <c r="D2343" s="565">
        <v>43243</v>
      </c>
      <c r="E2343" s="565">
        <v>43266</v>
      </c>
      <c r="F2343" s="566">
        <v>29900000</v>
      </c>
      <c r="G2343" s="564" t="s">
        <v>1128</v>
      </c>
      <c r="H2343" s="564" t="s">
        <v>1128</v>
      </c>
      <c r="I2343" s="564" t="s">
        <v>1161</v>
      </c>
      <c r="J2343" s="564" t="s">
        <v>1069</v>
      </c>
      <c r="K2343" s="564" t="s">
        <v>1090</v>
      </c>
      <c r="L2343" s="564" t="s">
        <v>2098</v>
      </c>
      <c r="M2343" s="564" t="s">
        <v>2098</v>
      </c>
      <c r="N2343" s="564" t="s">
        <v>1073</v>
      </c>
      <c r="O2343" s="564" t="s">
        <v>2099</v>
      </c>
      <c r="P2343" s="23"/>
      <c r="Q2343" s="23"/>
      <c r="R2343" s="23"/>
      <c r="S2343" s="23"/>
      <c r="T2343" s="23"/>
      <c r="U2343" s="23"/>
      <c r="V2343" s="23"/>
      <c r="W2343" s="23"/>
      <c r="X2343" s="23"/>
      <c r="Y2343" s="23"/>
      <c r="Z2343" s="23"/>
    </row>
    <row r="2344" spans="1:26" ht="13">
      <c r="A2344" s="562" t="s">
        <v>5863</v>
      </c>
      <c r="B2344" s="563" t="s">
        <v>5204</v>
      </c>
      <c r="C2344" s="564" t="s">
        <v>1548</v>
      </c>
      <c r="D2344" s="565">
        <v>43238</v>
      </c>
      <c r="E2344" s="565">
        <v>43266</v>
      </c>
      <c r="F2344" s="566">
        <v>480000</v>
      </c>
      <c r="G2344" s="564" t="s">
        <v>1424</v>
      </c>
      <c r="H2344" s="564" t="s">
        <v>1424</v>
      </c>
      <c r="I2344" s="564" t="s">
        <v>1247</v>
      </c>
      <c r="J2344" s="564" t="s">
        <v>1069</v>
      </c>
      <c r="K2344" s="564" t="s">
        <v>1070</v>
      </c>
      <c r="L2344" s="564" t="s">
        <v>2098</v>
      </c>
      <c r="M2344" s="564" t="s">
        <v>2098</v>
      </c>
      <c r="N2344" s="564" t="s">
        <v>1073</v>
      </c>
      <c r="O2344" s="564" t="s">
        <v>2099</v>
      </c>
      <c r="P2344" s="23"/>
      <c r="Q2344" s="23"/>
      <c r="R2344" s="23"/>
      <c r="S2344" s="23"/>
      <c r="T2344" s="23"/>
      <c r="U2344" s="23"/>
      <c r="V2344" s="23"/>
      <c r="W2344" s="23"/>
      <c r="X2344" s="23"/>
      <c r="Y2344" s="23"/>
      <c r="Z2344" s="23"/>
    </row>
    <row r="2345" spans="1:26" ht="13">
      <c r="A2345" s="562" t="s">
        <v>5864</v>
      </c>
      <c r="B2345" s="563" t="s">
        <v>5865</v>
      </c>
      <c r="C2345" s="564" t="s">
        <v>1370</v>
      </c>
      <c r="D2345" s="565">
        <v>43238</v>
      </c>
      <c r="E2345" s="565">
        <v>43259</v>
      </c>
      <c r="F2345" s="566">
        <v>525000</v>
      </c>
      <c r="G2345" s="564" t="s">
        <v>1157</v>
      </c>
      <c r="H2345" s="564" t="s">
        <v>1157</v>
      </c>
      <c r="I2345" s="564" t="s">
        <v>802</v>
      </c>
      <c r="J2345" s="564" t="s">
        <v>1069</v>
      </c>
      <c r="K2345" s="564" t="s">
        <v>1198</v>
      </c>
      <c r="L2345" s="564" t="s">
        <v>2098</v>
      </c>
      <c r="M2345" s="564" t="s">
        <v>2098</v>
      </c>
      <c r="N2345" s="564" t="s">
        <v>132</v>
      </c>
      <c r="O2345" s="564" t="s">
        <v>2099</v>
      </c>
      <c r="P2345" s="23"/>
      <c r="Q2345" s="23"/>
      <c r="R2345" s="23"/>
      <c r="S2345" s="23"/>
      <c r="T2345" s="23"/>
      <c r="U2345" s="23"/>
      <c r="V2345" s="23"/>
      <c r="W2345" s="23"/>
      <c r="X2345" s="23"/>
      <c r="Y2345" s="23"/>
      <c r="Z2345" s="23"/>
    </row>
    <row r="2346" spans="1:26" ht="13">
      <c r="A2346" s="562" t="s">
        <v>5866</v>
      </c>
      <c r="B2346" s="563" t="s">
        <v>5867</v>
      </c>
      <c r="C2346" s="564" t="s">
        <v>2433</v>
      </c>
      <c r="D2346" s="565">
        <v>43234</v>
      </c>
      <c r="E2346" s="565">
        <v>43312</v>
      </c>
      <c r="F2346" s="566">
        <v>2192000</v>
      </c>
      <c r="G2346" s="564" t="s">
        <v>1400</v>
      </c>
      <c r="H2346" s="564" t="s">
        <v>1400</v>
      </c>
      <c r="I2346" s="564" t="s">
        <v>4816</v>
      </c>
      <c r="J2346" s="564" t="s">
        <v>1069</v>
      </c>
      <c r="K2346" s="564" t="s">
        <v>1070</v>
      </c>
      <c r="L2346" s="564" t="s">
        <v>2098</v>
      </c>
      <c r="M2346" s="564" t="s">
        <v>2098</v>
      </c>
      <c r="N2346" s="564" t="s">
        <v>1082</v>
      </c>
      <c r="O2346" s="564" t="s">
        <v>2099</v>
      </c>
      <c r="P2346" s="23"/>
      <c r="Q2346" s="23"/>
      <c r="R2346" s="23"/>
      <c r="S2346" s="23"/>
      <c r="T2346" s="23"/>
      <c r="U2346" s="23"/>
      <c r="V2346" s="23"/>
      <c r="W2346" s="23"/>
      <c r="X2346" s="23"/>
      <c r="Y2346" s="23"/>
      <c r="Z2346" s="23"/>
    </row>
    <row r="2347" spans="1:26" ht="13">
      <c r="A2347" s="562" t="s">
        <v>5868</v>
      </c>
      <c r="B2347" s="563" t="s">
        <v>5869</v>
      </c>
      <c r="C2347" s="564" t="s">
        <v>2387</v>
      </c>
      <c r="D2347" s="565">
        <v>43234</v>
      </c>
      <c r="E2347" s="565">
        <v>43312</v>
      </c>
      <c r="F2347" s="566">
        <v>1732000</v>
      </c>
      <c r="G2347" s="564" t="s">
        <v>1400</v>
      </c>
      <c r="H2347" s="564" t="s">
        <v>1400</v>
      </c>
      <c r="I2347" s="564" t="s">
        <v>4816</v>
      </c>
      <c r="J2347" s="564" t="s">
        <v>1069</v>
      </c>
      <c r="K2347" s="564" t="s">
        <v>1070</v>
      </c>
      <c r="L2347" s="564" t="s">
        <v>2098</v>
      </c>
      <c r="M2347" s="564" t="s">
        <v>2098</v>
      </c>
      <c r="N2347" s="564" t="s">
        <v>1082</v>
      </c>
      <c r="O2347" s="564" t="s">
        <v>2099</v>
      </c>
      <c r="P2347" s="23"/>
      <c r="Q2347" s="23"/>
      <c r="R2347" s="23"/>
      <c r="S2347" s="23"/>
      <c r="T2347" s="23"/>
      <c r="U2347" s="23"/>
      <c r="V2347" s="23"/>
      <c r="W2347" s="23"/>
      <c r="X2347" s="23"/>
      <c r="Y2347" s="23"/>
      <c r="Z2347" s="23"/>
    </row>
    <row r="2348" spans="1:26" ht="13">
      <c r="A2348" s="562" t="s">
        <v>5870</v>
      </c>
      <c r="B2348" s="563" t="s">
        <v>5871</v>
      </c>
      <c r="C2348" s="564" t="s">
        <v>2387</v>
      </c>
      <c r="D2348" s="565">
        <v>43234</v>
      </c>
      <c r="E2348" s="565">
        <v>43312</v>
      </c>
      <c r="F2348" s="566">
        <v>1987000</v>
      </c>
      <c r="G2348" s="564" t="s">
        <v>1400</v>
      </c>
      <c r="H2348" s="564" t="s">
        <v>1400</v>
      </c>
      <c r="I2348" s="564" t="s">
        <v>4816</v>
      </c>
      <c r="J2348" s="564" t="s">
        <v>1069</v>
      </c>
      <c r="K2348" s="564" t="s">
        <v>1070</v>
      </c>
      <c r="L2348" s="564" t="s">
        <v>2098</v>
      </c>
      <c r="M2348" s="564" t="s">
        <v>2098</v>
      </c>
      <c r="N2348" s="564" t="s">
        <v>1082</v>
      </c>
      <c r="O2348" s="564" t="s">
        <v>2099</v>
      </c>
      <c r="P2348" s="23"/>
      <c r="Q2348" s="23"/>
      <c r="R2348" s="23"/>
      <c r="S2348" s="23"/>
      <c r="T2348" s="23"/>
      <c r="U2348" s="23"/>
      <c r="V2348" s="23"/>
      <c r="W2348" s="23"/>
      <c r="X2348" s="23"/>
      <c r="Y2348" s="23"/>
      <c r="Z2348" s="23"/>
    </row>
    <row r="2349" spans="1:26" ht="13">
      <c r="A2349" s="562" t="s">
        <v>5872</v>
      </c>
      <c r="B2349" s="563" t="s">
        <v>5873</v>
      </c>
      <c r="C2349" s="564" t="s">
        <v>1551</v>
      </c>
      <c r="D2349" s="565">
        <v>43234</v>
      </c>
      <c r="E2349" s="565">
        <v>43343</v>
      </c>
      <c r="F2349" s="566">
        <v>48965000</v>
      </c>
      <c r="G2349" s="564" t="s">
        <v>5465</v>
      </c>
      <c r="H2349" s="564" t="s">
        <v>5465</v>
      </c>
      <c r="I2349" s="564" t="s">
        <v>45</v>
      </c>
      <c r="J2349" s="564" t="s">
        <v>1069</v>
      </c>
      <c r="K2349" s="564" t="s">
        <v>1090</v>
      </c>
      <c r="L2349" s="564" t="s">
        <v>2098</v>
      </c>
      <c r="M2349" s="564" t="s">
        <v>2098</v>
      </c>
      <c r="N2349" s="564" t="s">
        <v>45</v>
      </c>
      <c r="O2349" s="564" t="s">
        <v>2099</v>
      </c>
      <c r="P2349" s="23"/>
      <c r="Q2349" s="23"/>
      <c r="R2349" s="23"/>
      <c r="S2349" s="23"/>
      <c r="T2349" s="23"/>
      <c r="U2349" s="23"/>
      <c r="V2349" s="23"/>
      <c r="W2349" s="23"/>
      <c r="X2349" s="23"/>
      <c r="Y2349" s="23"/>
      <c r="Z2349" s="23"/>
    </row>
    <row r="2350" spans="1:26" ht="13">
      <c r="A2350" s="562" t="s">
        <v>5874</v>
      </c>
      <c r="B2350" s="563" t="s">
        <v>5007</v>
      </c>
      <c r="C2350" s="564" t="s">
        <v>1551</v>
      </c>
      <c r="D2350" s="565">
        <v>43230</v>
      </c>
      <c r="E2350" s="565">
        <v>43251</v>
      </c>
      <c r="F2350" s="566">
        <v>16480000</v>
      </c>
      <c r="G2350" s="564" t="s">
        <v>5465</v>
      </c>
      <c r="H2350" s="564" t="s">
        <v>5465</v>
      </c>
      <c r="I2350" s="564" t="s">
        <v>45</v>
      </c>
      <c r="J2350" s="564" t="s">
        <v>1069</v>
      </c>
      <c r="K2350" s="564" t="s">
        <v>1090</v>
      </c>
      <c r="L2350" s="564" t="s">
        <v>2098</v>
      </c>
      <c r="M2350" s="564" t="s">
        <v>2098</v>
      </c>
      <c r="N2350" s="564" t="s">
        <v>45</v>
      </c>
      <c r="O2350" s="564" t="s">
        <v>2099</v>
      </c>
      <c r="P2350" s="23"/>
      <c r="Q2350" s="23"/>
      <c r="R2350" s="23"/>
      <c r="S2350" s="23"/>
      <c r="T2350" s="23"/>
      <c r="U2350" s="23"/>
      <c r="V2350" s="23"/>
      <c r="W2350" s="23"/>
      <c r="X2350" s="23"/>
      <c r="Y2350" s="23"/>
      <c r="Z2350" s="23"/>
    </row>
    <row r="2351" spans="1:26" ht="13">
      <c r="A2351" s="562" t="s">
        <v>5875</v>
      </c>
      <c r="B2351" s="563" t="s">
        <v>5718</v>
      </c>
      <c r="C2351" s="564" t="s">
        <v>1551</v>
      </c>
      <c r="D2351" s="565">
        <v>43230</v>
      </c>
      <c r="E2351" s="565">
        <v>43259</v>
      </c>
      <c r="F2351" s="566">
        <v>1180000</v>
      </c>
      <c r="G2351" s="564" t="s">
        <v>1424</v>
      </c>
      <c r="H2351" s="564" t="s">
        <v>1424</v>
      </c>
      <c r="I2351" s="564" t="s">
        <v>45</v>
      </c>
      <c r="J2351" s="564" t="s">
        <v>1069</v>
      </c>
      <c r="K2351" s="564" t="s">
        <v>1090</v>
      </c>
      <c r="L2351" s="564" t="s">
        <v>2098</v>
      </c>
      <c r="M2351" s="564" t="s">
        <v>2098</v>
      </c>
      <c r="N2351" s="564" t="s">
        <v>45</v>
      </c>
      <c r="O2351" s="564" t="s">
        <v>2099</v>
      </c>
      <c r="P2351" s="23"/>
      <c r="Q2351" s="23"/>
      <c r="R2351" s="23"/>
      <c r="S2351" s="23"/>
      <c r="T2351" s="23"/>
      <c r="U2351" s="23"/>
      <c r="V2351" s="23"/>
      <c r="W2351" s="23"/>
      <c r="X2351" s="23"/>
      <c r="Y2351" s="23"/>
      <c r="Z2351" s="23"/>
    </row>
    <row r="2352" spans="1:26" ht="13">
      <c r="A2352" s="562" t="s">
        <v>5876</v>
      </c>
      <c r="B2352" s="563" t="s">
        <v>5718</v>
      </c>
      <c r="C2352" s="564" t="s">
        <v>1551</v>
      </c>
      <c r="D2352" s="565">
        <v>43230</v>
      </c>
      <c r="E2352" s="565">
        <v>43259</v>
      </c>
      <c r="F2352" s="566">
        <v>650000</v>
      </c>
      <c r="G2352" s="564" t="s">
        <v>1424</v>
      </c>
      <c r="H2352" s="564" t="s">
        <v>1424</v>
      </c>
      <c r="I2352" s="564" t="s">
        <v>45</v>
      </c>
      <c r="J2352" s="564" t="s">
        <v>1069</v>
      </c>
      <c r="K2352" s="564" t="s">
        <v>1090</v>
      </c>
      <c r="L2352" s="564" t="s">
        <v>2098</v>
      </c>
      <c r="M2352" s="564" t="s">
        <v>2098</v>
      </c>
      <c r="N2352" s="564" t="s">
        <v>45</v>
      </c>
      <c r="O2352" s="564" t="s">
        <v>2099</v>
      </c>
      <c r="P2352" s="23"/>
      <c r="Q2352" s="23"/>
      <c r="R2352" s="23"/>
      <c r="S2352" s="23"/>
      <c r="T2352" s="23"/>
      <c r="U2352" s="23"/>
      <c r="V2352" s="23"/>
      <c r="W2352" s="23"/>
      <c r="X2352" s="23"/>
      <c r="Y2352" s="23"/>
      <c r="Z2352" s="23"/>
    </row>
    <row r="2353" spans="1:26" ht="13">
      <c r="A2353" s="562" t="s">
        <v>5877</v>
      </c>
      <c r="B2353" s="563" t="s">
        <v>5718</v>
      </c>
      <c r="C2353" s="564" t="s">
        <v>1551</v>
      </c>
      <c r="D2353" s="565">
        <v>43230</v>
      </c>
      <c r="E2353" s="565">
        <v>43259</v>
      </c>
      <c r="F2353" s="566">
        <v>1180000</v>
      </c>
      <c r="G2353" s="564" t="s">
        <v>1424</v>
      </c>
      <c r="H2353" s="564" t="s">
        <v>1424</v>
      </c>
      <c r="I2353" s="564" t="s">
        <v>45</v>
      </c>
      <c r="J2353" s="564" t="s">
        <v>1069</v>
      </c>
      <c r="K2353" s="564" t="s">
        <v>1090</v>
      </c>
      <c r="L2353" s="564" t="s">
        <v>2098</v>
      </c>
      <c r="M2353" s="564" t="s">
        <v>2098</v>
      </c>
      <c r="N2353" s="564" t="s">
        <v>45</v>
      </c>
      <c r="O2353" s="564" t="s">
        <v>2099</v>
      </c>
      <c r="P2353" s="23"/>
      <c r="Q2353" s="23"/>
      <c r="R2353" s="23"/>
      <c r="S2353" s="23"/>
      <c r="T2353" s="23"/>
      <c r="U2353" s="23"/>
      <c r="V2353" s="23"/>
      <c r="W2353" s="23"/>
      <c r="X2353" s="23"/>
      <c r="Y2353" s="23"/>
      <c r="Z2353" s="23"/>
    </row>
    <row r="2354" spans="1:26" ht="13">
      <c r="A2354" s="562" t="s">
        <v>5878</v>
      </c>
      <c r="B2354" s="563" t="s">
        <v>5879</v>
      </c>
      <c r="C2354" s="564" t="s">
        <v>1370</v>
      </c>
      <c r="D2354" s="565">
        <v>43231</v>
      </c>
      <c r="E2354" s="565">
        <v>43248</v>
      </c>
      <c r="F2354" s="566">
        <v>39000000</v>
      </c>
      <c r="G2354" s="564" t="s">
        <v>1157</v>
      </c>
      <c r="H2354" s="564" t="s">
        <v>1157</v>
      </c>
      <c r="I2354" s="564" t="s">
        <v>802</v>
      </c>
      <c r="J2354" s="564" t="s">
        <v>1069</v>
      </c>
      <c r="K2354" s="564" t="s">
        <v>1198</v>
      </c>
      <c r="L2354" s="564" t="s">
        <v>2098</v>
      </c>
      <c r="M2354" s="564" t="s">
        <v>2098</v>
      </c>
      <c r="N2354" s="564" t="s">
        <v>132</v>
      </c>
      <c r="O2354" s="564" t="s">
        <v>2099</v>
      </c>
      <c r="P2354" s="23"/>
      <c r="Q2354" s="23"/>
      <c r="R2354" s="23"/>
      <c r="S2354" s="23"/>
      <c r="T2354" s="23"/>
      <c r="U2354" s="23"/>
      <c r="V2354" s="23"/>
      <c r="W2354" s="23"/>
      <c r="X2354" s="23"/>
      <c r="Y2354" s="23"/>
      <c r="Z2354" s="23"/>
    </row>
    <row r="2355" spans="1:26" ht="13">
      <c r="A2355" s="562" t="s">
        <v>5880</v>
      </c>
      <c r="B2355" s="563" t="s">
        <v>5881</v>
      </c>
      <c r="C2355" s="564" t="s">
        <v>1370</v>
      </c>
      <c r="D2355" s="565">
        <v>43231</v>
      </c>
      <c r="E2355" s="565">
        <v>43259</v>
      </c>
      <c r="F2355" s="566">
        <v>2736363</v>
      </c>
      <c r="G2355" s="564" t="s">
        <v>1157</v>
      </c>
      <c r="H2355" s="564" t="s">
        <v>1157</v>
      </c>
      <c r="I2355" s="564" t="s">
        <v>802</v>
      </c>
      <c r="J2355" s="564" t="s">
        <v>1069</v>
      </c>
      <c r="K2355" s="564" t="s">
        <v>1198</v>
      </c>
      <c r="L2355" s="564" t="s">
        <v>2098</v>
      </c>
      <c r="M2355" s="564" t="s">
        <v>2098</v>
      </c>
      <c r="N2355" s="564" t="s">
        <v>132</v>
      </c>
      <c r="O2355" s="564" t="s">
        <v>2099</v>
      </c>
      <c r="P2355" s="23"/>
      <c r="Q2355" s="23"/>
      <c r="R2355" s="23"/>
      <c r="S2355" s="23"/>
      <c r="T2355" s="23"/>
      <c r="U2355" s="23"/>
      <c r="V2355" s="23"/>
      <c r="W2355" s="23"/>
      <c r="X2355" s="23"/>
      <c r="Y2355" s="23"/>
      <c r="Z2355" s="23"/>
    </row>
    <row r="2356" spans="1:26" ht="13">
      <c r="A2356" s="562" t="s">
        <v>5882</v>
      </c>
      <c r="B2356" s="563" t="s">
        <v>4647</v>
      </c>
      <c r="C2356" s="564" t="s">
        <v>1548</v>
      </c>
      <c r="D2356" s="565">
        <v>43230</v>
      </c>
      <c r="E2356" s="565">
        <v>43259</v>
      </c>
      <c r="F2356" s="566">
        <v>150700</v>
      </c>
      <c r="G2356" s="564" t="s">
        <v>1424</v>
      </c>
      <c r="H2356" s="564" t="s">
        <v>1424</v>
      </c>
      <c r="I2356" s="564" t="s">
        <v>1161</v>
      </c>
      <c r="J2356" s="564" t="s">
        <v>1069</v>
      </c>
      <c r="K2356" s="564" t="s">
        <v>1090</v>
      </c>
      <c r="L2356" s="564" t="s">
        <v>2098</v>
      </c>
      <c r="M2356" s="564" t="s">
        <v>2098</v>
      </c>
      <c r="N2356" s="564" t="s">
        <v>1073</v>
      </c>
      <c r="O2356" s="564" t="s">
        <v>2099</v>
      </c>
      <c r="P2356" s="23"/>
      <c r="Q2356" s="23"/>
      <c r="R2356" s="23"/>
      <c r="S2356" s="23"/>
      <c r="T2356" s="23"/>
      <c r="U2356" s="23"/>
      <c r="V2356" s="23"/>
      <c r="W2356" s="23"/>
      <c r="X2356" s="23"/>
      <c r="Y2356" s="23"/>
      <c r="Z2356" s="23"/>
    </row>
    <row r="2357" spans="1:26" ht="13">
      <c r="A2357" s="562" t="s">
        <v>5883</v>
      </c>
      <c r="B2357" s="563" t="s">
        <v>5884</v>
      </c>
      <c r="C2357" s="564" t="s">
        <v>1551</v>
      </c>
      <c r="D2357" s="565">
        <v>43230</v>
      </c>
      <c r="E2357" s="565">
        <v>43259</v>
      </c>
      <c r="F2357" s="566">
        <v>441000</v>
      </c>
      <c r="G2357" s="564" t="s">
        <v>1424</v>
      </c>
      <c r="H2357" s="564" t="s">
        <v>1424</v>
      </c>
      <c r="I2357" s="564" t="s">
        <v>1586</v>
      </c>
      <c r="J2357" s="564" t="s">
        <v>1069</v>
      </c>
      <c r="K2357" s="564" t="s">
        <v>1090</v>
      </c>
      <c r="L2357" s="564" t="s">
        <v>2098</v>
      </c>
      <c r="M2357" s="564" t="s">
        <v>2098</v>
      </c>
      <c r="N2357" s="564" t="s">
        <v>1073</v>
      </c>
      <c r="O2357" s="564" t="s">
        <v>2099</v>
      </c>
      <c r="P2357" s="23"/>
      <c r="Q2357" s="23"/>
      <c r="R2357" s="23"/>
      <c r="S2357" s="23"/>
      <c r="T2357" s="23"/>
      <c r="U2357" s="23"/>
      <c r="V2357" s="23"/>
      <c r="W2357" s="23"/>
      <c r="X2357" s="23"/>
      <c r="Y2357" s="23"/>
      <c r="Z2357" s="23"/>
    </row>
    <row r="2358" spans="1:26" ht="13">
      <c r="A2358" s="562" t="s">
        <v>5885</v>
      </c>
      <c r="B2358" s="563" t="s">
        <v>5886</v>
      </c>
      <c r="C2358" s="564" t="s">
        <v>2387</v>
      </c>
      <c r="D2358" s="565">
        <v>43229</v>
      </c>
      <c r="E2358" s="565">
        <v>43312</v>
      </c>
      <c r="F2358" s="566">
        <v>866000</v>
      </c>
      <c r="G2358" s="564" t="s">
        <v>1400</v>
      </c>
      <c r="H2358" s="564" t="s">
        <v>1400</v>
      </c>
      <c r="I2358" s="564" t="s">
        <v>4816</v>
      </c>
      <c r="J2358" s="564" t="s">
        <v>1069</v>
      </c>
      <c r="K2358" s="564" t="s">
        <v>1070</v>
      </c>
      <c r="L2358" s="564" t="s">
        <v>2098</v>
      </c>
      <c r="M2358" s="564" t="s">
        <v>2098</v>
      </c>
      <c r="N2358" s="564" t="s">
        <v>1082</v>
      </c>
      <c r="O2358" s="564" t="s">
        <v>2099</v>
      </c>
      <c r="P2358" s="23"/>
      <c r="Q2358" s="23"/>
      <c r="R2358" s="23"/>
      <c r="S2358" s="23"/>
      <c r="T2358" s="23"/>
      <c r="U2358" s="23"/>
      <c r="V2358" s="23"/>
      <c r="W2358" s="23"/>
      <c r="X2358" s="23"/>
      <c r="Y2358" s="23"/>
      <c r="Z2358" s="23"/>
    </row>
    <row r="2359" spans="1:26" ht="13">
      <c r="A2359" s="562" t="s">
        <v>5887</v>
      </c>
      <c r="B2359" s="563" t="s">
        <v>5888</v>
      </c>
      <c r="C2359" s="564" t="s">
        <v>1551</v>
      </c>
      <c r="D2359" s="565">
        <v>43224</v>
      </c>
      <c r="E2359" s="565">
        <v>43245</v>
      </c>
      <c r="F2359" s="566">
        <v>770000</v>
      </c>
      <c r="G2359" s="564" t="s">
        <v>1424</v>
      </c>
      <c r="H2359" s="564" t="s">
        <v>1424</v>
      </c>
      <c r="I2359" s="564" t="s">
        <v>64</v>
      </c>
      <c r="J2359" s="564" t="s">
        <v>1069</v>
      </c>
      <c r="K2359" s="564" t="s">
        <v>1090</v>
      </c>
      <c r="L2359" s="564" t="s">
        <v>2098</v>
      </c>
      <c r="M2359" s="564" t="s">
        <v>2098</v>
      </c>
      <c r="N2359" s="564" t="s">
        <v>64</v>
      </c>
      <c r="O2359" s="564" t="s">
        <v>2099</v>
      </c>
      <c r="P2359" s="23"/>
      <c r="Q2359" s="23"/>
      <c r="R2359" s="23"/>
      <c r="S2359" s="23"/>
      <c r="T2359" s="23"/>
      <c r="U2359" s="23"/>
      <c r="V2359" s="23"/>
      <c r="W2359" s="23"/>
      <c r="X2359" s="23"/>
      <c r="Y2359" s="23"/>
      <c r="Z2359" s="23"/>
    </row>
    <row r="2360" spans="1:26" ht="13">
      <c r="A2360" s="562" t="s">
        <v>5889</v>
      </c>
      <c r="B2360" s="563" t="s">
        <v>5890</v>
      </c>
      <c r="C2360" s="564" t="s">
        <v>2433</v>
      </c>
      <c r="D2360" s="565">
        <v>43223</v>
      </c>
      <c r="E2360" s="565">
        <v>43312</v>
      </c>
      <c r="F2360" s="566">
        <v>2112000</v>
      </c>
      <c r="G2360" s="564" t="s">
        <v>1400</v>
      </c>
      <c r="H2360" s="564" t="s">
        <v>1400</v>
      </c>
      <c r="I2360" s="564" t="s">
        <v>4816</v>
      </c>
      <c r="J2360" s="564" t="s">
        <v>1069</v>
      </c>
      <c r="K2360" s="564" t="s">
        <v>1070</v>
      </c>
      <c r="L2360" s="564" t="s">
        <v>2098</v>
      </c>
      <c r="M2360" s="564" t="s">
        <v>2098</v>
      </c>
      <c r="N2360" s="564" t="s">
        <v>1082</v>
      </c>
      <c r="O2360" s="564" t="s">
        <v>2099</v>
      </c>
      <c r="P2360" s="23"/>
      <c r="Q2360" s="23"/>
      <c r="R2360" s="23"/>
      <c r="S2360" s="23"/>
      <c r="T2360" s="23"/>
      <c r="U2360" s="23"/>
      <c r="V2360" s="23"/>
      <c r="W2360" s="23"/>
      <c r="X2360" s="23"/>
      <c r="Y2360" s="23"/>
      <c r="Z2360" s="23"/>
    </row>
    <row r="2361" spans="1:26" ht="13">
      <c r="A2361" s="562" t="s">
        <v>5891</v>
      </c>
      <c r="B2361" s="563" t="s">
        <v>5892</v>
      </c>
      <c r="C2361" s="564" t="s">
        <v>3378</v>
      </c>
      <c r="D2361" s="565">
        <v>43222</v>
      </c>
      <c r="E2361" s="565">
        <v>43191</v>
      </c>
      <c r="F2361" s="566">
        <v>14535000</v>
      </c>
      <c r="G2361" s="564" t="s">
        <v>1424</v>
      </c>
      <c r="H2361" s="564" t="s">
        <v>1424</v>
      </c>
      <c r="I2361" s="564" t="s">
        <v>45</v>
      </c>
      <c r="J2361" s="564" t="s">
        <v>1069</v>
      </c>
      <c r="K2361" s="564" t="s">
        <v>1090</v>
      </c>
      <c r="L2361" s="564" t="s">
        <v>1071</v>
      </c>
      <c r="M2361" s="564" t="s">
        <v>1183</v>
      </c>
      <c r="N2361" s="564" t="s">
        <v>45</v>
      </c>
      <c r="O2361" s="564" t="s">
        <v>1472</v>
      </c>
      <c r="P2361" s="23"/>
      <c r="Q2361" s="23"/>
      <c r="R2361" s="23"/>
      <c r="S2361" s="23"/>
      <c r="T2361" s="23"/>
      <c r="U2361" s="23"/>
      <c r="V2361" s="23"/>
      <c r="W2361" s="23"/>
      <c r="X2361" s="23"/>
      <c r="Y2361" s="23"/>
      <c r="Z2361" s="23"/>
    </row>
    <row r="2362" spans="1:26" ht="13">
      <c r="A2362" s="562" t="s">
        <v>5893</v>
      </c>
      <c r="B2362" s="563" t="s">
        <v>5894</v>
      </c>
      <c r="C2362" s="564" t="s">
        <v>3378</v>
      </c>
      <c r="D2362" s="565">
        <v>43222</v>
      </c>
      <c r="E2362" s="565">
        <v>43221</v>
      </c>
      <c r="F2362" s="566">
        <v>12732240</v>
      </c>
      <c r="G2362" s="564" t="s">
        <v>1424</v>
      </c>
      <c r="H2362" s="564" t="s">
        <v>1424</v>
      </c>
      <c r="I2362" s="564" t="s">
        <v>45</v>
      </c>
      <c r="J2362" s="564" t="s">
        <v>1069</v>
      </c>
      <c r="K2362" s="564" t="s">
        <v>1090</v>
      </c>
      <c r="L2362" s="564" t="s">
        <v>1071</v>
      </c>
      <c r="M2362" s="564" t="s">
        <v>1183</v>
      </c>
      <c r="N2362" s="564" t="s">
        <v>45</v>
      </c>
      <c r="O2362" s="564" t="s">
        <v>1472</v>
      </c>
      <c r="P2362" s="23"/>
      <c r="Q2362" s="23"/>
      <c r="R2362" s="23"/>
      <c r="S2362" s="23"/>
      <c r="T2362" s="23"/>
      <c r="U2362" s="23"/>
      <c r="V2362" s="23"/>
      <c r="W2362" s="23"/>
      <c r="X2362" s="23"/>
      <c r="Y2362" s="23"/>
      <c r="Z2362" s="23"/>
    </row>
    <row r="2363" spans="1:26" ht="13">
      <c r="A2363" s="562" t="s">
        <v>5895</v>
      </c>
      <c r="B2363" s="563" t="s">
        <v>4270</v>
      </c>
      <c r="C2363" s="564" t="s">
        <v>2387</v>
      </c>
      <c r="D2363" s="565">
        <v>43216</v>
      </c>
      <c r="E2363" s="565">
        <v>43280</v>
      </c>
      <c r="F2363" s="566">
        <v>1942000</v>
      </c>
      <c r="G2363" s="564" t="s">
        <v>1400</v>
      </c>
      <c r="H2363" s="564" t="s">
        <v>1400</v>
      </c>
      <c r="I2363" s="564" t="s">
        <v>4816</v>
      </c>
      <c r="J2363" s="564" t="s">
        <v>1069</v>
      </c>
      <c r="K2363" s="564" t="s">
        <v>1070</v>
      </c>
      <c r="L2363" s="564" t="s">
        <v>2098</v>
      </c>
      <c r="M2363" s="564" t="s">
        <v>2098</v>
      </c>
      <c r="N2363" s="564" t="s">
        <v>1082</v>
      </c>
      <c r="O2363" s="564" t="s">
        <v>2099</v>
      </c>
      <c r="P2363" s="23"/>
      <c r="Q2363" s="23"/>
      <c r="R2363" s="23"/>
      <c r="S2363" s="23"/>
      <c r="T2363" s="23"/>
      <c r="U2363" s="23"/>
      <c r="V2363" s="23"/>
      <c r="W2363" s="23"/>
      <c r="X2363" s="23"/>
      <c r="Y2363" s="23"/>
      <c r="Z2363" s="23"/>
    </row>
    <row r="2364" spans="1:26" ht="13">
      <c r="A2364" s="562" t="s">
        <v>5896</v>
      </c>
      <c r="B2364" s="563" t="s">
        <v>5897</v>
      </c>
      <c r="C2364" s="564" t="s">
        <v>2387</v>
      </c>
      <c r="D2364" s="565">
        <v>43216</v>
      </c>
      <c r="E2364" s="565">
        <v>43280</v>
      </c>
      <c r="F2364" s="566">
        <v>1165000</v>
      </c>
      <c r="G2364" s="564" t="s">
        <v>1400</v>
      </c>
      <c r="H2364" s="564" t="s">
        <v>1400</v>
      </c>
      <c r="I2364" s="564" t="s">
        <v>4816</v>
      </c>
      <c r="J2364" s="564" t="s">
        <v>1069</v>
      </c>
      <c r="K2364" s="564" t="s">
        <v>1070</v>
      </c>
      <c r="L2364" s="564" t="s">
        <v>2098</v>
      </c>
      <c r="M2364" s="564" t="s">
        <v>2098</v>
      </c>
      <c r="N2364" s="564" t="s">
        <v>1082</v>
      </c>
      <c r="O2364" s="564" t="s">
        <v>2099</v>
      </c>
      <c r="P2364" s="23"/>
      <c r="Q2364" s="23"/>
      <c r="R2364" s="23"/>
      <c r="S2364" s="23"/>
      <c r="T2364" s="23"/>
      <c r="U2364" s="23"/>
      <c r="V2364" s="23"/>
      <c r="W2364" s="23"/>
      <c r="X2364" s="23"/>
      <c r="Y2364" s="23"/>
      <c r="Z2364" s="23"/>
    </row>
    <row r="2365" spans="1:26" ht="13">
      <c r="A2365" s="562" t="s">
        <v>5898</v>
      </c>
      <c r="B2365" s="563" t="s">
        <v>5899</v>
      </c>
      <c r="C2365" s="564" t="s">
        <v>1551</v>
      </c>
      <c r="D2365" s="565">
        <v>43217</v>
      </c>
      <c r="E2365" s="565">
        <v>43245</v>
      </c>
      <c r="F2365" s="566">
        <v>2640000</v>
      </c>
      <c r="G2365" s="564" t="s">
        <v>1424</v>
      </c>
      <c r="H2365" s="564" t="s">
        <v>1424</v>
      </c>
      <c r="I2365" s="564" t="s">
        <v>45</v>
      </c>
      <c r="J2365" s="564" t="s">
        <v>1069</v>
      </c>
      <c r="K2365" s="564" t="s">
        <v>1090</v>
      </c>
      <c r="L2365" s="564" t="s">
        <v>2098</v>
      </c>
      <c r="M2365" s="564" t="s">
        <v>2098</v>
      </c>
      <c r="N2365" s="564" t="s">
        <v>45</v>
      </c>
      <c r="O2365" s="564" t="s">
        <v>2099</v>
      </c>
      <c r="P2365" s="23"/>
      <c r="Q2365" s="23"/>
      <c r="R2365" s="23"/>
      <c r="S2365" s="23"/>
      <c r="T2365" s="23"/>
      <c r="U2365" s="23"/>
      <c r="V2365" s="23"/>
      <c r="W2365" s="23"/>
      <c r="X2365" s="23"/>
      <c r="Y2365" s="23"/>
      <c r="Z2365" s="23"/>
    </row>
    <row r="2366" spans="1:26" ht="13">
      <c r="A2366" s="562" t="s">
        <v>5900</v>
      </c>
      <c r="B2366" s="563" t="s">
        <v>5901</v>
      </c>
      <c r="C2366" s="564" t="s">
        <v>2387</v>
      </c>
      <c r="D2366" s="565">
        <v>43215</v>
      </c>
      <c r="E2366" s="565">
        <v>43280</v>
      </c>
      <c r="F2366" s="566">
        <v>1729000</v>
      </c>
      <c r="G2366" s="564" t="s">
        <v>1400</v>
      </c>
      <c r="H2366" s="564" t="s">
        <v>1400</v>
      </c>
      <c r="I2366" s="564" t="s">
        <v>4816</v>
      </c>
      <c r="J2366" s="564" t="s">
        <v>1069</v>
      </c>
      <c r="K2366" s="564" t="s">
        <v>1070</v>
      </c>
      <c r="L2366" s="564" t="s">
        <v>2098</v>
      </c>
      <c r="M2366" s="564" t="s">
        <v>2098</v>
      </c>
      <c r="N2366" s="564" t="s">
        <v>1082</v>
      </c>
      <c r="O2366" s="564" t="s">
        <v>2099</v>
      </c>
      <c r="P2366" s="23"/>
      <c r="Q2366" s="23"/>
      <c r="R2366" s="23"/>
      <c r="S2366" s="23"/>
      <c r="T2366" s="23"/>
      <c r="U2366" s="23"/>
      <c r="V2366" s="23"/>
      <c r="W2366" s="23"/>
      <c r="X2366" s="23"/>
      <c r="Y2366" s="23"/>
      <c r="Z2366" s="23"/>
    </row>
    <row r="2367" spans="1:26" ht="13">
      <c r="A2367" s="562" t="s">
        <v>5902</v>
      </c>
      <c r="B2367" s="563" t="s">
        <v>5903</v>
      </c>
      <c r="C2367" s="564" t="s">
        <v>1652</v>
      </c>
      <c r="D2367" s="565">
        <v>43214</v>
      </c>
      <c r="E2367" s="565">
        <v>43312</v>
      </c>
      <c r="F2367" s="566">
        <v>598500000</v>
      </c>
      <c r="G2367" s="564" t="s">
        <v>1636</v>
      </c>
      <c r="H2367" s="564" t="s">
        <v>1636</v>
      </c>
      <c r="I2367" s="564" t="s">
        <v>5904</v>
      </c>
      <c r="J2367" s="564" t="s">
        <v>1069</v>
      </c>
      <c r="K2367" s="564" t="s">
        <v>1070</v>
      </c>
      <c r="L2367" s="564" t="s">
        <v>2098</v>
      </c>
      <c r="M2367" s="564" t="s">
        <v>2098</v>
      </c>
      <c r="N2367" s="564" t="s">
        <v>1082</v>
      </c>
      <c r="O2367" s="564" t="s">
        <v>2099</v>
      </c>
      <c r="P2367" s="23"/>
      <c r="Q2367" s="23"/>
      <c r="R2367" s="23"/>
      <c r="S2367" s="23"/>
      <c r="T2367" s="23"/>
      <c r="U2367" s="23"/>
      <c r="V2367" s="23"/>
      <c r="W2367" s="23"/>
      <c r="X2367" s="23"/>
      <c r="Y2367" s="23"/>
      <c r="Z2367" s="23"/>
    </row>
    <row r="2368" spans="1:26" ht="13">
      <c r="A2368" s="562" t="s">
        <v>5905</v>
      </c>
      <c r="B2368" s="563" t="s">
        <v>5906</v>
      </c>
      <c r="C2368" s="564" t="s">
        <v>2387</v>
      </c>
      <c r="D2368" s="565">
        <v>43213</v>
      </c>
      <c r="E2368" s="565">
        <v>43280</v>
      </c>
      <c r="F2368" s="566">
        <v>4752000</v>
      </c>
      <c r="G2368" s="564" t="s">
        <v>1400</v>
      </c>
      <c r="H2368" s="564" t="s">
        <v>1400</v>
      </c>
      <c r="I2368" s="564" t="s">
        <v>4816</v>
      </c>
      <c r="J2368" s="564" t="s">
        <v>1069</v>
      </c>
      <c r="K2368" s="564" t="s">
        <v>1070</v>
      </c>
      <c r="L2368" s="564" t="s">
        <v>2098</v>
      </c>
      <c r="M2368" s="564" t="s">
        <v>2098</v>
      </c>
      <c r="N2368" s="564" t="s">
        <v>1082</v>
      </c>
      <c r="O2368" s="564" t="s">
        <v>2099</v>
      </c>
      <c r="P2368" s="23"/>
      <c r="Q2368" s="23"/>
      <c r="R2368" s="23"/>
      <c r="S2368" s="23"/>
      <c r="T2368" s="23"/>
      <c r="U2368" s="23"/>
      <c r="V2368" s="23"/>
      <c r="W2368" s="23"/>
      <c r="X2368" s="23"/>
      <c r="Y2368" s="23"/>
      <c r="Z2368" s="23"/>
    </row>
    <row r="2369" spans="1:26" ht="13">
      <c r="A2369" s="562" t="s">
        <v>5907</v>
      </c>
      <c r="B2369" s="563" t="s">
        <v>5908</v>
      </c>
      <c r="C2369" s="564" t="s">
        <v>2387</v>
      </c>
      <c r="D2369" s="565">
        <v>43213</v>
      </c>
      <c r="E2369" s="565">
        <v>43280</v>
      </c>
      <c r="F2369" s="566">
        <v>1165000</v>
      </c>
      <c r="G2369" s="564" t="s">
        <v>1400</v>
      </c>
      <c r="H2369" s="564" t="s">
        <v>1400</v>
      </c>
      <c r="I2369" s="564" t="s">
        <v>4816</v>
      </c>
      <c r="J2369" s="564" t="s">
        <v>1069</v>
      </c>
      <c r="K2369" s="564" t="s">
        <v>1070</v>
      </c>
      <c r="L2369" s="564" t="s">
        <v>2098</v>
      </c>
      <c r="M2369" s="564" t="s">
        <v>2098</v>
      </c>
      <c r="N2369" s="564" t="s">
        <v>1082</v>
      </c>
      <c r="O2369" s="564" t="s">
        <v>2099</v>
      </c>
      <c r="P2369" s="23"/>
      <c r="Q2369" s="23"/>
      <c r="R2369" s="23"/>
      <c r="S2369" s="23"/>
      <c r="T2369" s="23"/>
      <c r="U2369" s="23"/>
      <c r="V2369" s="23"/>
      <c r="W2369" s="23"/>
      <c r="X2369" s="23"/>
      <c r="Y2369" s="23"/>
      <c r="Z2369" s="23"/>
    </row>
    <row r="2370" spans="1:26" ht="13">
      <c r="A2370" s="562" t="s">
        <v>5909</v>
      </c>
      <c r="B2370" s="563" t="s">
        <v>5910</v>
      </c>
      <c r="C2370" s="564" t="s">
        <v>1548</v>
      </c>
      <c r="D2370" s="565">
        <v>43213</v>
      </c>
      <c r="E2370" s="565">
        <v>43251</v>
      </c>
      <c r="F2370" s="566">
        <v>3840000</v>
      </c>
      <c r="G2370" s="564" t="s">
        <v>1424</v>
      </c>
      <c r="H2370" s="564" t="s">
        <v>1424</v>
      </c>
      <c r="I2370" s="564" t="s">
        <v>3824</v>
      </c>
      <c r="J2370" s="564" t="s">
        <v>1069</v>
      </c>
      <c r="K2370" s="564" t="s">
        <v>1070</v>
      </c>
      <c r="L2370" s="564" t="s">
        <v>2098</v>
      </c>
      <c r="M2370" s="564" t="s">
        <v>2098</v>
      </c>
      <c r="N2370" s="564" t="s">
        <v>1073</v>
      </c>
      <c r="O2370" s="564" t="s">
        <v>2099</v>
      </c>
      <c r="P2370" s="23"/>
      <c r="Q2370" s="23"/>
      <c r="R2370" s="23"/>
      <c r="S2370" s="23"/>
      <c r="T2370" s="23"/>
      <c r="U2370" s="23"/>
      <c r="V2370" s="23"/>
      <c r="W2370" s="23"/>
      <c r="X2370" s="23"/>
      <c r="Y2370" s="23"/>
      <c r="Z2370" s="23"/>
    </row>
    <row r="2371" spans="1:26" ht="13">
      <c r="A2371" s="562" t="s">
        <v>5911</v>
      </c>
      <c r="B2371" s="563" t="s">
        <v>5912</v>
      </c>
      <c r="C2371" s="564" t="s">
        <v>1370</v>
      </c>
      <c r="D2371" s="565">
        <v>43210</v>
      </c>
      <c r="E2371" s="565">
        <v>43217</v>
      </c>
      <c r="F2371" s="566">
        <v>4415000</v>
      </c>
      <c r="G2371" s="564" t="s">
        <v>1623</v>
      </c>
      <c r="H2371" s="564" t="s">
        <v>1623</v>
      </c>
      <c r="I2371" s="564" t="s">
        <v>1746</v>
      </c>
      <c r="J2371" s="564" t="s">
        <v>1069</v>
      </c>
      <c r="K2371" s="564" t="s">
        <v>1198</v>
      </c>
      <c r="L2371" s="564" t="s">
        <v>2098</v>
      </c>
      <c r="M2371" s="564" t="s">
        <v>2098</v>
      </c>
      <c r="N2371" s="564" t="s">
        <v>1073</v>
      </c>
      <c r="O2371" s="564" t="s">
        <v>2099</v>
      </c>
      <c r="P2371" s="23"/>
      <c r="Q2371" s="23"/>
      <c r="R2371" s="23"/>
      <c r="S2371" s="23"/>
      <c r="T2371" s="23"/>
      <c r="U2371" s="23"/>
      <c r="V2371" s="23"/>
      <c r="W2371" s="23"/>
      <c r="X2371" s="23"/>
      <c r="Y2371" s="23"/>
      <c r="Z2371" s="23"/>
    </row>
    <row r="2372" spans="1:26" ht="13">
      <c r="A2372" s="562" t="s">
        <v>5913</v>
      </c>
      <c r="B2372" s="563" t="s">
        <v>5914</v>
      </c>
      <c r="C2372" s="564" t="s">
        <v>2387</v>
      </c>
      <c r="D2372" s="565">
        <v>43208</v>
      </c>
      <c r="E2372" s="565">
        <v>43280</v>
      </c>
      <c r="F2372" s="566">
        <v>4175000</v>
      </c>
      <c r="G2372" s="564" t="s">
        <v>1400</v>
      </c>
      <c r="H2372" s="564" t="s">
        <v>1400</v>
      </c>
      <c r="I2372" s="564" t="s">
        <v>4816</v>
      </c>
      <c r="J2372" s="564" t="s">
        <v>1069</v>
      </c>
      <c r="K2372" s="564" t="s">
        <v>1070</v>
      </c>
      <c r="L2372" s="564" t="s">
        <v>2098</v>
      </c>
      <c r="M2372" s="564" t="s">
        <v>2098</v>
      </c>
      <c r="N2372" s="564" t="s">
        <v>1082</v>
      </c>
      <c r="O2372" s="564" t="s">
        <v>2099</v>
      </c>
      <c r="P2372" s="23"/>
      <c r="Q2372" s="23"/>
      <c r="R2372" s="23"/>
      <c r="S2372" s="23"/>
      <c r="T2372" s="23"/>
      <c r="U2372" s="23"/>
      <c r="V2372" s="23"/>
      <c r="W2372" s="23"/>
      <c r="X2372" s="23"/>
      <c r="Y2372" s="23"/>
      <c r="Z2372" s="23"/>
    </row>
    <row r="2373" spans="1:26" ht="13">
      <c r="A2373" s="562" t="s">
        <v>5915</v>
      </c>
      <c r="B2373" s="563" t="s">
        <v>5916</v>
      </c>
      <c r="C2373" s="564" t="s">
        <v>1551</v>
      </c>
      <c r="D2373" s="565">
        <v>43203</v>
      </c>
      <c r="E2373" s="565">
        <v>43251</v>
      </c>
      <c r="F2373" s="566">
        <v>30690000</v>
      </c>
      <c r="G2373" s="564" t="s">
        <v>1424</v>
      </c>
      <c r="H2373" s="564" t="s">
        <v>1424</v>
      </c>
      <c r="I2373" s="564" t="s">
        <v>45</v>
      </c>
      <c r="J2373" s="564" t="s">
        <v>1069</v>
      </c>
      <c r="K2373" s="564" t="s">
        <v>1090</v>
      </c>
      <c r="L2373" s="564" t="s">
        <v>2098</v>
      </c>
      <c r="M2373" s="564" t="s">
        <v>2098</v>
      </c>
      <c r="N2373" s="564" t="s">
        <v>45</v>
      </c>
      <c r="O2373" s="564" t="s">
        <v>2099</v>
      </c>
      <c r="P2373" s="23"/>
      <c r="Q2373" s="23"/>
      <c r="R2373" s="23"/>
      <c r="S2373" s="23"/>
      <c r="T2373" s="23"/>
      <c r="U2373" s="23"/>
      <c r="V2373" s="23"/>
      <c r="W2373" s="23"/>
      <c r="X2373" s="23"/>
      <c r="Y2373" s="23"/>
      <c r="Z2373" s="23"/>
    </row>
    <row r="2374" spans="1:26" ht="13">
      <c r="A2374" s="562" t="s">
        <v>5917</v>
      </c>
      <c r="B2374" s="563" t="s">
        <v>5918</v>
      </c>
      <c r="C2374" s="564" t="s">
        <v>2387</v>
      </c>
      <c r="D2374" s="565">
        <v>43203</v>
      </c>
      <c r="E2374" s="565">
        <v>43280</v>
      </c>
      <c r="F2374" s="566">
        <v>1165000</v>
      </c>
      <c r="G2374" s="564" t="s">
        <v>1400</v>
      </c>
      <c r="H2374" s="564" t="s">
        <v>1400</v>
      </c>
      <c r="I2374" s="564" t="s">
        <v>4816</v>
      </c>
      <c r="J2374" s="564" t="s">
        <v>1069</v>
      </c>
      <c r="K2374" s="564" t="s">
        <v>1070</v>
      </c>
      <c r="L2374" s="564" t="s">
        <v>2098</v>
      </c>
      <c r="M2374" s="564" t="s">
        <v>2098</v>
      </c>
      <c r="N2374" s="564" t="s">
        <v>1082</v>
      </c>
      <c r="O2374" s="564" t="s">
        <v>2099</v>
      </c>
      <c r="P2374" s="23"/>
      <c r="Q2374" s="23"/>
      <c r="R2374" s="23"/>
      <c r="S2374" s="23"/>
      <c r="T2374" s="23"/>
      <c r="U2374" s="23"/>
      <c r="V2374" s="23"/>
      <c r="W2374" s="23"/>
      <c r="X2374" s="23"/>
      <c r="Y2374" s="23"/>
      <c r="Z2374" s="23"/>
    </row>
    <row r="2375" spans="1:26" ht="13">
      <c r="A2375" s="562" t="s">
        <v>5919</v>
      </c>
      <c r="B2375" s="563" t="s">
        <v>5920</v>
      </c>
      <c r="C2375" s="564" t="s">
        <v>1551</v>
      </c>
      <c r="D2375" s="565">
        <v>43202</v>
      </c>
      <c r="E2375" s="565">
        <v>43251</v>
      </c>
      <c r="F2375" s="566">
        <v>246942000</v>
      </c>
      <c r="G2375" s="564" t="s">
        <v>1424</v>
      </c>
      <c r="H2375" s="564" t="s">
        <v>1424</v>
      </c>
      <c r="I2375" s="564" t="s">
        <v>45</v>
      </c>
      <c r="J2375" s="564" t="s">
        <v>1069</v>
      </c>
      <c r="K2375" s="564" t="s">
        <v>1090</v>
      </c>
      <c r="L2375" s="564" t="s">
        <v>2098</v>
      </c>
      <c r="M2375" s="564" t="s">
        <v>2098</v>
      </c>
      <c r="N2375" s="564" t="s">
        <v>45</v>
      </c>
      <c r="O2375" s="564" t="s">
        <v>2099</v>
      </c>
      <c r="P2375" s="23"/>
      <c r="Q2375" s="23"/>
      <c r="R2375" s="23"/>
      <c r="S2375" s="23"/>
      <c r="T2375" s="23"/>
      <c r="U2375" s="23"/>
      <c r="V2375" s="23"/>
      <c r="W2375" s="23"/>
      <c r="X2375" s="23"/>
      <c r="Y2375" s="23"/>
      <c r="Z2375" s="23"/>
    </row>
    <row r="2376" spans="1:26" ht="13">
      <c r="A2376" s="562" t="s">
        <v>5921</v>
      </c>
      <c r="B2376" s="563" t="s">
        <v>5810</v>
      </c>
      <c r="C2376" s="564" t="s">
        <v>1652</v>
      </c>
      <c r="D2376" s="565">
        <v>43200</v>
      </c>
      <c r="E2376" s="565">
        <v>43230</v>
      </c>
      <c r="F2376" s="566">
        <v>1030000</v>
      </c>
      <c r="G2376" s="564" t="s">
        <v>1424</v>
      </c>
      <c r="H2376" s="564" t="s">
        <v>1424</v>
      </c>
      <c r="I2376" s="564" t="s">
        <v>70</v>
      </c>
      <c r="J2376" s="564" t="s">
        <v>1069</v>
      </c>
      <c r="K2376" s="564" t="s">
        <v>1120</v>
      </c>
      <c r="L2376" s="564" t="s">
        <v>2098</v>
      </c>
      <c r="M2376" s="564" t="s">
        <v>2098</v>
      </c>
      <c r="N2376" s="564" t="s">
        <v>70</v>
      </c>
      <c r="O2376" s="564" t="s">
        <v>2099</v>
      </c>
      <c r="P2376" s="23"/>
      <c r="Q2376" s="23"/>
      <c r="R2376" s="23"/>
      <c r="S2376" s="23"/>
      <c r="T2376" s="23"/>
      <c r="U2376" s="23"/>
      <c r="V2376" s="23"/>
      <c r="W2376" s="23"/>
      <c r="X2376" s="23"/>
      <c r="Y2376" s="23"/>
      <c r="Z2376" s="23"/>
    </row>
    <row r="2377" spans="1:26" ht="13">
      <c r="A2377" s="562" t="s">
        <v>5922</v>
      </c>
      <c r="B2377" s="563" t="s">
        <v>5923</v>
      </c>
      <c r="C2377" s="564" t="s">
        <v>1548</v>
      </c>
      <c r="D2377" s="565">
        <v>43201</v>
      </c>
      <c r="E2377" s="565">
        <v>43281</v>
      </c>
      <c r="F2377" s="566">
        <v>846000000</v>
      </c>
      <c r="G2377" s="564" t="s">
        <v>2876</v>
      </c>
      <c r="H2377" s="564" t="s">
        <v>2876</v>
      </c>
      <c r="I2377" s="564" t="s">
        <v>1842</v>
      </c>
      <c r="J2377" s="564" t="s">
        <v>1069</v>
      </c>
      <c r="K2377" s="564" t="s">
        <v>2878</v>
      </c>
      <c r="L2377" s="564" t="s">
        <v>2098</v>
      </c>
      <c r="M2377" s="564" t="s">
        <v>2098</v>
      </c>
      <c r="N2377" s="564" t="s">
        <v>1082</v>
      </c>
      <c r="O2377" s="564" t="s">
        <v>2099</v>
      </c>
      <c r="P2377" s="23"/>
      <c r="Q2377" s="23"/>
      <c r="R2377" s="23"/>
      <c r="S2377" s="23"/>
      <c r="T2377" s="23"/>
      <c r="U2377" s="23"/>
      <c r="V2377" s="23"/>
      <c r="W2377" s="23"/>
      <c r="X2377" s="23"/>
      <c r="Y2377" s="23"/>
      <c r="Z2377" s="23"/>
    </row>
    <row r="2378" spans="1:26" ht="13">
      <c r="A2378" s="562" t="s">
        <v>5924</v>
      </c>
      <c r="B2378" s="563" t="s">
        <v>5925</v>
      </c>
      <c r="C2378" s="564" t="s">
        <v>1551</v>
      </c>
      <c r="D2378" s="565">
        <v>43200</v>
      </c>
      <c r="E2378" s="565">
        <v>43220</v>
      </c>
      <c r="F2378" s="566">
        <v>65890000</v>
      </c>
      <c r="G2378" s="564" t="s">
        <v>1157</v>
      </c>
      <c r="H2378" s="564" t="s">
        <v>1157</v>
      </c>
      <c r="I2378" s="564" t="s">
        <v>64</v>
      </c>
      <c r="J2378" s="564" t="s">
        <v>1069</v>
      </c>
      <c r="K2378" s="564" t="s">
        <v>1090</v>
      </c>
      <c r="L2378" s="564" t="s">
        <v>2098</v>
      </c>
      <c r="M2378" s="564" t="s">
        <v>2098</v>
      </c>
      <c r="N2378" s="564" t="s">
        <v>64</v>
      </c>
      <c r="O2378" s="564" t="s">
        <v>2099</v>
      </c>
      <c r="P2378" s="23"/>
      <c r="Q2378" s="23"/>
      <c r="R2378" s="23"/>
      <c r="S2378" s="23"/>
      <c r="T2378" s="23"/>
      <c r="U2378" s="23"/>
      <c r="V2378" s="23"/>
      <c r="W2378" s="23"/>
      <c r="X2378" s="23"/>
      <c r="Y2378" s="23"/>
      <c r="Z2378" s="23"/>
    </row>
    <row r="2379" spans="1:26" ht="13">
      <c r="A2379" s="562" t="s">
        <v>5926</v>
      </c>
      <c r="B2379" s="563" t="s">
        <v>5927</v>
      </c>
      <c r="C2379" s="564" t="s">
        <v>1551</v>
      </c>
      <c r="D2379" s="565">
        <v>43199</v>
      </c>
      <c r="E2379" s="565">
        <v>43238</v>
      </c>
      <c r="F2379" s="566">
        <v>2520000</v>
      </c>
      <c r="G2379" s="564" t="s">
        <v>1424</v>
      </c>
      <c r="H2379" s="564" t="s">
        <v>1424</v>
      </c>
      <c r="I2379" s="564" t="s">
        <v>64</v>
      </c>
      <c r="J2379" s="564" t="s">
        <v>1069</v>
      </c>
      <c r="K2379" s="564" t="s">
        <v>1090</v>
      </c>
      <c r="L2379" s="564" t="s">
        <v>2098</v>
      </c>
      <c r="M2379" s="564" t="s">
        <v>2098</v>
      </c>
      <c r="N2379" s="564" t="s">
        <v>64</v>
      </c>
      <c r="O2379" s="564" t="s">
        <v>2099</v>
      </c>
      <c r="P2379" s="23"/>
      <c r="Q2379" s="23"/>
      <c r="R2379" s="23"/>
      <c r="S2379" s="23"/>
      <c r="T2379" s="23"/>
      <c r="U2379" s="23"/>
      <c r="V2379" s="23"/>
      <c r="W2379" s="23"/>
      <c r="X2379" s="23"/>
      <c r="Y2379" s="23"/>
      <c r="Z2379" s="23"/>
    </row>
    <row r="2380" spans="1:26" ht="13">
      <c r="A2380" s="562" t="s">
        <v>5928</v>
      </c>
      <c r="B2380" s="563" t="s">
        <v>5799</v>
      </c>
      <c r="C2380" s="564" t="s">
        <v>1551</v>
      </c>
      <c r="D2380" s="565">
        <v>43195</v>
      </c>
      <c r="E2380" s="565">
        <v>43220</v>
      </c>
      <c r="F2380" s="566">
        <v>152000</v>
      </c>
      <c r="G2380" s="564" t="s">
        <v>1424</v>
      </c>
      <c r="H2380" s="564" t="s">
        <v>1424</v>
      </c>
      <c r="I2380" s="564" t="s">
        <v>64</v>
      </c>
      <c r="J2380" s="564" t="s">
        <v>1069</v>
      </c>
      <c r="K2380" s="564" t="s">
        <v>1090</v>
      </c>
      <c r="L2380" s="564" t="s">
        <v>2098</v>
      </c>
      <c r="M2380" s="564" t="s">
        <v>2098</v>
      </c>
      <c r="N2380" s="564" t="s">
        <v>64</v>
      </c>
      <c r="O2380" s="564" t="s">
        <v>2099</v>
      </c>
      <c r="P2380" s="23"/>
      <c r="Q2380" s="23"/>
      <c r="R2380" s="23"/>
      <c r="S2380" s="23"/>
      <c r="T2380" s="23"/>
      <c r="U2380" s="23"/>
      <c r="V2380" s="23"/>
      <c r="W2380" s="23"/>
      <c r="X2380" s="23"/>
      <c r="Y2380" s="23"/>
      <c r="Z2380" s="23"/>
    </row>
    <row r="2381" spans="1:26" ht="13">
      <c r="A2381" s="562" t="s">
        <v>5929</v>
      </c>
      <c r="B2381" s="563" t="s">
        <v>5930</v>
      </c>
      <c r="C2381" s="564" t="s">
        <v>2387</v>
      </c>
      <c r="D2381" s="565">
        <v>43195</v>
      </c>
      <c r="E2381" s="565">
        <v>43280</v>
      </c>
      <c r="F2381" s="566">
        <v>12604000</v>
      </c>
      <c r="G2381" s="564" t="s">
        <v>1400</v>
      </c>
      <c r="H2381" s="564" t="s">
        <v>1400</v>
      </c>
      <c r="I2381" s="564" t="s">
        <v>4816</v>
      </c>
      <c r="J2381" s="564" t="s">
        <v>1069</v>
      </c>
      <c r="K2381" s="564" t="s">
        <v>1070</v>
      </c>
      <c r="L2381" s="564" t="s">
        <v>2098</v>
      </c>
      <c r="M2381" s="564" t="s">
        <v>2098</v>
      </c>
      <c r="N2381" s="564" t="s">
        <v>1082</v>
      </c>
      <c r="O2381" s="564" t="s">
        <v>2099</v>
      </c>
      <c r="P2381" s="23"/>
      <c r="Q2381" s="23"/>
      <c r="R2381" s="23"/>
      <c r="S2381" s="23"/>
      <c r="T2381" s="23"/>
      <c r="U2381" s="23"/>
      <c r="V2381" s="23"/>
      <c r="W2381" s="23"/>
      <c r="X2381" s="23"/>
      <c r="Y2381" s="23"/>
      <c r="Z2381" s="23"/>
    </row>
    <row r="2382" spans="1:26" ht="13">
      <c r="A2382" s="562" t="s">
        <v>5931</v>
      </c>
      <c r="B2382" s="563" t="s">
        <v>5932</v>
      </c>
      <c r="C2382" s="564" t="s">
        <v>2387</v>
      </c>
      <c r="D2382" s="565">
        <v>43195</v>
      </c>
      <c r="E2382" s="565">
        <v>43280</v>
      </c>
      <c r="F2382" s="566">
        <v>1165000</v>
      </c>
      <c r="G2382" s="564" t="s">
        <v>1400</v>
      </c>
      <c r="H2382" s="564" t="s">
        <v>1400</v>
      </c>
      <c r="I2382" s="564" t="s">
        <v>4816</v>
      </c>
      <c r="J2382" s="564" t="s">
        <v>1069</v>
      </c>
      <c r="K2382" s="564" t="s">
        <v>1070</v>
      </c>
      <c r="L2382" s="564" t="s">
        <v>2098</v>
      </c>
      <c r="M2382" s="564" t="s">
        <v>2098</v>
      </c>
      <c r="N2382" s="564" t="s">
        <v>1082</v>
      </c>
      <c r="O2382" s="564" t="s">
        <v>2099</v>
      </c>
      <c r="P2382" s="23"/>
      <c r="Q2382" s="23"/>
      <c r="R2382" s="23"/>
      <c r="S2382" s="23"/>
      <c r="T2382" s="23"/>
      <c r="U2382" s="23"/>
      <c r="V2382" s="23"/>
      <c r="W2382" s="23"/>
      <c r="X2382" s="23"/>
      <c r="Y2382" s="23"/>
      <c r="Z2382" s="23"/>
    </row>
    <row r="2383" spans="1:26" ht="13">
      <c r="A2383" s="562" t="s">
        <v>5933</v>
      </c>
      <c r="B2383" s="563" t="s">
        <v>5799</v>
      </c>
      <c r="C2383" s="564" t="s">
        <v>1551</v>
      </c>
      <c r="D2383" s="565">
        <v>43195</v>
      </c>
      <c r="E2383" s="565">
        <v>43220</v>
      </c>
      <c r="F2383" s="566">
        <v>152000</v>
      </c>
      <c r="G2383" s="564" t="s">
        <v>1424</v>
      </c>
      <c r="H2383" s="564" t="s">
        <v>1424</v>
      </c>
      <c r="I2383" s="564" t="s">
        <v>64</v>
      </c>
      <c r="J2383" s="564" t="s">
        <v>1069</v>
      </c>
      <c r="K2383" s="564" t="s">
        <v>1090</v>
      </c>
      <c r="L2383" s="564" t="s">
        <v>2098</v>
      </c>
      <c r="M2383" s="564" t="s">
        <v>2098</v>
      </c>
      <c r="N2383" s="564" t="s">
        <v>64</v>
      </c>
      <c r="O2383" s="564" t="s">
        <v>2099</v>
      </c>
      <c r="P2383" s="23"/>
      <c r="Q2383" s="23"/>
      <c r="R2383" s="23"/>
      <c r="S2383" s="23"/>
      <c r="T2383" s="23"/>
      <c r="U2383" s="23"/>
      <c r="V2383" s="23"/>
      <c r="W2383" s="23"/>
      <c r="X2383" s="23"/>
      <c r="Y2383" s="23"/>
      <c r="Z2383" s="23"/>
    </row>
    <row r="2384" spans="1:26" ht="13">
      <c r="A2384" s="562" t="s">
        <v>5934</v>
      </c>
      <c r="B2384" s="563" t="s">
        <v>5935</v>
      </c>
      <c r="C2384" s="564" t="s">
        <v>2387</v>
      </c>
      <c r="D2384" s="565">
        <v>43195</v>
      </c>
      <c r="E2384" s="565">
        <v>43280</v>
      </c>
      <c r="F2384" s="566">
        <v>47522000</v>
      </c>
      <c r="G2384" s="564" t="s">
        <v>1400</v>
      </c>
      <c r="H2384" s="564" t="s">
        <v>1400</v>
      </c>
      <c r="I2384" s="564" t="s">
        <v>4816</v>
      </c>
      <c r="J2384" s="564" t="s">
        <v>1069</v>
      </c>
      <c r="K2384" s="564" t="s">
        <v>1070</v>
      </c>
      <c r="L2384" s="564" t="s">
        <v>2098</v>
      </c>
      <c r="M2384" s="564" t="s">
        <v>2098</v>
      </c>
      <c r="N2384" s="564" t="s">
        <v>1082</v>
      </c>
      <c r="O2384" s="564" t="s">
        <v>2099</v>
      </c>
      <c r="P2384" s="23"/>
      <c r="Q2384" s="23"/>
      <c r="R2384" s="23"/>
      <c r="S2384" s="23"/>
      <c r="T2384" s="23"/>
      <c r="U2384" s="23"/>
      <c r="V2384" s="23"/>
      <c r="W2384" s="23"/>
      <c r="X2384" s="23"/>
      <c r="Y2384" s="23"/>
      <c r="Z2384" s="23"/>
    </row>
    <row r="2385" spans="1:26" ht="13">
      <c r="A2385" s="562" t="s">
        <v>5936</v>
      </c>
      <c r="B2385" s="563" t="s">
        <v>5937</v>
      </c>
      <c r="C2385" s="564" t="s">
        <v>2387</v>
      </c>
      <c r="D2385" s="565">
        <v>43194</v>
      </c>
      <c r="E2385" s="565">
        <v>43280</v>
      </c>
      <c r="F2385" s="566">
        <v>2330000</v>
      </c>
      <c r="G2385" s="564" t="s">
        <v>1400</v>
      </c>
      <c r="H2385" s="564" t="s">
        <v>1400</v>
      </c>
      <c r="I2385" s="564" t="s">
        <v>4816</v>
      </c>
      <c r="J2385" s="564" t="s">
        <v>1069</v>
      </c>
      <c r="K2385" s="564" t="s">
        <v>1070</v>
      </c>
      <c r="L2385" s="564" t="s">
        <v>2098</v>
      </c>
      <c r="M2385" s="564" t="s">
        <v>2098</v>
      </c>
      <c r="N2385" s="564" t="s">
        <v>1082</v>
      </c>
      <c r="O2385" s="564" t="s">
        <v>2099</v>
      </c>
      <c r="P2385" s="23"/>
      <c r="Q2385" s="23"/>
      <c r="R2385" s="23"/>
      <c r="S2385" s="23"/>
      <c r="T2385" s="23"/>
      <c r="U2385" s="23"/>
      <c r="V2385" s="23"/>
      <c r="W2385" s="23"/>
      <c r="X2385" s="23"/>
      <c r="Y2385" s="23"/>
      <c r="Z2385" s="23"/>
    </row>
    <row r="2386" spans="1:26" ht="13">
      <c r="A2386" s="562" t="s">
        <v>5938</v>
      </c>
      <c r="B2386" s="563" t="s">
        <v>5939</v>
      </c>
      <c r="C2386" s="564" t="s">
        <v>1548</v>
      </c>
      <c r="D2386" s="565">
        <v>43194</v>
      </c>
      <c r="E2386" s="565">
        <v>43220</v>
      </c>
      <c r="F2386" s="566">
        <v>2028000</v>
      </c>
      <c r="G2386" s="564" t="s">
        <v>1424</v>
      </c>
      <c r="H2386" s="564" t="s">
        <v>1424</v>
      </c>
      <c r="I2386" s="564" t="s">
        <v>146</v>
      </c>
      <c r="J2386" s="564" t="s">
        <v>1069</v>
      </c>
      <c r="K2386" s="564" t="s">
        <v>1070</v>
      </c>
      <c r="L2386" s="564" t="s">
        <v>2098</v>
      </c>
      <c r="M2386" s="564" t="s">
        <v>2098</v>
      </c>
      <c r="N2386" s="564" t="s">
        <v>1073</v>
      </c>
      <c r="O2386" s="564" t="s">
        <v>2099</v>
      </c>
      <c r="P2386" s="23"/>
      <c r="Q2386" s="23"/>
      <c r="R2386" s="23"/>
      <c r="S2386" s="23"/>
      <c r="T2386" s="23"/>
      <c r="U2386" s="23"/>
      <c r="V2386" s="23"/>
      <c r="W2386" s="23"/>
      <c r="X2386" s="23"/>
      <c r="Y2386" s="23"/>
      <c r="Z2386" s="23"/>
    </row>
    <row r="2387" spans="1:26" ht="13">
      <c r="A2387" s="562" t="s">
        <v>5940</v>
      </c>
      <c r="B2387" s="563" t="s">
        <v>5941</v>
      </c>
      <c r="C2387" s="564" t="s">
        <v>1551</v>
      </c>
      <c r="D2387" s="565">
        <v>43192</v>
      </c>
      <c r="E2387" s="565">
        <v>43220</v>
      </c>
      <c r="F2387" s="566">
        <v>387000000</v>
      </c>
      <c r="G2387" s="564" t="s">
        <v>5465</v>
      </c>
      <c r="H2387" s="564" t="s">
        <v>5465</v>
      </c>
      <c r="I2387" s="564" t="s">
        <v>45</v>
      </c>
      <c r="J2387" s="564" t="s">
        <v>1069</v>
      </c>
      <c r="K2387" s="564" t="s">
        <v>1090</v>
      </c>
      <c r="L2387" s="564" t="s">
        <v>2098</v>
      </c>
      <c r="M2387" s="564" t="s">
        <v>2098</v>
      </c>
      <c r="N2387" s="564" t="s">
        <v>45</v>
      </c>
      <c r="O2387" s="564" t="s">
        <v>2099</v>
      </c>
      <c r="P2387" s="23"/>
      <c r="Q2387" s="23"/>
      <c r="R2387" s="23"/>
      <c r="S2387" s="23"/>
      <c r="T2387" s="23"/>
      <c r="U2387" s="23"/>
      <c r="V2387" s="23"/>
      <c r="W2387" s="23"/>
      <c r="X2387" s="23"/>
      <c r="Y2387" s="23"/>
      <c r="Z2387" s="23"/>
    </row>
    <row r="2388" spans="1:26" ht="13">
      <c r="A2388" s="562" t="s">
        <v>5942</v>
      </c>
      <c r="B2388" s="563" t="s">
        <v>5943</v>
      </c>
      <c r="C2388" s="564" t="s">
        <v>1551</v>
      </c>
      <c r="D2388" s="565">
        <v>43192</v>
      </c>
      <c r="E2388" s="565">
        <v>43220</v>
      </c>
      <c r="F2388" s="566">
        <v>180745000</v>
      </c>
      <c r="G2388" s="564" t="s">
        <v>5465</v>
      </c>
      <c r="H2388" s="564" t="s">
        <v>5465</v>
      </c>
      <c r="I2388" s="564" t="s">
        <v>45</v>
      </c>
      <c r="J2388" s="564" t="s">
        <v>1069</v>
      </c>
      <c r="K2388" s="564" t="s">
        <v>1090</v>
      </c>
      <c r="L2388" s="564" t="s">
        <v>2098</v>
      </c>
      <c r="M2388" s="564" t="s">
        <v>2098</v>
      </c>
      <c r="N2388" s="564" t="s">
        <v>45</v>
      </c>
      <c r="O2388" s="564" t="s">
        <v>2099</v>
      </c>
      <c r="P2388" s="23"/>
      <c r="Q2388" s="23"/>
      <c r="R2388" s="23"/>
      <c r="S2388" s="23"/>
      <c r="T2388" s="23"/>
      <c r="U2388" s="23"/>
      <c r="V2388" s="23"/>
      <c r="W2388" s="23"/>
      <c r="X2388" s="23"/>
      <c r="Y2388" s="23"/>
      <c r="Z2388" s="23"/>
    </row>
    <row r="2389" spans="1:26" ht="13">
      <c r="A2389" s="562" t="s">
        <v>5944</v>
      </c>
      <c r="B2389" s="563" t="s">
        <v>5945</v>
      </c>
      <c r="C2389" s="564" t="s">
        <v>2387</v>
      </c>
      <c r="D2389" s="565">
        <v>43193</v>
      </c>
      <c r="E2389" s="565">
        <v>43281</v>
      </c>
      <c r="F2389" s="566">
        <v>1333000</v>
      </c>
      <c r="G2389" s="564" t="s">
        <v>1400</v>
      </c>
      <c r="H2389" s="564" t="s">
        <v>1400</v>
      </c>
      <c r="I2389" s="564" t="s">
        <v>4816</v>
      </c>
      <c r="J2389" s="564" t="s">
        <v>1069</v>
      </c>
      <c r="K2389" s="564" t="s">
        <v>1070</v>
      </c>
      <c r="L2389" s="564" t="s">
        <v>2098</v>
      </c>
      <c r="M2389" s="564" t="s">
        <v>2098</v>
      </c>
      <c r="N2389" s="564" t="s">
        <v>1082</v>
      </c>
      <c r="O2389" s="564" t="s">
        <v>2099</v>
      </c>
      <c r="P2389" s="23"/>
      <c r="Q2389" s="23"/>
      <c r="R2389" s="23"/>
      <c r="S2389" s="23"/>
      <c r="T2389" s="23"/>
      <c r="U2389" s="23"/>
      <c r="V2389" s="23"/>
      <c r="W2389" s="23"/>
      <c r="X2389" s="23"/>
      <c r="Y2389" s="23"/>
      <c r="Z2389" s="23"/>
    </row>
    <row r="2390" spans="1:26" ht="13">
      <c r="A2390" s="562" t="s">
        <v>5946</v>
      </c>
      <c r="B2390" s="563" t="s">
        <v>5947</v>
      </c>
      <c r="C2390" s="564" t="s">
        <v>1370</v>
      </c>
      <c r="D2390" s="565">
        <v>43192</v>
      </c>
      <c r="E2390" s="565">
        <v>43196</v>
      </c>
      <c r="F2390" s="566">
        <v>8427273</v>
      </c>
      <c r="G2390" s="564" t="s">
        <v>1623</v>
      </c>
      <c r="H2390" s="564" t="s">
        <v>1623</v>
      </c>
      <c r="I2390" s="564" t="s">
        <v>802</v>
      </c>
      <c r="J2390" s="564" t="s">
        <v>1069</v>
      </c>
      <c r="K2390" s="564" t="s">
        <v>1198</v>
      </c>
      <c r="L2390" s="564" t="s">
        <v>2098</v>
      </c>
      <c r="M2390" s="564" t="s">
        <v>2098</v>
      </c>
      <c r="N2390" s="564" t="s">
        <v>132</v>
      </c>
      <c r="O2390" s="564" t="s">
        <v>2099</v>
      </c>
      <c r="P2390" s="23"/>
      <c r="Q2390" s="23"/>
      <c r="R2390" s="23"/>
      <c r="S2390" s="23"/>
      <c r="T2390" s="23"/>
      <c r="U2390" s="23"/>
      <c r="V2390" s="23"/>
      <c r="W2390" s="23"/>
      <c r="X2390" s="23"/>
      <c r="Y2390" s="23"/>
      <c r="Z2390" s="23"/>
    </row>
    <row r="2391" spans="1:26" ht="13">
      <c r="A2391" s="562" t="s">
        <v>5948</v>
      </c>
      <c r="B2391" s="563" t="s">
        <v>5949</v>
      </c>
      <c r="C2391" s="564" t="s">
        <v>1551</v>
      </c>
      <c r="D2391" s="565">
        <v>43188</v>
      </c>
      <c r="E2391" s="565">
        <v>43220</v>
      </c>
      <c r="F2391" s="566">
        <v>3315000</v>
      </c>
      <c r="G2391" s="564" t="s">
        <v>1424</v>
      </c>
      <c r="H2391" s="564" t="s">
        <v>1424</v>
      </c>
      <c r="I2391" s="564" t="s">
        <v>64</v>
      </c>
      <c r="J2391" s="564" t="s">
        <v>1069</v>
      </c>
      <c r="K2391" s="564" t="s">
        <v>1090</v>
      </c>
      <c r="L2391" s="564" t="s">
        <v>2098</v>
      </c>
      <c r="M2391" s="564" t="s">
        <v>2098</v>
      </c>
      <c r="N2391" s="564" t="s">
        <v>64</v>
      </c>
      <c r="O2391" s="564" t="s">
        <v>2099</v>
      </c>
      <c r="P2391" s="23"/>
      <c r="Q2391" s="23"/>
      <c r="R2391" s="23"/>
      <c r="S2391" s="23"/>
      <c r="T2391" s="23"/>
      <c r="U2391" s="23"/>
      <c r="V2391" s="23"/>
      <c r="W2391" s="23"/>
      <c r="X2391" s="23"/>
      <c r="Y2391" s="23"/>
      <c r="Z2391" s="23"/>
    </row>
    <row r="2392" spans="1:26" ht="13">
      <c r="A2392" s="562" t="s">
        <v>5950</v>
      </c>
      <c r="B2392" s="563" t="s">
        <v>5951</v>
      </c>
      <c r="C2392" s="564" t="s">
        <v>2387</v>
      </c>
      <c r="D2392" s="565">
        <v>43192</v>
      </c>
      <c r="E2392" s="565">
        <v>43280</v>
      </c>
      <c r="F2392" s="566">
        <v>3277000</v>
      </c>
      <c r="G2392" s="564" t="s">
        <v>1400</v>
      </c>
      <c r="H2392" s="564" t="s">
        <v>1400</v>
      </c>
      <c r="I2392" s="564" t="s">
        <v>4816</v>
      </c>
      <c r="J2392" s="564" t="s">
        <v>1069</v>
      </c>
      <c r="K2392" s="564" t="s">
        <v>1070</v>
      </c>
      <c r="L2392" s="564" t="s">
        <v>2098</v>
      </c>
      <c r="M2392" s="564" t="s">
        <v>2098</v>
      </c>
      <c r="N2392" s="564" t="s">
        <v>1082</v>
      </c>
      <c r="O2392" s="564" t="s">
        <v>2099</v>
      </c>
      <c r="P2392" s="23"/>
      <c r="Q2392" s="23"/>
      <c r="R2392" s="23"/>
      <c r="S2392" s="23"/>
      <c r="T2392" s="23"/>
      <c r="U2392" s="23"/>
      <c r="V2392" s="23"/>
      <c r="W2392" s="23"/>
      <c r="X2392" s="23"/>
      <c r="Y2392" s="23"/>
      <c r="Z2392" s="23"/>
    </row>
    <row r="2393" spans="1:26" ht="13">
      <c r="A2393" s="562" t="s">
        <v>5952</v>
      </c>
      <c r="B2393" s="563" t="s">
        <v>5953</v>
      </c>
      <c r="C2393" s="564" t="s">
        <v>1551</v>
      </c>
      <c r="D2393" s="565">
        <v>43193</v>
      </c>
      <c r="E2393" s="565">
        <v>43220</v>
      </c>
      <c r="F2393" s="566">
        <v>130368000</v>
      </c>
      <c r="G2393" s="564" t="s">
        <v>5465</v>
      </c>
      <c r="H2393" s="564" t="s">
        <v>5465</v>
      </c>
      <c r="I2393" s="564" t="s">
        <v>45</v>
      </c>
      <c r="J2393" s="564" t="s">
        <v>1069</v>
      </c>
      <c r="K2393" s="564" t="s">
        <v>1090</v>
      </c>
      <c r="L2393" s="564" t="s">
        <v>2098</v>
      </c>
      <c r="M2393" s="564" t="s">
        <v>2098</v>
      </c>
      <c r="N2393" s="564" t="s">
        <v>45</v>
      </c>
      <c r="O2393" s="564" t="s">
        <v>2099</v>
      </c>
      <c r="P2393" s="23"/>
      <c r="Q2393" s="23"/>
      <c r="R2393" s="23"/>
      <c r="S2393" s="23"/>
      <c r="T2393" s="23"/>
      <c r="U2393" s="23"/>
      <c r="V2393" s="23"/>
      <c r="W2393" s="23"/>
      <c r="X2393" s="23"/>
      <c r="Y2393" s="23"/>
      <c r="Z2393" s="23"/>
    </row>
    <row r="2394" spans="1:26" ht="13">
      <c r="A2394" s="562" t="s">
        <v>5954</v>
      </c>
      <c r="B2394" s="563" t="s">
        <v>5955</v>
      </c>
      <c r="C2394" s="564" t="s">
        <v>1370</v>
      </c>
      <c r="D2394" s="565">
        <v>43188</v>
      </c>
      <c r="E2394" s="565">
        <v>43196</v>
      </c>
      <c r="F2394" s="566">
        <v>8522727</v>
      </c>
      <c r="G2394" s="564" t="s">
        <v>1623</v>
      </c>
      <c r="H2394" s="564" t="s">
        <v>1623</v>
      </c>
      <c r="I2394" s="564" t="s">
        <v>802</v>
      </c>
      <c r="J2394" s="564" t="s">
        <v>1069</v>
      </c>
      <c r="K2394" s="564" t="s">
        <v>1198</v>
      </c>
      <c r="L2394" s="564" t="s">
        <v>2098</v>
      </c>
      <c r="M2394" s="564" t="s">
        <v>2098</v>
      </c>
      <c r="N2394" s="564" t="s">
        <v>132</v>
      </c>
      <c r="O2394" s="564" t="s">
        <v>2099</v>
      </c>
      <c r="P2394" s="23"/>
      <c r="Q2394" s="23"/>
      <c r="R2394" s="23"/>
      <c r="S2394" s="23"/>
      <c r="T2394" s="23"/>
      <c r="U2394" s="23"/>
      <c r="V2394" s="23"/>
      <c r="W2394" s="23"/>
      <c r="X2394" s="23"/>
      <c r="Y2394" s="23"/>
      <c r="Z2394" s="23"/>
    </row>
    <row r="2395" spans="1:26" ht="13">
      <c r="A2395" s="562" t="s">
        <v>5956</v>
      </c>
      <c r="B2395" s="563" t="s">
        <v>5957</v>
      </c>
      <c r="C2395" s="564" t="s">
        <v>3378</v>
      </c>
      <c r="D2395" s="565">
        <v>43187</v>
      </c>
      <c r="E2395" s="565">
        <v>43160</v>
      </c>
      <c r="F2395" s="566">
        <v>6136920</v>
      </c>
      <c r="G2395" s="564" t="s">
        <v>1424</v>
      </c>
      <c r="H2395" s="564" t="s">
        <v>1424</v>
      </c>
      <c r="I2395" s="564" t="s">
        <v>45</v>
      </c>
      <c r="J2395" s="564" t="s">
        <v>1069</v>
      </c>
      <c r="K2395" s="564" t="s">
        <v>1090</v>
      </c>
      <c r="L2395" s="564" t="s">
        <v>1071</v>
      </c>
      <c r="M2395" s="564" t="s">
        <v>1183</v>
      </c>
      <c r="N2395" s="564" t="s">
        <v>45</v>
      </c>
      <c r="O2395" s="564" t="s">
        <v>1472</v>
      </c>
      <c r="P2395" s="23"/>
      <c r="Q2395" s="23"/>
      <c r="R2395" s="23"/>
      <c r="S2395" s="23"/>
      <c r="T2395" s="23"/>
      <c r="U2395" s="23"/>
      <c r="V2395" s="23"/>
      <c r="W2395" s="23"/>
      <c r="X2395" s="23"/>
      <c r="Y2395" s="23"/>
      <c r="Z2395" s="23"/>
    </row>
    <row r="2396" spans="1:26" ht="13">
      <c r="A2396" s="562" t="s">
        <v>5958</v>
      </c>
      <c r="B2396" s="563" t="s">
        <v>5810</v>
      </c>
      <c r="C2396" s="564" t="s">
        <v>1652</v>
      </c>
      <c r="D2396" s="565">
        <v>43187</v>
      </c>
      <c r="E2396" s="565">
        <v>43217</v>
      </c>
      <c r="F2396" s="566">
        <v>2360000</v>
      </c>
      <c r="G2396" s="564" t="s">
        <v>1424</v>
      </c>
      <c r="H2396" s="564" t="s">
        <v>1424</v>
      </c>
      <c r="I2396" s="564" t="s">
        <v>70</v>
      </c>
      <c r="J2396" s="564" t="s">
        <v>1069</v>
      </c>
      <c r="K2396" s="564" t="s">
        <v>1120</v>
      </c>
      <c r="L2396" s="564" t="s">
        <v>2098</v>
      </c>
      <c r="M2396" s="564" t="s">
        <v>2098</v>
      </c>
      <c r="N2396" s="564" t="s">
        <v>70</v>
      </c>
      <c r="O2396" s="564" t="s">
        <v>2099</v>
      </c>
      <c r="P2396" s="23"/>
      <c r="Q2396" s="23"/>
      <c r="R2396" s="23"/>
      <c r="S2396" s="23"/>
      <c r="T2396" s="23"/>
      <c r="U2396" s="23"/>
      <c r="V2396" s="23"/>
      <c r="W2396" s="23"/>
      <c r="X2396" s="23"/>
      <c r="Y2396" s="23"/>
      <c r="Z2396" s="23"/>
    </row>
    <row r="2397" spans="1:26" ht="13">
      <c r="A2397" s="562" t="s">
        <v>5959</v>
      </c>
      <c r="B2397" s="563" t="s">
        <v>5960</v>
      </c>
      <c r="C2397" s="564" t="s">
        <v>1551</v>
      </c>
      <c r="D2397" s="565">
        <v>43187</v>
      </c>
      <c r="E2397" s="565">
        <v>43220</v>
      </c>
      <c r="F2397" s="566">
        <v>18150000</v>
      </c>
      <c r="G2397" s="564" t="s">
        <v>1424</v>
      </c>
      <c r="H2397" s="564" t="s">
        <v>1424</v>
      </c>
      <c r="I2397" s="564" t="s">
        <v>45</v>
      </c>
      <c r="J2397" s="564" t="s">
        <v>1069</v>
      </c>
      <c r="K2397" s="564" t="s">
        <v>1090</v>
      </c>
      <c r="L2397" s="564" t="s">
        <v>2098</v>
      </c>
      <c r="M2397" s="564" t="s">
        <v>2098</v>
      </c>
      <c r="N2397" s="564" t="s">
        <v>45</v>
      </c>
      <c r="O2397" s="564" t="s">
        <v>2099</v>
      </c>
      <c r="P2397" s="23"/>
      <c r="Q2397" s="23"/>
      <c r="R2397" s="23"/>
      <c r="S2397" s="23"/>
      <c r="T2397" s="23"/>
      <c r="U2397" s="23"/>
      <c r="V2397" s="23"/>
      <c r="W2397" s="23"/>
      <c r="X2397" s="23"/>
      <c r="Y2397" s="23"/>
      <c r="Z2397" s="23"/>
    </row>
    <row r="2398" spans="1:26" ht="13">
      <c r="A2398" s="562" t="s">
        <v>5961</v>
      </c>
      <c r="B2398" s="563" t="s">
        <v>5962</v>
      </c>
      <c r="C2398" s="564" t="s">
        <v>2433</v>
      </c>
      <c r="D2398" s="565">
        <v>43187</v>
      </c>
      <c r="E2398" s="565">
        <v>43251</v>
      </c>
      <c r="F2398" s="566">
        <v>2112000</v>
      </c>
      <c r="G2398" s="564" t="s">
        <v>1400</v>
      </c>
      <c r="H2398" s="564" t="s">
        <v>1400</v>
      </c>
      <c r="I2398" s="564" t="s">
        <v>4816</v>
      </c>
      <c r="J2398" s="564" t="s">
        <v>1069</v>
      </c>
      <c r="K2398" s="564" t="s">
        <v>1070</v>
      </c>
      <c r="L2398" s="564" t="s">
        <v>2098</v>
      </c>
      <c r="M2398" s="564" t="s">
        <v>2098</v>
      </c>
      <c r="N2398" s="564" t="s">
        <v>1082</v>
      </c>
      <c r="O2398" s="564" t="s">
        <v>2099</v>
      </c>
      <c r="P2398" s="23"/>
      <c r="Q2398" s="23"/>
      <c r="R2398" s="23"/>
      <c r="S2398" s="23"/>
      <c r="T2398" s="23"/>
      <c r="U2398" s="23"/>
      <c r="V2398" s="23"/>
      <c r="W2398" s="23"/>
      <c r="X2398" s="23"/>
      <c r="Y2398" s="23"/>
      <c r="Z2398" s="23"/>
    </row>
    <row r="2399" spans="1:26" ht="13">
      <c r="A2399" s="562" t="s">
        <v>5963</v>
      </c>
      <c r="B2399" s="563" t="s">
        <v>5964</v>
      </c>
      <c r="C2399" s="564" t="s">
        <v>1551</v>
      </c>
      <c r="D2399" s="565">
        <v>43188</v>
      </c>
      <c r="E2399" s="565">
        <v>43220</v>
      </c>
      <c r="F2399" s="566">
        <v>32330000</v>
      </c>
      <c r="G2399" s="564" t="s">
        <v>1424</v>
      </c>
      <c r="H2399" s="564" t="s">
        <v>1424</v>
      </c>
      <c r="I2399" s="564" t="s">
        <v>45</v>
      </c>
      <c r="J2399" s="564" t="s">
        <v>1069</v>
      </c>
      <c r="K2399" s="564" t="s">
        <v>1090</v>
      </c>
      <c r="L2399" s="564" t="s">
        <v>2098</v>
      </c>
      <c r="M2399" s="564" t="s">
        <v>2098</v>
      </c>
      <c r="N2399" s="564" t="s">
        <v>45</v>
      </c>
      <c r="O2399" s="564" t="s">
        <v>2099</v>
      </c>
      <c r="P2399" s="23"/>
      <c r="Q2399" s="23"/>
      <c r="R2399" s="23"/>
      <c r="S2399" s="23"/>
      <c r="T2399" s="23"/>
      <c r="U2399" s="23"/>
      <c r="V2399" s="23"/>
      <c r="W2399" s="23"/>
      <c r="X2399" s="23"/>
      <c r="Y2399" s="23"/>
      <c r="Z2399" s="23"/>
    </row>
    <row r="2400" spans="1:26" ht="13">
      <c r="A2400" s="562" t="s">
        <v>5965</v>
      </c>
      <c r="B2400" s="563" t="s">
        <v>5916</v>
      </c>
      <c r="C2400" s="564" t="s">
        <v>1551</v>
      </c>
      <c r="D2400" s="565">
        <v>43187</v>
      </c>
      <c r="E2400" s="565">
        <v>43220</v>
      </c>
      <c r="F2400" s="566">
        <v>9420000</v>
      </c>
      <c r="G2400" s="564" t="s">
        <v>1424</v>
      </c>
      <c r="H2400" s="564" t="s">
        <v>1424</v>
      </c>
      <c r="I2400" s="564" t="s">
        <v>45</v>
      </c>
      <c r="J2400" s="564" t="s">
        <v>1069</v>
      </c>
      <c r="K2400" s="564" t="s">
        <v>1090</v>
      </c>
      <c r="L2400" s="564" t="s">
        <v>2098</v>
      </c>
      <c r="M2400" s="564" t="s">
        <v>2098</v>
      </c>
      <c r="N2400" s="564" t="s">
        <v>45</v>
      </c>
      <c r="O2400" s="564" t="s">
        <v>2099</v>
      </c>
      <c r="P2400" s="23"/>
      <c r="Q2400" s="23"/>
      <c r="R2400" s="23"/>
      <c r="S2400" s="23"/>
      <c r="T2400" s="23"/>
      <c r="U2400" s="23"/>
      <c r="V2400" s="23"/>
      <c r="W2400" s="23"/>
      <c r="X2400" s="23"/>
      <c r="Y2400" s="23"/>
      <c r="Z2400" s="23"/>
    </row>
    <row r="2401" spans="1:26" ht="13">
      <c r="A2401" s="562" t="s">
        <v>5966</v>
      </c>
      <c r="B2401" s="563" t="s">
        <v>5967</v>
      </c>
      <c r="C2401" s="564" t="s">
        <v>1204</v>
      </c>
      <c r="D2401" s="565">
        <v>43187</v>
      </c>
      <c r="E2401" s="565">
        <v>43160</v>
      </c>
      <c r="F2401" s="566">
        <v>2123520</v>
      </c>
      <c r="G2401" s="564" t="s">
        <v>1424</v>
      </c>
      <c r="H2401" s="564" t="s">
        <v>1424</v>
      </c>
      <c r="I2401" s="564" t="s">
        <v>1471</v>
      </c>
      <c r="J2401" s="564" t="s">
        <v>1069</v>
      </c>
      <c r="K2401" s="564" t="s">
        <v>1070</v>
      </c>
      <c r="L2401" s="564" t="s">
        <v>1071</v>
      </c>
      <c r="M2401" s="564" t="s">
        <v>1183</v>
      </c>
      <c r="N2401" s="564" t="s">
        <v>1082</v>
      </c>
      <c r="O2401" s="564" t="s">
        <v>1472</v>
      </c>
      <c r="P2401" s="23"/>
      <c r="Q2401" s="23"/>
      <c r="R2401" s="23"/>
      <c r="S2401" s="23"/>
      <c r="T2401" s="23"/>
      <c r="U2401" s="23"/>
      <c r="V2401" s="23"/>
      <c r="W2401" s="23"/>
      <c r="X2401" s="23"/>
      <c r="Y2401" s="23"/>
      <c r="Z2401" s="23"/>
    </row>
    <row r="2402" spans="1:26" ht="13">
      <c r="A2402" s="562" t="s">
        <v>5968</v>
      </c>
      <c r="B2402" s="563" t="s">
        <v>5969</v>
      </c>
      <c r="C2402" s="564" t="s">
        <v>1551</v>
      </c>
      <c r="D2402" s="565">
        <v>43188</v>
      </c>
      <c r="E2402" s="565">
        <v>43220</v>
      </c>
      <c r="F2402" s="566">
        <v>57461000</v>
      </c>
      <c r="G2402" s="564" t="s">
        <v>5465</v>
      </c>
      <c r="H2402" s="564" t="s">
        <v>5465</v>
      </c>
      <c r="I2402" s="564" t="s">
        <v>45</v>
      </c>
      <c r="J2402" s="564" t="s">
        <v>1069</v>
      </c>
      <c r="K2402" s="564" t="s">
        <v>1090</v>
      </c>
      <c r="L2402" s="564" t="s">
        <v>2098</v>
      </c>
      <c r="M2402" s="564" t="s">
        <v>2098</v>
      </c>
      <c r="N2402" s="564" t="s">
        <v>45</v>
      </c>
      <c r="O2402" s="564" t="s">
        <v>2099</v>
      </c>
      <c r="P2402" s="23"/>
      <c r="Q2402" s="23"/>
      <c r="R2402" s="23"/>
      <c r="S2402" s="23"/>
      <c r="T2402" s="23"/>
      <c r="U2402" s="23"/>
      <c r="V2402" s="23"/>
      <c r="W2402" s="23"/>
      <c r="X2402" s="23"/>
      <c r="Y2402" s="23"/>
      <c r="Z2402" s="23"/>
    </row>
    <row r="2403" spans="1:26" ht="13">
      <c r="A2403" s="562" t="s">
        <v>5970</v>
      </c>
      <c r="B2403" s="563" t="s">
        <v>5971</v>
      </c>
      <c r="C2403" s="564" t="s">
        <v>1551</v>
      </c>
      <c r="D2403" s="565">
        <v>43188</v>
      </c>
      <c r="E2403" s="565">
        <v>43220</v>
      </c>
      <c r="F2403" s="566">
        <v>27000000</v>
      </c>
      <c r="G2403" s="564" t="s">
        <v>5465</v>
      </c>
      <c r="H2403" s="564" t="s">
        <v>5465</v>
      </c>
      <c r="I2403" s="564" t="s">
        <v>45</v>
      </c>
      <c r="J2403" s="564" t="s">
        <v>1069</v>
      </c>
      <c r="K2403" s="564" t="s">
        <v>1090</v>
      </c>
      <c r="L2403" s="564" t="s">
        <v>2098</v>
      </c>
      <c r="M2403" s="564" t="s">
        <v>2098</v>
      </c>
      <c r="N2403" s="564" t="s">
        <v>45</v>
      </c>
      <c r="O2403" s="564" t="s">
        <v>2099</v>
      </c>
      <c r="P2403" s="23"/>
      <c r="Q2403" s="23"/>
      <c r="R2403" s="23"/>
      <c r="S2403" s="23"/>
      <c r="T2403" s="23"/>
      <c r="U2403" s="23"/>
      <c r="V2403" s="23"/>
      <c r="W2403" s="23"/>
      <c r="X2403" s="23"/>
      <c r="Y2403" s="23"/>
      <c r="Z2403" s="23"/>
    </row>
    <row r="2404" spans="1:26" ht="13">
      <c r="A2404" s="562" t="s">
        <v>5972</v>
      </c>
      <c r="B2404" s="563" t="s">
        <v>5799</v>
      </c>
      <c r="C2404" s="564" t="s">
        <v>1551</v>
      </c>
      <c r="D2404" s="565">
        <v>43186</v>
      </c>
      <c r="E2404" s="565">
        <v>43217</v>
      </c>
      <c r="F2404" s="566">
        <v>304000</v>
      </c>
      <c r="G2404" s="564" t="s">
        <v>1424</v>
      </c>
      <c r="H2404" s="564" t="s">
        <v>1424</v>
      </c>
      <c r="I2404" s="564" t="s">
        <v>64</v>
      </c>
      <c r="J2404" s="564" t="s">
        <v>1069</v>
      </c>
      <c r="K2404" s="564" t="s">
        <v>1090</v>
      </c>
      <c r="L2404" s="564" t="s">
        <v>2098</v>
      </c>
      <c r="M2404" s="564" t="s">
        <v>2098</v>
      </c>
      <c r="N2404" s="564" t="s">
        <v>64</v>
      </c>
      <c r="O2404" s="564" t="s">
        <v>2099</v>
      </c>
      <c r="P2404" s="23"/>
      <c r="Q2404" s="23"/>
      <c r="R2404" s="23"/>
      <c r="S2404" s="23"/>
      <c r="T2404" s="23"/>
      <c r="U2404" s="23"/>
      <c r="V2404" s="23"/>
      <c r="W2404" s="23"/>
      <c r="X2404" s="23"/>
      <c r="Y2404" s="23"/>
      <c r="Z2404" s="23"/>
    </row>
    <row r="2405" spans="1:26" ht="13">
      <c r="A2405" s="562" t="s">
        <v>5973</v>
      </c>
      <c r="B2405" s="563" t="s">
        <v>5974</v>
      </c>
      <c r="C2405" s="564" t="s">
        <v>1551</v>
      </c>
      <c r="D2405" s="565">
        <v>43185</v>
      </c>
      <c r="E2405" s="565">
        <v>43220</v>
      </c>
      <c r="F2405" s="566">
        <v>7700000</v>
      </c>
      <c r="G2405" s="564" t="s">
        <v>1424</v>
      </c>
      <c r="H2405" s="564" t="s">
        <v>1424</v>
      </c>
      <c r="I2405" s="564" t="s">
        <v>45</v>
      </c>
      <c r="J2405" s="564" t="s">
        <v>1069</v>
      </c>
      <c r="K2405" s="564" t="s">
        <v>1090</v>
      </c>
      <c r="L2405" s="564" t="s">
        <v>2098</v>
      </c>
      <c r="M2405" s="564" t="s">
        <v>2098</v>
      </c>
      <c r="N2405" s="564" t="s">
        <v>45</v>
      </c>
      <c r="O2405" s="564" t="s">
        <v>2099</v>
      </c>
      <c r="P2405" s="23"/>
      <c r="Q2405" s="23"/>
      <c r="R2405" s="23"/>
      <c r="S2405" s="23"/>
      <c r="T2405" s="23"/>
      <c r="U2405" s="23"/>
      <c r="V2405" s="23"/>
      <c r="W2405" s="23"/>
      <c r="X2405" s="23"/>
      <c r="Y2405" s="23"/>
      <c r="Z2405" s="23"/>
    </row>
    <row r="2406" spans="1:26" ht="13">
      <c r="A2406" s="562" t="s">
        <v>5975</v>
      </c>
      <c r="B2406" s="563" t="s">
        <v>5976</v>
      </c>
      <c r="C2406" s="564" t="s">
        <v>2387</v>
      </c>
      <c r="D2406" s="565">
        <v>43182</v>
      </c>
      <c r="E2406" s="565">
        <v>43251</v>
      </c>
      <c r="F2406" s="566">
        <v>576000</v>
      </c>
      <c r="G2406" s="564" t="s">
        <v>1400</v>
      </c>
      <c r="H2406" s="564" t="s">
        <v>1400</v>
      </c>
      <c r="I2406" s="564" t="s">
        <v>4816</v>
      </c>
      <c r="J2406" s="564" t="s">
        <v>1069</v>
      </c>
      <c r="K2406" s="564" t="s">
        <v>1070</v>
      </c>
      <c r="L2406" s="564" t="s">
        <v>2098</v>
      </c>
      <c r="M2406" s="564" t="s">
        <v>2098</v>
      </c>
      <c r="N2406" s="564" t="s">
        <v>1082</v>
      </c>
      <c r="O2406" s="564" t="s">
        <v>2099</v>
      </c>
      <c r="P2406" s="23"/>
      <c r="Q2406" s="23"/>
      <c r="R2406" s="23"/>
      <c r="S2406" s="23"/>
      <c r="T2406" s="23"/>
      <c r="U2406" s="23"/>
      <c r="V2406" s="23"/>
      <c r="W2406" s="23"/>
      <c r="X2406" s="23"/>
      <c r="Y2406" s="23"/>
      <c r="Z2406" s="23"/>
    </row>
    <row r="2407" spans="1:26" ht="13">
      <c r="A2407" s="562" t="s">
        <v>5977</v>
      </c>
      <c r="B2407" s="563" t="s">
        <v>4675</v>
      </c>
      <c r="C2407" s="564" t="s">
        <v>2387</v>
      </c>
      <c r="D2407" s="565">
        <v>43182</v>
      </c>
      <c r="E2407" s="565">
        <v>43251</v>
      </c>
      <c r="F2407" s="566">
        <v>8333000</v>
      </c>
      <c r="G2407" s="564" t="s">
        <v>1400</v>
      </c>
      <c r="H2407" s="564" t="s">
        <v>1400</v>
      </c>
      <c r="I2407" s="564" t="s">
        <v>4816</v>
      </c>
      <c r="J2407" s="564" t="s">
        <v>1069</v>
      </c>
      <c r="K2407" s="564" t="s">
        <v>1070</v>
      </c>
      <c r="L2407" s="564" t="s">
        <v>2098</v>
      </c>
      <c r="M2407" s="564" t="s">
        <v>2098</v>
      </c>
      <c r="N2407" s="564" t="s">
        <v>1082</v>
      </c>
      <c r="O2407" s="564" t="s">
        <v>2099</v>
      </c>
      <c r="P2407" s="23"/>
      <c r="Q2407" s="23"/>
      <c r="R2407" s="23"/>
      <c r="S2407" s="23"/>
      <c r="T2407" s="23"/>
      <c r="U2407" s="23"/>
      <c r="V2407" s="23"/>
      <c r="W2407" s="23"/>
      <c r="X2407" s="23"/>
      <c r="Y2407" s="23"/>
      <c r="Z2407" s="23"/>
    </row>
    <row r="2408" spans="1:26" ht="13">
      <c r="A2408" s="562" t="s">
        <v>5978</v>
      </c>
      <c r="B2408" s="563" t="s">
        <v>5979</v>
      </c>
      <c r="C2408" s="564" t="s">
        <v>2387</v>
      </c>
      <c r="D2408" s="565">
        <v>43181</v>
      </c>
      <c r="E2408" s="565">
        <v>43251</v>
      </c>
      <c r="F2408" s="566">
        <v>3853000</v>
      </c>
      <c r="G2408" s="564" t="s">
        <v>1400</v>
      </c>
      <c r="H2408" s="564" t="s">
        <v>1400</v>
      </c>
      <c r="I2408" s="564" t="s">
        <v>4816</v>
      </c>
      <c r="J2408" s="564" t="s">
        <v>1069</v>
      </c>
      <c r="K2408" s="564" t="s">
        <v>1070</v>
      </c>
      <c r="L2408" s="564" t="s">
        <v>2098</v>
      </c>
      <c r="M2408" s="564" t="s">
        <v>2098</v>
      </c>
      <c r="N2408" s="564" t="s">
        <v>1082</v>
      </c>
      <c r="O2408" s="564" t="s">
        <v>2099</v>
      </c>
      <c r="P2408" s="23"/>
      <c r="Q2408" s="23"/>
      <c r="R2408" s="23"/>
      <c r="S2408" s="23"/>
      <c r="T2408" s="23"/>
      <c r="U2408" s="23"/>
      <c r="V2408" s="23"/>
      <c r="W2408" s="23"/>
      <c r="X2408" s="23"/>
      <c r="Y2408" s="23"/>
      <c r="Z2408" s="23"/>
    </row>
    <row r="2409" spans="1:26" ht="13">
      <c r="A2409" s="562" t="s">
        <v>5980</v>
      </c>
      <c r="B2409" s="563" t="s">
        <v>5974</v>
      </c>
      <c r="C2409" s="564" t="s">
        <v>1551</v>
      </c>
      <c r="D2409" s="565">
        <v>43181</v>
      </c>
      <c r="E2409" s="565">
        <v>43220</v>
      </c>
      <c r="F2409" s="566">
        <v>2200000</v>
      </c>
      <c r="G2409" s="564" t="s">
        <v>1424</v>
      </c>
      <c r="H2409" s="564" t="s">
        <v>1424</v>
      </c>
      <c r="I2409" s="564" t="s">
        <v>45</v>
      </c>
      <c r="J2409" s="564" t="s">
        <v>1069</v>
      </c>
      <c r="K2409" s="564" t="s">
        <v>1090</v>
      </c>
      <c r="L2409" s="564" t="s">
        <v>2098</v>
      </c>
      <c r="M2409" s="564" t="s">
        <v>2098</v>
      </c>
      <c r="N2409" s="564" t="s">
        <v>45</v>
      </c>
      <c r="O2409" s="564" t="s">
        <v>2099</v>
      </c>
      <c r="P2409" s="23"/>
      <c r="Q2409" s="23"/>
      <c r="R2409" s="23"/>
      <c r="S2409" s="23"/>
      <c r="T2409" s="23"/>
      <c r="U2409" s="23"/>
      <c r="V2409" s="23"/>
      <c r="W2409" s="23"/>
      <c r="X2409" s="23"/>
      <c r="Y2409" s="23"/>
      <c r="Z2409" s="23"/>
    </row>
    <row r="2410" spans="1:26" ht="13">
      <c r="A2410" s="562" t="s">
        <v>5981</v>
      </c>
      <c r="B2410" s="563" t="s">
        <v>5982</v>
      </c>
      <c r="C2410" s="564" t="s">
        <v>2387</v>
      </c>
      <c r="D2410" s="565">
        <v>43181</v>
      </c>
      <c r="E2410" s="565">
        <v>43251</v>
      </c>
      <c r="F2410" s="566">
        <v>2000000</v>
      </c>
      <c r="G2410" s="564" t="s">
        <v>1400</v>
      </c>
      <c r="H2410" s="564" t="s">
        <v>1400</v>
      </c>
      <c r="I2410" s="564" t="s">
        <v>4816</v>
      </c>
      <c r="J2410" s="564" t="s">
        <v>1069</v>
      </c>
      <c r="K2410" s="564" t="s">
        <v>1070</v>
      </c>
      <c r="L2410" s="564" t="s">
        <v>2098</v>
      </c>
      <c r="M2410" s="564" t="s">
        <v>2098</v>
      </c>
      <c r="N2410" s="564" t="s">
        <v>1082</v>
      </c>
      <c r="O2410" s="564" t="s">
        <v>2099</v>
      </c>
      <c r="P2410" s="23"/>
      <c r="Q2410" s="23"/>
      <c r="R2410" s="23"/>
      <c r="S2410" s="23"/>
      <c r="T2410" s="23"/>
      <c r="U2410" s="23"/>
      <c r="V2410" s="23"/>
      <c r="W2410" s="23"/>
      <c r="X2410" s="23"/>
      <c r="Y2410" s="23"/>
      <c r="Z2410" s="23"/>
    </row>
    <row r="2411" spans="1:26" ht="13">
      <c r="A2411" s="562" t="s">
        <v>5983</v>
      </c>
      <c r="B2411" s="563" t="s">
        <v>5949</v>
      </c>
      <c r="C2411" s="564" t="s">
        <v>1551</v>
      </c>
      <c r="D2411" s="565">
        <v>43181</v>
      </c>
      <c r="E2411" s="565">
        <v>43210</v>
      </c>
      <c r="F2411" s="566">
        <v>1452000</v>
      </c>
      <c r="G2411" s="564" t="s">
        <v>1424</v>
      </c>
      <c r="H2411" s="564" t="s">
        <v>1424</v>
      </c>
      <c r="I2411" s="564" t="s">
        <v>64</v>
      </c>
      <c r="J2411" s="564" t="s">
        <v>1069</v>
      </c>
      <c r="K2411" s="564" t="s">
        <v>1090</v>
      </c>
      <c r="L2411" s="564" t="s">
        <v>2098</v>
      </c>
      <c r="M2411" s="564" t="s">
        <v>2098</v>
      </c>
      <c r="N2411" s="564" t="s">
        <v>64</v>
      </c>
      <c r="O2411" s="564" t="s">
        <v>2099</v>
      </c>
      <c r="P2411" s="23"/>
      <c r="Q2411" s="23"/>
      <c r="R2411" s="23"/>
      <c r="S2411" s="23"/>
      <c r="T2411" s="23"/>
      <c r="U2411" s="23"/>
      <c r="V2411" s="23"/>
      <c r="W2411" s="23"/>
      <c r="X2411" s="23"/>
      <c r="Y2411" s="23"/>
      <c r="Z2411" s="23"/>
    </row>
    <row r="2412" spans="1:26" ht="13">
      <c r="A2412" s="562" t="s">
        <v>5984</v>
      </c>
      <c r="B2412" s="563" t="s">
        <v>5985</v>
      </c>
      <c r="C2412" s="564" t="s">
        <v>2387</v>
      </c>
      <c r="D2412" s="565">
        <v>43180</v>
      </c>
      <c r="E2412" s="565">
        <v>43251</v>
      </c>
      <c r="F2412" s="566">
        <v>1900000</v>
      </c>
      <c r="G2412" s="564" t="s">
        <v>1400</v>
      </c>
      <c r="H2412" s="564" t="s">
        <v>1400</v>
      </c>
      <c r="I2412" s="564" t="s">
        <v>4816</v>
      </c>
      <c r="J2412" s="564" t="s">
        <v>1069</v>
      </c>
      <c r="K2412" s="564" t="s">
        <v>1070</v>
      </c>
      <c r="L2412" s="564" t="s">
        <v>2098</v>
      </c>
      <c r="M2412" s="564" t="s">
        <v>2098</v>
      </c>
      <c r="N2412" s="564" t="s">
        <v>1082</v>
      </c>
      <c r="O2412" s="564" t="s">
        <v>2099</v>
      </c>
      <c r="P2412" s="23"/>
      <c r="Q2412" s="23"/>
      <c r="R2412" s="23"/>
      <c r="S2412" s="23"/>
      <c r="T2412" s="23"/>
      <c r="U2412" s="23"/>
      <c r="V2412" s="23"/>
      <c r="W2412" s="23"/>
      <c r="X2412" s="23"/>
      <c r="Y2412" s="23"/>
      <c r="Z2412" s="23"/>
    </row>
    <row r="2413" spans="1:26" ht="13">
      <c r="A2413" s="562" t="s">
        <v>5986</v>
      </c>
      <c r="B2413" s="563" t="s">
        <v>5987</v>
      </c>
      <c r="C2413" s="564" t="s">
        <v>3378</v>
      </c>
      <c r="D2413" s="565">
        <v>43181</v>
      </c>
      <c r="E2413" s="565">
        <v>43199</v>
      </c>
      <c r="F2413" s="566">
        <v>11210182</v>
      </c>
      <c r="G2413" s="564" t="s">
        <v>1623</v>
      </c>
      <c r="H2413" s="564" t="s">
        <v>1623</v>
      </c>
      <c r="I2413" s="564" t="s">
        <v>802</v>
      </c>
      <c r="J2413" s="564" t="s">
        <v>1069</v>
      </c>
      <c r="K2413" s="564" t="s">
        <v>1198</v>
      </c>
      <c r="L2413" s="564" t="s">
        <v>2098</v>
      </c>
      <c r="M2413" s="564" t="s">
        <v>2098</v>
      </c>
      <c r="N2413" s="564" t="s">
        <v>132</v>
      </c>
      <c r="O2413" s="564" t="s">
        <v>2099</v>
      </c>
      <c r="P2413" s="23"/>
      <c r="Q2413" s="23"/>
      <c r="R2413" s="23"/>
      <c r="S2413" s="23"/>
      <c r="T2413" s="23"/>
      <c r="U2413" s="23"/>
      <c r="V2413" s="23"/>
      <c r="W2413" s="23"/>
      <c r="X2413" s="23"/>
      <c r="Y2413" s="23"/>
      <c r="Z2413" s="23"/>
    </row>
    <row r="2414" spans="1:26" ht="13">
      <c r="A2414" s="562" t="s">
        <v>5988</v>
      </c>
      <c r="B2414" s="563" t="s">
        <v>5989</v>
      </c>
      <c r="C2414" s="564" t="s">
        <v>1370</v>
      </c>
      <c r="D2414" s="565">
        <v>43182</v>
      </c>
      <c r="E2414" s="565">
        <v>43199</v>
      </c>
      <c r="F2414" s="566">
        <v>2538000</v>
      </c>
      <c r="G2414" s="564" t="s">
        <v>1623</v>
      </c>
      <c r="H2414" s="564" t="s">
        <v>1623</v>
      </c>
      <c r="I2414" s="564" t="s">
        <v>802</v>
      </c>
      <c r="J2414" s="564" t="s">
        <v>1069</v>
      </c>
      <c r="K2414" s="564" t="s">
        <v>1198</v>
      </c>
      <c r="L2414" s="564" t="s">
        <v>2098</v>
      </c>
      <c r="M2414" s="564" t="s">
        <v>2098</v>
      </c>
      <c r="N2414" s="564" t="s">
        <v>132</v>
      </c>
      <c r="O2414" s="564" t="s">
        <v>2099</v>
      </c>
      <c r="P2414" s="23"/>
      <c r="Q2414" s="23"/>
      <c r="R2414" s="23"/>
      <c r="S2414" s="23"/>
      <c r="T2414" s="23"/>
      <c r="U2414" s="23"/>
      <c r="V2414" s="23"/>
      <c r="W2414" s="23"/>
      <c r="X2414" s="23"/>
      <c r="Y2414" s="23"/>
      <c r="Z2414" s="23"/>
    </row>
    <row r="2415" spans="1:26" ht="13">
      <c r="A2415" s="562" t="s">
        <v>5990</v>
      </c>
      <c r="B2415" s="563" t="s">
        <v>5991</v>
      </c>
      <c r="C2415" s="564" t="s">
        <v>2387</v>
      </c>
      <c r="D2415" s="565">
        <v>43180</v>
      </c>
      <c r="E2415" s="565">
        <v>43251</v>
      </c>
      <c r="F2415" s="566">
        <v>1165000</v>
      </c>
      <c r="G2415" s="564" t="s">
        <v>1400</v>
      </c>
      <c r="H2415" s="564" t="s">
        <v>1400</v>
      </c>
      <c r="I2415" s="564" t="s">
        <v>4816</v>
      </c>
      <c r="J2415" s="564" t="s">
        <v>1069</v>
      </c>
      <c r="K2415" s="564" t="s">
        <v>1070</v>
      </c>
      <c r="L2415" s="564" t="s">
        <v>2098</v>
      </c>
      <c r="M2415" s="564" t="s">
        <v>2098</v>
      </c>
      <c r="N2415" s="564" t="s">
        <v>1082</v>
      </c>
      <c r="O2415" s="564" t="s">
        <v>2099</v>
      </c>
      <c r="P2415" s="23"/>
      <c r="Q2415" s="23"/>
      <c r="R2415" s="23"/>
      <c r="S2415" s="23"/>
      <c r="T2415" s="23"/>
      <c r="U2415" s="23"/>
      <c r="V2415" s="23"/>
      <c r="W2415" s="23"/>
      <c r="X2415" s="23"/>
      <c r="Y2415" s="23"/>
      <c r="Z2415" s="23"/>
    </row>
    <row r="2416" spans="1:26" ht="13">
      <c r="A2416" s="562" t="s">
        <v>5992</v>
      </c>
      <c r="B2416" s="563" t="s">
        <v>5993</v>
      </c>
      <c r="C2416" s="564" t="s">
        <v>2387</v>
      </c>
      <c r="D2416" s="565">
        <v>43178</v>
      </c>
      <c r="E2416" s="565">
        <v>43251</v>
      </c>
      <c r="F2416" s="566">
        <v>576000</v>
      </c>
      <c r="G2416" s="564" t="s">
        <v>1400</v>
      </c>
      <c r="H2416" s="564" t="s">
        <v>1400</v>
      </c>
      <c r="I2416" s="564" t="s">
        <v>4816</v>
      </c>
      <c r="J2416" s="564" t="s">
        <v>1069</v>
      </c>
      <c r="K2416" s="564" t="s">
        <v>1070</v>
      </c>
      <c r="L2416" s="564" t="s">
        <v>2098</v>
      </c>
      <c r="M2416" s="564" t="s">
        <v>2098</v>
      </c>
      <c r="N2416" s="564" t="s">
        <v>1082</v>
      </c>
      <c r="O2416" s="564" t="s">
        <v>2099</v>
      </c>
      <c r="P2416" s="23"/>
      <c r="Q2416" s="23"/>
      <c r="R2416" s="23"/>
      <c r="S2416" s="23"/>
      <c r="T2416" s="23"/>
      <c r="U2416" s="23"/>
      <c r="V2416" s="23"/>
      <c r="W2416" s="23"/>
      <c r="X2416" s="23"/>
      <c r="Y2416" s="23"/>
      <c r="Z2416" s="23"/>
    </row>
    <row r="2417" spans="1:26" ht="13">
      <c r="A2417" s="562" t="s">
        <v>5994</v>
      </c>
      <c r="B2417" s="563" t="s">
        <v>5995</v>
      </c>
      <c r="C2417" s="564" t="s">
        <v>1551</v>
      </c>
      <c r="D2417" s="565">
        <v>43179</v>
      </c>
      <c r="E2417" s="565">
        <v>43210</v>
      </c>
      <c r="F2417" s="566">
        <v>2375000</v>
      </c>
      <c r="G2417" s="564" t="s">
        <v>1424</v>
      </c>
      <c r="H2417" s="564" t="s">
        <v>1424</v>
      </c>
      <c r="I2417" s="564" t="s">
        <v>225</v>
      </c>
      <c r="J2417" s="564" t="s">
        <v>1069</v>
      </c>
      <c r="K2417" s="564" t="s">
        <v>1105</v>
      </c>
      <c r="L2417" s="564" t="s">
        <v>2098</v>
      </c>
      <c r="M2417" s="564" t="s">
        <v>2098</v>
      </c>
      <c r="N2417" s="564" t="s">
        <v>225</v>
      </c>
      <c r="O2417" s="564" t="s">
        <v>2099</v>
      </c>
      <c r="P2417" s="23"/>
      <c r="Q2417" s="23"/>
      <c r="R2417" s="23"/>
      <c r="S2417" s="23"/>
      <c r="T2417" s="23"/>
      <c r="U2417" s="23"/>
      <c r="V2417" s="23"/>
      <c r="W2417" s="23"/>
      <c r="X2417" s="23"/>
      <c r="Y2417" s="23"/>
      <c r="Z2417" s="23"/>
    </row>
    <row r="2418" spans="1:26" ht="13">
      <c r="A2418" s="562" t="s">
        <v>5996</v>
      </c>
      <c r="B2418" s="563" t="s">
        <v>5997</v>
      </c>
      <c r="C2418" s="564" t="s">
        <v>2387</v>
      </c>
      <c r="D2418" s="565">
        <v>43178</v>
      </c>
      <c r="E2418" s="565">
        <v>43251</v>
      </c>
      <c r="F2418" s="566">
        <v>921000</v>
      </c>
      <c r="G2418" s="564" t="s">
        <v>1400</v>
      </c>
      <c r="H2418" s="564" t="s">
        <v>1400</v>
      </c>
      <c r="I2418" s="564" t="s">
        <v>4816</v>
      </c>
      <c r="J2418" s="564" t="s">
        <v>1069</v>
      </c>
      <c r="K2418" s="564" t="s">
        <v>1070</v>
      </c>
      <c r="L2418" s="564" t="s">
        <v>2098</v>
      </c>
      <c r="M2418" s="564" t="s">
        <v>2098</v>
      </c>
      <c r="N2418" s="564" t="s">
        <v>1082</v>
      </c>
      <c r="O2418" s="564" t="s">
        <v>2099</v>
      </c>
      <c r="P2418" s="23"/>
      <c r="Q2418" s="23"/>
      <c r="R2418" s="23"/>
      <c r="S2418" s="23"/>
      <c r="T2418" s="23"/>
      <c r="U2418" s="23"/>
      <c r="V2418" s="23"/>
      <c r="W2418" s="23"/>
      <c r="X2418" s="23"/>
      <c r="Y2418" s="23"/>
      <c r="Z2418" s="23"/>
    </row>
    <row r="2419" spans="1:26" ht="13">
      <c r="A2419" s="562" t="s">
        <v>5998</v>
      </c>
      <c r="B2419" s="563" t="s">
        <v>5999</v>
      </c>
      <c r="C2419" s="564" t="s">
        <v>1551</v>
      </c>
      <c r="D2419" s="565">
        <v>43179</v>
      </c>
      <c r="E2419" s="565">
        <v>43209</v>
      </c>
      <c r="F2419" s="566">
        <v>36000</v>
      </c>
      <c r="G2419" s="564" t="s">
        <v>1424</v>
      </c>
      <c r="H2419" s="564" t="s">
        <v>1424</v>
      </c>
      <c r="I2419" s="564" t="s">
        <v>170</v>
      </c>
      <c r="J2419" s="564" t="s">
        <v>1069</v>
      </c>
      <c r="K2419" s="564" t="s">
        <v>1105</v>
      </c>
      <c r="L2419" s="564" t="s">
        <v>2098</v>
      </c>
      <c r="M2419" s="564" t="s">
        <v>2098</v>
      </c>
      <c r="N2419" s="564" t="s">
        <v>170</v>
      </c>
      <c r="O2419" s="564" t="s">
        <v>2099</v>
      </c>
      <c r="P2419" s="23"/>
      <c r="Q2419" s="23"/>
      <c r="R2419" s="23"/>
      <c r="S2419" s="23"/>
      <c r="T2419" s="23"/>
      <c r="U2419" s="23"/>
      <c r="V2419" s="23"/>
      <c r="W2419" s="23"/>
      <c r="X2419" s="23"/>
      <c r="Y2419" s="23"/>
      <c r="Z2419" s="23"/>
    </row>
    <row r="2420" spans="1:26" ht="13">
      <c r="A2420" s="562" t="s">
        <v>6000</v>
      </c>
      <c r="B2420" s="563" t="s">
        <v>5810</v>
      </c>
      <c r="C2420" s="564" t="s">
        <v>1652</v>
      </c>
      <c r="D2420" s="565">
        <v>43173</v>
      </c>
      <c r="E2420" s="565">
        <v>43203</v>
      </c>
      <c r="F2420" s="566">
        <v>3090000</v>
      </c>
      <c r="G2420" s="564" t="s">
        <v>1424</v>
      </c>
      <c r="H2420" s="564" t="s">
        <v>1424</v>
      </c>
      <c r="I2420" s="564" t="s">
        <v>70</v>
      </c>
      <c r="J2420" s="564" t="s">
        <v>1069</v>
      </c>
      <c r="K2420" s="564" t="s">
        <v>1120</v>
      </c>
      <c r="L2420" s="564" t="s">
        <v>2098</v>
      </c>
      <c r="M2420" s="564" t="s">
        <v>2098</v>
      </c>
      <c r="N2420" s="564" t="s">
        <v>70</v>
      </c>
      <c r="O2420" s="564" t="s">
        <v>2099</v>
      </c>
      <c r="P2420" s="23"/>
      <c r="Q2420" s="23"/>
      <c r="R2420" s="23"/>
      <c r="S2420" s="23"/>
      <c r="T2420" s="23"/>
      <c r="U2420" s="23"/>
      <c r="V2420" s="23"/>
      <c r="W2420" s="23"/>
      <c r="X2420" s="23"/>
      <c r="Y2420" s="23"/>
      <c r="Z2420" s="23"/>
    </row>
    <row r="2421" spans="1:26" ht="13">
      <c r="A2421" s="562" t="s">
        <v>6001</v>
      </c>
      <c r="B2421" s="563" t="s">
        <v>5925</v>
      </c>
      <c r="C2421" s="564" t="s">
        <v>1551</v>
      </c>
      <c r="D2421" s="565">
        <v>43172</v>
      </c>
      <c r="E2421" s="565">
        <v>43182</v>
      </c>
      <c r="F2421" s="566">
        <v>1974000</v>
      </c>
      <c r="G2421" s="564" t="s">
        <v>1157</v>
      </c>
      <c r="H2421" s="564" t="s">
        <v>1157</v>
      </c>
      <c r="I2421" s="564" t="s">
        <v>64</v>
      </c>
      <c r="J2421" s="564" t="s">
        <v>1069</v>
      </c>
      <c r="K2421" s="564" t="s">
        <v>1090</v>
      </c>
      <c r="L2421" s="564" t="s">
        <v>2098</v>
      </c>
      <c r="M2421" s="564" t="s">
        <v>2098</v>
      </c>
      <c r="N2421" s="564" t="s">
        <v>64</v>
      </c>
      <c r="O2421" s="564" t="s">
        <v>2099</v>
      </c>
      <c r="P2421" s="23"/>
      <c r="Q2421" s="23"/>
      <c r="R2421" s="23"/>
      <c r="S2421" s="23"/>
      <c r="T2421" s="23"/>
      <c r="U2421" s="23"/>
      <c r="V2421" s="23"/>
      <c r="W2421" s="23"/>
      <c r="X2421" s="23"/>
      <c r="Y2421" s="23"/>
      <c r="Z2421" s="23"/>
    </row>
    <row r="2422" spans="1:26" ht="13">
      <c r="A2422" s="562" t="s">
        <v>6002</v>
      </c>
      <c r="B2422" s="563" t="s">
        <v>6003</v>
      </c>
      <c r="C2422" s="564" t="s">
        <v>1204</v>
      </c>
      <c r="D2422" s="565">
        <v>43172</v>
      </c>
      <c r="E2422" s="565">
        <v>43220</v>
      </c>
      <c r="F2422" s="566">
        <v>10527300</v>
      </c>
      <c r="G2422" s="564" t="s">
        <v>1424</v>
      </c>
      <c r="H2422" s="564" t="s">
        <v>1424</v>
      </c>
      <c r="I2422" s="564" t="s">
        <v>1837</v>
      </c>
      <c r="J2422" s="564" t="s">
        <v>1069</v>
      </c>
      <c r="K2422" s="564" t="s">
        <v>1070</v>
      </c>
      <c r="L2422" s="564" t="s">
        <v>2098</v>
      </c>
      <c r="M2422" s="564" t="s">
        <v>2098</v>
      </c>
      <c r="N2422" s="564" t="s">
        <v>1082</v>
      </c>
      <c r="O2422" s="564" t="s">
        <v>2099</v>
      </c>
      <c r="P2422" s="23"/>
      <c r="Q2422" s="23"/>
      <c r="R2422" s="23"/>
      <c r="S2422" s="23"/>
      <c r="T2422" s="23"/>
      <c r="U2422" s="23"/>
      <c r="V2422" s="23"/>
      <c r="W2422" s="23"/>
      <c r="X2422" s="23"/>
      <c r="Y2422" s="23"/>
      <c r="Z2422" s="23"/>
    </row>
    <row r="2423" spans="1:26" ht="13">
      <c r="A2423" s="562" t="s">
        <v>6004</v>
      </c>
      <c r="B2423" s="563" t="s">
        <v>6005</v>
      </c>
      <c r="C2423" s="564" t="s">
        <v>1204</v>
      </c>
      <c r="D2423" s="565">
        <v>43173</v>
      </c>
      <c r="E2423" s="565">
        <v>43132</v>
      </c>
      <c r="F2423" s="566">
        <v>1116000</v>
      </c>
      <c r="G2423" s="564" t="s">
        <v>1424</v>
      </c>
      <c r="H2423" s="564" t="s">
        <v>1424</v>
      </c>
      <c r="I2423" s="564" t="s">
        <v>1471</v>
      </c>
      <c r="J2423" s="564" t="s">
        <v>1069</v>
      </c>
      <c r="K2423" s="564" t="s">
        <v>1070</v>
      </c>
      <c r="L2423" s="564" t="s">
        <v>1071</v>
      </c>
      <c r="M2423" s="564" t="s">
        <v>1183</v>
      </c>
      <c r="N2423" s="564" t="s">
        <v>1082</v>
      </c>
      <c r="O2423" s="564" t="s">
        <v>1472</v>
      </c>
      <c r="P2423" s="23"/>
      <c r="Q2423" s="23"/>
      <c r="R2423" s="23"/>
      <c r="S2423" s="23"/>
      <c r="T2423" s="23"/>
      <c r="U2423" s="23"/>
      <c r="V2423" s="23"/>
      <c r="W2423" s="23"/>
      <c r="X2423" s="23"/>
      <c r="Y2423" s="23"/>
      <c r="Z2423" s="23"/>
    </row>
    <row r="2424" spans="1:26" ht="13">
      <c r="A2424" s="562" t="s">
        <v>6006</v>
      </c>
      <c r="B2424" s="563" t="s">
        <v>6007</v>
      </c>
      <c r="C2424" s="564" t="s">
        <v>1551</v>
      </c>
      <c r="D2424" s="565">
        <v>43172</v>
      </c>
      <c r="E2424" s="565">
        <v>43203</v>
      </c>
      <c r="F2424" s="566">
        <v>2058000</v>
      </c>
      <c r="G2424" s="564" t="s">
        <v>1424</v>
      </c>
      <c r="H2424" s="564" t="s">
        <v>1424</v>
      </c>
      <c r="I2424" s="564" t="s">
        <v>64</v>
      </c>
      <c r="J2424" s="564" t="s">
        <v>1069</v>
      </c>
      <c r="K2424" s="564" t="s">
        <v>1090</v>
      </c>
      <c r="L2424" s="564" t="s">
        <v>2098</v>
      </c>
      <c r="M2424" s="564" t="s">
        <v>2098</v>
      </c>
      <c r="N2424" s="564" t="s">
        <v>64</v>
      </c>
      <c r="O2424" s="564" t="s">
        <v>2099</v>
      </c>
      <c r="P2424" s="23"/>
      <c r="Q2424" s="23"/>
      <c r="R2424" s="23"/>
      <c r="S2424" s="23"/>
      <c r="T2424" s="23"/>
      <c r="U2424" s="23"/>
      <c r="V2424" s="23"/>
      <c r="W2424" s="23"/>
      <c r="X2424" s="23"/>
      <c r="Y2424" s="23"/>
      <c r="Z2424" s="23"/>
    </row>
    <row r="2425" spans="1:26" ht="13">
      <c r="A2425" s="562" t="s">
        <v>6008</v>
      </c>
      <c r="B2425" s="563" t="s">
        <v>6009</v>
      </c>
      <c r="C2425" s="564" t="s">
        <v>1548</v>
      </c>
      <c r="D2425" s="565">
        <v>43171</v>
      </c>
      <c r="E2425" s="565">
        <v>43190</v>
      </c>
      <c r="F2425" s="566">
        <v>13020000</v>
      </c>
      <c r="G2425" s="564" t="s">
        <v>1123</v>
      </c>
      <c r="H2425" s="564" t="s">
        <v>1123</v>
      </c>
      <c r="I2425" s="564" t="s">
        <v>140</v>
      </c>
      <c r="J2425" s="564" t="s">
        <v>1069</v>
      </c>
      <c r="K2425" s="564" t="s">
        <v>1205</v>
      </c>
      <c r="L2425" s="564" t="s">
        <v>2098</v>
      </c>
      <c r="M2425" s="564" t="s">
        <v>2098</v>
      </c>
      <c r="N2425" s="564" t="s">
        <v>1073</v>
      </c>
      <c r="O2425" s="564" t="s">
        <v>2099</v>
      </c>
      <c r="P2425" s="23"/>
      <c r="Q2425" s="23"/>
      <c r="R2425" s="23"/>
      <c r="S2425" s="23"/>
      <c r="T2425" s="23"/>
      <c r="U2425" s="23"/>
      <c r="V2425" s="23"/>
      <c r="W2425" s="23"/>
      <c r="X2425" s="23"/>
      <c r="Y2425" s="23"/>
      <c r="Z2425" s="23"/>
    </row>
    <row r="2426" spans="1:26" ht="13">
      <c r="A2426" s="562" t="s">
        <v>6010</v>
      </c>
      <c r="B2426" s="563" t="s">
        <v>6011</v>
      </c>
      <c r="C2426" s="564" t="s">
        <v>1652</v>
      </c>
      <c r="D2426" s="565">
        <v>43173</v>
      </c>
      <c r="E2426" s="565">
        <v>43203</v>
      </c>
      <c r="F2426" s="566">
        <v>480000</v>
      </c>
      <c r="G2426" s="564" t="s">
        <v>1424</v>
      </c>
      <c r="H2426" s="564" t="s">
        <v>1424</v>
      </c>
      <c r="I2426" s="564" t="s">
        <v>1798</v>
      </c>
      <c r="J2426" s="564" t="s">
        <v>1069</v>
      </c>
      <c r="K2426" s="564" t="s">
        <v>1070</v>
      </c>
      <c r="L2426" s="564" t="s">
        <v>2098</v>
      </c>
      <c r="M2426" s="564" t="s">
        <v>2098</v>
      </c>
      <c r="N2426" s="564" t="s">
        <v>1073</v>
      </c>
      <c r="O2426" s="564" t="s">
        <v>2099</v>
      </c>
      <c r="P2426" s="23"/>
      <c r="Q2426" s="23"/>
      <c r="R2426" s="23"/>
      <c r="S2426" s="23"/>
      <c r="T2426" s="23"/>
      <c r="U2426" s="23"/>
      <c r="V2426" s="23"/>
      <c r="W2426" s="23"/>
      <c r="X2426" s="23"/>
      <c r="Y2426" s="23"/>
      <c r="Z2426" s="23"/>
    </row>
    <row r="2427" spans="1:26" ht="13">
      <c r="A2427" s="562" t="s">
        <v>6012</v>
      </c>
      <c r="B2427" s="563" t="s">
        <v>6013</v>
      </c>
      <c r="C2427" s="564" t="s">
        <v>1551</v>
      </c>
      <c r="D2427" s="565">
        <v>43171</v>
      </c>
      <c r="E2427" s="565">
        <v>43189</v>
      </c>
      <c r="F2427" s="566">
        <v>278548000</v>
      </c>
      <c r="G2427" s="564" t="s">
        <v>5465</v>
      </c>
      <c r="H2427" s="564" t="s">
        <v>5465</v>
      </c>
      <c r="I2427" s="564" t="s">
        <v>45</v>
      </c>
      <c r="J2427" s="564" t="s">
        <v>1069</v>
      </c>
      <c r="K2427" s="564" t="s">
        <v>1090</v>
      </c>
      <c r="L2427" s="564" t="s">
        <v>2098</v>
      </c>
      <c r="M2427" s="564" t="s">
        <v>2098</v>
      </c>
      <c r="N2427" s="564" t="s">
        <v>45</v>
      </c>
      <c r="O2427" s="564" t="s">
        <v>2099</v>
      </c>
      <c r="P2427" s="23"/>
      <c r="Q2427" s="23"/>
      <c r="R2427" s="23"/>
      <c r="S2427" s="23"/>
      <c r="T2427" s="23"/>
      <c r="U2427" s="23"/>
      <c r="V2427" s="23"/>
      <c r="W2427" s="23"/>
      <c r="X2427" s="23"/>
      <c r="Y2427" s="23"/>
      <c r="Z2427" s="23"/>
    </row>
    <row r="2428" spans="1:26" ht="13">
      <c r="A2428" s="562" t="s">
        <v>6014</v>
      </c>
      <c r="B2428" s="563" t="s">
        <v>6015</v>
      </c>
      <c r="C2428" s="564" t="s">
        <v>2387</v>
      </c>
      <c r="D2428" s="565">
        <v>43165</v>
      </c>
      <c r="E2428" s="565">
        <v>43251</v>
      </c>
      <c r="F2428" s="566">
        <v>4752000</v>
      </c>
      <c r="G2428" s="564" t="s">
        <v>1400</v>
      </c>
      <c r="H2428" s="564" t="s">
        <v>1400</v>
      </c>
      <c r="I2428" s="564" t="s">
        <v>4816</v>
      </c>
      <c r="J2428" s="564" t="s">
        <v>1069</v>
      </c>
      <c r="K2428" s="564" t="s">
        <v>1070</v>
      </c>
      <c r="L2428" s="564" t="s">
        <v>2098</v>
      </c>
      <c r="M2428" s="564" t="s">
        <v>2098</v>
      </c>
      <c r="N2428" s="564" t="s">
        <v>1082</v>
      </c>
      <c r="O2428" s="564" t="s">
        <v>2099</v>
      </c>
      <c r="P2428" s="23"/>
      <c r="Q2428" s="23"/>
      <c r="R2428" s="23"/>
      <c r="S2428" s="23"/>
      <c r="T2428" s="23"/>
      <c r="U2428" s="23"/>
      <c r="V2428" s="23"/>
      <c r="W2428" s="23"/>
      <c r="X2428" s="23"/>
      <c r="Y2428" s="23"/>
      <c r="Z2428" s="23"/>
    </row>
    <row r="2429" spans="1:26" ht="13">
      <c r="A2429" s="562" t="s">
        <v>6016</v>
      </c>
      <c r="B2429" s="563" t="s">
        <v>6017</v>
      </c>
      <c r="C2429" s="564" t="s">
        <v>1551</v>
      </c>
      <c r="D2429" s="565">
        <v>43167</v>
      </c>
      <c r="E2429" s="565">
        <v>43189</v>
      </c>
      <c r="F2429" s="566">
        <v>6428000</v>
      </c>
      <c r="G2429" s="564" t="s">
        <v>5465</v>
      </c>
      <c r="H2429" s="564" t="s">
        <v>5465</v>
      </c>
      <c r="I2429" s="564" t="s">
        <v>45</v>
      </c>
      <c r="J2429" s="564" t="s">
        <v>1069</v>
      </c>
      <c r="K2429" s="564" t="s">
        <v>1090</v>
      </c>
      <c r="L2429" s="564" t="s">
        <v>2098</v>
      </c>
      <c r="M2429" s="564" t="s">
        <v>2098</v>
      </c>
      <c r="N2429" s="564" t="s">
        <v>45</v>
      </c>
      <c r="O2429" s="564" t="s">
        <v>2099</v>
      </c>
      <c r="P2429" s="23"/>
      <c r="Q2429" s="23"/>
      <c r="R2429" s="23"/>
      <c r="S2429" s="23"/>
      <c r="T2429" s="23"/>
      <c r="U2429" s="23"/>
      <c r="V2429" s="23"/>
      <c r="W2429" s="23"/>
      <c r="X2429" s="23"/>
      <c r="Y2429" s="23"/>
      <c r="Z2429" s="23"/>
    </row>
    <row r="2430" spans="1:26" ht="13">
      <c r="A2430" s="562" t="s">
        <v>6018</v>
      </c>
      <c r="B2430" s="563" t="s">
        <v>6019</v>
      </c>
      <c r="C2430" s="564" t="s">
        <v>1551</v>
      </c>
      <c r="D2430" s="565">
        <v>43167</v>
      </c>
      <c r="E2430" s="565">
        <v>43189</v>
      </c>
      <c r="F2430" s="566">
        <v>99762000</v>
      </c>
      <c r="G2430" s="564" t="s">
        <v>5465</v>
      </c>
      <c r="H2430" s="564" t="s">
        <v>5465</v>
      </c>
      <c r="I2430" s="564" t="s">
        <v>45</v>
      </c>
      <c r="J2430" s="564" t="s">
        <v>1069</v>
      </c>
      <c r="K2430" s="564" t="s">
        <v>1090</v>
      </c>
      <c r="L2430" s="564" t="s">
        <v>2098</v>
      </c>
      <c r="M2430" s="564" t="s">
        <v>2098</v>
      </c>
      <c r="N2430" s="564" t="s">
        <v>45</v>
      </c>
      <c r="O2430" s="564" t="s">
        <v>2099</v>
      </c>
      <c r="P2430" s="23"/>
      <c r="Q2430" s="23"/>
      <c r="R2430" s="23"/>
      <c r="S2430" s="23"/>
      <c r="T2430" s="23"/>
      <c r="U2430" s="23"/>
      <c r="V2430" s="23"/>
      <c r="W2430" s="23"/>
      <c r="X2430" s="23"/>
      <c r="Y2430" s="23"/>
      <c r="Z2430" s="23"/>
    </row>
    <row r="2431" spans="1:26" ht="13">
      <c r="A2431" s="562" t="s">
        <v>6020</v>
      </c>
      <c r="B2431" s="563" t="s">
        <v>6021</v>
      </c>
      <c r="C2431" s="564" t="s">
        <v>2433</v>
      </c>
      <c r="D2431" s="565">
        <v>43167</v>
      </c>
      <c r="E2431" s="565">
        <v>43251</v>
      </c>
      <c r="F2431" s="566">
        <v>4404000</v>
      </c>
      <c r="G2431" s="564" t="s">
        <v>1400</v>
      </c>
      <c r="H2431" s="564" t="s">
        <v>1400</v>
      </c>
      <c r="I2431" s="564" t="s">
        <v>4816</v>
      </c>
      <c r="J2431" s="564" t="s">
        <v>1069</v>
      </c>
      <c r="K2431" s="564" t="s">
        <v>1070</v>
      </c>
      <c r="L2431" s="564" t="s">
        <v>2098</v>
      </c>
      <c r="M2431" s="564" t="s">
        <v>2098</v>
      </c>
      <c r="N2431" s="564" t="s">
        <v>1082</v>
      </c>
      <c r="O2431" s="564" t="s">
        <v>2099</v>
      </c>
      <c r="P2431" s="23"/>
      <c r="Q2431" s="23"/>
      <c r="R2431" s="23"/>
      <c r="S2431" s="23"/>
      <c r="T2431" s="23"/>
      <c r="U2431" s="23"/>
      <c r="V2431" s="23"/>
      <c r="W2431" s="23"/>
      <c r="X2431" s="23"/>
      <c r="Y2431" s="23"/>
      <c r="Z2431" s="23"/>
    </row>
    <row r="2432" spans="1:26" ht="13">
      <c r="A2432" s="562" t="s">
        <v>6022</v>
      </c>
      <c r="B2432" s="563" t="s">
        <v>6023</v>
      </c>
      <c r="C2432" s="564" t="s">
        <v>2387</v>
      </c>
      <c r="D2432" s="565">
        <v>43167</v>
      </c>
      <c r="E2432" s="565">
        <v>43251</v>
      </c>
      <c r="F2432" s="566">
        <v>528000</v>
      </c>
      <c r="G2432" s="564" t="s">
        <v>1400</v>
      </c>
      <c r="H2432" s="564" t="s">
        <v>1400</v>
      </c>
      <c r="I2432" s="564" t="s">
        <v>4816</v>
      </c>
      <c r="J2432" s="564" t="s">
        <v>1069</v>
      </c>
      <c r="K2432" s="564" t="s">
        <v>1070</v>
      </c>
      <c r="L2432" s="564" t="s">
        <v>2098</v>
      </c>
      <c r="M2432" s="564" t="s">
        <v>2098</v>
      </c>
      <c r="N2432" s="564" t="s">
        <v>1082</v>
      </c>
      <c r="O2432" s="564" t="s">
        <v>2099</v>
      </c>
      <c r="P2432" s="23"/>
      <c r="Q2432" s="23"/>
      <c r="R2432" s="23"/>
      <c r="S2432" s="23"/>
      <c r="T2432" s="23"/>
      <c r="U2432" s="23"/>
      <c r="V2432" s="23"/>
      <c r="W2432" s="23"/>
      <c r="X2432" s="23"/>
      <c r="Y2432" s="23"/>
      <c r="Z2432" s="23"/>
    </row>
    <row r="2433" spans="1:26" ht="13">
      <c r="A2433" s="562" t="s">
        <v>6024</v>
      </c>
      <c r="B2433" s="563" t="s">
        <v>6025</v>
      </c>
      <c r="C2433" s="564" t="s">
        <v>2387</v>
      </c>
      <c r="D2433" s="565">
        <v>43166</v>
      </c>
      <c r="E2433" s="565">
        <v>43251</v>
      </c>
      <c r="F2433" s="566">
        <v>277000</v>
      </c>
      <c r="G2433" s="564" t="s">
        <v>1400</v>
      </c>
      <c r="H2433" s="564" t="s">
        <v>1400</v>
      </c>
      <c r="I2433" s="564" t="s">
        <v>4816</v>
      </c>
      <c r="J2433" s="564" t="s">
        <v>1069</v>
      </c>
      <c r="K2433" s="564" t="s">
        <v>1070</v>
      </c>
      <c r="L2433" s="564" t="s">
        <v>2098</v>
      </c>
      <c r="M2433" s="564" t="s">
        <v>2098</v>
      </c>
      <c r="N2433" s="564" t="s">
        <v>1082</v>
      </c>
      <c r="O2433" s="564" t="s">
        <v>2099</v>
      </c>
      <c r="P2433" s="23"/>
      <c r="Q2433" s="23"/>
      <c r="R2433" s="23"/>
      <c r="S2433" s="23"/>
      <c r="T2433" s="23"/>
      <c r="U2433" s="23"/>
      <c r="V2433" s="23"/>
      <c r="W2433" s="23"/>
      <c r="X2433" s="23"/>
      <c r="Y2433" s="23"/>
      <c r="Z2433" s="23"/>
    </row>
    <row r="2434" spans="1:26" ht="13">
      <c r="A2434" s="562" t="s">
        <v>6026</v>
      </c>
      <c r="B2434" s="563" t="s">
        <v>6027</v>
      </c>
      <c r="C2434" s="564" t="s">
        <v>2387</v>
      </c>
      <c r="D2434" s="565">
        <v>43166</v>
      </c>
      <c r="E2434" s="565">
        <v>43251</v>
      </c>
      <c r="F2434" s="566">
        <v>1729000</v>
      </c>
      <c r="G2434" s="564" t="s">
        <v>1400</v>
      </c>
      <c r="H2434" s="564" t="s">
        <v>1400</v>
      </c>
      <c r="I2434" s="564" t="s">
        <v>4816</v>
      </c>
      <c r="J2434" s="564" t="s">
        <v>1069</v>
      </c>
      <c r="K2434" s="564" t="s">
        <v>1070</v>
      </c>
      <c r="L2434" s="564" t="s">
        <v>2098</v>
      </c>
      <c r="M2434" s="564" t="s">
        <v>2098</v>
      </c>
      <c r="N2434" s="564" t="s">
        <v>1082</v>
      </c>
      <c r="O2434" s="564" t="s">
        <v>2099</v>
      </c>
      <c r="P2434" s="23"/>
      <c r="Q2434" s="23"/>
      <c r="R2434" s="23"/>
      <c r="S2434" s="23"/>
      <c r="T2434" s="23"/>
      <c r="U2434" s="23"/>
      <c r="V2434" s="23"/>
      <c r="W2434" s="23"/>
      <c r="X2434" s="23"/>
      <c r="Y2434" s="23"/>
      <c r="Z2434" s="23"/>
    </row>
    <row r="2435" spans="1:26" ht="13">
      <c r="A2435" s="562" t="s">
        <v>6028</v>
      </c>
      <c r="B2435" s="563" t="s">
        <v>6029</v>
      </c>
      <c r="C2435" s="564" t="s">
        <v>2387</v>
      </c>
      <c r="D2435" s="565">
        <v>43166</v>
      </c>
      <c r="E2435" s="565">
        <v>43251</v>
      </c>
      <c r="F2435" s="566">
        <v>1842000</v>
      </c>
      <c r="G2435" s="564" t="s">
        <v>1400</v>
      </c>
      <c r="H2435" s="564" t="s">
        <v>1400</v>
      </c>
      <c r="I2435" s="564" t="s">
        <v>4816</v>
      </c>
      <c r="J2435" s="564" t="s">
        <v>1069</v>
      </c>
      <c r="K2435" s="564" t="s">
        <v>1070</v>
      </c>
      <c r="L2435" s="564" t="s">
        <v>2098</v>
      </c>
      <c r="M2435" s="564" t="s">
        <v>2098</v>
      </c>
      <c r="N2435" s="564" t="s">
        <v>1082</v>
      </c>
      <c r="O2435" s="564" t="s">
        <v>2099</v>
      </c>
      <c r="P2435" s="23"/>
      <c r="Q2435" s="23"/>
      <c r="R2435" s="23"/>
      <c r="S2435" s="23"/>
      <c r="T2435" s="23"/>
      <c r="U2435" s="23"/>
      <c r="V2435" s="23"/>
      <c r="W2435" s="23"/>
      <c r="X2435" s="23"/>
      <c r="Y2435" s="23"/>
      <c r="Z2435" s="23"/>
    </row>
    <row r="2436" spans="1:26" ht="13">
      <c r="A2436" s="562" t="s">
        <v>6030</v>
      </c>
      <c r="B2436" s="563" t="s">
        <v>6031</v>
      </c>
      <c r="C2436" s="564" t="s">
        <v>2387</v>
      </c>
      <c r="D2436" s="565">
        <v>43166</v>
      </c>
      <c r="E2436" s="565">
        <v>43251</v>
      </c>
      <c r="F2436" s="566">
        <v>280000</v>
      </c>
      <c r="G2436" s="564" t="s">
        <v>1400</v>
      </c>
      <c r="H2436" s="564" t="s">
        <v>1400</v>
      </c>
      <c r="I2436" s="564" t="s">
        <v>4816</v>
      </c>
      <c r="J2436" s="564" t="s">
        <v>1069</v>
      </c>
      <c r="K2436" s="564" t="s">
        <v>1070</v>
      </c>
      <c r="L2436" s="564" t="s">
        <v>2098</v>
      </c>
      <c r="M2436" s="564" t="s">
        <v>2098</v>
      </c>
      <c r="N2436" s="564" t="s">
        <v>1082</v>
      </c>
      <c r="O2436" s="564" t="s">
        <v>2099</v>
      </c>
      <c r="P2436" s="23"/>
      <c r="Q2436" s="23"/>
      <c r="R2436" s="23"/>
      <c r="S2436" s="23"/>
      <c r="T2436" s="23"/>
      <c r="U2436" s="23"/>
      <c r="V2436" s="23"/>
      <c r="W2436" s="23"/>
      <c r="X2436" s="23"/>
      <c r="Y2436" s="23"/>
      <c r="Z2436" s="23"/>
    </row>
    <row r="2437" spans="1:26" ht="13">
      <c r="A2437" s="562" t="s">
        <v>6032</v>
      </c>
      <c r="B2437" s="563" t="s">
        <v>5799</v>
      </c>
      <c r="C2437" s="564" t="s">
        <v>1551</v>
      </c>
      <c r="D2437" s="565">
        <v>43168</v>
      </c>
      <c r="E2437" s="565">
        <v>43199</v>
      </c>
      <c r="F2437" s="566">
        <v>1976000</v>
      </c>
      <c r="G2437" s="564" t="s">
        <v>1424</v>
      </c>
      <c r="H2437" s="564" t="s">
        <v>1424</v>
      </c>
      <c r="I2437" s="564" t="s">
        <v>64</v>
      </c>
      <c r="J2437" s="564" t="s">
        <v>1069</v>
      </c>
      <c r="K2437" s="564" t="s">
        <v>1090</v>
      </c>
      <c r="L2437" s="564" t="s">
        <v>2098</v>
      </c>
      <c r="M2437" s="564" t="s">
        <v>2098</v>
      </c>
      <c r="N2437" s="564" t="s">
        <v>64</v>
      </c>
      <c r="O2437" s="564" t="s">
        <v>2099</v>
      </c>
      <c r="P2437" s="23"/>
      <c r="Q2437" s="23"/>
      <c r="R2437" s="23"/>
      <c r="S2437" s="23"/>
      <c r="T2437" s="23"/>
      <c r="U2437" s="23"/>
      <c r="V2437" s="23"/>
      <c r="W2437" s="23"/>
      <c r="X2437" s="23"/>
      <c r="Y2437" s="23"/>
      <c r="Z2437" s="23"/>
    </row>
    <row r="2438" spans="1:26" ht="13">
      <c r="A2438" s="562" t="s">
        <v>6033</v>
      </c>
      <c r="B2438" s="563" t="s">
        <v>6034</v>
      </c>
      <c r="C2438" s="564" t="s">
        <v>2387</v>
      </c>
      <c r="D2438" s="565">
        <v>43166</v>
      </c>
      <c r="E2438" s="565">
        <v>43189</v>
      </c>
      <c r="F2438" s="566">
        <v>576000</v>
      </c>
      <c r="G2438" s="564" t="s">
        <v>1400</v>
      </c>
      <c r="H2438" s="564" t="s">
        <v>1400</v>
      </c>
      <c r="I2438" s="564" t="s">
        <v>4816</v>
      </c>
      <c r="J2438" s="564" t="s">
        <v>1069</v>
      </c>
      <c r="K2438" s="564" t="s">
        <v>1070</v>
      </c>
      <c r="L2438" s="564" t="s">
        <v>2098</v>
      </c>
      <c r="M2438" s="564" t="s">
        <v>2098</v>
      </c>
      <c r="N2438" s="564" t="s">
        <v>1082</v>
      </c>
      <c r="O2438" s="564" t="s">
        <v>2099</v>
      </c>
      <c r="P2438" s="23"/>
      <c r="Q2438" s="23"/>
      <c r="R2438" s="23"/>
      <c r="S2438" s="23"/>
      <c r="T2438" s="23"/>
      <c r="U2438" s="23"/>
      <c r="V2438" s="23"/>
      <c r="W2438" s="23"/>
      <c r="X2438" s="23"/>
      <c r="Y2438" s="23"/>
      <c r="Z2438" s="23"/>
    </row>
    <row r="2439" spans="1:26" ht="13">
      <c r="A2439" s="562" t="s">
        <v>6035</v>
      </c>
      <c r="B2439" s="563" t="s">
        <v>6036</v>
      </c>
      <c r="C2439" s="564" t="s">
        <v>2387</v>
      </c>
      <c r="D2439" s="565">
        <v>43166</v>
      </c>
      <c r="E2439" s="565">
        <v>43220</v>
      </c>
      <c r="F2439" s="566">
        <v>528000</v>
      </c>
      <c r="G2439" s="564" t="s">
        <v>1400</v>
      </c>
      <c r="H2439" s="564" t="s">
        <v>1400</v>
      </c>
      <c r="I2439" s="564" t="s">
        <v>4816</v>
      </c>
      <c r="J2439" s="564" t="s">
        <v>1069</v>
      </c>
      <c r="K2439" s="564" t="s">
        <v>1070</v>
      </c>
      <c r="L2439" s="564" t="s">
        <v>2098</v>
      </c>
      <c r="M2439" s="564" t="s">
        <v>2098</v>
      </c>
      <c r="N2439" s="564" t="s">
        <v>1082</v>
      </c>
      <c r="O2439" s="564" t="s">
        <v>2099</v>
      </c>
      <c r="P2439" s="23"/>
      <c r="Q2439" s="23"/>
      <c r="R2439" s="23"/>
      <c r="S2439" s="23"/>
      <c r="T2439" s="23"/>
      <c r="U2439" s="23"/>
      <c r="V2439" s="23"/>
      <c r="W2439" s="23"/>
      <c r="X2439" s="23"/>
      <c r="Y2439" s="23"/>
      <c r="Z2439" s="23"/>
    </row>
    <row r="2440" spans="1:26" ht="13">
      <c r="A2440" s="562" t="s">
        <v>6037</v>
      </c>
      <c r="B2440" s="563" t="s">
        <v>6038</v>
      </c>
      <c r="C2440" s="564" t="s">
        <v>2387</v>
      </c>
      <c r="D2440" s="565">
        <v>43166</v>
      </c>
      <c r="E2440" s="565">
        <v>43220</v>
      </c>
      <c r="F2440" s="566">
        <v>1165000</v>
      </c>
      <c r="G2440" s="564" t="s">
        <v>1400</v>
      </c>
      <c r="H2440" s="564" t="s">
        <v>1400</v>
      </c>
      <c r="I2440" s="564" t="s">
        <v>4816</v>
      </c>
      <c r="J2440" s="564" t="s">
        <v>1069</v>
      </c>
      <c r="K2440" s="564" t="s">
        <v>1070</v>
      </c>
      <c r="L2440" s="564" t="s">
        <v>2098</v>
      </c>
      <c r="M2440" s="564" t="s">
        <v>2098</v>
      </c>
      <c r="N2440" s="564" t="s">
        <v>1082</v>
      </c>
      <c r="O2440" s="564" t="s">
        <v>2099</v>
      </c>
      <c r="P2440" s="23"/>
      <c r="Q2440" s="23"/>
      <c r="R2440" s="23"/>
      <c r="S2440" s="23"/>
      <c r="T2440" s="23"/>
      <c r="U2440" s="23"/>
      <c r="V2440" s="23"/>
      <c r="W2440" s="23"/>
      <c r="X2440" s="23"/>
      <c r="Y2440" s="23"/>
      <c r="Z2440" s="23"/>
    </row>
    <row r="2441" spans="1:26" ht="13">
      <c r="A2441" s="562" t="s">
        <v>6039</v>
      </c>
      <c r="B2441" s="563" t="s">
        <v>6040</v>
      </c>
      <c r="C2441" s="564" t="s">
        <v>2433</v>
      </c>
      <c r="D2441" s="565">
        <v>43167</v>
      </c>
      <c r="E2441" s="565">
        <v>43159</v>
      </c>
      <c r="F2441" s="566">
        <v>7535600</v>
      </c>
      <c r="G2441" s="564" t="s">
        <v>1157</v>
      </c>
      <c r="H2441" s="564" t="s">
        <v>1157</v>
      </c>
      <c r="I2441" s="564" t="s">
        <v>64</v>
      </c>
      <c r="J2441" s="564" t="s">
        <v>1069</v>
      </c>
      <c r="K2441" s="564" t="s">
        <v>1090</v>
      </c>
      <c r="L2441" s="564" t="s">
        <v>2098</v>
      </c>
      <c r="M2441" s="564" t="s">
        <v>2098</v>
      </c>
      <c r="N2441" s="564" t="s">
        <v>64</v>
      </c>
      <c r="O2441" s="564" t="s">
        <v>2099</v>
      </c>
      <c r="P2441" s="23"/>
      <c r="Q2441" s="23"/>
      <c r="R2441" s="23"/>
      <c r="S2441" s="23"/>
      <c r="T2441" s="23"/>
      <c r="U2441" s="23"/>
      <c r="V2441" s="23"/>
      <c r="W2441" s="23"/>
      <c r="X2441" s="23"/>
      <c r="Y2441" s="23"/>
      <c r="Z2441" s="23"/>
    </row>
    <row r="2442" spans="1:26" ht="13">
      <c r="A2442" s="562" t="s">
        <v>6041</v>
      </c>
      <c r="B2442" s="563" t="s">
        <v>6042</v>
      </c>
      <c r="C2442" s="564" t="s">
        <v>2387</v>
      </c>
      <c r="D2442" s="565">
        <v>43166</v>
      </c>
      <c r="E2442" s="565">
        <v>43220</v>
      </c>
      <c r="F2442" s="566">
        <v>5796000</v>
      </c>
      <c r="G2442" s="564" t="s">
        <v>1400</v>
      </c>
      <c r="H2442" s="564" t="s">
        <v>1400</v>
      </c>
      <c r="I2442" s="564" t="s">
        <v>4816</v>
      </c>
      <c r="J2442" s="564" t="s">
        <v>1069</v>
      </c>
      <c r="K2442" s="564" t="s">
        <v>1070</v>
      </c>
      <c r="L2442" s="564" t="s">
        <v>2098</v>
      </c>
      <c r="M2442" s="564" t="s">
        <v>2098</v>
      </c>
      <c r="N2442" s="564" t="s">
        <v>1082</v>
      </c>
      <c r="O2442" s="564" t="s">
        <v>2099</v>
      </c>
      <c r="P2442" s="23"/>
      <c r="Q2442" s="23"/>
      <c r="R2442" s="23"/>
      <c r="S2442" s="23"/>
      <c r="T2442" s="23"/>
      <c r="U2442" s="23"/>
      <c r="V2442" s="23"/>
      <c r="W2442" s="23"/>
      <c r="X2442" s="23"/>
      <c r="Y2442" s="23"/>
      <c r="Z2442" s="23"/>
    </row>
    <row r="2443" spans="1:26" ht="13">
      <c r="A2443" s="562" t="s">
        <v>6043</v>
      </c>
      <c r="B2443" s="563" t="s">
        <v>6044</v>
      </c>
      <c r="C2443" s="564" t="s">
        <v>2387</v>
      </c>
      <c r="D2443" s="565">
        <v>43166</v>
      </c>
      <c r="E2443" s="565">
        <v>43251</v>
      </c>
      <c r="F2443" s="566">
        <v>921000</v>
      </c>
      <c r="G2443" s="564" t="s">
        <v>1400</v>
      </c>
      <c r="H2443" s="564" t="s">
        <v>1400</v>
      </c>
      <c r="I2443" s="564" t="s">
        <v>4816</v>
      </c>
      <c r="J2443" s="564" t="s">
        <v>1069</v>
      </c>
      <c r="K2443" s="564" t="s">
        <v>1070</v>
      </c>
      <c r="L2443" s="564" t="s">
        <v>2098</v>
      </c>
      <c r="M2443" s="564" t="s">
        <v>2098</v>
      </c>
      <c r="N2443" s="564" t="s">
        <v>1082</v>
      </c>
      <c r="O2443" s="564" t="s">
        <v>2099</v>
      </c>
      <c r="P2443" s="23"/>
      <c r="Q2443" s="23"/>
      <c r="R2443" s="23"/>
      <c r="S2443" s="23"/>
      <c r="T2443" s="23"/>
      <c r="U2443" s="23"/>
      <c r="V2443" s="23"/>
      <c r="W2443" s="23"/>
      <c r="X2443" s="23"/>
      <c r="Y2443" s="23"/>
      <c r="Z2443" s="23"/>
    </row>
    <row r="2444" spans="1:26" ht="13">
      <c r="A2444" s="562" t="s">
        <v>6045</v>
      </c>
      <c r="B2444" s="563" t="s">
        <v>6046</v>
      </c>
      <c r="C2444" s="564" t="s">
        <v>1551</v>
      </c>
      <c r="D2444" s="565">
        <v>43166</v>
      </c>
      <c r="E2444" s="565">
        <v>43196</v>
      </c>
      <c r="F2444" s="566">
        <v>5057000</v>
      </c>
      <c r="G2444" s="564" t="s">
        <v>1424</v>
      </c>
      <c r="H2444" s="564" t="s">
        <v>1424</v>
      </c>
      <c r="I2444" s="564" t="s">
        <v>45</v>
      </c>
      <c r="J2444" s="564" t="s">
        <v>1069</v>
      </c>
      <c r="K2444" s="564" t="s">
        <v>1090</v>
      </c>
      <c r="L2444" s="564" t="s">
        <v>2098</v>
      </c>
      <c r="M2444" s="564" t="s">
        <v>2098</v>
      </c>
      <c r="N2444" s="564" t="s">
        <v>45</v>
      </c>
      <c r="O2444" s="564" t="s">
        <v>2099</v>
      </c>
      <c r="P2444" s="23"/>
      <c r="Q2444" s="23"/>
      <c r="R2444" s="23"/>
      <c r="S2444" s="23"/>
      <c r="T2444" s="23"/>
      <c r="U2444" s="23"/>
      <c r="V2444" s="23"/>
      <c r="W2444" s="23"/>
      <c r="X2444" s="23"/>
      <c r="Y2444" s="23"/>
      <c r="Z2444" s="23"/>
    </row>
    <row r="2445" spans="1:26" ht="13">
      <c r="A2445" s="562" t="s">
        <v>6047</v>
      </c>
      <c r="B2445" s="563" t="s">
        <v>6048</v>
      </c>
      <c r="C2445" s="564" t="s">
        <v>2387</v>
      </c>
      <c r="D2445" s="565">
        <v>43166</v>
      </c>
      <c r="E2445" s="565">
        <v>43220</v>
      </c>
      <c r="F2445" s="566">
        <v>2112000</v>
      </c>
      <c r="G2445" s="564" t="s">
        <v>1400</v>
      </c>
      <c r="H2445" s="564" t="s">
        <v>1400</v>
      </c>
      <c r="I2445" s="564" t="s">
        <v>4816</v>
      </c>
      <c r="J2445" s="564" t="s">
        <v>1069</v>
      </c>
      <c r="K2445" s="564" t="s">
        <v>1070</v>
      </c>
      <c r="L2445" s="564" t="s">
        <v>2098</v>
      </c>
      <c r="M2445" s="564" t="s">
        <v>2098</v>
      </c>
      <c r="N2445" s="564" t="s">
        <v>1082</v>
      </c>
      <c r="O2445" s="564" t="s">
        <v>2099</v>
      </c>
      <c r="P2445" s="23"/>
      <c r="Q2445" s="23"/>
      <c r="R2445" s="23"/>
      <c r="S2445" s="23"/>
      <c r="T2445" s="23"/>
      <c r="U2445" s="23"/>
      <c r="V2445" s="23"/>
      <c r="W2445" s="23"/>
      <c r="X2445" s="23"/>
      <c r="Y2445" s="23"/>
      <c r="Z2445" s="23"/>
    </row>
    <row r="2446" spans="1:26" ht="13">
      <c r="A2446" s="562" t="s">
        <v>6049</v>
      </c>
      <c r="B2446" s="563" t="s">
        <v>6050</v>
      </c>
      <c r="C2446" s="564" t="s">
        <v>2387</v>
      </c>
      <c r="D2446" s="565">
        <v>43166</v>
      </c>
      <c r="E2446" s="565">
        <v>43251</v>
      </c>
      <c r="F2446" s="566">
        <v>3298000</v>
      </c>
      <c r="G2446" s="564" t="s">
        <v>1400</v>
      </c>
      <c r="H2446" s="564" t="s">
        <v>1400</v>
      </c>
      <c r="I2446" s="564" t="s">
        <v>4816</v>
      </c>
      <c r="J2446" s="564" t="s">
        <v>1069</v>
      </c>
      <c r="K2446" s="564" t="s">
        <v>1070</v>
      </c>
      <c r="L2446" s="564" t="s">
        <v>2098</v>
      </c>
      <c r="M2446" s="564" t="s">
        <v>2098</v>
      </c>
      <c r="N2446" s="564" t="s">
        <v>1082</v>
      </c>
      <c r="O2446" s="564" t="s">
        <v>2099</v>
      </c>
      <c r="P2446" s="23"/>
      <c r="Q2446" s="23"/>
      <c r="R2446" s="23"/>
      <c r="S2446" s="23"/>
      <c r="T2446" s="23"/>
      <c r="U2446" s="23"/>
      <c r="V2446" s="23"/>
      <c r="W2446" s="23"/>
      <c r="X2446" s="23"/>
      <c r="Y2446" s="23"/>
      <c r="Z2446" s="23"/>
    </row>
    <row r="2447" spans="1:26" ht="13">
      <c r="A2447" s="562" t="s">
        <v>6051</v>
      </c>
      <c r="B2447" s="563" t="s">
        <v>6052</v>
      </c>
      <c r="C2447" s="564" t="s">
        <v>2387</v>
      </c>
      <c r="D2447" s="565">
        <v>43166</v>
      </c>
      <c r="E2447" s="565">
        <v>43220</v>
      </c>
      <c r="F2447" s="566">
        <v>921000</v>
      </c>
      <c r="G2447" s="564" t="s">
        <v>1400</v>
      </c>
      <c r="H2447" s="564" t="s">
        <v>1400</v>
      </c>
      <c r="I2447" s="564" t="s">
        <v>4816</v>
      </c>
      <c r="J2447" s="564" t="s">
        <v>1069</v>
      </c>
      <c r="K2447" s="564" t="s">
        <v>1070</v>
      </c>
      <c r="L2447" s="564" t="s">
        <v>2098</v>
      </c>
      <c r="M2447" s="564" t="s">
        <v>2098</v>
      </c>
      <c r="N2447" s="564" t="s">
        <v>1082</v>
      </c>
      <c r="O2447" s="564" t="s">
        <v>2099</v>
      </c>
      <c r="P2447" s="23"/>
      <c r="Q2447" s="23"/>
      <c r="R2447" s="23"/>
      <c r="S2447" s="23"/>
      <c r="T2447" s="23"/>
      <c r="U2447" s="23"/>
      <c r="V2447" s="23"/>
      <c r="W2447" s="23"/>
      <c r="X2447" s="23"/>
      <c r="Y2447" s="23"/>
      <c r="Z2447" s="23"/>
    </row>
    <row r="2448" spans="1:26" ht="13">
      <c r="A2448" s="562" t="s">
        <v>6053</v>
      </c>
      <c r="B2448" s="563" t="s">
        <v>6054</v>
      </c>
      <c r="C2448" s="564" t="s">
        <v>2387</v>
      </c>
      <c r="D2448" s="565">
        <v>43166</v>
      </c>
      <c r="E2448" s="565">
        <v>43220</v>
      </c>
      <c r="F2448" s="566">
        <v>1165000</v>
      </c>
      <c r="G2448" s="564" t="s">
        <v>1400</v>
      </c>
      <c r="H2448" s="564" t="s">
        <v>1400</v>
      </c>
      <c r="I2448" s="564" t="s">
        <v>4816</v>
      </c>
      <c r="J2448" s="564" t="s">
        <v>1069</v>
      </c>
      <c r="K2448" s="564" t="s">
        <v>1070</v>
      </c>
      <c r="L2448" s="564" t="s">
        <v>2098</v>
      </c>
      <c r="M2448" s="564" t="s">
        <v>2098</v>
      </c>
      <c r="N2448" s="564" t="s">
        <v>1082</v>
      </c>
      <c r="O2448" s="564" t="s">
        <v>2099</v>
      </c>
      <c r="P2448" s="23"/>
      <c r="Q2448" s="23"/>
      <c r="R2448" s="23"/>
      <c r="S2448" s="23"/>
      <c r="T2448" s="23"/>
      <c r="U2448" s="23"/>
      <c r="V2448" s="23"/>
      <c r="W2448" s="23"/>
      <c r="X2448" s="23"/>
      <c r="Y2448" s="23"/>
      <c r="Z2448" s="23"/>
    </row>
    <row r="2449" spans="1:26" ht="13">
      <c r="A2449" s="562" t="s">
        <v>6055</v>
      </c>
      <c r="B2449" s="563" t="s">
        <v>6056</v>
      </c>
      <c r="C2449" s="564" t="s">
        <v>2387</v>
      </c>
      <c r="D2449" s="565">
        <v>43166</v>
      </c>
      <c r="E2449" s="565">
        <v>43189</v>
      </c>
      <c r="F2449" s="566">
        <v>1000000</v>
      </c>
      <c r="G2449" s="564" t="s">
        <v>1400</v>
      </c>
      <c r="H2449" s="564" t="s">
        <v>1400</v>
      </c>
      <c r="I2449" s="564" t="s">
        <v>4816</v>
      </c>
      <c r="J2449" s="564" t="s">
        <v>1069</v>
      </c>
      <c r="K2449" s="564" t="s">
        <v>1070</v>
      </c>
      <c r="L2449" s="564" t="s">
        <v>2098</v>
      </c>
      <c r="M2449" s="564" t="s">
        <v>2098</v>
      </c>
      <c r="N2449" s="564" t="s">
        <v>1082</v>
      </c>
      <c r="O2449" s="564" t="s">
        <v>2099</v>
      </c>
      <c r="P2449" s="23"/>
      <c r="Q2449" s="23"/>
      <c r="R2449" s="23"/>
      <c r="S2449" s="23"/>
      <c r="T2449" s="23"/>
      <c r="U2449" s="23"/>
      <c r="V2449" s="23"/>
      <c r="W2449" s="23"/>
      <c r="X2449" s="23"/>
      <c r="Y2449" s="23"/>
      <c r="Z2449" s="23"/>
    </row>
    <row r="2450" spans="1:26" ht="13">
      <c r="A2450" s="562" t="s">
        <v>6057</v>
      </c>
      <c r="B2450" s="563" t="s">
        <v>6058</v>
      </c>
      <c r="C2450" s="564" t="s">
        <v>1551</v>
      </c>
      <c r="D2450" s="565">
        <v>43165</v>
      </c>
      <c r="E2450" s="565">
        <v>43182</v>
      </c>
      <c r="F2450" s="566">
        <v>441000</v>
      </c>
      <c r="G2450" s="564" t="s">
        <v>1424</v>
      </c>
      <c r="H2450" s="564" t="s">
        <v>1424</v>
      </c>
      <c r="I2450" s="564" t="s">
        <v>257</v>
      </c>
      <c r="J2450" s="564" t="s">
        <v>1069</v>
      </c>
      <c r="K2450" s="564" t="s">
        <v>1209</v>
      </c>
      <c r="L2450" s="564" t="s">
        <v>2098</v>
      </c>
      <c r="M2450" s="564" t="s">
        <v>2098</v>
      </c>
      <c r="N2450" s="564" t="s">
        <v>257</v>
      </c>
      <c r="O2450" s="564" t="s">
        <v>2099</v>
      </c>
      <c r="P2450" s="23"/>
      <c r="Q2450" s="23"/>
      <c r="R2450" s="23"/>
      <c r="S2450" s="23"/>
      <c r="T2450" s="23"/>
      <c r="U2450" s="23"/>
      <c r="V2450" s="23"/>
      <c r="W2450" s="23"/>
      <c r="X2450" s="23"/>
      <c r="Y2450" s="23"/>
      <c r="Z2450" s="23"/>
    </row>
    <row r="2451" spans="1:26" ht="13">
      <c r="A2451" s="562" t="s">
        <v>6059</v>
      </c>
      <c r="B2451" s="563" t="s">
        <v>6060</v>
      </c>
      <c r="C2451" s="564" t="s">
        <v>2433</v>
      </c>
      <c r="D2451" s="565">
        <v>43164</v>
      </c>
      <c r="E2451" s="565">
        <v>43159</v>
      </c>
      <c r="F2451" s="566">
        <v>-2112000</v>
      </c>
      <c r="G2451" s="564" t="s">
        <v>1400</v>
      </c>
      <c r="H2451" s="564" t="s">
        <v>1400</v>
      </c>
      <c r="I2451" s="564" t="s">
        <v>4816</v>
      </c>
      <c r="J2451" s="564" t="s">
        <v>1069</v>
      </c>
      <c r="K2451" s="564" t="s">
        <v>1070</v>
      </c>
      <c r="L2451" s="564" t="s">
        <v>2098</v>
      </c>
      <c r="M2451" s="564" t="s">
        <v>2098</v>
      </c>
      <c r="N2451" s="564" t="s">
        <v>1082</v>
      </c>
      <c r="O2451" s="564" t="s">
        <v>2099</v>
      </c>
      <c r="P2451" s="23"/>
      <c r="Q2451" s="23"/>
      <c r="R2451" s="23"/>
      <c r="S2451" s="23"/>
      <c r="T2451" s="23"/>
      <c r="U2451" s="23"/>
      <c r="V2451" s="23"/>
      <c r="W2451" s="23"/>
      <c r="X2451" s="23"/>
      <c r="Y2451" s="23"/>
      <c r="Z2451" s="23"/>
    </row>
    <row r="2452" spans="1:26" ht="13">
      <c r="A2452" s="562" t="s">
        <v>6061</v>
      </c>
      <c r="B2452" s="563" t="s">
        <v>6062</v>
      </c>
      <c r="C2452" s="564" t="s">
        <v>2387</v>
      </c>
      <c r="D2452" s="565">
        <v>43164</v>
      </c>
      <c r="E2452" s="565">
        <v>43189</v>
      </c>
      <c r="F2452" s="566">
        <v>576000</v>
      </c>
      <c r="G2452" s="564" t="s">
        <v>1400</v>
      </c>
      <c r="H2452" s="564" t="s">
        <v>1400</v>
      </c>
      <c r="I2452" s="564" t="s">
        <v>4816</v>
      </c>
      <c r="J2452" s="564" t="s">
        <v>1069</v>
      </c>
      <c r="K2452" s="564" t="s">
        <v>1070</v>
      </c>
      <c r="L2452" s="564" t="s">
        <v>2098</v>
      </c>
      <c r="M2452" s="564" t="s">
        <v>2098</v>
      </c>
      <c r="N2452" s="564" t="s">
        <v>1082</v>
      </c>
      <c r="O2452" s="564" t="s">
        <v>2099</v>
      </c>
      <c r="P2452" s="23"/>
      <c r="Q2452" s="23"/>
      <c r="R2452" s="23"/>
      <c r="S2452" s="23"/>
      <c r="T2452" s="23"/>
      <c r="U2452" s="23"/>
      <c r="V2452" s="23"/>
      <c r="W2452" s="23"/>
      <c r="X2452" s="23"/>
      <c r="Y2452" s="23"/>
      <c r="Z2452" s="23"/>
    </row>
    <row r="2453" spans="1:26" ht="13">
      <c r="A2453" s="562" t="s">
        <v>6063</v>
      </c>
      <c r="B2453" s="563" t="s">
        <v>6064</v>
      </c>
      <c r="C2453" s="564" t="s">
        <v>2387</v>
      </c>
      <c r="D2453" s="565">
        <v>43164</v>
      </c>
      <c r="E2453" s="565">
        <v>43190</v>
      </c>
      <c r="F2453" s="566">
        <v>1365000</v>
      </c>
      <c r="G2453" s="564" t="s">
        <v>1400</v>
      </c>
      <c r="H2453" s="564" t="s">
        <v>1400</v>
      </c>
      <c r="I2453" s="564" t="s">
        <v>4816</v>
      </c>
      <c r="J2453" s="564" t="s">
        <v>1069</v>
      </c>
      <c r="K2453" s="564" t="s">
        <v>1070</v>
      </c>
      <c r="L2453" s="564" t="s">
        <v>2098</v>
      </c>
      <c r="M2453" s="564" t="s">
        <v>2098</v>
      </c>
      <c r="N2453" s="564" t="s">
        <v>1082</v>
      </c>
      <c r="O2453" s="564" t="s">
        <v>2099</v>
      </c>
      <c r="P2453" s="23"/>
      <c r="Q2453" s="23"/>
      <c r="R2453" s="23"/>
      <c r="S2453" s="23"/>
      <c r="T2453" s="23"/>
      <c r="U2453" s="23"/>
      <c r="V2453" s="23"/>
      <c r="W2453" s="23"/>
      <c r="X2453" s="23"/>
      <c r="Y2453" s="23"/>
      <c r="Z2453" s="23"/>
    </row>
    <row r="2454" spans="1:26" ht="13">
      <c r="A2454" s="562" t="s">
        <v>6065</v>
      </c>
      <c r="B2454" s="563" t="s">
        <v>6066</v>
      </c>
      <c r="C2454" s="564" t="s">
        <v>1551</v>
      </c>
      <c r="D2454" s="565">
        <v>43161</v>
      </c>
      <c r="E2454" s="565">
        <v>43442</v>
      </c>
      <c r="F2454" s="566">
        <v>413152000</v>
      </c>
      <c r="G2454" s="564" t="s">
        <v>1636</v>
      </c>
      <c r="H2454" s="564" t="s">
        <v>1636</v>
      </c>
      <c r="I2454" s="564" t="s">
        <v>516</v>
      </c>
      <c r="J2454" s="564" t="s">
        <v>1069</v>
      </c>
      <c r="K2454" s="564" t="s">
        <v>1209</v>
      </c>
      <c r="L2454" s="564" t="s">
        <v>2098</v>
      </c>
      <c r="M2454" s="564" t="s">
        <v>2098</v>
      </c>
      <c r="N2454" s="564" t="s">
        <v>1082</v>
      </c>
      <c r="O2454" s="564" t="s">
        <v>2099</v>
      </c>
      <c r="P2454" s="23"/>
      <c r="Q2454" s="23"/>
      <c r="R2454" s="23"/>
      <c r="S2454" s="23"/>
      <c r="T2454" s="23"/>
      <c r="U2454" s="23"/>
      <c r="V2454" s="23"/>
      <c r="W2454" s="23"/>
      <c r="X2454" s="23"/>
      <c r="Y2454" s="23"/>
      <c r="Z2454" s="23"/>
    </row>
    <row r="2455" spans="1:26" ht="13">
      <c r="A2455" s="562" t="s">
        <v>6067</v>
      </c>
      <c r="B2455" s="563" t="s">
        <v>6068</v>
      </c>
      <c r="C2455" s="564" t="s">
        <v>1652</v>
      </c>
      <c r="D2455" s="565">
        <v>43159</v>
      </c>
      <c r="E2455" s="565">
        <v>43168</v>
      </c>
      <c r="F2455" s="566">
        <v>480000</v>
      </c>
      <c r="G2455" s="564" t="s">
        <v>1424</v>
      </c>
      <c r="H2455" s="564" t="s">
        <v>1424</v>
      </c>
      <c r="I2455" s="564" t="s">
        <v>70</v>
      </c>
      <c r="J2455" s="564" t="s">
        <v>1069</v>
      </c>
      <c r="K2455" s="564" t="s">
        <v>1120</v>
      </c>
      <c r="L2455" s="564" t="s">
        <v>2098</v>
      </c>
      <c r="M2455" s="564" t="s">
        <v>2098</v>
      </c>
      <c r="N2455" s="564" t="s">
        <v>70</v>
      </c>
      <c r="O2455" s="564" t="s">
        <v>2099</v>
      </c>
      <c r="P2455" s="23"/>
      <c r="Q2455" s="23"/>
      <c r="R2455" s="23"/>
      <c r="S2455" s="23"/>
      <c r="T2455" s="23"/>
      <c r="U2455" s="23"/>
      <c r="V2455" s="23"/>
      <c r="W2455" s="23"/>
      <c r="X2455" s="23"/>
      <c r="Y2455" s="23"/>
      <c r="Z2455" s="23"/>
    </row>
    <row r="2456" spans="1:26" ht="13">
      <c r="A2456" s="562" t="s">
        <v>6069</v>
      </c>
      <c r="B2456" s="563" t="s">
        <v>6070</v>
      </c>
      <c r="C2456" s="564" t="s">
        <v>2433</v>
      </c>
      <c r="D2456" s="565">
        <v>43158</v>
      </c>
      <c r="E2456" s="565">
        <v>43159</v>
      </c>
      <c r="F2456" s="566">
        <v>3750000</v>
      </c>
      <c r="G2456" s="564" t="s">
        <v>1157</v>
      </c>
      <c r="H2456" s="564" t="s">
        <v>1157</v>
      </c>
      <c r="I2456" s="564" t="s">
        <v>64</v>
      </c>
      <c r="J2456" s="564" t="s">
        <v>1069</v>
      </c>
      <c r="K2456" s="564" t="s">
        <v>1090</v>
      </c>
      <c r="L2456" s="564" t="s">
        <v>2098</v>
      </c>
      <c r="M2456" s="564" t="s">
        <v>2098</v>
      </c>
      <c r="N2456" s="564" t="s">
        <v>64</v>
      </c>
      <c r="O2456" s="564" t="s">
        <v>2099</v>
      </c>
      <c r="P2456" s="23"/>
      <c r="Q2456" s="23"/>
      <c r="R2456" s="23"/>
      <c r="S2456" s="23"/>
      <c r="T2456" s="23"/>
      <c r="U2456" s="23"/>
      <c r="V2456" s="23"/>
      <c r="W2456" s="23"/>
      <c r="X2456" s="23"/>
      <c r="Y2456" s="23"/>
      <c r="Z2456" s="23"/>
    </row>
    <row r="2457" spans="1:26" ht="13">
      <c r="A2457" s="562" t="s">
        <v>6071</v>
      </c>
      <c r="B2457" s="563" t="s">
        <v>6072</v>
      </c>
      <c r="C2457" s="564" t="s">
        <v>1551</v>
      </c>
      <c r="D2457" s="565">
        <v>43157</v>
      </c>
      <c r="E2457" s="565">
        <v>43159</v>
      </c>
      <c r="F2457" s="566">
        <v>1400000</v>
      </c>
      <c r="G2457" s="564" t="s">
        <v>1424</v>
      </c>
      <c r="H2457" s="564" t="s">
        <v>1424</v>
      </c>
      <c r="I2457" s="564" t="s">
        <v>45</v>
      </c>
      <c r="J2457" s="564" t="s">
        <v>1069</v>
      </c>
      <c r="K2457" s="564" t="s">
        <v>1090</v>
      </c>
      <c r="L2457" s="564" t="s">
        <v>2098</v>
      </c>
      <c r="M2457" s="564" t="s">
        <v>2098</v>
      </c>
      <c r="N2457" s="564" t="s">
        <v>45</v>
      </c>
      <c r="O2457" s="564" t="s">
        <v>2099</v>
      </c>
      <c r="P2457" s="23"/>
      <c r="Q2457" s="23"/>
      <c r="R2457" s="23"/>
      <c r="S2457" s="23"/>
      <c r="T2457" s="23"/>
      <c r="U2457" s="23"/>
      <c r="V2457" s="23"/>
      <c r="W2457" s="23"/>
      <c r="X2457" s="23"/>
      <c r="Y2457" s="23"/>
      <c r="Z2457" s="23"/>
    </row>
    <row r="2458" spans="1:26" ht="13">
      <c r="A2458" s="562" t="s">
        <v>6073</v>
      </c>
      <c r="B2458" s="563" t="s">
        <v>6074</v>
      </c>
      <c r="C2458" s="564" t="s">
        <v>1370</v>
      </c>
      <c r="D2458" s="565">
        <v>43157</v>
      </c>
      <c r="E2458" s="565">
        <v>43173</v>
      </c>
      <c r="F2458" s="566">
        <v>16363637</v>
      </c>
      <c r="G2458" s="564" t="s">
        <v>1623</v>
      </c>
      <c r="H2458" s="564" t="s">
        <v>1623</v>
      </c>
      <c r="I2458" s="564" t="s">
        <v>802</v>
      </c>
      <c r="J2458" s="564" t="s">
        <v>1069</v>
      </c>
      <c r="K2458" s="564" t="s">
        <v>1198</v>
      </c>
      <c r="L2458" s="564" t="s">
        <v>2098</v>
      </c>
      <c r="M2458" s="564" t="s">
        <v>2098</v>
      </c>
      <c r="N2458" s="564" t="s">
        <v>132</v>
      </c>
      <c r="O2458" s="564" t="s">
        <v>2099</v>
      </c>
      <c r="P2458" s="23"/>
      <c r="Q2458" s="23"/>
      <c r="R2458" s="23"/>
      <c r="S2458" s="23"/>
      <c r="T2458" s="23"/>
      <c r="U2458" s="23"/>
      <c r="V2458" s="23"/>
      <c r="W2458" s="23"/>
      <c r="X2458" s="23"/>
      <c r="Y2458" s="23"/>
      <c r="Z2458" s="23"/>
    </row>
    <row r="2459" spans="1:26" ht="13">
      <c r="A2459" s="562" t="s">
        <v>6075</v>
      </c>
      <c r="B2459" s="563" t="s">
        <v>6076</v>
      </c>
      <c r="C2459" s="564" t="s">
        <v>1551</v>
      </c>
      <c r="D2459" s="565">
        <v>43153</v>
      </c>
      <c r="E2459" s="565">
        <v>43179</v>
      </c>
      <c r="F2459" s="566">
        <v>22410000</v>
      </c>
      <c r="G2459" s="564" t="s">
        <v>1424</v>
      </c>
      <c r="H2459" s="564" t="s">
        <v>1424</v>
      </c>
      <c r="I2459" s="564" t="s">
        <v>45</v>
      </c>
      <c r="J2459" s="564" t="s">
        <v>1069</v>
      </c>
      <c r="K2459" s="564" t="s">
        <v>1090</v>
      </c>
      <c r="L2459" s="564" t="s">
        <v>2098</v>
      </c>
      <c r="M2459" s="564" t="s">
        <v>2098</v>
      </c>
      <c r="N2459" s="564" t="s">
        <v>45</v>
      </c>
      <c r="O2459" s="564" t="s">
        <v>2099</v>
      </c>
      <c r="P2459" s="23"/>
      <c r="Q2459" s="23"/>
      <c r="R2459" s="23"/>
      <c r="S2459" s="23"/>
      <c r="T2459" s="23"/>
      <c r="U2459" s="23"/>
      <c r="V2459" s="23"/>
      <c r="W2459" s="23"/>
      <c r="X2459" s="23"/>
      <c r="Y2459" s="23"/>
      <c r="Z2459" s="23"/>
    </row>
    <row r="2460" spans="1:26" ht="13">
      <c r="A2460" s="562" t="s">
        <v>6077</v>
      </c>
      <c r="B2460" s="563" t="s">
        <v>6078</v>
      </c>
      <c r="C2460" s="564" t="s">
        <v>1370</v>
      </c>
      <c r="D2460" s="565">
        <v>43151</v>
      </c>
      <c r="E2460" s="565">
        <v>43160</v>
      </c>
      <c r="F2460" s="566">
        <v>41181818</v>
      </c>
      <c r="G2460" s="564" t="s">
        <v>1623</v>
      </c>
      <c r="H2460" s="564" t="s">
        <v>1623</v>
      </c>
      <c r="I2460" s="564" t="s">
        <v>802</v>
      </c>
      <c r="J2460" s="564" t="s">
        <v>1069</v>
      </c>
      <c r="K2460" s="564" t="s">
        <v>1198</v>
      </c>
      <c r="L2460" s="564" t="s">
        <v>2098</v>
      </c>
      <c r="M2460" s="564" t="s">
        <v>2098</v>
      </c>
      <c r="N2460" s="564" t="s">
        <v>132</v>
      </c>
      <c r="O2460" s="564" t="s">
        <v>2099</v>
      </c>
      <c r="P2460" s="23"/>
      <c r="Q2460" s="23"/>
      <c r="R2460" s="23"/>
      <c r="S2460" s="23"/>
      <c r="T2460" s="23"/>
      <c r="U2460" s="23"/>
      <c r="V2460" s="23"/>
      <c r="W2460" s="23"/>
      <c r="X2460" s="23"/>
      <c r="Y2460" s="23"/>
      <c r="Z2460" s="23"/>
    </row>
    <row r="2461" spans="1:26" ht="13">
      <c r="A2461" s="562" t="s">
        <v>6079</v>
      </c>
      <c r="B2461" s="563" t="s">
        <v>6080</v>
      </c>
      <c r="C2461" s="564" t="s">
        <v>1551</v>
      </c>
      <c r="D2461" s="565">
        <v>43150</v>
      </c>
      <c r="E2461" s="565">
        <v>43171</v>
      </c>
      <c r="F2461" s="566">
        <v>34641000</v>
      </c>
      <c r="G2461" s="564" t="s">
        <v>1128</v>
      </c>
      <c r="H2461" s="564" t="s">
        <v>1128</v>
      </c>
      <c r="I2461" s="564" t="s">
        <v>45</v>
      </c>
      <c r="J2461" s="564" t="s">
        <v>1069</v>
      </c>
      <c r="K2461" s="564" t="s">
        <v>1090</v>
      </c>
      <c r="L2461" s="564" t="s">
        <v>2098</v>
      </c>
      <c r="M2461" s="564" t="s">
        <v>2098</v>
      </c>
      <c r="N2461" s="564" t="s">
        <v>45</v>
      </c>
      <c r="O2461" s="564" t="s">
        <v>2099</v>
      </c>
      <c r="P2461" s="23"/>
      <c r="Q2461" s="23"/>
      <c r="R2461" s="23"/>
      <c r="S2461" s="23"/>
      <c r="T2461" s="23"/>
      <c r="U2461" s="23"/>
      <c r="V2461" s="23"/>
      <c r="W2461" s="23"/>
      <c r="X2461" s="23"/>
      <c r="Y2461" s="23"/>
      <c r="Z2461" s="23"/>
    </row>
    <row r="2462" spans="1:26" ht="13">
      <c r="A2462" s="562" t="s">
        <v>6081</v>
      </c>
      <c r="B2462" s="563" t="s">
        <v>6082</v>
      </c>
      <c r="C2462" s="564" t="s">
        <v>1551</v>
      </c>
      <c r="D2462" s="565">
        <v>43151</v>
      </c>
      <c r="E2462" s="565">
        <v>43157</v>
      </c>
      <c r="F2462" s="566">
        <v>6090000</v>
      </c>
      <c r="G2462" s="564" t="s">
        <v>1157</v>
      </c>
      <c r="H2462" s="564" t="s">
        <v>1157</v>
      </c>
      <c r="I2462" s="564" t="s">
        <v>64</v>
      </c>
      <c r="J2462" s="564" t="s">
        <v>1069</v>
      </c>
      <c r="K2462" s="564" t="s">
        <v>1090</v>
      </c>
      <c r="L2462" s="564" t="s">
        <v>2098</v>
      </c>
      <c r="M2462" s="564" t="s">
        <v>2098</v>
      </c>
      <c r="N2462" s="564" t="s">
        <v>64</v>
      </c>
      <c r="O2462" s="564" t="s">
        <v>2099</v>
      </c>
      <c r="P2462" s="23"/>
      <c r="Q2462" s="23"/>
      <c r="R2462" s="23"/>
      <c r="S2462" s="23"/>
      <c r="T2462" s="23"/>
      <c r="U2462" s="23"/>
      <c r="V2462" s="23"/>
      <c r="W2462" s="23"/>
      <c r="X2462" s="23"/>
      <c r="Y2462" s="23"/>
      <c r="Z2462" s="23"/>
    </row>
    <row r="2463" spans="1:26" ht="13">
      <c r="A2463" s="562" t="s">
        <v>6083</v>
      </c>
      <c r="B2463" s="563" t="s">
        <v>6084</v>
      </c>
      <c r="C2463" s="564" t="s">
        <v>3378</v>
      </c>
      <c r="D2463" s="565">
        <v>43132</v>
      </c>
      <c r="E2463" s="565">
        <v>43144</v>
      </c>
      <c r="F2463" s="566">
        <v>14782800</v>
      </c>
      <c r="G2463" s="564" t="s">
        <v>1424</v>
      </c>
      <c r="H2463" s="564" t="s">
        <v>1424</v>
      </c>
      <c r="I2463" s="564" t="s">
        <v>45</v>
      </c>
      <c r="J2463" s="564" t="s">
        <v>1069</v>
      </c>
      <c r="K2463" s="564" t="s">
        <v>1090</v>
      </c>
      <c r="L2463" s="564" t="s">
        <v>1071</v>
      </c>
      <c r="M2463" s="564" t="s">
        <v>1183</v>
      </c>
      <c r="N2463" s="564" t="s">
        <v>45</v>
      </c>
      <c r="O2463" s="564" t="s">
        <v>1472</v>
      </c>
      <c r="P2463" s="23"/>
      <c r="Q2463" s="23"/>
      <c r="R2463" s="23"/>
      <c r="S2463" s="23"/>
      <c r="T2463" s="23"/>
      <c r="U2463" s="23"/>
      <c r="V2463" s="23"/>
      <c r="W2463" s="23"/>
      <c r="X2463" s="23"/>
      <c r="Y2463" s="23"/>
      <c r="Z2463" s="23"/>
    </row>
    <row r="2464" spans="1:26" ht="13">
      <c r="A2464" s="562" t="s">
        <v>6085</v>
      </c>
      <c r="B2464" s="563" t="s">
        <v>5810</v>
      </c>
      <c r="C2464" s="564" t="s">
        <v>1652</v>
      </c>
      <c r="D2464" s="565">
        <v>43144</v>
      </c>
      <c r="E2464" s="565">
        <v>43172</v>
      </c>
      <c r="F2464" s="566">
        <v>1030000</v>
      </c>
      <c r="G2464" s="564" t="s">
        <v>1424</v>
      </c>
      <c r="H2464" s="564" t="s">
        <v>1424</v>
      </c>
      <c r="I2464" s="564" t="s">
        <v>70</v>
      </c>
      <c r="J2464" s="564" t="s">
        <v>1069</v>
      </c>
      <c r="K2464" s="564" t="s">
        <v>1120</v>
      </c>
      <c r="L2464" s="564" t="s">
        <v>2098</v>
      </c>
      <c r="M2464" s="564" t="s">
        <v>2098</v>
      </c>
      <c r="N2464" s="564" t="s">
        <v>70</v>
      </c>
      <c r="O2464" s="564" t="s">
        <v>2099</v>
      </c>
      <c r="P2464" s="23"/>
      <c r="Q2464" s="23"/>
      <c r="R2464" s="23"/>
      <c r="S2464" s="23"/>
      <c r="T2464" s="23"/>
      <c r="U2464" s="23"/>
      <c r="V2464" s="23"/>
      <c r="W2464" s="23"/>
      <c r="X2464" s="23"/>
      <c r="Y2464" s="23"/>
      <c r="Z2464" s="23"/>
    </row>
    <row r="2465" spans="1:26" ht="13">
      <c r="A2465" s="562" t="s">
        <v>6086</v>
      </c>
      <c r="B2465" s="563" t="s">
        <v>6087</v>
      </c>
      <c r="C2465" s="564" t="s">
        <v>1652</v>
      </c>
      <c r="D2465" s="565">
        <v>43144</v>
      </c>
      <c r="E2465" s="565">
        <v>43172</v>
      </c>
      <c r="F2465" s="566">
        <v>88000</v>
      </c>
      <c r="G2465" s="564" t="s">
        <v>1424</v>
      </c>
      <c r="H2465" s="564" t="s">
        <v>1424</v>
      </c>
      <c r="I2465" s="564" t="s">
        <v>70</v>
      </c>
      <c r="J2465" s="564" t="s">
        <v>1069</v>
      </c>
      <c r="K2465" s="564" t="s">
        <v>1120</v>
      </c>
      <c r="L2465" s="564" t="s">
        <v>2098</v>
      </c>
      <c r="M2465" s="564" t="s">
        <v>2098</v>
      </c>
      <c r="N2465" s="564" t="s">
        <v>70</v>
      </c>
      <c r="O2465" s="564" t="s">
        <v>2099</v>
      </c>
      <c r="P2465" s="23"/>
      <c r="Q2465" s="23"/>
      <c r="R2465" s="23"/>
      <c r="S2465" s="23"/>
      <c r="T2465" s="23"/>
      <c r="U2465" s="23"/>
      <c r="V2465" s="23"/>
      <c r="W2465" s="23"/>
      <c r="X2465" s="23"/>
      <c r="Y2465" s="23"/>
      <c r="Z2465" s="23"/>
    </row>
    <row r="2466" spans="1:26" ht="13">
      <c r="A2466" s="562" t="s">
        <v>6088</v>
      </c>
      <c r="B2466" s="563" t="s">
        <v>6089</v>
      </c>
      <c r="C2466" s="564" t="s">
        <v>1370</v>
      </c>
      <c r="D2466" s="565">
        <v>43143</v>
      </c>
      <c r="E2466" s="565">
        <v>43181</v>
      </c>
      <c r="F2466" s="566">
        <v>9000000</v>
      </c>
      <c r="G2466" s="564" t="s">
        <v>1123</v>
      </c>
      <c r="H2466" s="564" t="s">
        <v>1123</v>
      </c>
      <c r="I2466" s="564" t="s">
        <v>802</v>
      </c>
      <c r="J2466" s="564" t="s">
        <v>1069</v>
      </c>
      <c r="K2466" s="564" t="s">
        <v>1198</v>
      </c>
      <c r="L2466" s="564" t="s">
        <v>2098</v>
      </c>
      <c r="M2466" s="564" t="s">
        <v>2098</v>
      </c>
      <c r="N2466" s="564" t="s">
        <v>132</v>
      </c>
      <c r="O2466" s="564" t="s">
        <v>2099</v>
      </c>
      <c r="P2466" s="23"/>
      <c r="Q2466" s="23"/>
      <c r="R2466" s="23"/>
      <c r="S2466" s="23"/>
      <c r="T2466" s="23"/>
      <c r="U2466" s="23"/>
      <c r="V2466" s="23"/>
      <c r="W2466" s="23"/>
      <c r="X2466" s="23"/>
      <c r="Y2466" s="23"/>
      <c r="Z2466" s="23"/>
    </row>
    <row r="2467" spans="1:26" ht="13">
      <c r="A2467" s="562" t="s">
        <v>6090</v>
      </c>
      <c r="B2467" s="563" t="s">
        <v>5799</v>
      </c>
      <c r="C2467" s="564" t="s">
        <v>1551</v>
      </c>
      <c r="D2467" s="565">
        <v>43140</v>
      </c>
      <c r="E2467" s="565">
        <v>43165</v>
      </c>
      <c r="F2467" s="566">
        <v>1368000</v>
      </c>
      <c r="G2467" s="564" t="s">
        <v>1424</v>
      </c>
      <c r="H2467" s="564" t="s">
        <v>1424</v>
      </c>
      <c r="I2467" s="564" t="s">
        <v>64</v>
      </c>
      <c r="J2467" s="564" t="s">
        <v>1069</v>
      </c>
      <c r="K2467" s="564" t="s">
        <v>1090</v>
      </c>
      <c r="L2467" s="564" t="s">
        <v>2098</v>
      </c>
      <c r="M2467" s="564" t="s">
        <v>2098</v>
      </c>
      <c r="N2467" s="564" t="s">
        <v>64</v>
      </c>
      <c r="O2467" s="564" t="s">
        <v>2099</v>
      </c>
      <c r="P2467" s="23"/>
      <c r="Q2467" s="23"/>
      <c r="R2467" s="23"/>
      <c r="S2467" s="23"/>
      <c r="T2467" s="23"/>
      <c r="U2467" s="23"/>
      <c r="V2467" s="23"/>
      <c r="W2467" s="23"/>
      <c r="X2467" s="23"/>
      <c r="Y2467" s="23"/>
      <c r="Z2467" s="23"/>
    </row>
    <row r="2468" spans="1:26" ht="13">
      <c r="A2468" s="562" t="s">
        <v>6091</v>
      </c>
      <c r="B2468" s="563" t="s">
        <v>6087</v>
      </c>
      <c r="C2468" s="564" t="s">
        <v>1652</v>
      </c>
      <c r="D2468" s="565">
        <v>43139</v>
      </c>
      <c r="E2468" s="565">
        <v>43160</v>
      </c>
      <c r="F2468" s="566">
        <v>1232000</v>
      </c>
      <c r="G2468" s="564" t="s">
        <v>1424</v>
      </c>
      <c r="H2468" s="564" t="s">
        <v>1424</v>
      </c>
      <c r="I2468" s="564" t="s">
        <v>70</v>
      </c>
      <c r="J2468" s="564" t="s">
        <v>1069</v>
      </c>
      <c r="K2468" s="564" t="s">
        <v>1120</v>
      </c>
      <c r="L2468" s="564" t="s">
        <v>2098</v>
      </c>
      <c r="M2468" s="564" t="s">
        <v>2098</v>
      </c>
      <c r="N2468" s="564" t="s">
        <v>70</v>
      </c>
      <c r="O2468" s="564" t="s">
        <v>2099</v>
      </c>
      <c r="P2468" s="23"/>
      <c r="Q2468" s="23"/>
      <c r="R2468" s="23"/>
      <c r="S2468" s="23"/>
      <c r="T2468" s="23"/>
      <c r="U2468" s="23"/>
      <c r="V2468" s="23"/>
      <c r="W2468" s="23"/>
      <c r="X2468" s="23"/>
      <c r="Y2468" s="23"/>
      <c r="Z2468" s="23"/>
    </row>
    <row r="2469" spans="1:26" ht="13">
      <c r="A2469" s="562" t="s">
        <v>6092</v>
      </c>
      <c r="B2469" s="563" t="s">
        <v>6093</v>
      </c>
      <c r="C2469" s="564" t="s">
        <v>1551</v>
      </c>
      <c r="D2469" s="565">
        <v>43138</v>
      </c>
      <c r="E2469" s="565">
        <v>43159</v>
      </c>
      <c r="F2469" s="566">
        <v>2555000</v>
      </c>
      <c r="G2469" s="564" t="s">
        <v>5465</v>
      </c>
      <c r="H2469" s="564" t="s">
        <v>5465</v>
      </c>
      <c r="I2469" s="564" t="s">
        <v>45</v>
      </c>
      <c r="J2469" s="564" t="s">
        <v>1069</v>
      </c>
      <c r="K2469" s="564" t="s">
        <v>1090</v>
      </c>
      <c r="L2469" s="564" t="s">
        <v>2098</v>
      </c>
      <c r="M2469" s="564" t="s">
        <v>2098</v>
      </c>
      <c r="N2469" s="564" t="s">
        <v>45</v>
      </c>
      <c r="O2469" s="564" t="s">
        <v>2099</v>
      </c>
      <c r="P2469" s="23"/>
      <c r="Q2469" s="23"/>
      <c r="R2469" s="23"/>
      <c r="S2469" s="23"/>
      <c r="T2469" s="23"/>
      <c r="U2469" s="23"/>
      <c r="V2469" s="23"/>
      <c r="W2469" s="23"/>
      <c r="X2469" s="23"/>
      <c r="Y2469" s="23"/>
      <c r="Z2469" s="23"/>
    </row>
    <row r="2470" spans="1:26" ht="13">
      <c r="A2470" s="562" t="s">
        <v>6094</v>
      </c>
      <c r="B2470" s="563" t="s">
        <v>6095</v>
      </c>
      <c r="C2470" s="564" t="s">
        <v>1548</v>
      </c>
      <c r="D2470" s="565">
        <v>43137</v>
      </c>
      <c r="E2470" s="565">
        <v>43159</v>
      </c>
      <c r="F2470" s="566">
        <v>20000000</v>
      </c>
      <c r="G2470" s="564" t="s">
        <v>1123</v>
      </c>
      <c r="H2470" s="564" t="s">
        <v>1123</v>
      </c>
      <c r="I2470" s="564" t="s">
        <v>141</v>
      </c>
      <c r="J2470" s="564" t="s">
        <v>1069</v>
      </c>
      <c r="K2470" s="564" t="s">
        <v>1205</v>
      </c>
      <c r="L2470" s="564" t="s">
        <v>2098</v>
      </c>
      <c r="M2470" s="564" t="s">
        <v>2098</v>
      </c>
      <c r="N2470" s="564" t="s">
        <v>1073</v>
      </c>
      <c r="O2470" s="564" t="s">
        <v>2099</v>
      </c>
      <c r="P2470" s="23"/>
      <c r="Q2470" s="23"/>
      <c r="R2470" s="23"/>
      <c r="S2470" s="23"/>
      <c r="T2470" s="23"/>
      <c r="U2470" s="23"/>
      <c r="V2470" s="23"/>
      <c r="W2470" s="23"/>
      <c r="X2470" s="23"/>
      <c r="Y2470" s="23"/>
      <c r="Z2470" s="23"/>
    </row>
    <row r="2471" spans="1:26" ht="13">
      <c r="A2471" s="562" t="s">
        <v>6096</v>
      </c>
      <c r="B2471" s="563" t="s">
        <v>5810</v>
      </c>
      <c r="C2471" s="564" t="s">
        <v>1652</v>
      </c>
      <c r="D2471" s="565">
        <v>43132</v>
      </c>
      <c r="E2471" s="565">
        <v>43159</v>
      </c>
      <c r="F2471" s="566">
        <v>23852000</v>
      </c>
      <c r="G2471" s="564" t="s">
        <v>1424</v>
      </c>
      <c r="H2471" s="564" t="s">
        <v>1424</v>
      </c>
      <c r="I2471" s="564" t="s">
        <v>70</v>
      </c>
      <c r="J2471" s="564" t="s">
        <v>1069</v>
      </c>
      <c r="K2471" s="564" t="s">
        <v>1120</v>
      </c>
      <c r="L2471" s="564" t="s">
        <v>2098</v>
      </c>
      <c r="M2471" s="564" t="s">
        <v>2098</v>
      </c>
      <c r="N2471" s="564" t="s">
        <v>70</v>
      </c>
      <c r="O2471" s="564" t="s">
        <v>2099</v>
      </c>
      <c r="P2471" s="23"/>
      <c r="Q2471" s="23"/>
      <c r="R2471" s="23"/>
      <c r="S2471" s="23"/>
      <c r="T2471" s="23"/>
      <c r="U2471" s="23"/>
      <c r="V2471" s="23"/>
      <c r="W2471" s="23"/>
      <c r="X2471" s="23"/>
      <c r="Y2471" s="23"/>
      <c r="Z2471" s="23"/>
    </row>
    <row r="2472" spans="1:26" ht="13">
      <c r="A2472" s="562" t="s">
        <v>6097</v>
      </c>
      <c r="B2472" s="563" t="s">
        <v>5801</v>
      </c>
      <c r="C2472" s="564" t="s">
        <v>1551</v>
      </c>
      <c r="D2472" s="565">
        <v>43132</v>
      </c>
      <c r="E2472" s="565">
        <v>43159</v>
      </c>
      <c r="F2472" s="566">
        <v>4710000</v>
      </c>
      <c r="G2472" s="564" t="s">
        <v>1424</v>
      </c>
      <c r="H2472" s="564" t="s">
        <v>1424</v>
      </c>
      <c r="I2472" s="564" t="s">
        <v>45</v>
      </c>
      <c r="J2472" s="564" t="s">
        <v>1069</v>
      </c>
      <c r="K2472" s="564" t="s">
        <v>1090</v>
      </c>
      <c r="L2472" s="564" t="s">
        <v>2098</v>
      </c>
      <c r="M2472" s="564" t="s">
        <v>2098</v>
      </c>
      <c r="N2472" s="564" t="s">
        <v>45</v>
      </c>
      <c r="O2472" s="564" t="s">
        <v>2099</v>
      </c>
      <c r="P2472" s="23"/>
      <c r="Q2472" s="23"/>
      <c r="R2472" s="23"/>
      <c r="S2472" s="23"/>
      <c r="T2472" s="23"/>
      <c r="U2472" s="23"/>
      <c r="V2472" s="23"/>
      <c r="W2472" s="23"/>
      <c r="X2472" s="23"/>
      <c r="Y2472" s="23"/>
      <c r="Z2472" s="23"/>
    </row>
    <row r="2473" spans="1:26" ht="13">
      <c r="A2473" s="562" t="s">
        <v>6098</v>
      </c>
      <c r="B2473" s="563" t="s">
        <v>5718</v>
      </c>
      <c r="C2473" s="564" t="s">
        <v>1551</v>
      </c>
      <c r="D2473" s="565">
        <v>43130</v>
      </c>
      <c r="E2473" s="565">
        <v>43159</v>
      </c>
      <c r="F2473" s="566">
        <v>1180000</v>
      </c>
      <c r="G2473" s="564" t="s">
        <v>1424</v>
      </c>
      <c r="H2473" s="564" t="s">
        <v>1424</v>
      </c>
      <c r="I2473" s="564" t="s">
        <v>45</v>
      </c>
      <c r="J2473" s="564" t="s">
        <v>1069</v>
      </c>
      <c r="K2473" s="564" t="s">
        <v>1090</v>
      </c>
      <c r="L2473" s="564" t="s">
        <v>2098</v>
      </c>
      <c r="M2473" s="564" t="s">
        <v>2098</v>
      </c>
      <c r="N2473" s="564" t="s">
        <v>45</v>
      </c>
      <c r="O2473" s="564" t="s">
        <v>2099</v>
      </c>
      <c r="P2473" s="23"/>
      <c r="Q2473" s="23"/>
      <c r="R2473" s="23"/>
      <c r="S2473" s="23"/>
      <c r="T2473" s="23"/>
      <c r="U2473" s="23"/>
      <c r="V2473" s="23"/>
      <c r="W2473" s="23"/>
      <c r="X2473" s="23"/>
      <c r="Y2473" s="23"/>
      <c r="Z2473" s="23"/>
    </row>
    <row r="2474" spans="1:26" ht="13">
      <c r="A2474" s="562" t="s">
        <v>6099</v>
      </c>
      <c r="B2474" s="563" t="s">
        <v>6100</v>
      </c>
      <c r="C2474" s="564" t="s">
        <v>1551</v>
      </c>
      <c r="D2474" s="565">
        <v>43131</v>
      </c>
      <c r="E2474" s="565">
        <v>43137</v>
      </c>
      <c r="F2474" s="566">
        <v>20000000</v>
      </c>
      <c r="G2474" s="564" t="s">
        <v>1128</v>
      </c>
      <c r="H2474" s="564" t="s">
        <v>1128</v>
      </c>
      <c r="I2474" s="564" t="s">
        <v>45</v>
      </c>
      <c r="J2474" s="564" t="s">
        <v>1069</v>
      </c>
      <c r="K2474" s="564" t="s">
        <v>1090</v>
      </c>
      <c r="L2474" s="564" t="s">
        <v>2098</v>
      </c>
      <c r="M2474" s="564" t="s">
        <v>2098</v>
      </c>
      <c r="N2474" s="564" t="s">
        <v>45</v>
      </c>
      <c r="O2474" s="564" t="s">
        <v>2099</v>
      </c>
      <c r="P2474" s="23"/>
      <c r="Q2474" s="23"/>
      <c r="R2474" s="23"/>
      <c r="S2474" s="23"/>
      <c r="T2474" s="23"/>
      <c r="U2474" s="23"/>
      <c r="V2474" s="23"/>
      <c r="W2474" s="23"/>
      <c r="X2474" s="23"/>
      <c r="Y2474" s="23"/>
      <c r="Z2474" s="23"/>
    </row>
    <row r="2475" spans="1:26" ht="13">
      <c r="A2475" s="562" t="s">
        <v>6101</v>
      </c>
      <c r="B2475" s="563" t="s">
        <v>5718</v>
      </c>
      <c r="C2475" s="564" t="s">
        <v>1551</v>
      </c>
      <c r="D2475" s="565">
        <v>43130</v>
      </c>
      <c r="E2475" s="565">
        <v>43159</v>
      </c>
      <c r="F2475" s="566">
        <v>1200000</v>
      </c>
      <c r="G2475" s="564" t="s">
        <v>1424</v>
      </c>
      <c r="H2475" s="564" t="s">
        <v>1424</v>
      </c>
      <c r="I2475" s="564" t="s">
        <v>45</v>
      </c>
      <c r="J2475" s="564" t="s">
        <v>1069</v>
      </c>
      <c r="K2475" s="564" t="s">
        <v>1090</v>
      </c>
      <c r="L2475" s="564" t="s">
        <v>2098</v>
      </c>
      <c r="M2475" s="564" t="s">
        <v>2098</v>
      </c>
      <c r="N2475" s="564" t="s">
        <v>45</v>
      </c>
      <c r="O2475" s="564" t="s">
        <v>2099</v>
      </c>
      <c r="P2475" s="23"/>
      <c r="Q2475" s="23"/>
      <c r="R2475" s="23"/>
      <c r="S2475" s="23"/>
      <c r="T2475" s="23"/>
      <c r="U2475" s="23"/>
      <c r="V2475" s="23"/>
      <c r="W2475" s="23"/>
      <c r="X2475" s="23"/>
      <c r="Y2475" s="23"/>
      <c r="Z2475" s="23"/>
    </row>
    <row r="2476" spans="1:26" ht="13">
      <c r="A2476" s="562" t="s">
        <v>6102</v>
      </c>
      <c r="B2476" s="563" t="s">
        <v>6103</v>
      </c>
      <c r="C2476" s="564" t="s">
        <v>1652</v>
      </c>
      <c r="D2476" s="565">
        <v>43129</v>
      </c>
      <c r="E2476" s="565">
        <v>43159</v>
      </c>
      <c r="F2476" s="566">
        <v>1816000</v>
      </c>
      <c r="G2476" s="564" t="s">
        <v>1424</v>
      </c>
      <c r="H2476" s="564" t="s">
        <v>1424</v>
      </c>
      <c r="I2476" s="564" t="s">
        <v>1713</v>
      </c>
      <c r="J2476" s="564" t="s">
        <v>1069</v>
      </c>
      <c r="K2476" s="564" t="s">
        <v>1120</v>
      </c>
      <c r="L2476" s="564" t="s">
        <v>2098</v>
      </c>
      <c r="M2476" s="564" t="s">
        <v>2098</v>
      </c>
      <c r="N2476" s="564" t="s">
        <v>1073</v>
      </c>
      <c r="O2476" s="564" t="s">
        <v>2099</v>
      </c>
      <c r="P2476" s="23"/>
      <c r="Q2476" s="23"/>
      <c r="R2476" s="23"/>
      <c r="S2476" s="23"/>
      <c r="T2476" s="23"/>
      <c r="U2476" s="23"/>
      <c r="V2476" s="23"/>
      <c r="W2476" s="23"/>
      <c r="X2476" s="23"/>
      <c r="Y2476" s="23"/>
      <c r="Z2476" s="23"/>
    </row>
    <row r="2477" spans="1:26" ht="13">
      <c r="A2477" s="562" t="s">
        <v>6104</v>
      </c>
      <c r="B2477" s="563" t="s">
        <v>6105</v>
      </c>
      <c r="C2477" s="564" t="s">
        <v>3378</v>
      </c>
      <c r="D2477" s="565">
        <v>43126</v>
      </c>
      <c r="E2477" s="565">
        <v>43101</v>
      </c>
      <c r="F2477" s="566">
        <v>2019600</v>
      </c>
      <c r="G2477" s="564" t="s">
        <v>1424</v>
      </c>
      <c r="H2477" s="564" t="s">
        <v>1424</v>
      </c>
      <c r="I2477" s="564" t="s">
        <v>45</v>
      </c>
      <c r="J2477" s="564" t="s">
        <v>1069</v>
      </c>
      <c r="K2477" s="564" t="s">
        <v>1090</v>
      </c>
      <c r="L2477" s="564" t="s">
        <v>1071</v>
      </c>
      <c r="M2477" s="564" t="s">
        <v>1183</v>
      </c>
      <c r="N2477" s="564" t="s">
        <v>45</v>
      </c>
      <c r="O2477" s="564" t="s">
        <v>1472</v>
      </c>
      <c r="P2477" s="23"/>
      <c r="Q2477" s="23"/>
      <c r="R2477" s="23"/>
      <c r="S2477" s="23"/>
      <c r="T2477" s="23"/>
      <c r="U2477" s="23"/>
      <c r="V2477" s="23"/>
      <c r="W2477" s="23"/>
      <c r="X2477" s="23"/>
      <c r="Y2477" s="23"/>
      <c r="Z2477" s="23"/>
    </row>
    <row r="2478" spans="1:26" ht="13">
      <c r="A2478" s="562" t="s">
        <v>6106</v>
      </c>
      <c r="B2478" s="563" t="s">
        <v>6107</v>
      </c>
      <c r="C2478" s="564" t="s">
        <v>1551</v>
      </c>
      <c r="D2478" s="565">
        <v>43123</v>
      </c>
      <c r="E2478" s="565">
        <v>43159</v>
      </c>
      <c r="F2478" s="566">
        <v>18950000</v>
      </c>
      <c r="G2478" s="564" t="s">
        <v>5465</v>
      </c>
      <c r="H2478" s="564" t="s">
        <v>5465</v>
      </c>
      <c r="I2478" s="564" t="s">
        <v>45</v>
      </c>
      <c r="J2478" s="564" t="s">
        <v>1069</v>
      </c>
      <c r="K2478" s="564" t="s">
        <v>1090</v>
      </c>
      <c r="L2478" s="564" t="s">
        <v>2098</v>
      </c>
      <c r="M2478" s="564" t="s">
        <v>2098</v>
      </c>
      <c r="N2478" s="564" t="s">
        <v>45</v>
      </c>
      <c r="O2478" s="564" t="s">
        <v>2099</v>
      </c>
      <c r="P2478" s="23"/>
      <c r="Q2478" s="23"/>
      <c r="R2478" s="23"/>
      <c r="S2478" s="23"/>
      <c r="T2478" s="23"/>
      <c r="U2478" s="23"/>
      <c r="V2478" s="23"/>
      <c r="W2478" s="23"/>
      <c r="X2478" s="23"/>
      <c r="Y2478" s="23"/>
      <c r="Z2478" s="23"/>
    </row>
    <row r="2479" spans="1:26" ht="13">
      <c r="A2479" s="562" t="s">
        <v>6108</v>
      </c>
      <c r="B2479" s="563" t="s">
        <v>6109</v>
      </c>
      <c r="C2479" s="564" t="s">
        <v>1551</v>
      </c>
      <c r="D2479" s="565">
        <v>43124</v>
      </c>
      <c r="E2479" s="565">
        <v>43153</v>
      </c>
      <c r="F2479" s="566">
        <v>23707000</v>
      </c>
      <c r="G2479" s="564" t="s">
        <v>1424</v>
      </c>
      <c r="H2479" s="564" t="s">
        <v>1424</v>
      </c>
      <c r="I2479" s="564" t="s">
        <v>45</v>
      </c>
      <c r="J2479" s="564" t="s">
        <v>1069</v>
      </c>
      <c r="K2479" s="564" t="s">
        <v>1090</v>
      </c>
      <c r="L2479" s="564" t="s">
        <v>2098</v>
      </c>
      <c r="M2479" s="564" t="s">
        <v>2098</v>
      </c>
      <c r="N2479" s="564" t="s">
        <v>45</v>
      </c>
      <c r="O2479" s="564" t="s">
        <v>2099</v>
      </c>
      <c r="P2479" s="23"/>
      <c r="Q2479" s="23"/>
      <c r="R2479" s="23"/>
      <c r="S2479" s="23"/>
      <c r="T2479" s="23"/>
      <c r="U2479" s="23"/>
      <c r="V2479" s="23"/>
      <c r="W2479" s="23"/>
      <c r="X2479" s="23"/>
      <c r="Y2479" s="23"/>
      <c r="Z2479" s="23"/>
    </row>
    <row r="2480" spans="1:26" ht="13">
      <c r="A2480" s="562" t="s">
        <v>6110</v>
      </c>
      <c r="B2480" s="563" t="s">
        <v>6111</v>
      </c>
      <c r="C2480" s="564" t="s">
        <v>1551</v>
      </c>
      <c r="D2480" s="565">
        <v>43123</v>
      </c>
      <c r="E2480" s="565">
        <v>43154</v>
      </c>
      <c r="F2480" s="566">
        <v>1712000</v>
      </c>
      <c r="G2480" s="564" t="s">
        <v>1424</v>
      </c>
      <c r="H2480" s="564" t="s">
        <v>1424</v>
      </c>
      <c r="I2480" s="564" t="s">
        <v>45</v>
      </c>
      <c r="J2480" s="564" t="s">
        <v>1069</v>
      </c>
      <c r="K2480" s="564" t="s">
        <v>1090</v>
      </c>
      <c r="L2480" s="564" t="s">
        <v>2098</v>
      </c>
      <c r="M2480" s="564" t="s">
        <v>2098</v>
      </c>
      <c r="N2480" s="564" t="s">
        <v>45</v>
      </c>
      <c r="O2480" s="564" t="s">
        <v>2099</v>
      </c>
      <c r="P2480" s="23"/>
      <c r="Q2480" s="23"/>
      <c r="R2480" s="23"/>
      <c r="S2480" s="23"/>
      <c r="T2480" s="23"/>
      <c r="U2480" s="23"/>
      <c r="V2480" s="23"/>
      <c r="W2480" s="23"/>
      <c r="X2480" s="23"/>
      <c r="Y2480" s="23"/>
      <c r="Z2480" s="23"/>
    </row>
    <row r="2481" spans="1:26" ht="13">
      <c r="A2481" s="562" t="s">
        <v>6112</v>
      </c>
      <c r="B2481" s="563" t="s">
        <v>6113</v>
      </c>
      <c r="C2481" s="564" t="s">
        <v>1548</v>
      </c>
      <c r="D2481" s="565">
        <v>43122</v>
      </c>
      <c r="E2481" s="565">
        <v>43153</v>
      </c>
      <c r="F2481" s="566">
        <v>552000</v>
      </c>
      <c r="G2481" s="564" t="s">
        <v>1424</v>
      </c>
      <c r="H2481" s="564" t="s">
        <v>1424</v>
      </c>
      <c r="I2481" s="564" t="s">
        <v>125</v>
      </c>
      <c r="J2481" s="564" t="s">
        <v>1069</v>
      </c>
      <c r="K2481" s="564" t="s">
        <v>1070</v>
      </c>
      <c r="L2481" s="564" t="s">
        <v>2098</v>
      </c>
      <c r="M2481" s="564" t="s">
        <v>2098</v>
      </c>
      <c r="N2481" s="564" t="s">
        <v>1073</v>
      </c>
      <c r="O2481" s="564" t="s">
        <v>2099</v>
      </c>
      <c r="P2481" s="23"/>
      <c r="Q2481" s="23"/>
      <c r="R2481" s="23"/>
      <c r="S2481" s="23"/>
      <c r="T2481" s="23"/>
      <c r="U2481" s="23"/>
      <c r="V2481" s="23"/>
      <c r="W2481" s="23"/>
      <c r="X2481" s="23"/>
      <c r="Y2481" s="23"/>
      <c r="Z2481" s="23"/>
    </row>
    <row r="2482" spans="1:26" ht="13">
      <c r="A2482" s="562" t="s">
        <v>6114</v>
      </c>
      <c r="B2482" s="563" t="s">
        <v>6115</v>
      </c>
      <c r="C2482" s="564" t="s">
        <v>1370</v>
      </c>
      <c r="D2482" s="565">
        <v>43122</v>
      </c>
      <c r="E2482" s="565">
        <v>43150</v>
      </c>
      <c r="F2482" s="566">
        <v>6903400</v>
      </c>
      <c r="G2482" s="564" t="s">
        <v>1623</v>
      </c>
      <c r="H2482" s="564" t="s">
        <v>1623</v>
      </c>
      <c r="I2482" s="564" t="s">
        <v>802</v>
      </c>
      <c r="J2482" s="564" t="s">
        <v>1069</v>
      </c>
      <c r="K2482" s="564" t="s">
        <v>1198</v>
      </c>
      <c r="L2482" s="564" t="s">
        <v>2098</v>
      </c>
      <c r="M2482" s="564" t="s">
        <v>2098</v>
      </c>
      <c r="N2482" s="564" t="s">
        <v>132</v>
      </c>
      <c r="O2482" s="564" t="s">
        <v>2099</v>
      </c>
      <c r="P2482" s="23"/>
      <c r="Q2482" s="23"/>
      <c r="R2482" s="23"/>
      <c r="S2482" s="23"/>
      <c r="T2482" s="23"/>
      <c r="U2482" s="23"/>
      <c r="V2482" s="23"/>
      <c r="W2482" s="23"/>
      <c r="X2482" s="23"/>
      <c r="Y2482" s="23"/>
      <c r="Z2482" s="23"/>
    </row>
    <row r="2483" spans="1:26" ht="13">
      <c r="A2483" s="562" t="s">
        <v>6116</v>
      </c>
      <c r="B2483" s="563" t="s">
        <v>5618</v>
      </c>
      <c r="C2483" s="564" t="s">
        <v>1652</v>
      </c>
      <c r="D2483" s="565">
        <v>43118</v>
      </c>
      <c r="E2483" s="565">
        <v>43147</v>
      </c>
      <c r="F2483" s="566">
        <v>352000</v>
      </c>
      <c r="G2483" s="564" t="s">
        <v>1424</v>
      </c>
      <c r="H2483" s="564" t="s">
        <v>1424</v>
      </c>
      <c r="I2483" s="564" t="s">
        <v>1637</v>
      </c>
      <c r="J2483" s="564" t="s">
        <v>1069</v>
      </c>
      <c r="K2483" s="564" t="s">
        <v>1120</v>
      </c>
      <c r="L2483" s="564" t="s">
        <v>2098</v>
      </c>
      <c r="M2483" s="564" t="s">
        <v>2098</v>
      </c>
      <c r="N2483" s="564" t="s">
        <v>1073</v>
      </c>
      <c r="O2483" s="564" t="s">
        <v>2099</v>
      </c>
      <c r="P2483" s="23"/>
      <c r="Q2483" s="23"/>
      <c r="R2483" s="23"/>
      <c r="S2483" s="23"/>
      <c r="T2483" s="23"/>
      <c r="U2483" s="23"/>
      <c r="V2483" s="23"/>
      <c r="W2483" s="23"/>
      <c r="X2483" s="23"/>
      <c r="Y2483" s="23"/>
      <c r="Z2483" s="23"/>
    </row>
    <row r="2484" spans="1:26" ht="13">
      <c r="A2484" s="562" t="s">
        <v>6117</v>
      </c>
      <c r="B2484" s="563" t="s">
        <v>5810</v>
      </c>
      <c r="C2484" s="564" t="s">
        <v>1652</v>
      </c>
      <c r="D2484" s="565">
        <v>43119</v>
      </c>
      <c r="E2484" s="565">
        <v>43150</v>
      </c>
      <c r="F2484" s="566">
        <v>1816000</v>
      </c>
      <c r="G2484" s="564" t="s">
        <v>1424</v>
      </c>
      <c r="H2484" s="564" t="s">
        <v>1424</v>
      </c>
      <c r="I2484" s="564" t="s">
        <v>70</v>
      </c>
      <c r="J2484" s="564" t="s">
        <v>1069</v>
      </c>
      <c r="K2484" s="564" t="s">
        <v>1120</v>
      </c>
      <c r="L2484" s="564" t="s">
        <v>2098</v>
      </c>
      <c r="M2484" s="564" t="s">
        <v>2098</v>
      </c>
      <c r="N2484" s="564" t="s">
        <v>70</v>
      </c>
      <c r="O2484" s="564" t="s">
        <v>2099</v>
      </c>
      <c r="P2484" s="23"/>
      <c r="Q2484" s="23"/>
      <c r="R2484" s="23"/>
      <c r="S2484" s="23"/>
      <c r="T2484" s="23"/>
      <c r="U2484" s="23"/>
      <c r="V2484" s="23"/>
      <c r="W2484" s="23"/>
      <c r="X2484" s="23"/>
      <c r="Y2484" s="23"/>
      <c r="Z2484" s="23"/>
    </row>
    <row r="2485" spans="1:26" ht="13">
      <c r="A2485" s="562" t="s">
        <v>6118</v>
      </c>
      <c r="B2485" s="563" t="s">
        <v>6119</v>
      </c>
      <c r="C2485" s="564" t="s">
        <v>1551</v>
      </c>
      <c r="D2485" s="565">
        <v>43116</v>
      </c>
      <c r="E2485" s="565">
        <v>43146</v>
      </c>
      <c r="F2485" s="566">
        <v>3540000</v>
      </c>
      <c r="G2485" s="564" t="s">
        <v>1424</v>
      </c>
      <c r="H2485" s="564" t="s">
        <v>1424</v>
      </c>
      <c r="I2485" s="564" t="s">
        <v>45</v>
      </c>
      <c r="J2485" s="564" t="s">
        <v>1069</v>
      </c>
      <c r="K2485" s="564" t="s">
        <v>1090</v>
      </c>
      <c r="L2485" s="564" t="s">
        <v>2098</v>
      </c>
      <c r="M2485" s="564" t="s">
        <v>2098</v>
      </c>
      <c r="N2485" s="564" t="s">
        <v>45</v>
      </c>
      <c r="O2485" s="564" t="s">
        <v>2099</v>
      </c>
      <c r="P2485" s="23"/>
      <c r="Q2485" s="23"/>
      <c r="R2485" s="23"/>
      <c r="S2485" s="23"/>
      <c r="T2485" s="23"/>
      <c r="U2485" s="23"/>
      <c r="V2485" s="23"/>
      <c r="W2485" s="23"/>
      <c r="X2485" s="23"/>
      <c r="Y2485" s="23"/>
      <c r="Z2485" s="23"/>
    </row>
    <row r="2486" spans="1:26" ht="13">
      <c r="A2486" s="562" t="s">
        <v>6120</v>
      </c>
      <c r="B2486" s="563" t="s">
        <v>5721</v>
      </c>
      <c r="C2486" s="564" t="s">
        <v>1652</v>
      </c>
      <c r="D2486" s="565">
        <v>43116</v>
      </c>
      <c r="E2486" s="565">
        <v>43147</v>
      </c>
      <c r="F2486" s="566">
        <v>1056000</v>
      </c>
      <c r="G2486" s="564" t="s">
        <v>1424</v>
      </c>
      <c r="H2486" s="564" t="s">
        <v>1424</v>
      </c>
      <c r="I2486" s="564" t="s">
        <v>1637</v>
      </c>
      <c r="J2486" s="564" t="s">
        <v>1069</v>
      </c>
      <c r="K2486" s="564" t="s">
        <v>1120</v>
      </c>
      <c r="L2486" s="564" t="s">
        <v>2098</v>
      </c>
      <c r="M2486" s="564" t="s">
        <v>2098</v>
      </c>
      <c r="N2486" s="564" t="s">
        <v>1073</v>
      </c>
      <c r="O2486" s="564" t="s">
        <v>2099</v>
      </c>
      <c r="P2486" s="23"/>
      <c r="Q2486" s="23"/>
      <c r="R2486" s="23"/>
      <c r="S2486" s="23"/>
      <c r="T2486" s="23"/>
      <c r="U2486" s="23"/>
      <c r="V2486" s="23"/>
      <c r="W2486" s="23"/>
      <c r="X2486" s="23"/>
      <c r="Y2486" s="23"/>
      <c r="Z2486" s="23"/>
    </row>
    <row r="2487" spans="1:26" ht="13">
      <c r="A2487" s="562" t="s">
        <v>6121</v>
      </c>
      <c r="B2487" s="563" t="s">
        <v>6122</v>
      </c>
      <c r="C2487" s="564" t="s">
        <v>2387</v>
      </c>
      <c r="D2487" s="565">
        <v>43115</v>
      </c>
      <c r="E2487" s="565">
        <v>43159</v>
      </c>
      <c r="F2487" s="566">
        <v>1575000</v>
      </c>
      <c r="G2487" s="564" t="s">
        <v>1400</v>
      </c>
      <c r="H2487" s="564" t="s">
        <v>1400</v>
      </c>
      <c r="I2487" s="564" t="s">
        <v>4816</v>
      </c>
      <c r="J2487" s="564" t="s">
        <v>1069</v>
      </c>
      <c r="K2487" s="564" t="s">
        <v>1070</v>
      </c>
      <c r="L2487" s="564" t="s">
        <v>2098</v>
      </c>
      <c r="M2487" s="564" t="s">
        <v>2098</v>
      </c>
      <c r="N2487" s="564" t="s">
        <v>1082</v>
      </c>
      <c r="O2487" s="564" t="s">
        <v>2099</v>
      </c>
      <c r="P2487" s="23"/>
      <c r="Q2487" s="23"/>
      <c r="R2487" s="23"/>
      <c r="S2487" s="23"/>
      <c r="T2487" s="23"/>
      <c r="U2487" s="23"/>
      <c r="V2487" s="23"/>
      <c r="W2487" s="23"/>
      <c r="X2487" s="23"/>
      <c r="Y2487" s="23"/>
      <c r="Z2487" s="23"/>
    </row>
    <row r="2488" spans="1:26" ht="13">
      <c r="A2488" s="562" t="s">
        <v>6123</v>
      </c>
      <c r="B2488" s="563" t="s">
        <v>6124</v>
      </c>
      <c r="C2488" s="564" t="s">
        <v>1551</v>
      </c>
      <c r="D2488" s="565">
        <v>43112</v>
      </c>
      <c r="E2488" s="565">
        <v>43140</v>
      </c>
      <c r="F2488" s="566">
        <v>7850000</v>
      </c>
      <c r="G2488" s="564" t="s">
        <v>1424</v>
      </c>
      <c r="H2488" s="564" t="s">
        <v>1424</v>
      </c>
      <c r="I2488" s="564" t="s">
        <v>45</v>
      </c>
      <c r="J2488" s="564" t="s">
        <v>1069</v>
      </c>
      <c r="K2488" s="564" t="s">
        <v>1090</v>
      </c>
      <c r="L2488" s="564" t="s">
        <v>2098</v>
      </c>
      <c r="M2488" s="564" t="s">
        <v>2098</v>
      </c>
      <c r="N2488" s="564" t="s">
        <v>45</v>
      </c>
      <c r="O2488" s="564" t="s">
        <v>2099</v>
      </c>
      <c r="P2488" s="23"/>
      <c r="Q2488" s="23"/>
      <c r="R2488" s="23"/>
      <c r="S2488" s="23"/>
      <c r="T2488" s="23"/>
      <c r="U2488" s="23"/>
      <c r="V2488" s="23"/>
      <c r="W2488" s="23"/>
      <c r="X2488" s="23"/>
      <c r="Y2488" s="23"/>
      <c r="Z2488" s="23"/>
    </row>
    <row r="2489" spans="1:26" ht="13">
      <c r="A2489" s="562" t="s">
        <v>6125</v>
      </c>
      <c r="B2489" s="563" t="s">
        <v>6126</v>
      </c>
      <c r="C2489" s="564" t="s">
        <v>1370</v>
      </c>
      <c r="D2489" s="565">
        <v>43112</v>
      </c>
      <c r="E2489" s="565">
        <v>43132</v>
      </c>
      <c r="F2489" s="566">
        <v>8781818</v>
      </c>
      <c r="G2489" s="564" t="s">
        <v>1623</v>
      </c>
      <c r="H2489" s="564" t="s">
        <v>1623</v>
      </c>
      <c r="I2489" s="564" t="s">
        <v>802</v>
      </c>
      <c r="J2489" s="564" t="s">
        <v>1069</v>
      </c>
      <c r="K2489" s="564" t="s">
        <v>1198</v>
      </c>
      <c r="L2489" s="564" t="s">
        <v>2098</v>
      </c>
      <c r="M2489" s="564" t="s">
        <v>2098</v>
      </c>
      <c r="N2489" s="564" t="s">
        <v>132</v>
      </c>
      <c r="O2489" s="564" t="s">
        <v>2099</v>
      </c>
      <c r="P2489" s="23"/>
      <c r="Q2489" s="23"/>
      <c r="R2489" s="23"/>
      <c r="S2489" s="23"/>
      <c r="T2489" s="23"/>
      <c r="U2489" s="23"/>
      <c r="V2489" s="23"/>
      <c r="W2489" s="23"/>
      <c r="X2489" s="23"/>
      <c r="Y2489" s="23"/>
      <c r="Z2489" s="23"/>
    </row>
    <row r="2490" spans="1:26" ht="13">
      <c r="A2490" s="562" t="s">
        <v>6127</v>
      </c>
      <c r="B2490" s="563" t="s">
        <v>6128</v>
      </c>
      <c r="C2490" s="564" t="s">
        <v>1370</v>
      </c>
      <c r="D2490" s="565">
        <v>43112</v>
      </c>
      <c r="E2490" s="565">
        <v>43132</v>
      </c>
      <c r="F2490" s="566">
        <v>11554545</v>
      </c>
      <c r="G2490" s="564" t="s">
        <v>1623</v>
      </c>
      <c r="H2490" s="564" t="s">
        <v>1623</v>
      </c>
      <c r="I2490" s="564" t="s">
        <v>802</v>
      </c>
      <c r="J2490" s="564" t="s">
        <v>1069</v>
      </c>
      <c r="K2490" s="564" t="s">
        <v>1198</v>
      </c>
      <c r="L2490" s="564" t="s">
        <v>2098</v>
      </c>
      <c r="M2490" s="564" t="s">
        <v>2098</v>
      </c>
      <c r="N2490" s="564" t="s">
        <v>132</v>
      </c>
      <c r="O2490" s="564" t="s">
        <v>2099</v>
      </c>
      <c r="P2490" s="23"/>
      <c r="Q2490" s="23"/>
      <c r="R2490" s="23"/>
      <c r="S2490" s="23"/>
      <c r="T2490" s="23"/>
      <c r="U2490" s="23"/>
      <c r="V2490" s="23"/>
      <c r="W2490" s="23"/>
      <c r="X2490" s="23"/>
      <c r="Y2490" s="23"/>
      <c r="Z2490" s="23"/>
    </row>
    <row r="2491" spans="1:26" ht="13">
      <c r="A2491" s="562" t="s">
        <v>6129</v>
      </c>
      <c r="B2491" s="563" t="s">
        <v>6130</v>
      </c>
      <c r="C2491" s="564" t="s">
        <v>1370</v>
      </c>
      <c r="D2491" s="565">
        <v>43112</v>
      </c>
      <c r="E2491" s="565">
        <v>43118</v>
      </c>
      <c r="F2491" s="566">
        <v>81408000</v>
      </c>
      <c r="G2491" s="564" t="s">
        <v>1623</v>
      </c>
      <c r="H2491" s="564" t="s">
        <v>1623</v>
      </c>
      <c r="I2491" s="564" t="s">
        <v>802</v>
      </c>
      <c r="J2491" s="564" t="s">
        <v>1069</v>
      </c>
      <c r="K2491" s="564" t="s">
        <v>1198</v>
      </c>
      <c r="L2491" s="564" t="s">
        <v>2098</v>
      </c>
      <c r="M2491" s="564" t="s">
        <v>2098</v>
      </c>
      <c r="N2491" s="564" t="s">
        <v>132</v>
      </c>
      <c r="O2491" s="564" t="s">
        <v>2099</v>
      </c>
      <c r="P2491" s="23"/>
      <c r="Q2491" s="23"/>
      <c r="R2491" s="23"/>
      <c r="S2491" s="23"/>
      <c r="T2491" s="23"/>
      <c r="U2491" s="23"/>
      <c r="V2491" s="23"/>
      <c r="W2491" s="23"/>
      <c r="X2491" s="23"/>
      <c r="Y2491" s="23"/>
      <c r="Z2491" s="23"/>
    </row>
    <row r="2492" spans="1:26" ht="13">
      <c r="A2492" s="562" t="s">
        <v>6131</v>
      </c>
      <c r="B2492" s="563" t="s">
        <v>6132</v>
      </c>
      <c r="C2492" s="564" t="s">
        <v>1551</v>
      </c>
      <c r="D2492" s="565">
        <v>43111</v>
      </c>
      <c r="E2492" s="565">
        <v>43140</v>
      </c>
      <c r="F2492" s="566">
        <v>41946000</v>
      </c>
      <c r="G2492" s="564" t="s">
        <v>1424</v>
      </c>
      <c r="H2492" s="564" t="s">
        <v>1424</v>
      </c>
      <c r="I2492" s="564" t="s">
        <v>45</v>
      </c>
      <c r="J2492" s="564" t="s">
        <v>1069</v>
      </c>
      <c r="K2492" s="564" t="s">
        <v>1090</v>
      </c>
      <c r="L2492" s="564" t="s">
        <v>2098</v>
      </c>
      <c r="M2492" s="564" t="s">
        <v>2098</v>
      </c>
      <c r="N2492" s="564" t="s">
        <v>45</v>
      </c>
      <c r="O2492" s="564" t="s">
        <v>2099</v>
      </c>
      <c r="P2492" s="23"/>
      <c r="Q2492" s="23"/>
      <c r="R2492" s="23"/>
      <c r="S2492" s="23"/>
      <c r="T2492" s="23"/>
      <c r="U2492" s="23"/>
      <c r="V2492" s="23"/>
      <c r="W2492" s="23"/>
      <c r="X2492" s="23"/>
      <c r="Y2492" s="23"/>
      <c r="Z2492" s="23"/>
    </row>
    <row r="2493" spans="1:26" ht="13">
      <c r="A2493" s="562" t="s">
        <v>6133</v>
      </c>
      <c r="B2493" s="563" t="s">
        <v>6134</v>
      </c>
      <c r="C2493" s="564" t="s">
        <v>1551</v>
      </c>
      <c r="D2493" s="565">
        <v>43109</v>
      </c>
      <c r="E2493" s="565">
        <v>43131</v>
      </c>
      <c r="F2493" s="566">
        <v>2200000</v>
      </c>
      <c r="G2493" s="564" t="s">
        <v>5465</v>
      </c>
      <c r="H2493" s="564" t="s">
        <v>5465</v>
      </c>
      <c r="I2493" s="564" t="s">
        <v>45</v>
      </c>
      <c r="J2493" s="564" t="s">
        <v>1069</v>
      </c>
      <c r="K2493" s="564" t="s">
        <v>1090</v>
      </c>
      <c r="L2493" s="564" t="s">
        <v>2098</v>
      </c>
      <c r="M2493" s="564" t="s">
        <v>2098</v>
      </c>
      <c r="N2493" s="564" t="s">
        <v>45</v>
      </c>
      <c r="O2493" s="564" t="s">
        <v>2099</v>
      </c>
      <c r="P2493" s="23"/>
      <c r="Q2493" s="23"/>
      <c r="R2493" s="23"/>
      <c r="S2493" s="23"/>
      <c r="T2493" s="23"/>
      <c r="U2493" s="23"/>
      <c r="V2493" s="23"/>
      <c r="W2493" s="23"/>
      <c r="X2493" s="23"/>
      <c r="Y2493" s="23"/>
      <c r="Z2493" s="23"/>
    </row>
    <row r="2494" spans="1:26" ht="13">
      <c r="A2494" s="562" t="s">
        <v>6135</v>
      </c>
      <c r="B2494" s="563" t="s">
        <v>6136</v>
      </c>
      <c r="C2494" s="564" t="s">
        <v>1551</v>
      </c>
      <c r="D2494" s="565">
        <v>43110</v>
      </c>
      <c r="E2494" s="565">
        <v>43131</v>
      </c>
      <c r="F2494" s="566">
        <v>9800000</v>
      </c>
      <c r="G2494" s="564" t="s">
        <v>5465</v>
      </c>
      <c r="H2494" s="564" t="s">
        <v>5465</v>
      </c>
      <c r="I2494" s="564" t="s">
        <v>45</v>
      </c>
      <c r="J2494" s="564" t="s">
        <v>1069</v>
      </c>
      <c r="K2494" s="564" t="s">
        <v>1090</v>
      </c>
      <c r="L2494" s="564" t="s">
        <v>2098</v>
      </c>
      <c r="M2494" s="564" t="s">
        <v>2098</v>
      </c>
      <c r="N2494" s="564" t="s">
        <v>45</v>
      </c>
      <c r="O2494" s="564" t="s">
        <v>2099</v>
      </c>
      <c r="P2494" s="23"/>
      <c r="Q2494" s="23"/>
      <c r="R2494" s="23"/>
      <c r="S2494" s="23"/>
      <c r="T2494" s="23"/>
      <c r="U2494" s="23"/>
      <c r="V2494" s="23"/>
      <c r="W2494" s="23"/>
      <c r="X2494" s="23"/>
      <c r="Y2494" s="23"/>
      <c r="Z2494" s="23"/>
    </row>
    <row r="2495" spans="1:26" ht="13">
      <c r="A2495" s="562" t="s">
        <v>6137</v>
      </c>
      <c r="B2495" s="563" t="s">
        <v>6119</v>
      </c>
      <c r="C2495" s="564" t="s">
        <v>1551</v>
      </c>
      <c r="D2495" s="565">
        <v>43110</v>
      </c>
      <c r="E2495" s="565">
        <v>43140</v>
      </c>
      <c r="F2495" s="566">
        <v>3540000</v>
      </c>
      <c r="G2495" s="564" t="s">
        <v>1424</v>
      </c>
      <c r="H2495" s="564" t="s">
        <v>1424</v>
      </c>
      <c r="I2495" s="564" t="s">
        <v>45</v>
      </c>
      <c r="J2495" s="564" t="s">
        <v>1069</v>
      </c>
      <c r="K2495" s="564" t="s">
        <v>1090</v>
      </c>
      <c r="L2495" s="564" t="s">
        <v>2098</v>
      </c>
      <c r="M2495" s="564" t="s">
        <v>2098</v>
      </c>
      <c r="N2495" s="564" t="s">
        <v>45</v>
      </c>
      <c r="O2495" s="564" t="s">
        <v>2099</v>
      </c>
      <c r="P2495" s="23"/>
      <c r="Q2495" s="23"/>
      <c r="R2495" s="23"/>
      <c r="S2495" s="23"/>
      <c r="T2495" s="23"/>
      <c r="U2495" s="23"/>
      <c r="V2495" s="23"/>
      <c r="W2495" s="23"/>
      <c r="X2495" s="23"/>
      <c r="Y2495" s="23"/>
      <c r="Z2495" s="23"/>
    </row>
    <row r="2496" spans="1:26" ht="13">
      <c r="A2496" s="562" t="s">
        <v>6138</v>
      </c>
      <c r="B2496" s="563" t="s">
        <v>5721</v>
      </c>
      <c r="C2496" s="564" t="s">
        <v>1652</v>
      </c>
      <c r="D2496" s="565">
        <v>43111</v>
      </c>
      <c r="E2496" s="565">
        <v>43140</v>
      </c>
      <c r="F2496" s="566">
        <v>1816000</v>
      </c>
      <c r="G2496" s="564" t="s">
        <v>1424</v>
      </c>
      <c r="H2496" s="564" t="s">
        <v>1424</v>
      </c>
      <c r="I2496" s="564" t="s">
        <v>1637</v>
      </c>
      <c r="J2496" s="564" t="s">
        <v>1069</v>
      </c>
      <c r="K2496" s="564" t="s">
        <v>1120</v>
      </c>
      <c r="L2496" s="564" t="s">
        <v>2098</v>
      </c>
      <c r="M2496" s="564" t="s">
        <v>2098</v>
      </c>
      <c r="N2496" s="564" t="s">
        <v>1073</v>
      </c>
      <c r="O2496" s="564" t="s">
        <v>2099</v>
      </c>
      <c r="P2496" s="23"/>
      <c r="Q2496" s="23"/>
      <c r="R2496" s="23"/>
      <c r="S2496" s="23"/>
      <c r="T2496" s="23"/>
      <c r="U2496" s="23"/>
      <c r="V2496" s="23"/>
      <c r="W2496" s="23"/>
      <c r="X2496" s="23"/>
      <c r="Y2496" s="23"/>
      <c r="Z2496" s="23"/>
    </row>
    <row r="2497" spans="1:26" ht="13">
      <c r="A2497" s="562" t="s">
        <v>6139</v>
      </c>
      <c r="B2497" s="563" t="s">
        <v>6140</v>
      </c>
      <c r="C2497" s="564" t="s">
        <v>1551</v>
      </c>
      <c r="D2497" s="565">
        <v>43109</v>
      </c>
      <c r="E2497" s="565">
        <v>43140</v>
      </c>
      <c r="F2497" s="566">
        <v>13973000</v>
      </c>
      <c r="G2497" s="564" t="s">
        <v>1424</v>
      </c>
      <c r="H2497" s="564" t="s">
        <v>1424</v>
      </c>
      <c r="I2497" s="564" t="s">
        <v>45</v>
      </c>
      <c r="J2497" s="564" t="s">
        <v>1069</v>
      </c>
      <c r="K2497" s="564" t="s">
        <v>1090</v>
      </c>
      <c r="L2497" s="564" t="s">
        <v>2098</v>
      </c>
      <c r="M2497" s="564" t="s">
        <v>2098</v>
      </c>
      <c r="N2497" s="564" t="s">
        <v>45</v>
      </c>
      <c r="O2497" s="564" t="s">
        <v>2099</v>
      </c>
      <c r="P2497" s="23"/>
      <c r="Q2497" s="23"/>
      <c r="R2497" s="23"/>
      <c r="S2497" s="23"/>
      <c r="T2497" s="23"/>
      <c r="U2497" s="23"/>
      <c r="V2497" s="23"/>
      <c r="W2497" s="23"/>
      <c r="X2497" s="23"/>
      <c r="Y2497" s="23"/>
      <c r="Z2497" s="23"/>
    </row>
    <row r="2498" spans="1:26" ht="13">
      <c r="A2498" s="562" t="s">
        <v>6141</v>
      </c>
      <c r="B2498" s="563" t="s">
        <v>5974</v>
      </c>
      <c r="C2498" s="564" t="s">
        <v>1551</v>
      </c>
      <c r="D2498" s="565">
        <v>43110</v>
      </c>
      <c r="E2498" s="565">
        <v>43140</v>
      </c>
      <c r="F2498" s="566">
        <v>3300000</v>
      </c>
      <c r="G2498" s="564" t="s">
        <v>1424</v>
      </c>
      <c r="H2498" s="564" t="s">
        <v>1424</v>
      </c>
      <c r="I2498" s="564" t="s">
        <v>45</v>
      </c>
      <c r="J2498" s="564" t="s">
        <v>1069</v>
      </c>
      <c r="K2498" s="564" t="s">
        <v>1090</v>
      </c>
      <c r="L2498" s="564" t="s">
        <v>2098</v>
      </c>
      <c r="M2498" s="564" t="s">
        <v>2098</v>
      </c>
      <c r="N2498" s="564" t="s">
        <v>45</v>
      </c>
      <c r="O2498" s="564" t="s">
        <v>2099</v>
      </c>
      <c r="P2498" s="23"/>
      <c r="Q2498" s="23"/>
      <c r="R2498" s="23"/>
      <c r="S2498" s="23"/>
      <c r="T2498" s="23"/>
      <c r="U2498" s="23"/>
      <c r="V2498" s="23"/>
      <c r="W2498" s="23"/>
      <c r="X2498" s="23"/>
      <c r="Y2498" s="23"/>
      <c r="Z2498" s="23"/>
    </row>
    <row r="2499" spans="1:26" ht="13">
      <c r="A2499" s="562" t="s">
        <v>6142</v>
      </c>
      <c r="B2499" s="563" t="s">
        <v>6143</v>
      </c>
      <c r="C2499" s="564" t="s">
        <v>1652</v>
      </c>
      <c r="D2499" s="565">
        <v>43111</v>
      </c>
      <c r="E2499" s="565">
        <v>43140</v>
      </c>
      <c r="F2499" s="566">
        <v>1260000</v>
      </c>
      <c r="G2499" s="564" t="s">
        <v>1424</v>
      </c>
      <c r="H2499" s="564" t="s">
        <v>1424</v>
      </c>
      <c r="I2499" s="564" t="s">
        <v>70</v>
      </c>
      <c r="J2499" s="564" t="s">
        <v>1069</v>
      </c>
      <c r="K2499" s="564" t="s">
        <v>1120</v>
      </c>
      <c r="L2499" s="564" t="s">
        <v>2098</v>
      </c>
      <c r="M2499" s="564" t="s">
        <v>2098</v>
      </c>
      <c r="N2499" s="564" t="s">
        <v>70</v>
      </c>
      <c r="O2499" s="564" t="s">
        <v>2099</v>
      </c>
      <c r="P2499" s="23"/>
      <c r="Q2499" s="23"/>
      <c r="R2499" s="23"/>
      <c r="S2499" s="23"/>
      <c r="T2499" s="23"/>
      <c r="U2499" s="23"/>
      <c r="V2499" s="23"/>
      <c r="W2499" s="23"/>
      <c r="X2499" s="23"/>
      <c r="Y2499" s="23"/>
      <c r="Z2499" s="23"/>
    </row>
    <row r="2500" spans="1:26" ht="13">
      <c r="A2500" s="562" t="s">
        <v>6144</v>
      </c>
      <c r="B2500" s="563" t="s">
        <v>6145</v>
      </c>
      <c r="C2500" s="564" t="s">
        <v>1551</v>
      </c>
      <c r="D2500" s="565">
        <v>43110</v>
      </c>
      <c r="E2500" s="565">
        <v>43140</v>
      </c>
      <c r="F2500" s="566">
        <v>1014000</v>
      </c>
      <c r="G2500" s="564" t="s">
        <v>1424</v>
      </c>
      <c r="H2500" s="564" t="s">
        <v>1424</v>
      </c>
      <c r="I2500" s="564" t="s">
        <v>6146</v>
      </c>
      <c r="J2500" s="564" t="s">
        <v>1069</v>
      </c>
      <c r="K2500" s="564" t="s">
        <v>1090</v>
      </c>
      <c r="L2500" s="564" t="s">
        <v>2098</v>
      </c>
      <c r="M2500" s="564" t="s">
        <v>2098</v>
      </c>
      <c r="N2500" s="564" t="s">
        <v>1073</v>
      </c>
      <c r="O2500" s="564" t="s">
        <v>2099</v>
      </c>
      <c r="P2500" s="23"/>
      <c r="Q2500" s="23"/>
      <c r="R2500" s="23"/>
      <c r="S2500" s="23"/>
      <c r="T2500" s="23"/>
      <c r="U2500" s="23"/>
      <c r="V2500" s="23"/>
      <c r="W2500" s="23"/>
      <c r="X2500" s="23"/>
      <c r="Y2500" s="23"/>
      <c r="Z2500" s="23"/>
    </row>
    <row r="2501" spans="1:26" ht="13">
      <c r="A2501" s="562" t="s">
        <v>6147</v>
      </c>
      <c r="B2501" s="563" t="s">
        <v>6148</v>
      </c>
      <c r="C2501" s="564" t="s">
        <v>1551</v>
      </c>
      <c r="D2501" s="565">
        <v>43109</v>
      </c>
      <c r="E2501" s="565">
        <v>43119</v>
      </c>
      <c r="F2501" s="566">
        <v>42290000</v>
      </c>
      <c r="G2501" s="564" t="s">
        <v>1128</v>
      </c>
      <c r="H2501" s="564" t="s">
        <v>1128</v>
      </c>
      <c r="I2501" s="564" t="s">
        <v>45</v>
      </c>
      <c r="J2501" s="564" t="s">
        <v>1069</v>
      </c>
      <c r="K2501" s="564" t="s">
        <v>1090</v>
      </c>
      <c r="L2501" s="564" t="s">
        <v>2098</v>
      </c>
      <c r="M2501" s="564" t="s">
        <v>2098</v>
      </c>
      <c r="N2501" s="564" t="s">
        <v>45</v>
      </c>
      <c r="O2501" s="564" t="s">
        <v>2099</v>
      </c>
      <c r="P2501" s="23"/>
      <c r="Q2501" s="23"/>
      <c r="R2501" s="23"/>
      <c r="S2501" s="23"/>
      <c r="T2501" s="23"/>
      <c r="U2501" s="23"/>
      <c r="V2501" s="23"/>
      <c r="W2501" s="23"/>
      <c r="X2501" s="23"/>
      <c r="Y2501" s="23"/>
      <c r="Z2501" s="23"/>
    </row>
    <row r="2502" spans="1:26" ht="13">
      <c r="A2502" s="562" t="s">
        <v>6149</v>
      </c>
      <c r="B2502" s="563" t="s">
        <v>6150</v>
      </c>
      <c r="C2502" s="564" t="s">
        <v>1204</v>
      </c>
      <c r="D2502" s="565">
        <v>43108</v>
      </c>
      <c r="E2502" s="565">
        <v>43140</v>
      </c>
      <c r="F2502" s="566">
        <v>1080000</v>
      </c>
      <c r="G2502" s="564" t="s">
        <v>1424</v>
      </c>
      <c r="H2502" s="564" t="s">
        <v>1424</v>
      </c>
      <c r="I2502" s="564" t="s">
        <v>1837</v>
      </c>
      <c r="J2502" s="564" t="s">
        <v>1069</v>
      </c>
      <c r="K2502" s="564" t="s">
        <v>1070</v>
      </c>
      <c r="L2502" s="564" t="s">
        <v>2098</v>
      </c>
      <c r="M2502" s="564" t="s">
        <v>2098</v>
      </c>
      <c r="N2502" s="564" t="s">
        <v>1082</v>
      </c>
      <c r="O2502" s="564" t="s">
        <v>2099</v>
      </c>
      <c r="P2502" s="23"/>
      <c r="Q2502" s="23"/>
      <c r="R2502" s="23"/>
      <c r="S2502" s="23"/>
      <c r="T2502" s="23"/>
      <c r="U2502" s="23"/>
      <c r="V2502" s="23"/>
      <c r="W2502" s="23"/>
      <c r="X2502" s="23"/>
      <c r="Y2502" s="23"/>
      <c r="Z2502" s="23"/>
    </row>
    <row r="2503" spans="1:26" ht="13">
      <c r="A2503" s="562" t="s">
        <v>6151</v>
      </c>
      <c r="B2503" s="563" t="s">
        <v>6152</v>
      </c>
      <c r="C2503" s="564" t="s">
        <v>1551</v>
      </c>
      <c r="D2503" s="565">
        <v>43108</v>
      </c>
      <c r="E2503" s="565">
        <v>43140</v>
      </c>
      <c r="F2503" s="566">
        <v>2323000</v>
      </c>
      <c r="G2503" s="564" t="s">
        <v>1424</v>
      </c>
      <c r="H2503" s="564" t="s">
        <v>1424</v>
      </c>
      <c r="I2503" s="564" t="s">
        <v>45</v>
      </c>
      <c r="J2503" s="564" t="s">
        <v>1069</v>
      </c>
      <c r="K2503" s="564" t="s">
        <v>1090</v>
      </c>
      <c r="L2503" s="564" t="s">
        <v>2098</v>
      </c>
      <c r="M2503" s="564" t="s">
        <v>2098</v>
      </c>
      <c r="N2503" s="564" t="s">
        <v>45</v>
      </c>
      <c r="O2503" s="564" t="s">
        <v>2099</v>
      </c>
      <c r="P2503" s="23"/>
      <c r="Q2503" s="23"/>
      <c r="R2503" s="23"/>
      <c r="S2503" s="23"/>
      <c r="T2503" s="23"/>
      <c r="U2503" s="23"/>
      <c r="V2503" s="23"/>
      <c r="W2503" s="23"/>
      <c r="X2503" s="23"/>
      <c r="Y2503" s="23"/>
      <c r="Z2503" s="23"/>
    </row>
    <row r="2504" spans="1:26" ht="13">
      <c r="A2504" s="562" t="s">
        <v>6153</v>
      </c>
      <c r="B2504" s="563" t="s">
        <v>6154</v>
      </c>
      <c r="C2504" s="564" t="s">
        <v>1370</v>
      </c>
      <c r="D2504" s="565">
        <v>43107</v>
      </c>
      <c r="E2504" s="565">
        <v>43118</v>
      </c>
      <c r="F2504" s="566">
        <v>19136000</v>
      </c>
      <c r="G2504" s="564" t="s">
        <v>1623</v>
      </c>
      <c r="H2504" s="564" t="s">
        <v>1623</v>
      </c>
      <c r="I2504" s="564" t="s">
        <v>802</v>
      </c>
      <c r="J2504" s="564" t="s">
        <v>1069</v>
      </c>
      <c r="K2504" s="564" t="s">
        <v>1198</v>
      </c>
      <c r="L2504" s="564" t="s">
        <v>2098</v>
      </c>
      <c r="M2504" s="564" t="s">
        <v>2098</v>
      </c>
      <c r="N2504" s="564" t="s">
        <v>132</v>
      </c>
      <c r="O2504" s="564" t="s">
        <v>2099</v>
      </c>
      <c r="P2504" s="23"/>
      <c r="Q2504" s="23"/>
      <c r="R2504" s="23"/>
      <c r="S2504" s="23"/>
      <c r="T2504" s="23"/>
      <c r="U2504" s="23"/>
      <c r="V2504" s="23"/>
      <c r="W2504" s="23"/>
      <c r="X2504" s="23"/>
      <c r="Y2504" s="23"/>
      <c r="Z2504" s="23"/>
    </row>
    <row r="2505" spans="1:26" ht="13">
      <c r="A2505" s="562" t="s">
        <v>6155</v>
      </c>
      <c r="B2505" s="563" t="s">
        <v>6156</v>
      </c>
      <c r="C2505" s="564" t="s">
        <v>2437</v>
      </c>
      <c r="D2505" s="565">
        <v>43105</v>
      </c>
      <c r="E2505" s="565">
        <v>43442</v>
      </c>
      <c r="F2505" s="566">
        <v>413152000</v>
      </c>
      <c r="G2505" s="564" t="s">
        <v>1636</v>
      </c>
      <c r="H2505" s="564" t="s">
        <v>1636</v>
      </c>
      <c r="I2505" s="564" t="s">
        <v>516</v>
      </c>
      <c r="J2505" s="564" t="s">
        <v>1069</v>
      </c>
      <c r="K2505" s="564" t="s">
        <v>1209</v>
      </c>
      <c r="L2505" s="564" t="s">
        <v>2098</v>
      </c>
      <c r="M2505" s="564" t="s">
        <v>2098</v>
      </c>
      <c r="N2505" s="564" t="s">
        <v>1082</v>
      </c>
      <c r="O2505" s="564" t="s">
        <v>2099</v>
      </c>
      <c r="P2505" s="23"/>
      <c r="Q2505" s="23"/>
      <c r="R2505" s="23"/>
      <c r="S2505" s="23"/>
      <c r="T2505" s="23"/>
      <c r="U2505" s="23"/>
      <c r="V2505" s="23"/>
      <c r="W2505" s="23"/>
      <c r="X2505" s="23"/>
      <c r="Y2505" s="23"/>
      <c r="Z2505" s="23"/>
    </row>
    <row r="2506" spans="1:26" ht="13">
      <c r="A2506" s="562" t="s">
        <v>6157</v>
      </c>
      <c r="B2506" s="563" t="s">
        <v>6158</v>
      </c>
      <c r="C2506" s="564" t="s">
        <v>1548</v>
      </c>
      <c r="D2506" s="565">
        <v>43102</v>
      </c>
      <c r="E2506" s="565">
        <v>43131</v>
      </c>
      <c r="F2506" s="566">
        <v>1414000</v>
      </c>
      <c r="G2506" s="564" t="s">
        <v>1400</v>
      </c>
      <c r="H2506" s="564" t="s">
        <v>1400</v>
      </c>
      <c r="I2506" s="564" t="s">
        <v>141</v>
      </c>
      <c r="J2506" s="564" t="s">
        <v>1069</v>
      </c>
      <c r="K2506" s="564" t="s">
        <v>1205</v>
      </c>
      <c r="L2506" s="564" t="s">
        <v>2098</v>
      </c>
      <c r="M2506" s="564" t="s">
        <v>2098</v>
      </c>
      <c r="N2506" s="564" t="s">
        <v>1073</v>
      </c>
      <c r="O2506" s="564" t="s">
        <v>2099</v>
      </c>
      <c r="P2506" s="23"/>
      <c r="Q2506" s="23"/>
      <c r="R2506" s="23"/>
      <c r="S2506" s="23"/>
      <c r="T2506" s="23"/>
      <c r="U2506" s="23"/>
      <c r="V2506" s="23"/>
      <c r="W2506" s="23"/>
      <c r="X2506" s="23"/>
      <c r="Y2506" s="23"/>
      <c r="Z2506" s="23"/>
    </row>
    <row r="2507" spans="1:26" ht="13">
      <c r="A2507" s="562" t="s">
        <v>6159</v>
      </c>
      <c r="B2507" s="563" t="s">
        <v>6160</v>
      </c>
      <c r="C2507" s="564" t="s">
        <v>1551</v>
      </c>
      <c r="D2507" s="565">
        <v>43098</v>
      </c>
      <c r="E2507" s="565">
        <v>43131</v>
      </c>
      <c r="F2507" s="566">
        <v>6930000</v>
      </c>
      <c r="G2507" s="564" t="s">
        <v>1424</v>
      </c>
      <c r="H2507" s="564" t="s">
        <v>1424</v>
      </c>
      <c r="I2507" s="564" t="s">
        <v>121</v>
      </c>
      <c r="J2507" s="564" t="s">
        <v>1069</v>
      </c>
      <c r="K2507" s="564" t="s">
        <v>1105</v>
      </c>
      <c r="L2507" s="564" t="s">
        <v>2098</v>
      </c>
      <c r="M2507" s="564" t="s">
        <v>2098</v>
      </c>
      <c r="N2507" s="564" t="s">
        <v>1073</v>
      </c>
      <c r="O2507" s="564" t="s">
        <v>2099</v>
      </c>
      <c r="P2507" s="23"/>
      <c r="Q2507" s="23"/>
      <c r="R2507" s="23"/>
      <c r="S2507" s="23"/>
      <c r="T2507" s="23"/>
      <c r="U2507" s="23"/>
      <c r="V2507" s="23"/>
      <c r="W2507" s="23"/>
      <c r="X2507" s="23"/>
      <c r="Y2507" s="23"/>
      <c r="Z2507" s="23"/>
    </row>
    <row r="2508" spans="1:26" ht="13">
      <c r="A2508" s="562" t="s">
        <v>6161</v>
      </c>
      <c r="B2508" s="563" t="s">
        <v>6162</v>
      </c>
      <c r="C2508" s="564" t="s">
        <v>1612</v>
      </c>
      <c r="D2508" s="565">
        <v>43097</v>
      </c>
      <c r="E2508" s="565">
        <v>43098</v>
      </c>
      <c r="F2508" s="566">
        <v>9487727</v>
      </c>
      <c r="G2508" s="564" t="s">
        <v>1623</v>
      </c>
      <c r="H2508" s="564" t="s">
        <v>1623</v>
      </c>
      <c r="I2508" s="564" t="s">
        <v>802</v>
      </c>
      <c r="J2508" s="564" t="s">
        <v>1069</v>
      </c>
      <c r="K2508" s="564" t="s">
        <v>1198</v>
      </c>
      <c r="L2508" s="564" t="s">
        <v>2098</v>
      </c>
      <c r="M2508" s="564" t="s">
        <v>2098</v>
      </c>
      <c r="N2508" s="564" t="s">
        <v>132</v>
      </c>
      <c r="O2508" s="564" t="s">
        <v>2099</v>
      </c>
      <c r="P2508" s="23"/>
      <c r="Q2508" s="23"/>
      <c r="R2508" s="23"/>
      <c r="S2508" s="23"/>
      <c r="T2508" s="23"/>
      <c r="U2508" s="23"/>
      <c r="V2508" s="23"/>
      <c r="W2508" s="23"/>
      <c r="X2508" s="23"/>
      <c r="Y2508" s="23"/>
      <c r="Z2508" s="23"/>
    </row>
    <row r="2509" spans="1:26" ht="13">
      <c r="A2509" s="562" t="s">
        <v>6163</v>
      </c>
      <c r="B2509" s="563" t="s">
        <v>6164</v>
      </c>
      <c r="C2509" s="564" t="s">
        <v>1548</v>
      </c>
      <c r="D2509" s="565">
        <v>43097</v>
      </c>
      <c r="E2509" s="565">
        <v>43131</v>
      </c>
      <c r="F2509" s="566">
        <v>3446000</v>
      </c>
      <c r="G2509" s="564" t="s">
        <v>1400</v>
      </c>
      <c r="H2509" s="564" t="s">
        <v>1400</v>
      </c>
      <c r="I2509" s="564" t="s">
        <v>141</v>
      </c>
      <c r="J2509" s="564" t="s">
        <v>1069</v>
      </c>
      <c r="K2509" s="564" t="s">
        <v>1205</v>
      </c>
      <c r="L2509" s="564" t="s">
        <v>2098</v>
      </c>
      <c r="M2509" s="564" t="s">
        <v>2098</v>
      </c>
      <c r="N2509" s="564" t="s">
        <v>1073</v>
      </c>
      <c r="O2509" s="564" t="s">
        <v>2099</v>
      </c>
      <c r="P2509" s="23"/>
      <c r="Q2509" s="23"/>
      <c r="R2509" s="23"/>
      <c r="S2509" s="23"/>
      <c r="T2509" s="23"/>
      <c r="U2509" s="23"/>
      <c r="V2509" s="23"/>
      <c r="W2509" s="23"/>
      <c r="X2509" s="23"/>
      <c r="Y2509" s="23"/>
      <c r="Z2509" s="23"/>
    </row>
    <row r="2510" spans="1:26" ht="13">
      <c r="A2510" s="562" t="s">
        <v>6165</v>
      </c>
      <c r="B2510" s="563" t="s">
        <v>5799</v>
      </c>
      <c r="C2510" s="564" t="s">
        <v>1551</v>
      </c>
      <c r="D2510" s="565">
        <v>43096</v>
      </c>
      <c r="E2510" s="565">
        <v>43126</v>
      </c>
      <c r="F2510" s="566">
        <v>456000</v>
      </c>
      <c r="G2510" s="564" t="s">
        <v>1424</v>
      </c>
      <c r="H2510" s="564" t="s">
        <v>1424</v>
      </c>
      <c r="I2510" s="564" t="s">
        <v>64</v>
      </c>
      <c r="J2510" s="564" t="s">
        <v>1069</v>
      </c>
      <c r="K2510" s="564" t="s">
        <v>1090</v>
      </c>
      <c r="L2510" s="564" t="s">
        <v>2098</v>
      </c>
      <c r="M2510" s="564" t="s">
        <v>2098</v>
      </c>
      <c r="N2510" s="564" t="s">
        <v>64</v>
      </c>
      <c r="O2510" s="564" t="s">
        <v>2099</v>
      </c>
      <c r="P2510" s="23"/>
      <c r="Q2510" s="23"/>
      <c r="R2510" s="23"/>
      <c r="S2510" s="23"/>
      <c r="T2510" s="23"/>
      <c r="U2510" s="23"/>
      <c r="V2510" s="23"/>
      <c r="W2510" s="23"/>
      <c r="X2510" s="23"/>
      <c r="Y2510" s="23"/>
      <c r="Z2510" s="23"/>
    </row>
    <row r="2511" spans="1:26" ht="13">
      <c r="A2511" s="562" t="s">
        <v>6166</v>
      </c>
      <c r="B2511" s="563" t="s">
        <v>6167</v>
      </c>
      <c r="C2511" s="564" t="s">
        <v>1551</v>
      </c>
      <c r="D2511" s="565">
        <v>43095</v>
      </c>
      <c r="E2511" s="565">
        <v>43131</v>
      </c>
      <c r="F2511" s="566">
        <v>4332000</v>
      </c>
      <c r="G2511" s="564" t="s">
        <v>297</v>
      </c>
      <c r="H2511" s="564" t="s">
        <v>297</v>
      </c>
      <c r="I2511" s="564" t="s">
        <v>6168</v>
      </c>
      <c r="J2511" s="564" t="s">
        <v>1069</v>
      </c>
      <c r="K2511" s="564" t="s">
        <v>1090</v>
      </c>
      <c r="L2511" s="564" t="s">
        <v>2098</v>
      </c>
      <c r="M2511" s="564" t="s">
        <v>2098</v>
      </c>
      <c r="N2511" s="564" t="s">
        <v>1082</v>
      </c>
      <c r="O2511" s="564" t="s">
        <v>2099</v>
      </c>
      <c r="P2511" s="23"/>
      <c r="Q2511" s="23"/>
      <c r="R2511" s="23"/>
      <c r="S2511" s="23"/>
      <c r="T2511" s="23"/>
      <c r="U2511" s="23"/>
      <c r="V2511" s="23"/>
      <c r="W2511" s="23"/>
      <c r="X2511" s="23"/>
      <c r="Y2511" s="23"/>
      <c r="Z2511" s="23"/>
    </row>
    <row r="2512" spans="1:26" ht="13">
      <c r="A2512" s="562" t="s">
        <v>6169</v>
      </c>
      <c r="B2512" s="563" t="s">
        <v>5721</v>
      </c>
      <c r="C2512" s="564" t="s">
        <v>1652</v>
      </c>
      <c r="D2512" s="565">
        <v>43095</v>
      </c>
      <c r="E2512" s="565">
        <v>43119</v>
      </c>
      <c r="F2512" s="566">
        <v>908000</v>
      </c>
      <c r="G2512" s="564" t="s">
        <v>1424</v>
      </c>
      <c r="H2512" s="564" t="s">
        <v>1424</v>
      </c>
      <c r="I2512" s="564" t="s">
        <v>1637</v>
      </c>
      <c r="J2512" s="564" t="s">
        <v>1069</v>
      </c>
      <c r="K2512" s="564" t="s">
        <v>1120</v>
      </c>
      <c r="L2512" s="564" t="s">
        <v>2098</v>
      </c>
      <c r="M2512" s="564" t="s">
        <v>2098</v>
      </c>
      <c r="N2512" s="564" t="s">
        <v>1073</v>
      </c>
      <c r="O2512" s="564" t="s">
        <v>2099</v>
      </c>
      <c r="P2512" s="23"/>
      <c r="Q2512" s="23"/>
      <c r="R2512" s="23"/>
      <c r="S2512" s="23"/>
      <c r="T2512" s="23"/>
      <c r="U2512" s="23"/>
      <c r="V2512" s="23"/>
      <c r="W2512" s="23"/>
      <c r="X2512" s="23"/>
      <c r="Y2512" s="23"/>
      <c r="Z2512" s="23"/>
    </row>
    <row r="2513" spans="1:26" ht="13">
      <c r="A2513" s="562" t="s">
        <v>6170</v>
      </c>
      <c r="B2513" s="563" t="s">
        <v>5810</v>
      </c>
      <c r="C2513" s="564" t="s">
        <v>1652</v>
      </c>
      <c r="D2513" s="565">
        <v>43090</v>
      </c>
      <c r="E2513" s="565">
        <v>43119</v>
      </c>
      <c r="F2513" s="566">
        <v>3632000</v>
      </c>
      <c r="G2513" s="564" t="s">
        <v>1424</v>
      </c>
      <c r="H2513" s="564" t="s">
        <v>1424</v>
      </c>
      <c r="I2513" s="564" t="s">
        <v>70</v>
      </c>
      <c r="J2513" s="564" t="s">
        <v>1069</v>
      </c>
      <c r="K2513" s="564" t="s">
        <v>1120</v>
      </c>
      <c r="L2513" s="564" t="s">
        <v>2098</v>
      </c>
      <c r="M2513" s="564" t="s">
        <v>2098</v>
      </c>
      <c r="N2513" s="564" t="s">
        <v>70</v>
      </c>
      <c r="O2513" s="564" t="s">
        <v>2099</v>
      </c>
      <c r="P2513" s="23"/>
      <c r="Q2513" s="23"/>
      <c r="R2513" s="23"/>
      <c r="S2513" s="23"/>
      <c r="T2513" s="23"/>
      <c r="U2513" s="23"/>
      <c r="V2513" s="23"/>
      <c r="W2513" s="23"/>
      <c r="X2513" s="23"/>
      <c r="Y2513" s="23"/>
      <c r="Z2513" s="23"/>
    </row>
    <row r="2514" spans="1:26" ht="13">
      <c r="A2514" s="562" t="s">
        <v>6171</v>
      </c>
      <c r="B2514" s="563" t="s">
        <v>6172</v>
      </c>
      <c r="C2514" s="564" t="s">
        <v>1612</v>
      </c>
      <c r="D2514" s="565">
        <v>43090</v>
      </c>
      <c r="E2514" s="565">
        <v>43070</v>
      </c>
      <c r="F2514" s="566">
        <v>32324280</v>
      </c>
      <c r="G2514" s="564" t="s">
        <v>1424</v>
      </c>
      <c r="H2514" s="564" t="s">
        <v>1424</v>
      </c>
      <c r="I2514" s="564" t="s">
        <v>45</v>
      </c>
      <c r="J2514" s="564" t="s">
        <v>1069</v>
      </c>
      <c r="K2514" s="564" t="s">
        <v>1090</v>
      </c>
      <c r="L2514" s="564" t="s">
        <v>1071</v>
      </c>
      <c r="M2514" s="564" t="s">
        <v>1183</v>
      </c>
      <c r="N2514" s="564" t="s">
        <v>45</v>
      </c>
      <c r="O2514" s="564" t="s">
        <v>1472</v>
      </c>
      <c r="P2514" s="23"/>
      <c r="Q2514" s="23"/>
      <c r="R2514" s="23"/>
      <c r="S2514" s="23"/>
      <c r="T2514" s="23"/>
      <c r="U2514" s="23"/>
      <c r="V2514" s="23"/>
      <c r="W2514" s="23"/>
      <c r="X2514" s="23"/>
      <c r="Y2514" s="23"/>
      <c r="Z2514" s="23"/>
    </row>
    <row r="2515" spans="1:26" ht="13">
      <c r="A2515" s="562" t="s">
        <v>6173</v>
      </c>
      <c r="B2515" s="563" t="s">
        <v>6174</v>
      </c>
      <c r="C2515" s="564" t="s">
        <v>1551</v>
      </c>
      <c r="D2515" s="565">
        <v>43090</v>
      </c>
      <c r="E2515" s="565">
        <v>43105</v>
      </c>
      <c r="F2515" s="566">
        <v>3800000</v>
      </c>
      <c r="G2515" s="564" t="s">
        <v>5844</v>
      </c>
      <c r="H2515" s="564" t="s">
        <v>5844</v>
      </c>
      <c r="I2515" s="564" t="s">
        <v>45</v>
      </c>
      <c r="J2515" s="564" t="s">
        <v>1069</v>
      </c>
      <c r="K2515" s="564" t="s">
        <v>1090</v>
      </c>
      <c r="L2515" s="564" t="s">
        <v>2098</v>
      </c>
      <c r="M2515" s="564" t="s">
        <v>2098</v>
      </c>
      <c r="N2515" s="564" t="s">
        <v>45</v>
      </c>
      <c r="O2515" s="564" t="s">
        <v>2099</v>
      </c>
      <c r="P2515" s="23"/>
      <c r="Q2515" s="23"/>
      <c r="R2515" s="23"/>
      <c r="S2515" s="23"/>
      <c r="T2515" s="23"/>
      <c r="U2515" s="23"/>
      <c r="V2515" s="23"/>
      <c r="W2515" s="23"/>
      <c r="X2515" s="23"/>
      <c r="Y2515" s="23"/>
      <c r="Z2515" s="23"/>
    </row>
    <row r="2516" spans="1:26" ht="13">
      <c r="A2516" s="562" t="s">
        <v>6175</v>
      </c>
      <c r="B2516" s="563" t="s">
        <v>6176</v>
      </c>
      <c r="C2516" s="564" t="s">
        <v>1551</v>
      </c>
      <c r="D2516" s="565">
        <v>43089</v>
      </c>
      <c r="E2516" s="565">
        <v>43119</v>
      </c>
      <c r="F2516" s="566">
        <v>4320000</v>
      </c>
      <c r="G2516" s="564" t="s">
        <v>1424</v>
      </c>
      <c r="H2516" s="564" t="s">
        <v>1424</v>
      </c>
      <c r="I2516" s="564" t="s">
        <v>45</v>
      </c>
      <c r="J2516" s="564" t="s">
        <v>1069</v>
      </c>
      <c r="K2516" s="564" t="s">
        <v>1090</v>
      </c>
      <c r="L2516" s="564" t="s">
        <v>2098</v>
      </c>
      <c r="M2516" s="564" t="s">
        <v>2098</v>
      </c>
      <c r="N2516" s="564" t="s">
        <v>45</v>
      </c>
      <c r="O2516" s="564" t="s">
        <v>2099</v>
      </c>
      <c r="P2516" s="23"/>
      <c r="Q2516" s="23"/>
      <c r="R2516" s="23"/>
      <c r="S2516" s="23"/>
      <c r="T2516" s="23"/>
      <c r="U2516" s="23"/>
      <c r="V2516" s="23"/>
      <c r="W2516" s="23"/>
      <c r="X2516" s="23"/>
      <c r="Y2516" s="23"/>
      <c r="Z2516" s="23"/>
    </row>
    <row r="2517" spans="1:26" ht="13">
      <c r="A2517" s="562" t="s">
        <v>6177</v>
      </c>
      <c r="B2517" s="563" t="s">
        <v>6178</v>
      </c>
      <c r="C2517" s="564" t="s">
        <v>1551</v>
      </c>
      <c r="D2517" s="565">
        <v>43089</v>
      </c>
      <c r="E2517" s="565">
        <v>43119</v>
      </c>
      <c r="F2517" s="566">
        <v>11140000</v>
      </c>
      <c r="G2517" s="564" t="s">
        <v>1424</v>
      </c>
      <c r="H2517" s="564" t="s">
        <v>1424</v>
      </c>
      <c r="I2517" s="564" t="s">
        <v>45</v>
      </c>
      <c r="J2517" s="564" t="s">
        <v>1069</v>
      </c>
      <c r="K2517" s="564" t="s">
        <v>1090</v>
      </c>
      <c r="L2517" s="564" t="s">
        <v>2098</v>
      </c>
      <c r="M2517" s="564" t="s">
        <v>2098</v>
      </c>
      <c r="N2517" s="564" t="s">
        <v>45</v>
      </c>
      <c r="O2517" s="564" t="s">
        <v>2099</v>
      </c>
      <c r="P2517" s="23"/>
      <c r="Q2517" s="23"/>
      <c r="R2517" s="23"/>
      <c r="S2517" s="23"/>
      <c r="T2517" s="23"/>
      <c r="U2517" s="23"/>
      <c r="V2517" s="23"/>
      <c r="W2517" s="23"/>
      <c r="X2517" s="23"/>
      <c r="Y2517" s="23"/>
      <c r="Z2517" s="23"/>
    </row>
    <row r="2518" spans="1:26" ht="13">
      <c r="A2518" s="562" t="s">
        <v>6179</v>
      </c>
      <c r="B2518" s="563" t="s">
        <v>5718</v>
      </c>
      <c r="C2518" s="564" t="s">
        <v>1551</v>
      </c>
      <c r="D2518" s="565">
        <v>43089</v>
      </c>
      <c r="E2518" s="565">
        <v>43119</v>
      </c>
      <c r="F2518" s="566">
        <v>1180000</v>
      </c>
      <c r="G2518" s="564" t="s">
        <v>1424</v>
      </c>
      <c r="H2518" s="564" t="s">
        <v>1424</v>
      </c>
      <c r="I2518" s="564" t="s">
        <v>45</v>
      </c>
      <c r="J2518" s="564" t="s">
        <v>1069</v>
      </c>
      <c r="K2518" s="564" t="s">
        <v>1090</v>
      </c>
      <c r="L2518" s="564" t="s">
        <v>2098</v>
      </c>
      <c r="M2518" s="564" t="s">
        <v>2098</v>
      </c>
      <c r="N2518" s="564" t="s">
        <v>45</v>
      </c>
      <c r="O2518" s="564" t="s">
        <v>2099</v>
      </c>
      <c r="P2518" s="23"/>
      <c r="Q2518" s="23"/>
      <c r="R2518" s="23"/>
      <c r="S2518" s="23"/>
      <c r="T2518" s="23"/>
      <c r="U2518" s="23"/>
      <c r="V2518" s="23"/>
      <c r="W2518" s="23"/>
      <c r="X2518" s="23"/>
      <c r="Y2518" s="23"/>
      <c r="Z2518" s="23"/>
    </row>
    <row r="2519" spans="1:26" ht="13">
      <c r="A2519" s="562" t="s">
        <v>6180</v>
      </c>
      <c r="B2519" s="563" t="s">
        <v>6181</v>
      </c>
      <c r="C2519" s="564" t="s">
        <v>1548</v>
      </c>
      <c r="D2519" s="565">
        <v>43087</v>
      </c>
      <c r="E2519" s="565">
        <v>43118</v>
      </c>
      <c r="F2519" s="566">
        <v>18252000</v>
      </c>
      <c r="G2519" s="564" t="s">
        <v>1424</v>
      </c>
      <c r="H2519" s="564" t="s">
        <v>1424</v>
      </c>
      <c r="I2519" s="564" t="s">
        <v>3824</v>
      </c>
      <c r="J2519" s="564" t="s">
        <v>1069</v>
      </c>
      <c r="K2519" s="564" t="s">
        <v>1070</v>
      </c>
      <c r="L2519" s="564" t="s">
        <v>2098</v>
      </c>
      <c r="M2519" s="564" t="s">
        <v>2098</v>
      </c>
      <c r="N2519" s="564" t="s">
        <v>1073</v>
      </c>
      <c r="O2519" s="564" t="s">
        <v>2099</v>
      </c>
      <c r="P2519" s="23"/>
      <c r="Q2519" s="23"/>
      <c r="R2519" s="23"/>
      <c r="S2519" s="23"/>
      <c r="T2519" s="23"/>
      <c r="U2519" s="23"/>
      <c r="V2519" s="23"/>
      <c r="W2519" s="23"/>
      <c r="X2519" s="23"/>
      <c r="Y2519" s="23"/>
      <c r="Z2519" s="23"/>
    </row>
    <row r="2520" spans="1:26" ht="13">
      <c r="A2520" s="562" t="s">
        <v>6182</v>
      </c>
      <c r="B2520" s="563" t="s">
        <v>5501</v>
      </c>
      <c r="C2520" s="564" t="s">
        <v>1612</v>
      </c>
      <c r="D2520" s="565">
        <v>43087</v>
      </c>
      <c r="E2520" s="565">
        <v>43111</v>
      </c>
      <c r="F2520" s="566">
        <v>1240200</v>
      </c>
      <c r="G2520" s="564" t="s">
        <v>1424</v>
      </c>
      <c r="H2520" s="564" t="s">
        <v>1424</v>
      </c>
      <c r="I2520" s="564" t="s">
        <v>3824</v>
      </c>
      <c r="J2520" s="564" t="s">
        <v>1069</v>
      </c>
      <c r="K2520" s="564" t="s">
        <v>1070</v>
      </c>
      <c r="L2520" s="564" t="s">
        <v>2098</v>
      </c>
      <c r="M2520" s="564" t="s">
        <v>2098</v>
      </c>
      <c r="N2520" s="564" t="s">
        <v>1073</v>
      </c>
      <c r="O2520" s="564" t="s">
        <v>2099</v>
      </c>
      <c r="P2520" s="23"/>
      <c r="Q2520" s="23"/>
      <c r="R2520" s="23"/>
      <c r="S2520" s="23"/>
      <c r="T2520" s="23"/>
      <c r="U2520" s="23"/>
      <c r="V2520" s="23"/>
      <c r="W2520" s="23"/>
      <c r="X2520" s="23"/>
      <c r="Y2520" s="23"/>
      <c r="Z2520" s="23"/>
    </row>
    <row r="2521" spans="1:26" ht="13">
      <c r="A2521" s="562" t="s">
        <v>6183</v>
      </c>
      <c r="B2521" s="563" t="s">
        <v>6122</v>
      </c>
      <c r="C2521" s="564" t="s">
        <v>6184</v>
      </c>
      <c r="D2521" s="565">
        <v>43081</v>
      </c>
      <c r="E2521" s="565">
        <v>43131</v>
      </c>
      <c r="F2521" s="566">
        <v>2112000</v>
      </c>
      <c r="G2521" s="564" t="s">
        <v>1400</v>
      </c>
      <c r="H2521" s="564" t="s">
        <v>1400</v>
      </c>
      <c r="I2521" s="564" t="s">
        <v>4816</v>
      </c>
      <c r="J2521" s="564" t="s">
        <v>1069</v>
      </c>
      <c r="K2521" s="564" t="s">
        <v>1070</v>
      </c>
      <c r="L2521" s="564" t="s">
        <v>2098</v>
      </c>
      <c r="M2521" s="564" t="s">
        <v>2098</v>
      </c>
      <c r="N2521" s="564" t="s">
        <v>1082</v>
      </c>
      <c r="O2521" s="564" t="s">
        <v>2099</v>
      </c>
      <c r="P2521" s="23"/>
      <c r="Q2521" s="23"/>
      <c r="R2521" s="23"/>
      <c r="S2521" s="23"/>
      <c r="T2521" s="23"/>
      <c r="U2521" s="23"/>
      <c r="V2521" s="23"/>
      <c r="W2521" s="23"/>
      <c r="X2521" s="23"/>
      <c r="Y2521" s="23"/>
      <c r="Z2521" s="23"/>
    </row>
    <row r="2522" spans="1:26" ht="13">
      <c r="A2522" s="562" t="s">
        <v>6185</v>
      </c>
      <c r="B2522" s="563" t="s">
        <v>5497</v>
      </c>
      <c r="C2522" s="564" t="s">
        <v>1612</v>
      </c>
      <c r="D2522" s="565">
        <v>43080</v>
      </c>
      <c r="E2522" s="565">
        <v>43111</v>
      </c>
      <c r="F2522" s="566">
        <v>551200</v>
      </c>
      <c r="G2522" s="564" t="s">
        <v>1424</v>
      </c>
      <c r="H2522" s="564" t="s">
        <v>1424</v>
      </c>
      <c r="I2522" s="564" t="s">
        <v>2586</v>
      </c>
      <c r="J2522" s="564" t="s">
        <v>1069</v>
      </c>
      <c r="K2522" s="564" t="s">
        <v>1070</v>
      </c>
      <c r="L2522" s="564" t="s">
        <v>2098</v>
      </c>
      <c r="M2522" s="564" t="s">
        <v>2098</v>
      </c>
      <c r="N2522" s="564" t="s">
        <v>1073</v>
      </c>
      <c r="O2522" s="564" t="s">
        <v>2099</v>
      </c>
      <c r="P2522" s="23"/>
      <c r="Q2522" s="23"/>
      <c r="R2522" s="23"/>
      <c r="S2522" s="23"/>
      <c r="T2522" s="23"/>
      <c r="U2522" s="23"/>
      <c r="V2522" s="23"/>
      <c r="W2522" s="23"/>
      <c r="X2522" s="23"/>
      <c r="Y2522" s="23"/>
      <c r="Z2522" s="23"/>
    </row>
    <row r="2523" spans="1:26" ht="13">
      <c r="A2523" s="562" t="s">
        <v>6186</v>
      </c>
      <c r="B2523" s="563" t="s">
        <v>6187</v>
      </c>
      <c r="C2523" s="564" t="s">
        <v>1612</v>
      </c>
      <c r="D2523" s="565">
        <v>43080</v>
      </c>
      <c r="E2523" s="565">
        <v>43098</v>
      </c>
      <c r="F2523" s="566">
        <v>125406000</v>
      </c>
      <c r="G2523" s="564" t="s">
        <v>5465</v>
      </c>
      <c r="H2523" s="564" t="s">
        <v>5465</v>
      </c>
      <c r="I2523" s="564" t="s">
        <v>45</v>
      </c>
      <c r="J2523" s="564" t="s">
        <v>1069</v>
      </c>
      <c r="K2523" s="564" t="s">
        <v>1090</v>
      </c>
      <c r="L2523" s="564" t="s">
        <v>2098</v>
      </c>
      <c r="M2523" s="564" t="s">
        <v>2098</v>
      </c>
      <c r="N2523" s="564" t="s">
        <v>45</v>
      </c>
      <c r="O2523" s="564" t="s">
        <v>2099</v>
      </c>
      <c r="P2523" s="23"/>
      <c r="Q2523" s="23"/>
      <c r="R2523" s="23"/>
      <c r="S2523" s="23"/>
      <c r="T2523" s="23"/>
      <c r="U2523" s="23"/>
      <c r="V2523" s="23"/>
      <c r="W2523" s="23"/>
      <c r="X2523" s="23"/>
      <c r="Y2523" s="23"/>
      <c r="Z2523" s="23"/>
    </row>
    <row r="2524" spans="1:26" ht="13">
      <c r="A2524" s="562" t="s">
        <v>6188</v>
      </c>
      <c r="B2524" s="563" t="s">
        <v>6189</v>
      </c>
      <c r="C2524" s="564" t="s">
        <v>1370</v>
      </c>
      <c r="D2524" s="565">
        <v>43078</v>
      </c>
      <c r="E2524" s="565">
        <v>43095</v>
      </c>
      <c r="F2524" s="566">
        <v>41181818</v>
      </c>
      <c r="G2524" s="564" t="s">
        <v>1623</v>
      </c>
      <c r="H2524" s="564" t="s">
        <v>1623</v>
      </c>
      <c r="I2524" s="564" t="s">
        <v>802</v>
      </c>
      <c r="J2524" s="564" t="s">
        <v>1069</v>
      </c>
      <c r="K2524" s="564" t="s">
        <v>1198</v>
      </c>
      <c r="L2524" s="564" t="s">
        <v>2098</v>
      </c>
      <c r="M2524" s="564" t="s">
        <v>2098</v>
      </c>
      <c r="N2524" s="564" t="s">
        <v>132</v>
      </c>
      <c r="O2524" s="564" t="s">
        <v>2099</v>
      </c>
      <c r="P2524" s="23"/>
      <c r="Q2524" s="23"/>
      <c r="R2524" s="23"/>
      <c r="S2524" s="23"/>
      <c r="T2524" s="23"/>
      <c r="U2524" s="23"/>
      <c r="V2524" s="23"/>
      <c r="W2524" s="23"/>
      <c r="X2524" s="23"/>
      <c r="Y2524" s="23"/>
      <c r="Z2524" s="23"/>
    </row>
    <row r="2525" spans="1:26" ht="13">
      <c r="A2525" s="562" t="s">
        <v>6190</v>
      </c>
      <c r="B2525" s="563" t="s">
        <v>5974</v>
      </c>
      <c r="C2525" s="564" t="s">
        <v>1551</v>
      </c>
      <c r="D2525" s="565">
        <v>43080</v>
      </c>
      <c r="E2525" s="565">
        <v>43131</v>
      </c>
      <c r="F2525" s="566">
        <v>2200000</v>
      </c>
      <c r="G2525" s="564" t="s">
        <v>1424</v>
      </c>
      <c r="H2525" s="564" t="s">
        <v>1424</v>
      </c>
      <c r="I2525" s="564" t="s">
        <v>45</v>
      </c>
      <c r="J2525" s="564" t="s">
        <v>1069</v>
      </c>
      <c r="K2525" s="564" t="s">
        <v>1090</v>
      </c>
      <c r="L2525" s="564" t="s">
        <v>2098</v>
      </c>
      <c r="M2525" s="564" t="s">
        <v>2098</v>
      </c>
      <c r="N2525" s="564" t="s">
        <v>45</v>
      </c>
      <c r="O2525" s="564" t="s">
        <v>2099</v>
      </c>
      <c r="P2525" s="23"/>
      <c r="Q2525" s="23"/>
      <c r="R2525" s="23"/>
      <c r="S2525" s="23"/>
      <c r="T2525" s="23"/>
      <c r="U2525" s="23"/>
      <c r="V2525" s="23"/>
      <c r="W2525" s="23"/>
      <c r="X2525" s="23"/>
      <c r="Y2525" s="23"/>
      <c r="Z2525" s="23"/>
    </row>
    <row r="2526" spans="1:26" ht="13">
      <c r="A2526" s="562" t="s">
        <v>6191</v>
      </c>
      <c r="B2526" s="563" t="s">
        <v>6192</v>
      </c>
      <c r="C2526" s="564" t="s">
        <v>1612</v>
      </c>
      <c r="D2526" s="565">
        <v>43080</v>
      </c>
      <c r="E2526" s="565">
        <v>43111</v>
      </c>
      <c r="F2526" s="566">
        <v>432000</v>
      </c>
      <c r="G2526" s="564" t="s">
        <v>1424</v>
      </c>
      <c r="H2526" s="564" t="s">
        <v>1424</v>
      </c>
      <c r="I2526" s="564" t="s">
        <v>45</v>
      </c>
      <c r="J2526" s="564" t="s">
        <v>1069</v>
      </c>
      <c r="K2526" s="564" t="s">
        <v>1090</v>
      </c>
      <c r="L2526" s="564" t="s">
        <v>2098</v>
      </c>
      <c r="M2526" s="564" t="s">
        <v>2098</v>
      </c>
      <c r="N2526" s="564" t="s">
        <v>45</v>
      </c>
      <c r="O2526" s="564" t="s">
        <v>2099</v>
      </c>
      <c r="P2526" s="23"/>
      <c r="Q2526" s="23"/>
      <c r="R2526" s="23"/>
      <c r="S2526" s="23"/>
      <c r="T2526" s="23"/>
      <c r="U2526" s="23"/>
      <c r="V2526" s="23"/>
      <c r="W2526" s="23"/>
      <c r="X2526" s="23"/>
      <c r="Y2526" s="23"/>
      <c r="Z2526" s="23"/>
    </row>
    <row r="2527" spans="1:26" ht="13">
      <c r="A2527" s="562" t="s">
        <v>6193</v>
      </c>
      <c r="B2527" s="563" t="s">
        <v>6194</v>
      </c>
      <c r="C2527" s="564" t="s">
        <v>1612</v>
      </c>
      <c r="D2527" s="565">
        <v>43076</v>
      </c>
      <c r="E2527" s="565">
        <v>43098</v>
      </c>
      <c r="F2527" s="566">
        <v>52500000</v>
      </c>
      <c r="G2527" s="564" t="s">
        <v>5465</v>
      </c>
      <c r="H2527" s="564" t="s">
        <v>5465</v>
      </c>
      <c r="I2527" s="564" t="s">
        <v>45</v>
      </c>
      <c r="J2527" s="564" t="s">
        <v>1069</v>
      </c>
      <c r="K2527" s="564" t="s">
        <v>1090</v>
      </c>
      <c r="L2527" s="564" t="s">
        <v>2098</v>
      </c>
      <c r="M2527" s="564" t="s">
        <v>2098</v>
      </c>
      <c r="N2527" s="564" t="s">
        <v>45</v>
      </c>
      <c r="O2527" s="564" t="s">
        <v>2099</v>
      </c>
      <c r="P2527" s="23"/>
      <c r="Q2527" s="23"/>
      <c r="R2527" s="23"/>
      <c r="S2527" s="23"/>
      <c r="T2527" s="23"/>
      <c r="U2527" s="23"/>
      <c r="V2527" s="23"/>
      <c r="W2527" s="23"/>
      <c r="X2527" s="23"/>
      <c r="Y2527" s="23"/>
      <c r="Z2527" s="23"/>
    </row>
    <row r="2528" spans="1:26" ht="13">
      <c r="A2528" s="562" t="s">
        <v>6195</v>
      </c>
      <c r="B2528" s="563" t="s">
        <v>6196</v>
      </c>
      <c r="C2528" s="564" t="s">
        <v>1612</v>
      </c>
      <c r="D2528" s="565">
        <v>43076</v>
      </c>
      <c r="E2528" s="565">
        <v>43098</v>
      </c>
      <c r="F2528" s="566">
        <v>75000000</v>
      </c>
      <c r="G2528" s="564" t="s">
        <v>5465</v>
      </c>
      <c r="H2528" s="564" t="s">
        <v>5465</v>
      </c>
      <c r="I2528" s="564" t="s">
        <v>45</v>
      </c>
      <c r="J2528" s="564" t="s">
        <v>1069</v>
      </c>
      <c r="K2528" s="564" t="s">
        <v>1090</v>
      </c>
      <c r="L2528" s="564" t="s">
        <v>2098</v>
      </c>
      <c r="M2528" s="564" t="s">
        <v>2098</v>
      </c>
      <c r="N2528" s="564" t="s">
        <v>45</v>
      </c>
      <c r="O2528" s="564" t="s">
        <v>2099</v>
      </c>
      <c r="P2528" s="23"/>
      <c r="Q2528" s="23"/>
      <c r="R2528" s="23"/>
      <c r="S2528" s="23"/>
      <c r="T2528" s="23"/>
      <c r="U2528" s="23"/>
      <c r="V2528" s="23"/>
      <c r="W2528" s="23"/>
      <c r="X2528" s="23"/>
      <c r="Y2528" s="23"/>
      <c r="Z2528" s="23"/>
    </row>
    <row r="2529" spans="1:26" ht="13">
      <c r="A2529" s="562" t="s">
        <v>6197</v>
      </c>
      <c r="B2529" s="563" t="s">
        <v>6198</v>
      </c>
      <c r="C2529" s="564" t="s">
        <v>1612</v>
      </c>
      <c r="D2529" s="565">
        <v>43075</v>
      </c>
      <c r="E2529" s="565">
        <v>43098</v>
      </c>
      <c r="F2529" s="566">
        <v>12045000</v>
      </c>
      <c r="G2529" s="564" t="s">
        <v>5465</v>
      </c>
      <c r="H2529" s="564" t="s">
        <v>5465</v>
      </c>
      <c r="I2529" s="564" t="s">
        <v>45</v>
      </c>
      <c r="J2529" s="564" t="s">
        <v>1069</v>
      </c>
      <c r="K2529" s="564" t="s">
        <v>1090</v>
      </c>
      <c r="L2529" s="564" t="s">
        <v>2098</v>
      </c>
      <c r="M2529" s="564" t="s">
        <v>2098</v>
      </c>
      <c r="N2529" s="564" t="s">
        <v>45</v>
      </c>
      <c r="O2529" s="564" t="s">
        <v>2099</v>
      </c>
      <c r="P2529" s="23"/>
      <c r="Q2529" s="23"/>
      <c r="R2529" s="23"/>
      <c r="S2529" s="23"/>
      <c r="T2529" s="23"/>
      <c r="U2529" s="23"/>
      <c r="V2529" s="23"/>
      <c r="W2529" s="23"/>
      <c r="X2529" s="23"/>
      <c r="Y2529" s="23"/>
      <c r="Z2529" s="23"/>
    </row>
    <row r="2530" spans="1:26" ht="13">
      <c r="A2530" s="562" t="s">
        <v>6199</v>
      </c>
      <c r="B2530" s="563" t="s">
        <v>6200</v>
      </c>
      <c r="C2530" s="564" t="s">
        <v>1612</v>
      </c>
      <c r="D2530" s="565">
        <v>43075</v>
      </c>
      <c r="E2530" s="565">
        <v>43098</v>
      </c>
      <c r="F2530" s="566">
        <v>13670000</v>
      </c>
      <c r="G2530" s="564" t="s">
        <v>5465</v>
      </c>
      <c r="H2530" s="564" t="s">
        <v>5465</v>
      </c>
      <c r="I2530" s="564" t="s">
        <v>45</v>
      </c>
      <c r="J2530" s="564" t="s">
        <v>1069</v>
      </c>
      <c r="K2530" s="564" t="s">
        <v>1090</v>
      </c>
      <c r="L2530" s="564" t="s">
        <v>2098</v>
      </c>
      <c r="M2530" s="564" t="s">
        <v>2098</v>
      </c>
      <c r="N2530" s="564" t="s">
        <v>45</v>
      </c>
      <c r="O2530" s="564" t="s">
        <v>2099</v>
      </c>
      <c r="P2530" s="23"/>
      <c r="Q2530" s="23"/>
      <c r="R2530" s="23"/>
      <c r="S2530" s="23"/>
      <c r="T2530" s="23"/>
      <c r="U2530" s="23"/>
      <c r="V2530" s="23"/>
      <c r="W2530" s="23"/>
      <c r="X2530" s="23"/>
      <c r="Y2530" s="23"/>
      <c r="Z2530" s="23"/>
    </row>
    <row r="2531" spans="1:26" ht="13">
      <c r="A2531" s="562" t="s">
        <v>6201</v>
      </c>
      <c r="B2531" s="563" t="s">
        <v>4828</v>
      </c>
      <c r="C2531" s="564" t="s">
        <v>1612</v>
      </c>
      <c r="D2531" s="565">
        <v>43075</v>
      </c>
      <c r="E2531" s="565">
        <v>43098</v>
      </c>
      <c r="F2531" s="566">
        <v>12000000</v>
      </c>
      <c r="G2531" s="564" t="s">
        <v>5465</v>
      </c>
      <c r="H2531" s="564" t="s">
        <v>5465</v>
      </c>
      <c r="I2531" s="564" t="s">
        <v>45</v>
      </c>
      <c r="J2531" s="564" t="s">
        <v>1069</v>
      </c>
      <c r="K2531" s="564" t="s">
        <v>1090</v>
      </c>
      <c r="L2531" s="564" t="s">
        <v>2098</v>
      </c>
      <c r="M2531" s="564" t="s">
        <v>2098</v>
      </c>
      <c r="N2531" s="564" t="s">
        <v>45</v>
      </c>
      <c r="O2531" s="564" t="s">
        <v>2099</v>
      </c>
      <c r="P2531" s="23"/>
      <c r="Q2531" s="23"/>
      <c r="R2531" s="23"/>
      <c r="S2531" s="23"/>
      <c r="T2531" s="23"/>
      <c r="U2531" s="23"/>
      <c r="V2531" s="23"/>
      <c r="W2531" s="23"/>
      <c r="X2531" s="23"/>
      <c r="Y2531" s="23"/>
      <c r="Z2531" s="23"/>
    </row>
    <row r="2532" spans="1:26" ht="13">
      <c r="A2532" s="562" t="s">
        <v>6202</v>
      </c>
      <c r="B2532" s="563" t="s">
        <v>6203</v>
      </c>
      <c r="C2532" s="564" t="s">
        <v>1612</v>
      </c>
      <c r="D2532" s="565">
        <v>43075</v>
      </c>
      <c r="E2532" s="565">
        <v>43098</v>
      </c>
      <c r="F2532" s="566">
        <v>28118000</v>
      </c>
      <c r="G2532" s="564" t="s">
        <v>5465</v>
      </c>
      <c r="H2532" s="564" t="s">
        <v>5465</v>
      </c>
      <c r="I2532" s="564" t="s">
        <v>45</v>
      </c>
      <c r="J2532" s="564" t="s">
        <v>1069</v>
      </c>
      <c r="K2532" s="564" t="s">
        <v>1090</v>
      </c>
      <c r="L2532" s="564" t="s">
        <v>2098</v>
      </c>
      <c r="M2532" s="564" t="s">
        <v>2098</v>
      </c>
      <c r="N2532" s="564" t="s">
        <v>45</v>
      </c>
      <c r="O2532" s="564" t="s">
        <v>2099</v>
      </c>
      <c r="P2532" s="23"/>
      <c r="Q2532" s="23"/>
      <c r="R2532" s="23"/>
      <c r="S2532" s="23"/>
      <c r="T2532" s="23"/>
      <c r="U2532" s="23"/>
      <c r="V2532" s="23"/>
      <c r="W2532" s="23"/>
      <c r="X2532" s="23"/>
      <c r="Y2532" s="23"/>
      <c r="Z2532" s="23"/>
    </row>
    <row r="2533" spans="1:26" ht="13">
      <c r="A2533" s="562" t="s">
        <v>6204</v>
      </c>
      <c r="B2533" s="563" t="s">
        <v>6205</v>
      </c>
      <c r="C2533" s="564" t="s">
        <v>1612</v>
      </c>
      <c r="D2533" s="565">
        <v>43075</v>
      </c>
      <c r="E2533" s="565">
        <v>43105</v>
      </c>
      <c r="F2533" s="566">
        <v>6280000</v>
      </c>
      <c r="G2533" s="564" t="s">
        <v>1424</v>
      </c>
      <c r="H2533" s="564" t="s">
        <v>1424</v>
      </c>
      <c r="I2533" s="564" t="s">
        <v>45</v>
      </c>
      <c r="J2533" s="564" t="s">
        <v>1069</v>
      </c>
      <c r="K2533" s="564" t="s">
        <v>1090</v>
      </c>
      <c r="L2533" s="564" t="s">
        <v>2098</v>
      </c>
      <c r="M2533" s="564" t="s">
        <v>2098</v>
      </c>
      <c r="N2533" s="564" t="s">
        <v>45</v>
      </c>
      <c r="O2533" s="564" t="s">
        <v>2099</v>
      </c>
      <c r="P2533" s="23"/>
      <c r="Q2533" s="23"/>
      <c r="R2533" s="23"/>
      <c r="S2533" s="23"/>
      <c r="T2533" s="23"/>
      <c r="U2533" s="23"/>
      <c r="V2533" s="23"/>
      <c r="W2533" s="23"/>
      <c r="X2533" s="23"/>
      <c r="Y2533" s="23"/>
      <c r="Z2533" s="23"/>
    </row>
    <row r="2534" spans="1:26" ht="13">
      <c r="A2534" s="562" t="s">
        <v>6206</v>
      </c>
      <c r="B2534" s="563" t="s">
        <v>5718</v>
      </c>
      <c r="C2534" s="564" t="s">
        <v>1612</v>
      </c>
      <c r="D2534" s="565">
        <v>43075</v>
      </c>
      <c r="E2534" s="565">
        <v>43105</v>
      </c>
      <c r="F2534" s="566">
        <v>1180000</v>
      </c>
      <c r="G2534" s="564" t="s">
        <v>1424</v>
      </c>
      <c r="H2534" s="564" t="s">
        <v>1424</v>
      </c>
      <c r="I2534" s="564" t="s">
        <v>45</v>
      </c>
      <c r="J2534" s="564" t="s">
        <v>1069</v>
      </c>
      <c r="K2534" s="564" t="s">
        <v>1090</v>
      </c>
      <c r="L2534" s="564" t="s">
        <v>2098</v>
      </c>
      <c r="M2534" s="564" t="s">
        <v>2098</v>
      </c>
      <c r="N2534" s="564" t="s">
        <v>45</v>
      </c>
      <c r="O2534" s="564" t="s">
        <v>2099</v>
      </c>
      <c r="P2534" s="23"/>
      <c r="Q2534" s="23"/>
      <c r="R2534" s="23"/>
      <c r="S2534" s="23"/>
      <c r="T2534" s="23"/>
      <c r="U2534" s="23"/>
      <c r="V2534" s="23"/>
      <c r="W2534" s="23"/>
      <c r="X2534" s="23"/>
      <c r="Y2534" s="23"/>
      <c r="Z2534" s="23"/>
    </row>
    <row r="2535" spans="1:26" ht="13">
      <c r="A2535" s="562" t="s">
        <v>6207</v>
      </c>
      <c r="B2535" s="563" t="s">
        <v>5810</v>
      </c>
      <c r="C2535" s="564" t="s">
        <v>1652</v>
      </c>
      <c r="D2535" s="565">
        <v>43075</v>
      </c>
      <c r="E2535" s="565">
        <v>43105</v>
      </c>
      <c r="F2535" s="566">
        <v>908000</v>
      </c>
      <c r="G2535" s="564" t="s">
        <v>1424</v>
      </c>
      <c r="H2535" s="564" t="s">
        <v>1424</v>
      </c>
      <c r="I2535" s="564" t="s">
        <v>70</v>
      </c>
      <c r="J2535" s="564" t="s">
        <v>1069</v>
      </c>
      <c r="K2535" s="564" t="s">
        <v>1120</v>
      </c>
      <c r="L2535" s="564" t="s">
        <v>2098</v>
      </c>
      <c r="M2535" s="564" t="s">
        <v>2098</v>
      </c>
      <c r="N2535" s="564" t="s">
        <v>70</v>
      </c>
      <c r="O2535" s="564" t="s">
        <v>2099</v>
      </c>
      <c r="P2535" s="23"/>
      <c r="Q2535" s="23"/>
      <c r="R2535" s="23"/>
      <c r="S2535" s="23"/>
      <c r="T2535" s="23"/>
      <c r="U2535" s="23"/>
      <c r="V2535" s="23"/>
      <c r="W2535" s="23"/>
      <c r="X2535" s="23"/>
      <c r="Y2535" s="23"/>
      <c r="Z2535" s="23"/>
    </row>
    <row r="2536" spans="1:26" ht="13">
      <c r="A2536" s="562" t="s">
        <v>6208</v>
      </c>
      <c r="B2536" s="563" t="s">
        <v>6209</v>
      </c>
      <c r="C2536" s="564" t="s">
        <v>2437</v>
      </c>
      <c r="D2536" s="565">
        <v>43076</v>
      </c>
      <c r="E2536" s="565">
        <v>43080</v>
      </c>
      <c r="F2536" s="566">
        <v>6750000</v>
      </c>
      <c r="G2536" s="564" t="s">
        <v>6210</v>
      </c>
      <c r="H2536" s="564" t="s">
        <v>6210</v>
      </c>
      <c r="I2536" s="564" t="s">
        <v>6211</v>
      </c>
      <c r="J2536" s="564" t="s">
        <v>1069</v>
      </c>
      <c r="K2536" s="564" t="s">
        <v>1070</v>
      </c>
      <c r="L2536" s="564" t="s">
        <v>2098</v>
      </c>
      <c r="M2536" s="564" t="s">
        <v>2098</v>
      </c>
      <c r="N2536" s="564" t="s">
        <v>1082</v>
      </c>
      <c r="O2536" s="564" t="s">
        <v>2099</v>
      </c>
      <c r="P2536" s="23"/>
      <c r="Q2536" s="23"/>
      <c r="R2536" s="23"/>
      <c r="S2536" s="23"/>
      <c r="T2536" s="23"/>
      <c r="U2536" s="23"/>
      <c r="V2536" s="23"/>
      <c r="W2536" s="23"/>
      <c r="X2536" s="23"/>
      <c r="Y2536" s="23"/>
      <c r="Z2536" s="23"/>
    </row>
    <row r="2537" spans="1:26" ht="13">
      <c r="A2537" s="562" t="s">
        <v>6212</v>
      </c>
      <c r="B2537" s="563" t="s">
        <v>6213</v>
      </c>
      <c r="C2537" s="564" t="s">
        <v>2437</v>
      </c>
      <c r="D2537" s="565">
        <v>43076</v>
      </c>
      <c r="E2537" s="565">
        <v>43080</v>
      </c>
      <c r="F2537" s="566">
        <v>6750000</v>
      </c>
      <c r="G2537" s="564" t="s">
        <v>6210</v>
      </c>
      <c r="H2537" s="564" t="s">
        <v>6210</v>
      </c>
      <c r="I2537" s="564" t="s">
        <v>6214</v>
      </c>
      <c r="J2537" s="564" t="s">
        <v>1069</v>
      </c>
      <c r="K2537" s="564" t="s">
        <v>1070</v>
      </c>
      <c r="L2537" s="564" t="s">
        <v>2098</v>
      </c>
      <c r="M2537" s="564" t="s">
        <v>2098</v>
      </c>
      <c r="N2537" s="564" t="s">
        <v>1082</v>
      </c>
      <c r="O2537" s="564" t="s">
        <v>2099</v>
      </c>
      <c r="P2537" s="23"/>
      <c r="Q2537" s="23"/>
      <c r="R2537" s="23"/>
      <c r="S2537" s="23"/>
      <c r="T2537" s="23"/>
      <c r="U2537" s="23"/>
      <c r="V2537" s="23"/>
      <c r="W2537" s="23"/>
      <c r="X2537" s="23"/>
      <c r="Y2537" s="23"/>
      <c r="Z2537" s="23"/>
    </row>
    <row r="2538" spans="1:26" ht="13">
      <c r="A2538" s="562" t="s">
        <v>6215</v>
      </c>
      <c r="B2538" s="563" t="s">
        <v>6216</v>
      </c>
      <c r="C2538" s="564" t="s">
        <v>1548</v>
      </c>
      <c r="D2538" s="565">
        <v>43073</v>
      </c>
      <c r="E2538" s="565">
        <v>43081</v>
      </c>
      <c r="F2538" s="566">
        <v>320888000</v>
      </c>
      <c r="G2538" s="564" t="s">
        <v>1529</v>
      </c>
      <c r="H2538" s="564" t="s">
        <v>1529</v>
      </c>
      <c r="I2538" s="564" t="s">
        <v>1842</v>
      </c>
      <c r="J2538" s="564" t="s">
        <v>1069</v>
      </c>
      <c r="K2538" s="564" t="s">
        <v>1070</v>
      </c>
      <c r="L2538" s="564" t="s">
        <v>2098</v>
      </c>
      <c r="M2538" s="564" t="s">
        <v>2098</v>
      </c>
      <c r="N2538" s="564" t="s">
        <v>1082</v>
      </c>
      <c r="O2538" s="564" t="s">
        <v>2099</v>
      </c>
      <c r="P2538" s="23"/>
      <c r="Q2538" s="23"/>
      <c r="R2538" s="23"/>
      <c r="S2538" s="23"/>
      <c r="T2538" s="23"/>
      <c r="U2538" s="23"/>
      <c r="V2538" s="23"/>
      <c r="W2538" s="23"/>
      <c r="X2538" s="23"/>
      <c r="Y2538" s="23"/>
      <c r="Z2538" s="23"/>
    </row>
    <row r="2539" spans="1:26" ht="13">
      <c r="A2539" s="562" t="s">
        <v>6217</v>
      </c>
      <c r="B2539" s="563" t="s">
        <v>6218</v>
      </c>
      <c r="C2539" s="564" t="s">
        <v>2387</v>
      </c>
      <c r="D2539" s="565">
        <v>43073</v>
      </c>
      <c r="E2539" s="565">
        <v>43131</v>
      </c>
      <c r="F2539" s="566">
        <v>783000</v>
      </c>
      <c r="G2539" s="564" t="s">
        <v>1400</v>
      </c>
      <c r="H2539" s="564" t="s">
        <v>1400</v>
      </c>
      <c r="I2539" s="564" t="s">
        <v>4816</v>
      </c>
      <c r="J2539" s="564" t="s">
        <v>1069</v>
      </c>
      <c r="K2539" s="564" t="s">
        <v>1070</v>
      </c>
      <c r="L2539" s="564" t="s">
        <v>2098</v>
      </c>
      <c r="M2539" s="564" t="s">
        <v>2098</v>
      </c>
      <c r="N2539" s="564" t="s">
        <v>1082</v>
      </c>
      <c r="O2539" s="564" t="s">
        <v>2099</v>
      </c>
      <c r="P2539" s="23"/>
      <c r="Q2539" s="23"/>
      <c r="R2539" s="23"/>
      <c r="S2539" s="23"/>
      <c r="T2539" s="23"/>
      <c r="U2539" s="23"/>
      <c r="V2539" s="23"/>
      <c r="W2539" s="23"/>
      <c r="X2539" s="23"/>
      <c r="Y2539" s="23"/>
      <c r="Z2539" s="23"/>
    </row>
    <row r="2540" spans="1:26" ht="13">
      <c r="A2540" s="562" t="s">
        <v>6219</v>
      </c>
      <c r="B2540" s="563" t="s">
        <v>5718</v>
      </c>
      <c r="C2540" s="564" t="s">
        <v>1612</v>
      </c>
      <c r="D2540" s="565">
        <v>43070</v>
      </c>
      <c r="E2540" s="565">
        <v>43098</v>
      </c>
      <c r="F2540" s="566">
        <v>1180000</v>
      </c>
      <c r="G2540" s="564" t="s">
        <v>1424</v>
      </c>
      <c r="H2540" s="564" t="s">
        <v>1424</v>
      </c>
      <c r="I2540" s="564" t="s">
        <v>45</v>
      </c>
      <c r="J2540" s="564" t="s">
        <v>1069</v>
      </c>
      <c r="K2540" s="564" t="s">
        <v>1090</v>
      </c>
      <c r="L2540" s="564" t="s">
        <v>2098</v>
      </c>
      <c r="M2540" s="564" t="s">
        <v>2098</v>
      </c>
      <c r="N2540" s="564" t="s">
        <v>45</v>
      </c>
      <c r="O2540" s="564" t="s">
        <v>2099</v>
      </c>
      <c r="P2540" s="23"/>
      <c r="Q2540" s="23"/>
      <c r="R2540" s="23"/>
      <c r="S2540" s="23"/>
      <c r="T2540" s="23"/>
      <c r="U2540" s="23"/>
      <c r="V2540" s="23"/>
      <c r="W2540" s="23"/>
      <c r="X2540" s="23"/>
      <c r="Y2540" s="23"/>
      <c r="Z2540" s="23"/>
    </row>
    <row r="2541" spans="1:26" ht="13">
      <c r="A2541" s="562" t="s">
        <v>6220</v>
      </c>
      <c r="B2541" s="563" t="s">
        <v>6221</v>
      </c>
      <c r="C2541" s="564" t="s">
        <v>1548</v>
      </c>
      <c r="D2541" s="565">
        <v>43073</v>
      </c>
      <c r="E2541" s="565">
        <v>43093</v>
      </c>
      <c r="F2541" s="566">
        <v>199000000</v>
      </c>
      <c r="G2541" s="564" t="s">
        <v>1400</v>
      </c>
      <c r="H2541" s="564" t="s">
        <v>1400</v>
      </c>
      <c r="I2541" s="564" t="s">
        <v>6222</v>
      </c>
      <c r="J2541" s="564" t="s">
        <v>1069</v>
      </c>
      <c r="K2541" s="564" t="s">
        <v>1070</v>
      </c>
      <c r="L2541" s="564" t="s">
        <v>2098</v>
      </c>
      <c r="M2541" s="564" t="s">
        <v>2098</v>
      </c>
      <c r="N2541" s="564" t="s">
        <v>1082</v>
      </c>
      <c r="O2541" s="564" t="s">
        <v>2099</v>
      </c>
      <c r="P2541" s="23"/>
      <c r="Q2541" s="23"/>
      <c r="R2541" s="23"/>
      <c r="S2541" s="23"/>
      <c r="T2541" s="23"/>
      <c r="U2541" s="23"/>
      <c r="V2541" s="23"/>
      <c r="W2541" s="23"/>
      <c r="X2541" s="23"/>
      <c r="Y2541" s="23"/>
      <c r="Z2541" s="23"/>
    </row>
    <row r="2542" spans="1:26" ht="13">
      <c r="A2542" s="562" t="s">
        <v>6223</v>
      </c>
      <c r="B2542" s="563" t="s">
        <v>5718</v>
      </c>
      <c r="C2542" s="564" t="s">
        <v>1612</v>
      </c>
      <c r="D2542" s="565">
        <v>43070</v>
      </c>
      <c r="E2542" s="565">
        <v>43098</v>
      </c>
      <c r="F2542" s="566">
        <v>1180000</v>
      </c>
      <c r="G2542" s="564" t="s">
        <v>1424</v>
      </c>
      <c r="H2542" s="564" t="s">
        <v>1424</v>
      </c>
      <c r="I2542" s="564" t="s">
        <v>45</v>
      </c>
      <c r="J2542" s="564" t="s">
        <v>1069</v>
      </c>
      <c r="K2542" s="564" t="s">
        <v>1090</v>
      </c>
      <c r="L2542" s="564" t="s">
        <v>2098</v>
      </c>
      <c r="M2542" s="564" t="s">
        <v>2098</v>
      </c>
      <c r="N2542" s="564" t="s">
        <v>45</v>
      </c>
      <c r="O2542" s="564" t="s">
        <v>2099</v>
      </c>
      <c r="P2542" s="23"/>
      <c r="Q2542" s="23"/>
      <c r="R2542" s="23"/>
      <c r="S2542" s="23"/>
      <c r="T2542" s="23"/>
      <c r="U2542" s="23"/>
      <c r="V2542" s="23"/>
      <c r="W2542" s="23"/>
      <c r="X2542" s="23"/>
      <c r="Y2542" s="23"/>
      <c r="Z2542" s="23"/>
    </row>
    <row r="2543" spans="1:26" ht="13">
      <c r="A2543" s="562" t="s">
        <v>6224</v>
      </c>
      <c r="B2543" s="563" t="s">
        <v>5721</v>
      </c>
      <c r="C2543" s="564" t="s">
        <v>1612</v>
      </c>
      <c r="D2543" s="565">
        <v>43068</v>
      </c>
      <c r="E2543" s="565">
        <v>43098</v>
      </c>
      <c r="F2543" s="566">
        <v>148000</v>
      </c>
      <c r="G2543" s="564" t="s">
        <v>1424</v>
      </c>
      <c r="H2543" s="564" t="s">
        <v>1424</v>
      </c>
      <c r="I2543" s="564" t="s">
        <v>1637</v>
      </c>
      <c r="J2543" s="564" t="s">
        <v>1069</v>
      </c>
      <c r="K2543" s="564" t="s">
        <v>1120</v>
      </c>
      <c r="L2543" s="564" t="s">
        <v>2098</v>
      </c>
      <c r="M2543" s="564" t="s">
        <v>2098</v>
      </c>
      <c r="N2543" s="564" t="s">
        <v>1073</v>
      </c>
      <c r="O2543" s="564" t="s">
        <v>2099</v>
      </c>
      <c r="P2543" s="23"/>
      <c r="Q2543" s="23"/>
      <c r="R2543" s="23"/>
      <c r="S2543" s="23"/>
      <c r="T2543" s="23"/>
      <c r="U2543" s="23"/>
      <c r="V2543" s="23"/>
      <c r="W2543" s="23"/>
      <c r="X2543" s="23"/>
      <c r="Y2543" s="23"/>
      <c r="Z2543" s="23"/>
    </row>
    <row r="2544" spans="1:26" ht="13">
      <c r="A2544" s="562" t="s">
        <v>6225</v>
      </c>
      <c r="B2544" s="563" t="s">
        <v>4236</v>
      </c>
      <c r="C2544" s="564" t="s">
        <v>2387</v>
      </c>
      <c r="D2544" s="565">
        <v>43069</v>
      </c>
      <c r="E2544" s="565">
        <v>43131</v>
      </c>
      <c r="F2544" s="566">
        <v>1048000</v>
      </c>
      <c r="G2544" s="564" t="s">
        <v>1400</v>
      </c>
      <c r="H2544" s="564" t="s">
        <v>1400</v>
      </c>
      <c r="I2544" s="564" t="s">
        <v>4816</v>
      </c>
      <c r="J2544" s="564" t="s">
        <v>1069</v>
      </c>
      <c r="K2544" s="564" t="s">
        <v>1070</v>
      </c>
      <c r="L2544" s="564" t="s">
        <v>2098</v>
      </c>
      <c r="M2544" s="564" t="s">
        <v>2098</v>
      </c>
      <c r="N2544" s="564" t="s">
        <v>1082</v>
      </c>
      <c r="O2544" s="564" t="s">
        <v>2099</v>
      </c>
      <c r="P2544" s="23"/>
      <c r="Q2544" s="23"/>
      <c r="R2544" s="23"/>
      <c r="S2544" s="23"/>
      <c r="T2544" s="23"/>
      <c r="U2544" s="23"/>
      <c r="V2544" s="23"/>
      <c r="W2544" s="23"/>
      <c r="X2544" s="23"/>
      <c r="Y2544" s="23"/>
      <c r="Z2544" s="23"/>
    </row>
    <row r="2545" spans="1:26" ht="13">
      <c r="A2545" s="562" t="s">
        <v>6226</v>
      </c>
      <c r="B2545" s="563" t="s">
        <v>5499</v>
      </c>
      <c r="C2545" s="564" t="s">
        <v>1612</v>
      </c>
      <c r="D2545" s="565">
        <v>43069</v>
      </c>
      <c r="E2545" s="565">
        <v>43098</v>
      </c>
      <c r="F2545" s="566">
        <v>390600</v>
      </c>
      <c r="G2545" s="564" t="s">
        <v>1424</v>
      </c>
      <c r="H2545" s="564" t="s">
        <v>1424</v>
      </c>
      <c r="I2545" s="564" t="s">
        <v>4853</v>
      </c>
      <c r="J2545" s="564" t="s">
        <v>1069</v>
      </c>
      <c r="K2545" s="564" t="s">
        <v>1090</v>
      </c>
      <c r="L2545" s="564" t="s">
        <v>2098</v>
      </c>
      <c r="M2545" s="564" t="s">
        <v>2098</v>
      </c>
      <c r="N2545" s="564" t="s">
        <v>1073</v>
      </c>
      <c r="O2545" s="564" t="s">
        <v>2099</v>
      </c>
      <c r="P2545" s="23"/>
      <c r="Q2545" s="23"/>
      <c r="R2545" s="23"/>
      <c r="S2545" s="23"/>
      <c r="T2545" s="23"/>
      <c r="U2545" s="23"/>
      <c r="V2545" s="23"/>
      <c r="W2545" s="23"/>
      <c r="X2545" s="23"/>
      <c r="Y2545" s="23"/>
      <c r="Z2545" s="23"/>
    </row>
    <row r="2546" spans="1:26" ht="13">
      <c r="A2546" s="562" t="s">
        <v>6227</v>
      </c>
      <c r="B2546" s="563" t="s">
        <v>6228</v>
      </c>
      <c r="C2546" s="564" t="s">
        <v>1612</v>
      </c>
      <c r="D2546" s="565">
        <v>43068</v>
      </c>
      <c r="E2546" s="565">
        <v>43098</v>
      </c>
      <c r="F2546" s="566">
        <v>2669000</v>
      </c>
      <c r="G2546" s="564" t="s">
        <v>1424</v>
      </c>
      <c r="H2546" s="564" t="s">
        <v>1424</v>
      </c>
      <c r="I2546" s="564" t="s">
        <v>45</v>
      </c>
      <c r="J2546" s="564" t="s">
        <v>1069</v>
      </c>
      <c r="K2546" s="564" t="s">
        <v>1090</v>
      </c>
      <c r="L2546" s="564" t="s">
        <v>2098</v>
      </c>
      <c r="M2546" s="564" t="s">
        <v>2098</v>
      </c>
      <c r="N2546" s="564" t="s">
        <v>45</v>
      </c>
      <c r="O2546" s="564" t="s">
        <v>2099</v>
      </c>
      <c r="P2546" s="23"/>
      <c r="Q2546" s="23"/>
      <c r="R2546" s="23"/>
      <c r="S2546" s="23"/>
      <c r="T2546" s="23"/>
      <c r="U2546" s="23"/>
      <c r="V2546" s="23"/>
      <c r="W2546" s="23"/>
      <c r="X2546" s="23"/>
      <c r="Y2546" s="23"/>
      <c r="Z2546" s="23"/>
    </row>
    <row r="2547" spans="1:26" ht="13">
      <c r="A2547" s="562" t="s">
        <v>6229</v>
      </c>
      <c r="B2547" s="563" t="s">
        <v>6230</v>
      </c>
      <c r="C2547" s="564" t="s">
        <v>6184</v>
      </c>
      <c r="D2547" s="565">
        <v>43063</v>
      </c>
      <c r="E2547" s="565">
        <v>43098</v>
      </c>
      <c r="F2547" s="566">
        <v>-977000</v>
      </c>
      <c r="G2547" s="564" t="s">
        <v>1400</v>
      </c>
      <c r="H2547" s="564" t="s">
        <v>1400</v>
      </c>
      <c r="I2547" s="564" t="s">
        <v>4816</v>
      </c>
      <c r="J2547" s="564" t="s">
        <v>1069</v>
      </c>
      <c r="K2547" s="564" t="s">
        <v>1070</v>
      </c>
      <c r="L2547" s="564" t="s">
        <v>2098</v>
      </c>
      <c r="M2547" s="564" t="s">
        <v>2098</v>
      </c>
      <c r="N2547" s="564" t="s">
        <v>1082</v>
      </c>
      <c r="O2547" s="564" t="s">
        <v>2099</v>
      </c>
      <c r="P2547" s="23"/>
      <c r="Q2547" s="23"/>
      <c r="R2547" s="23"/>
      <c r="S2547" s="23"/>
      <c r="T2547" s="23"/>
      <c r="U2547" s="23"/>
      <c r="V2547" s="23"/>
      <c r="W2547" s="23"/>
      <c r="X2547" s="23"/>
      <c r="Y2547" s="23"/>
      <c r="Z2547" s="23"/>
    </row>
    <row r="2548" spans="1:26" ht="13">
      <c r="A2548" s="562" t="s">
        <v>6231</v>
      </c>
      <c r="B2548" s="563" t="s">
        <v>6232</v>
      </c>
      <c r="C2548" s="564" t="s">
        <v>6184</v>
      </c>
      <c r="D2548" s="565">
        <v>43067</v>
      </c>
      <c r="E2548" s="565">
        <v>43131</v>
      </c>
      <c r="F2548" s="566">
        <v>2112000</v>
      </c>
      <c r="G2548" s="564" t="s">
        <v>1400</v>
      </c>
      <c r="H2548" s="564" t="s">
        <v>1400</v>
      </c>
      <c r="I2548" s="564" t="s">
        <v>4816</v>
      </c>
      <c r="J2548" s="564" t="s">
        <v>1069</v>
      </c>
      <c r="K2548" s="564" t="s">
        <v>1070</v>
      </c>
      <c r="L2548" s="564" t="s">
        <v>2098</v>
      </c>
      <c r="M2548" s="564" t="s">
        <v>2098</v>
      </c>
      <c r="N2548" s="564" t="s">
        <v>1082</v>
      </c>
      <c r="O2548" s="564" t="s">
        <v>2099</v>
      </c>
      <c r="P2548" s="23"/>
      <c r="Q2548" s="23"/>
      <c r="R2548" s="23"/>
      <c r="S2548" s="23"/>
      <c r="T2548" s="23"/>
      <c r="U2548" s="23"/>
      <c r="V2548" s="23"/>
      <c r="W2548" s="23"/>
      <c r="X2548" s="23"/>
      <c r="Y2548" s="23"/>
      <c r="Z2548" s="23"/>
    </row>
    <row r="2549" spans="1:26" ht="13">
      <c r="A2549" s="562" t="s">
        <v>6233</v>
      </c>
      <c r="B2549" s="563" t="s">
        <v>6234</v>
      </c>
      <c r="C2549" s="564" t="s">
        <v>2387</v>
      </c>
      <c r="D2549" s="565">
        <v>43063</v>
      </c>
      <c r="E2549" s="565">
        <v>43131</v>
      </c>
      <c r="F2549" s="566">
        <v>4224000</v>
      </c>
      <c r="G2549" s="564" t="s">
        <v>1400</v>
      </c>
      <c r="H2549" s="564" t="s">
        <v>1400</v>
      </c>
      <c r="I2549" s="564" t="s">
        <v>4816</v>
      </c>
      <c r="J2549" s="564" t="s">
        <v>1069</v>
      </c>
      <c r="K2549" s="564" t="s">
        <v>1070</v>
      </c>
      <c r="L2549" s="564" t="s">
        <v>2098</v>
      </c>
      <c r="M2549" s="564" t="s">
        <v>2098</v>
      </c>
      <c r="N2549" s="564" t="s">
        <v>1082</v>
      </c>
      <c r="O2549" s="564" t="s">
        <v>2099</v>
      </c>
      <c r="P2549" s="23"/>
      <c r="Q2549" s="23"/>
      <c r="R2549" s="23"/>
      <c r="S2549" s="23"/>
      <c r="T2549" s="23"/>
      <c r="U2549" s="23"/>
      <c r="V2549" s="23"/>
      <c r="W2549" s="23"/>
      <c r="X2549" s="23"/>
      <c r="Y2549" s="23"/>
      <c r="Z2549" s="23"/>
    </row>
    <row r="2550" spans="1:26" ht="13">
      <c r="A2550" s="562" t="s">
        <v>6235</v>
      </c>
      <c r="B2550" s="563" t="s">
        <v>6236</v>
      </c>
      <c r="C2550" s="564" t="s">
        <v>1612</v>
      </c>
      <c r="D2550" s="565">
        <v>43062</v>
      </c>
      <c r="E2550" s="565">
        <v>43091</v>
      </c>
      <c r="F2550" s="566">
        <v>760000</v>
      </c>
      <c r="G2550" s="564" t="s">
        <v>1424</v>
      </c>
      <c r="H2550" s="564" t="s">
        <v>1424</v>
      </c>
      <c r="I2550" s="564" t="s">
        <v>64</v>
      </c>
      <c r="J2550" s="564" t="s">
        <v>1069</v>
      </c>
      <c r="K2550" s="564" t="s">
        <v>1090</v>
      </c>
      <c r="L2550" s="564" t="s">
        <v>2098</v>
      </c>
      <c r="M2550" s="564" t="s">
        <v>2098</v>
      </c>
      <c r="N2550" s="564" t="s">
        <v>64</v>
      </c>
      <c r="O2550" s="564" t="s">
        <v>2099</v>
      </c>
      <c r="P2550" s="23"/>
      <c r="Q2550" s="23"/>
      <c r="R2550" s="23"/>
      <c r="S2550" s="23"/>
      <c r="T2550" s="23"/>
      <c r="U2550" s="23"/>
      <c r="V2550" s="23"/>
      <c r="W2550" s="23"/>
      <c r="X2550" s="23"/>
      <c r="Y2550" s="23"/>
      <c r="Z2550" s="23"/>
    </row>
    <row r="2551" spans="1:26" ht="13">
      <c r="A2551" s="562" t="s">
        <v>6237</v>
      </c>
      <c r="B2551" s="563" t="s">
        <v>6238</v>
      </c>
      <c r="C2551" s="564" t="s">
        <v>1612</v>
      </c>
      <c r="D2551" s="565">
        <v>43059</v>
      </c>
      <c r="E2551" s="565">
        <v>43069</v>
      </c>
      <c r="F2551" s="566">
        <v>20700000</v>
      </c>
      <c r="G2551" s="564" t="s">
        <v>5465</v>
      </c>
      <c r="H2551" s="564" t="s">
        <v>5465</v>
      </c>
      <c r="I2551" s="564" t="s">
        <v>45</v>
      </c>
      <c r="J2551" s="564" t="s">
        <v>1069</v>
      </c>
      <c r="K2551" s="564" t="s">
        <v>1090</v>
      </c>
      <c r="L2551" s="564" t="s">
        <v>2098</v>
      </c>
      <c r="M2551" s="564" t="s">
        <v>2098</v>
      </c>
      <c r="N2551" s="564" t="s">
        <v>45</v>
      </c>
      <c r="O2551" s="564" t="s">
        <v>2099</v>
      </c>
      <c r="P2551" s="23"/>
      <c r="Q2551" s="23"/>
      <c r="R2551" s="23"/>
      <c r="S2551" s="23"/>
      <c r="T2551" s="23"/>
      <c r="U2551" s="23"/>
      <c r="V2551" s="23"/>
      <c r="W2551" s="23"/>
      <c r="X2551" s="23"/>
      <c r="Y2551" s="23"/>
      <c r="Z2551" s="23"/>
    </row>
    <row r="2552" spans="1:26" ht="13">
      <c r="A2552" s="562" t="s">
        <v>6239</v>
      </c>
      <c r="B2552" s="563" t="s">
        <v>6240</v>
      </c>
      <c r="C2552" s="564" t="s">
        <v>1612</v>
      </c>
      <c r="D2552" s="565">
        <v>43059</v>
      </c>
      <c r="E2552" s="565">
        <v>43098</v>
      </c>
      <c r="F2552" s="566">
        <v>164158000</v>
      </c>
      <c r="G2552" s="564" t="s">
        <v>1424</v>
      </c>
      <c r="H2552" s="564" t="s">
        <v>1424</v>
      </c>
      <c r="I2552" s="564" t="s">
        <v>70</v>
      </c>
      <c r="J2552" s="564" t="s">
        <v>1069</v>
      </c>
      <c r="K2552" s="564" t="s">
        <v>1120</v>
      </c>
      <c r="L2552" s="564" t="s">
        <v>2098</v>
      </c>
      <c r="M2552" s="564" t="s">
        <v>2098</v>
      </c>
      <c r="N2552" s="564" t="s">
        <v>70</v>
      </c>
      <c r="O2552" s="564" t="s">
        <v>2099</v>
      </c>
      <c r="P2552" s="23"/>
      <c r="Q2552" s="23"/>
      <c r="R2552" s="23"/>
      <c r="S2552" s="23"/>
      <c r="T2552" s="23"/>
      <c r="U2552" s="23"/>
      <c r="V2552" s="23"/>
      <c r="W2552" s="23"/>
      <c r="X2552" s="23"/>
      <c r="Y2552" s="23"/>
      <c r="Z2552" s="23"/>
    </row>
    <row r="2553" spans="1:26" ht="13">
      <c r="A2553" s="562" t="s">
        <v>6241</v>
      </c>
      <c r="B2553" s="563" t="s">
        <v>5721</v>
      </c>
      <c r="C2553" s="564" t="s">
        <v>1612</v>
      </c>
      <c r="D2553" s="565">
        <v>43059</v>
      </c>
      <c r="E2553" s="565">
        <v>43088</v>
      </c>
      <c r="F2553" s="566">
        <v>883000</v>
      </c>
      <c r="G2553" s="564" t="s">
        <v>1424</v>
      </c>
      <c r="H2553" s="564" t="s">
        <v>1424</v>
      </c>
      <c r="I2553" s="564" t="s">
        <v>1637</v>
      </c>
      <c r="J2553" s="564" t="s">
        <v>1069</v>
      </c>
      <c r="K2553" s="564" t="s">
        <v>1120</v>
      </c>
      <c r="L2553" s="564" t="s">
        <v>2098</v>
      </c>
      <c r="M2553" s="564" t="s">
        <v>2098</v>
      </c>
      <c r="N2553" s="564" t="s">
        <v>1073</v>
      </c>
      <c r="O2553" s="564" t="s">
        <v>2099</v>
      </c>
      <c r="P2553" s="23"/>
      <c r="Q2553" s="23"/>
      <c r="R2553" s="23"/>
      <c r="S2553" s="23"/>
      <c r="T2553" s="23"/>
      <c r="U2553" s="23"/>
      <c r="V2553" s="23"/>
      <c r="W2553" s="23"/>
      <c r="X2553" s="23"/>
      <c r="Y2553" s="23"/>
      <c r="Z2553" s="23"/>
    </row>
    <row r="2554" spans="1:26" ht="13">
      <c r="A2554" s="562" t="s">
        <v>6242</v>
      </c>
      <c r="B2554" s="563" t="s">
        <v>6243</v>
      </c>
      <c r="C2554" s="564" t="s">
        <v>1612</v>
      </c>
      <c r="D2554" s="565">
        <v>43059</v>
      </c>
      <c r="E2554" s="565">
        <v>43084</v>
      </c>
      <c r="F2554" s="566">
        <v>4056000</v>
      </c>
      <c r="G2554" s="564" t="s">
        <v>1424</v>
      </c>
      <c r="H2554" s="564" t="s">
        <v>1424</v>
      </c>
      <c r="I2554" s="564" t="s">
        <v>2586</v>
      </c>
      <c r="J2554" s="564" t="s">
        <v>1069</v>
      </c>
      <c r="K2554" s="564" t="s">
        <v>1070</v>
      </c>
      <c r="L2554" s="564" t="s">
        <v>2098</v>
      </c>
      <c r="M2554" s="564" t="s">
        <v>2098</v>
      </c>
      <c r="N2554" s="564" t="s">
        <v>1073</v>
      </c>
      <c r="O2554" s="564" t="s">
        <v>2099</v>
      </c>
      <c r="P2554" s="23"/>
      <c r="Q2554" s="23"/>
      <c r="R2554" s="23"/>
      <c r="S2554" s="23"/>
      <c r="T2554" s="23"/>
      <c r="U2554" s="23"/>
      <c r="V2554" s="23"/>
      <c r="W2554" s="23"/>
      <c r="X2554" s="23"/>
      <c r="Y2554" s="23"/>
      <c r="Z2554" s="23"/>
    </row>
    <row r="2555" spans="1:26" ht="13">
      <c r="A2555" s="562" t="s">
        <v>6244</v>
      </c>
      <c r="B2555" s="563" t="s">
        <v>6245</v>
      </c>
      <c r="C2555" s="564" t="s">
        <v>1612</v>
      </c>
      <c r="D2555" s="565">
        <v>43059</v>
      </c>
      <c r="E2555" s="565">
        <v>43068</v>
      </c>
      <c r="F2555" s="566">
        <v>5644000</v>
      </c>
      <c r="G2555" s="564" t="s">
        <v>1128</v>
      </c>
      <c r="H2555" s="564" t="s">
        <v>1128</v>
      </c>
      <c r="I2555" s="564" t="s">
        <v>45</v>
      </c>
      <c r="J2555" s="564" t="s">
        <v>1069</v>
      </c>
      <c r="K2555" s="564" t="s">
        <v>1090</v>
      </c>
      <c r="L2555" s="564" t="s">
        <v>2098</v>
      </c>
      <c r="M2555" s="564" t="s">
        <v>2098</v>
      </c>
      <c r="N2555" s="564" t="s">
        <v>45</v>
      </c>
      <c r="O2555" s="564" t="s">
        <v>2099</v>
      </c>
      <c r="P2555" s="23"/>
      <c r="Q2555" s="23"/>
      <c r="R2555" s="23"/>
      <c r="S2555" s="23"/>
      <c r="T2555" s="23"/>
      <c r="U2555" s="23"/>
      <c r="V2555" s="23"/>
      <c r="W2555" s="23"/>
      <c r="X2555" s="23"/>
      <c r="Y2555" s="23"/>
      <c r="Z2555" s="23"/>
    </row>
    <row r="2556" spans="1:26" ht="13">
      <c r="A2556" s="562" t="s">
        <v>6246</v>
      </c>
      <c r="B2556" s="563" t="s">
        <v>5799</v>
      </c>
      <c r="C2556" s="564" t="s">
        <v>1612</v>
      </c>
      <c r="D2556" s="565">
        <v>43055</v>
      </c>
      <c r="E2556" s="565">
        <v>43084</v>
      </c>
      <c r="F2556" s="566">
        <v>900000</v>
      </c>
      <c r="G2556" s="564" t="s">
        <v>1424</v>
      </c>
      <c r="H2556" s="564" t="s">
        <v>1424</v>
      </c>
      <c r="I2556" s="564" t="s">
        <v>64</v>
      </c>
      <c r="J2556" s="564" t="s">
        <v>1069</v>
      </c>
      <c r="K2556" s="564" t="s">
        <v>1090</v>
      </c>
      <c r="L2556" s="564" t="s">
        <v>2098</v>
      </c>
      <c r="M2556" s="564" t="s">
        <v>2098</v>
      </c>
      <c r="N2556" s="564" t="s">
        <v>64</v>
      </c>
      <c r="O2556" s="564" t="s">
        <v>2099</v>
      </c>
      <c r="P2556" s="23"/>
      <c r="Q2556" s="23"/>
      <c r="R2556" s="23"/>
      <c r="S2556" s="23"/>
      <c r="T2556" s="23"/>
      <c r="U2556" s="23"/>
      <c r="V2556" s="23"/>
      <c r="W2556" s="23"/>
      <c r="X2556" s="23"/>
      <c r="Y2556" s="23"/>
      <c r="Z2556" s="23"/>
    </row>
    <row r="2557" spans="1:26" ht="13">
      <c r="A2557" s="562" t="s">
        <v>6247</v>
      </c>
      <c r="B2557" s="563" t="s">
        <v>6248</v>
      </c>
      <c r="C2557" s="564" t="s">
        <v>1612</v>
      </c>
      <c r="D2557" s="565">
        <v>43055</v>
      </c>
      <c r="E2557" s="565">
        <v>43084</v>
      </c>
      <c r="F2557" s="566">
        <v>26352000</v>
      </c>
      <c r="G2557" s="564" t="s">
        <v>1424</v>
      </c>
      <c r="H2557" s="564" t="s">
        <v>1424</v>
      </c>
      <c r="I2557" s="564" t="s">
        <v>45</v>
      </c>
      <c r="J2557" s="564" t="s">
        <v>1069</v>
      </c>
      <c r="K2557" s="564" t="s">
        <v>1090</v>
      </c>
      <c r="L2557" s="564" t="s">
        <v>2098</v>
      </c>
      <c r="M2557" s="564" t="s">
        <v>2098</v>
      </c>
      <c r="N2557" s="564" t="s">
        <v>45</v>
      </c>
      <c r="O2557" s="564" t="s">
        <v>2099</v>
      </c>
      <c r="P2557" s="23"/>
      <c r="Q2557" s="23"/>
      <c r="R2557" s="23"/>
      <c r="S2557" s="23"/>
      <c r="T2557" s="23"/>
      <c r="U2557" s="23"/>
      <c r="V2557" s="23"/>
      <c r="W2557" s="23"/>
      <c r="X2557" s="23"/>
      <c r="Y2557" s="23"/>
      <c r="Z2557" s="23"/>
    </row>
    <row r="2558" spans="1:26" ht="13">
      <c r="A2558" s="562" t="s">
        <v>6249</v>
      </c>
      <c r="B2558" s="563" t="s">
        <v>6250</v>
      </c>
      <c r="C2558" s="564" t="s">
        <v>1204</v>
      </c>
      <c r="D2558" s="565">
        <v>43055</v>
      </c>
      <c r="E2558" s="565">
        <v>43040</v>
      </c>
      <c r="F2558" s="566">
        <v>4464000</v>
      </c>
      <c r="G2558" s="564" t="s">
        <v>1424</v>
      </c>
      <c r="H2558" s="564" t="s">
        <v>1424</v>
      </c>
      <c r="I2558" s="564" t="s">
        <v>1471</v>
      </c>
      <c r="J2558" s="564" t="s">
        <v>1069</v>
      </c>
      <c r="K2558" s="564" t="s">
        <v>1070</v>
      </c>
      <c r="L2558" s="564" t="s">
        <v>1071</v>
      </c>
      <c r="M2558" s="564" t="s">
        <v>1183</v>
      </c>
      <c r="N2558" s="564" t="s">
        <v>1082</v>
      </c>
      <c r="O2558" s="564" t="s">
        <v>1472</v>
      </c>
      <c r="P2558" s="23"/>
      <c r="Q2558" s="23"/>
      <c r="R2558" s="23"/>
      <c r="S2558" s="23"/>
      <c r="T2558" s="23"/>
      <c r="U2558" s="23"/>
      <c r="V2558" s="23"/>
      <c r="W2558" s="23"/>
      <c r="X2558" s="23"/>
      <c r="Y2558" s="23"/>
      <c r="Z2558" s="23"/>
    </row>
    <row r="2559" spans="1:26" ht="13">
      <c r="A2559" s="562" t="s">
        <v>6251</v>
      </c>
      <c r="B2559" s="563" t="s">
        <v>6252</v>
      </c>
      <c r="C2559" s="564" t="s">
        <v>1612</v>
      </c>
      <c r="D2559" s="565">
        <v>43055</v>
      </c>
      <c r="E2559" s="565">
        <v>43084</v>
      </c>
      <c r="F2559" s="566">
        <v>1363636</v>
      </c>
      <c r="G2559" s="564" t="s">
        <v>1623</v>
      </c>
      <c r="H2559" s="564" t="s">
        <v>1623</v>
      </c>
      <c r="I2559" s="564" t="s">
        <v>802</v>
      </c>
      <c r="J2559" s="564" t="s">
        <v>1069</v>
      </c>
      <c r="K2559" s="564" t="s">
        <v>1198</v>
      </c>
      <c r="L2559" s="564" t="s">
        <v>2098</v>
      </c>
      <c r="M2559" s="564" t="s">
        <v>2098</v>
      </c>
      <c r="N2559" s="564" t="s">
        <v>132</v>
      </c>
      <c r="O2559" s="564" t="s">
        <v>2099</v>
      </c>
      <c r="P2559" s="23"/>
      <c r="Q2559" s="23"/>
      <c r="R2559" s="23"/>
      <c r="S2559" s="23"/>
      <c r="T2559" s="23"/>
      <c r="U2559" s="23"/>
      <c r="V2559" s="23"/>
      <c r="W2559" s="23"/>
      <c r="X2559" s="23"/>
      <c r="Y2559" s="23"/>
      <c r="Z2559" s="23"/>
    </row>
    <row r="2560" spans="1:26" ht="13">
      <c r="A2560" s="562" t="s">
        <v>6253</v>
      </c>
      <c r="B2560" s="563" t="s">
        <v>6254</v>
      </c>
      <c r="C2560" s="564" t="s">
        <v>2437</v>
      </c>
      <c r="D2560" s="565">
        <v>43055</v>
      </c>
      <c r="E2560" s="565">
        <v>43066</v>
      </c>
      <c r="F2560" s="566">
        <v>1034800</v>
      </c>
      <c r="G2560" s="564" t="s">
        <v>1912</v>
      </c>
      <c r="H2560" s="564" t="s">
        <v>1912</v>
      </c>
      <c r="I2560" s="564" t="s">
        <v>6255</v>
      </c>
      <c r="J2560" s="564" t="s">
        <v>1069</v>
      </c>
      <c r="K2560" s="564" t="s">
        <v>1070</v>
      </c>
      <c r="L2560" s="564" t="s">
        <v>2098</v>
      </c>
      <c r="M2560" s="564" t="s">
        <v>2098</v>
      </c>
      <c r="N2560" s="564" t="s">
        <v>1082</v>
      </c>
      <c r="O2560" s="564" t="s">
        <v>2099</v>
      </c>
      <c r="P2560" s="23"/>
      <c r="Q2560" s="23"/>
      <c r="R2560" s="23"/>
      <c r="S2560" s="23"/>
      <c r="T2560" s="23"/>
      <c r="U2560" s="23"/>
      <c r="V2560" s="23"/>
      <c r="W2560" s="23"/>
      <c r="X2560" s="23"/>
      <c r="Y2560" s="23"/>
      <c r="Z2560" s="23"/>
    </row>
    <row r="2561" spans="1:26" ht="13">
      <c r="A2561" s="562" t="s">
        <v>6256</v>
      </c>
      <c r="B2561" s="563" t="s">
        <v>6257</v>
      </c>
      <c r="C2561" s="564" t="s">
        <v>2437</v>
      </c>
      <c r="D2561" s="565">
        <v>43054</v>
      </c>
      <c r="E2561" s="565">
        <v>43039</v>
      </c>
      <c r="F2561" s="566">
        <v>270000000</v>
      </c>
      <c r="G2561" s="564" t="s">
        <v>1123</v>
      </c>
      <c r="H2561" s="564" t="s">
        <v>1123</v>
      </c>
      <c r="I2561" s="564" t="s">
        <v>6258</v>
      </c>
      <c r="J2561" s="564" t="s">
        <v>1069</v>
      </c>
      <c r="K2561" s="564" t="s">
        <v>1205</v>
      </c>
      <c r="L2561" s="564" t="s">
        <v>2098</v>
      </c>
      <c r="M2561" s="564" t="s">
        <v>2098</v>
      </c>
      <c r="N2561" s="564" t="s">
        <v>1082</v>
      </c>
      <c r="O2561" s="564" t="s">
        <v>2099</v>
      </c>
      <c r="P2561" s="23"/>
      <c r="Q2561" s="23"/>
      <c r="R2561" s="23"/>
      <c r="S2561" s="23"/>
      <c r="T2561" s="23"/>
      <c r="U2561" s="23"/>
      <c r="V2561" s="23"/>
      <c r="W2561" s="23"/>
      <c r="X2561" s="23"/>
      <c r="Y2561" s="23"/>
      <c r="Z2561" s="23"/>
    </row>
    <row r="2562" spans="1:26" ht="13">
      <c r="A2562" s="562" t="s">
        <v>6259</v>
      </c>
      <c r="B2562" s="563" t="s">
        <v>6260</v>
      </c>
      <c r="C2562" s="564" t="s">
        <v>6184</v>
      </c>
      <c r="D2562" s="565">
        <v>43054</v>
      </c>
      <c r="E2562" s="565">
        <v>43098</v>
      </c>
      <c r="F2562" s="566">
        <v>1441000</v>
      </c>
      <c r="G2562" s="564" t="s">
        <v>1400</v>
      </c>
      <c r="H2562" s="564" t="s">
        <v>1400</v>
      </c>
      <c r="I2562" s="564" t="s">
        <v>4816</v>
      </c>
      <c r="J2562" s="564" t="s">
        <v>1069</v>
      </c>
      <c r="K2562" s="564" t="s">
        <v>1070</v>
      </c>
      <c r="L2562" s="564" t="s">
        <v>2098</v>
      </c>
      <c r="M2562" s="564" t="s">
        <v>2098</v>
      </c>
      <c r="N2562" s="564" t="s">
        <v>1082</v>
      </c>
      <c r="O2562" s="564" t="s">
        <v>2099</v>
      </c>
      <c r="P2562" s="23"/>
      <c r="Q2562" s="23"/>
      <c r="R2562" s="23"/>
      <c r="S2562" s="23"/>
      <c r="T2562" s="23"/>
      <c r="U2562" s="23"/>
      <c r="V2562" s="23"/>
      <c r="W2562" s="23"/>
      <c r="X2562" s="23"/>
      <c r="Y2562" s="23"/>
      <c r="Z2562" s="23"/>
    </row>
    <row r="2563" spans="1:26" ht="13">
      <c r="A2563" s="562" t="s">
        <v>6261</v>
      </c>
      <c r="B2563" s="563" t="s">
        <v>6262</v>
      </c>
      <c r="C2563" s="564" t="s">
        <v>6184</v>
      </c>
      <c r="D2563" s="565">
        <v>43055</v>
      </c>
      <c r="E2563" s="565">
        <v>43098</v>
      </c>
      <c r="F2563" s="566">
        <v>3814000</v>
      </c>
      <c r="G2563" s="564" t="s">
        <v>1400</v>
      </c>
      <c r="H2563" s="564" t="s">
        <v>1400</v>
      </c>
      <c r="I2563" s="564" t="s">
        <v>4816</v>
      </c>
      <c r="J2563" s="564" t="s">
        <v>1069</v>
      </c>
      <c r="K2563" s="564" t="s">
        <v>1070</v>
      </c>
      <c r="L2563" s="564" t="s">
        <v>2098</v>
      </c>
      <c r="M2563" s="564" t="s">
        <v>2098</v>
      </c>
      <c r="N2563" s="564" t="s">
        <v>1082</v>
      </c>
      <c r="O2563" s="564" t="s">
        <v>2099</v>
      </c>
      <c r="P2563" s="23"/>
      <c r="Q2563" s="23"/>
      <c r="R2563" s="23"/>
      <c r="S2563" s="23"/>
      <c r="T2563" s="23"/>
      <c r="U2563" s="23"/>
      <c r="V2563" s="23"/>
      <c r="W2563" s="23"/>
      <c r="X2563" s="23"/>
      <c r="Y2563" s="23"/>
      <c r="Z2563" s="23"/>
    </row>
    <row r="2564" spans="1:26" ht="13">
      <c r="A2564" s="562" t="s">
        <v>6263</v>
      </c>
      <c r="B2564" s="563" t="s">
        <v>6264</v>
      </c>
      <c r="C2564" s="564" t="s">
        <v>1548</v>
      </c>
      <c r="D2564" s="565">
        <v>43053</v>
      </c>
      <c r="E2564" s="565">
        <v>43063</v>
      </c>
      <c r="F2564" s="566">
        <v>548343000</v>
      </c>
      <c r="G2564" s="564" t="s">
        <v>6265</v>
      </c>
      <c r="H2564" s="564" t="s">
        <v>6265</v>
      </c>
      <c r="I2564" s="564" t="s">
        <v>6266</v>
      </c>
      <c r="J2564" s="564" t="s">
        <v>1069</v>
      </c>
      <c r="K2564" s="564" t="s">
        <v>1070</v>
      </c>
      <c r="L2564" s="564" t="s">
        <v>2098</v>
      </c>
      <c r="M2564" s="564" t="s">
        <v>2098</v>
      </c>
      <c r="N2564" s="564" t="s">
        <v>1082</v>
      </c>
      <c r="O2564" s="564" t="s">
        <v>2099</v>
      </c>
      <c r="P2564" s="23"/>
      <c r="Q2564" s="23"/>
      <c r="R2564" s="23"/>
      <c r="S2564" s="23"/>
      <c r="T2564" s="23"/>
      <c r="U2564" s="23"/>
      <c r="V2564" s="23"/>
      <c r="W2564" s="23"/>
      <c r="X2564" s="23"/>
      <c r="Y2564" s="23"/>
      <c r="Z2564" s="23"/>
    </row>
    <row r="2565" spans="1:26" ht="13">
      <c r="A2565" s="562" t="s">
        <v>6267</v>
      </c>
      <c r="B2565" s="563" t="s">
        <v>6268</v>
      </c>
      <c r="C2565" s="564" t="s">
        <v>2437</v>
      </c>
      <c r="D2565" s="565">
        <v>43053</v>
      </c>
      <c r="E2565" s="565">
        <v>43070</v>
      </c>
      <c r="F2565" s="566">
        <v>8970000</v>
      </c>
      <c r="G2565" s="564" t="s">
        <v>1123</v>
      </c>
      <c r="H2565" s="564" t="s">
        <v>1123</v>
      </c>
      <c r="I2565" s="564" t="s">
        <v>141</v>
      </c>
      <c r="J2565" s="564" t="s">
        <v>1069</v>
      </c>
      <c r="K2565" s="564" t="s">
        <v>1205</v>
      </c>
      <c r="L2565" s="564" t="s">
        <v>2098</v>
      </c>
      <c r="M2565" s="564" t="s">
        <v>2098</v>
      </c>
      <c r="N2565" s="564" t="s">
        <v>1073</v>
      </c>
      <c r="O2565" s="564" t="s">
        <v>2099</v>
      </c>
      <c r="P2565" s="23"/>
      <c r="Q2565" s="23"/>
      <c r="R2565" s="23"/>
      <c r="S2565" s="23"/>
      <c r="T2565" s="23"/>
      <c r="U2565" s="23"/>
      <c r="V2565" s="23"/>
      <c r="W2565" s="23"/>
      <c r="X2565" s="23"/>
      <c r="Y2565" s="23"/>
      <c r="Z2565" s="23"/>
    </row>
    <row r="2566" spans="1:26" ht="13">
      <c r="A2566" s="562" t="s">
        <v>6269</v>
      </c>
      <c r="B2566" s="563" t="s">
        <v>5718</v>
      </c>
      <c r="C2566" s="564" t="s">
        <v>1612</v>
      </c>
      <c r="D2566" s="565">
        <v>43049</v>
      </c>
      <c r="E2566" s="565">
        <v>43098</v>
      </c>
      <c r="F2566" s="566">
        <v>1200000</v>
      </c>
      <c r="G2566" s="564" t="s">
        <v>1424</v>
      </c>
      <c r="H2566" s="564" t="s">
        <v>1424</v>
      </c>
      <c r="I2566" s="564" t="s">
        <v>45</v>
      </c>
      <c r="J2566" s="564" t="s">
        <v>1069</v>
      </c>
      <c r="K2566" s="564" t="s">
        <v>1090</v>
      </c>
      <c r="L2566" s="564" t="s">
        <v>2098</v>
      </c>
      <c r="M2566" s="564" t="s">
        <v>2098</v>
      </c>
      <c r="N2566" s="564" t="s">
        <v>45</v>
      </c>
      <c r="O2566" s="564" t="s">
        <v>2099</v>
      </c>
      <c r="P2566" s="23"/>
      <c r="Q2566" s="23"/>
      <c r="R2566" s="23"/>
      <c r="S2566" s="23"/>
      <c r="T2566" s="23"/>
      <c r="U2566" s="23"/>
      <c r="V2566" s="23"/>
      <c r="W2566" s="23"/>
      <c r="X2566" s="23"/>
      <c r="Y2566" s="23"/>
      <c r="Z2566" s="23"/>
    </row>
    <row r="2567" spans="1:26" ht="13">
      <c r="A2567" s="562" t="s">
        <v>6270</v>
      </c>
      <c r="B2567" s="563" t="s">
        <v>6271</v>
      </c>
      <c r="C2567" s="564" t="s">
        <v>2437</v>
      </c>
      <c r="D2567" s="565">
        <v>43049</v>
      </c>
      <c r="E2567" s="565">
        <v>43056</v>
      </c>
      <c r="F2567" s="566">
        <v>2187000</v>
      </c>
      <c r="G2567" s="564" t="s">
        <v>1912</v>
      </c>
      <c r="H2567" s="564" t="s">
        <v>1912</v>
      </c>
      <c r="I2567" s="564" t="s">
        <v>6255</v>
      </c>
      <c r="J2567" s="564" t="s">
        <v>1069</v>
      </c>
      <c r="K2567" s="564" t="s">
        <v>1070</v>
      </c>
      <c r="L2567" s="564" t="s">
        <v>2098</v>
      </c>
      <c r="M2567" s="564" t="s">
        <v>2098</v>
      </c>
      <c r="N2567" s="564" t="s">
        <v>1082</v>
      </c>
      <c r="O2567" s="564" t="s">
        <v>2099</v>
      </c>
      <c r="P2567" s="23"/>
      <c r="Q2567" s="23"/>
      <c r="R2567" s="23"/>
      <c r="S2567" s="23"/>
      <c r="T2567" s="23"/>
      <c r="U2567" s="23"/>
      <c r="V2567" s="23"/>
      <c r="W2567" s="23"/>
      <c r="X2567" s="23"/>
      <c r="Y2567" s="23"/>
      <c r="Z2567" s="23"/>
    </row>
    <row r="2568" spans="1:26" ht="13">
      <c r="A2568" s="562" t="s">
        <v>6272</v>
      </c>
      <c r="B2568" s="563" t="s">
        <v>6273</v>
      </c>
      <c r="C2568" s="564" t="s">
        <v>1612</v>
      </c>
      <c r="D2568" s="565">
        <v>43049</v>
      </c>
      <c r="E2568" s="565">
        <v>43054</v>
      </c>
      <c r="F2568" s="566">
        <v>760000</v>
      </c>
      <c r="G2568" s="564" t="s">
        <v>1623</v>
      </c>
      <c r="H2568" s="564" t="s">
        <v>1623</v>
      </c>
      <c r="I2568" s="564" t="s">
        <v>802</v>
      </c>
      <c r="J2568" s="564" t="s">
        <v>1069</v>
      </c>
      <c r="K2568" s="564" t="s">
        <v>1198</v>
      </c>
      <c r="L2568" s="564" t="s">
        <v>2098</v>
      </c>
      <c r="M2568" s="564" t="s">
        <v>2098</v>
      </c>
      <c r="N2568" s="564" t="s">
        <v>132</v>
      </c>
      <c r="O2568" s="564" t="s">
        <v>2099</v>
      </c>
      <c r="P2568" s="23"/>
      <c r="Q2568" s="23"/>
      <c r="R2568" s="23"/>
      <c r="S2568" s="23"/>
      <c r="T2568" s="23"/>
      <c r="U2568" s="23"/>
      <c r="V2568" s="23"/>
      <c r="W2568" s="23"/>
      <c r="X2568" s="23"/>
      <c r="Y2568" s="23"/>
      <c r="Z2568" s="23"/>
    </row>
    <row r="2569" spans="1:26" ht="13">
      <c r="A2569" s="562" t="s">
        <v>6274</v>
      </c>
      <c r="B2569" s="563" t="s">
        <v>5810</v>
      </c>
      <c r="C2569" s="564" t="s">
        <v>1612</v>
      </c>
      <c r="D2569" s="565">
        <v>43048</v>
      </c>
      <c r="E2569" s="565">
        <v>43077</v>
      </c>
      <c r="F2569" s="566">
        <v>2060000</v>
      </c>
      <c r="G2569" s="564" t="s">
        <v>1424</v>
      </c>
      <c r="H2569" s="564" t="s">
        <v>1424</v>
      </c>
      <c r="I2569" s="564" t="s">
        <v>70</v>
      </c>
      <c r="J2569" s="564" t="s">
        <v>1069</v>
      </c>
      <c r="K2569" s="564" t="s">
        <v>1120</v>
      </c>
      <c r="L2569" s="564" t="s">
        <v>2098</v>
      </c>
      <c r="M2569" s="564" t="s">
        <v>2098</v>
      </c>
      <c r="N2569" s="564" t="s">
        <v>70</v>
      </c>
      <c r="O2569" s="564" t="s">
        <v>2099</v>
      </c>
      <c r="P2569" s="23"/>
      <c r="Q2569" s="23"/>
      <c r="R2569" s="23"/>
      <c r="S2569" s="23"/>
      <c r="T2569" s="23"/>
      <c r="U2569" s="23"/>
      <c r="V2569" s="23"/>
      <c r="W2569" s="23"/>
      <c r="X2569" s="23"/>
      <c r="Y2569" s="23"/>
      <c r="Z2569" s="23"/>
    </row>
    <row r="2570" spans="1:26" ht="13">
      <c r="A2570" s="562" t="s">
        <v>6275</v>
      </c>
      <c r="B2570" s="563" t="s">
        <v>5696</v>
      </c>
      <c r="C2570" s="564" t="s">
        <v>1612</v>
      </c>
      <c r="D2570" s="565">
        <v>43048</v>
      </c>
      <c r="E2570" s="565">
        <v>43077</v>
      </c>
      <c r="F2570" s="566">
        <v>1330000</v>
      </c>
      <c r="G2570" s="564" t="s">
        <v>1424</v>
      </c>
      <c r="H2570" s="564" t="s">
        <v>1424</v>
      </c>
      <c r="I2570" s="564" t="s">
        <v>45</v>
      </c>
      <c r="J2570" s="564" t="s">
        <v>1069</v>
      </c>
      <c r="K2570" s="564" t="s">
        <v>1090</v>
      </c>
      <c r="L2570" s="564" t="s">
        <v>2098</v>
      </c>
      <c r="M2570" s="564" t="s">
        <v>2098</v>
      </c>
      <c r="N2570" s="564" t="s">
        <v>45</v>
      </c>
      <c r="O2570" s="564" t="s">
        <v>2099</v>
      </c>
      <c r="P2570" s="23"/>
      <c r="Q2570" s="23"/>
      <c r="R2570" s="23"/>
      <c r="S2570" s="23"/>
      <c r="T2570" s="23"/>
      <c r="U2570" s="23"/>
      <c r="V2570" s="23"/>
      <c r="W2570" s="23"/>
      <c r="X2570" s="23"/>
      <c r="Y2570" s="23"/>
      <c r="Z2570" s="23"/>
    </row>
    <row r="2571" spans="1:26" ht="13">
      <c r="A2571" s="562" t="s">
        <v>6276</v>
      </c>
      <c r="B2571" s="563" t="s">
        <v>6277</v>
      </c>
      <c r="C2571" s="564" t="s">
        <v>1612</v>
      </c>
      <c r="D2571" s="565">
        <v>43048</v>
      </c>
      <c r="E2571" s="565">
        <v>43040</v>
      </c>
      <c r="F2571" s="566">
        <v>12412800</v>
      </c>
      <c r="G2571" s="564" t="s">
        <v>1424</v>
      </c>
      <c r="H2571" s="564" t="s">
        <v>1424</v>
      </c>
      <c r="I2571" s="564" t="s">
        <v>45</v>
      </c>
      <c r="J2571" s="564" t="s">
        <v>1069</v>
      </c>
      <c r="K2571" s="564" t="s">
        <v>1090</v>
      </c>
      <c r="L2571" s="564" t="s">
        <v>1071</v>
      </c>
      <c r="M2571" s="564" t="s">
        <v>1183</v>
      </c>
      <c r="N2571" s="564" t="s">
        <v>45</v>
      </c>
      <c r="O2571" s="564" t="s">
        <v>1472</v>
      </c>
      <c r="P2571" s="23"/>
      <c r="Q2571" s="23"/>
      <c r="R2571" s="23"/>
      <c r="S2571" s="23"/>
      <c r="T2571" s="23"/>
      <c r="U2571" s="23"/>
      <c r="V2571" s="23"/>
      <c r="W2571" s="23"/>
      <c r="X2571" s="23"/>
      <c r="Y2571" s="23"/>
      <c r="Z2571" s="23"/>
    </row>
    <row r="2572" spans="1:26" ht="13">
      <c r="A2572" s="562" t="s">
        <v>6278</v>
      </c>
      <c r="B2572" s="563" t="s">
        <v>6279</v>
      </c>
      <c r="C2572" s="564" t="s">
        <v>1612</v>
      </c>
      <c r="D2572" s="565">
        <v>43047</v>
      </c>
      <c r="E2572" s="565">
        <v>43077</v>
      </c>
      <c r="F2572" s="566">
        <v>450000</v>
      </c>
      <c r="G2572" s="564" t="s">
        <v>1424</v>
      </c>
      <c r="H2572" s="564" t="s">
        <v>1424</v>
      </c>
      <c r="I2572" s="564" t="s">
        <v>225</v>
      </c>
      <c r="J2572" s="564" t="s">
        <v>1069</v>
      </c>
      <c r="K2572" s="564" t="s">
        <v>1105</v>
      </c>
      <c r="L2572" s="564" t="s">
        <v>2098</v>
      </c>
      <c r="M2572" s="564" t="s">
        <v>2098</v>
      </c>
      <c r="N2572" s="564" t="s">
        <v>225</v>
      </c>
      <c r="O2572" s="564" t="s">
        <v>2099</v>
      </c>
      <c r="P2572" s="23"/>
      <c r="Q2572" s="23"/>
      <c r="R2572" s="23"/>
      <c r="S2572" s="23"/>
      <c r="T2572" s="23"/>
      <c r="U2572" s="23"/>
      <c r="V2572" s="23"/>
      <c r="W2572" s="23"/>
      <c r="X2572" s="23"/>
      <c r="Y2572" s="23"/>
      <c r="Z2572" s="23"/>
    </row>
    <row r="2573" spans="1:26" ht="13">
      <c r="A2573" s="562" t="s">
        <v>6280</v>
      </c>
      <c r="B2573" s="563" t="s">
        <v>6281</v>
      </c>
      <c r="C2573" s="564" t="s">
        <v>1612</v>
      </c>
      <c r="D2573" s="565">
        <v>43046</v>
      </c>
      <c r="E2573" s="565">
        <v>43064</v>
      </c>
      <c r="F2573" s="566">
        <v>3263636</v>
      </c>
      <c r="G2573" s="564" t="s">
        <v>1623</v>
      </c>
      <c r="H2573" s="564" t="s">
        <v>1623</v>
      </c>
      <c r="I2573" s="564" t="s">
        <v>802</v>
      </c>
      <c r="J2573" s="564" t="s">
        <v>1069</v>
      </c>
      <c r="K2573" s="564" t="s">
        <v>1198</v>
      </c>
      <c r="L2573" s="564" t="s">
        <v>2098</v>
      </c>
      <c r="M2573" s="564" t="s">
        <v>2098</v>
      </c>
      <c r="N2573" s="564" t="s">
        <v>132</v>
      </c>
      <c r="O2573" s="564" t="s">
        <v>2099</v>
      </c>
      <c r="P2573" s="23"/>
      <c r="Q2573" s="23"/>
      <c r="R2573" s="23"/>
      <c r="S2573" s="23"/>
      <c r="T2573" s="23"/>
      <c r="U2573" s="23"/>
      <c r="V2573" s="23"/>
      <c r="W2573" s="23"/>
      <c r="X2573" s="23"/>
      <c r="Y2573" s="23"/>
      <c r="Z2573" s="23"/>
    </row>
    <row r="2574" spans="1:26" ht="13">
      <c r="A2574" s="562" t="s">
        <v>6282</v>
      </c>
      <c r="B2574" s="563" t="s">
        <v>6283</v>
      </c>
      <c r="C2574" s="564" t="s">
        <v>2387</v>
      </c>
      <c r="D2574" s="565">
        <v>43045</v>
      </c>
      <c r="E2574" s="565">
        <v>43131</v>
      </c>
      <c r="F2574" s="566">
        <v>1729000</v>
      </c>
      <c r="G2574" s="564" t="s">
        <v>1400</v>
      </c>
      <c r="H2574" s="564" t="s">
        <v>1400</v>
      </c>
      <c r="I2574" s="564" t="s">
        <v>4816</v>
      </c>
      <c r="J2574" s="564" t="s">
        <v>1069</v>
      </c>
      <c r="K2574" s="564" t="s">
        <v>1070</v>
      </c>
      <c r="L2574" s="564" t="s">
        <v>2098</v>
      </c>
      <c r="M2574" s="564" t="s">
        <v>2098</v>
      </c>
      <c r="N2574" s="564" t="s">
        <v>1082</v>
      </c>
      <c r="O2574" s="564" t="s">
        <v>2099</v>
      </c>
      <c r="P2574" s="23"/>
      <c r="Q2574" s="23"/>
      <c r="R2574" s="23"/>
      <c r="S2574" s="23"/>
      <c r="T2574" s="23"/>
      <c r="U2574" s="23"/>
      <c r="V2574" s="23"/>
      <c r="W2574" s="23"/>
      <c r="X2574" s="23"/>
      <c r="Y2574" s="23"/>
      <c r="Z2574" s="23"/>
    </row>
    <row r="2575" spans="1:26" ht="13">
      <c r="A2575" s="562" t="s">
        <v>6284</v>
      </c>
      <c r="B2575" s="563" t="s">
        <v>5810</v>
      </c>
      <c r="C2575" s="564" t="s">
        <v>1612</v>
      </c>
      <c r="D2575" s="565">
        <v>43041</v>
      </c>
      <c r="E2575" s="565">
        <v>43041</v>
      </c>
      <c r="F2575" s="566">
        <v>883000</v>
      </c>
      <c r="G2575" s="564" t="s">
        <v>1424</v>
      </c>
      <c r="H2575" s="564" t="s">
        <v>1424</v>
      </c>
      <c r="I2575" s="564" t="s">
        <v>70</v>
      </c>
      <c r="J2575" s="564" t="s">
        <v>1069</v>
      </c>
      <c r="K2575" s="564" t="s">
        <v>1120</v>
      </c>
      <c r="L2575" s="564" t="s">
        <v>2098</v>
      </c>
      <c r="M2575" s="564" t="s">
        <v>2098</v>
      </c>
      <c r="N2575" s="564" t="s">
        <v>70</v>
      </c>
      <c r="O2575" s="564" t="s">
        <v>2099</v>
      </c>
      <c r="P2575" s="23"/>
      <c r="Q2575" s="23"/>
      <c r="R2575" s="23"/>
      <c r="S2575" s="23"/>
      <c r="T2575" s="23"/>
      <c r="U2575" s="23"/>
      <c r="V2575" s="23"/>
      <c r="W2575" s="23"/>
      <c r="X2575" s="23"/>
      <c r="Y2575" s="23"/>
      <c r="Z2575" s="23"/>
    </row>
    <row r="2576" spans="1:26" ht="13">
      <c r="A2576" s="562" t="s">
        <v>6285</v>
      </c>
      <c r="B2576" s="563" t="s">
        <v>6286</v>
      </c>
      <c r="C2576" s="564" t="s">
        <v>1370</v>
      </c>
      <c r="D2576" s="565">
        <v>43042</v>
      </c>
      <c r="E2576" s="565">
        <v>43061</v>
      </c>
      <c r="F2576" s="566">
        <v>16536364</v>
      </c>
      <c r="G2576" s="564" t="s">
        <v>1623</v>
      </c>
      <c r="H2576" s="564" t="s">
        <v>1623</v>
      </c>
      <c r="I2576" s="564" t="s">
        <v>802</v>
      </c>
      <c r="J2576" s="564" t="s">
        <v>1069</v>
      </c>
      <c r="K2576" s="564" t="s">
        <v>1198</v>
      </c>
      <c r="L2576" s="564" t="s">
        <v>2098</v>
      </c>
      <c r="M2576" s="564" t="s">
        <v>2098</v>
      </c>
      <c r="N2576" s="564" t="s">
        <v>132</v>
      </c>
      <c r="O2576" s="564" t="s">
        <v>2099</v>
      </c>
      <c r="P2576" s="23"/>
      <c r="Q2576" s="23"/>
      <c r="R2576" s="23"/>
      <c r="S2576" s="23"/>
      <c r="T2576" s="23"/>
      <c r="U2576" s="23"/>
      <c r="V2576" s="23"/>
      <c r="W2576" s="23"/>
      <c r="X2576" s="23"/>
      <c r="Y2576" s="23"/>
      <c r="Z2576" s="23"/>
    </row>
    <row r="2577" spans="1:26" ht="13">
      <c r="A2577" s="562" t="s">
        <v>6287</v>
      </c>
      <c r="B2577" s="563" t="s">
        <v>6288</v>
      </c>
      <c r="C2577" s="564" t="s">
        <v>2387</v>
      </c>
      <c r="D2577" s="565">
        <v>43039</v>
      </c>
      <c r="E2577" s="565">
        <v>43098</v>
      </c>
      <c r="F2577" s="566">
        <v>1069000</v>
      </c>
      <c r="G2577" s="564" t="s">
        <v>1400</v>
      </c>
      <c r="H2577" s="564" t="s">
        <v>1400</v>
      </c>
      <c r="I2577" s="564" t="s">
        <v>4816</v>
      </c>
      <c r="J2577" s="564" t="s">
        <v>1069</v>
      </c>
      <c r="K2577" s="564" t="s">
        <v>1070</v>
      </c>
      <c r="L2577" s="564" t="s">
        <v>2098</v>
      </c>
      <c r="M2577" s="564" t="s">
        <v>2098</v>
      </c>
      <c r="N2577" s="564" t="s">
        <v>1082</v>
      </c>
      <c r="O2577" s="564" t="s">
        <v>2099</v>
      </c>
      <c r="P2577" s="23"/>
      <c r="Q2577" s="23"/>
      <c r="R2577" s="23"/>
      <c r="S2577" s="23"/>
      <c r="T2577" s="23"/>
      <c r="U2577" s="23"/>
      <c r="V2577" s="23"/>
      <c r="W2577" s="23"/>
      <c r="X2577" s="23"/>
      <c r="Y2577" s="23"/>
      <c r="Z2577" s="23"/>
    </row>
    <row r="2578" spans="1:26" ht="13">
      <c r="A2578" s="562" t="s">
        <v>6289</v>
      </c>
      <c r="B2578" s="563" t="s">
        <v>6290</v>
      </c>
      <c r="C2578" s="564" t="s">
        <v>1548</v>
      </c>
      <c r="D2578" s="565">
        <v>43039</v>
      </c>
      <c r="E2578" s="565">
        <v>43069</v>
      </c>
      <c r="F2578" s="566">
        <v>39000000</v>
      </c>
      <c r="G2578" s="564" t="s">
        <v>1400</v>
      </c>
      <c r="H2578" s="564" t="s">
        <v>1400</v>
      </c>
      <c r="I2578" s="564" t="s">
        <v>6291</v>
      </c>
      <c r="J2578" s="564" t="s">
        <v>1069</v>
      </c>
      <c r="K2578" s="564" t="s">
        <v>1070</v>
      </c>
      <c r="L2578" s="564" t="s">
        <v>2098</v>
      </c>
      <c r="M2578" s="564" t="s">
        <v>2098</v>
      </c>
      <c r="N2578" s="564" t="s">
        <v>1082</v>
      </c>
      <c r="O2578" s="564" t="s">
        <v>2099</v>
      </c>
      <c r="P2578" s="23"/>
      <c r="Q2578" s="23"/>
      <c r="R2578" s="23"/>
      <c r="S2578" s="23"/>
      <c r="T2578" s="23"/>
      <c r="U2578" s="23"/>
      <c r="V2578" s="23"/>
      <c r="W2578" s="23"/>
      <c r="X2578" s="23"/>
      <c r="Y2578" s="23"/>
      <c r="Z2578" s="23"/>
    </row>
    <row r="2579" spans="1:26" ht="13">
      <c r="A2579" s="562" t="s">
        <v>6292</v>
      </c>
      <c r="B2579" s="563" t="s">
        <v>6293</v>
      </c>
      <c r="C2579" s="564" t="s">
        <v>6184</v>
      </c>
      <c r="D2579" s="565">
        <v>43039</v>
      </c>
      <c r="E2579" s="565">
        <v>43098</v>
      </c>
      <c r="F2579" s="566">
        <v>3658000</v>
      </c>
      <c r="G2579" s="564" t="s">
        <v>1400</v>
      </c>
      <c r="H2579" s="564" t="s">
        <v>1400</v>
      </c>
      <c r="I2579" s="564" t="s">
        <v>4816</v>
      </c>
      <c r="J2579" s="564" t="s">
        <v>1069</v>
      </c>
      <c r="K2579" s="564" t="s">
        <v>1070</v>
      </c>
      <c r="L2579" s="564" t="s">
        <v>2098</v>
      </c>
      <c r="M2579" s="564" t="s">
        <v>2098</v>
      </c>
      <c r="N2579" s="564" t="s">
        <v>1082</v>
      </c>
      <c r="O2579" s="564" t="s">
        <v>2099</v>
      </c>
      <c r="P2579" s="23"/>
      <c r="Q2579" s="23"/>
      <c r="R2579" s="23"/>
      <c r="S2579" s="23"/>
      <c r="T2579" s="23"/>
      <c r="U2579" s="23"/>
      <c r="V2579" s="23"/>
      <c r="W2579" s="23"/>
      <c r="X2579" s="23"/>
      <c r="Y2579" s="23"/>
      <c r="Z2579" s="23"/>
    </row>
    <row r="2580" spans="1:26" ht="13">
      <c r="A2580" s="562" t="s">
        <v>6294</v>
      </c>
      <c r="B2580" s="563" t="s">
        <v>6295</v>
      </c>
      <c r="C2580" s="564" t="s">
        <v>2437</v>
      </c>
      <c r="D2580" s="565">
        <v>43039</v>
      </c>
      <c r="E2580" s="565">
        <v>43069</v>
      </c>
      <c r="F2580" s="566">
        <v>25600000</v>
      </c>
      <c r="G2580" s="564" t="s">
        <v>1400</v>
      </c>
      <c r="H2580" s="564" t="s">
        <v>1400</v>
      </c>
      <c r="I2580" s="564" t="s">
        <v>6296</v>
      </c>
      <c r="J2580" s="564" t="s">
        <v>1069</v>
      </c>
      <c r="K2580" s="564" t="s">
        <v>1070</v>
      </c>
      <c r="L2580" s="564" t="s">
        <v>2098</v>
      </c>
      <c r="M2580" s="564" t="s">
        <v>2098</v>
      </c>
      <c r="N2580" s="564" t="s">
        <v>1082</v>
      </c>
      <c r="O2580" s="564" t="s">
        <v>2099</v>
      </c>
      <c r="P2580" s="23"/>
      <c r="Q2580" s="23"/>
      <c r="R2580" s="23"/>
      <c r="S2580" s="23"/>
      <c r="T2580" s="23"/>
      <c r="U2580" s="23"/>
      <c r="V2580" s="23"/>
      <c r="W2580" s="23"/>
      <c r="X2580" s="23"/>
      <c r="Y2580" s="23"/>
      <c r="Z2580" s="23"/>
    </row>
    <row r="2581" spans="1:26" ht="13">
      <c r="A2581" s="562" t="s">
        <v>6297</v>
      </c>
      <c r="B2581" s="563" t="s">
        <v>5718</v>
      </c>
      <c r="C2581" s="564" t="s">
        <v>1612</v>
      </c>
      <c r="D2581" s="565">
        <v>43038</v>
      </c>
      <c r="E2581" s="565">
        <v>43069</v>
      </c>
      <c r="F2581" s="566">
        <v>1180000</v>
      </c>
      <c r="G2581" s="564" t="s">
        <v>1424</v>
      </c>
      <c r="H2581" s="564" t="s">
        <v>1424</v>
      </c>
      <c r="I2581" s="564" t="s">
        <v>45</v>
      </c>
      <c r="J2581" s="564" t="s">
        <v>1069</v>
      </c>
      <c r="K2581" s="564" t="s">
        <v>1090</v>
      </c>
      <c r="L2581" s="564" t="s">
        <v>2098</v>
      </c>
      <c r="M2581" s="564" t="s">
        <v>2098</v>
      </c>
      <c r="N2581" s="564" t="s">
        <v>45</v>
      </c>
      <c r="O2581" s="564" t="s">
        <v>2099</v>
      </c>
      <c r="P2581" s="23"/>
      <c r="Q2581" s="23"/>
      <c r="R2581" s="23"/>
      <c r="S2581" s="23"/>
      <c r="T2581" s="23"/>
      <c r="U2581" s="23"/>
      <c r="V2581" s="23"/>
      <c r="W2581" s="23"/>
      <c r="X2581" s="23"/>
      <c r="Y2581" s="23"/>
      <c r="Z2581" s="23"/>
    </row>
    <row r="2582" spans="1:26" ht="13">
      <c r="A2582" s="562" t="s">
        <v>6298</v>
      </c>
      <c r="B2582" s="563" t="s">
        <v>6299</v>
      </c>
      <c r="C2582" s="564" t="s">
        <v>1612</v>
      </c>
      <c r="D2582" s="565">
        <v>43038</v>
      </c>
      <c r="E2582" s="565">
        <v>43068</v>
      </c>
      <c r="F2582" s="566">
        <v>36818182</v>
      </c>
      <c r="G2582" s="564" t="s">
        <v>1623</v>
      </c>
      <c r="H2582" s="564" t="s">
        <v>1623</v>
      </c>
      <c r="I2582" s="564" t="s">
        <v>802</v>
      </c>
      <c r="J2582" s="564" t="s">
        <v>1069</v>
      </c>
      <c r="K2582" s="564" t="s">
        <v>1198</v>
      </c>
      <c r="L2582" s="564" t="s">
        <v>2098</v>
      </c>
      <c r="M2582" s="564" t="s">
        <v>2098</v>
      </c>
      <c r="N2582" s="564" t="s">
        <v>132</v>
      </c>
      <c r="O2582" s="564" t="s">
        <v>2099</v>
      </c>
      <c r="P2582" s="23"/>
      <c r="Q2582" s="23"/>
      <c r="R2582" s="23"/>
      <c r="S2582" s="23"/>
      <c r="T2582" s="23"/>
      <c r="U2582" s="23"/>
      <c r="V2582" s="23"/>
      <c r="W2582" s="23"/>
      <c r="X2582" s="23"/>
      <c r="Y2582" s="23"/>
      <c r="Z2582" s="23"/>
    </row>
    <row r="2583" spans="1:26" ht="13">
      <c r="A2583" s="562" t="s">
        <v>6300</v>
      </c>
      <c r="B2583" s="563" t="s">
        <v>5974</v>
      </c>
      <c r="C2583" s="564" t="s">
        <v>1612</v>
      </c>
      <c r="D2583" s="565">
        <v>43035</v>
      </c>
      <c r="E2583" s="565">
        <v>43069</v>
      </c>
      <c r="F2583" s="566">
        <v>1100000</v>
      </c>
      <c r="G2583" s="564" t="s">
        <v>1424</v>
      </c>
      <c r="H2583" s="564" t="s">
        <v>1424</v>
      </c>
      <c r="I2583" s="564" t="s">
        <v>45</v>
      </c>
      <c r="J2583" s="564" t="s">
        <v>1069</v>
      </c>
      <c r="K2583" s="564" t="s">
        <v>1090</v>
      </c>
      <c r="L2583" s="564" t="s">
        <v>2098</v>
      </c>
      <c r="M2583" s="564" t="s">
        <v>2098</v>
      </c>
      <c r="N2583" s="564" t="s">
        <v>45</v>
      </c>
      <c r="O2583" s="564" t="s">
        <v>2099</v>
      </c>
      <c r="P2583" s="23"/>
      <c r="Q2583" s="23"/>
      <c r="R2583" s="23"/>
      <c r="S2583" s="23"/>
      <c r="T2583" s="23"/>
      <c r="U2583" s="23"/>
      <c r="V2583" s="23"/>
      <c r="W2583" s="23"/>
      <c r="X2583" s="23"/>
      <c r="Y2583" s="23"/>
      <c r="Z2583" s="23"/>
    </row>
    <row r="2584" spans="1:26" ht="13">
      <c r="A2584" s="562" t="s">
        <v>6301</v>
      </c>
      <c r="B2584" s="563" t="s">
        <v>6302</v>
      </c>
      <c r="C2584" s="564" t="s">
        <v>1612</v>
      </c>
      <c r="D2584" s="565">
        <v>43039</v>
      </c>
      <c r="E2584" s="565">
        <v>43068</v>
      </c>
      <c r="F2584" s="566">
        <v>5510000</v>
      </c>
      <c r="G2584" s="564" t="s">
        <v>5465</v>
      </c>
      <c r="H2584" s="564" t="s">
        <v>5465</v>
      </c>
      <c r="I2584" s="564" t="s">
        <v>45</v>
      </c>
      <c r="J2584" s="564" t="s">
        <v>1069</v>
      </c>
      <c r="K2584" s="564" t="s">
        <v>1090</v>
      </c>
      <c r="L2584" s="564" t="s">
        <v>2098</v>
      </c>
      <c r="M2584" s="564" t="s">
        <v>2098</v>
      </c>
      <c r="N2584" s="564" t="s">
        <v>45</v>
      </c>
      <c r="O2584" s="564" t="s">
        <v>2099</v>
      </c>
      <c r="P2584" s="23"/>
      <c r="Q2584" s="23"/>
      <c r="R2584" s="23"/>
      <c r="S2584" s="23"/>
      <c r="T2584" s="23"/>
      <c r="U2584" s="23"/>
      <c r="V2584" s="23"/>
      <c r="W2584" s="23"/>
      <c r="X2584" s="23"/>
      <c r="Y2584" s="23"/>
      <c r="Z2584" s="23"/>
    </row>
    <row r="2585" spans="1:26" ht="13">
      <c r="A2585" s="562" t="s">
        <v>6303</v>
      </c>
      <c r="B2585" s="563" t="s">
        <v>6304</v>
      </c>
      <c r="C2585" s="564" t="s">
        <v>2437</v>
      </c>
      <c r="D2585" s="565">
        <v>43038</v>
      </c>
      <c r="E2585" s="565">
        <v>43066</v>
      </c>
      <c r="F2585" s="566">
        <v>31718182</v>
      </c>
      <c r="G2585" s="564" t="s">
        <v>1912</v>
      </c>
      <c r="H2585" s="564" t="s">
        <v>1912</v>
      </c>
      <c r="I2585" s="564" t="s">
        <v>140</v>
      </c>
      <c r="J2585" s="564" t="s">
        <v>1069</v>
      </c>
      <c r="K2585" s="564" t="s">
        <v>1205</v>
      </c>
      <c r="L2585" s="564" t="s">
        <v>2098</v>
      </c>
      <c r="M2585" s="564" t="s">
        <v>2098</v>
      </c>
      <c r="N2585" s="564" t="s">
        <v>1073</v>
      </c>
      <c r="O2585" s="564" t="s">
        <v>2099</v>
      </c>
      <c r="P2585" s="23"/>
      <c r="Q2585" s="23"/>
      <c r="R2585" s="23"/>
      <c r="S2585" s="23"/>
      <c r="T2585" s="23"/>
      <c r="U2585" s="23"/>
      <c r="V2585" s="23"/>
      <c r="W2585" s="23"/>
      <c r="X2585" s="23"/>
      <c r="Y2585" s="23"/>
      <c r="Z2585" s="23"/>
    </row>
    <row r="2586" spans="1:26" ht="13">
      <c r="A2586" s="562" t="s">
        <v>6305</v>
      </c>
      <c r="B2586" s="563" t="s">
        <v>6306</v>
      </c>
      <c r="C2586" s="564" t="s">
        <v>1612</v>
      </c>
      <c r="D2586" s="565">
        <v>43035</v>
      </c>
      <c r="E2586" s="565">
        <v>43054</v>
      </c>
      <c r="F2586" s="566">
        <v>4431818</v>
      </c>
      <c r="G2586" s="564" t="s">
        <v>1623</v>
      </c>
      <c r="H2586" s="564" t="s">
        <v>1623</v>
      </c>
      <c r="I2586" s="564" t="s">
        <v>802</v>
      </c>
      <c r="J2586" s="564" t="s">
        <v>1069</v>
      </c>
      <c r="K2586" s="564" t="s">
        <v>1198</v>
      </c>
      <c r="L2586" s="564" t="s">
        <v>2098</v>
      </c>
      <c r="M2586" s="564" t="s">
        <v>2098</v>
      </c>
      <c r="N2586" s="564" t="s">
        <v>132</v>
      </c>
      <c r="O2586" s="564" t="s">
        <v>2099</v>
      </c>
      <c r="P2586" s="23"/>
      <c r="Q2586" s="23"/>
      <c r="R2586" s="23"/>
      <c r="S2586" s="23"/>
      <c r="T2586" s="23"/>
      <c r="U2586" s="23"/>
      <c r="V2586" s="23"/>
      <c r="W2586" s="23"/>
      <c r="X2586" s="23"/>
      <c r="Y2586" s="23"/>
      <c r="Z2586" s="23"/>
    </row>
    <row r="2587" spans="1:26" ht="13">
      <c r="A2587" s="562" t="s">
        <v>6307</v>
      </c>
      <c r="B2587" s="563" t="s">
        <v>6308</v>
      </c>
      <c r="C2587" s="564" t="s">
        <v>1612</v>
      </c>
      <c r="D2587" s="565">
        <v>43035</v>
      </c>
      <c r="E2587" s="565">
        <v>43069</v>
      </c>
      <c r="F2587" s="566">
        <v>41470000</v>
      </c>
      <c r="G2587" s="564" t="s">
        <v>1424</v>
      </c>
      <c r="H2587" s="564" t="s">
        <v>1424</v>
      </c>
      <c r="I2587" s="564" t="s">
        <v>146</v>
      </c>
      <c r="J2587" s="564" t="s">
        <v>1069</v>
      </c>
      <c r="K2587" s="564" t="s">
        <v>1070</v>
      </c>
      <c r="L2587" s="564" t="s">
        <v>2098</v>
      </c>
      <c r="M2587" s="564" t="s">
        <v>2098</v>
      </c>
      <c r="N2587" s="564" t="s">
        <v>1073</v>
      </c>
      <c r="O2587" s="564" t="s">
        <v>2099</v>
      </c>
      <c r="P2587" s="23"/>
      <c r="Q2587" s="23"/>
      <c r="R2587" s="23"/>
      <c r="S2587" s="23"/>
      <c r="T2587" s="23"/>
      <c r="U2587" s="23"/>
      <c r="V2587" s="23"/>
      <c r="W2587" s="23"/>
      <c r="X2587" s="23"/>
      <c r="Y2587" s="23"/>
      <c r="Z2587" s="23"/>
    </row>
    <row r="2588" spans="1:26" ht="13">
      <c r="A2588" s="562" t="s">
        <v>6309</v>
      </c>
      <c r="B2588" s="563" t="s">
        <v>6310</v>
      </c>
      <c r="C2588" s="564" t="s">
        <v>2387</v>
      </c>
      <c r="D2588" s="565">
        <v>43034</v>
      </c>
      <c r="E2588" s="565">
        <v>43038</v>
      </c>
      <c r="F2588" s="566">
        <v>244000</v>
      </c>
      <c r="G2588" s="564" t="s">
        <v>1400</v>
      </c>
      <c r="H2588" s="564" t="s">
        <v>1400</v>
      </c>
      <c r="I2588" s="564" t="s">
        <v>4816</v>
      </c>
      <c r="J2588" s="564" t="s">
        <v>1069</v>
      </c>
      <c r="K2588" s="564" t="s">
        <v>1070</v>
      </c>
      <c r="L2588" s="564" t="s">
        <v>2098</v>
      </c>
      <c r="M2588" s="564" t="s">
        <v>2098</v>
      </c>
      <c r="N2588" s="564" t="s">
        <v>1082</v>
      </c>
      <c r="O2588" s="564" t="s">
        <v>2099</v>
      </c>
      <c r="P2588" s="23"/>
      <c r="Q2588" s="23"/>
      <c r="R2588" s="23"/>
      <c r="S2588" s="23"/>
      <c r="T2588" s="23"/>
      <c r="U2588" s="23"/>
      <c r="V2588" s="23"/>
      <c r="W2588" s="23"/>
      <c r="X2588" s="23"/>
      <c r="Y2588" s="23"/>
      <c r="Z2588" s="23"/>
    </row>
    <row r="2589" spans="1:26" ht="13">
      <c r="A2589" s="562" t="s">
        <v>6311</v>
      </c>
      <c r="B2589" s="563" t="s">
        <v>6312</v>
      </c>
      <c r="C2589" s="564" t="s">
        <v>6184</v>
      </c>
      <c r="D2589" s="565">
        <v>43033</v>
      </c>
      <c r="E2589" s="565">
        <v>43038</v>
      </c>
      <c r="F2589" s="566">
        <v>1729000</v>
      </c>
      <c r="G2589" s="564" t="s">
        <v>1400</v>
      </c>
      <c r="H2589" s="564" t="s">
        <v>1400</v>
      </c>
      <c r="I2589" s="564" t="s">
        <v>4816</v>
      </c>
      <c r="J2589" s="564" t="s">
        <v>1069</v>
      </c>
      <c r="K2589" s="564" t="s">
        <v>1070</v>
      </c>
      <c r="L2589" s="564" t="s">
        <v>2098</v>
      </c>
      <c r="M2589" s="564" t="s">
        <v>2098</v>
      </c>
      <c r="N2589" s="564" t="s">
        <v>1082</v>
      </c>
      <c r="O2589" s="564" t="s">
        <v>2099</v>
      </c>
      <c r="P2589" s="23"/>
      <c r="Q2589" s="23"/>
      <c r="R2589" s="23"/>
      <c r="S2589" s="23"/>
      <c r="T2589" s="23"/>
      <c r="U2589" s="23"/>
      <c r="V2589" s="23"/>
      <c r="W2589" s="23"/>
      <c r="X2589" s="23"/>
      <c r="Y2589" s="23"/>
      <c r="Z2589" s="23"/>
    </row>
    <row r="2590" spans="1:26" ht="13">
      <c r="A2590" s="562" t="s">
        <v>6313</v>
      </c>
      <c r="B2590" s="563" t="s">
        <v>6314</v>
      </c>
      <c r="C2590" s="564" t="s">
        <v>2387</v>
      </c>
      <c r="D2590" s="565">
        <v>43033</v>
      </c>
      <c r="E2590" s="565">
        <v>43039</v>
      </c>
      <c r="F2590" s="566">
        <v>5040000</v>
      </c>
      <c r="G2590" s="564" t="s">
        <v>1400</v>
      </c>
      <c r="H2590" s="564" t="s">
        <v>1400</v>
      </c>
      <c r="I2590" s="564" t="s">
        <v>4816</v>
      </c>
      <c r="J2590" s="564" t="s">
        <v>1069</v>
      </c>
      <c r="K2590" s="564" t="s">
        <v>1070</v>
      </c>
      <c r="L2590" s="564" t="s">
        <v>2098</v>
      </c>
      <c r="M2590" s="564" t="s">
        <v>2098</v>
      </c>
      <c r="N2590" s="564" t="s">
        <v>1082</v>
      </c>
      <c r="O2590" s="564" t="s">
        <v>2099</v>
      </c>
      <c r="P2590" s="23"/>
      <c r="Q2590" s="23"/>
      <c r="R2590" s="23"/>
      <c r="S2590" s="23"/>
      <c r="T2590" s="23"/>
      <c r="U2590" s="23"/>
      <c r="V2590" s="23"/>
      <c r="W2590" s="23"/>
      <c r="X2590" s="23"/>
      <c r="Y2590" s="23"/>
      <c r="Z2590" s="23"/>
    </row>
    <row r="2591" spans="1:26" ht="13">
      <c r="A2591" s="562" t="s">
        <v>6315</v>
      </c>
      <c r="B2591" s="563" t="s">
        <v>6316</v>
      </c>
      <c r="C2591" s="564" t="s">
        <v>1612</v>
      </c>
      <c r="D2591" s="565">
        <v>43032</v>
      </c>
      <c r="E2591" s="565">
        <v>43045</v>
      </c>
      <c r="F2591" s="566">
        <v>12272727</v>
      </c>
      <c r="G2591" s="564" t="s">
        <v>1623</v>
      </c>
      <c r="H2591" s="564" t="s">
        <v>1623</v>
      </c>
      <c r="I2591" s="564" t="s">
        <v>802</v>
      </c>
      <c r="J2591" s="564" t="s">
        <v>1069</v>
      </c>
      <c r="K2591" s="564" t="s">
        <v>1198</v>
      </c>
      <c r="L2591" s="564" t="s">
        <v>2098</v>
      </c>
      <c r="M2591" s="564" t="s">
        <v>2098</v>
      </c>
      <c r="N2591" s="564" t="s">
        <v>132</v>
      </c>
      <c r="O2591" s="564" t="s">
        <v>2099</v>
      </c>
      <c r="P2591" s="23"/>
      <c r="Q2591" s="23"/>
      <c r="R2591" s="23"/>
      <c r="S2591" s="23"/>
      <c r="T2591" s="23"/>
      <c r="U2591" s="23"/>
      <c r="V2591" s="23"/>
      <c r="W2591" s="23"/>
      <c r="X2591" s="23"/>
      <c r="Y2591" s="23"/>
      <c r="Z2591" s="23"/>
    </row>
    <row r="2592" spans="1:26" ht="13">
      <c r="A2592" s="562" t="s">
        <v>6317</v>
      </c>
      <c r="B2592" s="563" t="s">
        <v>6318</v>
      </c>
      <c r="C2592" s="564" t="s">
        <v>6184</v>
      </c>
      <c r="D2592" s="565">
        <v>43033</v>
      </c>
      <c r="E2592" s="565">
        <v>43035</v>
      </c>
      <c r="F2592" s="566">
        <v>576000</v>
      </c>
      <c r="G2592" s="564" t="s">
        <v>1400</v>
      </c>
      <c r="H2592" s="564" t="s">
        <v>1400</v>
      </c>
      <c r="I2592" s="564" t="s">
        <v>4816</v>
      </c>
      <c r="J2592" s="564" t="s">
        <v>1069</v>
      </c>
      <c r="K2592" s="564" t="s">
        <v>1070</v>
      </c>
      <c r="L2592" s="564" t="s">
        <v>2098</v>
      </c>
      <c r="M2592" s="564" t="s">
        <v>2098</v>
      </c>
      <c r="N2592" s="564" t="s">
        <v>1082</v>
      </c>
      <c r="O2592" s="564" t="s">
        <v>2099</v>
      </c>
      <c r="P2592" s="23"/>
      <c r="Q2592" s="23"/>
      <c r="R2592" s="23"/>
      <c r="S2592" s="23"/>
      <c r="T2592" s="23"/>
      <c r="U2592" s="23"/>
      <c r="V2592" s="23"/>
      <c r="W2592" s="23"/>
      <c r="X2592" s="23"/>
      <c r="Y2592" s="23"/>
      <c r="Z2592" s="23"/>
    </row>
    <row r="2593" spans="1:26" ht="13">
      <c r="A2593" s="562" t="s">
        <v>6319</v>
      </c>
      <c r="B2593" s="563" t="s">
        <v>6320</v>
      </c>
      <c r="C2593" s="564" t="s">
        <v>6184</v>
      </c>
      <c r="D2593" s="565">
        <v>43033</v>
      </c>
      <c r="E2593" s="565">
        <v>43039</v>
      </c>
      <c r="F2593" s="566">
        <v>576000</v>
      </c>
      <c r="G2593" s="564" t="s">
        <v>1400</v>
      </c>
      <c r="H2593" s="564" t="s">
        <v>1400</v>
      </c>
      <c r="I2593" s="564" t="s">
        <v>4816</v>
      </c>
      <c r="J2593" s="564" t="s">
        <v>1069</v>
      </c>
      <c r="K2593" s="564" t="s">
        <v>1070</v>
      </c>
      <c r="L2593" s="564" t="s">
        <v>2098</v>
      </c>
      <c r="M2593" s="564" t="s">
        <v>2098</v>
      </c>
      <c r="N2593" s="564" t="s">
        <v>1082</v>
      </c>
      <c r="O2593" s="564" t="s">
        <v>2099</v>
      </c>
      <c r="P2593" s="23"/>
      <c r="Q2593" s="23"/>
      <c r="R2593" s="23"/>
      <c r="S2593" s="23"/>
      <c r="T2593" s="23"/>
      <c r="U2593" s="23"/>
      <c r="V2593" s="23"/>
      <c r="W2593" s="23"/>
      <c r="X2593" s="23"/>
      <c r="Y2593" s="23"/>
      <c r="Z2593" s="23"/>
    </row>
    <row r="2594" spans="1:26" ht="13">
      <c r="A2594" s="562" t="s">
        <v>6321</v>
      </c>
      <c r="B2594" s="563" t="s">
        <v>6322</v>
      </c>
      <c r="C2594" s="564" t="s">
        <v>6184</v>
      </c>
      <c r="D2594" s="565">
        <v>43033</v>
      </c>
      <c r="E2594" s="565">
        <v>43041</v>
      </c>
      <c r="F2594" s="566">
        <v>921000</v>
      </c>
      <c r="G2594" s="564" t="s">
        <v>1400</v>
      </c>
      <c r="H2594" s="564" t="s">
        <v>1400</v>
      </c>
      <c r="I2594" s="564" t="s">
        <v>4816</v>
      </c>
      <c r="J2594" s="564" t="s">
        <v>1069</v>
      </c>
      <c r="K2594" s="564" t="s">
        <v>1070</v>
      </c>
      <c r="L2594" s="564" t="s">
        <v>2098</v>
      </c>
      <c r="M2594" s="564" t="s">
        <v>2098</v>
      </c>
      <c r="N2594" s="564" t="s">
        <v>1082</v>
      </c>
      <c r="O2594" s="564" t="s">
        <v>2099</v>
      </c>
      <c r="P2594" s="23"/>
      <c r="Q2594" s="23"/>
      <c r="R2594" s="23"/>
      <c r="S2594" s="23"/>
      <c r="T2594" s="23"/>
      <c r="U2594" s="23"/>
      <c r="V2594" s="23"/>
      <c r="W2594" s="23"/>
      <c r="X2594" s="23"/>
      <c r="Y2594" s="23"/>
      <c r="Z2594" s="23"/>
    </row>
    <row r="2595" spans="1:26" ht="13">
      <c r="A2595" s="562" t="s">
        <v>6323</v>
      </c>
      <c r="B2595" s="563" t="s">
        <v>6324</v>
      </c>
      <c r="C2595" s="564" t="s">
        <v>1612</v>
      </c>
      <c r="D2595" s="565">
        <v>43032</v>
      </c>
      <c r="E2595" s="565">
        <v>43045</v>
      </c>
      <c r="F2595" s="566">
        <v>41181818</v>
      </c>
      <c r="G2595" s="564" t="s">
        <v>1623</v>
      </c>
      <c r="H2595" s="564" t="s">
        <v>1623</v>
      </c>
      <c r="I2595" s="564" t="s">
        <v>802</v>
      </c>
      <c r="J2595" s="564" t="s">
        <v>1069</v>
      </c>
      <c r="K2595" s="564" t="s">
        <v>1198</v>
      </c>
      <c r="L2595" s="564" t="s">
        <v>2098</v>
      </c>
      <c r="M2595" s="564" t="s">
        <v>2098</v>
      </c>
      <c r="N2595" s="564" t="s">
        <v>132</v>
      </c>
      <c r="O2595" s="564" t="s">
        <v>2099</v>
      </c>
      <c r="P2595" s="23"/>
      <c r="Q2595" s="23"/>
      <c r="R2595" s="23"/>
      <c r="S2595" s="23"/>
      <c r="T2595" s="23"/>
      <c r="U2595" s="23"/>
      <c r="V2595" s="23"/>
      <c r="W2595" s="23"/>
      <c r="X2595" s="23"/>
      <c r="Y2595" s="23"/>
      <c r="Z2595" s="23"/>
    </row>
    <row r="2596" spans="1:26" ht="13">
      <c r="A2596" s="562" t="s">
        <v>6325</v>
      </c>
      <c r="B2596" s="563" t="s">
        <v>6326</v>
      </c>
      <c r="C2596" s="564" t="s">
        <v>6184</v>
      </c>
      <c r="D2596" s="565">
        <v>43033</v>
      </c>
      <c r="E2596" s="565">
        <v>43035</v>
      </c>
      <c r="F2596" s="566">
        <v>1417000</v>
      </c>
      <c r="G2596" s="564" t="s">
        <v>1400</v>
      </c>
      <c r="H2596" s="564" t="s">
        <v>1400</v>
      </c>
      <c r="I2596" s="564" t="s">
        <v>4816</v>
      </c>
      <c r="J2596" s="564" t="s">
        <v>1069</v>
      </c>
      <c r="K2596" s="564" t="s">
        <v>1070</v>
      </c>
      <c r="L2596" s="564" t="s">
        <v>2098</v>
      </c>
      <c r="M2596" s="564" t="s">
        <v>2098</v>
      </c>
      <c r="N2596" s="564" t="s">
        <v>1082</v>
      </c>
      <c r="O2596" s="564" t="s">
        <v>2099</v>
      </c>
      <c r="P2596" s="23"/>
      <c r="Q2596" s="23"/>
      <c r="R2596" s="23"/>
      <c r="S2596" s="23"/>
      <c r="T2596" s="23"/>
      <c r="U2596" s="23"/>
      <c r="V2596" s="23"/>
      <c r="W2596" s="23"/>
      <c r="X2596" s="23"/>
      <c r="Y2596" s="23"/>
      <c r="Z2596" s="23"/>
    </row>
    <row r="2597" spans="1:26" ht="13">
      <c r="A2597" s="562" t="s">
        <v>6327</v>
      </c>
      <c r="B2597" s="563" t="s">
        <v>6328</v>
      </c>
      <c r="C2597" s="564" t="s">
        <v>6184</v>
      </c>
      <c r="D2597" s="565">
        <v>43032</v>
      </c>
      <c r="E2597" s="565">
        <v>43025</v>
      </c>
      <c r="F2597" s="566">
        <v>1165000</v>
      </c>
      <c r="G2597" s="564" t="s">
        <v>1400</v>
      </c>
      <c r="H2597" s="564" t="s">
        <v>1400</v>
      </c>
      <c r="I2597" s="564" t="s">
        <v>4816</v>
      </c>
      <c r="J2597" s="564" t="s">
        <v>1069</v>
      </c>
      <c r="K2597" s="564" t="s">
        <v>1070</v>
      </c>
      <c r="L2597" s="564" t="s">
        <v>2098</v>
      </c>
      <c r="M2597" s="564" t="s">
        <v>2098</v>
      </c>
      <c r="N2597" s="564" t="s">
        <v>1082</v>
      </c>
      <c r="O2597" s="564" t="s">
        <v>2099</v>
      </c>
      <c r="P2597" s="23"/>
      <c r="Q2597" s="23"/>
      <c r="R2597" s="23"/>
      <c r="S2597" s="23"/>
      <c r="T2597" s="23"/>
      <c r="U2597" s="23"/>
      <c r="V2597" s="23"/>
      <c r="W2597" s="23"/>
      <c r="X2597" s="23"/>
      <c r="Y2597" s="23"/>
      <c r="Z2597" s="23"/>
    </row>
    <row r="2598" spans="1:26" ht="13">
      <c r="A2598" s="562" t="s">
        <v>6329</v>
      </c>
      <c r="B2598" s="563" t="s">
        <v>6330</v>
      </c>
      <c r="C2598" s="564" t="s">
        <v>2387</v>
      </c>
      <c r="D2598" s="565">
        <v>43032</v>
      </c>
      <c r="E2598" s="565">
        <v>43039</v>
      </c>
      <c r="F2598" s="566">
        <v>185032000</v>
      </c>
      <c r="G2598" s="564" t="s">
        <v>1400</v>
      </c>
      <c r="H2598" s="564" t="s">
        <v>1400</v>
      </c>
      <c r="I2598" s="564" t="s">
        <v>4816</v>
      </c>
      <c r="J2598" s="564" t="s">
        <v>1069</v>
      </c>
      <c r="K2598" s="564" t="s">
        <v>1070</v>
      </c>
      <c r="L2598" s="564" t="s">
        <v>2098</v>
      </c>
      <c r="M2598" s="564" t="s">
        <v>2098</v>
      </c>
      <c r="N2598" s="564" t="s">
        <v>1082</v>
      </c>
      <c r="O2598" s="564" t="s">
        <v>2099</v>
      </c>
      <c r="P2598" s="23"/>
      <c r="Q2598" s="23"/>
      <c r="R2598" s="23"/>
      <c r="S2598" s="23"/>
      <c r="T2598" s="23"/>
      <c r="U2598" s="23"/>
      <c r="V2598" s="23"/>
      <c r="W2598" s="23"/>
      <c r="X2598" s="23"/>
      <c r="Y2598" s="23"/>
      <c r="Z2598" s="23"/>
    </row>
    <row r="2599" spans="1:26" ht="13">
      <c r="A2599" s="562" t="s">
        <v>6331</v>
      </c>
      <c r="B2599" s="563" t="s">
        <v>5749</v>
      </c>
      <c r="C2599" s="564" t="s">
        <v>1612</v>
      </c>
      <c r="D2599" s="565">
        <v>43031</v>
      </c>
      <c r="E2599" s="565">
        <v>43069</v>
      </c>
      <c r="F2599" s="566">
        <v>5715000</v>
      </c>
      <c r="G2599" s="564" t="s">
        <v>1424</v>
      </c>
      <c r="H2599" s="564" t="s">
        <v>1424</v>
      </c>
      <c r="I2599" s="564" t="s">
        <v>1681</v>
      </c>
      <c r="J2599" s="564" t="s">
        <v>1069</v>
      </c>
      <c r="K2599" s="564" t="s">
        <v>1120</v>
      </c>
      <c r="L2599" s="564" t="s">
        <v>2098</v>
      </c>
      <c r="M2599" s="564" t="s">
        <v>2098</v>
      </c>
      <c r="N2599" s="564" t="s">
        <v>1073</v>
      </c>
      <c r="O2599" s="564" t="s">
        <v>2099</v>
      </c>
      <c r="P2599" s="23"/>
      <c r="Q2599" s="23"/>
      <c r="R2599" s="23"/>
      <c r="S2599" s="23"/>
      <c r="T2599" s="23"/>
      <c r="U2599" s="23"/>
      <c r="V2599" s="23"/>
      <c r="W2599" s="23"/>
      <c r="X2599" s="23"/>
      <c r="Y2599" s="23"/>
      <c r="Z2599" s="23"/>
    </row>
    <row r="2600" spans="1:26" ht="13">
      <c r="A2600" s="562" t="s">
        <v>6332</v>
      </c>
      <c r="B2600" s="563" t="s">
        <v>6333</v>
      </c>
      <c r="C2600" s="564" t="s">
        <v>1204</v>
      </c>
      <c r="D2600" s="565">
        <v>43031</v>
      </c>
      <c r="E2600" s="565">
        <v>43009</v>
      </c>
      <c r="F2600" s="566">
        <v>1592640</v>
      </c>
      <c r="G2600" s="564" t="s">
        <v>1424</v>
      </c>
      <c r="H2600" s="564" t="s">
        <v>1424</v>
      </c>
      <c r="I2600" s="564" t="s">
        <v>1471</v>
      </c>
      <c r="J2600" s="564" t="s">
        <v>1069</v>
      </c>
      <c r="K2600" s="564" t="s">
        <v>1070</v>
      </c>
      <c r="L2600" s="564" t="s">
        <v>1071</v>
      </c>
      <c r="M2600" s="564" t="s">
        <v>1183</v>
      </c>
      <c r="N2600" s="564" t="s">
        <v>1082</v>
      </c>
      <c r="O2600" s="564" t="s">
        <v>1472</v>
      </c>
      <c r="P2600" s="23"/>
      <c r="Q2600" s="23"/>
      <c r="R2600" s="23"/>
      <c r="S2600" s="23"/>
      <c r="T2600" s="23"/>
      <c r="U2600" s="23"/>
      <c r="V2600" s="23"/>
      <c r="W2600" s="23"/>
      <c r="X2600" s="23"/>
      <c r="Y2600" s="23"/>
      <c r="Z2600" s="23"/>
    </row>
    <row r="2601" spans="1:26" ht="13">
      <c r="A2601" s="562" t="s">
        <v>6334</v>
      </c>
      <c r="B2601" s="563" t="s">
        <v>6087</v>
      </c>
      <c r="C2601" s="564" t="s">
        <v>1612</v>
      </c>
      <c r="D2601" s="565">
        <v>43028</v>
      </c>
      <c r="E2601" s="565">
        <v>43069</v>
      </c>
      <c r="F2601" s="566">
        <v>1067000</v>
      </c>
      <c r="G2601" s="564" t="s">
        <v>1424</v>
      </c>
      <c r="H2601" s="564" t="s">
        <v>1424</v>
      </c>
      <c r="I2601" s="564" t="s">
        <v>70</v>
      </c>
      <c r="J2601" s="564" t="s">
        <v>1069</v>
      </c>
      <c r="K2601" s="564" t="s">
        <v>1120</v>
      </c>
      <c r="L2601" s="564" t="s">
        <v>2098</v>
      </c>
      <c r="M2601" s="564" t="s">
        <v>2098</v>
      </c>
      <c r="N2601" s="564" t="s">
        <v>70</v>
      </c>
      <c r="O2601" s="564" t="s">
        <v>2099</v>
      </c>
      <c r="P2601" s="23"/>
      <c r="Q2601" s="23"/>
      <c r="R2601" s="23"/>
      <c r="S2601" s="23"/>
      <c r="T2601" s="23"/>
      <c r="U2601" s="23"/>
      <c r="V2601" s="23"/>
      <c r="W2601" s="23"/>
      <c r="X2601" s="23"/>
      <c r="Y2601" s="23"/>
      <c r="Z2601" s="23"/>
    </row>
    <row r="2602" spans="1:26" ht="13">
      <c r="A2602" s="562" t="s">
        <v>6335</v>
      </c>
      <c r="B2602" s="563" t="s">
        <v>6336</v>
      </c>
      <c r="C2602" s="564" t="s">
        <v>1612</v>
      </c>
      <c r="D2602" s="565">
        <v>43031</v>
      </c>
      <c r="E2602" s="565">
        <v>43069</v>
      </c>
      <c r="F2602" s="566">
        <v>630000</v>
      </c>
      <c r="G2602" s="564" t="s">
        <v>1424</v>
      </c>
      <c r="H2602" s="564" t="s">
        <v>1424</v>
      </c>
      <c r="I2602" s="564" t="s">
        <v>70</v>
      </c>
      <c r="J2602" s="564" t="s">
        <v>1069</v>
      </c>
      <c r="K2602" s="564" t="s">
        <v>1120</v>
      </c>
      <c r="L2602" s="564" t="s">
        <v>2098</v>
      </c>
      <c r="M2602" s="564" t="s">
        <v>2098</v>
      </c>
      <c r="N2602" s="564" t="s">
        <v>70</v>
      </c>
      <c r="O2602" s="564" t="s">
        <v>2099</v>
      </c>
      <c r="P2602" s="23"/>
      <c r="Q2602" s="23"/>
      <c r="R2602" s="23"/>
      <c r="S2602" s="23"/>
      <c r="T2602" s="23"/>
      <c r="U2602" s="23"/>
      <c r="V2602" s="23"/>
      <c r="W2602" s="23"/>
      <c r="X2602" s="23"/>
      <c r="Y2602" s="23"/>
      <c r="Z2602" s="23"/>
    </row>
    <row r="2603" spans="1:26" ht="13">
      <c r="A2603" s="562" t="s">
        <v>6337</v>
      </c>
      <c r="B2603" s="563" t="s">
        <v>6338</v>
      </c>
      <c r="C2603" s="564" t="s">
        <v>1612</v>
      </c>
      <c r="D2603" s="565">
        <v>43028</v>
      </c>
      <c r="E2603" s="565">
        <v>43063</v>
      </c>
      <c r="F2603" s="566">
        <v>612000</v>
      </c>
      <c r="G2603" s="564" t="s">
        <v>1424</v>
      </c>
      <c r="H2603" s="564" t="s">
        <v>1424</v>
      </c>
      <c r="I2603" s="564" t="s">
        <v>3824</v>
      </c>
      <c r="J2603" s="564" t="s">
        <v>1069</v>
      </c>
      <c r="K2603" s="564" t="s">
        <v>1070</v>
      </c>
      <c r="L2603" s="564" t="s">
        <v>2098</v>
      </c>
      <c r="M2603" s="564" t="s">
        <v>2098</v>
      </c>
      <c r="N2603" s="564" t="s">
        <v>1073</v>
      </c>
      <c r="O2603" s="564" t="s">
        <v>2099</v>
      </c>
      <c r="P2603" s="23"/>
      <c r="Q2603" s="23"/>
      <c r="R2603" s="23"/>
      <c r="S2603" s="23"/>
      <c r="T2603" s="23"/>
      <c r="U2603" s="23"/>
      <c r="V2603" s="23"/>
      <c r="W2603" s="23"/>
      <c r="X2603" s="23"/>
      <c r="Y2603" s="23"/>
      <c r="Z2603" s="23"/>
    </row>
    <row r="2604" spans="1:26" ht="13">
      <c r="A2604" s="562" t="s">
        <v>6339</v>
      </c>
      <c r="B2604" s="563" t="s">
        <v>5573</v>
      </c>
      <c r="C2604" s="564" t="s">
        <v>1873</v>
      </c>
      <c r="D2604" s="565">
        <v>43028</v>
      </c>
      <c r="E2604" s="565">
        <v>43069</v>
      </c>
      <c r="F2604" s="566">
        <v>223000</v>
      </c>
      <c r="G2604" s="564" t="s">
        <v>1424</v>
      </c>
      <c r="H2604" s="564" t="s">
        <v>1424</v>
      </c>
      <c r="I2604" s="564" t="s">
        <v>170</v>
      </c>
      <c r="J2604" s="564" t="s">
        <v>1069</v>
      </c>
      <c r="K2604" s="564" t="s">
        <v>1105</v>
      </c>
      <c r="L2604" s="564" t="s">
        <v>2098</v>
      </c>
      <c r="M2604" s="564" t="s">
        <v>2098</v>
      </c>
      <c r="N2604" s="564" t="s">
        <v>170</v>
      </c>
      <c r="O2604" s="564" t="s">
        <v>2099</v>
      </c>
      <c r="P2604" s="23"/>
      <c r="Q2604" s="23"/>
      <c r="R2604" s="23"/>
      <c r="S2604" s="23"/>
      <c r="T2604" s="23"/>
      <c r="U2604" s="23"/>
      <c r="V2604" s="23"/>
      <c r="W2604" s="23"/>
      <c r="X2604" s="23"/>
      <c r="Y2604" s="23"/>
      <c r="Z2604" s="23"/>
    </row>
    <row r="2605" spans="1:26" ht="13">
      <c r="A2605" s="562" t="s">
        <v>6340</v>
      </c>
      <c r="B2605" s="563" t="s">
        <v>6341</v>
      </c>
      <c r="C2605" s="564" t="s">
        <v>1612</v>
      </c>
      <c r="D2605" s="565">
        <v>43028</v>
      </c>
      <c r="E2605" s="565">
        <v>43063</v>
      </c>
      <c r="F2605" s="566">
        <v>408000</v>
      </c>
      <c r="G2605" s="564" t="s">
        <v>1424</v>
      </c>
      <c r="H2605" s="564" t="s">
        <v>1424</v>
      </c>
      <c r="I2605" s="564" t="s">
        <v>2586</v>
      </c>
      <c r="J2605" s="564" t="s">
        <v>1069</v>
      </c>
      <c r="K2605" s="564" t="s">
        <v>1070</v>
      </c>
      <c r="L2605" s="564" t="s">
        <v>2098</v>
      </c>
      <c r="M2605" s="564" t="s">
        <v>2098</v>
      </c>
      <c r="N2605" s="564" t="s">
        <v>1073</v>
      </c>
      <c r="O2605" s="564" t="s">
        <v>2099</v>
      </c>
      <c r="P2605" s="23"/>
      <c r="Q2605" s="23"/>
      <c r="R2605" s="23"/>
      <c r="S2605" s="23"/>
      <c r="T2605" s="23"/>
      <c r="U2605" s="23"/>
      <c r="V2605" s="23"/>
      <c r="W2605" s="23"/>
      <c r="X2605" s="23"/>
      <c r="Y2605" s="23"/>
      <c r="Z2605" s="23"/>
    </row>
    <row r="2606" spans="1:26" ht="13">
      <c r="A2606" s="562" t="s">
        <v>6342</v>
      </c>
      <c r="B2606" s="563" t="s">
        <v>5810</v>
      </c>
      <c r="C2606" s="564" t="s">
        <v>1612</v>
      </c>
      <c r="D2606" s="565">
        <v>43027</v>
      </c>
      <c r="E2606" s="565">
        <v>43069</v>
      </c>
      <c r="F2606" s="566">
        <v>17833000</v>
      </c>
      <c r="G2606" s="564" t="s">
        <v>1424</v>
      </c>
      <c r="H2606" s="564" t="s">
        <v>1424</v>
      </c>
      <c r="I2606" s="564" t="s">
        <v>70</v>
      </c>
      <c r="J2606" s="564" t="s">
        <v>1069</v>
      </c>
      <c r="K2606" s="564" t="s">
        <v>1120</v>
      </c>
      <c r="L2606" s="564" t="s">
        <v>2098</v>
      </c>
      <c r="M2606" s="564" t="s">
        <v>2098</v>
      </c>
      <c r="N2606" s="564" t="s">
        <v>70</v>
      </c>
      <c r="O2606" s="564" t="s">
        <v>2099</v>
      </c>
      <c r="P2606" s="23"/>
      <c r="Q2606" s="23"/>
      <c r="R2606" s="23"/>
      <c r="S2606" s="23"/>
      <c r="T2606" s="23"/>
      <c r="U2606" s="23"/>
      <c r="V2606" s="23"/>
      <c r="W2606" s="23"/>
      <c r="X2606" s="23"/>
      <c r="Y2606" s="23"/>
      <c r="Z2606" s="23"/>
    </row>
    <row r="2607" spans="1:26" ht="13">
      <c r="A2607" s="562" t="s">
        <v>6343</v>
      </c>
      <c r="B2607" s="563" t="s">
        <v>6344</v>
      </c>
      <c r="C2607" s="564" t="s">
        <v>1612</v>
      </c>
      <c r="D2607" s="565">
        <v>43026</v>
      </c>
      <c r="E2607" s="565">
        <v>43009</v>
      </c>
      <c r="F2607" s="566">
        <v>12060000</v>
      </c>
      <c r="G2607" s="564" t="s">
        <v>1424</v>
      </c>
      <c r="H2607" s="564" t="s">
        <v>1424</v>
      </c>
      <c r="I2607" s="564" t="s">
        <v>45</v>
      </c>
      <c r="J2607" s="564" t="s">
        <v>1069</v>
      </c>
      <c r="K2607" s="564" t="s">
        <v>1090</v>
      </c>
      <c r="L2607" s="564" t="s">
        <v>1071</v>
      </c>
      <c r="M2607" s="564" t="s">
        <v>1183</v>
      </c>
      <c r="N2607" s="564" t="s">
        <v>45</v>
      </c>
      <c r="O2607" s="564" t="s">
        <v>1472</v>
      </c>
      <c r="P2607" s="23"/>
      <c r="Q2607" s="23"/>
      <c r="R2607" s="23"/>
      <c r="S2607" s="23"/>
      <c r="T2607" s="23"/>
      <c r="U2607" s="23"/>
      <c r="V2607" s="23"/>
      <c r="W2607" s="23"/>
      <c r="X2607" s="23"/>
      <c r="Y2607" s="23"/>
      <c r="Z2607" s="23"/>
    </row>
    <row r="2608" spans="1:26" ht="13">
      <c r="A2608" s="562" t="s">
        <v>6345</v>
      </c>
      <c r="B2608" s="563" t="s">
        <v>6346</v>
      </c>
      <c r="C2608" s="564" t="s">
        <v>1204</v>
      </c>
      <c r="D2608" s="565">
        <v>43027</v>
      </c>
      <c r="E2608" s="565">
        <v>42979</v>
      </c>
      <c r="F2608" s="566">
        <v>1116000</v>
      </c>
      <c r="G2608" s="564" t="s">
        <v>1424</v>
      </c>
      <c r="H2608" s="564" t="s">
        <v>1424</v>
      </c>
      <c r="I2608" s="564" t="s">
        <v>1471</v>
      </c>
      <c r="J2608" s="564" t="s">
        <v>1069</v>
      </c>
      <c r="K2608" s="564" t="s">
        <v>1070</v>
      </c>
      <c r="L2608" s="564" t="s">
        <v>1071</v>
      </c>
      <c r="M2608" s="564" t="s">
        <v>1183</v>
      </c>
      <c r="N2608" s="564" t="s">
        <v>1082</v>
      </c>
      <c r="O2608" s="564" t="s">
        <v>1472</v>
      </c>
      <c r="P2608" s="23"/>
      <c r="Q2608" s="23"/>
      <c r="R2608" s="23"/>
      <c r="S2608" s="23"/>
      <c r="T2608" s="23"/>
      <c r="U2608" s="23"/>
      <c r="V2608" s="23"/>
      <c r="W2608" s="23"/>
      <c r="X2608" s="23"/>
      <c r="Y2608" s="23"/>
      <c r="Z2608" s="23"/>
    </row>
    <row r="2609" spans="1:26" ht="13">
      <c r="A2609" s="562" t="s">
        <v>6347</v>
      </c>
      <c r="B2609" s="563" t="s">
        <v>6348</v>
      </c>
      <c r="C2609" s="564" t="s">
        <v>1612</v>
      </c>
      <c r="D2609" s="565">
        <v>43026</v>
      </c>
      <c r="E2609" s="565">
        <v>42979</v>
      </c>
      <c r="F2609" s="566">
        <v>9444360</v>
      </c>
      <c r="G2609" s="564" t="s">
        <v>1424</v>
      </c>
      <c r="H2609" s="564" t="s">
        <v>1424</v>
      </c>
      <c r="I2609" s="564" t="s">
        <v>45</v>
      </c>
      <c r="J2609" s="564" t="s">
        <v>1069</v>
      </c>
      <c r="K2609" s="564" t="s">
        <v>1090</v>
      </c>
      <c r="L2609" s="564" t="s">
        <v>1071</v>
      </c>
      <c r="M2609" s="564" t="s">
        <v>1183</v>
      </c>
      <c r="N2609" s="564" t="s">
        <v>45</v>
      </c>
      <c r="O2609" s="564" t="s">
        <v>1472</v>
      </c>
      <c r="P2609" s="23"/>
      <c r="Q2609" s="23"/>
      <c r="R2609" s="23"/>
      <c r="S2609" s="23"/>
      <c r="T2609" s="23"/>
      <c r="U2609" s="23"/>
      <c r="V2609" s="23"/>
      <c r="W2609" s="23"/>
      <c r="X2609" s="23"/>
      <c r="Y2609" s="23"/>
      <c r="Z2609" s="23"/>
    </row>
    <row r="2610" spans="1:26" ht="13">
      <c r="A2610" s="562" t="s">
        <v>6349</v>
      </c>
      <c r="B2610" s="563" t="s">
        <v>6350</v>
      </c>
      <c r="C2610" s="564" t="s">
        <v>1612</v>
      </c>
      <c r="D2610" s="565">
        <v>43026</v>
      </c>
      <c r="E2610" s="565">
        <v>43009</v>
      </c>
      <c r="F2610" s="566">
        <v>6006600</v>
      </c>
      <c r="G2610" s="564" t="s">
        <v>1424</v>
      </c>
      <c r="H2610" s="564" t="s">
        <v>1424</v>
      </c>
      <c r="I2610" s="564" t="s">
        <v>45</v>
      </c>
      <c r="J2610" s="564" t="s">
        <v>1069</v>
      </c>
      <c r="K2610" s="564" t="s">
        <v>1090</v>
      </c>
      <c r="L2610" s="564" t="s">
        <v>1071</v>
      </c>
      <c r="M2610" s="564" t="s">
        <v>1183</v>
      </c>
      <c r="N2610" s="564" t="s">
        <v>45</v>
      </c>
      <c r="O2610" s="564" t="s">
        <v>1472</v>
      </c>
      <c r="P2610" s="23"/>
      <c r="Q2610" s="23"/>
      <c r="R2610" s="23"/>
      <c r="S2610" s="23"/>
      <c r="T2610" s="23"/>
      <c r="U2610" s="23"/>
      <c r="V2610" s="23"/>
      <c r="W2610" s="23"/>
      <c r="X2610" s="23"/>
      <c r="Y2610" s="23"/>
      <c r="Z2610" s="23"/>
    </row>
    <row r="2611" spans="1:26" ht="13">
      <c r="A2611" s="562" t="s">
        <v>6351</v>
      </c>
      <c r="B2611" s="563" t="s">
        <v>6352</v>
      </c>
      <c r="C2611" s="564" t="s">
        <v>1612</v>
      </c>
      <c r="D2611" s="565">
        <v>43026</v>
      </c>
      <c r="E2611" s="565">
        <v>42979</v>
      </c>
      <c r="F2611" s="566">
        <v>1296120</v>
      </c>
      <c r="G2611" s="564" t="s">
        <v>1424</v>
      </c>
      <c r="H2611" s="564" t="s">
        <v>1424</v>
      </c>
      <c r="I2611" s="564" t="s">
        <v>45</v>
      </c>
      <c r="J2611" s="564" t="s">
        <v>1069</v>
      </c>
      <c r="K2611" s="564" t="s">
        <v>1090</v>
      </c>
      <c r="L2611" s="564" t="s">
        <v>1071</v>
      </c>
      <c r="M2611" s="564" t="s">
        <v>1183</v>
      </c>
      <c r="N2611" s="564" t="s">
        <v>45</v>
      </c>
      <c r="O2611" s="564" t="s">
        <v>1472</v>
      </c>
      <c r="P2611" s="23"/>
      <c r="Q2611" s="23"/>
      <c r="R2611" s="23"/>
      <c r="S2611" s="23"/>
      <c r="T2611" s="23"/>
      <c r="U2611" s="23"/>
      <c r="V2611" s="23"/>
      <c r="W2611" s="23"/>
      <c r="X2611" s="23"/>
      <c r="Y2611" s="23"/>
      <c r="Z2611" s="23"/>
    </row>
    <row r="2612" spans="1:26" ht="13">
      <c r="A2612" s="562" t="s">
        <v>6353</v>
      </c>
      <c r="B2612" s="563" t="s">
        <v>6354</v>
      </c>
      <c r="C2612" s="564" t="s">
        <v>1612</v>
      </c>
      <c r="D2612" s="565">
        <v>43025</v>
      </c>
      <c r="E2612" s="565">
        <v>43100</v>
      </c>
      <c r="F2612" s="566">
        <v>22700000</v>
      </c>
      <c r="G2612" s="564" t="s">
        <v>5844</v>
      </c>
      <c r="H2612" s="564" t="s">
        <v>5844</v>
      </c>
      <c r="I2612" s="564" t="s">
        <v>45</v>
      </c>
      <c r="J2612" s="564" t="s">
        <v>1069</v>
      </c>
      <c r="K2612" s="564" t="s">
        <v>1090</v>
      </c>
      <c r="L2612" s="564" t="s">
        <v>2098</v>
      </c>
      <c r="M2612" s="564" t="s">
        <v>2098</v>
      </c>
      <c r="N2612" s="564" t="s">
        <v>45</v>
      </c>
      <c r="O2612" s="564" t="s">
        <v>2099</v>
      </c>
      <c r="P2612" s="23"/>
      <c r="Q2612" s="23"/>
      <c r="R2612" s="23"/>
      <c r="S2612" s="23"/>
      <c r="T2612" s="23"/>
      <c r="U2612" s="23"/>
      <c r="V2612" s="23"/>
      <c r="W2612" s="23"/>
      <c r="X2612" s="23"/>
      <c r="Y2612" s="23"/>
      <c r="Z2612" s="23"/>
    </row>
    <row r="2613" spans="1:26" ht="13">
      <c r="A2613" s="562" t="s">
        <v>6355</v>
      </c>
      <c r="B2613" s="563" t="s">
        <v>6356</v>
      </c>
      <c r="C2613" s="564" t="s">
        <v>1551</v>
      </c>
      <c r="D2613" s="565">
        <v>43024</v>
      </c>
      <c r="E2613" s="565">
        <v>43021</v>
      </c>
      <c r="F2613" s="566">
        <v>1382136000</v>
      </c>
      <c r="G2613" s="564" t="s">
        <v>1424</v>
      </c>
      <c r="H2613" s="564" t="s">
        <v>1424</v>
      </c>
      <c r="I2613" s="564" t="s">
        <v>45</v>
      </c>
      <c r="J2613" s="564" t="s">
        <v>1069</v>
      </c>
      <c r="K2613" s="564" t="s">
        <v>1090</v>
      </c>
      <c r="L2613" s="564" t="s">
        <v>2098</v>
      </c>
      <c r="M2613" s="564" t="s">
        <v>2098</v>
      </c>
      <c r="N2613" s="564" t="s">
        <v>45</v>
      </c>
      <c r="O2613" s="564" t="s">
        <v>2099</v>
      </c>
      <c r="P2613" s="23"/>
      <c r="Q2613" s="23"/>
      <c r="R2613" s="23"/>
      <c r="S2613" s="23"/>
      <c r="T2613" s="23"/>
      <c r="U2613" s="23"/>
      <c r="V2613" s="23"/>
      <c r="W2613" s="23"/>
      <c r="X2613" s="23"/>
      <c r="Y2613" s="23"/>
      <c r="Z2613" s="23"/>
    </row>
    <row r="2614" spans="1:26" ht="13">
      <c r="A2614" s="562" t="s">
        <v>6357</v>
      </c>
      <c r="B2614" s="563" t="s">
        <v>6358</v>
      </c>
      <c r="C2614" s="564" t="s">
        <v>1612</v>
      </c>
      <c r="D2614" s="565">
        <v>43020</v>
      </c>
      <c r="E2614" s="565">
        <v>43094</v>
      </c>
      <c r="F2614" s="566">
        <v>40909091</v>
      </c>
      <c r="G2614" s="564" t="s">
        <v>1623</v>
      </c>
      <c r="H2614" s="564" t="s">
        <v>1623</v>
      </c>
      <c r="I2614" s="564" t="s">
        <v>802</v>
      </c>
      <c r="J2614" s="564" t="s">
        <v>1069</v>
      </c>
      <c r="K2614" s="564" t="s">
        <v>1198</v>
      </c>
      <c r="L2614" s="564" t="s">
        <v>2098</v>
      </c>
      <c r="M2614" s="564" t="s">
        <v>2098</v>
      </c>
      <c r="N2614" s="564" t="s">
        <v>132</v>
      </c>
      <c r="O2614" s="564" t="s">
        <v>2099</v>
      </c>
      <c r="P2614" s="23"/>
      <c r="Q2614" s="23"/>
      <c r="R2614" s="23"/>
      <c r="S2614" s="23"/>
      <c r="T2614" s="23"/>
      <c r="U2614" s="23"/>
      <c r="V2614" s="23"/>
      <c r="W2614" s="23"/>
      <c r="X2614" s="23"/>
      <c r="Y2614" s="23"/>
      <c r="Z2614" s="23"/>
    </row>
    <row r="2615" spans="1:26" ht="13">
      <c r="A2615" s="562" t="s">
        <v>6359</v>
      </c>
      <c r="B2615" s="563" t="s">
        <v>6360</v>
      </c>
      <c r="C2615" s="564" t="s">
        <v>1612</v>
      </c>
      <c r="D2615" s="565">
        <v>43019</v>
      </c>
      <c r="E2615" s="565">
        <v>43008</v>
      </c>
      <c r="F2615" s="566">
        <v>9126000</v>
      </c>
      <c r="G2615" s="564" t="s">
        <v>1424</v>
      </c>
      <c r="H2615" s="564" t="s">
        <v>1424</v>
      </c>
      <c r="I2615" s="564" t="s">
        <v>4853</v>
      </c>
      <c r="J2615" s="564" t="s">
        <v>1069</v>
      </c>
      <c r="K2615" s="564" t="s">
        <v>1090</v>
      </c>
      <c r="L2615" s="564" t="s">
        <v>2098</v>
      </c>
      <c r="M2615" s="564" t="s">
        <v>2098</v>
      </c>
      <c r="N2615" s="564" t="s">
        <v>1073</v>
      </c>
      <c r="O2615" s="564" t="s">
        <v>2099</v>
      </c>
      <c r="P2615" s="23"/>
      <c r="Q2615" s="23"/>
      <c r="R2615" s="23"/>
      <c r="S2615" s="23"/>
      <c r="T2615" s="23"/>
      <c r="U2615" s="23"/>
      <c r="V2615" s="23"/>
      <c r="W2615" s="23"/>
      <c r="X2615" s="23"/>
      <c r="Y2615" s="23"/>
      <c r="Z2615" s="23"/>
    </row>
    <row r="2616" spans="1:26" ht="13">
      <c r="A2616" s="562" t="s">
        <v>6361</v>
      </c>
      <c r="B2616" s="563" t="s">
        <v>6362</v>
      </c>
      <c r="C2616" s="564" t="s">
        <v>1612</v>
      </c>
      <c r="D2616" s="565">
        <v>43018</v>
      </c>
      <c r="E2616" s="565">
        <v>43045</v>
      </c>
      <c r="F2616" s="566">
        <v>304639000</v>
      </c>
      <c r="G2616" s="564" t="s">
        <v>5465</v>
      </c>
      <c r="H2616" s="564" t="s">
        <v>5465</v>
      </c>
      <c r="I2616" s="564" t="s">
        <v>45</v>
      </c>
      <c r="J2616" s="564" t="s">
        <v>1069</v>
      </c>
      <c r="K2616" s="564" t="s">
        <v>1090</v>
      </c>
      <c r="L2616" s="564" t="s">
        <v>2098</v>
      </c>
      <c r="M2616" s="564" t="s">
        <v>2098</v>
      </c>
      <c r="N2616" s="564" t="s">
        <v>45</v>
      </c>
      <c r="O2616" s="564" t="s">
        <v>2099</v>
      </c>
      <c r="P2616" s="23"/>
      <c r="Q2616" s="23"/>
      <c r="R2616" s="23"/>
      <c r="S2616" s="23"/>
      <c r="T2616" s="23"/>
      <c r="U2616" s="23"/>
      <c r="V2616" s="23"/>
      <c r="W2616" s="23"/>
      <c r="X2616" s="23"/>
      <c r="Y2616" s="23"/>
      <c r="Z2616" s="23"/>
    </row>
    <row r="2617" spans="1:26" ht="13">
      <c r="A2617" s="562" t="s">
        <v>6363</v>
      </c>
      <c r="B2617" s="563" t="s">
        <v>6150</v>
      </c>
      <c r="C2617" s="564" t="s">
        <v>1612</v>
      </c>
      <c r="D2617" s="565">
        <v>43007</v>
      </c>
      <c r="E2617" s="565">
        <v>43039</v>
      </c>
      <c r="F2617" s="566">
        <v>4320000</v>
      </c>
      <c r="G2617" s="564" t="s">
        <v>1424</v>
      </c>
      <c r="H2617" s="564" t="s">
        <v>1424</v>
      </c>
      <c r="I2617" s="564" t="s">
        <v>1837</v>
      </c>
      <c r="J2617" s="564" t="s">
        <v>1069</v>
      </c>
      <c r="K2617" s="564" t="s">
        <v>1070</v>
      </c>
      <c r="L2617" s="564" t="s">
        <v>2098</v>
      </c>
      <c r="M2617" s="564" t="s">
        <v>2098</v>
      </c>
      <c r="N2617" s="564" t="s">
        <v>1082</v>
      </c>
      <c r="O2617" s="564" t="s">
        <v>2099</v>
      </c>
      <c r="P2617" s="23"/>
      <c r="Q2617" s="23"/>
      <c r="R2617" s="23"/>
      <c r="S2617" s="23"/>
      <c r="T2617" s="23"/>
      <c r="U2617" s="23"/>
      <c r="V2617" s="23"/>
      <c r="W2617" s="23"/>
      <c r="X2617" s="23"/>
      <c r="Y2617" s="23"/>
      <c r="Z2617" s="23"/>
    </row>
    <row r="2618" spans="1:26" ht="13">
      <c r="A2618" s="562" t="s">
        <v>6364</v>
      </c>
      <c r="B2618" s="563" t="s">
        <v>6365</v>
      </c>
      <c r="C2618" s="564" t="s">
        <v>1612</v>
      </c>
      <c r="D2618" s="565">
        <v>43006</v>
      </c>
      <c r="E2618" s="565">
        <v>43039</v>
      </c>
      <c r="F2618" s="566">
        <v>16500000</v>
      </c>
      <c r="G2618" s="564" t="s">
        <v>5465</v>
      </c>
      <c r="H2618" s="564" t="s">
        <v>5465</v>
      </c>
      <c r="I2618" s="564" t="s">
        <v>45</v>
      </c>
      <c r="J2618" s="564" t="s">
        <v>1069</v>
      </c>
      <c r="K2618" s="564" t="s">
        <v>1090</v>
      </c>
      <c r="L2618" s="564" t="s">
        <v>2098</v>
      </c>
      <c r="M2618" s="564" t="s">
        <v>2098</v>
      </c>
      <c r="N2618" s="564" t="s">
        <v>45</v>
      </c>
      <c r="O2618" s="564" t="s">
        <v>2099</v>
      </c>
      <c r="P2618" s="23"/>
      <c r="Q2618" s="23"/>
      <c r="R2618" s="23"/>
      <c r="S2618" s="23"/>
      <c r="T2618" s="23"/>
      <c r="U2618" s="23"/>
      <c r="V2618" s="23"/>
      <c r="W2618" s="23"/>
      <c r="X2618" s="23"/>
      <c r="Y2618" s="23"/>
      <c r="Z2618" s="23"/>
    </row>
    <row r="2619" spans="1:26" ht="13">
      <c r="A2619" s="562" t="s">
        <v>6366</v>
      </c>
      <c r="B2619" s="563" t="s">
        <v>6119</v>
      </c>
      <c r="C2619" s="564" t="s">
        <v>1612</v>
      </c>
      <c r="D2619" s="565">
        <v>43004</v>
      </c>
      <c r="E2619" s="565">
        <v>43034</v>
      </c>
      <c r="F2619" s="566">
        <v>3540000</v>
      </c>
      <c r="G2619" s="564" t="s">
        <v>1424</v>
      </c>
      <c r="H2619" s="564" t="s">
        <v>1424</v>
      </c>
      <c r="I2619" s="564" t="s">
        <v>45</v>
      </c>
      <c r="J2619" s="564" t="s">
        <v>1069</v>
      </c>
      <c r="K2619" s="564" t="s">
        <v>1090</v>
      </c>
      <c r="L2619" s="564" t="s">
        <v>2098</v>
      </c>
      <c r="M2619" s="564" t="s">
        <v>2098</v>
      </c>
      <c r="N2619" s="564" t="s">
        <v>45</v>
      </c>
      <c r="O2619" s="564" t="s">
        <v>2099</v>
      </c>
      <c r="P2619" s="23"/>
      <c r="Q2619" s="23"/>
      <c r="R2619" s="23"/>
      <c r="S2619" s="23"/>
      <c r="T2619" s="23"/>
      <c r="U2619" s="23"/>
      <c r="V2619" s="23"/>
      <c r="W2619" s="23"/>
      <c r="X2619" s="23"/>
      <c r="Y2619" s="23"/>
      <c r="Z2619" s="23"/>
    </row>
    <row r="2620" spans="1:26" ht="13">
      <c r="A2620" s="562" t="s">
        <v>6367</v>
      </c>
      <c r="B2620" s="563" t="s">
        <v>5634</v>
      </c>
      <c r="C2620" s="564" t="s">
        <v>1612</v>
      </c>
      <c r="D2620" s="565">
        <v>43004</v>
      </c>
      <c r="E2620" s="565">
        <v>43035</v>
      </c>
      <c r="F2620" s="566">
        <v>3183000</v>
      </c>
      <c r="G2620" s="564" t="s">
        <v>1424</v>
      </c>
      <c r="H2620" s="564" t="s">
        <v>1424</v>
      </c>
      <c r="I2620" s="564" t="s">
        <v>1719</v>
      </c>
      <c r="J2620" s="564" t="s">
        <v>1069</v>
      </c>
      <c r="K2620" s="564" t="s">
        <v>1120</v>
      </c>
      <c r="L2620" s="564" t="s">
        <v>2098</v>
      </c>
      <c r="M2620" s="564" t="s">
        <v>2098</v>
      </c>
      <c r="N2620" s="564" t="s">
        <v>1073</v>
      </c>
      <c r="O2620" s="564" t="s">
        <v>2099</v>
      </c>
      <c r="P2620" s="23"/>
      <c r="Q2620" s="23"/>
      <c r="R2620" s="23"/>
      <c r="S2620" s="23"/>
      <c r="T2620" s="23"/>
      <c r="U2620" s="23"/>
      <c r="V2620" s="23"/>
      <c r="W2620" s="23"/>
      <c r="X2620" s="23"/>
      <c r="Y2620" s="23"/>
      <c r="Z2620" s="23"/>
    </row>
    <row r="2621" spans="1:26" ht="13">
      <c r="A2621" s="562" t="s">
        <v>6368</v>
      </c>
      <c r="B2621" s="563" t="s">
        <v>6369</v>
      </c>
      <c r="C2621" s="564" t="s">
        <v>1612</v>
      </c>
      <c r="D2621" s="565">
        <v>42999</v>
      </c>
      <c r="E2621" s="565">
        <v>43028</v>
      </c>
      <c r="F2621" s="566">
        <v>1954545</v>
      </c>
      <c r="G2621" s="564" t="s">
        <v>1623</v>
      </c>
      <c r="H2621" s="564" t="s">
        <v>1623</v>
      </c>
      <c r="I2621" s="564" t="s">
        <v>802</v>
      </c>
      <c r="J2621" s="564" t="s">
        <v>1069</v>
      </c>
      <c r="K2621" s="564" t="s">
        <v>1198</v>
      </c>
      <c r="L2621" s="564" t="s">
        <v>2098</v>
      </c>
      <c r="M2621" s="564" t="s">
        <v>2098</v>
      </c>
      <c r="N2621" s="564" t="s">
        <v>132</v>
      </c>
      <c r="O2621" s="564" t="s">
        <v>2099</v>
      </c>
      <c r="P2621" s="23"/>
      <c r="Q2621" s="23"/>
      <c r="R2621" s="23"/>
      <c r="S2621" s="23"/>
      <c r="T2621" s="23"/>
      <c r="U2621" s="23"/>
      <c r="V2621" s="23"/>
      <c r="W2621" s="23"/>
      <c r="X2621" s="23"/>
      <c r="Y2621" s="23"/>
      <c r="Z2621" s="23"/>
    </row>
    <row r="2622" spans="1:26" ht="13">
      <c r="A2622" s="562" t="s">
        <v>6370</v>
      </c>
      <c r="B2622" s="563" t="s">
        <v>6371</v>
      </c>
      <c r="C2622" s="564" t="s">
        <v>2437</v>
      </c>
      <c r="D2622" s="565">
        <v>42997</v>
      </c>
      <c r="E2622" s="565">
        <v>43033</v>
      </c>
      <c r="F2622" s="566">
        <v>10650000</v>
      </c>
      <c r="G2622" s="564" t="s">
        <v>1529</v>
      </c>
      <c r="H2622" s="564" t="s">
        <v>1529</v>
      </c>
      <c r="I2622" s="564" t="s">
        <v>1417</v>
      </c>
      <c r="J2622" s="564" t="s">
        <v>1069</v>
      </c>
      <c r="K2622" s="564" t="s">
        <v>1070</v>
      </c>
      <c r="L2622" s="564" t="s">
        <v>2098</v>
      </c>
      <c r="M2622" s="564" t="s">
        <v>2098</v>
      </c>
      <c r="N2622" s="564" t="s">
        <v>1082</v>
      </c>
      <c r="O2622" s="564" t="s">
        <v>2099</v>
      </c>
      <c r="P2622" s="23"/>
      <c r="Q2622" s="23"/>
      <c r="R2622" s="23"/>
      <c r="S2622" s="23"/>
      <c r="T2622" s="23"/>
      <c r="U2622" s="23"/>
      <c r="V2622" s="23"/>
      <c r="W2622" s="23"/>
      <c r="X2622" s="23"/>
      <c r="Y2622" s="23"/>
      <c r="Z2622" s="23"/>
    </row>
    <row r="2623" spans="1:26" ht="13">
      <c r="A2623" s="562" t="s">
        <v>6372</v>
      </c>
      <c r="B2623" s="563" t="s">
        <v>5810</v>
      </c>
      <c r="C2623" s="564" t="s">
        <v>1612</v>
      </c>
      <c r="D2623" s="565">
        <v>42998</v>
      </c>
      <c r="E2623" s="565">
        <v>43007</v>
      </c>
      <c r="F2623" s="566">
        <v>883000</v>
      </c>
      <c r="G2623" s="564" t="s">
        <v>1424</v>
      </c>
      <c r="H2623" s="564" t="s">
        <v>1424</v>
      </c>
      <c r="I2623" s="564" t="s">
        <v>70</v>
      </c>
      <c r="J2623" s="564" t="s">
        <v>1069</v>
      </c>
      <c r="K2623" s="564" t="s">
        <v>1120</v>
      </c>
      <c r="L2623" s="564" t="s">
        <v>2098</v>
      </c>
      <c r="M2623" s="564" t="s">
        <v>2098</v>
      </c>
      <c r="N2623" s="564" t="s">
        <v>70</v>
      </c>
      <c r="O2623" s="564" t="s">
        <v>2099</v>
      </c>
      <c r="P2623" s="23"/>
      <c r="Q2623" s="23"/>
      <c r="R2623" s="23"/>
      <c r="S2623" s="23"/>
      <c r="T2623" s="23"/>
      <c r="U2623" s="23"/>
      <c r="V2623" s="23"/>
      <c r="W2623" s="23"/>
      <c r="X2623" s="23"/>
      <c r="Y2623" s="23"/>
      <c r="Z2623" s="23"/>
    </row>
    <row r="2624" spans="1:26" ht="13">
      <c r="A2624" s="562" t="s">
        <v>6373</v>
      </c>
      <c r="B2624" s="563" t="s">
        <v>6374</v>
      </c>
      <c r="C2624" s="564" t="s">
        <v>1612</v>
      </c>
      <c r="D2624" s="565">
        <v>42997</v>
      </c>
      <c r="E2624" s="565">
        <v>43035</v>
      </c>
      <c r="F2624" s="566">
        <v>618000</v>
      </c>
      <c r="G2624" s="564" t="s">
        <v>1424</v>
      </c>
      <c r="H2624" s="564" t="s">
        <v>1424</v>
      </c>
      <c r="I2624" s="564" t="s">
        <v>64</v>
      </c>
      <c r="J2624" s="564" t="s">
        <v>1069</v>
      </c>
      <c r="K2624" s="564" t="s">
        <v>1090</v>
      </c>
      <c r="L2624" s="564" t="s">
        <v>2098</v>
      </c>
      <c r="M2624" s="564" t="s">
        <v>2098</v>
      </c>
      <c r="N2624" s="564" t="s">
        <v>64</v>
      </c>
      <c r="O2624" s="564" t="s">
        <v>2099</v>
      </c>
      <c r="P2624" s="23"/>
      <c r="Q2624" s="23"/>
      <c r="R2624" s="23"/>
      <c r="S2624" s="23"/>
      <c r="T2624" s="23"/>
      <c r="U2624" s="23"/>
      <c r="V2624" s="23"/>
      <c r="W2624" s="23"/>
      <c r="X2624" s="23"/>
      <c r="Y2624" s="23"/>
      <c r="Z2624" s="23"/>
    </row>
    <row r="2625" spans="1:26" ht="13">
      <c r="A2625" s="562" t="s">
        <v>6375</v>
      </c>
      <c r="B2625" s="563" t="s">
        <v>6376</v>
      </c>
      <c r="C2625" s="564" t="s">
        <v>1612</v>
      </c>
      <c r="D2625" s="565">
        <v>42986</v>
      </c>
      <c r="E2625" s="565">
        <v>43007</v>
      </c>
      <c r="F2625" s="566">
        <v>268737000</v>
      </c>
      <c r="G2625" s="564" t="s">
        <v>5465</v>
      </c>
      <c r="H2625" s="564" t="s">
        <v>5465</v>
      </c>
      <c r="I2625" s="564" t="s">
        <v>45</v>
      </c>
      <c r="J2625" s="564" t="s">
        <v>1069</v>
      </c>
      <c r="K2625" s="564" t="s">
        <v>1090</v>
      </c>
      <c r="L2625" s="564" t="s">
        <v>2098</v>
      </c>
      <c r="M2625" s="564" t="s">
        <v>2098</v>
      </c>
      <c r="N2625" s="564" t="s">
        <v>45</v>
      </c>
      <c r="O2625" s="564" t="s">
        <v>2099</v>
      </c>
      <c r="P2625" s="23"/>
      <c r="Q2625" s="23"/>
      <c r="R2625" s="23"/>
      <c r="S2625" s="23"/>
      <c r="T2625" s="23"/>
      <c r="U2625" s="23"/>
      <c r="V2625" s="23"/>
      <c r="W2625" s="23"/>
      <c r="X2625" s="23"/>
      <c r="Y2625" s="23"/>
      <c r="Z2625" s="23"/>
    </row>
    <row r="2626" spans="1:26" ht="13">
      <c r="A2626" s="562" t="s">
        <v>6377</v>
      </c>
      <c r="B2626" s="563" t="s">
        <v>6378</v>
      </c>
      <c r="C2626" s="564" t="s">
        <v>1612</v>
      </c>
      <c r="D2626" s="565">
        <v>42985</v>
      </c>
      <c r="E2626" s="565">
        <v>43008</v>
      </c>
      <c r="F2626" s="566">
        <v>412000</v>
      </c>
      <c r="G2626" s="564" t="s">
        <v>1424</v>
      </c>
      <c r="H2626" s="564" t="s">
        <v>1424</v>
      </c>
      <c r="I2626" s="564" t="s">
        <v>64</v>
      </c>
      <c r="J2626" s="564" t="s">
        <v>1069</v>
      </c>
      <c r="K2626" s="564" t="s">
        <v>1090</v>
      </c>
      <c r="L2626" s="564" t="s">
        <v>2098</v>
      </c>
      <c r="M2626" s="564" t="s">
        <v>2098</v>
      </c>
      <c r="N2626" s="564" t="s">
        <v>64</v>
      </c>
      <c r="O2626" s="564" t="s">
        <v>2099</v>
      </c>
      <c r="P2626" s="23"/>
      <c r="Q2626" s="23"/>
      <c r="R2626" s="23"/>
      <c r="S2626" s="23"/>
      <c r="T2626" s="23"/>
      <c r="U2626" s="23"/>
      <c r="V2626" s="23"/>
      <c r="W2626" s="23"/>
      <c r="X2626" s="23"/>
      <c r="Y2626" s="23"/>
      <c r="Z2626" s="23"/>
    </row>
    <row r="2627" spans="1:26" ht="13">
      <c r="A2627" s="562" t="s">
        <v>6379</v>
      </c>
      <c r="B2627" s="563" t="s">
        <v>6380</v>
      </c>
      <c r="C2627" s="564" t="s">
        <v>1612</v>
      </c>
      <c r="D2627" s="565">
        <v>42985</v>
      </c>
      <c r="E2627" s="565">
        <v>43038</v>
      </c>
      <c r="F2627" s="566">
        <v>10990000</v>
      </c>
      <c r="G2627" s="564" t="s">
        <v>1424</v>
      </c>
      <c r="H2627" s="564" t="s">
        <v>1424</v>
      </c>
      <c r="I2627" s="564" t="s">
        <v>45</v>
      </c>
      <c r="J2627" s="564" t="s">
        <v>1069</v>
      </c>
      <c r="K2627" s="564" t="s">
        <v>1090</v>
      </c>
      <c r="L2627" s="564" t="s">
        <v>2098</v>
      </c>
      <c r="M2627" s="564" t="s">
        <v>2098</v>
      </c>
      <c r="N2627" s="564" t="s">
        <v>45</v>
      </c>
      <c r="O2627" s="564" t="s">
        <v>2099</v>
      </c>
      <c r="P2627" s="23"/>
      <c r="Q2627" s="23"/>
      <c r="R2627" s="23"/>
      <c r="S2627" s="23"/>
      <c r="T2627" s="23"/>
      <c r="U2627" s="23"/>
      <c r="V2627" s="23"/>
      <c r="W2627" s="23"/>
      <c r="X2627" s="23"/>
      <c r="Y2627" s="23"/>
      <c r="Z2627" s="23"/>
    </row>
    <row r="2628" spans="1:26" ht="13">
      <c r="A2628" s="562" t="s">
        <v>6381</v>
      </c>
      <c r="B2628" s="563" t="s">
        <v>6192</v>
      </c>
      <c r="C2628" s="564" t="s">
        <v>1612</v>
      </c>
      <c r="D2628" s="565">
        <v>42985</v>
      </c>
      <c r="E2628" s="565">
        <v>43039</v>
      </c>
      <c r="F2628" s="566">
        <v>570000</v>
      </c>
      <c r="G2628" s="564" t="s">
        <v>1424</v>
      </c>
      <c r="H2628" s="564" t="s">
        <v>1424</v>
      </c>
      <c r="I2628" s="564" t="s">
        <v>45</v>
      </c>
      <c r="J2628" s="564" t="s">
        <v>1069</v>
      </c>
      <c r="K2628" s="564" t="s">
        <v>1090</v>
      </c>
      <c r="L2628" s="564" t="s">
        <v>2098</v>
      </c>
      <c r="M2628" s="564" t="s">
        <v>2098</v>
      </c>
      <c r="N2628" s="564" t="s">
        <v>45</v>
      </c>
      <c r="O2628" s="564" t="s">
        <v>2099</v>
      </c>
      <c r="P2628" s="23"/>
      <c r="Q2628" s="23"/>
      <c r="R2628" s="23"/>
      <c r="S2628" s="23"/>
      <c r="T2628" s="23"/>
      <c r="U2628" s="23"/>
      <c r="V2628" s="23"/>
      <c r="W2628" s="23"/>
      <c r="X2628" s="23"/>
      <c r="Y2628" s="23"/>
      <c r="Z2628" s="23"/>
    </row>
    <row r="2629" spans="1:26" ht="13">
      <c r="A2629" s="562" t="s">
        <v>6382</v>
      </c>
      <c r="B2629" s="563" t="s">
        <v>6383</v>
      </c>
      <c r="C2629" s="564" t="s">
        <v>1612</v>
      </c>
      <c r="D2629" s="565">
        <v>42985</v>
      </c>
      <c r="E2629" s="565">
        <v>43028</v>
      </c>
      <c r="F2629" s="566">
        <v>10086000</v>
      </c>
      <c r="G2629" s="564" t="s">
        <v>1424</v>
      </c>
      <c r="H2629" s="564" t="s">
        <v>1424</v>
      </c>
      <c r="I2629" s="564" t="s">
        <v>64</v>
      </c>
      <c r="J2629" s="564" t="s">
        <v>1069</v>
      </c>
      <c r="K2629" s="564" t="s">
        <v>1090</v>
      </c>
      <c r="L2629" s="564" t="s">
        <v>2098</v>
      </c>
      <c r="M2629" s="564" t="s">
        <v>2098</v>
      </c>
      <c r="N2629" s="564" t="s">
        <v>64</v>
      </c>
      <c r="O2629" s="564" t="s">
        <v>2099</v>
      </c>
      <c r="P2629" s="23"/>
      <c r="Q2629" s="23"/>
      <c r="R2629" s="23"/>
      <c r="S2629" s="23"/>
      <c r="T2629" s="23"/>
      <c r="U2629" s="23"/>
      <c r="V2629" s="23"/>
      <c r="W2629" s="23"/>
      <c r="X2629" s="23"/>
      <c r="Y2629" s="23"/>
      <c r="Z2629" s="23"/>
    </row>
    <row r="2630" spans="1:26" ht="13">
      <c r="A2630" s="562" t="s">
        <v>6384</v>
      </c>
      <c r="B2630" s="563" t="s">
        <v>6385</v>
      </c>
      <c r="C2630" s="564" t="s">
        <v>1612</v>
      </c>
      <c r="D2630" s="565">
        <v>42983</v>
      </c>
      <c r="E2630" s="565">
        <v>43007</v>
      </c>
      <c r="F2630" s="566">
        <v>11190000</v>
      </c>
      <c r="G2630" s="564" t="s">
        <v>5465</v>
      </c>
      <c r="H2630" s="564" t="s">
        <v>5465</v>
      </c>
      <c r="I2630" s="564" t="s">
        <v>45</v>
      </c>
      <c r="J2630" s="564" t="s">
        <v>1069</v>
      </c>
      <c r="K2630" s="564" t="s">
        <v>1090</v>
      </c>
      <c r="L2630" s="564" t="s">
        <v>2098</v>
      </c>
      <c r="M2630" s="564" t="s">
        <v>2098</v>
      </c>
      <c r="N2630" s="564" t="s">
        <v>45</v>
      </c>
      <c r="O2630" s="564" t="s">
        <v>2099</v>
      </c>
      <c r="P2630" s="23"/>
      <c r="Q2630" s="23"/>
      <c r="R2630" s="23"/>
      <c r="S2630" s="23"/>
      <c r="T2630" s="23"/>
      <c r="U2630" s="23"/>
      <c r="V2630" s="23"/>
      <c r="W2630" s="23"/>
      <c r="X2630" s="23"/>
      <c r="Y2630" s="23"/>
      <c r="Z2630" s="23"/>
    </row>
    <row r="2631" spans="1:26" ht="13">
      <c r="A2631" s="562" t="s">
        <v>6386</v>
      </c>
      <c r="B2631" s="563" t="s">
        <v>6200</v>
      </c>
      <c r="C2631" s="564" t="s">
        <v>1612</v>
      </c>
      <c r="D2631" s="565">
        <v>42982</v>
      </c>
      <c r="E2631" s="565">
        <v>43007</v>
      </c>
      <c r="F2631" s="566">
        <v>12700000</v>
      </c>
      <c r="G2631" s="564" t="s">
        <v>5465</v>
      </c>
      <c r="H2631" s="564" t="s">
        <v>5465</v>
      </c>
      <c r="I2631" s="564" t="s">
        <v>45</v>
      </c>
      <c r="J2631" s="564" t="s">
        <v>1069</v>
      </c>
      <c r="K2631" s="564" t="s">
        <v>1090</v>
      </c>
      <c r="L2631" s="564" t="s">
        <v>2098</v>
      </c>
      <c r="M2631" s="564" t="s">
        <v>2098</v>
      </c>
      <c r="N2631" s="564" t="s">
        <v>45</v>
      </c>
      <c r="O2631" s="564" t="s">
        <v>2099</v>
      </c>
      <c r="P2631" s="23"/>
      <c r="Q2631" s="23"/>
      <c r="R2631" s="23"/>
      <c r="S2631" s="23"/>
      <c r="T2631" s="23"/>
      <c r="U2631" s="23"/>
      <c r="V2631" s="23"/>
      <c r="W2631" s="23"/>
      <c r="X2631" s="23"/>
      <c r="Y2631" s="23"/>
      <c r="Z2631" s="23"/>
    </row>
    <row r="2632" spans="1:26" ht="13">
      <c r="A2632" s="562" t="s">
        <v>6387</v>
      </c>
      <c r="B2632" s="563" t="s">
        <v>6388</v>
      </c>
      <c r="C2632" s="564" t="s">
        <v>1612</v>
      </c>
      <c r="D2632" s="565">
        <v>42982</v>
      </c>
      <c r="E2632" s="565">
        <v>43007</v>
      </c>
      <c r="F2632" s="566">
        <v>4676000</v>
      </c>
      <c r="G2632" s="564" t="s">
        <v>5465</v>
      </c>
      <c r="H2632" s="564" t="s">
        <v>5465</v>
      </c>
      <c r="I2632" s="564" t="s">
        <v>45</v>
      </c>
      <c r="J2632" s="564" t="s">
        <v>1069</v>
      </c>
      <c r="K2632" s="564" t="s">
        <v>1090</v>
      </c>
      <c r="L2632" s="564" t="s">
        <v>2098</v>
      </c>
      <c r="M2632" s="564" t="s">
        <v>2098</v>
      </c>
      <c r="N2632" s="564" t="s">
        <v>45</v>
      </c>
      <c r="O2632" s="564" t="s">
        <v>2099</v>
      </c>
      <c r="P2632" s="23"/>
      <c r="Q2632" s="23"/>
      <c r="R2632" s="23"/>
      <c r="S2632" s="23"/>
      <c r="T2632" s="23"/>
      <c r="U2632" s="23"/>
      <c r="V2632" s="23"/>
      <c r="W2632" s="23"/>
      <c r="X2632" s="23"/>
      <c r="Y2632" s="23"/>
      <c r="Z2632" s="23"/>
    </row>
    <row r="2633" spans="1:26" ht="13">
      <c r="A2633" s="562" t="s">
        <v>6389</v>
      </c>
      <c r="B2633" s="563" t="s">
        <v>6390</v>
      </c>
      <c r="C2633" s="564" t="s">
        <v>1612</v>
      </c>
      <c r="D2633" s="565">
        <v>42982</v>
      </c>
      <c r="E2633" s="565">
        <v>43007</v>
      </c>
      <c r="F2633" s="566">
        <v>3510000</v>
      </c>
      <c r="G2633" s="564" t="s">
        <v>5465</v>
      </c>
      <c r="H2633" s="564" t="s">
        <v>5465</v>
      </c>
      <c r="I2633" s="564" t="s">
        <v>45</v>
      </c>
      <c r="J2633" s="564" t="s">
        <v>1069</v>
      </c>
      <c r="K2633" s="564" t="s">
        <v>1090</v>
      </c>
      <c r="L2633" s="564" t="s">
        <v>2098</v>
      </c>
      <c r="M2633" s="564" t="s">
        <v>2098</v>
      </c>
      <c r="N2633" s="564" t="s">
        <v>45</v>
      </c>
      <c r="O2633" s="564" t="s">
        <v>2099</v>
      </c>
      <c r="P2633" s="23"/>
      <c r="Q2633" s="23"/>
      <c r="R2633" s="23"/>
      <c r="S2633" s="23"/>
      <c r="T2633" s="23"/>
      <c r="U2633" s="23"/>
      <c r="V2633" s="23"/>
      <c r="W2633" s="23"/>
      <c r="X2633" s="23"/>
      <c r="Y2633" s="23"/>
      <c r="Z2633" s="23"/>
    </row>
    <row r="2634" spans="1:26" ht="13">
      <c r="A2634" s="562" t="s">
        <v>6391</v>
      </c>
      <c r="B2634" s="563" t="s">
        <v>6392</v>
      </c>
      <c r="C2634" s="564" t="s">
        <v>1612</v>
      </c>
      <c r="D2634" s="565">
        <v>42982</v>
      </c>
      <c r="E2634" s="565">
        <v>43007</v>
      </c>
      <c r="F2634" s="566">
        <v>62540000</v>
      </c>
      <c r="G2634" s="564" t="s">
        <v>5465</v>
      </c>
      <c r="H2634" s="564" t="s">
        <v>5465</v>
      </c>
      <c r="I2634" s="564" t="s">
        <v>45</v>
      </c>
      <c r="J2634" s="564" t="s">
        <v>1069</v>
      </c>
      <c r="K2634" s="564" t="s">
        <v>1090</v>
      </c>
      <c r="L2634" s="564" t="s">
        <v>2098</v>
      </c>
      <c r="M2634" s="564" t="s">
        <v>2098</v>
      </c>
      <c r="N2634" s="564" t="s">
        <v>45</v>
      </c>
      <c r="O2634" s="564" t="s">
        <v>2099</v>
      </c>
      <c r="P2634" s="23"/>
      <c r="Q2634" s="23"/>
      <c r="R2634" s="23"/>
      <c r="S2634" s="23"/>
      <c r="T2634" s="23"/>
      <c r="U2634" s="23"/>
      <c r="V2634" s="23"/>
      <c r="W2634" s="23"/>
      <c r="X2634" s="23"/>
      <c r="Y2634" s="23"/>
      <c r="Z2634" s="23"/>
    </row>
    <row r="2635" spans="1:26" ht="13">
      <c r="A2635" s="562" t="s">
        <v>6393</v>
      </c>
      <c r="B2635" s="563" t="s">
        <v>6394</v>
      </c>
      <c r="C2635" s="564" t="s">
        <v>1612</v>
      </c>
      <c r="D2635" s="565">
        <v>42977</v>
      </c>
      <c r="E2635" s="565">
        <v>42996</v>
      </c>
      <c r="F2635" s="566">
        <v>15709090</v>
      </c>
      <c r="G2635" s="564" t="s">
        <v>1623</v>
      </c>
      <c r="H2635" s="564" t="s">
        <v>1623</v>
      </c>
      <c r="I2635" s="564" t="s">
        <v>802</v>
      </c>
      <c r="J2635" s="564" t="s">
        <v>1069</v>
      </c>
      <c r="K2635" s="564" t="s">
        <v>1198</v>
      </c>
      <c r="L2635" s="564" t="s">
        <v>2098</v>
      </c>
      <c r="M2635" s="564" t="s">
        <v>2098</v>
      </c>
      <c r="N2635" s="564" t="s">
        <v>132</v>
      </c>
      <c r="O2635" s="564" t="s">
        <v>2099</v>
      </c>
      <c r="P2635" s="23"/>
      <c r="Q2635" s="23"/>
      <c r="R2635" s="23"/>
      <c r="S2635" s="23"/>
      <c r="T2635" s="23"/>
      <c r="U2635" s="23"/>
      <c r="V2635" s="23"/>
      <c r="W2635" s="23"/>
      <c r="X2635" s="23"/>
      <c r="Y2635" s="23"/>
      <c r="Z2635" s="23"/>
    </row>
    <row r="2636" spans="1:26" ht="13">
      <c r="A2636" s="562" t="s">
        <v>6395</v>
      </c>
      <c r="B2636" s="563" t="s">
        <v>5810</v>
      </c>
      <c r="C2636" s="564" t="s">
        <v>1612</v>
      </c>
      <c r="D2636" s="565">
        <v>42977</v>
      </c>
      <c r="E2636" s="565">
        <v>43007</v>
      </c>
      <c r="F2636" s="566">
        <v>883000</v>
      </c>
      <c r="G2636" s="564" t="s">
        <v>1424</v>
      </c>
      <c r="H2636" s="564" t="s">
        <v>1424</v>
      </c>
      <c r="I2636" s="564" t="s">
        <v>70</v>
      </c>
      <c r="J2636" s="564" t="s">
        <v>1069</v>
      </c>
      <c r="K2636" s="564" t="s">
        <v>1120</v>
      </c>
      <c r="L2636" s="564" t="s">
        <v>2098</v>
      </c>
      <c r="M2636" s="564" t="s">
        <v>2098</v>
      </c>
      <c r="N2636" s="564" t="s">
        <v>70</v>
      </c>
      <c r="O2636" s="564" t="s">
        <v>2099</v>
      </c>
      <c r="P2636" s="23"/>
      <c r="Q2636" s="23"/>
      <c r="R2636" s="23"/>
      <c r="S2636" s="23"/>
      <c r="T2636" s="23"/>
      <c r="U2636" s="23"/>
      <c r="V2636" s="23"/>
      <c r="W2636" s="23"/>
      <c r="X2636" s="23"/>
      <c r="Y2636" s="23"/>
      <c r="Z2636" s="23"/>
    </row>
    <row r="2637" spans="1:26" ht="13">
      <c r="A2637" s="562" t="s">
        <v>6396</v>
      </c>
      <c r="B2637" s="563" t="s">
        <v>6397</v>
      </c>
      <c r="C2637" s="564" t="s">
        <v>1612</v>
      </c>
      <c r="D2637" s="565">
        <v>42978</v>
      </c>
      <c r="E2637" s="565">
        <v>43028</v>
      </c>
      <c r="F2637" s="566">
        <v>649356000</v>
      </c>
      <c r="G2637" s="564" t="s">
        <v>1424</v>
      </c>
      <c r="H2637" s="564" t="s">
        <v>1424</v>
      </c>
      <c r="I2637" s="564" t="s">
        <v>45</v>
      </c>
      <c r="J2637" s="564" t="s">
        <v>1069</v>
      </c>
      <c r="K2637" s="564" t="s">
        <v>1090</v>
      </c>
      <c r="L2637" s="564" t="s">
        <v>2098</v>
      </c>
      <c r="M2637" s="564" t="s">
        <v>2098</v>
      </c>
      <c r="N2637" s="564" t="s">
        <v>45</v>
      </c>
      <c r="O2637" s="564" t="s">
        <v>2099</v>
      </c>
      <c r="P2637" s="23"/>
      <c r="Q2637" s="23"/>
      <c r="R2637" s="23"/>
      <c r="S2637" s="23"/>
      <c r="T2637" s="23"/>
      <c r="U2637" s="23"/>
      <c r="V2637" s="23"/>
      <c r="W2637" s="23"/>
      <c r="X2637" s="23"/>
      <c r="Y2637" s="23"/>
      <c r="Z2637" s="23"/>
    </row>
    <row r="2638" spans="1:26" ht="13">
      <c r="A2638" s="562" t="s">
        <v>6398</v>
      </c>
      <c r="B2638" s="563" t="s">
        <v>6399</v>
      </c>
      <c r="C2638" s="564" t="s">
        <v>1612</v>
      </c>
      <c r="D2638" s="565">
        <v>42976</v>
      </c>
      <c r="E2638" s="565">
        <v>43007</v>
      </c>
      <c r="F2638" s="566">
        <v>224887000</v>
      </c>
      <c r="G2638" s="564" t="s">
        <v>5465</v>
      </c>
      <c r="H2638" s="564" t="s">
        <v>5465</v>
      </c>
      <c r="I2638" s="564" t="s">
        <v>45</v>
      </c>
      <c r="J2638" s="564" t="s">
        <v>1069</v>
      </c>
      <c r="K2638" s="564" t="s">
        <v>1090</v>
      </c>
      <c r="L2638" s="564" t="s">
        <v>2098</v>
      </c>
      <c r="M2638" s="564" t="s">
        <v>2098</v>
      </c>
      <c r="N2638" s="564" t="s">
        <v>45</v>
      </c>
      <c r="O2638" s="564" t="s">
        <v>2099</v>
      </c>
      <c r="P2638" s="23"/>
      <c r="Q2638" s="23"/>
      <c r="R2638" s="23"/>
      <c r="S2638" s="23"/>
      <c r="T2638" s="23"/>
      <c r="U2638" s="23"/>
      <c r="V2638" s="23"/>
      <c r="W2638" s="23"/>
      <c r="X2638" s="23"/>
      <c r="Y2638" s="23"/>
      <c r="Z2638" s="23"/>
    </row>
    <row r="2639" spans="1:26" ht="13">
      <c r="A2639" s="562" t="s">
        <v>6400</v>
      </c>
      <c r="B2639" s="563" t="s">
        <v>5718</v>
      </c>
      <c r="C2639" s="564" t="s">
        <v>1612</v>
      </c>
      <c r="D2639" s="565">
        <v>42975</v>
      </c>
      <c r="E2639" s="565">
        <v>43028</v>
      </c>
      <c r="F2639" s="566">
        <v>1180000</v>
      </c>
      <c r="G2639" s="564" t="s">
        <v>1424</v>
      </c>
      <c r="H2639" s="564" t="s">
        <v>1424</v>
      </c>
      <c r="I2639" s="564" t="s">
        <v>45</v>
      </c>
      <c r="J2639" s="564" t="s">
        <v>1069</v>
      </c>
      <c r="K2639" s="564" t="s">
        <v>1090</v>
      </c>
      <c r="L2639" s="564" t="s">
        <v>2098</v>
      </c>
      <c r="M2639" s="564" t="s">
        <v>2098</v>
      </c>
      <c r="N2639" s="564" t="s">
        <v>45</v>
      </c>
      <c r="O2639" s="564" t="s">
        <v>2099</v>
      </c>
      <c r="P2639" s="23"/>
      <c r="Q2639" s="23"/>
      <c r="R2639" s="23"/>
      <c r="S2639" s="23"/>
      <c r="T2639" s="23"/>
      <c r="U2639" s="23"/>
      <c r="V2639" s="23"/>
      <c r="W2639" s="23"/>
      <c r="X2639" s="23"/>
      <c r="Y2639" s="23"/>
      <c r="Z2639" s="23"/>
    </row>
    <row r="2640" spans="1:26" ht="13">
      <c r="A2640" s="562" t="s">
        <v>6401</v>
      </c>
      <c r="B2640" s="563" t="s">
        <v>5810</v>
      </c>
      <c r="C2640" s="564" t="s">
        <v>1612</v>
      </c>
      <c r="D2640" s="565">
        <v>42971</v>
      </c>
      <c r="E2640" s="565">
        <v>43007</v>
      </c>
      <c r="F2640" s="566">
        <v>1030000</v>
      </c>
      <c r="G2640" s="564" t="s">
        <v>1424</v>
      </c>
      <c r="H2640" s="564" t="s">
        <v>1424</v>
      </c>
      <c r="I2640" s="564" t="s">
        <v>70</v>
      </c>
      <c r="J2640" s="564" t="s">
        <v>1069</v>
      </c>
      <c r="K2640" s="564" t="s">
        <v>1120</v>
      </c>
      <c r="L2640" s="564" t="s">
        <v>2098</v>
      </c>
      <c r="M2640" s="564" t="s">
        <v>2098</v>
      </c>
      <c r="N2640" s="564" t="s">
        <v>70</v>
      </c>
      <c r="O2640" s="564" t="s">
        <v>2099</v>
      </c>
      <c r="P2640" s="23"/>
      <c r="Q2640" s="23"/>
      <c r="R2640" s="23"/>
      <c r="S2640" s="23"/>
      <c r="T2640" s="23"/>
      <c r="U2640" s="23"/>
      <c r="V2640" s="23"/>
      <c r="W2640" s="23"/>
      <c r="X2640" s="23"/>
      <c r="Y2640" s="23"/>
      <c r="Z2640" s="23"/>
    </row>
    <row r="2641" spans="1:26" ht="13">
      <c r="A2641" s="562" t="s">
        <v>6402</v>
      </c>
      <c r="B2641" s="563" t="s">
        <v>5718</v>
      </c>
      <c r="C2641" s="564" t="s">
        <v>1612</v>
      </c>
      <c r="D2641" s="565">
        <v>42971</v>
      </c>
      <c r="E2641" s="565">
        <v>43000</v>
      </c>
      <c r="F2641" s="566">
        <v>1180000</v>
      </c>
      <c r="G2641" s="564" t="s">
        <v>1424</v>
      </c>
      <c r="H2641" s="564" t="s">
        <v>1424</v>
      </c>
      <c r="I2641" s="564" t="s">
        <v>45</v>
      </c>
      <c r="J2641" s="564" t="s">
        <v>1069</v>
      </c>
      <c r="K2641" s="564" t="s">
        <v>1090</v>
      </c>
      <c r="L2641" s="564" t="s">
        <v>2098</v>
      </c>
      <c r="M2641" s="564" t="s">
        <v>2098</v>
      </c>
      <c r="N2641" s="564" t="s">
        <v>45</v>
      </c>
      <c r="O2641" s="564" t="s">
        <v>2099</v>
      </c>
      <c r="P2641" s="23"/>
      <c r="Q2641" s="23"/>
      <c r="R2641" s="23"/>
      <c r="S2641" s="23"/>
      <c r="T2641" s="23"/>
      <c r="U2641" s="23"/>
      <c r="V2641" s="23"/>
      <c r="W2641" s="23"/>
      <c r="X2641" s="23"/>
      <c r="Y2641" s="23"/>
      <c r="Z2641" s="23"/>
    </row>
    <row r="2642" spans="1:26" ht="13">
      <c r="A2642" s="562" t="s">
        <v>6403</v>
      </c>
      <c r="B2642" s="563" t="s">
        <v>6404</v>
      </c>
      <c r="C2642" s="564" t="s">
        <v>1612</v>
      </c>
      <c r="D2642" s="565">
        <v>42968</v>
      </c>
      <c r="E2642" s="565">
        <v>42978</v>
      </c>
      <c r="F2642" s="566">
        <v>3300000</v>
      </c>
      <c r="G2642" s="564" t="s">
        <v>5844</v>
      </c>
      <c r="H2642" s="564" t="s">
        <v>5844</v>
      </c>
      <c r="I2642" s="564" t="s">
        <v>45</v>
      </c>
      <c r="J2642" s="564" t="s">
        <v>1069</v>
      </c>
      <c r="K2642" s="564" t="s">
        <v>1090</v>
      </c>
      <c r="L2642" s="564" t="s">
        <v>2098</v>
      </c>
      <c r="M2642" s="564" t="s">
        <v>2098</v>
      </c>
      <c r="N2642" s="564" t="s">
        <v>45</v>
      </c>
      <c r="O2642" s="564" t="s">
        <v>2099</v>
      </c>
      <c r="P2642" s="23"/>
      <c r="Q2642" s="23"/>
      <c r="R2642" s="23"/>
      <c r="S2642" s="23"/>
      <c r="T2642" s="23"/>
      <c r="U2642" s="23"/>
      <c r="V2642" s="23"/>
      <c r="W2642" s="23"/>
      <c r="X2642" s="23"/>
      <c r="Y2642" s="23"/>
      <c r="Z2642" s="23"/>
    </row>
    <row r="2643" spans="1:26" ht="13">
      <c r="A2643" s="562" t="s">
        <v>6405</v>
      </c>
      <c r="B2643" s="563" t="s">
        <v>6406</v>
      </c>
      <c r="C2643" s="564" t="s">
        <v>1612</v>
      </c>
      <c r="D2643" s="565">
        <v>42968</v>
      </c>
      <c r="E2643" s="565">
        <v>43007</v>
      </c>
      <c r="F2643" s="566">
        <v>6236000</v>
      </c>
      <c r="G2643" s="564" t="s">
        <v>5465</v>
      </c>
      <c r="H2643" s="564" t="s">
        <v>5465</v>
      </c>
      <c r="I2643" s="564" t="s">
        <v>45</v>
      </c>
      <c r="J2643" s="564" t="s">
        <v>1069</v>
      </c>
      <c r="K2643" s="564" t="s">
        <v>1090</v>
      </c>
      <c r="L2643" s="564" t="s">
        <v>2098</v>
      </c>
      <c r="M2643" s="564" t="s">
        <v>2098</v>
      </c>
      <c r="N2643" s="564" t="s">
        <v>45</v>
      </c>
      <c r="O2643" s="564" t="s">
        <v>2099</v>
      </c>
      <c r="P2643" s="23"/>
      <c r="Q2643" s="23"/>
      <c r="R2643" s="23"/>
      <c r="S2643" s="23"/>
      <c r="T2643" s="23"/>
      <c r="U2643" s="23"/>
      <c r="V2643" s="23"/>
      <c r="W2643" s="23"/>
      <c r="X2643" s="23"/>
      <c r="Y2643" s="23"/>
      <c r="Z2643" s="23"/>
    </row>
    <row r="2644" spans="1:26" ht="13">
      <c r="A2644" s="562" t="s">
        <v>6407</v>
      </c>
      <c r="B2644" s="563" t="s">
        <v>6408</v>
      </c>
      <c r="C2644" s="564" t="s">
        <v>1612</v>
      </c>
      <c r="D2644" s="565">
        <v>42969</v>
      </c>
      <c r="E2644" s="565">
        <v>42948</v>
      </c>
      <c r="F2644" s="566">
        <v>5766360</v>
      </c>
      <c r="G2644" s="564" t="s">
        <v>1424</v>
      </c>
      <c r="H2644" s="564" t="s">
        <v>1424</v>
      </c>
      <c r="I2644" s="564" t="s">
        <v>45</v>
      </c>
      <c r="J2644" s="564" t="s">
        <v>1069</v>
      </c>
      <c r="K2644" s="564" t="s">
        <v>1090</v>
      </c>
      <c r="L2644" s="564" t="s">
        <v>1071</v>
      </c>
      <c r="M2644" s="564" t="s">
        <v>1183</v>
      </c>
      <c r="N2644" s="564" t="s">
        <v>45</v>
      </c>
      <c r="O2644" s="564" t="s">
        <v>2099</v>
      </c>
      <c r="P2644" s="23"/>
      <c r="Q2644" s="23"/>
      <c r="R2644" s="23"/>
      <c r="S2644" s="23"/>
      <c r="T2644" s="23"/>
      <c r="U2644" s="23"/>
      <c r="V2644" s="23"/>
      <c r="W2644" s="23"/>
      <c r="X2644" s="23"/>
      <c r="Y2644" s="23"/>
      <c r="Z2644" s="23"/>
    </row>
    <row r="2645" spans="1:26" ht="13">
      <c r="A2645" s="562" t="s">
        <v>6409</v>
      </c>
      <c r="B2645" s="563" t="s">
        <v>6410</v>
      </c>
      <c r="C2645" s="564" t="s">
        <v>1612</v>
      </c>
      <c r="D2645" s="565">
        <v>42970</v>
      </c>
      <c r="E2645" s="565">
        <v>43021</v>
      </c>
      <c r="F2645" s="566">
        <v>40920000</v>
      </c>
      <c r="G2645" s="564" t="s">
        <v>1424</v>
      </c>
      <c r="H2645" s="564" t="s">
        <v>1424</v>
      </c>
      <c r="I2645" s="564" t="s">
        <v>45</v>
      </c>
      <c r="J2645" s="564" t="s">
        <v>1069</v>
      </c>
      <c r="K2645" s="564" t="s">
        <v>1090</v>
      </c>
      <c r="L2645" s="564" t="s">
        <v>2098</v>
      </c>
      <c r="M2645" s="564" t="s">
        <v>2098</v>
      </c>
      <c r="N2645" s="564" t="s">
        <v>45</v>
      </c>
      <c r="O2645" s="564" t="s">
        <v>2099</v>
      </c>
      <c r="P2645" s="23"/>
      <c r="Q2645" s="23"/>
      <c r="R2645" s="23"/>
      <c r="S2645" s="23"/>
      <c r="T2645" s="23"/>
      <c r="U2645" s="23"/>
      <c r="V2645" s="23"/>
      <c r="W2645" s="23"/>
      <c r="X2645" s="23"/>
      <c r="Y2645" s="23"/>
      <c r="Z2645" s="23"/>
    </row>
    <row r="2646" spans="1:26" ht="13">
      <c r="A2646" s="562" t="s">
        <v>6411</v>
      </c>
      <c r="B2646" s="563" t="s">
        <v>6412</v>
      </c>
      <c r="C2646" s="564" t="s">
        <v>1612</v>
      </c>
      <c r="D2646" s="565">
        <v>42969</v>
      </c>
      <c r="E2646" s="565">
        <v>42948</v>
      </c>
      <c r="F2646" s="566">
        <v>1822800</v>
      </c>
      <c r="G2646" s="564" t="s">
        <v>1424</v>
      </c>
      <c r="H2646" s="564" t="s">
        <v>1424</v>
      </c>
      <c r="I2646" s="564" t="s">
        <v>45</v>
      </c>
      <c r="J2646" s="564" t="s">
        <v>1069</v>
      </c>
      <c r="K2646" s="564" t="s">
        <v>1090</v>
      </c>
      <c r="L2646" s="564" t="s">
        <v>1071</v>
      </c>
      <c r="M2646" s="564" t="s">
        <v>1183</v>
      </c>
      <c r="N2646" s="564" t="s">
        <v>45</v>
      </c>
      <c r="O2646" s="564" t="s">
        <v>2099</v>
      </c>
      <c r="P2646" s="23"/>
      <c r="Q2646" s="23"/>
      <c r="R2646" s="23"/>
      <c r="S2646" s="23"/>
      <c r="T2646" s="23"/>
      <c r="U2646" s="23"/>
      <c r="V2646" s="23"/>
      <c r="W2646" s="23"/>
      <c r="X2646" s="23"/>
      <c r="Y2646" s="23"/>
      <c r="Z2646" s="23"/>
    </row>
    <row r="2647" spans="1:26" ht="13">
      <c r="A2647" s="562" t="s">
        <v>6413</v>
      </c>
      <c r="B2647" s="563" t="s">
        <v>5810</v>
      </c>
      <c r="C2647" s="564" t="s">
        <v>1612</v>
      </c>
      <c r="D2647" s="565">
        <v>42965</v>
      </c>
      <c r="E2647" s="565">
        <v>43007</v>
      </c>
      <c r="F2647" s="566">
        <v>1030000</v>
      </c>
      <c r="G2647" s="564" t="s">
        <v>1424</v>
      </c>
      <c r="H2647" s="564" t="s">
        <v>1424</v>
      </c>
      <c r="I2647" s="564" t="s">
        <v>70</v>
      </c>
      <c r="J2647" s="564" t="s">
        <v>1069</v>
      </c>
      <c r="K2647" s="564" t="s">
        <v>1120</v>
      </c>
      <c r="L2647" s="564" t="s">
        <v>2098</v>
      </c>
      <c r="M2647" s="564" t="s">
        <v>2098</v>
      </c>
      <c r="N2647" s="564" t="s">
        <v>70</v>
      </c>
      <c r="O2647" s="564" t="s">
        <v>2099</v>
      </c>
      <c r="P2647" s="23"/>
      <c r="Q2647" s="23"/>
      <c r="R2647" s="23"/>
      <c r="S2647" s="23"/>
      <c r="T2647" s="23"/>
      <c r="U2647" s="23"/>
      <c r="V2647" s="23"/>
      <c r="W2647" s="23"/>
      <c r="X2647" s="23"/>
      <c r="Y2647" s="23"/>
      <c r="Z2647" s="23"/>
    </row>
    <row r="2648" spans="1:26" ht="13">
      <c r="A2648" s="562" t="s">
        <v>6414</v>
      </c>
      <c r="B2648" s="563" t="s">
        <v>5801</v>
      </c>
      <c r="C2648" s="564" t="s">
        <v>1612</v>
      </c>
      <c r="D2648" s="565">
        <v>42957</v>
      </c>
      <c r="E2648" s="565">
        <v>43007</v>
      </c>
      <c r="F2648" s="566">
        <v>4710000</v>
      </c>
      <c r="G2648" s="564" t="s">
        <v>1424</v>
      </c>
      <c r="H2648" s="564" t="s">
        <v>1424</v>
      </c>
      <c r="I2648" s="564" t="s">
        <v>45</v>
      </c>
      <c r="J2648" s="564" t="s">
        <v>1069</v>
      </c>
      <c r="K2648" s="564" t="s">
        <v>1090</v>
      </c>
      <c r="L2648" s="564" t="s">
        <v>2098</v>
      </c>
      <c r="M2648" s="564" t="s">
        <v>2098</v>
      </c>
      <c r="N2648" s="564" t="s">
        <v>45</v>
      </c>
      <c r="O2648" s="564" t="s">
        <v>2099</v>
      </c>
      <c r="P2648" s="23"/>
      <c r="Q2648" s="23"/>
      <c r="R2648" s="23"/>
      <c r="S2648" s="23"/>
      <c r="T2648" s="23"/>
      <c r="U2648" s="23"/>
      <c r="V2648" s="23"/>
      <c r="W2648" s="23"/>
      <c r="X2648" s="23"/>
      <c r="Y2648" s="23"/>
      <c r="Z2648" s="23"/>
    </row>
    <row r="2649" spans="1:26" ht="13">
      <c r="A2649" s="562" t="s">
        <v>6415</v>
      </c>
      <c r="B2649" s="563" t="s">
        <v>5801</v>
      </c>
      <c r="C2649" s="564" t="s">
        <v>1612</v>
      </c>
      <c r="D2649" s="565">
        <v>42957</v>
      </c>
      <c r="E2649" s="565">
        <v>43003</v>
      </c>
      <c r="F2649" s="566">
        <v>4710000</v>
      </c>
      <c r="G2649" s="564" t="s">
        <v>1424</v>
      </c>
      <c r="H2649" s="564" t="s">
        <v>1424</v>
      </c>
      <c r="I2649" s="564" t="s">
        <v>45</v>
      </c>
      <c r="J2649" s="564" t="s">
        <v>1069</v>
      </c>
      <c r="K2649" s="564" t="s">
        <v>1090</v>
      </c>
      <c r="L2649" s="564" t="s">
        <v>2098</v>
      </c>
      <c r="M2649" s="564" t="s">
        <v>2098</v>
      </c>
      <c r="N2649" s="564" t="s">
        <v>45</v>
      </c>
      <c r="O2649" s="564" t="s">
        <v>2099</v>
      </c>
      <c r="P2649" s="23"/>
      <c r="Q2649" s="23"/>
      <c r="R2649" s="23"/>
      <c r="S2649" s="23"/>
      <c r="T2649" s="23"/>
      <c r="U2649" s="23"/>
      <c r="V2649" s="23"/>
      <c r="W2649" s="23"/>
      <c r="X2649" s="23"/>
      <c r="Y2649" s="23"/>
      <c r="Z2649" s="23"/>
    </row>
    <row r="2650" spans="1:26" ht="13">
      <c r="A2650" s="562" t="s">
        <v>6416</v>
      </c>
      <c r="B2650" s="563" t="s">
        <v>5718</v>
      </c>
      <c r="C2650" s="564" t="s">
        <v>1612</v>
      </c>
      <c r="D2650" s="565">
        <v>42957</v>
      </c>
      <c r="E2650" s="565">
        <v>43007</v>
      </c>
      <c r="F2650" s="566">
        <v>1180000</v>
      </c>
      <c r="G2650" s="564" t="s">
        <v>1424</v>
      </c>
      <c r="H2650" s="564" t="s">
        <v>1424</v>
      </c>
      <c r="I2650" s="564" t="s">
        <v>45</v>
      </c>
      <c r="J2650" s="564" t="s">
        <v>1069</v>
      </c>
      <c r="K2650" s="564" t="s">
        <v>1090</v>
      </c>
      <c r="L2650" s="564" t="s">
        <v>2098</v>
      </c>
      <c r="M2650" s="564" t="s">
        <v>2098</v>
      </c>
      <c r="N2650" s="564" t="s">
        <v>45</v>
      </c>
      <c r="O2650" s="564" t="s">
        <v>2099</v>
      </c>
      <c r="P2650" s="23"/>
      <c r="Q2650" s="23"/>
      <c r="R2650" s="23"/>
      <c r="S2650" s="23"/>
      <c r="T2650" s="23"/>
      <c r="U2650" s="23"/>
      <c r="V2650" s="23"/>
      <c r="W2650" s="23"/>
      <c r="X2650" s="23"/>
      <c r="Y2650" s="23"/>
      <c r="Z2650" s="23"/>
    </row>
    <row r="2651" spans="1:26" ht="13">
      <c r="A2651" s="562" t="s">
        <v>6417</v>
      </c>
      <c r="B2651" s="563" t="s">
        <v>6150</v>
      </c>
      <c r="C2651" s="564" t="s">
        <v>1612</v>
      </c>
      <c r="D2651" s="565">
        <v>42958</v>
      </c>
      <c r="E2651" s="565">
        <v>43007</v>
      </c>
      <c r="F2651" s="566">
        <v>1080000</v>
      </c>
      <c r="G2651" s="564" t="s">
        <v>1424</v>
      </c>
      <c r="H2651" s="564" t="s">
        <v>1424</v>
      </c>
      <c r="I2651" s="564" t="s">
        <v>1837</v>
      </c>
      <c r="J2651" s="564" t="s">
        <v>1069</v>
      </c>
      <c r="K2651" s="564" t="s">
        <v>1070</v>
      </c>
      <c r="L2651" s="564" t="s">
        <v>2098</v>
      </c>
      <c r="M2651" s="564" t="s">
        <v>2098</v>
      </c>
      <c r="N2651" s="564" t="s">
        <v>1082</v>
      </c>
      <c r="O2651" s="564" t="s">
        <v>2099</v>
      </c>
      <c r="P2651" s="23"/>
      <c r="Q2651" s="23"/>
      <c r="R2651" s="23"/>
      <c r="S2651" s="23"/>
      <c r="T2651" s="23"/>
      <c r="U2651" s="23"/>
      <c r="V2651" s="23"/>
      <c r="W2651" s="23"/>
      <c r="X2651" s="23"/>
      <c r="Y2651" s="23"/>
      <c r="Z2651" s="23"/>
    </row>
    <row r="2652" spans="1:26" ht="13">
      <c r="A2652" s="562" t="s">
        <v>6418</v>
      </c>
      <c r="B2652" s="563" t="s">
        <v>3819</v>
      </c>
      <c r="C2652" s="564" t="s">
        <v>1873</v>
      </c>
      <c r="D2652" s="565">
        <v>42958</v>
      </c>
      <c r="E2652" s="565">
        <v>42978</v>
      </c>
      <c r="F2652" s="566">
        <v>2520000</v>
      </c>
      <c r="G2652" s="564" t="s">
        <v>1157</v>
      </c>
      <c r="H2652" s="564" t="s">
        <v>1157</v>
      </c>
      <c r="I2652" s="564" t="s">
        <v>170</v>
      </c>
      <c r="J2652" s="564" t="s">
        <v>1069</v>
      </c>
      <c r="K2652" s="564" t="s">
        <v>1105</v>
      </c>
      <c r="L2652" s="564" t="s">
        <v>2098</v>
      </c>
      <c r="M2652" s="564" t="s">
        <v>2098</v>
      </c>
      <c r="N2652" s="564" t="s">
        <v>170</v>
      </c>
      <c r="O2652" s="564" t="s">
        <v>2099</v>
      </c>
      <c r="P2652" s="23"/>
      <c r="Q2652" s="23"/>
      <c r="R2652" s="23"/>
      <c r="S2652" s="23"/>
      <c r="T2652" s="23"/>
      <c r="U2652" s="23"/>
      <c r="V2652" s="23"/>
      <c r="W2652" s="23"/>
      <c r="X2652" s="23"/>
      <c r="Y2652" s="23"/>
      <c r="Z2652" s="23"/>
    </row>
    <row r="2653" spans="1:26" ht="13">
      <c r="A2653" s="562" t="s">
        <v>6419</v>
      </c>
      <c r="B2653" s="563" t="s">
        <v>6420</v>
      </c>
      <c r="C2653" s="564" t="s">
        <v>1612</v>
      </c>
      <c r="D2653" s="565">
        <v>42956</v>
      </c>
      <c r="E2653" s="565">
        <v>42978</v>
      </c>
      <c r="F2653" s="566">
        <v>9000000</v>
      </c>
      <c r="G2653" s="564" t="s">
        <v>5465</v>
      </c>
      <c r="H2653" s="564" t="s">
        <v>5465</v>
      </c>
      <c r="I2653" s="564" t="s">
        <v>45</v>
      </c>
      <c r="J2653" s="564" t="s">
        <v>1069</v>
      </c>
      <c r="K2653" s="564" t="s">
        <v>1090</v>
      </c>
      <c r="L2653" s="564" t="s">
        <v>2098</v>
      </c>
      <c r="M2653" s="564" t="s">
        <v>2098</v>
      </c>
      <c r="N2653" s="564" t="s">
        <v>45</v>
      </c>
      <c r="O2653" s="564" t="s">
        <v>2099</v>
      </c>
      <c r="P2653" s="23"/>
      <c r="Q2653" s="23"/>
      <c r="R2653" s="23"/>
      <c r="S2653" s="23"/>
      <c r="T2653" s="23"/>
      <c r="U2653" s="23"/>
      <c r="V2653" s="23"/>
      <c r="W2653" s="23"/>
      <c r="X2653" s="23"/>
      <c r="Y2653" s="23"/>
      <c r="Z2653" s="23"/>
    </row>
    <row r="2654" spans="1:26" ht="13">
      <c r="A2654" s="562" t="s">
        <v>6421</v>
      </c>
      <c r="B2654" s="563" t="s">
        <v>6422</v>
      </c>
      <c r="C2654" s="564" t="s">
        <v>1612</v>
      </c>
      <c r="D2654" s="565">
        <v>42956</v>
      </c>
      <c r="E2654" s="565">
        <v>42979</v>
      </c>
      <c r="F2654" s="566">
        <v>441000</v>
      </c>
      <c r="G2654" s="564" t="s">
        <v>1157</v>
      </c>
      <c r="H2654" s="564" t="s">
        <v>1157</v>
      </c>
      <c r="I2654" s="564" t="s">
        <v>146</v>
      </c>
      <c r="J2654" s="564" t="s">
        <v>1069</v>
      </c>
      <c r="K2654" s="564" t="s">
        <v>1070</v>
      </c>
      <c r="L2654" s="564" t="s">
        <v>2098</v>
      </c>
      <c r="M2654" s="564" t="s">
        <v>2098</v>
      </c>
      <c r="N2654" s="564" t="s">
        <v>1073</v>
      </c>
      <c r="O2654" s="564" t="s">
        <v>2099</v>
      </c>
      <c r="P2654" s="23"/>
      <c r="Q2654" s="23"/>
      <c r="R2654" s="23"/>
      <c r="S2654" s="23"/>
      <c r="T2654" s="23"/>
      <c r="U2654" s="23"/>
      <c r="V2654" s="23"/>
      <c r="W2654" s="23"/>
      <c r="X2654" s="23"/>
      <c r="Y2654" s="23"/>
      <c r="Z2654" s="23"/>
    </row>
    <row r="2655" spans="1:26" ht="13">
      <c r="A2655" s="562" t="s">
        <v>6423</v>
      </c>
      <c r="B2655" s="563" t="s">
        <v>5810</v>
      </c>
      <c r="C2655" s="564" t="s">
        <v>1612</v>
      </c>
      <c r="D2655" s="565">
        <v>42951</v>
      </c>
      <c r="E2655" s="565">
        <v>43007</v>
      </c>
      <c r="F2655" s="566">
        <v>2060000</v>
      </c>
      <c r="G2655" s="564" t="s">
        <v>1424</v>
      </c>
      <c r="H2655" s="564" t="s">
        <v>1424</v>
      </c>
      <c r="I2655" s="564" t="s">
        <v>70</v>
      </c>
      <c r="J2655" s="564" t="s">
        <v>1069</v>
      </c>
      <c r="K2655" s="564" t="s">
        <v>1120</v>
      </c>
      <c r="L2655" s="564" t="s">
        <v>2098</v>
      </c>
      <c r="M2655" s="564" t="s">
        <v>2098</v>
      </c>
      <c r="N2655" s="564" t="s">
        <v>70</v>
      </c>
      <c r="O2655" s="564" t="s">
        <v>2099</v>
      </c>
      <c r="P2655" s="23"/>
      <c r="Q2655" s="23"/>
      <c r="R2655" s="23"/>
      <c r="S2655" s="23"/>
      <c r="T2655" s="23"/>
      <c r="U2655" s="23"/>
      <c r="V2655" s="23"/>
      <c r="W2655" s="23"/>
      <c r="X2655" s="23"/>
      <c r="Y2655" s="23"/>
      <c r="Z2655" s="23"/>
    </row>
    <row r="2656" spans="1:26" ht="13">
      <c r="A2656" s="562" t="s">
        <v>6424</v>
      </c>
      <c r="B2656" s="563" t="s">
        <v>6425</v>
      </c>
      <c r="C2656" s="564" t="s">
        <v>1612</v>
      </c>
      <c r="D2656" s="565">
        <v>42951</v>
      </c>
      <c r="E2656" s="565">
        <v>42978</v>
      </c>
      <c r="F2656" s="566">
        <v>271731000</v>
      </c>
      <c r="G2656" s="564" t="s">
        <v>5465</v>
      </c>
      <c r="H2656" s="564" t="s">
        <v>5465</v>
      </c>
      <c r="I2656" s="564" t="s">
        <v>45</v>
      </c>
      <c r="J2656" s="564" t="s">
        <v>1069</v>
      </c>
      <c r="K2656" s="564" t="s">
        <v>1090</v>
      </c>
      <c r="L2656" s="564" t="s">
        <v>2098</v>
      </c>
      <c r="M2656" s="564" t="s">
        <v>2098</v>
      </c>
      <c r="N2656" s="564" t="s">
        <v>45</v>
      </c>
      <c r="O2656" s="564" t="s">
        <v>2099</v>
      </c>
      <c r="P2656" s="23"/>
      <c r="Q2656" s="23"/>
      <c r="R2656" s="23"/>
      <c r="S2656" s="23"/>
      <c r="T2656" s="23"/>
      <c r="U2656" s="23"/>
      <c r="V2656" s="23"/>
      <c r="W2656" s="23"/>
      <c r="X2656" s="23"/>
      <c r="Y2656" s="23"/>
      <c r="Z2656" s="23"/>
    </row>
    <row r="2657" spans="1:26" ht="13">
      <c r="A2657" s="562" t="s">
        <v>6426</v>
      </c>
      <c r="B2657" s="563" t="s">
        <v>6427</v>
      </c>
      <c r="C2657" s="564" t="s">
        <v>1612</v>
      </c>
      <c r="D2657" s="565">
        <v>42949</v>
      </c>
      <c r="E2657" s="565">
        <v>42979</v>
      </c>
      <c r="F2657" s="566">
        <v>1014000</v>
      </c>
      <c r="G2657" s="564" t="s">
        <v>1424</v>
      </c>
      <c r="H2657" s="564" t="s">
        <v>1424</v>
      </c>
      <c r="I2657" s="564" t="s">
        <v>1586</v>
      </c>
      <c r="J2657" s="564" t="s">
        <v>1069</v>
      </c>
      <c r="K2657" s="564" t="s">
        <v>1090</v>
      </c>
      <c r="L2657" s="564" t="s">
        <v>2098</v>
      </c>
      <c r="M2657" s="564" t="s">
        <v>2098</v>
      </c>
      <c r="N2657" s="564" t="s">
        <v>1073</v>
      </c>
      <c r="O2657" s="564" t="s">
        <v>2099</v>
      </c>
      <c r="P2657" s="23"/>
      <c r="Q2657" s="23"/>
      <c r="R2657" s="23"/>
      <c r="S2657" s="23"/>
      <c r="T2657" s="23"/>
      <c r="U2657" s="23"/>
      <c r="V2657" s="23"/>
      <c r="W2657" s="23"/>
      <c r="X2657" s="23"/>
      <c r="Y2657" s="23"/>
      <c r="Z2657" s="23"/>
    </row>
    <row r="2658" spans="1:26" ht="13">
      <c r="A2658" s="562" t="s">
        <v>6428</v>
      </c>
      <c r="B2658" s="563" t="s">
        <v>6429</v>
      </c>
      <c r="C2658" s="564" t="s">
        <v>1612</v>
      </c>
      <c r="D2658" s="565">
        <v>42947</v>
      </c>
      <c r="E2658" s="565">
        <v>42978</v>
      </c>
      <c r="F2658" s="566">
        <v>2500000</v>
      </c>
      <c r="G2658" s="564" t="s">
        <v>1424</v>
      </c>
      <c r="H2658" s="564" t="s">
        <v>1424</v>
      </c>
      <c r="I2658" s="564" t="s">
        <v>257</v>
      </c>
      <c r="J2658" s="564" t="s">
        <v>1069</v>
      </c>
      <c r="K2658" s="564" t="s">
        <v>1209</v>
      </c>
      <c r="L2658" s="564" t="s">
        <v>2098</v>
      </c>
      <c r="M2658" s="564" t="s">
        <v>2098</v>
      </c>
      <c r="N2658" s="564" t="s">
        <v>257</v>
      </c>
      <c r="O2658" s="564" t="s">
        <v>2099</v>
      </c>
      <c r="P2658" s="23"/>
      <c r="Q2658" s="23"/>
      <c r="R2658" s="23"/>
      <c r="S2658" s="23"/>
      <c r="T2658" s="23"/>
      <c r="U2658" s="23"/>
      <c r="V2658" s="23"/>
      <c r="W2658" s="23"/>
      <c r="X2658" s="23"/>
      <c r="Y2658" s="23"/>
      <c r="Z2658" s="23"/>
    </row>
    <row r="2659" spans="1:26" ht="13">
      <c r="A2659" s="562" t="s">
        <v>6430</v>
      </c>
      <c r="B2659" s="563" t="s">
        <v>6431</v>
      </c>
      <c r="C2659" s="564" t="s">
        <v>1204</v>
      </c>
      <c r="D2659" s="565">
        <v>42947</v>
      </c>
      <c r="E2659" s="565">
        <v>42917</v>
      </c>
      <c r="F2659" s="566">
        <v>3348000</v>
      </c>
      <c r="G2659" s="564" t="s">
        <v>1424</v>
      </c>
      <c r="H2659" s="564" t="s">
        <v>1424</v>
      </c>
      <c r="I2659" s="564" t="s">
        <v>1471</v>
      </c>
      <c r="J2659" s="564" t="s">
        <v>1069</v>
      </c>
      <c r="K2659" s="564" t="s">
        <v>1070</v>
      </c>
      <c r="L2659" s="564" t="s">
        <v>1071</v>
      </c>
      <c r="M2659" s="564" t="s">
        <v>1183</v>
      </c>
      <c r="N2659" s="564" t="s">
        <v>1082</v>
      </c>
      <c r="O2659" s="564" t="s">
        <v>1472</v>
      </c>
      <c r="P2659" s="23"/>
      <c r="Q2659" s="23"/>
      <c r="R2659" s="23"/>
      <c r="S2659" s="23"/>
      <c r="T2659" s="23"/>
      <c r="U2659" s="23"/>
      <c r="V2659" s="23"/>
      <c r="W2659" s="23"/>
      <c r="X2659" s="23"/>
      <c r="Y2659" s="23"/>
      <c r="Z2659" s="23"/>
    </row>
    <row r="2660" spans="1:26" ht="13">
      <c r="A2660" s="562" t="s">
        <v>6432</v>
      </c>
      <c r="B2660" s="563" t="s">
        <v>6433</v>
      </c>
      <c r="C2660" s="564" t="s">
        <v>1612</v>
      </c>
      <c r="D2660" s="565">
        <v>42947</v>
      </c>
      <c r="E2660" s="565">
        <v>42978</v>
      </c>
      <c r="F2660" s="566">
        <v>9187500</v>
      </c>
      <c r="G2660" s="564" t="s">
        <v>1424</v>
      </c>
      <c r="H2660" s="564" t="s">
        <v>1424</v>
      </c>
      <c r="I2660" s="564" t="s">
        <v>45</v>
      </c>
      <c r="J2660" s="564" t="s">
        <v>1069</v>
      </c>
      <c r="K2660" s="564" t="s">
        <v>1090</v>
      </c>
      <c r="L2660" s="564" t="s">
        <v>2098</v>
      </c>
      <c r="M2660" s="564" t="s">
        <v>2098</v>
      </c>
      <c r="N2660" s="564" t="s">
        <v>45</v>
      </c>
      <c r="O2660" s="564" t="s">
        <v>2099</v>
      </c>
      <c r="P2660" s="23"/>
      <c r="Q2660" s="23"/>
      <c r="R2660" s="23"/>
      <c r="S2660" s="23"/>
      <c r="T2660" s="23"/>
      <c r="U2660" s="23"/>
      <c r="V2660" s="23"/>
      <c r="W2660" s="23"/>
      <c r="X2660" s="23"/>
      <c r="Y2660" s="23"/>
      <c r="Z2660" s="23"/>
    </row>
    <row r="2661" spans="1:26" ht="13">
      <c r="A2661" s="562" t="s">
        <v>6434</v>
      </c>
      <c r="B2661" s="563" t="s">
        <v>6435</v>
      </c>
      <c r="C2661" s="564" t="s">
        <v>1612</v>
      </c>
      <c r="D2661" s="565">
        <v>42942</v>
      </c>
      <c r="E2661" s="565">
        <v>42978</v>
      </c>
      <c r="F2661" s="566">
        <v>5700000</v>
      </c>
      <c r="G2661" s="564" t="s">
        <v>5465</v>
      </c>
      <c r="H2661" s="564" t="s">
        <v>5465</v>
      </c>
      <c r="I2661" s="564" t="s">
        <v>45</v>
      </c>
      <c r="J2661" s="564" t="s">
        <v>1069</v>
      </c>
      <c r="K2661" s="564" t="s">
        <v>1090</v>
      </c>
      <c r="L2661" s="564" t="s">
        <v>2098</v>
      </c>
      <c r="M2661" s="564" t="s">
        <v>2098</v>
      </c>
      <c r="N2661" s="564" t="s">
        <v>45</v>
      </c>
      <c r="O2661" s="564" t="s">
        <v>2099</v>
      </c>
      <c r="P2661" s="23"/>
      <c r="Q2661" s="23"/>
      <c r="R2661" s="23"/>
      <c r="S2661" s="23"/>
      <c r="T2661" s="23"/>
      <c r="U2661" s="23"/>
      <c r="V2661" s="23"/>
      <c r="W2661" s="23"/>
      <c r="X2661" s="23"/>
      <c r="Y2661" s="23"/>
      <c r="Z2661" s="23"/>
    </row>
    <row r="2662" spans="1:26" ht="13">
      <c r="A2662" s="562" t="s">
        <v>6436</v>
      </c>
      <c r="B2662" s="563" t="s">
        <v>5714</v>
      </c>
      <c r="C2662" s="564" t="s">
        <v>1612</v>
      </c>
      <c r="D2662" s="565">
        <v>42943</v>
      </c>
      <c r="E2662" s="565">
        <v>42917</v>
      </c>
      <c r="F2662" s="566">
        <v>6327720</v>
      </c>
      <c r="G2662" s="564" t="s">
        <v>1424</v>
      </c>
      <c r="H2662" s="564" t="s">
        <v>1424</v>
      </c>
      <c r="I2662" s="564" t="s">
        <v>45</v>
      </c>
      <c r="J2662" s="564" t="s">
        <v>1069</v>
      </c>
      <c r="K2662" s="564" t="s">
        <v>1090</v>
      </c>
      <c r="L2662" s="564" t="s">
        <v>1071</v>
      </c>
      <c r="M2662" s="564" t="s">
        <v>1183</v>
      </c>
      <c r="N2662" s="564" t="s">
        <v>45</v>
      </c>
      <c r="O2662" s="564" t="s">
        <v>2099</v>
      </c>
      <c r="P2662" s="23"/>
      <c r="Q2662" s="23"/>
      <c r="R2662" s="23"/>
      <c r="S2662" s="23"/>
      <c r="T2662" s="23"/>
      <c r="U2662" s="23"/>
      <c r="V2662" s="23"/>
      <c r="W2662" s="23"/>
      <c r="X2662" s="23"/>
      <c r="Y2662" s="23"/>
      <c r="Z2662" s="23"/>
    </row>
    <row r="2663" spans="1:26" ht="13">
      <c r="A2663" s="562" t="s">
        <v>6437</v>
      </c>
      <c r="B2663" s="563" t="s">
        <v>6438</v>
      </c>
      <c r="C2663" s="564" t="s">
        <v>1612</v>
      </c>
      <c r="D2663" s="565">
        <v>42943</v>
      </c>
      <c r="E2663" s="565">
        <v>42917</v>
      </c>
      <c r="F2663" s="566">
        <v>3490200</v>
      </c>
      <c r="G2663" s="564" t="s">
        <v>1424</v>
      </c>
      <c r="H2663" s="564" t="s">
        <v>1424</v>
      </c>
      <c r="I2663" s="564" t="s">
        <v>45</v>
      </c>
      <c r="J2663" s="564" t="s">
        <v>1069</v>
      </c>
      <c r="K2663" s="564" t="s">
        <v>1090</v>
      </c>
      <c r="L2663" s="564" t="s">
        <v>1071</v>
      </c>
      <c r="M2663" s="564" t="s">
        <v>1183</v>
      </c>
      <c r="N2663" s="564" t="s">
        <v>45</v>
      </c>
      <c r="O2663" s="564" t="s">
        <v>2099</v>
      </c>
      <c r="P2663" s="23"/>
      <c r="Q2663" s="23"/>
      <c r="R2663" s="23"/>
      <c r="S2663" s="23"/>
      <c r="T2663" s="23"/>
      <c r="U2663" s="23"/>
      <c r="V2663" s="23"/>
      <c r="W2663" s="23"/>
      <c r="X2663" s="23"/>
      <c r="Y2663" s="23"/>
      <c r="Z2663" s="23"/>
    </row>
    <row r="2664" spans="1:26" ht="13">
      <c r="A2664" s="562" t="s">
        <v>6439</v>
      </c>
      <c r="B2664" s="563" t="s">
        <v>6440</v>
      </c>
      <c r="C2664" s="564" t="s">
        <v>1612</v>
      </c>
      <c r="D2664" s="565">
        <v>42943</v>
      </c>
      <c r="E2664" s="565">
        <v>42971</v>
      </c>
      <c r="F2664" s="566">
        <v>8112000</v>
      </c>
      <c r="G2664" s="564" t="s">
        <v>1424</v>
      </c>
      <c r="H2664" s="564" t="s">
        <v>1424</v>
      </c>
      <c r="I2664" s="564" t="s">
        <v>1586</v>
      </c>
      <c r="J2664" s="564" t="s">
        <v>1069</v>
      </c>
      <c r="K2664" s="564" t="s">
        <v>1090</v>
      </c>
      <c r="L2664" s="564" t="s">
        <v>2098</v>
      </c>
      <c r="M2664" s="564" t="s">
        <v>2098</v>
      </c>
      <c r="N2664" s="564" t="s">
        <v>1073</v>
      </c>
      <c r="O2664" s="564" t="s">
        <v>2099</v>
      </c>
      <c r="P2664" s="23"/>
      <c r="Q2664" s="23"/>
      <c r="R2664" s="23"/>
      <c r="S2664" s="23"/>
      <c r="T2664" s="23"/>
      <c r="U2664" s="23"/>
      <c r="V2664" s="23"/>
      <c r="W2664" s="23"/>
      <c r="X2664" s="23"/>
      <c r="Y2664" s="23"/>
      <c r="Z2664" s="23"/>
    </row>
    <row r="2665" spans="1:26" ht="13">
      <c r="A2665" s="562" t="s">
        <v>6441</v>
      </c>
      <c r="B2665" s="563" t="s">
        <v>6442</v>
      </c>
      <c r="C2665" s="564" t="s">
        <v>1612</v>
      </c>
      <c r="D2665" s="565">
        <v>42936</v>
      </c>
      <c r="E2665" s="565">
        <v>42965</v>
      </c>
      <c r="F2665" s="566">
        <v>471096500</v>
      </c>
      <c r="G2665" s="564" t="s">
        <v>1424</v>
      </c>
      <c r="H2665" s="564" t="s">
        <v>1424</v>
      </c>
      <c r="I2665" s="564" t="s">
        <v>45</v>
      </c>
      <c r="J2665" s="564" t="s">
        <v>1069</v>
      </c>
      <c r="K2665" s="564" t="s">
        <v>1090</v>
      </c>
      <c r="L2665" s="564" t="s">
        <v>2098</v>
      </c>
      <c r="M2665" s="564" t="s">
        <v>2098</v>
      </c>
      <c r="N2665" s="564" t="s">
        <v>45</v>
      </c>
      <c r="O2665" s="564" t="s">
        <v>2099</v>
      </c>
      <c r="P2665" s="23"/>
      <c r="Q2665" s="23"/>
      <c r="R2665" s="23"/>
      <c r="S2665" s="23"/>
      <c r="T2665" s="23"/>
      <c r="U2665" s="23"/>
      <c r="V2665" s="23"/>
      <c r="W2665" s="23"/>
      <c r="X2665" s="23"/>
      <c r="Y2665" s="23"/>
      <c r="Z2665" s="23"/>
    </row>
    <row r="2666" spans="1:26" ht="13">
      <c r="A2666" s="562" t="s">
        <v>6443</v>
      </c>
      <c r="B2666" s="563" t="s">
        <v>6374</v>
      </c>
      <c r="C2666" s="564" t="s">
        <v>1612</v>
      </c>
      <c r="D2666" s="565">
        <v>42936</v>
      </c>
      <c r="E2666" s="565">
        <v>42965</v>
      </c>
      <c r="F2666" s="566">
        <v>9245000</v>
      </c>
      <c r="G2666" s="564" t="s">
        <v>1424</v>
      </c>
      <c r="H2666" s="564" t="s">
        <v>1424</v>
      </c>
      <c r="I2666" s="564" t="s">
        <v>64</v>
      </c>
      <c r="J2666" s="564" t="s">
        <v>1069</v>
      </c>
      <c r="K2666" s="564" t="s">
        <v>1090</v>
      </c>
      <c r="L2666" s="564" t="s">
        <v>2098</v>
      </c>
      <c r="M2666" s="564" t="s">
        <v>2098</v>
      </c>
      <c r="N2666" s="564" t="s">
        <v>64</v>
      </c>
      <c r="O2666" s="564" t="s">
        <v>2099</v>
      </c>
      <c r="P2666" s="23"/>
      <c r="Q2666" s="23"/>
      <c r="R2666" s="23"/>
      <c r="S2666" s="23"/>
      <c r="T2666" s="23"/>
      <c r="U2666" s="23"/>
      <c r="V2666" s="23"/>
      <c r="W2666" s="23"/>
      <c r="X2666" s="23"/>
      <c r="Y2666" s="23"/>
      <c r="Z2666" s="23"/>
    </row>
    <row r="2667" spans="1:26" ht="13">
      <c r="A2667" s="562" t="s">
        <v>6444</v>
      </c>
      <c r="B2667" s="563" t="s">
        <v>6445</v>
      </c>
      <c r="C2667" s="564" t="s">
        <v>1612</v>
      </c>
      <c r="D2667" s="565">
        <v>42936</v>
      </c>
      <c r="E2667" s="565">
        <v>42965</v>
      </c>
      <c r="F2667" s="566">
        <v>1200000</v>
      </c>
      <c r="G2667" s="564" t="s">
        <v>1424</v>
      </c>
      <c r="H2667" s="564" t="s">
        <v>1424</v>
      </c>
      <c r="I2667" s="564" t="s">
        <v>64</v>
      </c>
      <c r="J2667" s="564" t="s">
        <v>1069</v>
      </c>
      <c r="K2667" s="564" t="s">
        <v>1090</v>
      </c>
      <c r="L2667" s="564" t="s">
        <v>2098</v>
      </c>
      <c r="M2667" s="564" t="s">
        <v>2098</v>
      </c>
      <c r="N2667" s="564" t="s">
        <v>64</v>
      </c>
      <c r="O2667" s="564" t="s">
        <v>2099</v>
      </c>
      <c r="P2667" s="23"/>
      <c r="Q2667" s="23"/>
      <c r="R2667" s="23"/>
      <c r="S2667" s="23"/>
      <c r="T2667" s="23"/>
      <c r="U2667" s="23"/>
      <c r="V2667" s="23"/>
      <c r="W2667" s="23"/>
      <c r="X2667" s="23"/>
      <c r="Y2667" s="23"/>
      <c r="Z2667" s="23"/>
    </row>
    <row r="2668" spans="1:26" ht="13">
      <c r="A2668" s="562" t="s">
        <v>6446</v>
      </c>
      <c r="B2668" s="563" t="s">
        <v>5712</v>
      </c>
      <c r="C2668" s="564" t="s">
        <v>1612</v>
      </c>
      <c r="D2668" s="565">
        <v>42936</v>
      </c>
      <c r="E2668" s="565">
        <v>42965</v>
      </c>
      <c r="F2668" s="566">
        <v>1455000</v>
      </c>
      <c r="G2668" s="564" t="s">
        <v>1424</v>
      </c>
      <c r="H2668" s="564" t="s">
        <v>1424</v>
      </c>
      <c r="I2668" s="564" t="s">
        <v>121</v>
      </c>
      <c r="J2668" s="564" t="s">
        <v>1069</v>
      </c>
      <c r="K2668" s="564" t="s">
        <v>1105</v>
      </c>
      <c r="L2668" s="564" t="s">
        <v>2098</v>
      </c>
      <c r="M2668" s="564" t="s">
        <v>2098</v>
      </c>
      <c r="N2668" s="564" t="s">
        <v>1073</v>
      </c>
      <c r="O2668" s="564" t="s">
        <v>2099</v>
      </c>
      <c r="P2668" s="23"/>
      <c r="Q2668" s="23"/>
      <c r="R2668" s="23"/>
      <c r="S2668" s="23"/>
      <c r="T2668" s="23"/>
      <c r="U2668" s="23"/>
      <c r="V2668" s="23"/>
      <c r="W2668" s="23"/>
      <c r="X2668" s="23"/>
      <c r="Y2668" s="23"/>
      <c r="Z2668" s="23"/>
    </row>
    <row r="2669" spans="1:26" ht="13">
      <c r="A2669" s="562" t="s">
        <v>6447</v>
      </c>
      <c r="B2669" s="563" t="s">
        <v>6124</v>
      </c>
      <c r="C2669" s="564" t="s">
        <v>1612</v>
      </c>
      <c r="D2669" s="565">
        <v>42937</v>
      </c>
      <c r="E2669" s="565">
        <v>42965</v>
      </c>
      <c r="F2669" s="566">
        <v>43300000</v>
      </c>
      <c r="G2669" s="564" t="s">
        <v>1424</v>
      </c>
      <c r="H2669" s="564" t="s">
        <v>1424</v>
      </c>
      <c r="I2669" s="564" t="s">
        <v>45</v>
      </c>
      <c r="J2669" s="564" t="s">
        <v>1069</v>
      </c>
      <c r="K2669" s="564" t="s">
        <v>1090</v>
      </c>
      <c r="L2669" s="564" t="s">
        <v>2098</v>
      </c>
      <c r="M2669" s="564" t="s">
        <v>2098</v>
      </c>
      <c r="N2669" s="564" t="s">
        <v>45</v>
      </c>
      <c r="O2669" s="564" t="s">
        <v>2099</v>
      </c>
      <c r="P2669" s="23"/>
      <c r="Q2669" s="23"/>
      <c r="R2669" s="23"/>
      <c r="S2669" s="23"/>
      <c r="T2669" s="23"/>
      <c r="U2669" s="23"/>
      <c r="V2669" s="23"/>
      <c r="W2669" s="23"/>
      <c r="X2669" s="23"/>
      <c r="Y2669" s="23"/>
      <c r="Z2669" s="23"/>
    </row>
    <row r="2670" spans="1:26" ht="13">
      <c r="A2670" s="562" t="s">
        <v>6448</v>
      </c>
      <c r="B2670" s="563" t="s">
        <v>5916</v>
      </c>
      <c r="C2670" s="564" t="s">
        <v>1612</v>
      </c>
      <c r="D2670" s="565">
        <v>42936</v>
      </c>
      <c r="E2670" s="565">
        <v>42965</v>
      </c>
      <c r="F2670" s="566">
        <v>9420000</v>
      </c>
      <c r="G2670" s="564" t="s">
        <v>1424</v>
      </c>
      <c r="H2670" s="564" t="s">
        <v>1424</v>
      </c>
      <c r="I2670" s="564" t="s">
        <v>45</v>
      </c>
      <c r="J2670" s="564" t="s">
        <v>1069</v>
      </c>
      <c r="K2670" s="564" t="s">
        <v>1090</v>
      </c>
      <c r="L2670" s="564" t="s">
        <v>2098</v>
      </c>
      <c r="M2670" s="564" t="s">
        <v>2098</v>
      </c>
      <c r="N2670" s="564" t="s">
        <v>45</v>
      </c>
      <c r="O2670" s="564" t="s">
        <v>2099</v>
      </c>
      <c r="P2670" s="23"/>
      <c r="Q2670" s="23"/>
      <c r="R2670" s="23"/>
      <c r="S2670" s="23"/>
      <c r="T2670" s="23"/>
      <c r="U2670" s="23"/>
      <c r="V2670" s="23"/>
      <c r="W2670" s="23"/>
      <c r="X2670" s="23"/>
      <c r="Y2670" s="23"/>
      <c r="Z2670" s="23"/>
    </row>
    <row r="2671" spans="1:26" ht="13">
      <c r="A2671" s="562" t="s">
        <v>6449</v>
      </c>
      <c r="B2671" s="563" t="s">
        <v>5974</v>
      </c>
      <c r="C2671" s="564" t="s">
        <v>1612</v>
      </c>
      <c r="D2671" s="565">
        <v>42934</v>
      </c>
      <c r="E2671" s="565">
        <v>42965</v>
      </c>
      <c r="F2671" s="566">
        <v>1980000</v>
      </c>
      <c r="G2671" s="564" t="s">
        <v>1424</v>
      </c>
      <c r="H2671" s="564" t="s">
        <v>1424</v>
      </c>
      <c r="I2671" s="564" t="s">
        <v>45</v>
      </c>
      <c r="J2671" s="564" t="s">
        <v>1069</v>
      </c>
      <c r="K2671" s="564" t="s">
        <v>1090</v>
      </c>
      <c r="L2671" s="564" t="s">
        <v>2098</v>
      </c>
      <c r="M2671" s="564" t="s">
        <v>2098</v>
      </c>
      <c r="N2671" s="564" t="s">
        <v>45</v>
      </c>
      <c r="O2671" s="564" t="s">
        <v>2099</v>
      </c>
      <c r="P2671" s="23"/>
      <c r="Q2671" s="23"/>
      <c r="R2671" s="23"/>
      <c r="S2671" s="23"/>
      <c r="T2671" s="23"/>
      <c r="U2671" s="23"/>
      <c r="V2671" s="23"/>
      <c r="W2671" s="23"/>
      <c r="X2671" s="23"/>
      <c r="Y2671" s="23"/>
      <c r="Z2671" s="23"/>
    </row>
    <row r="2672" spans="1:26" ht="13">
      <c r="A2672" s="562" t="s">
        <v>6450</v>
      </c>
      <c r="B2672" s="563" t="s">
        <v>6451</v>
      </c>
      <c r="C2672" s="564" t="s">
        <v>1612</v>
      </c>
      <c r="D2672" s="565">
        <v>42927</v>
      </c>
      <c r="E2672" s="565">
        <v>42947</v>
      </c>
      <c r="F2672" s="566">
        <v>1260000</v>
      </c>
      <c r="G2672" s="564" t="s">
        <v>1424</v>
      </c>
      <c r="H2672" s="564" t="s">
        <v>1424</v>
      </c>
      <c r="I2672" s="564" t="s">
        <v>70</v>
      </c>
      <c r="J2672" s="564" t="s">
        <v>1069</v>
      </c>
      <c r="K2672" s="564" t="s">
        <v>1120</v>
      </c>
      <c r="L2672" s="564" t="s">
        <v>2098</v>
      </c>
      <c r="M2672" s="564" t="s">
        <v>2098</v>
      </c>
      <c r="N2672" s="564" t="s">
        <v>70</v>
      </c>
      <c r="O2672" s="564" t="s">
        <v>2099</v>
      </c>
      <c r="P2672" s="23"/>
      <c r="Q2672" s="23"/>
      <c r="R2672" s="23"/>
      <c r="S2672" s="23"/>
      <c r="T2672" s="23"/>
      <c r="U2672" s="23"/>
      <c r="V2672" s="23"/>
      <c r="W2672" s="23"/>
      <c r="X2672" s="23"/>
      <c r="Y2672" s="23"/>
      <c r="Z2672" s="23"/>
    </row>
    <row r="2673" spans="1:26" ht="13">
      <c r="A2673" s="562" t="s">
        <v>6452</v>
      </c>
      <c r="B2673" s="563" t="s">
        <v>6453</v>
      </c>
      <c r="C2673" s="564" t="s">
        <v>1612</v>
      </c>
      <c r="D2673" s="565">
        <v>42926</v>
      </c>
      <c r="E2673" s="565">
        <v>42943</v>
      </c>
      <c r="F2673" s="566">
        <v>14863636</v>
      </c>
      <c r="G2673" s="564" t="s">
        <v>1623</v>
      </c>
      <c r="H2673" s="564" t="s">
        <v>1623</v>
      </c>
      <c r="I2673" s="564" t="s">
        <v>802</v>
      </c>
      <c r="J2673" s="564" t="s">
        <v>1069</v>
      </c>
      <c r="K2673" s="564" t="s">
        <v>1198</v>
      </c>
      <c r="L2673" s="564" t="s">
        <v>2098</v>
      </c>
      <c r="M2673" s="564" t="s">
        <v>2098</v>
      </c>
      <c r="N2673" s="564" t="s">
        <v>132</v>
      </c>
      <c r="O2673" s="564" t="s">
        <v>2099</v>
      </c>
      <c r="P2673" s="23"/>
      <c r="Q2673" s="23"/>
      <c r="R2673" s="23"/>
      <c r="S2673" s="23"/>
      <c r="T2673" s="23"/>
      <c r="U2673" s="23"/>
      <c r="V2673" s="23"/>
      <c r="W2673" s="23"/>
      <c r="X2673" s="23"/>
      <c r="Y2673" s="23"/>
      <c r="Z2673" s="23"/>
    </row>
    <row r="2674" spans="1:26" ht="13">
      <c r="A2674" s="562" t="s">
        <v>6454</v>
      </c>
      <c r="B2674" s="563" t="s">
        <v>6455</v>
      </c>
      <c r="C2674" s="564" t="s">
        <v>2437</v>
      </c>
      <c r="D2674" s="565">
        <v>42926</v>
      </c>
      <c r="E2674" s="565">
        <v>42978</v>
      </c>
      <c r="F2674" s="566">
        <v>217479400</v>
      </c>
      <c r="G2674" s="564" t="s">
        <v>1529</v>
      </c>
      <c r="H2674" s="564" t="s">
        <v>1529</v>
      </c>
      <c r="I2674" s="564" t="s">
        <v>1417</v>
      </c>
      <c r="J2674" s="564" t="s">
        <v>1069</v>
      </c>
      <c r="K2674" s="564" t="s">
        <v>1070</v>
      </c>
      <c r="L2674" s="564" t="s">
        <v>2098</v>
      </c>
      <c r="M2674" s="564" t="s">
        <v>2098</v>
      </c>
      <c r="N2674" s="564" t="s">
        <v>1082</v>
      </c>
      <c r="O2674" s="564" t="s">
        <v>2099</v>
      </c>
      <c r="P2674" s="23"/>
      <c r="Q2674" s="23"/>
      <c r="R2674" s="23"/>
      <c r="S2674" s="23"/>
      <c r="T2674" s="23"/>
      <c r="U2674" s="23"/>
      <c r="V2674" s="23"/>
      <c r="W2674" s="23"/>
      <c r="X2674" s="23"/>
      <c r="Y2674" s="23"/>
      <c r="Z2674" s="23"/>
    </row>
    <row r="2675" spans="1:26" ht="13">
      <c r="A2675" s="562" t="s">
        <v>6456</v>
      </c>
      <c r="B2675" s="563" t="s">
        <v>6457</v>
      </c>
      <c r="C2675" s="564" t="s">
        <v>1612</v>
      </c>
      <c r="D2675" s="565">
        <v>42923</v>
      </c>
      <c r="E2675" s="565">
        <v>42947</v>
      </c>
      <c r="F2675" s="566">
        <v>49944000</v>
      </c>
      <c r="G2675" s="564" t="s">
        <v>1424</v>
      </c>
      <c r="H2675" s="564" t="s">
        <v>1424</v>
      </c>
      <c r="I2675" s="564" t="s">
        <v>45</v>
      </c>
      <c r="J2675" s="564" t="s">
        <v>1069</v>
      </c>
      <c r="K2675" s="564" t="s">
        <v>1090</v>
      </c>
      <c r="L2675" s="564" t="s">
        <v>2098</v>
      </c>
      <c r="M2675" s="564" t="s">
        <v>2098</v>
      </c>
      <c r="N2675" s="564" t="s">
        <v>45</v>
      </c>
      <c r="O2675" s="564" t="s">
        <v>2099</v>
      </c>
      <c r="P2675" s="23"/>
      <c r="Q2675" s="23"/>
      <c r="R2675" s="23"/>
      <c r="S2675" s="23"/>
      <c r="T2675" s="23"/>
      <c r="U2675" s="23"/>
      <c r="V2675" s="23"/>
      <c r="W2675" s="23"/>
      <c r="X2675" s="23"/>
      <c r="Y2675" s="23"/>
      <c r="Z2675" s="23"/>
    </row>
    <row r="2676" spans="1:26" ht="13">
      <c r="A2676" s="562" t="s">
        <v>6458</v>
      </c>
      <c r="B2676" s="563" t="s">
        <v>6459</v>
      </c>
      <c r="C2676" s="564" t="s">
        <v>1612</v>
      </c>
      <c r="D2676" s="565">
        <v>42922</v>
      </c>
      <c r="E2676" s="565">
        <v>42947</v>
      </c>
      <c r="F2676" s="566">
        <v>90190909</v>
      </c>
      <c r="G2676" s="564" t="s">
        <v>1424</v>
      </c>
      <c r="H2676" s="564" t="s">
        <v>1424</v>
      </c>
      <c r="I2676" s="564" t="s">
        <v>6460</v>
      </c>
      <c r="J2676" s="564" t="s">
        <v>1069</v>
      </c>
      <c r="K2676" s="564" t="s">
        <v>1198</v>
      </c>
      <c r="L2676" s="564" t="s">
        <v>2098</v>
      </c>
      <c r="M2676" s="564" t="s">
        <v>2098</v>
      </c>
      <c r="N2676" s="564" t="s">
        <v>1368</v>
      </c>
      <c r="O2676" s="564" t="s">
        <v>2099</v>
      </c>
      <c r="P2676" s="23"/>
      <c r="Q2676" s="23"/>
      <c r="R2676" s="23"/>
      <c r="S2676" s="23"/>
      <c r="T2676" s="23"/>
      <c r="U2676" s="23"/>
      <c r="V2676" s="23"/>
      <c r="W2676" s="23"/>
      <c r="X2676" s="23"/>
      <c r="Y2676" s="23"/>
      <c r="Z2676" s="23"/>
    </row>
    <row r="2677" spans="1:26" ht="13">
      <c r="A2677" s="562" t="s">
        <v>6461</v>
      </c>
      <c r="B2677" s="563" t="s">
        <v>5718</v>
      </c>
      <c r="C2677" s="564" t="s">
        <v>1612</v>
      </c>
      <c r="D2677" s="565">
        <v>42919</v>
      </c>
      <c r="E2677" s="565">
        <v>42947</v>
      </c>
      <c r="F2677" s="566">
        <v>1180000</v>
      </c>
      <c r="G2677" s="564" t="s">
        <v>1424</v>
      </c>
      <c r="H2677" s="564" t="s">
        <v>1424</v>
      </c>
      <c r="I2677" s="564" t="s">
        <v>45</v>
      </c>
      <c r="J2677" s="564" t="s">
        <v>1069</v>
      </c>
      <c r="K2677" s="564" t="s">
        <v>1090</v>
      </c>
      <c r="L2677" s="564" t="s">
        <v>2098</v>
      </c>
      <c r="M2677" s="564" t="s">
        <v>2098</v>
      </c>
      <c r="N2677" s="564" t="s">
        <v>45</v>
      </c>
      <c r="O2677" s="564" t="s">
        <v>2099</v>
      </c>
      <c r="P2677" s="23"/>
      <c r="Q2677" s="23"/>
      <c r="R2677" s="23"/>
      <c r="S2677" s="23"/>
      <c r="T2677" s="23"/>
      <c r="U2677" s="23"/>
      <c r="V2677" s="23"/>
      <c r="W2677" s="23"/>
      <c r="X2677" s="23"/>
      <c r="Y2677" s="23"/>
      <c r="Z2677" s="23"/>
    </row>
    <row r="2678" spans="1:26" ht="13">
      <c r="A2678" s="562" t="s">
        <v>6462</v>
      </c>
      <c r="B2678" s="563" t="s">
        <v>5810</v>
      </c>
      <c r="C2678" s="564" t="s">
        <v>1612</v>
      </c>
      <c r="D2678" s="565">
        <v>42919</v>
      </c>
      <c r="E2678" s="565">
        <v>42950</v>
      </c>
      <c r="F2678" s="566">
        <v>1913000</v>
      </c>
      <c r="G2678" s="564" t="s">
        <v>1424</v>
      </c>
      <c r="H2678" s="564" t="s">
        <v>1424</v>
      </c>
      <c r="I2678" s="564" t="s">
        <v>70</v>
      </c>
      <c r="J2678" s="564" t="s">
        <v>1069</v>
      </c>
      <c r="K2678" s="564" t="s">
        <v>1120</v>
      </c>
      <c r="L2678" s="564" t="s">
        <v>2098</v>
      </c>
      <c r="M2678" s="564" t="s">
        <v>2098</v>
      </c>
      <c r="N2678" s="564" t="s">
        <v>70</v>
      </c>
      <c r="O2678" s="564" t="s">
        <v>2099</v>
      </c>
      <c r="P2678" s="23"/>
      <c r="Q2678" s="23"/>
      <c r="R2678" s="23"/>
      <c r="S2678" s="23"/>
      <c r="T2678" s="23"/>
      <c r="U2678" s="23"/>
      <c r="V2678" s="23"/>
      <c r="W2678" s="23"/>
      <c r="X2678" s="23"/>
      <c r="Y2678" s="23"/>
      <c r="Z2678" s="23"/>
    </row>
    <row r="2679" spans="1:26" ht="13">
      <c r="A2679" s="562" t="s">
        <v>6463</v>
      </c>
      <c r="B2679" s="563" t="s">
        <v>5765</v>
      </c>
      <c r="C2679" s="564" t="s">
        <v>1612</v>
      </c>
      <c r="D2679" s="565">
        <v>42919</v>
      </c>
      <c r="E2679" s="565">
        <v>42947</v>
      </c>
      <c r="F2679" s="566">
        <v>7982000</v>
      </c>
      <c r="G2679" s="564" t="s">
        <v>1424</v>
      </c>
      <c r="H2679" s="564" t="s">
        <v>1424</v>
      </c>
      <c r="I2679" s="564" t="s">
        <v>70</v>
      </c>
      <c r="J2679" s="564" t="s">
        <v>1069</v>
      </c>
      <c r="K2679" s="564" t="s">
        <v>1120</v>
      </c>
      <c r="L2679" s="564" t="s">
        <v>2098</v>
      </c>
      <c r="M2679" s="564" t="s">
        <v>2098</v>
      </c>
      <c r="N2679" s="564" t="s">
        <v>70</v>
      </c>
      <c r="O2679" s="564" t="s">
        <v>2099</v>
      </c>
      <c r="P2679" s="23"/>
      <c r="Q2679" s="23"/>
      <c r="R2679" s="23"/>
      <c r="S2679" s="23"/>
      <c r="T2679" s="23"/>
      <c r="U2679" s="23"/>
      <c r="V2679" s="23"/>
      <c r="W2679" s="23"/>
      <c r="X2679" s="23"/>
      <c r="Y2679" s="23"/>
      <c r="Z2679" s="23"/>
    </row>
    <row r="2680" spans="1:26" ht="13">
      <c r="A2680" s="562" t="s">
        <v>6464</v>
      </c>
      <c r="B2680" s="563" t="s">
        <v>6465</v>
      </c>
      <c r="C2680" s="564" t="s">
        <v>1551</v>
      </c>
      <c r="D2680" s="565">
        <v>42921</v>
      </c>
      <c r="E2680" s="565">
        <v>42947</v>
      </c>
      <c r="F2680" s="566">
        <v>3311909060</v>
      </c>
      <c r="G2680" s="564" t="s">
        <v>1424</v>
      </c>
      <c r="H2680" s="564" t="s">
        <v>1424</v>
      </c>
      <c r="I2680" s="564" t="s">
        <v>45</v>
      </c>
      <c r="J2680" s="564" t="s">
        <v>1069</v>
      </c>
      <c r="K2680" s="564" t="s">
        <v>1090</v>
      </c>
      <c r="L2680" s="564" t="s">
        <v>2098</v>
      </c>
      <c r="M2680" s="564" t="s">
        <v>2098</v>
      </c>
      <c r="N2680" s="564" t="s">
        <v>45</v>
      </c>
      <c r="O2680" s="564" t="s">
        <v>2099</v>
      </c>
      <c r="P2680" s="23"/>
      <c r="Q2680" s="23"/>
      <c r="R2680" s="23"/>
      <c r="S2680" s="23"/>
      <c r="T2680" s="23"/>
      <c r="U2680" s="23"/>
      <c r="V2680" s="23"/>
      <c r="W2680" s="23"/>
      <c r="X2680" s="23"/>
      <c r="Y2680" s="23"/>
      <c r="Z2680" s="23"/>
    </row>
    <row r="2681" spans="1:26" ht="13">
      <c r="A2681" s="562" t="s">
        <v>6466</v>
      </c>
      <c r="B2681" s="563" t="s">
        <v>5769</v>
      </c>
      <c r="C2681" s="564" t="s">
        <v>1612</v>
      </c>
      <c r="D2681" s="565">
        <v>42916</v>
      </c>
      <c r="E2681" s="565">
        <v>42947</v>
      </c>
      <c r="F2681" s="566">
        <v>1404000</v>
      </c>
      <c r="G2681" s="564" t="s">
        <v>1424</v>
      </c>
      <c r="H2681" s="564" t="s">
        <v>1424</v>
      </c>
      <c r="I2681" s="564" t="s">
        <v>1230</v>
      </c>
      <c r="J2681" s="564" t="s">
        <v>1069</v>
      </c>
      <c r="K2681" s="564" t="s">
        <v>1090</v>
      </c>
      <c r="L2681" s="564" t="s">
        <v>2098</v>
      </c>
      <c r="M2681" s="564" t="s">
        <v>2098</v>
      </c>
      <c r="N2681" s="564" t="s">
        <v>1073</v>
      </c>
      <c r="O2681" s="564" t="s">
        <v>2099</v>
      </c>
      <c r="P2681" s="23"/>
      <c r="Q2681" s="23"/>
      <c r="R2681" s="23"/>
      <c r="S2681" s="23"/>
      <c r="T2681" s="23"/>
      <c r="U2681" s="23"/>
      <c r="V2681" s="23"/>
      <c r="W2681" s="23"/>
      <c r="X2681" s="23"/>
      <c r="Y2681" s="23"/>
      <c r="Z2681" s="23"/>
    </row>
    <row r="2682" spans="1:26" ht="13">
      <c r="A2682" s="562" t="s">
        <v>6467</v>
      </c>
      <c r="B2682" s="563" t="s">
        <v>6468</v>
      </c>
      <c r="C2682" s="564" t="s">
        <v>1612</v>
      </c>
      <c r="D2682" s="565">
        <v>42916</v>
      </c>
      <c r="E2682" s="565">
        <v>42947</v>
      </c>
      <c r="F2682" s="566">
        <v>18150000</v>
      </c>
      <c r="G2682" s="564" t="s">
        <v>1424</v>
      </c>
      <c r="H2682" s="564" t="s">
        <v>1424</v>
      </c>
      <c r="I2682" s="564" t="s">
        <v>45</v>
      </c>
      <c r="J2682" s="564" t="s">
        <v>1069</v>
      </c>
      <c r="K2682" s="564" t="s">
        <v>1090</v>
      </c>
      <c r="L2682" s="564" t="s">
        <v>2098</v>
      </c>
      <c r="M2682" s="564" t="s">
        <v>2098</v>
      </c>
      <c r="N2682" s="564" t="s">
        <v>45</v>
      </c>
      <c r="O2682" s="564" t="s">
        <v>2099</v>
      </c>
      <c r="P2682" s="23"/>
      <c r="Q2682" s="23"/>
      <c r="R2682" s="23"/>
      <c r="S2682" s="23"/>
      <c r="T2682" s="23"/>
      <c r="U2682" s="23"/>
      <c r="V2682" s="23"/>
      <c r="W2682" s="23"/>
      <c r="X2682" s="23"/>
      <c r="Y2682" s="23"/>
      <c r="Z2682" s="23"/>
    </row>
    <row r="2683" spans="1:26" ht="13">
      <c r="A2683" s="562" t="s">
        <v>6469</v>
      </c>
      <c r="B2683" s="563" t="s">
        <v>6470</v>
      </c>
      <c r="C2683" s="564" t="s">
        <v>1612</v>
      </c>
      <c r="D2683" s="565">
        <v>42919</v>
      </c>
      <c r="E2683" s="565">
        <v>42947</v>
      </c>
      <c r="F2683" s="566">
        <v>119200000</v>
      </c>
      <c r="G2683" s="564" t="s">
        <v>5465</v>
      </c>
      <c r="H2683" s="564" t="s">
        <v>5465</v>
      </c>
      <c r="I2683" s="564" t="s">
        <v>45</v>
      </c>
      <c r="J2683" s="564" t="s">
        <v>1069</v>
      </c>
      <c r="K2683" s="564" t="s">
        <v>1090</v>
      </c>
      <c r="L2683" s="564" t="s">
        <v>2098</v>
      </c>
      <c r="M2683" s="564" t="s">
        <v>2098</v>
      </c>
      <c r="N2683" s="564" t="s">
        <v>45</v>
      </c>
      <c r="O2683" s="564" t="s">
        <v>2099</v>
      </c>
      <c r="P2683" s="23"/>
      <c r="Q2683" s="23"/>
      <c r="R2683" s="23"/>
      <c r="S2683" s="23"/>
      <c r="T2683" s="23"/>
      <c r="U2683" s="23"/>
      <c r="V2683" s="23"/>
      <c r="W2683" s="23"/>
      <c r="X2683" s="23"/>
      <c r="Y2683" s="23"/>
      <c r="Z2683" s="23"/>
    </row>
    <row r="2684" spans="1:26" ht="13">
      <c r="A2684" s="562" t="s">
        <v>6471</v>
      </c>
      <c r="B2684" s="563" t="s">
        <v>6472</v>
      </c>
      <c r="C2684" s="564" t="s">
        <v>1612</v>
      </c>
      <c r="D2684" s="565">
        <v>42916</v>
      </c>
      <c r="E2684" s="565">
        <v>42947</v>
      </c>
      <c r="F2684" s="566">
        <v>3932000</v>
      </c>
      <c r="G2684" s="564" t="s">
        <v>1424</v>
      </c>
      <c r="H2684" s="564" t="s">
        <v>1424</v>
      </c>
      <c r="I2684" s="564" t="s">
        <v>45</v>
      </c>
      <c r="J2684" s="564" t="s">
        <v>1069</v>
      </c>
      <c r="K2684" s="564" t="s">
        <v>1090</v>
      </c>
      <c r="L2684" s="564" t="s">
        <v>2098</v>
      </c>
      <c r="M2684" s="564" t="s">
        <v>2098</v>
      </c>
      <c r="N2684" s="564" t="s">
        <v>45</v>
      </c>
      <c r="O2684" s="564" t="s">
        <v>2099</v>
      </c>
      <c r="P2684" s="23"/>
      <c r="Q2684" s="23"/>
      <c r="R2684" s="23"/>
      <c r="S2684" s="23"/>
      <c r="T2684" s="23"/>
      <c r="U2684" s="23"/>
      <c r="V2684" s="23"/>
      <c r="W2684" s="23"/>
      <c r="X2684" s="23"/>
      <c r="Y2684" s="23"/>
      <c r="Z2684" s="23"/>
    </row>
    <row r="2685" spans="1:26" ht="13">
      <c r="A2685" s="562" t="s">
        <v>6473</v>
      </c>
      <c r="B2685" s="563" t="s">
        <v>5718</v>
      </c>
      <c r="C2685" s="564" t="s">
        <v>1612</v>
      </c>
      <c r="D2685" s="565">
        <v>42916</v>
      </c>
      <c r="E2685" s="565">
        <v>42947</v>
      </c>
      <c r="F2685" s="566">
        <v>1180000</v>
      </c>
      <c r="G2685" s="564" t="s">
        <v>1424</v>
      </c>
      <c r="H2685" s="564" t="s">
        <v>1424</v>
      </c>
      <c r="I2685" s="564" t="s">
        <v>45</v>
      </c>
      <c r="J2685" s="564" t="s">
        <v>1069</v>
      </c>
      <c r="K2685" s="564" t="s">
        <v>1090</v>
      </c>
      <c r="L2685" s="564" t="s">
        <v>2098</v>
      </c>
      <c r="M2685" s="564" t="s">
        <v>2098</v>
      </c>
      <c r="N2685" s="564" t="s">
        <v>45</v>
      </c>
      <c r="O2685" s="564" t="s">
        <v>2099</v>
      </c>
      <c r="P2685" s="23"/>
      <c r="Q2685" s="23"/>
      <c r="R2685" s="23"/>
      <c r="S2685" s="23"/>
      <c r="T2685" s="23"/>
      <c r="U2685" s="23"/>
      <c r="V2685" s="23"/>
      <c r="W2685" s="23"/>
      <c r="X2685" s="23"/>
      <c r="Y2685" s="23"/>
      <c r="Z2685" s="23"/>
    </row>
    <row r="2686" spans="1:26" ht="13">
      <c r="A2686" s="562" t="s">
        <v>6474</v>
      </c>
      <c r="B2686" s="563" t="s">
        <v>6475</v>
      </c>
      <c r="C2686" s="564" t="s">
        <v>1612</v>
      </c>
      <c r="D2686" s="565">
        <v>42916</v>
      </c>
      <c r="E2686" s="565">
        <v>42856</v>
      </c>
      <c r="F2686" s="566">
        <v>9722400</v>
      </c>
      <c r="G2686" s="564" t="s">
        <v>1424</v>
      </c>
      <c r="H2686" s="564" t="s">
        <v>1424</v>
      </c>
      <c r="I2686" s="564" t="s">
        <v>45</v>
      </c>
      <c r="J2686" s="564" t="s">
        <v>1069</v>
      </c>
      <c r="K2686" s="564" t="s">
        <v>1090</v>
      </c>
      <c r="L2686" s="564" t="s">
        <v>1071</v>
      </c>
      <c r="M2686" s="564" t="s">
        <v>1183</v>
      </c>
      <c r="N2686" s="564" t="s">
        <v>45</v>
      </c>
      <c r="O2686" s="564" t="s">
        <v>2099</v>
      </c>
      <c r="P2686" s="23"/>
      <c r="Q2686" s="23"/>
      <c r="R2686" s="23"/>
      <c r="S2686" s="23"/>
      <c r="T2686" s="23"/>
      <c r="U2686" s="23"/>
      <c r="V2686" s="23"/>
      <c r="W2686" s="23"/>
      <c r="X2686" s="23"/>
      <c r="Y2686" s="23"/>
      <c r="Z2686" s="23"/>
    </row>
    <row r="2687" spans="1:26" ht="13">
      <c r="A2687" s="562" t="s">
        <v>6476</v>
      </c>
      <c r="B2687" s="563" t="s">
        <v>6477</v>
      </c>
      <c r="C2687" s="564" t="s">
        <v>1612</v>
      </c>
      <c r="D2687" s="565">
        <v>42916</v>
      </c>
      <c r="E2687" s="565">
        <v>42944</v>
      </c>
      <c r="F2687" s="566">
        <v>2860000</v>
      </c>
      <c r="G2687" s="564" t="s">
        <v>1424</v>
      </c>
      <c r="H2687" s="564" t="s">
        <v>1424</v>
      </c>
      <c r="I2687" s="564" t="s">
        <v>45</v>
      </c>
      <c r="J2687" s="564" t="s">
        <v>1069</v>
      </c>
      <c r="K2687" s="564" t="s">
        <v>1090</v>
      </c>
      <c r="L2687" s="564" t="s">
        <v>2098</v>
      </c>
      <c r="M2687" s="564" t="s">
        <v>2098</v>
      </c>
      <c r="N2687" s="564" t="s">
        <v>45</v>
      </c>
      <c r="O2687" s="564" t="s">
        <v>2099</v>
      </c>
      <c r="P2687" s="23"/>
      <c r="Q2687" s="23"/>
      <c r="R2687" s="23"/>
      <c r="S2687" s="23"/>
      <c r="T2687" s="23"/>
      <c r="U2687" s="23"/>
      <c r="V2687" s="23"/>
      <c r="W2687" s="23"/>
      <c r="X2687" s="23"/>
      <c r="Y2687" s="23"/>
      <c r="Z2687" s="23"/>
    </row>
    <row r="2688" spans="1:26" ht="13">
      <c r="A2688" s="562" t="s">
        <v>6478</v>
      </c>
      <c r="B2688" s="563" t="s">
        <v>5718</v>
      </c>
      <c r="C2688" s="564" t="s">
        <v>1612</v>
      </c>
      <c r="D2688" s="565">
        <v>42919</v>
      </c>
      <c r="E2688" s="565">
        <v>42947</v>
      </c>
      <c r="F2688" s="566">
        <v>1180000</v>
      </c>
      <c r="G2688" s="564" t="s">
        <v>1424</v>
      </c>
      <c r="H2688" s="564" t="s">
        <v>1424</v>
      </c>
      <c r="I2688" s="564" t="s">
        <v>45</v>
      </c>
      <c r="J2688" s="564" t="s">
        <v>1069</v>
      </c>
      <c r="K2688" s="564" t="s">
        <v>1090</v>
      </c>
      <c r="L2688" s="564" t="s">
        <v>2098</v>
      </c>
      <c r="M2688" s="564" t="s">
        <v>2098</v>
      </c>
      <c r="N2688" s="564" t="s">
        <v>45</v>
      </c>
      <c r="O2688" s="564" t="s">
        <v>2099</v>
      </c>
      <c r="P2688" s="23"/>
      <c r="Q2688" s="23"/>
      <c r="R2688" s="23"/>
      <c r="S2688" s="23"/>
      <c r="T2688" s="23"/>
      <c r="U2688" s="23"/>
      <c r="V2688" s="23"/>
      <c r="W2688" s="23"/>
      <c r="X2688" s="23"/>
      <c r="Y2688" s="23"/>
      <c r="Z2688" s="23"/>
    </row>
    <row r="2689" spans="1:26" ht="13">
      <c r="A2689" s="562" t="s">
        <v>6479</v>
      </c>
      <c r="B2689" s="563" t="s">
        <v>5812</v>
      </c>
      <c r="C2689" s="564" t="s">
        <v>1612</v>
      </c>
      <c r="D2689" s="565">
        <v>42914</v>
      </c>
      <c r="E2689" s="565">
        <v>42937</v>
      </c>
      <c r="F2689" s="566">
        <v>3600000</v>
      </c>
      <c r="G2689" s="564" t="s">
        <v>1424</v>
      </c>
      <c r="H2689" s="564" t="s">
        <v>1424</v>
      </c>
      <c r="I2689" s="564" t="s">
        <v>64</v>
      </c>
      <c r="J2689" s="564" t="s">
        <v>1069</v>
      </c>
      <c r="K2689" s="564" t="s">
        <v>1090</v>
      </c>
      <c r="L2689" s="564" t="s">
        <v>2098</v>
      </c>
      <c r="M2689" s="564" t="s">
        <v>2098</v>
      </c>
      <c r="N2689" s="564" t="s">
        <v>64</v>
      </c>
      <c r="O2689" s="564" t="s">
        <v>2099</v>
      </c>
      <c r="P2689" s="23"/>
      <c r="Q2689" s="23"/>
      <c r="R2689" s="23"/>
      <c r="S2689" s="23"/>
      <c r="T2689" s="23"/>
      <c r="U2689" s="23"/>
      <c r="V2689" s="23"/>
      <c r="W2689" s="23"/>
      <c r="X2689" s="23"/>
      <c r="Y2689" s="23"/>
      <c r="Z2689" s="23"/>
    </row>
    <row r="2690" spans="1:26" ht="13">
      <c r="A2690" s="562" t="s">
        <v>6480</v>
      </c>
      <c r="B2690" s="563" t="s">
        <v>6481</v>
      </c>
      <c r="C2690" s="564" t="s">
        <v>1612</v>
      </c>
      <c r="D2690" s="565">
        <v>42914</v>
      </c>
      <c r="E2690" s="565">
        <v>42947</v>
      </c>
      <c r="F2690" s="566">
        <v>59275000</v>
      </c>
      <c r="G2690" s="564" t="s">
        <v>5465</v>
      </c>
      <c r="H2690" s="564" t="s">
        <v>5465</v>
      </c>
      <c r="I2690" s="564" t="s">
        <v>45</v>
      </c>
      <c r="J2690" s="564" t="s">
        <v>1069</v>
      </c>
      <c r="K2690" s="564" t="s">
        <v>1090</v>
      </c>
      <c r="L2690" s="564" t="s">
        <v>2098</v>
      </c>
      <c r="M2690" s="564" t="s">
        <v>2098</v>
      </c>
      <c r="N2690" s="564" t="s">
        <v>45</v>
      </c>
      <c r="O2690" s="564" t="s">
        <v>2099</v>
      </c>
      <c r="P2690" s="23"/>
      <c r="Q2690" s="23"/>
      <c r="R2690" s="23"/>
      <c r="S2690" s="23"/>
      <c r="T2690" s="23"/>
      <c r="U2690" s="23"/>
      <c r="V2690" s="23"/>
      <c r="W2690" s="23"/>
      <c r="X2690" s="23"/>
      <c r="Y2690" s="23"/>
      <c r="Z2690" s="23"/>
    </row>
    <row r="2691" spans="1:26" ht="13">
      <c r="A2691" s="562" t="s">
        <v>6482</v>
      </c>
      <c r="B2691" s="563" t="s">
        <v>5810</v>
      </c>
      <c r="C2691" s="564" t="s">
        <v>1612</v>
      </c>
      <c r="D2691" s="565">
        <v>42914</v>
      </c>
      <c r="E2691" s="565">
        <v>42944</v>
      </c>
      <c r="F2691" s="566">
        <v>1766000</v>
      </c>
      <c r="G2691" s="564" t="s">
        <v>1424</v>
      </c>
      <c r="H2691" s="564" t="s">
        <v>1424</v>
      </c>
      <c r="I2691" s="564" t="s">
        <v>70</v>
      </c>
      <c r="J2691" s="564" t="s">
        <v>1069</v>
      </c>
      <c r="K2691" s="564" t="s">
        <v>1120</v>
      </c>
      <c r="L2691" s="564" t="s">
        <v>2098</v>
      </c>
      <c r="M2691" s="564" t="s">
        <v>2098</v>
      </c>
      <c r="N2691" s="564" t="s">
        <v>70</v>
      </c>
      <c r="O2691" s="564" t="s">
        <v>2099</v>
      </c>
      <c r="P2691" s="23"/>
      <c r="Q2691" s="23"/>
      <c r="R2691" s="23"/>
      <c r="S2691" s="23"/>
      <c r="T2691" s="23"/>
      <c r="U2691" s="23"/>
      <c r="V2691" s="23"/>
      <c r="W2691" s="23"/>
      <c r="X2691" s="23"/>
      <c r="Y2691" s="23"/>
      <c r="Z2691" s="23"/>
    </row>
    <row r="2692" spans="1:26" ht="13">
      <c r="A2692" s="562" t="s">
        <v>6483</v>
      </c>
      <c r="B2692" s="563" t="s">
        <v>6484</v>
      </c>
      <c r="C2692" s="564" t="s">
        <v>1612</v>
      </c>
      <c r="D2692" s="565">
        <v>42915</v>
      </c>
      <c r="E2692" s="565">
        <v>42947</v>
      </c>
      <c r="F2692" s="566">
        <v>1760000</v>
      </c>
      <c r="G2692" s="564" t="s">
        <v>5465</v>
      </c>
      <c r="H2692" s="564" t="s">
        <v>5465</v>
      </c>
      <c r="I2692" s="564" t="s">
        <v>45</v>
      </c>
      <c r="J2692" s="564" t="s">
        <v>1069</v>
      </c>
      <c r="K2692" s="564" t="s">
        <v>1090</v>
      </c>
      <c r="L2692" s="564" t="s">
        <v>2098</v>
      </c>
      <c r="M2692" s="564" t="s">
        <v>2098</v>
      </c>
      <c r="N2692" s="564" t="s">
        <v>45</v>
      </c>
      <c r="O2692" s="564" t="s">
        <v>2099</v>
      </c>
      <c r="P2692" s="23"/>
      <c r="Q2692" s="23"/>
      <c r="R2692" s="23"/>
      <c r="S2692" s="23"/>
      <c r="T2692" s="23"/>
      <c r="U2692" s="23"/>
      <c r="V2692" s="23"/>
      <c r="W2692" s="23"/>
      <c r="X2692" s="23"/>
      <c r="Y2692" s="23"/>
      <c r="Z2692" s="23"/>
    </row>
    <row r="2693" spans="1:26" ht="13">
      <c r="A2693" s="562" t="s">
        <v>6485</v>
      </c>
      <c r="B2693" s="563" t="s">
        <v>6486</v>
      </c>
      <c r="C2693" s="564" t="s">
        <v>1612</v>
      </c>
      <c r="D2693" s="565">
        <v>42914</v>
      </c>
      <c r="E2693" s="565">
        <v>42947</v>
      </c>
      <c r="F2693" s="566">
        <v>40400000</v>
      </c>
      <c r="G2693" s="564" t="s">
        <v>5465</v>
      </c>
      <c r="H2693" s="564" t="s">
        <v>5465</v>
      </c>
      <c r="I2693" s="564" t="s">
        <v>45</v>
      </c>
      <c r="J2693" s="564" t="s">
        <v>1069</v>
      </c>
      <c r="K2693" s="564" t="s">
        <v>1090</v>
      </c>
      <c r="L2693" s="564" t="s">
        <v>2098</v>
      </c>
      <c r="M2693" s="564" t="s">
        <v>2098</v>
      </c>
      <c r="N2693" s="564" t="s">
        <v>45</v>
      </c>
      <c r="O2693" s="564" t="s">
        <v>2099</v>
      </c>
      <c r="P2693" s="23"/>
      <c r="Q2693" s="23"/>
      <c r="R2693" s="23"/>
      <c r="S2693" s="23"/>
      <c r="T2693" s="23"/>
      <c r="U2693" s="23"/>
      <c r="V2693" s="23"/>
      <c r="W2693" s="23"/>
      <c r="X2693" s="23"/>
      <c r="Y2693" s="23"/>
      <c r="Z2693" s="23"/>
    </row>
    <row r="2694" spans="1:26" ht="13">
      <c r="A2694" s="562" t="s">
        <v>6487</v>
      </c>
      <c r="B2694" s="563" t="s">
        <v>6488</v>
      </c>
      <c r="C2694" s="564" t="s">
        <v>1612</v>
      </c>
      <c r="D2694" s="565">
        <v>42913</v>
      </c>
      <c r="E2694" s="565">
        <v>42934</v>
      </c>
      <c r="F2694" s="566">
        <v>13800000</v>
      </c>
      <c r="G2694" s="564" t="s">
        <v>1623</v>
      </c>
      <c r="H2694" s="564" t="s">
        <v>1623</v>
      </c>
      <c r="I2694" s="564" t="s">
        <v>802</v>
      </c>
      <c r="J2694" s="564" t="s">
        <v>1069</v>
      </c>
      <c r="K2694" s="564" t="s">
        <v>1198</v>
      </c>
      <c r="L2694" s="564" t="s">
        <v>2098</v>
      </c>
      <c r="M2694" s="564" t="s">
        <v>2098</v>
      </c>
      <c r="N2694" s="564" t="s">
        <v>132</v>
      </c>
      <c r="O2694" s="564" t="s">
        <v>2099</v>
      </c>
      <c r="P2694" s="23"/>
      <c r="Q2694" s="23"/>
      <c r="R2694" s="23"/>
      <c r="S2694" s="23"/>
      <c r="T2694" s="23"/>
      <c r="U2694" s="23"/>
      <c r="V2694" s="23"/>
      <c r="W2694" s="23"/>
      <c r="X2694" s="23"/>
      <c r="Y2694" s="23"/>
      <c r="Z2694" s="23"/>
    </row>
    <row r="2695" spans="1:26" ht="13">
      <c r="A2695" s="562" t="s">
        <v>6489</v>
      </c>
      <c r="B2695" s="563" t="s">
        <v>5718</v>
      </c>
      <c r="C2695" s="564" t="s">
        <v>1612</v>
      </c>
      <c r="D2695" s="565">
        <v>42909</v>
      </c>
      <c r="E2695" s="565">
        <v>42937</v>
      </c>
      <c r="F2695" s="566">
        <v>975000</v>
      </c>
      <c r="G2695" s="564" t="s">
        <v>1424</v>
      </c>
      <c r="H2695" s="564" t="s">
        <v>1424</v>
      </c>
      <c r="I2695" s="564" t="s">
        <v>45</v>
      </c>
      <c r="J2695" s="564" t="s">
        <v>1069</v>
      </c>
      <c r="K2695" s="564" t="s">
        <v>1090</v>
      </c>
      <c r="L2695" s="564" t="s">
        <v>2098</v>
      </c>
      <c r="M2695" s="564" t="s">
        <v>2098</v>
      </c>
      <c r="N2695" s="564" t="s">
        <v>45</v>
      </c>
      <c r="O2695" s="564" t="s">
        <v>2099</v>
      </c>
      <c r="P2695" s="23"/>
      <c r="Q2695" s="23"/>
      <c r="R2695" s="23"/>
      <c r="S2695" s="23"/>
      <c r="T2695" s="23"/>
      <c r="U2695" s="23"/>
      <c r="V2695" s="23"/>
      <c r="W2695" s="23"/>
      <c r="X2695" s="23"/>
      <c r="Y2695" s="23"/>
      <c r="Z2695" s="23"/>
    </row>
    <row r="2696" spans="1:26" ht="13">
      <c r="A2696" s="562" t="s">
        <v>6490</v>
      </c>
      <c r="B2696" s="563" t="s">
        <v>6491</v>
      </c>
      <c r="C2696" s="564" t="s">
        <v>1204</v>
      </c>
      <c r="D2696" s="565">
        <v>42909</v>
      </c>
      <c r="E2696" s="565">
        <v>42856</v>
      </c>
      <c r="F2696" s="566">
        <v>5425200</v>
      </c>
      <c r="G2696" s="564" t="s">
        <v>1424</v>
      </c>
      <c r="H2696" s="564" t="s">
        <v>1424</v>
      </c>
      <c r="I2696" s="564" t="s">
        <v>1471</v>
      </c>
      <c r="J2696" s="564" t="s">
        <v>1069</v>
      </c>
      <c r="K2696" s="564" t="s">
        <v>1070</v>
      </c>
      <c r="L2696" s="564" t="s">
        <v>1071</v>
      </c>
      <c r="M2696" s="564" t="s">
        <v>1183</v>
      </c>
      <c r="N2696" s="564" t="s">
        <v>1082</v>
      </c>
      <c r="O2696" s="564" t="s">
        <v>1472</v>
      </c>
      <c r="P2696" s="23"/>
      <c r="Q2696" s="23"/>
      <c r="R2696" s="23"/>
      <c r="S2696" s="23"/>
      <c r="T2696" s="23"/>
      <c r="U2696" s="23"/>
      <c r="V2696" s="23"/>
      <c r="W2696" s="23"/>
      <c r="X2696" s="23"/>
      <c r="Y2696" s="23"/>
      <c r="Z2696" s="23"/>
    </row>
    <row r="2697" spans="1:26" ht="13">
      <c r="A2697" s="562" t="s">
        <v>6492</v>
      </c>
      <c r="B2697" s="563" t="s">
        <v>6493</v>
      </c>
      <c r="C2697" s="564" t="s">
        <v>1612</v>
      </c>
      <c r="D2697" s="565">
        <v>42912</v>
      </c>
      <c r="E2697" s="565">
        <v>42887</v>
      </c>
      <c r="F2697" s="566">
        <v>655680</v>
      </c>
      <c r="G2697" s="564" t="s">
        <v>1424</v>
      </c>
      <c r="H2697" s="564" t="s">
        <v>1424</v>
      </c>
      <c r="I2697" s="564" t="s">
        <v>146</v>
      </c>
      <c r="J2697" s="564" t="s">
        <v>1069</v>
      </c>
      <c r="K2697" s="564" t="s">
        <v>1070</v>
      </c>
      <c r="L2697" s="564" t="s">
        <v>1071</v>
      </c>
      <c r="M2697" s="564" t="s">
        <v>1183</v>
      </c>
      <c r="N2697" s="564" t="s">
        <v>1073</v>
      </c>
      <c r="O2697" s="564" t="s">
        <v>2099</v>
      </c>
      <c r="P2697" s="23"/>
      <c r="Q2697" s="23"/>
      <c r="R2697" s="23"/>
      <c r="S2697" s="23"/>
      <c r="T2697" s="23"/>
      <c r="U2697" s="23"/>
      <c r="V2697" s="23"/>
      <c r="W2697" s="23"/>
      <c r="X2697" s="23"/>
      <c r="Y2697" s="23"/>
      <c r="Z2697" s="23"/>
    </row>
    <row r="2698" spans="1:26" ht="13">
      <c r="A2698" s="562" t="s">
        <v>6494</v>
      </c>
      <c r="B2698" s="563" t="s">
        <v>6495</v>
      </c>
      <c r="C2698" s="564" t="s">
        <v>1204</v>
      </c>
      <c r="D2698" s="565">
        <v>42909</v>
      </c>
      <c r="E2698" s="565">
        <v>42887</v>
      </c>
      <c r="F2698" s="566">
        <v>10044000</v>
      </c>
      <c r="G2698" s="564" t="s">
        <v>1424</v>
      </c>
      <c r="H2698" s="564" t="s">
        <v>1424</v>
      </c>
      <c r="I2698" s="564" t="s">
        <v>1471</v>
      </c>
      <c r="J2698" s="564" t="s">
        <v>1069</v>
      </c>
      <c r="K2698" s="564" t="s">
        <v>1070</v>
      </c>
      <c r="L2698" s="564" t="s">
        <v>1071</v>
      </c>
      <c r="M2698" s="564" t="s">
        <v>1183</v>
      </c>
      <c r="N2698" s="564" t="s">
        <v>1082</v>
      </c>
      <c r="O2698" s="564" t="s">
        <v>1472</v>
      </c>
      <c r="P2698" s="23"/>
      <c r="Q2698" s="23"/>
      <c r="R2698" s="23"/>
      <c r="S2698" s="23"/>
      <c r="T2698" s="23"/>
      <c r="U2698" s="23"/>
      <c r="V2698" s="23"/>
      <c r="W2698" s="23"/>
      <c r="X2698" s="23"/>
      <c r="Y2698" s="23"/>
      <c r="Z2698" s="23"/>
    </row>
    <row r="2699" spans="1:26" ht="13">
      <c r="A2699" s="562" t="s">
        <v>6496</v>
      </c>
      <c r="B2699" s="563" t="s">
        <v>6497</v>
      </c>
      <c r="C2699" s="564" t="s">
        <v>2437</v>
      </c>
      <c r="D2699" s="565">
        <v>42908</v>
      </c>
      <c r="E2699" s="565">
        <v>42916</v>
      </c>
      <c r="F2699" s="566">
        <v>4600000</v>
      </c>
      <c r="G2699" s="564" t="s">
        <v>1529</v>
      </c>
      <c r="H2699" s="564" t="s">
        <v>1529</v>
      </c>
      <c r="I2699" s="564" t="s">
        <v>1645</v>
      </c>
      <c r="J2699" s="564" t="s">
        <v>1069</v>
      </c>
      <c r="K2699" s="564" t="s">
        <v>1070</v>
      </c>
      <c r="L2699" s="564" t="s">
        <v>2098</v>
      </c>
      <c r="M2699" s="564" t="s">
        <v>2098</v>
      </c>
      <c r="N2699" s="564" t="s">
        <v>1082</v>
      </c>
      <c r="O2699" s="564" t="s">
        <v>2099</v>
      </c>
      <c r="P2699" s="23"/>
      <c r="Q2699" s="23"/>
      <c r="R2699" s="23"/>
      <c r="S2699" s="23"/>
      <c r="T2699" s="23"/>
      <c r="U2699" s="23"/>
      <c r="V2699" s="23"/>
      <c r="W2699" s="23"/>
      <c r="X2699" s="23"/>
      <c r="Y2699" s="23"/>
      <c r="Z2699" s="23"/>
    </row>
    <row r="2700" spans="1:26" ht="13">
      <c r="A2700" s="562" t="s">
        <v>6498</v>
      </c>
      <c r="B2700" s="563" t="s">
        <v>6499</v>
      </c>
      <c r="C2700" s="564" t="s">
        <v>1612</v>
      </c>
      <c r="D2700" s="565">
        <v>42905</v>
      </c>
      <c r="E2700" s="565">
        <v>42887</v>
      </c>
      <c r="F2700" s="566">
        <v>6274560</v>
      </c>
      <c r="G2700" s="564" t="s">
        <v>1424</v>
      </c>
      <c r="H2700" s="564" t="s">
        <v>1424</v>
      </c>
      <c r="I2700" s="564" t="s">
        <v>45</v>
      </c>
      <c r="J2700" s="564" t="s">
        <v>1069</v>
      </c>
      <c r="K2700" s="564" t="s">
        <v>1090</v>
      </c>
      <c r="L2700" s="564" t="s">
        <v>1071</v>
      </c>
      <c r="M2700" s="564" t="s">
        <v>1183</v>
      </c>
      <c r="N2700" s="564" t="s">
        <v>45</v>
      </c>
      <c r="O2700" s="564" t="s">
        <v>2099</v>
      </c>
      <c r="P2700" s="23"/>
      <c r="Q2700" s="23"/>
      <c r="R2700" s="23"/>
      <c r="S2700" s="23"/>
      <c r="T2700" s="23"/>
      <c r="U2700" s="23"/>
      <c r="V2700" s="23"/>
      <c r="W2700" s="23"/>
      <c r="X2700" s="23"/>
      <c r="Y2700" s="23"/>
      <c r="Z2700" s="23"/>
    </row>
    <row r="2701" spans="1:26" ht="13">
      <c r="A2701" s="562" t="s">
        <v>6500</v>
      </c>
      <c r="B2701" s="563" t="s">
        <v>5810</v>
      </c>
      <c r="C2701" s="564" t="s">
        <v>1612</v>
      </c>
      <c r="D2701" s="565">
        <v>42906</v>
      </c>
      <c r="E2701" s="565">
        <v>42936</v>
      </c>
      <c r="F2701" s="566">
        <v>1030000</v>
      </c>
      <c r="G2701" s="564" t="s">
        <v>1424</v>
      </c>
      <c r="H2701" s="564" t="s">
        <v>1424</v>
      </c>
      <c r="I2701" s="564" t="s">
        <v>70</v>
      </c>
      <c r="J2701" s="564" t="s">
        <v>1069</v>
      </c>
      <c r="K2701" s="564" t="s">
        <v>1120</v>
      </c>
      <c r="L2701" s="564" t="s">
        <v>2098</v>
      </c>
      <c r="M2701" s="564" t="s">
        <v>2098</v>
      </c>
      <c r="N2701" s="564" t="s">
        <v>70</v>
      </c>
      <c r="O2701" s="564" t="s">
        <v>2099</v>
      </c>
      <c r="P2701" s="23"/>
      <c r="Q2701" s="23"/>
      <c r="R2701" s="23"/>
      <c r="S2701" s="23"/>
      <c r="T2701" s="23"/>
      <c r="U2701" s="23"/>
      <c r="V2701" s="23"/>
      <c r="W2701" s="23"/>
      <c r="X2701" s="23"/>
      <c r="Y2701" s="23"/>
      <c r="Z2701" s="23"/>
    </row>
    <row r="2702" spans="1:26" ht="13">
      <c r="A2702" s="562" t="s">
        <v>6501</v>
      </c>
      <c r="B2702" s="563" t="s">
        <v>6502</v>
      </c>
      <c r="C2702" s="564" t="s">
        <v>1612</v>
      </c>
      <c r="D2702" s="565">
        <v>42905</v>
      </c>
      <c r="E2702" s="565">
        <v>42887</v>
      </c>
      <c r="F2702" s="566">
        <v>28627200</v>
      </c>
      <c r="G2702" s="564" t="s">
        <v>1424</v>
      </c>
      <c r="H2702" s="564" t="s">
        <v>1424</v>
      </c>
      <c r="I2702" s="564" t="s">
        <v>45</v>
      </c>
      <c r="J2702" s="564" t="s">
        <v>1069</v>
      </c>
      <c r="K2702" s="564" t="s">
        <v>1090</v>
      </c>
      <c r="L2702" s="564" t="s">
        <v>1071</v>
      </c>
      <c r="M2702" s="564" t="s">
        <v>1183</v>
      </c>
      <c r="N2702" s="564" t="s">
        <v>45</v>
      </c>
      <c r="O2702" s="564" t="s">
        <v>2099</v>
      </c>
      <c r="P2702" s="23"/>
      <c r="Q2702" s="23"/>
      <c r="R2702" s="23"/>
      <c r="S2702" s="23"/>
      <c r="T2702" s="23"/>
      <c r="U2702" s="23"/>
      <c r="V2702" s="23"/>
      <c r="W2702" s="23"/>
      <c r="X2702" s="23"/>
      <c r="Y2702" s="23"/>
      <c r="Z2702" s="23"/>
    </row>
    <row r="2703" spans="1:26" ht="13">
      <c r="A2703" s="562" t="s">
        <v>6503</v>
      </c>
      <c r="B2703" s="563" t="s">
        <v>6504</v>
      </c>
      <c r="C2703" s="564" t="s">
        <v>1612</v>
      </c>
      <c r="D2703" s="565">
        <v>42905</v>
      </c>
      <c r="E2703" s="565">
        <v>42944</v>
      </c>
      <c r="F2703" s="566">
        <v>2060000</v>
      </c>
      <c r="G2703" s="564" t="s">
        <v>1424</v>
      </c>
      <c r="H2703" s="564" t="s">
        <v>1424</v>
      </c>
      <c r="I2703" s="564" t="s">
        <v>64</v>
      </c>
      <c r="J2703" s="564" t="s">
        <v>1069</v>
      </c>
      <c r="K2703" s="564" t="s">
        <v>1090</v>
      </c>
      <c r="L2703" s="564" t="s">
        <v>2098</v>
      </c>
      <c r="M2703" s="564" t="s">
        <v>2098</v>
      </c>
      <c r="N2703" s="564" t="s">
        <v>64</v>
      </c>
      <c r="O2703" s="564" t="s">
        <v>2099</v>
      </c>
      <c r="P2703" s="23"/>
      <c r="Q2703" s="23"/>
      <c r="R2703" s="23"/>
      <c r="S2703" s="23"/>
      <c r="T2703" s="23"/>
      <c r="U2703" s="23"/>
      <c r="V2703" s="23"/>
      <c r="W2703" s="23"/>
      <c r="X2703" s="23"/>
      <c r="Y2703" s="23"/>
      <c r="Z2703" s="23"/>
    </row>
    <row r="2704" spans="1:26" ht="13">
      <c r="A2704" s="562" t="s">
        <v>6505</v>
      </c>
      <c r="B2704" s="563" t="s">
        <v>6506</v>
      </c>
      <c r="C2704" s="564" t="s">
        <v>1612</v>
      </c>
      <c r="D2704" s="565">
        <v>42905</v>
      </c>
      <c r="E2704" s="565">
        <v>42856</v>
      </c>
      <c r="F2704" s="566">
        <v>1819080</v>
      </c>
      <c r="G2704" s="564" t="s">
        <v>1424</v>
      </c>
      <c r="H2704" s="564" t="s">
        <v>1424</v>
      </c>
      <c r="I2704" s="564" t="s">
        <v>45</v>
      </c>
      <c r="J2704" s="564" t="s">
        <v>1069</v>
      </c>
      <c r="K2704" s="564" t="s">
        <v>1090</v>
      </c>
      <c r="L2704" s="564" t="s">
        <v>1071</v>
      </c>
      <c r="M2704" s="564" t="s">
        <v>1183</v>
      </c>
      <c r="N2704" s="564" t="s">
        <v>45</v>
      </c>
      <c r="O2704" s="564" t="s">
        <v>2099</v>
      </c>
      <c r="P2704" s="23"/>
      <c r="Q2704" s="23"/>
      <c r="R2704" s="23"/>
      <c r="S2704" s="23"/>
      <c r="T2704" s="23"/>
      <c r="U2704" s="23"/>
      <c r="V2704" s="23"/>
      <c r="W2704" s="23"/>
      <c r="X2704" s="23"/>
      <c r="Y2704" s="23"/>
      <c r="Z2704" s="23"/>
    </row>
    <row r="2705" spans="1:26" ht="13">
      <c r="A2705" s="562" t="s">
        <v>6507</v>
      </c>
      <c r="B2705" s="563" t="s">
        <v>6508</v>
      </c>
      <c r="C2705" s="564" t="s">
        <v>1612</v>
      </c>
      <c r="D2705" s="565">
        <v>42905</v>
      </c>
      <c r="E2705" s="565">
        <v>42856</v>
      </c>
      <c r="F2705" s="566">
        <v>23435280</v>
      </c>
      <c r="G2705" s="564" t="s">
        <v>1424</v>
      </c>
      <c r="H2705" s="564" t="s">
        <v>1424</v>
      </c>
      <c r="I2705" s="564" t="s">
        <v>45</v>
      </c>
      <c r="J2705" s="564" t="s">
        <v>1069</v>
      </c>
      <c r="K2705" s="564" t="s">
        <v>1090</v>
      </c>
      <c r="L2705" s="564" t="s">
        <v>1071</v>
      </c>
      <c r="M2705" s="564" t="s">
        <v>1183</v>
      </c>
      <c r="N2705" s="564" t="s">
        <v>45</v>
      </c>
      <c r="O2705" s="564" t="s">
        <v>2099</v>
      </c>
      <c r="P2705" s="23"/>
      <c r="Q2705" s="23"/>
      <c r="R2705" s="23"/>
      <c r="S2705" s="23"/>
      <c r="T2705" s="23"/>
      <c r="U2705" s="23"/>
      <c r="V2705" s="23"/>
      <c r="W2705" s="23"/>
      <c r="X2705" s="23"/>
      <c r="Y2705" s="23"/>
      <c r="Z2705" s="23"/>
    </row>
    <row r="2706" spans="1:26" ht="13">
      <c r="A2706" s="562" t="s">
        <v>6509</v>
      </c>
      <c r="B2706" s="563" t="s">
        <v>6510</v>
      </c>
      <c r="C2706" s="564" t="s">
        <v>1612</v>
      </c>
      <c r="D2706" s="565">
        <v>42901</v>
      </c>
      <c r="E2706" s="565">
        <v>42947</v>
      </c>
      <c r="F2706" s="566">
        <v>5780000</v>
      </c>
      <c r="G2706" s="564" t="s">
        <v>1636</v>
      </c>
      <c r="H2706" s="564" t="s">
        <v>1636</v>
      </c>
      <c r="I2706" s="564" t="s">
        <v>1637</v>
      </c>
      <c r="J2706" s="564" t="s">
        <v>1069</v>
      </c>
      <c r="K2706" s="564" t="s">
        <v>1120</v>
      </c>
      <c r="L2706" s="564" t="s">
        <v>2098</v>
      </c>
      <c r="M2706" s="564" t="s">
        <v>2098</v>
      </c>
      <c r="N2706" s="564" t="s">
        <v>1073</v>
      </c>
      <c r="O2706" s="564" t="s">
        <v>2099</v>
      </c>
      <c r="P2706" s="23"/>
      <c r="Q2706" s="23"/>
      <c r="R2706" s="23"/>
      <c r="S2706" s="23"/>
      <c r="T2706" s="23"/>
      <c r="U2706" s="23"/>
      <c r="V2706" s="23"/>
      <c r="W2706" s="23"/>
      <c r="X2706" s="23"/>
      <c r="Y2706" s="23"/>
      <c r="Z2706" s="23"/>
    </row>
    <row r="2707" spans="1:26" ht="13">
      <c r="A2707" s="562" t="s">
        <v>6511</v>
      </c>
      <c r="B2707" s="563" t="s">
        <v>6512</v>
      </c>
      <c r="C2707" s="564" t="s">
        <v>1612</v>
      </c>
      <c r="D2707" s="565">
        <v>42901</v>
      </c>
      <c r="E2707" s="565">
        <v>42912</v>
      </c>
      <c r="F2707" s="566">
        <v>33848000</v>
      </c>
      <c r="G2707" s="564" t="s">
        <v>1157</v>
      </c>
      <c r="H2707" s="564" t="s">
        <v>1157</v>
      </c>
      <c r="I2707" s="564" t="s">
        <v>64</v>
      </c>
      <c r="J2707" s="564" t="s">
        <v>1069</v>
      </c>
      <c r="K2707" s="564" t="s">
        <v>1090</v>
      </c>
      <c r="L2707" s="564" t="s">
        <v>2098</v>
      </c>
      <c r="M2707" s="564" t="s">
        <v>2098</v>
      </c>
      <c r="N2707" s="564" t="s">
        <v>64</v>
      </c>
      <c r="O2707" s="564" t="s">
        <v>2099</v>
      </c>
      <c r="P2707" s="23"/>
      <c r="Q2707" s="23"/>
      <c r="R2707" s="23"/>
      <c r="S2707" s="23"/>
      <c r="T2707" s="23"/>
      <c r="U2707" s="23"/>
      <c r="V2707" s="23"/>
      <c r="W2707" s="23"/>
      <c r="X2707" s="23"/>
      <c r="Y2707" s="23"/>
      <c r="Z2707" s="23"/>
    </row>
    <row r="2708" spans="1:26" ht="13">
      <c r="A2708" s="562" t="s">
        <v>6513</v>
      </c>
      <c r="B2708" s="563" t="s">
        <v>6514</v>
      </c>
      <c r="C2708" s="564" t="s">
        <v>1612</v>
      </c>
      <c r="D2708" s="565">
        <v>42900</v>
      </c>
      <c r="E2708" s="565">
        <v>42920</v>
      </c>
      <c r="F2708" s="566">
        <v>9377273</v>
      </c>
      <c r="G2708" s="564" t="s">
        <v>1623</v>
      </c>
      <c r="H2708" s="564" t="s">
        <v>1623</v>
      </c>
      <c r="I2708" s="564" t="s">
        <v>802</v>
      </c>
      <c r="J2708" s="564" t="s">
        <v>1069</v>
      </c>
      <c r="K2708" s="564" t="s">
        <v>1198</v>
      </c>
      <c r="L2708" s="564" t="s">
        <v>2098</v>
      </c>
      <c r="M2708" s="564" t="s">
        <v>2098</v>
      </c>
      <c r="N2708" s="564" t="s">
        <v>132</v>
      </c>
      <c r="O2708" s="564" t="s">
        <v>2099</v>
      </c>
      <c r="P2708" s="23"/>
      <c r="Q2708" s="23"/>
      <c r="R2708" s="23"/>
      <c r="S2708" s="23"/>
      <c r="T2708" s="23"/>
      <c r="U2708" s="23"/>
      <c r="V2708" s="23"/>
      <c r="W2708" s="23"/>
      <c r="X2708" s="23"/>
      <c r="Y2708" s="23"/>
      <c r="Z2708" s="23"/>
    </row>
    <row r="2709" spans="1:26" ht="13">
      <c r="A2709" s="562" t="s">
        <v>6515</v>
      </c>
      <c r="B2709" s="563" t="s">
        <v>6516</v>
      </c>
      <c r="C2709" s="564" t="s">
        <v>1612</v>
      </c>
      <c r="D2709" s="565">
        <v>42900</v>
      </c>
      <c r="E2709" s="565">
        <v>42900</v>
      </c>
      <c r="F2709" s="566">
        <v>2000</v>
      </c>
      <c r="G2709" s="564" t="s">
        <v>3535</v>
      </c>
      <c r="H2709" s="564" t="s">
        <v>3535</v>
      </c>
      <c r="I2709" s="564" t="s">
        <v>45</v>
      </c>
      <c r="J2709" s="564" t="s">
        <v>1069</v>
      </c>
      <c r="K2709" s="564" t="s">
        <v>1090</v>
      </c>
      <c r="L2709" s="564" t="s">
        <v>2098</v>
      </c>
      <c r="M2709" s="564" t="s">
        <v>2098</v>
      </c>
      <c r="N2709" s="564" t="s">
        <v>45</v>
      </c>
      <c r="O2709" s="564" t="s">
        <v>2099</v>
      </c>
      <c r="P2709" s="23"/>
      <c r="Q2709" s="23"/>
      <c r="R2709" s="23"/>
      <c r="S2709" s="23"/>
      <c r="T2709" s="23"/>
      <c r="U2709" s="23"/>
      <c r="V2709" s="23"/>
      <c r="W2709" s="23"/>
      <c r="X2709" s="23"/>
      <c r="Y2709" s="23"/>
      <c r="Z2709" s="23"/>
    </row>
    <row r="2710" spans="1:26" ht="13">
      <c r="A2710" s="562" t="s">
        <v>6517</v>
      </c>
      <c r="B2710" s="563" t="s">
        <v>6518</v>
      </c>
      <c r="C2710" s="564" t="s">
        <v>1612</v>
      </c>
      <c r="D2710" s="565">
        <v>42899</v>
      </c>
      <c r="E2710" s="565">
        <v>42947</v>
      </c>
      <c r="F2710" s="566">
        <v>2243590000</v>
      </c>
      <c r="G2710" s="564" t="s">
        <v>1424</v>
      </c>
      <c r="H2710" s="564" t="s">
        <v>1424</v>
      </c>
      <c r="I2710" s="564" t="s">
        <v>45</v>
      </c>
      <c r="J2710" s="564" t="s">
        <v>1069</v>
      </c>
      <c r="K2710" s="564" t="s">
        <v>1090</v>
      </c>
      <c r="L2710" s="564" t="s">
        <v>2098</v>
      </c>
      <c r="M2710" s="564" t="s">
        <v>2098</v>
      </c>
      <c r="N2710" s="564" t="s">
        <v>45</v>
      </c>
      <c r="O2710" s="564" t="s">
        <v>2099</v>
      </c>
      <c r="P2710" s="23"/>
      <c r="Q2710" s="23"/>
      <c r="R2710" s="23"/>
      <c r="S2710" s="23"/>
      <c r="T2710" s="23"/>
      <c r="U2710" s="23"/>
      <c r="V2710" s="23"/>
      <c r="W2710" s="23"/>
      <c r="X2710" s="23"/>
      <c r="Y2710" s="23"/>
      <c r="Z2710" s="23"/>
    </row>
    <row r="2711" spans="1:26" ht="13">
      <c r="A2711" s="562" t="s">
        <v>6519</v>
      </c>
      <c r="B2711" s="563" t="s">
        <v>6520</v>
      </c>
      <c r="C2711" s="564" t="s">
        <v>1612</v>
      </c>
      <c r="D2711" s="565">
        <v>42899</v>
      </c>
      <c r="E2711" s="565">
        <v>42912</v>
      </c>
      <c r="F2711" s="566">
        <v>886364</v>
      </c>
      <c r="G2711" s="564" t="s">
        <v>1623</v>
      </c>
      <c r="H2711" s="564" t="s">
        <v>1623</v>
      </c>
      <c r="I2711" s="564" t="s">
        <v>802</v>
      </c>
      <c r="J2711" s="564" t="s">
        <v>1069</v>
      </c>
      <c r="K2711" s="564" t="s">
        <v>1198</v>
      </c>
      <c r="L2711" s="564" t="s">
        <v>2098</v>
      </c>
      <c r="M2711" s="564" t="s">
        <v>2098</v>
      </c>
      <c r="N2711" s="564" t="s">
        <v>132</v>
      </c>
      <c r="O2711" s="564" t="s">
        <v>2099</v>
      </c>
      <c r="P2711" s="23"/>
      <c r="Q2711" s="23"/>
      <c r="R2711" s="23"/>
      <c r="S2711" s="23"/>
      <c r="T2711" s="23"/>
      <c r="U2711" s="23"/>
      <c r="V2711" s="23"/>
      <c r="W2711" s="23"/>
      <c r="X2711" s="23"/>
      <c r="Y2711" s="23"/>
      <c r="Z2711" s="23"/>
    </row>
    <row r="2712" spans="1:26" ht="13">
      <c r="A2712" s="562" t="s">
        <v>6521</v>
      </c>
      <c r="B2712" s="563" t="s">
        <v>6477</v>
      </c>
      <c r="C2712" s="564" t="s">
        <v>1612</v>
      </c>
      <c r="D2712" s="565">
        <v>42894</v>
      </c>
      <c r="E2712" s="565">
        <v>42923</v>
      </c>
      <c r="F2712" s="566">
        <v>9630000</v>
      </c>
      <c r="G2712" s="564" t="s">
        <v>1424</v>
      </c>
      <c r="H2712" s="564" t="s">
        <v>1424</v>
      </c>
      <c r="I2712" s="564" t="s">
        <v>45</v>
      </c>
      <c r="J2712" s="564" t="s">
        <v>1069</v>
      </c>
      <c r="K2712" s="564" t="s">
        <v>1090</v>
      </c>
      <c r="L2712" s="564" t="s">
        <v>2098</v>
      </c>
      <c r="M2712" s="564" t="s">
        <v>2098</v>
      </c>
      <c r="N2712" s="564" t="s">
        <v>45</v>
      </c>
      <c r="O2712" s="564" t="s">
        <v>2099</v>
      </c>
      <c r="P2712" s="23"/>
      <c r="Q2712" s="23"/>
      <c r="R2712" s="23"/>
      <c r="S2712" s="23"/>
      <c r="T2712" s="23"/>
      <c r="U2712" s="23"/>
      <c r="V2712" s="23"/>
      <c r="W2712" s="23"/>
      <c r="X2712" s="23"/>
      <c r="Y2712" s="23"/>
      <c r="Z2712" s="23"/>
    </row>
    <row r="2713" spans="1:26" ht="13">
      <c r="A2713" s="562" t="s">
        <v>6522</v>
      </c>
      <c r="B2713" s="563" t="s">
        <v>6523</v>
      </c>
      <c r="C2713" s="564" t="s">
        <v>1612</v>
      </c>
      <c r="D2713" s="565">
        <v>42893</v>
      </c>
      <c r="E2713" s="565">
        <v>42913</v>
      </c>
      <c r="F2713" s="566">
        <v>41181818</v>
      </c>
      <c r="G2713" s="564" t="s">
        <v>1623</v>
      </c>
      <c r="H2713" s="564" t="s">
        <v>1623</v>
      </c>
      <c r="I2713" s="564" t="s">
        <v>802</v>
      </c>
      <c r="J2713" s="564" t="s">
        <v>1069</v>
      </c>
      <c r="K2713" s="564" t="s">
        <v>1198</v>
      </c>
      <c r="L2713" s="564" t="s">
        <v>2098</v>
      </c>
      <c r="M2713" s="564" t="s">
        <v>2098</v>
      </c>
      <c r="N2713" s="564" t="s">
        <v>132</v>
      </c>
      <c r="O2713" s="564" t="s">
        <v>2099</v>
      </c>
      <c r="P2713" s="23"/>
      <c r="Q2713" s="23"/>
      <c r="R2713" s="23"/>
      <c r="S2713" s="23"/>
      <c r="T2713" s="23"/>
      <c r="U2713" s="23"/>
      <c r="V2713" s="23"/>
      <c r="W2713" s="23"/>
      <c r="X2713" s="23"/>
      <c r="Y2713" s="23"/>
      <c r="Z2713" s="23"/>
    </row>
    <row r="2714" spans="1:26" ht="13">
      <c r="A2714" s="562" t="s">
        <v>6524</v>
      </c>
      <c r="B2714" s="563" t="s">
        <v>6525</v>
      </c>
      <c r="C2714" s="564" t="s">
        <v>1612</v>
      </c>
      <c r="D2714" s="565">
        <v>42893</v>
      </c>
      <c r="E2714" s="565">
        <v>42923</v>
      </c>
      <c r="F2714" s="566">
        <v>680000</v>
      </c>
      <c r="G2714" s="564" t="s">
        <v>1424</v>
      </c>
      <c r="H2714" s="564" t="s">
        <v>1424</v>
      </c>
      <c r="I2714" s="564" t="s">
        <v>121</v>
      </c>
      <c r="J2714" s="564" t="s">
        <v>1069</v>
      </c>
      <c r="K2714" s="564" t="s">
        <v>1105</v>
      </c>
      <c r="L2714" s="564" t="s">
        <v>2098</v>
      </c>
      <c r="M2714" s="564" t="s">
        <v>2098</v>
      </c>
      <c r="N2714" s="564" t="s">
        <v>1073</v>
      </c>
      <c r="O2714" s="564" t="s">
        <v>2099</v>
      </c>
      <c r="P2714" s="23"/>
      <c r="Q2714" s="23"/>
      <c r="R2714" s="23"/>
      <c r="S2714" s="23"/>
      <c r="T2714" s="23"/>
      <c r="U2714" s="23"/>
      <c r="V2714" s="23"/>
      <c r="W2714" s="23"/>
      <c r="X2714" s="23"/>
      <c r="Y2714" s="23"/>
      <c r="Z2714" s="23"/>
    </row>
    <row r="2715" spans="1:26" ht="13">
      <c r="A2715" s="562" t="s">
        <v>6526</v>
      </c>
      <c r="B2715" s="563" t="s">
        <v>6527</v>
      </c>
      <c r="C2715" s="564" t="s">
        <v>1612</v>
      </c>
      <c r="D2715" s="565">
        <v>42893</v>
      </c>
      <c r="E2715" s="565">
        <v>42903</v>
      </c>
      <c r="F2715" s="566">
        <v>35722700</v>
      </c>
      <c r="G2715" s="564" t="s">
        <v>1128</v>
      </c>
      <c r="H2715" s="564" t="s">
        <v>1128</v>
      </c>
      <c r="I2715" s="564" t="s">
        <v>45</v>
      </c>
      <c r="J2715" s="564" t="s">
        <v>1069</v>
      </c>
      <c r="K2715" s="564" t="s">
        <v>1090</v>
      </c>
      <c r="L2715" s="564" t="s">
        <v>2098</v>
      </c>
      <c r="M2715" s="564" t="s">
        <v>2098</v>
      </c>
      <c r="N2715" s="564" t="s">
        <v>45</v>
      </c>
      <c r="O2715" s="564" t="s">
        <v>2099</v>
      </c>
      <c r="P2715" s="23"/>
      <c r="Q2715" s="23"/>
      <c r="R2715" s="23"/>
      <c r="S2715" s="23"/>
      <c r="T2715" s="23"/>
      <c r="U2715" s="23"/>
      <c r="V2715" s="23"/>
      <c r="W2715" s="23"/>
      <c r="X2715" s="23"/>
      <c r="Y2715" s="23"/>
      <c r="Z2715" s="23"/>
    </row>
    <row r="2716" spans="1:26" ht="13">
      <c r="A2716" s="562" t="s">
        <v>6528</v>
      </c>
      <c r="B2716" s="563" t="s">
        <v>5846</v>
      </c>
      <c r="C2716" s="564" t="s">
        <v>1612</v>
      </c>
      <c r="D2716" s="565">
        <v>42893</v>
      </c>
      <c r="E2716" s="565">
        <v>42916</v>
      </c>
      <c r="F2716" s="566">
        <v>137044000</v>
      </c>
      <c r="G2716" s="564" t="s">
        <v>5465</v>
      </c>
      <c r="H2716" s="564" t="s">
        <v>5465</v>
      </c>
      <c r="I2716" s="564" t="s">
        <v>45</v>
      </c>
      <c r="J2716" s="564" t="s">
        <v>1069</v>
      </c>
      <c r="K2716" s="564" t="s">
        <v>1090</v>
      </c>
      <c r="L2716" s="564" t="s">
        <v>2098</v>
      </c>
      <c r="M2716" s="564" t="s">
        <v>2098</v>
      </c>
      <c r="N2716" s="564" t="s">
        <v>45</v>
      </c>
      <c r="O2716" s="564" t="s">
        <v>2099</v>
      </c>
      <c r="P2716" s="23"/>
      <c r="Q2716" s="23"/>
      <c r="R2716" s="23"/>
      <c r="S2716" s="23"/>
      <c r="T2716" s="23"/>
      <c r="U2716" s="23"/>
      <c r="V2716" s="23"/>
      <c r="W2716" s="23"/>
      <c r="X2716" s="23"/>
      <c r="Y2716" s="23"/>
      <c r="Z2716" s="23"/>
    </row>
    <row r="2717" spans="1:26" ht="13">
      <c r="A2717" s="562" t="s">
        <v>6529</v>
      </c>
      <c r="B2717" s="563" t="s">
        <v>5856</v>
      </c>
      <c r="C2717" s="564" t="s">
        <v>1612</v>
      </c>
      <c r="D2717" s="565">
        <v>42888</v>
      </c>
      <c r="E2717" s="565">
        <v>42916</v>
      </c>
      <c r="F2717" s="566">
        <v>19318000</v>
      </c>
      <c r="G2717" s="564" t="s">
        <v>5465</v>
      </c>
      <c r="H2717" s="564" t="s">
        <v>5465</v>
      </c>
      <c r="I2717" s="564" t="s">
        <v>45</v>
      </c>
      <c r="J2717" s="564" t="s">
        <v>1069</v>
      </c>
      <c r="K2717" s="564" t="s">
        <v>1090</v>
      </c>
      <c r="L2717" s="564" t="s">
        <v>2098</v>
      </c>
      <c r="M2717" s="564" t="s">
        <v>2098</v>
      </c>
      <c r="N2717" s="564" t="s">
        <v>45</v>
      </c>
      <c r="O2717" s="564" t="s">
        <v>2099</v>
      </c>
      <c r="P2717" s="23"/>
      <c r="Q2717" s="23"/>
      <c r="R2717" s="23"/>
      <c r="S2717" s="23"/>
      <c r="T2717" s="23"/>
      <c r="U2717" s="23"/>
      <c r="V2717" s="23"/>
      <c r="W2717" s="23"/>
      <c r="X2717" s="23"/>
      <c r="Y2717" s="23"/>
      <c r="Z2717" s="23"/>
    </row>
    <row r="2718" spans="1:26" ht="13">
      <c r="A2718" s="562" t="s">
        <v>6530</v>
      </c>
      <c r="B2718" s="563" t="s">
        <v>5854</v>
      </c>
      <c r="C2718" s="564" t="s">
        <v>1612</v>
      </c>
      <c r="D2718" s="565">
        <v>42888</v>
      </c>
      <c r="E2718" s="565">
        <v>42916</v>
      </c>
      <c r="F2718" s="566">
        <v>73000000</v>
      </c>
      <c r="G2718" s="564" t="s">
        <v>5465</v>
      </c>
      <c r="H2718" s="564" t="s">
        <v>5465</v>
      </c>
      <c r="I2718" s="564" t="s">
        <v>45</v>
      </c>
      <c r="J2718" s="564" t="s">
        <v>1069</v>
      </c>
      <c r="K2718" s="564" t="s">
        <v>1090</v>
      </c>
      <c r="L2718" s="564" t="s">
        <v>2098</v>
      </c>
      <c r="M2718" s="564" t="s">
        <v>2098</v>
      </c>
      <c r="N2718" s="564" t="s">
        <v>45</v>
      </c>
      <c r="O2718" s="564" t="s">
        <v>2099</v>
      </c>
      <c r="P2718" s="23"/>
      <c r="Q2718" s="23"/>
      <c r="R2718" s="23"/>
      <c r="S2718" s="23"/>
      <c r="T2718" s="23"/>
      <c r="U2718" s="23"/>
      <c r="V2718" s="23"/>
      <c r="W2718" s="23"/>
      <c r="X2718" s="23"/>
      <c r="Y2718" s="23"/>
      <c r="Z2718" s="23"/>
    </row>
    <row r="2719" spans="1:26" ht="13">
      <c r="A2719" s="562" t="s">
        <v>6531</v>
      </c>
      <c r="B2719" s="563" t="s">
        <v>6150</v>
      </c>
      <c r="C2719" s="564" t="s">
        <v>1612</v>
      </c>
      <c r="D2719" s="565">
        <v>42886</v>
      </c>
      <c r="E2719" s="565">
        <v>42916</v>
      </c>
      <c r="F2719" s="566">
        <v>3240000</v>
      </c>
      <c r="G2719" s="564" t="s">
        <v>1424</v>
      </c>
      <c r="H2719" s="564" t="s">
        <v>1424</v>
      </c>
      <c r="I2719" s="564" t="s">
        <v>1837</v>
      </c>
      <c r="J2719" s="564" t="s">
        <v>1069</v>
      </c>
      <c r="K2719" s="564" t="s">
        <v>1070</v>
      </c>
      <c r="L2719" s="564" t="s">
        <v>2098</v>
      </c>
      <c r="M2719" s="564" t="s">
        <v>2098</v>
      </c>
      <c r="N2719" s="564" t="s">
        <v>1082</v>
      </c>
      <c r="O2719" s="564" t="s">
        <v>2099</v>
      </c>
      <c r="P2719" s="23"/>
      <c r="Q2719" s="23"/>
      <c r="R2719" s="23"/>
      <c r="S2719" s="23"/>
      <c r="T2719" s="23"/>
      <c r="U2719" s="23"/>
      <c r="V2719" s="23"/>
      <c r="W2719" s="23"/>
      <c r="X2719" s="23"/>
      <c r="Y2719" s="23"/>
      <c r="Z2719" s="23"/>
    </row>
    <row r="2720" spans="1:26" ht="13">
      <c r="A2720" s="562" t="s">
        <v>6532</v>
      </c>
      <c r="B2720" s="563" t="s">
        <v>5943</v>
      </c>
      <c r="C2720" s="564" t="s">
        <v>1612</v>
      </c>
      <c r="D2720" s="565">
        <v>42879</v>
      </c>
      <c r="E2720" s="565">
        <v>42886</v>
      </c>
      <c r="F2720" s="566">
        <v>180745000</v>
      </c>
      <c r="G2720" s="564" t="s">
        <v>5465</v>
      </c>
      <c r="H2720" s="564" t="s">
        <v>5465</v>
      </c>
      <c r="I2720" s="564" t="s">
        <v>45</v>
      </c>
      <c r="J2720" s="564" t="s">
        <v>1069</v>
      </c>
      <c r="K2720" s="564" t="s">
        <v>1090</v>
      </c>
      <c r="L2720" s="564" t="s">
        <v>2098</v>
      </c>
      <c r="M2720" s="564" t="s">
        <v>2098</v>
      </c>
      <c r="N2720" s="564" t="s">
        <v>45</v>
      </c>
      <c r="O2720" s="564" t="s">
        <v>2099</v>
      </c>
      <c r="P2720" s="23"/>
      <c r="Q2720" s="23"/>
      <c r="R2720" s="23"/>
      <c r="S2720" s="23"/>
      <c r="T2720" s="23"/>
      <c r="U2720" s="23"/>
      <c r="V2720" s="23"/>
      <c r="W2720" s="23"/>
      <c r="X2720" s="23"/>
      <c r="Y2720" s="23"/>
      <c r="Z2720" s="23"/>
    </row>
    <row r="2721" spans="1:26" ht="13">
      <c r="A2721" s="562" t="s">
        <v>6533</v>
      </c>
      <c r="B2721" s="563" t="s">
        <v>6534</v>
      </c>
      <c r="C2721" s="564" t="s">
        <v>1612</v>
      </c>
      <c r="D2721" s="565">
        <v>42878</v>
      </c>
      <c r="E2721" s="565">
        <v>42907</v>
      </c>
      <c r="F2721" s="566">
        <v>1954545</v>
      </c>
      <c r="G2721" s="564" t="s">
        <v>1623</v>
      </c>
      <c r="H2721" s="564" t="s">
        <v>1623</v>
      </c>
      <c r="I2721" s="564" t="s">
        <v>802</v>
      </c>
      <c r="J2721" s="564" t="s">
        <v>1069</v>
      </c>
      <c r="K2721" s="564" t="s">
        <v>1198</v>
      </c>
      <c r="L2721" s="564" t="s">
        <v>2098</v>
      </c>
      <c r="M2721" s="564" t="s">
        <v>2098</v>
      </c>
      <c r="N2721" s="564" t="s">
        <v>132</v>
      </c>
      <c r="O2721" s="564" t="s">
        <v>2099</v>
      </c>
      <c r="P2721" s="23"/>
      <c r="Q2721" s="23"/>
      <c r="R2721" s="23"/>
      <c r="S2721" s="23"/>
      <c r="T2721" s="23"/>
      <c r="U2721" s="23"/>
      <c r="V2721" s="23"/>
      <c r="W2721" s="23"/>
      <c r="X2721" s="23"/>
      <c r="Y2721" s="23"/>
      <c r="Z2721" s="23"/>
    </row>
    <row r="2722" spans="1:26" ht="13">
      <c r="A2722" s="562" t="s">
        <v>6535</v>
      </c>
      <c r="B2722" s="563" t="s">
        <v>5007</v>
      </c>
      <c r="C2722" s="564" t="s">
        <v>1612</v>
      </c>
      <c r="D2722" s="565">
        <v>42877</v>
      </c>
      <c r="E2722" s="565">
        <v>42886</v>
      </c>
      <c r="F2722" s="566">
        <v>16480000</v>
      </c>
      <c r="G2722" s="564" t="s">
        <v>5465</v>
      </c>
      <c r="H2722" s="564" t="s">
        <v>5465</v>
      </c>
      <c r="I2722" s="564" t="s">
        <v>45</v>
      </c>
      <c r="J2722" s="564" t="s">
        <v>1069</v>
      </c>
      <c r="K2722" s="564" t="s">
        <v>1090</v>
      </c>
      <c r="L2722" s="564" t="s">
        <v>2098</v>
      </c>
      <c r="M2722" s="564" t="s">
        <v>2098</v>
      </c>
      <c r="N2722" s="564" t="s">
        <v>45</v>
      </c>
      <c r="O2722" s="564" t="s">
        <v>2099</v>
      </c>
      <c r="P2722" s="23"/>
      <c r="Q2722" s="23"/>
      <c r="R2722" s="23"/>
      <c r="S2722" s="23"/>
      <c r="T2722" s="23"/>
      <c r="U2722" s="23"/>
      <c r="V2722" s="23"/>
      <c r="W2722" s="23"/>
      <c r="X2722" s="23"/>
      <c r="Y2722" s="23"/>
      <c r="Z2722" s="23"/>
    </row>
    <row r="2723" spans="1:26" ht="13">
      <c r="A2723" s="562" t="s">
        <v>6536</v>
      </c>
      <c r="B2723" s="563" t="s">
        <v>5974</v>
      </c>
      <c r="C2723" s="564" t="s">
        <v>1612</v>
      </c>
      <c r="D2723" s="565">
        <v>42877</v>
      </c>
      <c r="E2723" s="565">
        <v>42916</v>
      </c>
      <c r="F2723" s="566">
        <v>1980000</v>
      </c>
      <c r="G2723" s="564" t="s">
        <v>1424</v>
      </c>
      <c r="H2723" s="564" t="s">
        <v>1424</v>
      </c>
      <c r="I2723" s="564" t="s">
        <v>45</v>
      </c>
      <c r="J2723" s="564" t="s">
        <v>1069</v>
      </c>
      <c r="K2723" s="564" t="s">
        <v>1090</v>
      </c>
      <c r="L2723" s="564" t="s">
        <v>2098</v>
      </c>
      <c r="M2723" s="564" t="s">
        <v>2098</v>
      </c>
      <c r="N2723" s="564" t="s">
        <v>45</v>
      </c>
      <c r="O2723" s="564" t="s">
        <v>2099</v>
      </c>
      <c r="P2723" s="23"/>
      <c r="Q2723" s="23"/>
      <c r="R2723" s="23"/>
      <c r="S2723" s="23"/>
      <c r="T2723" s="23"/>
      <c r="U2723" s="23"/>
      <c r="V2723" s="23"/>
      <c r="W2723" s="23"/>
      <c r="X2723" s="23"/>
      <c r="Y2723" s="23"/>
      <c r="Z2723" s="23"/>
    </row>
    <row r="2724" spans="1:26" ht="13">
      <c r="A2724" s="562" t="s">
        <v>6537</v>
      </c>
      <c r="B2724" s="563" t="s">
        <v>6538</v>
      </c>
      <c r="C2724" s="564" t="s">
        <v>1612</v>
      </c>
      <c r="D2724" s="565">
        <v>42873</v>
      </c>
      <c r="E2724" s="565">
        <v>42902</v>
      </c>
      <c r="F2724" s="566">
        <v>150700</v>
      </c>
      <c r="G2724" s="564" t="s">
        <v>1424</v>
      </c>
      <c r="H2724" s="564" t="s">
        <v>1424</v>
      </c>
      <c r="I2724" s="564" t="s">
        <v>1161</v>
      </c>
      <c r="J2724" s="564" t="s">
        <v>1069</v>
      </c>
      <c r="K2724" s="564" t="s">
        <v>1090</v>
      </c>
      <c r="L2724" s="564" t="s">
        <v>2098</v>
      </c>
      <c r="M2724" s="564" t="s">
        <v>2098</v>
      </c>
      <c r="N2724" s="564" t="s">
        <v>1073</v>
      </c>
      <c r="O2724" s="564" t="s">
        <v>2099</v>
      </c>
      <c r="P2724" s="23"/>
      <c r="Q2724" s="23"/>
      <c r="R2724" s="23"/>
      <c r="S2724" s="23"/>
      <c r="T2724" s="23"/>
      <c r="U2724" s="23"/>
      <c r="V2724" s="23"/>
      <c r="W2724" s="23"/>
      <c r="X2724" s="23"/>
      <c r="Y2724" s="23"/>
      <c r="Z2724" s="23"/>
    </row>
    <row r="2725" spans="1:26" ht="13">
      <c r="A2725" s="562" t="s">
        <v>6539</v>
      </c>
      <c r="B2725" s="563" t="s">
        <v>5204</v>
      </c>
      <c r="C2725" s="564" t="s">
        <v>1612</v>
      </c>
      <c r="D2725" s="565">
        <v>42873</v>
      </c>
      <c r="E2725" s="565">
        <v>42902</v>
      </c>
      <c r="F2725" s="566">
        <v>480000</v>
      </c>
      <c r="G2725" s="564" t="s">
        <v>1424</v>
      </c>
      <c r="H2725" s="564" t="s">
        <v>1424</v>
      </c>
      <c r="I2725" s="564" t="s">
        <v>1247</v>
      </c>
      <c r="J2725" s="564" t="s">
        <v>1069</v>
      </c>
      <c r="K2725" s="564" t="s">
        <v>1070</v>
      </c>
      <c r="L2725" s="564" t="s">
        <v>2098</v>
      </c>
      <c r="M2725" s="564" t="s">
        <v>2098</v>
      </c>
      <c r="N2725" s="564" t="s">
        <v>1073</v>
      </c>
      <c r="O2725" s="564" t="s">
        <v>2099</v>
      </c>
      <c r="P2725" s="23"/>
      <c r="Q2725" s="23"/>
      <c r="R2725" s="23"/>
      <c r="S2725" s="23"/>
      <c r="T2725" s="23"/>
      <c r="U2725" s="23"/>
      <c r="V2725" s="23"/>
      <c r="W2725" s="23"/>
      <c r="X2725" s="23"/>
      <c r="Y2725" s="23"/>
      <c r="Z2725" s="23"/>
    </row>
    <row r="2726" spans="1:26" ht="13">
      <c r="A2726" s="562" t="s">
        <v>6540</v>
      </c>
      <c r="B2726" s="563" t="s">
        <v>6541</v>
      </c>
      <c r="C2726" s="564" t="s">
        <v>1612</v>
      </c>
      <c r="D2726" s="565">
        <v>42873</v>
      </c>
      <c r="E2726" s="565">
        <v>42902</v>
      </c>
      <c r="F2726" s="566">
        <v>1372727</v>
      </c>
      <c r="G2726" s="564" t="s">
        <v>1623</v>
      </c>
      <c r="H2726" s="564" t="s">
        <v>1623</v>
      </c>
      <c r="I2726" s="564" t="s">
        <v>802</v>
      </c>
      <c r="J2726" s="564" t="s">
        <v>1069</v>
      </c>
      <c r="K2726" s="564" t="s">
        <v>1198</v>
      </c>
      <c r="L2726" s="564" t="s">
        <v>2098</v>
      </c>
      <c r="M2726" s="564" t="s">
        <v>2098</v>
      </c>
      <c r="N2726" s="564" t="s">
        <v>132</v>
      </c>
      <c r="O2726" s="564" t="s">
        <v>2099</v>
      </c>
      <c r="P2726" s="23"/>
      <c r="Q2726" s="23"/>
      <c r="R2726" s="23"/>
      <c r="S2726" s="23"/>
      <c r="T2726" s="23"/>
      <c r="U2726" s="23"/>
      <c r="V2726" s="23"/>
      <c r="W2726" s="23"/>
      <c r="X2726" s="23"/>
      <c r="Y2726" s="23"/>
      <c r="Z2726" s="23"/>
    </row>
    <row r="2727" spans="1:26" ht="13">
      <c r="A2727" s="562" t="s">
        <v>6542</v>
      </c>
      <c r="B2727" s="563" t="s">
        <v>5884</v>
      </c>
      <c r="C2727" s="564" t="s">
        <v>1612</v>
      </c>
      <c r="D2727" s="565">
        <v>42874</v>
      </c>
      <c r="E2727" s="565">
        <v>42902</v>
      </c>
      <c r="F2727" s="566">
        <v>441000</v>
      </c>
      <c r="G2727" s="564" t="s">
        <v>1424</v>
      </c>
      <c r="H2727" s="564" t="s">
        <v>1424</v>
      </c>
      <c r="I2727" s="564" t="s">
        <v>1586</v>
      </c>
      <c r="J2727" s="564" t="s">
        <v>1069</v>
      </c>
      <c r="K2727" s="564" t="s">
        <v>1090</v>
      </c>
      <c r="L2727" s="564" t="s">
        <v>2098</v>
      </c>
      <c r="M2727" s="564" t="s">
        <v>2098</v>
      </c>
      <c r="N2727" s="564" t="s">
        <v>1073</v>
      </c>
      <c r="O2727" s="564" t="s">
        <v>2099</v>
      </c>
      <c r="P2727" s="23"/>
      <c r="Q2727" s="23"/>
      <c r="R2727" s="23"/>
      <c r="S2727" s="23"/>
      <c r="T2727" s="23"/>
      <c r="U2727" s="23"/>
      <c r="V2727" s="23"/>
      <c r="W2727" s="23"/>
      <c r="X2727" s="23"/>
      <c r="Y2727" s="23"/>
      <c r="Z2727" s="23"/>
    </row>
    <row r="2728" spans="1:26" ht="13">
      <c r="A2728" s="562" t="s">
        <v>6543</v>
      </c>
      <c r="B2728" s="563" t="s">
        <v>6544</v>
      </c>
      <c r="C2728" s="564" t="s">
        <v>1612</v>
      </c>
      <c r="D2728" s="565">
        <v>42870</v>
      </c>
      <c r="E2728" s="565">
        <v>42901</v>
      </c>
      <c r="F2728" s="566">
        <v>7080000</v>
      </c>
      <c r="G2728" s="564" t="s">
        <v>1424</v>
      </c>
      <c r="H2728" s="564" t="s">
        <v>1424</v>
      </c>
      <c r="I2728" s="564" t="s">
        <v>45</v>
      </c>
      <c r="J2728" s="564" t="s">
        <v>1069</v>
      </c>
      <c r="K2728" s="564" t="s">
        <v>1090</v>
      </c>
      <c r="L2728" s="564" t="s">
        <v>2098</v>
      </c>
      <c r="M2728" s="564" t="s">
        <v>2098</v>
      </c>
      <c r="N2728" s="564" t="s">
        <v>45</v>
      </c>
      <c r="O2728" s="564" t="s">
        <v>2099</v>
      </c>
      <c r="P2728" s="23"/>
      <c r="Q2728" s="23"/>
      <c r="R2728" s="23"/>
      <c r="S2728" s="23"/>
      <c r="T2728" s="23"/>
      <c r="U2728" s="23"/>
      <c r="V2728" s="23"/>
      <c r="W2728" s="23"/>
      <c r="X2728" s="23"/>
      <c r="Y2728" s="23"/>
      <c r="Z2728" s="23"/>
    </row>
    <row r="2729" spans="1:26" ht="13">
      <c r="A2729" s="562" t="s">
        <v>6545</v>
      </c>
      <c r="B2729" s="563" t="s">
        <v>6546</v>
      </c>
      <c r="C2729" s="564" t="s">
        <v>1612</v>
      </c>
      <c r="D2729" s="565">
        <v>42870</v>
      </c>
      <c r="E2729" s="565">
        <v>42886</v>
      </c>
      <c r="F2729" s="566">
        <v>886364</v>
      </c>
      <c r="G2729" s="564" t="s">
        <v>1623</v>
      </c>
      <c r="H2729" s="564" t="s">
        <v>1623</v>
      </c>
      <c r="I2729" s="564" t="s">
        <v>802</v>
      </c>
      <c r="J2729" s="564" t="s">
        <v>1069</v>
      </c>
      <c r="K2729" s="564" t="s">
        <v>1198</v>
      </c>
      <c r="L2729" s="564" t="s">
        <v>2098</v>
      </c>
      <c r="M2729" s="564" t="s">
        <v>2098</v>
      </c>
      <c r="N2729" s="564" t="s">
        <v>132</v>
      </c>
      <c r="O2729" s="564" t="s">
        <v>2099</v>
      </c>
      <c r="P2729" s="23"/>
      <c r="Q2729" s="23"/>
      <c r="R2729" s="23"/>
      <c r="S2729" s="23"/>
      <c r="T2729" s="23"/>
      <c r="U2729" s="23"/>
      <c r="V2729" s="23"/>
      <c r="W2729" s="23"/>
      <c r="X2729" s="23"/>
      <c r="Y2729" s="23"/>
      <c r="Z2729" s="23"/>
    </row>
    <row r="2730" spans="1:26" ht="13">
      <c r="A2730" s="562" t="s">
        <v>6547</v>
      </c>
      <c r="B2730" s="563" t="s">
        <v>5810</v>
      </c>
      <c r="C2730" s="564" t="s">
        <v>1612</v>
      </c>
      <c r="D2730" s="565">
        <v>42870</v>
      </c>
      <c r="E2730" s="565">
        <v>42898</v>
      </c>
      <c r="F2730" s="566">
        <v>1030000</v>
      </c>
      <c r="G2730" s="564" t="s">
        <v>1424</v>
      </c>
      <c r="H2730" s="564" t="s">
        <v>1424</v>
      </c>
      <c r="I2730" s="564" t="s">
        <v>70</v>
      </c>
      <c r="J2730" s="564" t="s">
        <v>1069</v>
      </c>
      <c r="K2730" s="564" t="s">
        <v>1120</v>
      </c>
      <c r="L2730" s="564" t="s">
        <v>2098</v>
      </c>
      <c r="M2730" s="564" t="s">
        <v>2098</v>
      </c>
      <c r="N2730" s="564" t="s">
        <v>70</v>
      </c>
      <c r="O2730" s="564" t="s">
        <v>2099</v>
      </c>
      <c r="P2730" s="23"/>
      <c r="Q2730" s="23"/>
      <c r="R2730" s="23"/>
      <c r="S2730" s="23"/>
      <c r="T2730" s="23"/>
      <c r="U2730" s="23"/>
      <c r="V2730" s="23"/>
      <c r="W2730" s="23"/>
      <c r="X2730" s="23"/>
      <c r="Y2730" s="23"/>
      <c r="Z2730" s="23"/>
    </row>
    <row r="2731" spans="1:26" ht="13">
      <c r="A2731" s="562" t="s">
        <v>6548</v>
      </c>
      <c r="B2731" s="563" t="s">
        <v>6477</v>
      </c>
      <c r="C2731" s="564" t="s">
        <v>1612</v>
      </c>
      <c r="D2731" s="565">
        <v>42865</v>
      </c>
      <c r="E2731" s="565">
        <v>42895</v>
      </c>
      <c r="F2731" s="566">
        <v>16400000</v>
      </c>
      <c r="G2731" s="564" t="s">
        <v>1424</v>
      </c>
      <c r="H2731" s="564" t="s">
        <v>1424</v>
      </c>
      <c r="I2731" s="564" t="s">
        <v>45</v>
      </c>
      <c r="J2731" s="564" t="s">
        <v>1069</v>
      </c>
      <c r="K2731" s="564" t="s">
        <v>1090</v>
      </c>
      <c r="L2731" s="564" t="s">
        <v>2098</v>
      </c>
      <c r="M2731" s="564" t="s">
        <v>2098</v>
      </c>
      <c r="N2731" s="564" t="s">
        <v>45</v>
      </c>
      <c r="O2731" s="564" t="s">
        <v>2099</v>
      </c>
      <c r="P2731" s="23"/>
      <c r="Q2731" s="23"/>
      <c r="R2731" s="23"/>
      <c r="S2731" s="23"/>
      <c r="T2731" s="23"/>
      <c r="U2731" s="23"/>
      <c r="V2731" s="23"/>
      <c r="W2731" s="23"/>
      <c r="X2731" s="23"/>
      <c r="Y2731" s="23"/>
      <c r="Z2731" s="23"/>
    </row>
    <row r="2732" spans="1:26" ht="13">
      <c r="A2732" s="562" t="s">
        <v>6549</v>
      </c>
      <c r="B2732" s="563" t="s">
        <v>5941</v>
      </c>
      <c r="C2732" s="564" t="s">
        <v>1612</v>
      </c>
      <c r="D2732" s="565">
        <v>42866</v>
      </c>
      <c r="E2732" s="565">
        <v>42886</v>
      </c>
      <c r="F2732" s="566">
        <v>387000000</v>
      </c>
      <c r="G2732" s="564" t="s">
        <v>5465</v>
      </c>
      <c r="H2732" s="564" t="s">
        <v>5465</v>
      </c>
      <c r="I2732" s="564" t="s">
        <v>45</v>
      </c>
      <c r="J2732" s="564" t="s">
        <v>1069</v>
      </c>
      <c r="K2732" s="564" t="s">
        <v>1090</v>
      </c>
      <c r="L2732" s="564" t="s">
        <v>2098</v>
      </c>
      <c r="M2732" s="564" t="s">
        <v>2098</v>
      </c>
      <c r="N2732" s="564" t="s">
        <v>45</v>
      </c>
      <c r="O2732" s="564" t="s">
        <v>2099</v>
      </c>
      <c r="P2732" s="23"/>
      <c r="Q2732" s="23"/>
      <c r="R2732" s="23"/>
      <c r="S2732" s="23"/>
      <c r="T2732" s="23"/>
      <c r="U2732" s="23"/>
      <c r="V2732" s="23"/>
      <c r="W2732" s="23"/>
      <c r="X2732" s="23"/>
      <c r="Y2732" s="23"/>
      <c r="Z2732" s="23"/>
    </row>
    <row r="2733" spans="1:26" ht="13">
      <c r="A2733" s="562" t="s">
        <v>6550</v>
      </c>
      <c r="B2733" s="563" t="s">
        <v>5718</v>
      </c>
      <c r="C2733" s="564" t="s">
        <v>1612</v>
      </c>
      <c r="D2733" s="565">
        <v>42865</v>
      </c>
      <c r="E2733" s="565">
        <v>42895</v>
      </c>
      <c r="F2733" s="566">
        <v>1200000</v>
      </c>
      <c r="G2733" s="564" t="s">
        <v>1424</v>
      </c>
      <c r="H2733" s="564" t="s">
        <v>1424</v>
      </c>
      <c r="I2733" s="564" t="s">
        <v>45</v>
      </c>
      <c r="J2733" s="564" t="s">
        <v>1069</v>
      </c>
      <c r="K2733" s="564" t="s">
        <v>1090</v>
      </c>
      <c r="L2733" s="564" t="s">
        <v>2098</v>
      </c>
      <c r="M2733" s="564" t="s">
        <v>2098</v>
      </c>
      <c r="N2733" s="564" t="s">
        <v>45</v>
      </c>
      <c r="O2733" s="564" t="s">
        <v>2099</v>
      </c>
      <c r="P2733" s="23"/>
      <c r="Q2733" s="23"/>
      <c r="R2733" s="23"/>
      <c r="S2733" s="23"/>
      <c r="T2733" s="23"/>
      <c r="U2733" s="23"/>
      <c r="V2733" s="23"/>
      <c r="W2733" s="23"/>
      <c r="X2733" s="23"/>
      <c r="Y2733" s="23"/>
      <c r="Z2733" s="23"/>
    </row>
    <row r="2734" spans="1:26" ht="13">
      <c r="A2734" s="562" t="s">
        <v>6551</v>
      </c>
      <c r="B2734" s="563" t="s">
        <v>6552</v>
      </c>
      <c r="C2734" s="564" t="s">
        <v>1612</v>
      </c>
      <c r="D2734" s="565">
        <v>42865</v>
      </c>
      <c r="E2734" s="565">
        <v>42886</v>
      </c>
      <c r="F2734" s="566">
        <v>5752000</v>
      </c>
      <c r="G2734" s="564" t="s">
        <v>1424</v>
      </c>
      <c r="H2734" s="564" t="s">
        <v>1424</v>
      </c>
      <c r="I2734" s="564" t="s">
        <v>64</v>
      </c>
      <c r="J2734" s="564" t="s">
        <v>1069</v>
      </c>
      <c r="K2734" s="564" t="s">
        <v>1090</v>
      </c>
      <c r="L2734" s="564" t="s">
        <v>2098</v>
      </c>
      <c r="M2734" s="564" t="s">
        <v>2098</v>
      </c>
      <c r="N2734" s="564" t="s">
        <v>64</v>
      </c>
      <c r="O2734" s="564" t="s">
        <v>2099</v>
      </c>
      <c r="P2734" s="23"/>
      <c r="Q2734" s="23"/>
      <c r="R2734" s="23"/>
      <c r="S2734" s="23"/>
      <c r="T2734" s="23"/>
      <c r="U2734" s="23"/>
      <c r="V2734" s="23"/>
      <c r="W2734" s="23"/>
      <c r="X2734" s="23"/>
      <c r="Y2734" s="23"/>
      <c r="Z2734" s="23"/>
    </row>
    <row r="2735" spans="1:26" ht="13">
      <c r="A2735" s="562" t="s">
        <v>6553</v>
      </c>
      <c r="B2735" s="563" t="s">
        <v>6554</v>
      </c>
      <c r="C2735" s="564" t="s">
        <v>1612</v>
      </c>
      <c r="D2735" s="565">
        <v>42866</v>
      </c>
      <c r="E2735" s="565">
        <v>42916</v>
      </c>
      <c r="F2735" s="566">
        <v>29900000</v>
      </c>
      <c r="G2735" s="564" t="s">
        <v>1128</v>
      </c>
      <c r="H2735" s="564" t="s">
        <v>1128</v>
      </c>
      <c r="I2735" s="564" t="s">
        <v>1161</v>
      </c>
      <c r="J2735" s="564" t="s">
        <v>1069</v>
      </c>
      <c r="K2735" s="564" t="s">
        <v>1090</v>
      </c>
      <c r="L2735" s="564" t="s">
        <v>2098</v>
      </c>
      <c r="M2735" s="564" t="s">
        <v>2098</v>
      </c>
      <c r="N2735" s="564" t="s">
        <v>1073</v>
      </c>
      <c r="O2735" s="564" t="s">
        <v>2099</v>
      </c>
      <c r="P2735" s="23"/>
      <c r="Q2735" s="23"/>
      <c r="R2735" s="23"/>
      <c r="S2735" s="23"/>
      <c r="T2735" s="23"/>
      <c r="U2735" s="23"/>
      <c r="V2735" s="23"/>
      <c r="W2735" s="23"/>
      <c r="X2735" s="23"/>
      <c r="Y2735" s="23"/>
      <c r="Z2735" s="23"/>
    </row>
    <row r="2736" spans="1:26" ht="13">
      <c r="A2736" s="562" t="s">
        <v>6555</v>
      </c>
      <c r="B2736" s="563" t="s">
        <v>5971</v>
      </c>
      <c r="C2736" s="564" t="s">
        <v>1612</v>
      </c>
      <c r="D2736" s="565">
        <v>42863</v>
      </c>
      <c r="E2736" s="565">
        <v>42886</v>
      </c>
      <c r="F2736" s="566">
        <v>27000000</v>
      </c>
      <c r="G2736" s="564" t="s">
        <v>5465</v>
      </c>
      <c r="H2736" s="564" t="s">
        <v>5465</v>
      </c>
      <c r="I2736" s="564" t="s">
        <v>45</v>
      </c>
      <c r="J2736" s="564" t="s">
        <v>1069</v>
      </c>
      <c r="K2736" s="564" t="s">
        <v>1090</v>
      </c>
      <c r="L2736" s="564" t="s">
        <v>2098</v>
      </c>
      <c r="M2736" s="564" t="s">
        <v>2098</v>
      </c>
      <c r="N2736" s="564" t="s">
        <v>45</v>
      </c>
      <c r="O2736" s="564" t="s">
        <v>2099</v>
      </c>
      <c r="P2736" s="23"/>
      <c r="Q2736" s="23"/>
      <c r="R2736" s="23"/>
      <c r="S2736" s="23"/>
      <c r="T2736" s="23"/>
      <c r="U2736" s="23"/>
      <c r="V2736" s="23"/>
      <c r="W2736" s="23"/>
      <c r="X2736" s="23"/>
      <c r="Y2736" s="23"/>
      <c r="Z2736" s="23"/>
    </row>
    <row r="2737" spans="1:26" ht="13">
      <c r="A2737" s="562" t="s">
        <v>6556</v>
      </c>
      <c r="B2737" s="563" t="s">
        <v>5718</v>
      </c>
      <c r="C2737" s="564" t="s">
        <v>1612</v>
      </c>
      <c r="D2737" s="565">
        <v>42845</v>
      </c>
      <c r="E2737" s="565">
        <v>42874</v>
      </c>
      <c r="F2737" s="566">
        <v>1180000</v>
      </c>
      <c r="G2737" s="564" t="s">
        <v>1424</v>
      </c>
      <c r="H2737" s="564" t="s">
        <v>1424</v>
      </c>
      <c r="I2737" s="564" t="s">
        <v>45</v>
      </c>
      <c r="J2737" s="564" t="s">
        <v>1069</v>
      </c>
      <c r="K2737" s="564" t="s">
        <v>1090</v>
      </c>
      <c r="L2737" s="564" t="s">
        <v>2098</v>
      </c>
      <c r="M2737" s="564" t="s">
        <v>2098</v>
      </c>
      <c r="N2737" s="564" t="s">
        <v>45</v>
      </c>
      <c r="O2737" s="564" t="s">
        <v>2099</v>
      </c>
      <c r="P2737" s="23"/>
      <c r="Q2737" s="23"/>
      <c r="R2737" s="23"/>
      <c r="S2737" s="23"/>
      <c r="T2737" s="23"/>
      <c r="U2737" s="23"/>
      <c r="V2737" s="23"/>
      <c r="W2737" s="23"/>
      <c r="X2737" s="23"/>
      <c r="Y2737" s="23"/>
      <c r="Z2737" s="23"/>
    </row>
    <row r="2738" spans="1:26" ht="13">
      <c r="A2738" s="562" t="s">
        <v>6557</v>
      </c>
      <c r="B2738" s="563" t="s">
        <v>5810</v>
      </c>
      <c r="C2738" s="564" t="s">
        <v>1612</v>
      </c>
      <c r="D2738" s="565">
        <v>42845</v>
      </c>
      <c r="E2738" s="565">
        <v>42874</v>
      </c>
      <c r="F2738" s="566">
        <v>883000</v>
      </c>
      <c r="G2738" s="564" t="s">
        <v>1424</v>
      </c>
      <c r="H2738" s="564" t="s">
        <v>1424</v>
      </c>
      <c r="I2738" s="564" t="s">
        <v>70</v>
      </c>
      <c r="J2738" s="564" t="s">
        <v>1069</v>
      </c>
      <c r="K2738" s="564" t="s">
        <v>1120</v>
      </c>
      <c r="L2738" s="564" t="s">
        <v>2098</v>
      </c>
      <c r="M2738" s="564" t="s">
        <v>2098</v>
      </c>
      <c r="N2738" s="564" t="s">
        <v>70</v>
      </c>
      <c r="O2738" s="564" t="s">
        <v>2099</v>
      </c>
      <c r="P2738" s="23"/>
      <c r="Q2738" s="23"/>
      <c r="R2738" s="23"/>
      <c r="S2738" s="23"/>
      <c r="T2738" s="23"/>
      <c r="U2738" s="23"/>
      <c r="V2738" s="23"/>
      <c r="W2738" s="23"/>
      <c r="X2738" s="23"/>
      <c r="Y2738" s="23"/>
      <c r="Z2738" s="23"/>
    </row>
    <row r="2739" spans="1:26" ht="13">
      <c r="A2739" s="562" t="s">
        <v>6558</v>
      </c>
      <c r="B2739" s="563" t="s">
        <v>5718</v>
      </c>
      <c r="C2739" s="564" t="s">
        <v>1612</v>
      </c>
      <c r="D2739" s="565">
        <v>42845</v>
      </c>
      <c r="E2739" s="565">
        <v>42874</v>
      </c>
      <c r="F2739" s="566">
        <v>1180000</v>
      </c>
      <c r="G2739" s="564" t="s">
        <v>1424</v>
      </c>
      <c r="H2739" s="564" t="s">
        <v>1424</v>
      </c>
      <c r="I2739" s="564" t="s">
        <v>45</v>
      </c>
      <c r="J2739" s="564" t="s">
        <v>1069</v>
      </c>
      <c r="K2739" s="564" t="s">
        <v>1090</v>
      </c>
      <c r="L2739" s="564" t="s">
        <v>2098</v>
      </c>
      <c r="M2739" s="564" t="s">
        <v>2098</v>
      </c>
      <c r="N2739" s="564" t="s">
        <v>45</v>
      </c>
      <c r="O2739" s="564" t="s">
        <v>2099</v>
      </c>
      <c r="P2739" s="23"/>
      <c r="Q2739" s="23"/>
      <c r="R2739" s="23"/>
      <c r="S2739" s="23"/>
      <c r="T2739" s="23"/>
      <c r="U2739" s="23"/>
      <c r="V2739" s="23"/>
      <c r="W2739" s="23"/>
      <c r="X2739" s="23"/>
      <c r="Y2739" s="23"/>
      <c r="Z2739" s="23"/>
    </row>
    <row r="2740" spans="1:26" ht="13">
      <c r="A2740" s="562" t="s">
        <v>6559</v>
      </c>
      <c r="B2740" s="563" t="s">
        <v>5974</v>
      </c>
      <c r="C2740" s="564" t="s">
        <v>1612</v>
      </c>
      <c r="D2740" s="565">
        <v>42845</v>
      </c>
      <c r="E2740" s="565">
        <v>42874</v>
      </c>
      <c r="F2740" s="566">
        <v>990000</v>
      </c>
      <c r="G2740" s="564" t="s">
        <v>1424</v>
      </c>
      <c r="H2740" s="564" t="s">
        <v>1424</v>
      </c>
      <c r="I2740" s="564" t="s">
        <v>45</v>
      </c>
      <c r="J2740" s="564" t="s">
        <v>1069</v>
      </c>
      <c r="K2740" s="564" t="s">
        <v>1090</v>
      </c>
      <c r="L2740" s="564" t="s">
        <v>2098</v>
      </c>
      <c r="M2740" s="564" t="s">
        <v>2098</v>
      </c>
      <c r="N2740" s="564" t="s">
        <v>45</v>
      </c>
      <c r="O2740" s="564" t="s">
        <v>2099</v>
      </c>
      <c r="P2740" s="23"/>
      <c r="Q2740" s="23"/>
      <c r="R2740" s="23"/>
      <c r="S2740" s="23"/>
      <c r="T2740" s="23"/>
      <c r="U2740" s="23"/>
      <c r="V2740" s="23"/>
      <c r="W2740" s="23"/>
      <c r="X2740" s="23"/>
      <c r="Y2740" s="23"/>
      <c r="Z2740" s="23"/>
    </row>
    <row r="2741" spans="1:26" ht="13">
      <c r="A2741" s="562" t="s">
        <v>6560</v>
      </c>
      <c r="B2741" s="563" t="s">
        <v>6561</v>
      </c>
      <c r="C2741" s="564" t="s">
        <v>1612</v>
      </c>
      <c r="D2741" s="565">
        <v>42845</v>
      </c>
      <c r="E2741" s="565">
        <v>42826</v>
      </c>
      <c r="F2741" s="566">
        <v>8902080</v>
      </c>
      <c r="G2741" s="564" t="s">
        <v>1424</v>
      </c>
      <c r="H2741" s="564" t="s">
        <v>1424</v>
      </c>
      <c r="I2741" s="564" t="s">
        <v>45</v>
      </c>
      <c r="J2741" s="564" t="s">
        <v>1069</v>
      </c>
      <c r="K2741" s="564" t="s">
        <v>1090</v>
      </c>
      <c r="L2741" s="564" t="s">
        <v>1071</v>
      </c>
      <c r="M2741" s="564" t="s">
        <v>1183</v>
      </c>
      <c r="N2741" s="564" t="s">
        <v>45</v>
      </c>
      <c r="O2741" s="564" t="s">
        <v>2099</v>
      </c>
      <c r="P2741" s="23"/>
      <c r="Q2741" s="23"/>
      <c r="R2741" s="23"/>
      <c r="S2741" s="23"/>
      <c r="T2741" s="23"/>
      <c r="U2741" s="23"/>
      <c r="V2741" s="23"/>
      <c r="W2741" s="23"/>
      <c r="X2741" s="23"/>
      <c r="Y2741" s="23"/>
      <c r="Z2741" s="23"/>
    </row>
    <row r="2742" spans="1:26" ht="13">
      <c r="A2742" s="562" t="s">
        <v>6562</v>
      </c>
      <c r="B2742" s="563" t="s">
        <v>6563</v>
      </c>
      <c r="C2742" s="564" t="s">
        <v>1612</v>
      </c>
      <c r="D2742" s="565">
        <v>42844</v>
      </c>
      <c r="E2742" s="565">
        <v>42826</v>
      </c>
      <c r="F2742" s="566">
        <v>48423720</v>
      </c>
      <c r="G2742" s="564" t="s">
        <v>1424</v>
      </c>
      <c r="H2742" s="564" t="s">
        <v>1424</v>
      </c>
      <c r="I2742" s="564" t="s">
        <v>45</v>
      </c>
      <c r="J2742" s="564" t="s">
        <v>1069</v>
      </c>
      <c r="K2742" s="564" t="s">
        <v>1090</v>
      </c>
      <c r="L2742" s="564" t="s">
        <v>1071</v>
      </c>
      <c r="M2742" s="564" t="s">
        <v>1183</v>
      </c>
      <c r="N2742" s="564" t="s">
        <v>45</v>
      </c>
      <c r="O2742" s="564" t="s">
        <v>2099</v>
      </c>
      <c r="P2742" s="23"/>
      <c r="Q2742" s="23"/>
      <c r="R2742" s="23"/>
      <c r="S2742" s="23"/>
      <c r="T2742" s="23"/>
      <c r="U2742" s="23"/>
      <c r="V2742" s="23"/>
      <c r="W2742" s="23"/>
      <c r="X2742" s="23"/>
      <c r="Y2742" s="23"/>
      <c r="Z2742" s="23"/>
    </row>
    <row r="2743" spans="1:26" ht="13">
      <c r="A2743" s="562" t="s">
        <v>6564</v>
      </c>
      <c r="B2743" s="563" t="s">
        <v>6475</v>
      </c>
      <c r="C2743" s="564" t="s">
        <v>1612</v>
      </c>
      <c r="D2743" s="565">
        <v>42844</v>
      </c>
      <c r="E2743" s="565">
        <v>42826</v>
      </c>
      <c r="F2743" s="566">
        <v>15123520</v>
      </c>
      <c r="G2743" s="564" t="s">
        <v>1424</v>
      </c>
      <c r="H2743" s="564" t="s">
        <v>1424</v>
      </c>
      <c r="I2743" s="564" t="s">
        <v>45</v>
      </c>
      <c r="J2743" s="564" t="s">
        <v>1069</v>
      </c>
      <c r="K2743" s="564" t="s">
        <v>1090</v>
      </c>
      <c r="L2743" s="564" t="s">
        <v>1071</v>
      </c>
      <c r="M2743" s="564" t="s">
        <v>1183</v>
      </c>
      <c r="N2743" s="564" t="s">
        <v>45</v>
      </c>
      <c r="O2743" s="564" t="s">
        <v>2099</v>
      </c>
      <c r="P2743" s="23"/>
      <c r="Q2743" s="23"/>
      <c r="R2743" s="23"/>
      <c r="S2743" s="23"/>
      <c r="T2743" s="23"/>
      <c r="U2743" s="23"/>
      <c r="V2743" s="23"/>
      <c r="W2743" s="23"/>
      <c r="X2743" s="23"/>
      <c r="Y2743" s="23"/>
      <c r="Z2743" s="23"/>
    </row>
    <row r="2744" spans="1:26" ht="13">
      <c r="A2744" s="562" t="s">
        <v>6565</v>
      </c>
      <c r="B2744" s="563" t="s">
        <v>6566</v>
      </c>
      <c r="C2744" s="564" t="s">
        <v>1612</v>
      </c>
      <c r="D2744" s="565">
        <v>42842</v>
      </c>
      <c r="E2744" s="565">
        <v>42872</v>
      </c>
      <c r="F2744" s="566">
        <v>1030000</v>
      </c>
      <c r="G2744" s="564" t="s">
        <v>1424</v>
      </c>
      <c r="H2744" s="564" t="s">
        <v>1424</v>
      </c>
      <c r="I2744" s="564" t="s">
        <v>70</v>
      </c>
      <c r="J2744" s="564" t="s">
        <v>1069</v>
      </c>
      <c r="K2744" s="564" t="s">
        <v>1120</v>
      </c>
      <c r="L2744" s="564" t="s">
        <v>2098</v>
      </c>
      <c r="M2744" s="564" t="s">
        <v>2098</v>
      </c>
      <c r="N2744" s="564" t="s">
        <v>70</v>
      </c>
      <c r="O2744" s="564" t="s">
        <v>2099</v>
      </c>
      <c r="P2744" s="23"/>
      <c r="Q2744" s="23"/>
      <c r="R2744" s="23"/>
      <c r="S2744" s="23"/>
      <c r="T2744" s="23"/>
      <c r="U2744" s="23"/>
      <c r="V2744" s="23"/>
      <c r="W2744" s="23"/>
      <c r="X2744" s="23"/>
      <c r="Y2744" s="23"/>
      <c r="Z2744" s="23"/>
    </row>
    <row r="2745" spans="1:26" ht="13">
      <c r="A2745" s="562" t="s">
        <v>6567</v>
      </c>
      <c r="B2745" s="563" t="s">
        <v>6019</v>
      </c>
      <c r="C2745" s="564" t="s">
        <v>1612</v>
      </c>
      <c r="D2745" s="565">
        <v>42842</v>
      </c>
      <c r="E2745" s="565">
        <v>42853</v>
      </c>
      <c r="F2745" s="566">
        <v>99762000</v>
      </c>
      <c r="G2745" s="564" t="s">
        <v>5465</v>
      </c>
      <c r="H2745" s="564" t="s">
        <v>5465</v>
      </c>
      <c r="I2745" s="564" t="s">
        <v>45</v>
      </c>
      <c r="J2745" s="564" t="s">
        <v>1069</v>
      </c>
      <c r="K2745" s="564" t="s">
        <v>1090</v>
      </c>
      <c r="L2745" s="564" t="s">
        <v>2098</v>
      </c>
      <c r="M2745" s="564" t="s">
        <v>2098</v>
      </c>
      <c r="N2745" s="564" t="s">
        <v>45</v>
      </c>
      <c r="O2745" s="564" t="s">
        <v>2099</v>
      </c>
      <c r="P2745" s="23"/>
      <c r="Q2745" s="23"/>
      <c r="R2745" s="23"/>
      <c r="S2745" s="23"/>
      <c r="T2745" s="23"/>
      <c r="U2745" s="23"/>
      <c r="V2745" s="23"/>
      <c r="W2745" s="23"/>
      <c r="X2745" s="23"/>
      <c r="Y2745" s="23"/>
      <c r="Z2745" s="23"/>
    </row>
    <row r="2746" spans="1:26" ht="13">
      <c r="A2746" s="562" t="s">
        <v>6568</v>
      </c>
      <c r="B2746" s="563" t="s">
        <v>6569</v>
      </c>
      <c r="C2746" s="564" t="s">
        <v>1612</v>
      </c>
      <c r="D2746" s="565">
        <v>42837</v>
      </c>
      <c r="E2746" s="565">
        <v>42867</v>
      </c>
      <c r="F2746" s="566">
        <v>206000</v>
      </c>
      <c r="G2746" s="564" t="s">
        <v>1424</v>
      </c>
      <c r="H2746" s="564" t="s">
        <v>1424</v>
      </c>
      <c r="I2746" s="564" t="s">
        <v>64</v>
      </c>
      <c r="J2746" s="564" t="s">
        <v>1069</v>
      </c>
      <c r="K2746" s="564" t="s">
        <v>1090</v>
      </c>
      <c r="L2746" s="564" t="s">
        <v>2098</v>
      </c>
      <c r="M2746" s="564" t="s">
        <v>2098</v>
      </c>
      <c r="N2746" s="564" t="s">
        <v>64</v>
      </c>
      <c r="O2746" s="564" t="s">
        <v>2099</v>
      </c>
      <c r="P2746" s="23"/>
      <c r="Q2746" s="23"/>
      <c r="R2746" s="23"/>
      <c r="S2746" s="23"/>
      <c r="T2746" s="23"/>
      <c r="U2746" s="23"/>
      <c r="V2746" s="23"/>
      <c r="W2746" s="23"/>
      <c r="X2746" s="23"/>
      <c r="Y2746" s="23"/>
      <c r="Z2746" s="23"/>
    </row>
    <row r="2747" spans="1:26" ht="13">
      <c r="A2747" s="562" t="s">
        <v>6570</v>
      </c>
      <c r="B2747" s="563" t="s">
        <v>6571</v>
      </c>
      <c r="C2747" s="564" t="s">
        <v>1612</v>
      </c>
      <c r="D2747" s="565">
        <v>42836</v>
      </c>
      <c r="E2747" s="565">
        <v>42853</v>
      </c>
      <c r="F2747" s="566">
        <v>1900000</v>
      </c>
      <c r="G2747" s="564" t="s">
        <v>5465</v>
      </c>
      <c r="H2747" s="564" t="s">
        <v>5465</v>
      </c>
      <c r="I2747" s="564" t="s">
        <v>45</v>
      </c>
      <c r="J2747" s="564" t="s">
        <v>1069</v>
      </c>
      <c r="K2747" s="564" t="s">
        <v>1090</v>
      </c>
      <c r="L2747" s="564" t="s">
        <v>2098</v>
      </c>
      <c r="M2747" s="564" t="s">
        <v>2098</v>
      </c>
      <c r="N2747" s="564" t="s">
        <v>45</v>
      </c>
      <c r="O2747" s="564" t="s">
        <v>2099</v>
      </c>
      <c r="P2747" s="23"/>
      <c r="Q2747" s="23"/>
      <c r="R2747" s="23"/>
      <c r="S2747" s="23"/>
      <c r="T2747" s="23"/>
      <c r="U2747" s="23"/>
      <c r="V2747" s="23"/>
      <c r="W2747" s="23"/>
      <c r="X2747" s="23"/>
      <c r="Y2747" s="23"/>
      <c r="Z2747" s="23"/>
    </row>
    <row r="2748" spans="1:26" ht="13">
      <c r="A2748" s="562" t="s">
        <v>6572</v>
      </c>
      <c r="B2748" s="563" t="s">
        <v>5969</v>
      </c>
      <c r="C2748" s="564" t="s">
        <v>1612</v>
      </c>
      <c r="D2748" s="565">
        <v>42836</v>
      </c>
      <c r="E2748" s="565">
        <v>42853</v>
      </c>
      <c r="F2748" s="566">
        <v>57461000</v>
      </c>
      <c r="G2748" s="564" t="s">
        <v>5465</v>
      </c>
      <c r="H2748" s="564" t="s">
        <v>5465</v>
      </c>
      <c r="I2748" s="564" t="s">
        <v>45</v>
      </c>
      <c r="J2748" s="564" t="s">
        <v>1069</v>
      </c>
      <c r="K2748" s="564" t="s">
        <v>1090</v>
      </c>
      <c r="L2748" s="564" t="s">
        <v>2098</v>
      </c>
      <c r="M2748" s="564" t="s">
        <v>2098</v>
      </c>
      <c r="N2748" s="564" t="s">
        <v>45</v>
      </c>
      <c r="O2748" s="564" t="s">
        <v>2099</v>
      </c>
      <c r="P2748" s="23"/>
      <c r="Q2748" s="23"/>
      <c r="R2748" s="23"/>
      <c r="S2748" s="23"/>
      <c r="T2748" s="23"/>
      <c r="U2748" s="23"/>
      <c r="V2748" s="23"/>
      <c r="W2748" s="23"/>
      <c r="X2748" s="23"/>
      <c r="Y2748" s="23"/>
      <c r="Z2748" s="23"/>
    </row>
    <row r="2749" spans="1:26" ht="13">
      <c r="A2749" s="562" t="s">
        <v>6573</v>
      </c>
      <c r="B2749" s="563" t="s">
        <v>6574</v>
      </c>
      <c r="C2749" s="564" t="s">
        <v>1612</v>
      </c>
      <c r="D2749" s="565">
        <v>42836</v>
      </c>
      <c r="E2749" s="565">
        <v>42850</v>
      </c>
      <c r="F2749" s="566">
        <v>4415000</v>
      </c>
      <c r="G2749" s="564" t="s">
        <v>1623</v>
      </c>
      <c r="H2749" s="564" t="s">
        <v>1623</v>
      </c>
      <c r="I2749" s="564" t="s">
        <v>1746</v>
      </c>
      <c r="J2749" s="564" t="s">
        <v>1069</v>
      </c>
      <c r="K2749" s="564" t="s">
        <v>1198</v>
      </c>
      <c r="L2749" s="564" t="s">
        <v>2098</v>
      </c>
      <c r="M2749" s="564" t="s">
        <v>2098</v>
      </c>
      <c r="N2749" s="564" t="s">
        <v>1073</v>
      </c>
      <c r="O2749" s="564" t="s">
        <v>2099</v>
      </c>
      <c r="P2749" s="23"/>
      <c r="Q2749" s="23"/>
      <c r="R2749" s="23"/>
      <c r="S2749" s="23"/>
      <c r="T2749" s="23"/>
      <c r="U2749" s="23"/>
      <c r="V2749" s="23"/>
      <c r="W2749" s="23"/>
      <c r="X2749" s="23"/>
      <c r="Y2749" s="23"/>
      <c r="Z2749" s="23"/>
    </row>
    <row r="2750" spans="1:26" ht="13">
      <c r="A2750" s="562" t="s">
        <v>6575</v>
      </c>
      <c r="B2750" s="563" t="s">
        <v>6576</v>
      </c>
      <c r="C2750" s="564" t="s">
        <v>1612</v>
      </c>
      <c r="D2750" s="565">
        <v>42831</v>
      </c>
      <c r="E2750" s="565">
        <v>42859</v>
      </c>
      <c r="F2750" s="566">
        <v>968000</v>
      </c>
      <c r="G2750" s="564" t="s">
        <v>1424</v>
      </c>
      <c r="H2750" s="564" t="s">
        <v>1424</v>
      </c>
      <c r="I2750" s="564" t="s">
        <v>6577</v>
      </c>
      <c r="J2750" s="564" t="s">
        <v>1069</v>
      </c>
      <c r="K2750" s="564" t="s">
        <v>1090</v>
      </c>
      <c r="L2750" s="564" t="s">
        <v>2098</v>
      </c>
      <c r="M2750" s="564" t="s">
        <v>2098</v>
      </c>
      <c r="N2750" s="564" t="s">
        <v>1073</v>
      </c>
      <c r="O2750" s="564" t="s">
        <v>2099</v>
      </c>
      <c r="P2750" s="23"/>
      <c r="Q2750" s="23"/>
      <c r="R2750" s="23"/>
      <c r="S2750" s="23"/>
      <c r="T2750" s="23"/>
      <c r="U2750" s="23"/>
      <c r="V2750" s="23"/>
      <c r="W2750" s="23"/>
      <c r="X2750" s="23"/>
      <c r="Y2750" s="23"/>
      <c r="Z2750" s="23"/>
    </row>
    <row r="2751" spans="1:26" ht="13">
      <c r="A2751" s="562" t="s">
        <v>6578</v>
      </c>
      <c r="B2751" s="563" t="s">
        <v>6579</v>
      </c>
      <c r="C2751" s="564" t="s">
        <v>1612</v>
      </c>
      <c r="D2751" s="565">
        <v>42831</v>
      </c>
      <c r="E2751" s="565">
        <v>42860</v>
      </c>
      <c r="F2751" s="566">
        <v>820000</v>
      </c>
      <c r="G2751" s="564" t="s">
        <v>1424</v>
      </c>
      <c r="H2751" s="564" t="s">
        <v>1424</v>
      </c>
      <c r="I2751" s="564" t="s">
        <v>1586</v>
      </c>
      <c r="J2751" s="564" t="s">
        <v>1069</v>
      </c>
      <c r="K2751" s="564" t="s">
        <v>1090</v>
      </c>
      <c r="L2751" s="564" t="s">
        <v>2098</v>
      </c>
      <c r="M2751" s="564" t="s">
        <v>2098</v>
      </c>
      <c r="N2751" s="564" t="s">
        <v>1073</v>
      </c>
      <c r="O2751" s="564" t="s">
        <v>2099</v>
      </c>
      <c r="P2751" s="23"/>
      <c r="Q2751" s="23"/>
      <c r="R2751" s="23"/>
      <c r="S2751" s="23"/>
      <c r="T2751" s="23"/>
      <c r="U2751" s="23"/>
      <c r="V2751" s="23"/>
      <c r="W2751" s="23"/>
      <c r="X2751" s="23"/>
      <c r="Y2751" s="23"/>
      <c r="Z2751" s="23"/>
    </row>
    <row r="2752" spans="1:26" ht="13">
      <c r="A2752" s="562" t="s">
        <v>6580</v>
      </c>
      <c r="B2752" s="563" t="s">
        <v>6581</v>
      </c>
      <c r="C2752" s="564" t="s">
        <v>1612</v>
      </c>
      <c r="D2752" s="565">
        <v>42830</v>
      </c>
      <c r="E2752" s="565">
        <v>42843</v>
      </c>
      <c r="F2752" s="566">
        <v>2172727</v>
      </c>
      <c r="G2752" s="564" t="s">
        <v>1623</v>
      </c>
      <c r="H2752" s="564" t="s">
        <v>1623</v>
      </c>
      <c r="I2752" s="564" t="s">
        <v>802</v>
      </c>
      <c r="J2752" s="564" t="s">
        <v>1069</v>
      </c>
      <c r="K2752" s="564" t="s">
        <v>1198</v>
      </c>
      <c r="L2752" s="564" t="s">
        <v>2098</v>
      </c>
      <c r="M2752" s="564" t="s">
        <v>2098</v>
      </c>
      <c r="N2752" s="564" t="s">
        <v>132</v>
      </c>
      <c r="O2752" s="564" t="s">
        <v>2099</v>
      </c>
      <c r="P2752" s="23"/>
      <c r="Q2752" s="23"/>
      <c r="R2752" s="23"/>
      <c r="S2752" s="23"/>
      <c r="T2752" s="23"/>
      <c r="U2752" s="23"/>
      <c r="V2752" s="23"/>
      <c r="W2752" s="23"/>
      <c r="X2752" s="23"/>
      <c r="Y2752" s="23"/>
      <c r="Z2752" s="23"/>
    </row>
    <row r="2753" spans="1:26" ht="13">
      <c r="A2753" s="562" t="s">
        <v>6582</v>
      </c>
      <c r="B2753" s="563" t="s">
        <v>6583</v>
      </c>
      <c r="C2753" s="564" t="s">
        <v>1612</v>
      </c>
      <c r="D2753" s="565">
        <v>42830</v>
      </c>
      <c r="E2753" s="565">
        <v>42837</v>
      </c>
      <c r="F2753" s="566">
        <v>530000</v>
      </c>
      <c r="G2753" s="564" t="s">
        <v>1623</v>
      </c>
      <c r="H2753" s="564" t="s">
        <v>1623</v>
      </c>
      <c r="I2753" s="564" t="s">
        <v>802</v>
      </c>
      <c r="J2753" s="564" t="s">
        <v>1069</v>
      </c>
      <c r="K2753" s="564" t="s">
        <v>1198</v>
      </c>
      <c r="L2753" s="564" t="s">
        <v>2098</v>
      </c>
      <c r="M2753" s="564" t="s">
        <v>2098</v>
      </c>
      <c r="N2753" s="564" t="s">
        <v>132</v>
      </c>
      <c r="O2753" s="564" t="s">
        <v>2099</v>
      </c>
      <c r="P2753" s="23"/>
      <c r="Q2753" s="23"/>
      <c r="R2753" s="23"/>
      <c r="S2753" s="23"/>
      <c r="T2753" s="23"/>
      <c r="U2753" s="23"/>
      <c r="V2753" s="23"/>
      <c r="W2753" s="23"/>
      <c r="X2753" s="23"/>
      <c r="Y2753" s="23"/>
      <c r="Z2753" s="23"/>
    </row>
    <row r="2754" spans="1:26" ht="13">
      <c r="A2754" s="562" t="s">
        <v>6584</v>
      </c>
      <c r="B2754" s="563" t="s">
        <v>6585</v>
      </c>
      <c r="C2754" s="564" t="s">
        <v>1612</v>
      </c>
      <c r="D2754" s="565">
        <v>42828</v>
      </c>
      <c r="E2754" s="565">
        <v>42851</v>
      </c>
      <c r="F2754" s="566">
        <v>12449091</v>
      </c>
      <c r="G2754" s="564" t="s">
        <v>1623</v>
      </c>
      <c r="H2754" s="564" t="s">
        <v>1623</v>
      </c>
      <c r="I2754" s="564" t="s">
        <v>802</v>
      </c>
      <c r="J2754" s="564" t="s">
        <v>1069</v>
      </c>
      <c r="K2754" s="564" t="s">
        <v>1198</v>
      </c>
      <c r="L2754" s="564" t="s">
        <v>2098</v>
      </c>
      <c r="M2754" s="564" t="s">
        <v>2098</v>
      </c>
      <c r="N2754" s="564" t="s">
        <v>132</v>
      </c>
      <c r="O2754" s="564" t="s">
        <v>2099</v>
      </c>
      <c r="P2754" s="23"/>
      <c r="Q2754" s="23"/>
      <c r="R2754" s="23"/>
      <c r="S2754" s="23"/>
      <c r="T2754" s="23"/>
      <c r="U2754" s="23"/>
      <c r="V2754" s="23"/>
      <c r="W2754" s="23"/>
      <c r="X2754" s="23"/>
      <c r="Y2754" s="23"/>
      <c r="Z2754" s="23"/>
    </row>
    <row r="2755" spans="1:26" ht="13">
      <c r="A2755" s="562" t="s">
        <v>6586</v>
      </c>
      <c r="B2755" s="563" t="s">
        <v>6192</v>
      </c>
      <c r="C2755" s="564" t="s">
        <v>1612</v>
      </c>
      <c r="D2755" s="565">
        <v>42824</v>
      </c>
      <c r="E2755" s="565">
        <v>42853</v>
      </c>
      <c r="F2755" s="566">
        <v>570000</v>
      </c>
      <c r="G2755" s="564" t="s">
        <v>1424</v>
      </c>
      <c r="H2755" s="564" t="s">
        <v>1424</v>
      </c>
      <c r="I2755" s="564" t="s">
        <v>45</v>
      </c>
      <c r="J2755" s="564" t="s">
        <v>1069</v>
      </c>
      <c r="K2755" s="564" t="s">
        <v>1090</v>
      </c>
      <c r="L2755" s="564" t="s">
        <v>2098</v>
      </c>
      <c r="M2755" s="564" t="s">
        <v>2098</v>
      </c>
      <c r="N2755" s="564" t="s">
        <v>45</v>
      </c>
      <c r="O2755" s="564" t="s">
        <v>2099</v>
      </c>
      <c r="P2755" s="23"/>
      <c r="Q2755" s="23"/>
      <c r="R2755" s="23"/>
      <c r="S2755" s="23"/>
      <c r="T2755" s="23"/>
      <c r="U2755" s="23"/>
      <c r="V2755" s="23"/>
      <c r="W2755" s="23"/>
      <c r="X2755" s="23"/>
      <c r="Y2755" s="23"/>
      <c r="Z2755" s="23"/>
    </row>
    <row r="2756" spans="1:26" ht="13">
      <c r="A2756" s="562" t="s">
        <v>6587</v>
      </c>
      <c r="B2756" s="563" t="s">
        <v>6119</v>
      </c>
      <c r="C2756" s="564" t="s">
        <v>1612</v>
      </c>
      <c r="D2756" s="565">
        <v>42824</v>
      </c>
      <c r="E2756" s="565">
        <v>42853</v>
      </c>
      <c r="F2756" s="566">
        <v>1533000</v>
      </c>
      <c r="G2756" s="564" t="s">
        <v>1424</v>
      </c>
      <c r="H2756" s="564" t="s">
        <v>1424</v>
      </c>
      <c r="I2756" s="564" t="s">
        <v>45</v>
      </c>
      <c r="J2756" s="564" t="s">
        <v>1069</v>
      </c>
      <c r="K2756" s="564" t="s">
        <v>1090</v>
      </c>
      <c r="L2756" s="564" t="s">
        <v>2098</v>
      </c>
      <c r="M2756" s="564" t="s">
        <v>2098</v>
      </c>
      <c r="N2756" s="564" t="s">
        <v>45</v>
      </c>
      <c r="O2756" s="564" t="s">
        <v>2099</v>
      </c>
      <c r="P2756" s="23"/>
      <c r="Q2756" s="23"/>
      <c r="R2756" s="23"/>
      <c r="S2756" s="23"/>
      <c r="T2756" s="23"/>
      <c r="U2756" s="23"/>
      <c r="V2756" s="23"/>
      <c r="W2756" s="23"/>
      <c r="X2756" s="23"/>
      <c r="Y2756" s="23"/>
      <c r="Z2756" s="23"/>
    </row>
    <row r="2757" spans="1:26" ht="13">
      <c r="A2757" s="562" t="s">
        <v>6588</v>
      </c>
      <c r="B2757" s="563" t="s">
        <v>6589</v>
      </c>
      <c r="C2757" s="564" t="s">
        <v>1612</v>
      </c>
      <c r="D2757" s="565">
        <v>42824</v>
      </c>
      <c r="E2757" s="565">
        <v>42853</v>
      </c>
      <c r="F2757" s="566">
        <v>39950000</v>
      </c>
      <c r="G2757" s="564" t="s">
        <v>1424</v>
      </c>
      <c r="H2757" s="564" t="s">
        <v>1424</v>
      </c>
      <c r="I2757" s="564" t="s">
        <v>45</v>
      </c>
      <c r="J2757" s="564" t="s">
        <v>1069</v>
      </c>
      <c r="K2757" s="564" t="s">
        <v>1090</v>
      </c>
      <c r="L2757" s="564" t="s">
        <v>2098</v>
      </c>
      <c r="M2757" s="564" t="s">
        <v>2098</v>
      </c>
      <c r="N2757" s="564" t="s">
        <v>45</v>
      </c>
      <c r="O2757" s="564" t="s">
        <v>2099</v>
      </c>
      <c r="P2757" s="23"/>
      <c r="Q2757" s="23"/>
      <c r="R2757" s="23"/>
      <c r="S2757" s="23"/>
      <c r="T2757" s="23"/>
      <c r="U2757" s="23"/>
      <c r="V2757" s="23"/>
      <c r="W2757" s="23"/>
      <c r="X2757" s="23"/>
      <c r="Y2757" s="23"/>
      <c r="Z2757" s="23"/>
    </row>
    <row r="2758" spans="1:26" ht="13">
      <c r="A2758" s="562" t="s">
        <v>6590</v>
      </c>
      <c r="B2758" s="563" t="s">
        <v>6591</v>
      </c>
      <c r="C2758" s="564" t="s">
        <v>1612</v>
      </c>
      <c r="D2758" s="565">
        <v>42823</v>
      </c>
      <c r="E2758" s="565">
        <v>42853</v>
      </c>
      <c r="F2758" s="566">
        <v>11900000</v>
      </c>
      <c r="G2758" s="564" t="s">
        <v>1424</v>
      </c>
      <c r="H2758" s="564" t="s">
        <v>1424</v>
      </c>
      <c r="I2758" s="564" t="s">
        <v>257</v>
      </c>
      <c r="J2758" s="564" t="s">
        <v>1069</v>
      </c>
      <c r="K2758" s="564" t="s">
        <v>1209</v>
      </c>
      <c r="L2758" s="564" t="s">
        <v>2098</v>
      </c>
      <c r="M2758" s="564" t="s">
        <v>2098</v>
      </c>
      <c r="N2758" s="564" t="s">
        <v>257</v>
      </c>
      <c r="O2758" s="564" t="s">
        <v>2099</v>
      </c>
      <c r="P2758" s="23"/>
      <c r="Q2758" s="23"/>
      <c r="R2758" s="23"/>
      <c r="S2758" s="23"/>
      <c r="T2758" s="23"/>
      <c r="U2758" s="23"/>
      <c r="V2758" s="23"/>
      <c r="W2758" s="23"/>
      <c r="X2758" s="23"/>
      <c r="Y2758" s="23"/>
      <c r="Z2758" s="23"/>
    </row>
    <row r="2759" spans="1:26" ht="13">
      <c r="A2759" s="562" t="s">
        <v>6592</v>
      </c>
      <c r="B2759" s="563" t="s">
        <v>6544</v>
      </c>
      <c r="C2759" s="564" t="s">
        <v>1612</v>
      </c>
      <c r="D2759" s="565">
        <v>42822</v>
      </c>
      <c r="E2759" s="565">
        <v>42852</v>
      </c>
      <c r="F2759" s="566">
        <v>1122000</v>
      </c>
      <c r="G2759" s="564" t="s">
        <v>1424</v>
      </c>
      <c r="H2759" s="564" t="s">
        <v>1424</v>
      </c>
      <c r="I2759" s="564" t="s">
        <v>45</v>
      </c>
      <c r="J2759" s="564" t="s">
        <v>1069</v>
      </c>
      <c r="K2759" s="564" t="s">
        <v>1090</v>
      </c>
      <c r="L2759" s="564" t="s">
        <v>2098</v>
      </c>
      <c r="M2759" s="564" t="s">
        <v>2098</v>
      </c>
      <c r="N2759" s="564" t="s">
        <v>45</v>
      </c>
      <c r="O2759" s="564" t="s">
        <v>2099</v>
      </c>
      <c r="P2759" s="23"/>
      <c r="Q2759" s="23"/>
      <c r="R2759" s="23"/>
      <c r="S2759" s="23"/>
      <c r="T2759" s="23"/>
      <c r="U2759" s="23"/>
      <c r="V2759" s="23"/>
      <c r="W2759" s="23"/>
      <c r="X2759" s="23"/>
      <c r="Y2759" s="23"/>
      <c r="Z2759" s="23"/>
    </row>
    <row r="2760" spans="1:26" ht="13">
      <c r="A2760" s="562" t="s">
        <v>6593</v>
      </c>
      <c r="B2760" s="563" t="s">
        <v>6594</v>
      </c>
      <c r="C2760" s="564" t="s">
        <v>1612</v>
      </c>
      <c r="D2760" s="565">
        <v>42822</v>
      </c>
      <c r="E2760" s="565">
        <v>42852</v>
      </c>
      <c r="F2760" s="566">
        <v>32640000</v>
      </c>
      <c r="G2760" s="564" t="s">
        <v>1424</v>
      </c>
      <c r="H2760" s="564" t="s">
        <v>1424</v>
      </c>
      <c r="I2760" s="564" t="s">
        <v>45</v>
      </c>
      <c r="J2760" s="564" t="s">
        <v>1069</v>
      </c>
      <c r="K2760" s="564" t="s">
        <v>1090</v>
      </c>
      <c r="L2760" s="564" t="s">
        <v>2098</v>
      </c>
      <c r="M2760" s="564" t="s">
        <v>2098</v>
      </c>
      <c r="N2760" s="564" t="s">
        <v>45</v>
      </c>
      <c r="O2760" s="564" t="s">
        <v>2099</v>
      </c>
      <c r="P2760" s="23"/>
      <c r="Q2760" s="23"/>
      <c r="R2760" s="23"/>
      <c r="S2760" s="23"/>
      <c r="T2760" s="23"/>
      <c r="U2760" s="23"/>
      <c r="V2760" s="23"/>
      <c r="W2760" s="23"/>
      <c r="X2760" s="23"/>
      <c r="Y2760" s="23"/>
      <c r="Z2760" s="23"/>
    </row>
    <row r="2761" spans="1:26" ht="13">
      <c r="A2761" s="562" t="s">
        <v>6595</v>
      </c>
      <c r="B2761" s="563" t="s">
        <v>5718</v>
      </c>
      <c r="C2761" s="564" t="s">
        <v>1612</v>
      </c>
      <c r="D2761" s="565">
        <v>42822</v>
      </c>
      <c r="E2761" s="565">
        <v>42852</v>
      </c>
      <c r="F2761" s="566">
        <v>1180000</v>
      </c>
      <c r="G2761" s="564" t="s">
        <v>1424</v>
      </c>
      <c r="H2761" s="564" t="s">
        <v>1424</v>
      </c>
      <c r="I2761" s="564" t="s">
        <v>45</v>
      </c>
      <c r="J2761" s="564" t="s">
        <v>1069</v>
      </c>
      <c r="K2761" s="564" t="s">
        <v>1090</v>
      </c>
      <c r="L2761" s="564" t="s">
        <v>2098</v>
      </c>
      <c r="M2761" s="564" t="s">
        <v>2098</v>
      </c>
      <c r="N2761" s="564" t="s">
        <v>45</v>
      </c>
      <c r="O2761" s="564" t="s">
        <v>2099</v>
      </c>
      <c r="P2761" s="23"/>
      <c r="Q2761" s="23"/>
      <c r="R2761" s="23"/>
      <c r="S2761" s="23"/>
      <c r="T2761" s="23"/>
      <c r="U2761" s="23"/>
      <c r="V2761" s="23"/>
      <c r="W2761" s="23"/>
      <c r="X2761" s="23"/>
      <c r="Y2761" s="23"/>
      <c r="Z2761" s="23"/>
    </row>
    <row r="2762" spans="1:26" ht="13">
      <c r="A2762" s="562" t="s">
        <v>6596</v>
      </c>
      <c r="B2762" s="563" t="s">
        <v>6597</v>
      </c>
      <c r="C2762" s="564" t="s">
        <v>1612</v>
      </c>
      <c r="D2762" s="565">
        <v>42823</v>
      </c>
      <c r="E2762" s="565">
        <v>42825</v>
      </c>
      <c r="F2762" s="566">
        <v>22410000</v>
      </c>
      <c r="G2762" s="564" t="s">
        <v>1424</v>
      </c>
      <c r="H2762" s="564" t="s">
        <v>1424</v>
      </c>
      <c r="I2762" s="564" t="s">
        <v>45</v>
      </c>
      <c r="J2762" s="564" t="s">
        <v>1069</v>
      </c>
      <c r="K2762" s="564" t="s">
        <v>1090</v>
      </c>
      <c r="L2762" s="564" t="s">
        <v>2098</v>
      </c>
      <c r="M2762" s="564" t="s">
        <v>2098</v>
      </c>
      <c r="N2762" s="564" t="s">
        <v>45</v>
      </c>
      <c r="O2762" s="564" t="s">
        <v>2099</v>
      </c>
      <c r="P2762" s="23"/>
      <c r="Q2762" s="23"/>
      <c r="R2762" s="23"/>
      <c r="S2762" s="23"/>
      <c r="T2762" s="23"/>
      <c r="U2762" s="23"/>
      <c r="V2762" s="23"/>
      <c r="W2762" s="23"/>
      <c r="X2762" s="23"/>
      <c r="Y2762" s="23"/>
      <c r="Z2762" s="23"/>
    </row>
    <row r="2763" spans="1:26" ht="13">
      <c r="A2763" s="562" t="s">
        <v>6598</v>
      </c>
      <c r="B2763" s="563" t="s">
        <v>6599</v>
      </c>
      <c r="C2763" s="564" t="s">
        <v>1612</v>
      </c>
      <c r="D2763" s="565">
        <v>42818</v>
      </c>
      <c r="E2763" s="565">
        <v>42795</v>
      </c>
      <c r="F2763" s="566">
        <v>6894600</v>
      </c>
      <c r="G2763" s="564" t="s">
        <v>1424</v>
      </c>
      <c r="H2763" s="564" t="s">
        <v>1424</v>
      </c>
      <c r="I2763" s="564" t="s">
        <v>45</v>
      </c>
      <c r="J2763" s="564" t="s">
        <v>1069</v>
      </c>
      <c r="K2763" s="564" t="s">
        <v>1090</v>
      </c>
      <c r="L2763" s="564" t="s">
        <v>1071</v>
      </c>
      <c r="M2763" s="564" t="s">
        <v>1183</v>
      </c>
      <c r="N2763" s="564" t="s">
        <v>45</v>
      </c>
      <c r="O2763" s="564" t="s">
        <v>2099</v>
      </c>
      <c r="P2763" s="23"/>
      <c r="Q2763" s="23"/>
      <c r="R2763" s="23"/>
      <c r="S2763" s="23"/>
      <c r="T2763" s="23"/>
      <c r="U2763" s="23"/>
      <c r="V2763" s="23"/>
      <c r="W2763" s="23"/>
      <c r="X2763" s="23"/>
      <c r="Y2763" s="23"/>
      <c r="Z2763" s="23"/>
    </row>
    <row r="2764" spans="1:26" ht="13">
      <c r="A2764" s="562" t="s">
        <v>6600</v>
      </c>
      <c r="B2764" s="563" t="s">
        <v>6601</v>
      </c>
      <c r="C2764" s="564" t="s">
        <v>1612</v>
      </c>
      <c r="D2764" s="565">
        <v>42818</v>
      </c>
      <c r="E2764" s="565">
        <v>42825</v>
      </c>
      <c r="F2764" s="566">
        <v>431900000</v>
      </c>
      <c r="G2764" s="564" t="s">
        <v>5465</v>
      </c>
      <c r="H2764" s="564" t="s">
        <v>5465</v>
      </c>
      <c r="I2764" s="564" t="s">
        <v>45</v>
      </c>
      <c r="J2764" s="564" t="s">
        <v>1069</v>
      </c>
      <c r="K2764" s="564" t="s">
        <v>1090</v>
      </c>
      <c r="L2764" s="564" t="s">
        <v>2098</v>
      </c>
      <c r="M2764" s="564" t="s">
        <v>2098</v>
      </c>
      <c r="N2764" s="564" t="s">
        <v>45</v>
      </c>
      <c r="O2764" s="564" t="s">
        <v>2099</v>
      </c>
      <c r="P2764" s="23"/>
      <c r="Q2764" s="23"/>
      <c r="R2764" s="23"/>
      <c r="S2764" s="23"/>
      <c r="T2764" s="23"/>
      <c r="U2764" s="23"/>
      <c r="V2764" s="23"/>
      <c r="W2764" s="23"/>
      <c r="X2764" s="23"/>
      <c r="Y2764" s="23"/>
      <c r="Z2764" s="23"/>
    </row>
    <row r="2765" spans="1:26" ht="13">
      <c r="A2765" s="562" t="s">
        <v>6602</v>
      </c>
      <c r="B2765" s="563" t="s">
        <v>6603</v>
      </c>
      <c r="C2765" s="564" t="s">
        <v>2437</v>
      </c>
      <c r="D2765" s="565">
        <v>42817</v>
      </c>
      <c r="E2765" s="565">
        <v>42823</v>
      </c>
      <c r="F2765" s="566">
        <v>15000000</v>
      </c>
      <c r="G2765" s="564" t="s">
        <v>1529</v>
      </c>
      <c r="H2765" s="564" t="s">
        <v>1529</v>
      </c>
      <c r="I2765" s="564" t="s">
        <v>1417</v>
      </c>
      <c r="J2765" s="564" t="s">
        <v>1069</v>
      </c>
      <c r="K2765" s="564" t="s">
        <v>1070</v>
      </c>
      <c r="L2765" s="564" t="s">
        <v>2098</v>
      </c>
      <c r="M2765" s="564" t="s">
        <v>2098</v>
      </c>
      <c r="N2765" s="564" t="s">
        <v>1082</v>
      </c>
      <c r="O2765" s="564" t="s">
        <v>2099</v>
      </c>
      <c r="P2765" s="23"/>
      <c r="Q2765" s="23"/>
      <c r="R2765" s="23"/>
      <c r="S2765" s="23"/>
      <c r="T2765" s="23"/>
      <c r="U2765" s="23"/>
      <c r="V2765" s="23"/>
      <c r="W2765" s="23"/>
      <c r="X2765" s="23"/>
      <c r="Y2765" s="23"/>
      <c r="Z2765" s="23"/>
    </row>
    <row r="2766" spans="1:26" ht="13">
      <c r="A2766" s="562" t="s">
        <v>6604</v>
      </c>
      <c r="B2766" s="563" t="s">
        <v>5995</v>
      </c>
      <c r="C2766" s="564" t="s">
        <v>1612</v>
      </c>
      <c r="D2766" s="565">
        <v>42817</v>
      </c>
      <c r="E2766" s="565">
        <v>42846</v>
      </c>
      <c r="F2766" s="566">
        <v>2375000</v>
      </c>
      <c r="G2766" s="564" t="s">
        <v>1424</v>
      </c>
      <c r="H2766" s="564" t="s">
        <v>1424</v>
      </c>
      <c r="I2766" s="564" t="s">
        <v>225</v>
      </c>
      <c r="J2766" s="564" t="s">
        <v>1069</v>
      </c>
      <c r="K2766" s="564" t="s">
        <v>1105</v>
      </c>
      <c r="L2766" s="564" t="s">
        <v>2098</v>
      </c>
      <c r="M2766" s="564" t="s">
        <v>2098</v>
      </c>
      <c r="N2766" s="564" t="s">
        <v>225</v>
      </c>
      <c r="O2766" s="564" t="s">
        <v>2099</v>
      </c>
      <c r="P2766" s="23"/>
      <c r="Q2766" s="23"/>
      <c r="R2766" s="23"/>
      <c r="S2766" s="23"/>
      <c r="T2766" s="23"/>
      <c r="U2766" s="23"/>
      <c r="V2766" s="23"/>
      <c r="W2766" s="23"/>
      <c r="X2766" s="23"/>
      <c r="Y2766" s="23"/>
      <c r="Z2766" s="23"/>
    </row>
    <row r="2767" spans="1:26" ht="13">
      <c r="A2767" s="562" t="s">
        <v>6605</v>
      </c>
      <c r="B2767" s="563" t="s">
        <v>5810</v>
      </c>
      <c r="C2767" s="564" t="s">
        <v>1612</v>
      </c>
      <c r="D2767" s="565">
        <v>42817</v>
      </c>
      <c r="E2767" s="565">
        <v>42846</v>
      </c>
      <c r="F2767" s="566">
        <v>6475000</v>
      </c>
      <c r="G2767" s="564" t="s">
        <v>1424</v>
      </c>
      <c r="H2767" s="564" t="s">
        <v>1424</v>
      </c>
      <c r="I2767" s="564" t="s">
        <v>70</v>
      </c>
      <c r="J2767" s="564" t="s">
        <v>1069</v>
      </c>
      <c r="K2767" s="564" t="s">
        <v>1120</v>
      </c>
      <c r="L2767" s="564" t="s">
        <v>2098</v>
      </c>
      <c r="M2767" s="564" t="s">
        <v>2098</v>
      </c>
      <c r="N2767" s="564" t="s">
        <v>70</v>
      </c>
      <c r="O2767" s="564" t="s">
        <v>2099</v>
      </c>
      <c r="P2767" s="23"/>
      <c r="Q2767" s="23"/>
      <c r="R2767" s="23"/>
      <c r="S2767" s="23"/>
      <c r="T2767" s="23"/>
      <c r="U2767" s="23"/>
      <c r="V2767" s="23"/>
      <c r="W2767" s="23"/>
      <c r="X2767" s="23"/>
      <c r="Y2767" s="23"/>
      <c r="Z2767" s="23"/>
    </row>
    <row r="2768" spans="1:26" ht="13">
      <c r="A2768" s="562" t="s">
        <v>6606</v>
      </c>
      <c r="B2768" s="563" t="s">
        <v>6607</v>
      </c>
      <c r="C2768" s="564" t="s">
        <v>1873</v>
      </c>
      <c r="D2768" s="565">
        <v>42817</v>
      </c>
      <c r="E2768" s="565">
        <v>42846</v>
      </c>
      <c r="F2768" s="566">
        <v>2321400</v>
      </c>
      <c r="G2768" s="564" t="s">
        <v>1424</v>
      </c>
      <c r="H2768" s="564" t="s">
        <v>1424</v>
      </c>
      <c r="I2768" s="564" t="s">
        <v>170</v>
      </c>
      <c r="J2768" s="564" t="s">
        <v>1069</v>
      </c>
      <c r="K2768" s="564" t="s">
        <v>1105</v>
      </c>
      <c r="L2768" s="564" t="s">
        <v>2098</v>
      </c>
      <c r="M2768" s="564" t="s">
        <v>2098</v>
      </c>
      <c r="N2768" s="564" t="s">
        <v>170</v>
      </c>
      <c r="O2768" s="564" t="s">
        <v>2099</v>
      </c>
      <c r="P2768" s="23"/>
      <c r="Q2768" s="23"/>
      <c r="R2768" s="23"/>
      <c r="S2768" s="23"/>
      <c r="T2768" s="23"/>
      <c r="U2768" s="23"/>
      <c r="V2768" s="23"/>
      <c r="W2768" s="23"/>
      <c r="X2768" s="23"/>
      <c r="Y2768" s="23"/>
      <c r="Z2768" s="23"/>
    </row>
    <row r="2769" spans="1:26" ht="13">
      <c r="A2769" s="562" t="s">
        <v>6608</v>
      </c>
      <c r="B2769" s="563" t="s">
        <v>6609</v>
      </c>
      <c r="C2769" s="564" t="s">
        <v>1612</v>
      </c>
      <c r="D2769" s="565">
        <v>42817</v>
      </c>
      <c r="E2769" s="565">
        <v>42845</v>
      </c>
      <c r="F2769" s="566">
        <v>1180000</v>
      </c>
      <c r="G2769" s="564" t="s">
        <v>1424</v>
      </c>
      <c r="H2769" s="564" t="s">
        <v>1424</v>
      </c>
      <c r="I2769" s="564" t="s">
        <v>146</v>
      </c>
      <c r="J2769" s="564" t="s">
        <v>1069</v>
      </c>
      <c r="K2769" s="564" t="s">
        <v>1070</v>
      </c>
      <c r="L2769" s="564" t="s">
        <v>2098</v>
      </c>
      <c r="M2769" s="564" t="s">
        <v>2098</v>
      </c>
      <c r="N2769" s="564" t="s">
        <v>1073</v>
      </c>
      <c r="O2769" s="564" t="s">
        <v>2099</v>
      </c>
      <c r="P2769" s="23"/>
      <c r="Q2769" s="23"/>
      <c r="R2769" s="23"/>
      <c r="S2769" s="23"/>
      <c r="T2769" s="23"/>
      <c r="U2769" s="23"/>
      <c r="V2769" s="23"/>
      <c r="W2769" s="23"/>
      <c r="X2769" s="23"/>
      <c r="Y2769" s="23"/>
      <c r="Z2769" s="23"/>
    </row>
    <row r="2770" spans="1:26" ht="13">
      <c r="A2770" s="562" t="s">
        <v>6610</v>
      </c>
      <c r="B2770" s="563" t="s">
        <v>6150</v>
      </c>
      <c r="C2770" s="564" t="s">
        <v>1612</v>
      </c>
      <c r="D2770" s="565">
        <v>42815</v>
      </c>
      <c r="E2770" s="565">
        <v>42814</v>
      </c>
      <c r="F2770" s="566">
        <v>9720000</v>
      </c>
      <c r="G2770" s="564" t="s">
        <v>1424</v>
      </c>
      <c r="H2770" s="564" t="s">
        <v>1424</v>
      </c>
      <c r="I2770" s="564" t="s">
        <v>1837</v>
      </c>
      <c r="J2770" s="564" t="s">
        <v>1069</v>
      </c>
      <c r="K2770" s="564" t="s">
        <v>1070</v>
      </c>
      <c r="L2770" s="564" t="s">
        <v>2098</v>
      </c>
      <c r="M2770" s="564" t="s">
        <v>2098</v>
      </c>
      <c r="N2770" s="564" t="s">
        <v>1082</v>
      </c>
      <c r="O2770" s="564" t="s">
        <v>2099</v>
      </c>
      <c r="P2770" s="23"/>
      <c r="Q2770" s="23"/>
      <c r="R2770" s="23"/>
      <c r="S2770" s="23"/>
      <c r="T2770" s="23"/>
      <c r="U2770" s="23"/>
      <c r="V2770" s="23"/>
      <c r="W2770" s="23"/>
      <c r="X2770" s="23"/>
      <c r="Y2770" s="23"/>
      <c r="Z2770" s="23"/>
    </row>
    <row r="2771" spans="1:26" ht="13">
      <c r="A2771" s="562" t="s">
        <v>6611</v>
      </c>
      <c r="B2771" s="563" t="s">
        <v>6119</v>
      </c>
      <c r="C2771" s="564" t="s">
        <v>1612</v>
      </c>
      <c r="D2771" s="565">
        <v>42814</v>
      </c>
      <c r="E2771" s="565">
        <v>42845</v>
      </c>
      <c r="F2771" s="566">
        <v>2925000</v>
      </c>
      <c r="G2771" s="564" t="s">
        <v>1424</v>
      </c>
      <c r="H2771" s="564" t="s">
        <v>1424</v>
      </c>
      <c r="I2771" s="564" t="s">
        <v>45</v>
      </c>
      <c r="J2771" s="564" t="s">
        <v>1069</v>
      </c>
      <c r="K2771" s="564" t="s">
        <v>1090</v>
      </c>
      <c r="L2771" s="564" t="s">
        <v>2098</v>
      </c>
      <c r="M2771" s="564" t="s">
        <v>2098</v>
      </c>
      <c r="N2771" s="564" t="s">
        <v>45</v>
      </c>
      <c r="O2771" s="564" t="s">
        <v>2099</v>
      </c>
      <c r="P2771" s="23"/>
      <c r="Q2771" s="23"/>
      <c r="R2771" s="23"/>
      <c r="S2771" s="23"/>
      <c r="T2771" s="23"/>
      <c r="U2771" s="23"/>
      <c r="V2771" s="23"/>
      <c r="W2771" s="23"/>
      <c r="X2771" s="23"/>
      <c r="Y2771" s="23"/>
      <c r="Z2771" s="23"/>
    </row>
    <row r="2772" spans="1:26" ht="13">
      <c r="A2772" s="562" t="s">
        <v>6612</v>
      </c>
      <c r="B2772" s="563" t="s">
        <v>6613</v>
      </c>
      <c r="C2772" s="564" t="s">
        <v>1612</v>
      </c>
      <c r="D2772" s="565">
        <v>42809</v>
      </c>
      <c r="E2772" s="565">
        <v>42837</v>
      </c>
      <c r="F2772" s="566">
        <v>209091</v>
      </c>
      <c r="G2772" s="564" t="s">
        <v>1623</v>
      </c>
      <c r="H2772" s="564" t="s">
        <v>1623</v>
      </c>
      <c r="I2772" s="564" t="s">
        <v>802</v>
      </c>
      <c r="J2772" s="564" t="s">
        <v>1069</v>
      </c>
      <c r="K2772" s="564" t="s">
        <v>1198</v>
      </c>
      <c r="L2772" s="564" t="s">
        <v>2098</v>
      </c>
      <c r="M2772" s="564" t="s">
        <v>2098</v>
      </c>
      <c r="N2772" s="564" t="s">
        <v>132</v>
      </c>
      <c r="O2772" s="564" t="s">
        <v>2099</v>
      </c>
      <c r="P2772" s="23"/>
      <c r="Q2772" s="23"/>
      <c r="R2772" s="23"/>
      <c r="S2772" s="23"/>
      <c r="T2772" s="23"/>
      <c r="U2772" s="23"/>
      <c r="V2772" s="23"/>
      <c r="W2772" s="23"/>
      <c r="X2772" s="23"/>
      <c r="Y2772" s="23"/>
      <c r="Z2772" s="23"/>
    </row>
    <row r="2773" spans="1:26" ht="13">
      <c r="A2773" s="562" t="s">
        <v>6614</v>
      </c>
      <c r="B2773" s="563" t="s">
        <v>6615</v>
      </c>
      <c r="C2773" s="564" t="s">
        <v>1612</v>
      </c>
      <c r="D2773" s="565">
        <v>42766</v>
      </c>
      <c r="E2773" s="565">
        <v>43132</v>
      </c>
      <c r="F2773" s="566">
        <v>2741760</v>
      </c>
      <c r="G2773" s="564" t="s">
        <v>1424</v>
      </c>
      <c r="H2773" s="564" t="s">
        <v>1424</v>
      </c>
      <c r="I2773" s="564" t="s">
        <v>45</v>
      </c>
      <c r="J2773" s="564" t="s">
        <v>1069</v>
      </c>
      <c r="K2773" s="564" t="s">
        <v>1090</v>
      </c>
      <c r="L2773" s="564" t="s">
        <v>1071</v>
      </c>
      <c r="M2773" s="564" t="s">
        <v>1183</v>
      </c>
      <c r="N2773" s="564" t="s">
        <v>45</v>
      </c>
      <c r="O2773" s="564" t="s">
        <v>2099</v>
      </c>
      <c r="P2773" s="23"/>
      <c r="Q2773" s="23"/>
      <c r="R2773" s="23"/>
      <c r="S2773" s="23"/>
      <c r="T2773" s="23"/>
      <c r="U2773" s="23"/>
      <c r="V2773" s="23"/>
      <c r="W2773" s="23"/>
      <c r="X2773" s="23"/>
      <c r="Y2773" s="23"/>
      <c r="Z2773" s="23"/>
    </row>
    <row r="2774" spans="1:26" ht="13">
      <c r="A2774" s="562" t="s">
        <v>6616</v>
      </c>
      <c r="B2774" s="563" t="s">
        <v>6617</v>
      </c>
      <c r="C2774" s="564" t="s">
        <v>1612</v>
      </c>
      <c r="D2774" s="565">
        <v>42810</v>
      </c>
      <c r="E2774" s="565">
        <v>42837</v>
      </c>
      <c r="F2774" s="566">
        <v>6654545</v>
      </c>
      <c r="G2774" s="564" t="s">
        <v>1623</v>
      </c>
      <c r="H2774" s="564" t="s">
        <v>1623</v>
      </c>
      <c r="I2774" s="564" t="s">
        <v>802</v>
      </c>
      <c r="J2774" s="564" t="s">
        <v>1069</v>
      </c>
      <c r="K2774" s="564" t="s">
        <v>1198</v>
      </c>
      <c r="L2774" s="564" t="s">
        <v>2098</v>
      </c>
      <c r="M2774" s="564" t="s">
        <v>2098</v>
      </c>
      <c r="N2774" s="564" t="s">
        <v>132</v>
      </c>
      <c r="O2774" s="564" t="s">
        <v>2099</v>
      </c>
      <c r="P2774" s="23"/>
      <c r="Q2774" s="23"/>
      <c r="R2774" s="23"/>
      <c r="S2774" s="23"/>
      <c r="T2774" s="23"/>
      <c r="U2774" s="23"/>
      <c r="V2774" s="23"/>
      <c r="W2774" s="23"/>
      <c r="X2774" s="23"/>
      <c r="Y2774" s="23"/>
      <c r="Z2774" s="23"/>
    </row>
    <row r="2775" spans="1:26" ht="13">
      <c r="A2775" s="562" t="s">
        <v>6618</v>
      </c>
      <c r="B2775" s="563" t="s">
        <v>6619</v>
      </c>
      <c r="C2775" s="564" t="s">
        <v>1612</v>
      </c>
      <c r="D2775" s="565">
        <v>42810</v>
      </c>
      <c r="E2775" s="565">
        <v>42825</v>
      </c>
      <c r="F2775" s="566">
        <v>75000000</v>
      </c>
      <c r="G2775" s="564" t="s">
        <v>5465</v>
      </c>
      <c r="H2775" s="564" t="s">
        <v>5465</v>
      </c>
      <c r="I2775" s="564" t="s">
        <v>45</v>
      </c>
      <c r="J2775" s="564" t="s">
        <v>1069</v>
      </c>
      <c r="K2775" s="564" t="s">
        <v>1090</v>
      </c>
      <c r="L2775" s="564" t="s">
        <v>2098</v>
      </c>
      <c r="M2775" s="564" t="s">
        <v>2098</v>
      </c>
      <c r="N2775" s="564" t="s">
        <v>45</v>
      </c>
      <c r="O2775" s="564" t="s">
        <v>2099</v>
      </c>
      <c r="P2775" s="23"/>
      <c r="Q2775" s="23"/>
      <c r="R2775" s="23"/>
      <c r="S2775" s="23"/>
      <c r="T2775" s="23"/>
      <c r="U2775" s="23"/>
      <c r="V2775" s="23"/>
      <c r="W2775" s="23"/>
      <c r="X2775" s="23"/>
      <c r="Y2775" s="23"/>
      <c r="Z2775" s="23"/>
    </row>
    <row r="2776" spans="1:26" ht="13">
      <c r="A2776" s="562" t="s">
        <v>6620</v>
      </c>
      <c r="B2776" s="563" t="s">
        <v>6621</v>
      </c>
      <c r="C2776" s="564" t="s">
        <v>1612</v>
      </c>
      <c r="D2776" s="565">
        <v>42810</v>
      </c>
      <c r="E2776" s="565">
        <v>42825</v>
      </c>
      <c r="F2776" s="566">
        <v>11500000</v>
      </c>
      <c r="G2776" s="564" t="s">
        <v>5844</v>
      </c>
      <c r="H2776" s="564" t="s">
        <v>5844</v>
      </c>
      <c r="I2776" s="564" t="s">
        <v>45</v>
      </c>
      <c r="J2776" s="564" t="s">
        <v>1069</v>
      </c>
      <c r="K2776" s="564" t="s">
        <v>1090</v>
      </c>
      <c r="L2776" s="564" t="s">
        <v>2098</v>
      </c>
      <c r="M2776" s="564" t="s">
        <v>2098</v>
      </c>
      <c r="N2776" s="564" t="s">
        <v>45</v>
      </c>
      <c r="O2776" s="564" t="s">
        <v>2099</v>
      </c>
      <c r="P2776" s="23"/>
      <c r="Q2776" s="23"/>
      <c r="R2776" s="23"/>
      <c r="S2776" s="23"/>
      <c r="T2776" s="23"/>
      <c r="U2776" s="23"/>
      <c r="V2776" s="23"/>
      <c r="W2776" s="23"/>
      <c r="X2776" s="23"/>
      <c r="Y2776" s="23"/>
      <c r="Z2776" s="23"/>
    </row>
    <row r="2777" spans="1:26" ht="13">
      <c r="A2777" s="562" t="s">
        <v>6622</v>
      </c>
      <c r="B2777" s="563" t="s">
        <v>6623</v>
      </c>
      <c r="C2777" s="564" t="s">
        <v>1612</v>
      </c>
      <c r="D2777" s="565">
        <v>42808</v>
      </c>
      <c r="E2777" s="565">
        <v>42825</v>
      </c>
      <c r="F2777" s="566">
        <v>3600000</v>
      </c>
      <c r="G2777" s="564" t="s">
        <v>5844</v>
      </c>
      <c r="H2777" s="564" t="s">
        <v>5844</v>
      </c>
      <c r="I2777" s="564" t="s">
        <v>45</v>
      </c>
      <c r="J2777" s="564" t="s">
        <v>1069</v>
      </c>
      <c r="K2777" s="564" t="s">
        <v>1090</v>
      </c>
      <c r="L2777" s="564" t="s">
        <v>2098</v>
      </c>
      <c r="M2777" s="564" t="s">
        <v>2098</v>
      </c>
      <c r="N2777" s="564" t="s">
        <v>45</v>
      </c>
      <c r="O2777" s="564" t="s">
        <v>2099</v>
      </c>
      <c r="P2777" s="23"/>
      <c r="Q2777" s="23"/>
      <c r="R2777" s="23"/>
      <c r="S2777" s="23"/>
      <c r="T2777" s="23"/>
      <c r="U2777" s="23"/>
      <c r="V2777" s="23"/>
      <c r="W2777" s="23"/>
      <c r="X2777" s="23"/>
      <c r="Y2777" s="23"/>
      <c r="Z2777" s="23"/>
    </row>
    <row r="2778" spans="1:26" ht="13">
      <c r="A2778" s="562" t="s">
        <v>6624</v>
      </c>
      <c r="B2778" s="563" t="s">
        <v>5718</v>
      </c>
      <c r="C2778" s="564" t="s">
        <v>1612</v>
      </c>
      <c r="D2778" s="565">
        <v>42800</v>
      </c>
      <c r="E2778" s="565">
        <v>42825</v>
      </c>
      <c r="F2778" s="566">
        <v>1180000</v>
      </c>
      <c r="G2778" s="564" t="s">
        <v>1424</v>
      </c>
      <c r="H2778" s="564" t="s">
        <v>1424</v>
      </c>
      <c r="I2778" s="564" t="s">
        <v>45</v>
      </c>
      <c r="J2778" s="564" t="s">
        <v>1069</v>
      </c>
      <c r="K2778" s="564" t="s">
        <v>1090</v>
      </c>
      <c r="L2778" s="564" t="s">
        <v>2098</v>
      </c>
      <c r="M2778" s="564" t="s">
        <v>2098</v>
      </c>
      <c r="N2778" s="564" t="s">
        <v>45</v>
      </c>
      <c r="O2778" s="564" t="s">
        <v>2099</v>
      </c>
      <c r="P2778" s="23"/>
      <c r="Q2778" s="23"/>
      <c r="R2778" s="23"/>
      <c r="S2778" s="23"/>
      <c r="T2778" s="23"/>
      <c r="U2778" s="23"/>
      <c r="V2778" s="23"/>
      <c r="W2778" s="23"/>
      <c r="X2778" s="23"/>
      <c r="Y2778" s="23"/>
      <c r="Z2778" s="23"/>
    </row>
    <row r="2779" spans="1:26" ht="13">
      <c r="A2779" s="562" t="s">
        <v>6625</v>
      </c>
      <c r="B2779" s="563" t="s">
        <v>6626</v>
      </c>
      <c r="C2779" s="564" t="s">
        <v>1612</v>
      </c>
      <c r="D2779" s="565">
        <v>42800</v>
      </c>
      <c r="E2779" s="565">
        <v>42825</v>
      </c>
      <c r="F2779" s="566">
        <v>2360000</v>
      </c>
      <c r="G2779" s="564" t="s">
        <v>1424</v>
      </c>
      <c r="H2779" s="564" t="s">
        <v>1424</v>
      </c>
      <c r="I2779" s="564" t="s">
        <v>45</v>
      </c>
      <c r="J2779" s="564" t="s">
        <v>1069</v>
      </c>
      <c r="K2779" s="564" t="s">
        <v>1090</v>
      </c>
      <c r="L2779" s="564" t="s">
        <v>2098</v>
      </c>
      <c r="M2779" s="564" t="s">
        <v>2098</v>
      </c>
      <c r="N2779" s="564" t="s">
        <v>45</v>
      </c>
      <c r="O2779" s="564" t="s">
        <v>2099</v>
      </c>
      <c r="P2779" s="23"/>
      <c r="Q2779" s="23"/>
      <c r="R2779" s="23"/>
      <c r="S2779" s="23"/>
      <c r="T2779" s="23"/>
      <c r="U2779" s="23"/>
      <c r="V2779" s="23"/>
      <c r="W2779" s="23"/>
      <c r="X2779" s="23"/>
      <c r="Y2779" s="23"/>
      <c r="Z2779" s="23"/>
    </row>
    <row r="2780" spans="1:26" ht="13">
      <c r="A2780" s="562" t="s">
        <v>6627</v>
      </c>
      <c r="B2780" s="563" t="s">
        <v>6628</v>
      </c>
      <c r="C2780" s="564" t="s">
        <v>1612</v>
      </c>
      <c r="D2780" s="565">
        <v>42800</v>
      </c>
      <c r="E2780" s="565">
        <v>42825</v>
      </c>
      <c r="F2780" s="566">
        <v>12233000</v>
      </c>
      <c r="G2780" s="564" t="s">
        <v>1424</v>
      </c>
      <c r="H2780" s="564" t="s">
        <v>1424</v>
      </c>
      <c r="I2780" s="564" t="s">
        <v>45</v>
      </c>
      <c r="J2780" s="564" t="s">
        <v>1069</v>
      </c>
      <c r="K2780" s="564" t="s">
        <v>1090</v>
      </c>
      <c r="L2780" s="564" t="s">
        <v>2098</v>
      </c>
      <c r="M2780" s="564" t="s">
        <v>2098</v>
      </c>
      <c r="N2780" s="564" t="s">
        <v>45</v>
      </c>
      <c r="O2780" s="564" t="s">
        <v>2099</v>
      </c>
      <c r="P2780" s="23"/>
      <c r="Q2780" s="23"/>
      <c r="R2780" s="23"/>
      <c r="S2780" s="23"/>
      <c r="T2780" s="23"/>
      <c r="U2780" s="23"/>
      <c r="V2780" s="23"/>
      <c r="W2780" s="23"/>
      <c r="X2780" s="23"/>
      <c r="Y2780" s="23"/>
      <c r="Z2780" s="23"/>
    </row>
    <row r="2781" spans="1:26" ht="13">
      <c r="A2781" s="562" t="s">
        <v>6629</v>
      </c>
      <c r="B2781" s="563" t="s">
        <v>6630</v>
      </c>
      <c r="C2781" s="564" t="s">
        <v>1612</v>
      </c>
      <c r="D2781" s="565">
        <v>42802</v>
      </c>
      <c r="E2781" s="565">
        <v>42825</v>
      </c>
      <c r="F2781" s="566">
        <v>278548000</v>
      </c>
      <c r="G2781" s="564" t="s">
        <v>5465</v>
      </c>
      <c r="H2781" s="564" t="s">
        <v>5465</v>
      </c>
      <c r="I2781" s="564" t="s">
        <v>45</v>
      </c>
      <c r="J2781" s="564" t="s">
        <v>1069</v>
      </c>
      <c r="K2781" s="564" t="s">
        <v>1090</v>
      </c>
      <c r="L2781" s="564" t="s">
        <v>2098</v>
      </c>
      <c r="M2781" s="564" t="s">
        <v>2098</v>
      </c>
      <c r="N2781" s="564" t="s">
        <v>45</v>
      </c>
      <c r="O2781" s="564" t="s">
        <v>2099</v>
      </c>
      <c r="P2781" s="23"/>
      <c r="Q2781" s="23"/>
      <c r="R2781" s="23"/>
      <c r="S2781" s="23"/>
      <c r="T2781" s="23"/>
      <c r="U2781" s="23"/>
      <c r="V2781" s="23"/>
      <c r="W2781" s="23"/>
      <c r="X2781" s="23"/>
      <c r="Y2781" s="23"/>
      <c r="Z2781" s="23"/>
    </row>
    <row r="2782" spans="1:26" ht="13">
      <c r="A2782" s="562" t="s">
        <v>6631</v>
      </c>
      <c r="B2782" s="563" t="s">
        <v>6632</v>
      </c>
      <c r="C2782" s="564" t="s">
        <v>1612</v>
      </c>
      <c r="D2782" s="565">
        <v>42800</v>
      </c>
      <c r="E2782" s="565">
        <v>42825</v>
      </c>
      <c r="F2782" s="566">
        <v>41820000</v>
      </c>
      <c r="G2782" s="564" t="s">
        <v>1424</v>
      </c>
      <c r="H2782" s="564" t="s">
        <v>1424</v>
      </c>
      <c r="I2782" s="564" t="s">
        <v>45</v>
      </c>
      <c r="J2782" s="564" t="s">
        <v>1069</v>
      </c>
      <c r="K2782" s="564" t="s">
        <v>1090</v>
      </c>
      <c r="L2782" s="564" t="s">
        <v>2098</v>
      </c>
      <c r="M2782" s="564" t="s">
        <v>2098</v>
      </c>
      <c r="N2782" s="564" t="s">
        <v>45</v>
      </c>
      <c r="O2782" s="564" t="s">
        <v>2099</v>
      </c>
      <c r="P2782" s="23"/>
      <c r="Q2782" s="23"/>
      <c r="R2782" s="23"/>
      <c r="S2782" s="23"/>
      <c r="T2782" s="23"/>
      <c r="U2782" s="23"/>
      <c r="V2782" s="23"/>
      <c r="W2782" s="23"/>
      <c r="X2782" s="23"/>
      <c r="Y2782" s="23"/>
      <c r="Z2782" s="23"/>
    </row>
    <row r="2783" spans="1:26" ht="13">
      <c r="A2783" s="562" t="s">
        <v>6633</v>
      </c>
      <c r="B2783" s="563" t="s">
        <v>6634</v>
      </c>
      <c r="C2783" s="564" t="s">
        <v>2437</v>
      </c>
      <c r="D2783" s="565">
        <v>42796</v>
      </c>
      <c r="E2783" s="565">
        <v>43008</v>
      </c>
      <c r="F2783" s="566">
        <v>182778000</v>
      </c>
      <c r="G2783" s="564" t="s">
        <v>1187</v>
      </c>
      <c r="H2783" s="564" t="s">
        <v>1187</v>
      </c>
      <c r="I2783" s="564" t="s">
        <v>4547</v>
      </c>
      <c r="J2783" s="564" t="s">
        <v>1069</v>
      </c>
      <c r="K2783" s="564" t="s">
        <v>1070</v>
      </c>
      <c r="L2783" s="564" t="s">
        <v>2098</v>
      </c>
      <c r="M2783" s="564" t="s">
        <v>2098</v>
      </c>
      <c r="N2783" s="564" t="s">
        <v>1082</v>
      </c>
      <c r="O2783" s="564" t="s">
        <v>2099</v>
      </c>
      <c r="P2783" s="23"/>
      <c r="Q2783" s="23"/>
      <c r="R2783" s="23"/>
      <c r="S2783" s="23"/>
      <c r="T2783" s="23"/>
      <c r="U2783" s="23"/>
      <c r="V2783" s="23"/>
      <c r="W2783" s="23"/>
      <c r="X2783" s="23"/>
      <c r="Y2783" s="23"/>
      <c r="Z2783" s="23"/>
    </row>
    <row r="2784" spans="1:26" ht="13">
      <c r="A2784" s="562" t="s">
        <v>6635</v>
      </c>
      <c r="B2784" s="563" t="s">
        <v>6636</v>
      </c>
      <c r="C2784" s="564" t="s">
        <v>1612</v>
      </c>
      <c r="D2784" s="565">
        <v>42800</v>
      </c>
      <c r="E2784" s="565">
        <v>42825</v>
      </c>
      <c r="F2784" s="566">
        <v>19600000</v>
      </c>
      <c r="G2784" s="564" t="s">
        <v>1623</v>
      </c>
      <c r="H2784" s="564" t="s">
        <v>1623</v>
      </c>
      <c r="I2784" s="564" t="s">
        <v>802</v>
      </c>
      <c r="J2784" s="564" t="s">
        <v>1069</v>
      </c>
      <c r="K2784" s="564" t="s">
        <v>1198</v>
      </c>
      <c r="L2784" s="564" t="s">
        <v>2098</v>
      </c>
      <c r="M2784" s="564" t="s">
        <v>2098</v>
      </c>
      <c r="N2784" s="564" t="s">
        <v>132</v>
      </c>
      <c r="O2784" s="564" t="s">
        <v>2099</v>
      </c>
      <c r="P2784" s="23"/>
      <c r="Q2784" s="23"/>
      <c r="R2784" s="23"/>
      <c r="S2784" s="23"/>
      <c r="T2784" s="23"/>
      <c r="U2784" s="23"/>
      <c r="V2784" s="23"/>
      <c r="W2784" s="23"/>
      <c r="X2784" s="23"/>
      <c r="Y2784" s="23"/>
      <c r="Z2784" s="23"/>
    </row>
    <row r="2785" spans="1:26" ht="13">
      <c r="A2785" s="562" t="s">
        <v>6637</v>
      </c>
      <c r="B2785" s="563" t="s">
        <v>6017</v>
      </c>
      <c r="C2785" s="564" t="s">
        <v>1612</v>
      </c>
      <c r="D2785" s="565">
        <v>42797</v>
      </c>
      <c r="E2785" s="565">
        <v>42825</v>
      </c>
      <c r="F2785" s="566">
        <v>6428000</v>
      </c>
      <c r="G2785" s="564" t="s">
        <v>5465</v>
      </c>
      <c r="H2785" s="564" t="s">
        <v>5465</v>
      </c>
      <c r="I2785" s="564" t="s">
        <v>45</v>
      </c>
      <c r="J2785" s="564" t="s">
        <v>1069</v>
      </c>
      <c r="K2785" s="564" t="s">
        <v>1090</v>
      </c>
      <c r="L2785" s="564" t="s">
        <v>2098</v>
      </c>
      <c r="M2785" s="564" t="s">
        <v>2098</v>
      </c>
      <c r="N2785" s="564" t="s">
        <v>45</v>
      </c>
      <c r="O2785" s="564" t="s">
        <v>2099</v>
      </c>
      <c r="P2785" s="23"/>
      <c r="Q2785" s="23"/>
      <c r="R2785" s="23"/>
      <c r="S2785" s="23"/>
      <c r="T2785" s="23"/>
      <c r="U2785" s="23"/>
      <c r="V2785" s="23"/>
      <c r="W2785" s="23"/>
      <c r="X2785" s="23"/>
      <c r="Y2785" s="23"/>
      <c r="Z2785" s="23"/>
    </row>
    <row r="2786" spans="1:26" ht="13">
      <c r="A2786" s="562" t="s">
        <v>6638</v>
      </c>
      <c r="B2786" s="563" t="s">
        <v>6639</v>
      </c>
      <c r="C2786" s="564" t="s">
        <v>1612</v>
      </c>
      <c r="D2786" s="565">
        <v>42788</v>
      </c>
      <c r="E2786" s="565">
        <v>42816</v>
      </c>
      <c r="F2786" s="566">
        <v>43860000</v>
      </c>
      <c r="G2786" s="564" t="s">
        <v>1424</v>
      </c>
      <c r="H2786" s="564" t="s">
        <v>1424</v>
      </c>
      <c r="I2786" s="564" t="s">
        <v>45</v>
      </c>
      <c r="J2786" s="564" t="s">
        <v>1069</v>
      </c>
      <c r="K2786" s="564" t="s">
        <v>1090</v>
      </c>
      <c r="L2786" s="564" t="s">
        <v>2098</v>
      </c>
      <c r="M2786" s="564" t="s">
        <v>2098</v>
      </c>
      <c r="N2786" s="564" t="s">
        <v>45</v>
      </c>
      <c r="O2786" s="564" t="s">
        <v>2099</v>
      </c>
      <c r="P2786" s="23"/>
      <c r="Q2786" s="23"/>
      <c r="R2786" s="23"/>
      <c r="S2786" s="23"/>
      <c r="T2786" s="23"/>
      <c r="U2786" s="23"/>
      <c r="V2786" s="23"/>
      <c r="W2786" s="23"/>
      <c r="X2786" s="23"/>
      <c r="Y2786" s="23"/>
      <c r="Z2786" s="23"/>
    </row>
    <row r="2787" spans="1:26" ht="13">
      <c r="A2787" s="562" t="s">
        <v>6640</v>
      </c>
      <c r="B2787" s="563" t="s">
        <v>6641</v>
      </c>
      <c r="C2787" s="564" t="s">
        <v>1612</v>
      </c>
      <c r="D2787" s="565">
        <v>42788</v>
      </c>
      <c r="E2787" s="565">
        <v>42816</v>
      </c>
      <c r="F2787" s="566">
        <v>2250000</v>
      </c>
      <c r="G2787" s="564" t="s">
        <v>1424</v>
      </c>
      <c r="H2787" s="564" t="s">
        <v>1424</v>
      </c>
      <c r="I2787" s="564" t="s">
        <v>64</v>
      </c>
      <c r="J2787" s="564" t="s">
        <v>1069</v>
      </c>
      <c r="K2787" s="564" t="s">
        <v>1090</v>
      </c>
      <c r="L2787" s="564" t="s">
        <v>2098</v>
      </c>
      <c r="M2787" s="564" t="s">
        <v>2098</v>
      </c>
      <c r="N2787" s="564" t="s">
        <v>64</v>
      </c>
      <c r="O2787" s="564" t="s">
        <v>2099</v>
      </c>
      <c r="P2787" s="23"/>
      <c r="Q2787" s="23"/>
      <c r="R2787" s="23"/>
      <c r="S2787" s="23"/>
      <c r="T2787" s="23"/>
      <c r="U2787" s="23"/>
      <c r="V2787" s="23"/>
      <c r="W2787" s="23"/>
      <c r="X2787" s="23"/>
      <c r="Y2787" s="23"/>
      <c r="Z2787" s="23"/>
    </row>
    <row r="2788" spans="1:26" ht="13">
      <c r="A2788" s="562" t="s">
        <v>6642</v>
      </c>
      <c r="B2788" s="563" t="s">
        <v>5810</v>
      </c>
      <c r="C2788" s="564" t="s">
        <v>1612</v>
      </c>
      <c r="D2788" s="565">
        <v>42788</v>
      </c>
      <c r="E2788" s="565">
        <v>42815</v>
      </c>
      <c r="F2788" s="566">
        <v>883000</v>
      </c>
      <c r="G2788" s="564" t="s">
        <v>1424</v>
      </c>
      <c r="H2788" s="564" t="s">
        <v>1424</v>
      </c>
      <c r="I2788" s="564" t="s">
        <v>70</v>
      </c>
      <c r="J2788" s="564" t="s">
        <v>1069</v>
      </c>
      <c r="K2788" s="564" t="s">
        <v>1120</v>
      </c>
      <c r="L2788" s="564" t="s">
        <v>2098</v>
      </c>
      <c r="M2788" s="564" t="s">
        <v>2098</v>
      </c>
      <c r="N2788" s="564" t="s">
        <v>70</v>
      </c>
      <c r="O2788" s="564" t="s">
        <v>2099</v>
      </c>
      <c r="P2788" s="23"/>
      <c r="Q2788" s="23"/>
      <c r="R2788" s="23"/>
      <c r="S2788" s="23"/>
      <c r="T2788" s="23"/>
      <c r="U2788" s="23"/>
      <c r="V2788" s="23"/>
      <c r="W2788" s="23"/>
      <c r="X2788" s="23"/>
      <c r="Y2788" s="23"/>
      <c r="Z2788" s="23"/>
    </row>
    <row r="2789" spans="1:26" ht="13">
      <c r="A2789" s="562" t="s">
        <v>6643</v>
      </c>
      <c r="B2789" s="563" t="s">
        <v>5810</v>
      </c>
      <c r="C2789" s="564" t="s">
        <v>1612</v>
      </c>
      <c r="D2789" s="565">
        <v>42782</v>
      </c>
      <c r="E2789" s="565">
        <v>42811</v>
      </c>
      <c r="F2789" s="566">
        <v>5996000</v>
      </c>
      <c r="G2789" s="564" t="s">
        <v>1424</v>
      </c>
      <c r="H2789" s="564" t="s">
        <v>1424</v>
      </c>
      <c r="I2789" s="564" t="s">
        <v>70</v>
      </c>
      <c r="J2789" s="564" t="s">
        <v>1069</v>
      </c>
      <c r="K2789" s="564" t="s">
        <v>1120</v>
      </c>
      <c r="L2789" s="564" t="s">
        <v>2098</v>
      </c>
      <c r="M2789" s="564" t="s">
        <v>2098</v>
      </c>
      <c r="N2789" s="564" t="s">
        <v>70</v>
      </c>
      <c r="O2789" s="564" t="s">
        <v>2099</v>
      </c>
      <c r="P2789" s="23"/>
      <c r="Q2789" s="23"/>
      <c r="R2789" s="23"/>
      <c r="S2789" s="23"/>
      <c r="T2789" s="23"/>
      <c r="U2789" s="23"/>
      <c r="V2789" s="23"/>
      <c r="W2789" s="23"/>
      <c r="X2789" s="23"/>
      <c r="Y2789" s="23"/>
      <c r="Z2789" s="23"/>
    </row>
    <row r="2790" spans="1:26" ht="13">
      <c r="A2790" s="562" t="s">
        <v>6644</v>
      </c>
      <c r="B2790" s="563" t="s">
        <v>6645</v>
      </c>
      <c r="C2790" s="564" t="s">
        <v>1612</v>
      </c>
      <c r="D2790" s="565">
        <v>42788</v>
      </c>
      <c r="E2790" s="565">
        <v>42807</v>
      </c>
      <c r="F2790" s="566">
        <v>6204545</v>
      </c>
      <c r="G2790" s="564" t="s">
        <v>1623</v>
      </c>
      <c r="H2790" s="564" t="s">
        <v>1623</v>
      </c>
      <c r="I2790" s="564" t="s">
        <v>802</v>
      </c>
      <c r="J2790" s="564" t="s">
        <v>1069</v>
      </c>
      <c r="K2790" s="564" t="s">
        <v>1198</v>
      </c>
      <c r="L2790" s="564" t="s">
        <v>2098</v>
      </c>
      <c r="M2790" s="564" t="s">
        <v>2098</v>
      </c>
      <c r="N2790" s="564" t="s">
        <v>132</v>
      </c>
      <c r="O2790" s="564" t="s">
        <v>2099</v>
      </c>
      <c r="P2790" s="23"/>
      <c r="Q2790" s="23"/>
      <c r="R2790" s="23"/>
      <c r="S2790" s="23"/>
      <c r="T2790" s="23"/>
      <c r="U2790" s="23"/>
      <c r="V2790" s="23"/>
      <c r="W2790" s="23"/>
      <c r="X2790" s="23"/>
      <c r="Y2790" s="23"/>
      <c r="Z2790" s="23"/>
    </row>
    <row r="2791" spans="1:26" ht="13">
      <c r="A2791" s="562" t="s">
        <v>6646</v>
      </c>
      <c r="B2791" s="563" t="s">
        <v>6647</v>
      </c>
      <c r="C2791" s="564" t="s">
        <v>1612</v>
      </c>
      <c r="D2791" s="565">
        <v>42787</v>
      </c>
      <c r="E2791" s="565">
        <v>42797</v>
      </c>
      <c r="F2791" s="566">
        <v>1000000</v>
      </c>
      <c r="G2791" s="564" t="s">
        <v>1623</v>
      </c>
      <c r="H2791" s="564" t="s">
        <v>1623</v>
      </c>
      <c r="I2791" s="564" t="s">
        <v>802</v>
      </c>
      <c r="J2791" s="564" t="s">
        <v>1069</v>
      </c>
      <c r="K2791" s="564" t="s">
        <v>1198</v>
      </c>
      <c r="L2791" s="564" t="s">
        <v>2098</v>
      </c>
      <c r="M2791" s="564" t="s">
        <v>2098</v>
      </c>
      <c r="N2791" s="564" t="s">
        <v>132</v>
      </c>
      <c r="O2791" s="564" t="s">
        <v>2099</v>
      </c>
      <c r="P2791" s="23"/>
      <c r="Q2791" s="23"/>
      <c r="R2791" s="23"/>
      <c r="S2791" s="23"/>
      <c r="T2791" s="23"/>
      <c r="U2791" s="23"/>
      <c r="V2791" s="23"/>
      <c r="W2791" s="23"/>
      <c r="X2791" s="23"/>
      <c r="Y2791" s="23"/>
      <c r="Z2791" s="23"/>
    </row>
    <row r="2792" spans="1:26" ht="13">
      <c r="A2792" s="562" t="s">
        <v>6648</v>
      </c>
      <c r="B2792" s="563" t="s">
        <v>6649</v>
      </c>
      <c r="C2792" s="564" t="s">
        <v>1612</v>
      </c>
      <c r="D2792" s="565">
        <v>42782</v>
      </c>
      <c r="E2792" s="565">
        <v>42807</v>
      </c>
      <c r="F2792" s="566">
        <v>2720000</v>
      </c>
      <c r="G2792" s="564" t="s">
        <v>1424</v>
      </c>
      <c r="H2792" s="564" t="s">
        <v>1424</v>
      </c>
      <c r="I2792" s="564" t="s">
        <v>70</v>
      </c>
      <c r="J2792" s="564" t="s">
        <v>1069</v>
      </c>
      <c r="K2792" s="564" t="s">
        <v>1120</v>
      </c>
      <c r="L2792" s="564" t="s">
        <v>2098</v>
      </c>
      <c r="M2792" s="564" t="s">
        <v>2098</v>
      </c>
      <c r="N2792" s="564" t="s">
        <v>70</v>
      </c>
      <c r="O2792" s="564" t="s">
        <v>2099</v>
      </c>
      <c r="P2792" s="23"/>
      <c r="Q2792" s="23"/>
      <c r="R2792" s="23"/>
      <c r="S2792" s="23"/>
      <c r="T2792" s="23"/>
      <c r="U2792" s="23"/>
      <c r="V2792" s="23"/>
      <c r="W2792" s="23"/>
      <c r="X2792" s="23"/>
      <c r="Y2792" s="23"/>
      <c r="Z2792" s="23"/>
    </row>
    <row r="2793" spans="1:26" ht="13">
      <c r="A2793" s="562" t="s">
        <v>6650</v>
      </c>
      <c r="B2793" s="563" t="s">
        <v>6651</v>
      </c>
      <c r="C2793" s="564" t="s">
        <v>1612</v>
      </c>
      <c r="D2793" s="565">
        <v>42780</v>
      </c>
      <c r="E2793" s="565">
        <v>42794</v>
      </c>
      <c r="F2793" s="566">
        <v>1577000</v>
      </c>
      <c r="G2793" s="564" t="s">
        <v>1636</v>
      </c>
      <c r="H2793" s="564" t="s">
        <v>1636</v>
      </c>
      <c r="I2793" s="564" t="s">
        <v>1637</v>
      </c>
      <c r="J2793" s="564" t="s">
        <v>1069</v>
      </c>
      <c r="K2793" s="564" t="s">
        <v>1120</v>
      </c>
      <c r="L2793" s="564" t="s">
        <v>2098</v>
      </c>
      <c r="M2793" s="564" t="s">
        <v>2098</v>
      </c>
      <c r="N2793" s="564" t="s">
        <v>1073</v>
      </c>
      <c r="O2793" s="564" t="s">
        <v>2099</v>
      </c>
      <c r="P2793" s="23"/>
      <c r="Q2793" s="23"/>
      <c r="R2793" s="23"/>
      <c r="S2793" s="23"/>
      <c r="T2793" s="23"/>
      <c r="U2793" s="23"/>
      <c r="V2793" s="23"/>
      <c r="W2793" s="23"/>
      <c r="X2793" s="23"/>
      <c r="Y2793" s="23"/>
      <c r="Z2793" s="23"/>
    </row>
    <row r="2794" spans="1:26" ht="13">
      <c r="A2794" s="562" t="s">
        <v>6652</v>
      </c>
      <c r="B2794" s="563" t="s">
        <v>6653</v>
      </c>
      <c r="C2794" s="564" t="s">
        <v>1612</v>
      </c>
      <c r="D2794" s="565">
        <v>42779</v>
      </c>
      <c r="E2794" s="565">
        <v>42794</v>
      </c>
      <c r="F2794" s="566">
        <v>43400000</v>
      </c>
      <c r="G2794" s="564" t="s">
        <v>5844</v>
      </c>
      <c r="H2794" s="564" t="s">
        <v>5844</v>
      </c>
      <c r="I2794" s="564" t="s">
        <v>45</v>
      </c>
      <c r="J2794" s="564" t="s">
        <v>1069</v>
      </c>
      <c r="K2794" s="564" t="s">
        <v>1090</v>
      </c>
      <c r="L2794" s="564" t="s">
        <v>2098</v>
      </c>
      <c r="M2794" s="564" t="s">
        <v>2098</v>
      </c>
      <c r="N2794" s="564" t="s">
        <v>45</v>
      </c>
      <c r="O2794" s="564" t="s">
        <v>2099</v>
      </c>
      <c r="P2794" s="23"/>
      <c r="Q2794" s="23"/>
      <c r="R2794" s="23"/>
      <c r="S2794" s="23"/>
      <c r="T2794" s="23"/>
      <c r="U2794" s="23"/>
      <c r="V2794" s="23"/>
      <c r="W2794" s="23"/>
      <c r="X2794" s="23"/>
      <c r="Y2794" s="23"/>
      <c r="Z2794" s="23"/>
    </row>
    <row r="2795" spans="1:26" ht="13">
      <c r="A2795" s="562" t="s">
        <v>6654</v>
      </c>
      <c r="B2795" s="563" t="s">
        <v>5974</v>
      </c>
      <c r="C2795" s="564" t="s">
        <v>1612</v>
      </c>
      <c r="D2795" s="565">
        <v>42775</v>
      </c>
      <c r="E2795" s="565">
        <v>42803</v>
      </c>
      <c r="F2795" s="566">
        <v>1980000</v>
      </c>
      <c r="G2795" s="564" t="s">
        <v>1424</v>
      </c>
      <c r="H2795" s="564" t="s">
        <v>1424</v>
      </c>
      <c r="I2795" s="564" t="s">
        <v>45</v>
      </c>
      <c r="J2795" s="564" t="s">
        <v>1069</v>
      </c>
      <c r="K2795" s="564" t="s">
        <v>1090</v>
      </c>
      <c r="L2795" s="564" t="s">
        <v>2098</v>
      </c>
      <c r="M2795" s="564" t="s">
        <v>2098</v>
      </c>
      <c r="N2795" s="564" t="s">
        <v>45</v>
      </c>
      <c r="O2795" s="564" t="s">
        <v>2099</v>
      </c>
      <c r="P2795" s="23"/>
      <c r="Q2795" s="23"/>
      <c r="R2795" s="23"/>
      <c r="S2795" s="23"/>
      <c r="T2795" s="23"/>
      <c r="U2795" s="23"/>
      <c r="V2795" s="23"/>
      <c r="W2795" s="23"/>
      <c r="X2795" s="23"/>
      <c r="Y2795" s="23"/>
      <c r="Z2795" s="23"/>
    </row>
    <row r="2796" spans="1:26" ht="13">
      <c r="A2796" s="562" t="s">
        <v>6655</v>
      </c>
      <c r="B2796" s="563" t="s">
        <v>5696</v>
      </c>
      <c r="C2796" s="564" t="s">
        <v>1612</v>
      </c>
      <c r="D2796" s="565">
        <v>42775</v>
      </c>
      <c r="E2796" s="565">
        <v>42803</v>
      </c>
      <c r="F2796" s="566">
        <v>1430000</v>
      </c>
      <c r="G2796" s="564" t="s">
        <v>1424</v>
      </c>
      <c r="H2796" s="564" t="s">
        <v>1424</v>
      </c>
      <c r="I2796" s="564" t="s">
        <v>45</v>
      </c>
      <c r="J2796" s="564" t="s">
        <v>1069</v>
      </c>
      <c r="K2796" s="564" t="s">
        <v>1090</v>
      </c>
      <c r="L2796" s="564" t="s">
        <v>2098</v>
      </c>
      <c r="M2796" s="564" t="s">
        <v>2098</v>
      </c>
      <c r="N2796" s="564" t="s">
        <v>45</v>
      </c>
      <c r="O2796" s="564" t="s">
        <v>2099</v>
      </c>
      <c r="P2796" s="23"/>
      <c r="Q2796" s="23"/>
      <c r="R2796" s="23"/>
      <c r="S2796" s="23"/>
      <c r="T2796" s="23"/>
      <c r="U2796" s="23"/>
      <c r="V2796" s="23"/>
      <c r="W2796" s="23"/>
      <c r="X2796" s="23"/>
      <c r="Y2796" s="23"/>
      <c r="Z2796" s="23"/>
    </row>
    <row r="2797" spans="1:26" ht="13">
      <c r="A2797" s="562" t="s">
        <v>6656</v>
      </c>
      <c r="B2797" s="563" t="s">
        <v>5718</v>
      </c>
      <c r="C2797" s="564" t="s">
        <v>1612</v>
      </c>
      <c r="D2797" s="565">
        <v>42775</v>
      </c>
      <c r="E2797" s="565">
        <v>42803</v>
      </c>
      <c r="F2797" s="566">
        <v>1180000</v>
      </c>
      <c r="G2797" s="564" t="s">
        <v>1424</v>
      </c>
      <c r="H2797" s="564" t="s">
        <v>1424</v>
      </c>
      <c r="I2797" s="564" t="s">
        <v>45</v>
      </c>
      <c r="J2797" s="564" t="s">
        <v>1069</v>
      </c>
      <c r="K2797" s="564" t="s">
        <v>1090</v>
      </c>
      <c r="L2797" s="564" t="s">
        <v>2098</v>
      </c>
      <c r="M2797" s="564" t="s">
        <v>2098</v>
      </c>
      <c r="N2797" s="564" t="s">
        <v>45</v>
      </c>
      <c r="O2797" s="564" t="s">
        <v>2099</v>
      </c>
      <c r="P2797" s="23"/>
      <c r="Q2797" s="23"/>
      <c r="R2797" s="23"/>
      <c r="S2797" s="23"/>
      <c r="T2797" s="23"/>
      <c r="U2797" s="23"/>
      <c r="V2797" s="23"/>
      <c r="W2797" s="23"/>
      <c r="X2797" s="23"/>
      <c r="Y2797" s="23"/>
      <c r="Z2797" s="23"/>
    </row>
    <row r="2798" spans="1:26" ht="13">
      <c r="A2798" s="562" t="s">
        <v>6657</v>
      </c>
      <c r="B2798" s="563" t="s">
        <v>5810</v>
      </c>
      <c r="C2798" s="564" t="s">
        <v>1612</v>
      </c>
      <c r="D2798" s="565">
        <v>42776</v>
      </c>
      <c r="E2798" s="565">
        <v>42801</v>
      </c>
      <c r="F2798" s="566">
        <v>8977000</v>
      </c>
      <c r="G2798" s="564" t="s">
        <v>1424</v>
      </c>
      <c r="H2798" s="564" t="s">
        <v>1424</v>
      </c>
      <c r="I2798" s="564" t="s">
        <v>70</v>
      </c>
      <c r="J2798" s="564" t="s">
        <v>1069</v>
      </c>
      <c r="K2798" s="564" t="s">
        <v>1120</v>
      </c>
      <c r="L2798" s="564" t="s">
        <v>2098</v>
      </c>
      <c r="M2798" s="564" t="s">
        <v>2098</v>
      </c>
      <c r="N2798" s="564" t="s">
        <v>70</v>
      </c>
      <c r="O2798" s="564" t="s">
        <v>2099</v>
      </c>
      <c r="P2798" s="23"/>
      <c r="Q2798" s="23"/>
      <c r="R2798" s="23"/>
      <c r="S2798" s="23"/>
      <c r="T2798" s="23"/>
      <c r="U2798" s="23"/>
      <c r="V2798" s="23"/>
      <c r="W2798" s="23"/>
      <c r="X2798" s="23"/>
      <c r="Y2798" s="23"/>
      <c r="Z2798" s="23"/>
    </row>
    <row r="2799" spans="1:26" ht="13">
      <c r="A2799" s="562" t="s">
        <v>6658</v>
      </c>
      <c r="B2799" s="563" t="s">
        <v>6659</v>
      </c>
      <c r="C2799" s="564" t="s">
        <v>2437</v>
      </c>
      <c r="D2799" s="565">
        <v>42772</v>
      </c>
      <c r="E2799" s="565">
        <v>43008</v>
      </c>
      <c r="F2799" s="566">
        <v>270000000</v>
      </c>
      <c r="G2799" s="564" t="s">
        <v>1123</v>
      </c>
      <c r="H2799" s="564" t="s">
        <v>1123</v>
      </c>
      <c r="I2799" s="564" t="s">
        <v>6258</v>
      </c>
      <c r="J2799" s="564" t="s">
        <v>1069</v>
      </c>
      <c r="K2799" s="564" t="s">
        <v>1205</v>
      </c>
      <c r="L2799" s="564" t="s">
        <v>2098</v>
      </c>
      <c r="M2799" s="564" t="s">
        <v>2098</v>
      </c>
      <c r="N2799" s="564" t="s">
        <v>1082</v>
      </c>
      <c r="O2799" s="564" t="s">
        <v>2099</v>
      </c>
      <c r="P2799" s="23"/>
      <c r="Q2799" s="23"/>
      <c r="R2799" s="23"/>
      <c r="S2799" s="23"/>
      <c r="T2799" s="23"/>
      <c r="U2799" s="23"/>
      <c r="V2799" s="23"/>
      <c r="W2799" s="23"/>
      <c r="X2799" s="23"/>
      <c r="Y2799" s="23"/>
      <c r="Z2799" s="23"/>
    </row>
    <row r="2800" spans="1:26" ht="13">
      <c r="A2800" s="562" t="s">
        <v>6660</v>
      </c>
      <c r="B2800" s="563" t="s">
        <v>6661</v>
      </c>
      <c r="C2800" s="564" t="s">
        <v>1612</v>
      </c>
      <c r="D2800" s="565">
        <v>42772</v>
      </c>
      <c r="E2800" s="565">
        <v>42794</v>
      </c>
      <c r="F2800" s="566">
        <v>91679370</v>
      </c>
      <c r="G2800" s="564" t="s">
        <v>1424</v>
      </c>
      <c r="H2800" s="564" t="s">
        <v>1424</v>
      </c>
      <c r="I2800" s="564" t="s">
        <v>6662</v>
      </c>
      <c r="J2800" s="564" t="s">
        <v>1069</v>
      </c>
      <c r="K2800" s="564" t="s">
        <v>1198</v>
      </c>
      <c r="L2800" s="564" t="s">
        <v>2098</v>
      </c>
      <c r="M2800" s="564" t="s">
        <v>2098</v>
      </c>
      <c r="N2800" s="564" t="s">
        <v>1082</v>
      </c>
      <c r="O2800" s="564" t="s">
        <v>2099</v>
      </c>
      <c r="P2800" s="23"/>
      <c r="Q2800" s="23"/>
      <c r="R2800" s="23"/>
      <c r="S2800" s="23"/>
      <c r="T2800" s="23"/>
      <c r="U2800" s="23"/>
      <c r="V2800" s="23"/>
      <c r="W2800" s="23"/>
      <c r="X2800" s="23"/>
      <c r="Y2800" s="23"/>
      <c r="Z2800" s="23"/>
    </row>
    <row r="2801" spans="1:26" ht="13">
      <c r="A2801" s="562" t="s">
        <v>6663</v>
      </c>
      <c r="B2801" s="563" t="s">
        <v>6664</v>
      </c>
      <c r="C2801" s="564" t="s">
        <v>1612</v>
      </c>
      <c r="D2801" s="565">
        <v>42772</v>
      </c>
      <c r="E2801" s="565">
        <v>42794</v>
      </c>
      <c r="F2801" s="566">
        <v>13965000</v>
      </c>
      <c r="G2801" s="564" t="s">
        <v>1623</v>
      </c>
      <c r="H2801" s="564" t="s">
        <v>1623</v>
      </c>
      <c r="I2801" s="564" t="s">
        <v>802</v>
      </c>
      <c r="J2801" s="564" t="s">
        <v>1069</v>
      </c>
      <c r="K2801" s="564" t="s">
        <v>1198</v>
      </c>
      <c r="L2801" s="564" t="s">
        <v>2098</v>
      </c>
      <c r="M2801" s="564" t="s">
        <v>2098</v>
      </c>
      <c r="N2801" s="564" t="s">
        <v>132</v>
      </c>
      <c r="O2801" s="564" t="s">
        <v>2099</v>
      </c>
      <c r="P2801" s="23"/>
      <c r="Q2801" s="23"/>
      <c r="R2801" s="23"/>
      <c r="S2801" s="23"/>
      <c r="T2801" s="23"/>
      <c r="U2801" s="23"/>
      <c r="V2801" s="23"/>
      <c r="W2801" s="23"/>
      <c r="X2801" s="23"/>
      <c r="Y2801" s="23"/>
      <c r="Z2801" s="23"/>
    </row>
    <row r="2802" spans="1:26" ht="13">
      <c r="A2802" s="562" t="s">
        <v>6665</v>
      </c>
      <c r="B2802" s="563" t="s">
        <v>6666</v>
      </c>
      <c r="C2802" s="564" t="s">
        <v>1204</v>
      </c>
      <c r="D2802" s="565">
        <v>42768</v>
      </c>
      <c r="E2802" s="565">
        <v>42736</v>
      </c>
      <c r="F2802" s="566">
        <v>224640</v>
      </c>
      <c r="G2802" s="564" t="s">
        <v>1424</v>
      </c>
      <c r="H2802" s="564" t="s">
        <v>1424</v>
      </c>
      <c r="I2802" s="564" t="s">
        <v>1471</v>
      </c>
      <c r="J2802" s="564" t="s">
        <v>1069</v>
      </c>
      <c r="K2802" s="564" t="s">
        <v>1070</v>
      </c>
      <c r="L2802" s="564" t="s">
        <v>1071</v>
      </c>
      <c r="M2802" s="564" t="s">
        <v>1183</v>
      </c>
      <c r="N2802" s="564" t="s">
        <v>1082</v>
      </c>
      <c r="O2802" s="564" t="s">
        <v>1472</v>
      </c>
      <c r="P2802" s="23"/>
      <c r="Q2802" s="23"/>
      <c r="R2802" s="23"/>
      <c r="S2802" s="23"/>
      <c r="T2802" s="23"/>
      <c r="U2802" s="23"/>
      <c r="V2802" s="23"/>
      <c r="W2802" s="23"/>
      <c r="X2802" s="23"/>
      <c r="Y2802" s="23"/>
      <c r="Z2802" s="23"/>
    </row>
    <row r="2803" spans="1:26" ht="13">
      <c r="A2803" s="562" t="s">
        <v>6667</v>
      </c>
      <c r="B2803" s="563" t="s">
        <v>6628</v>
      </c>
      <c r="C2803" s="564" t="s">
        <v>1612</v>
      </c>
      <c r="D2803" s="565">
        <v>42768</v>
      </c>
      <c r="E2803" s="565">
        <v>42794</v>
      </c>
      <c r="F2803" s="566">
        <v>3432000</v>
      </c>
      <c r="G2803" s="564" t="s">
        <v>1424</v>
      </c>
      <c r="H2803" s="564" t="s">
        <v>1424</v>
      </c>
      <c r="I2803" s="564" t="s">
        <v>45</v>
      </c>
      <c r="J2803" s="564" t="s">
        <v>1069</v>
      </c>
      <c r="K2803" s="564" t="s">
        <v>1090</v>
      </c>
      <c r="L2803" s="564" t="s">
        <v>2098</v>
      </c>
      <c r="M2803" s="564" t="s">
        <v>2098</v>
      </c>
      <c r="N2803" s="564" t="s">
        <v>45</v>
      </c>
      <c r="O2803" s="564" t="s">
        <v>2099</v>
      </c>
      <c r="P2803" s="23"/>
      <c r="Q2803" s="23"/>
      <c r="R2803" s="23"/>
      <c r="S2803" s="23"/>
      <c r="T2803" s="23"/>
      <c r="U2803" s="23"/>
      <c r="V2803" s="23"/>
      <c r="W2803" s="23"/>
      <c r="X2803" s="23"/>
      <c r="Y2803" s="23"/>
      <c r="Z2803" s="23"/>
    </row>
    <row r="2804" spans="1:26" ht="13">
      <c r="A2804" s="562" t="s">
        <v>6668</v>
      </c>
      <c r="B2804" s="563" t="s">
        <v>6669</v>
      </c>
      <c r="C2804" s="564" t="s">
        <v>1612</v>
      </c>
      <c r="D2804" s="565">
        <v>42768</v>
      </c>
      <c r="E2804" s="565">
        <v>42794</v>
      </c>
      <c r="F2804" s="566">
        <v>2200000</v>
      </c>
      <c r="G2804" s="564" t="s">
        <v>5465</v>
      </c>
      <c r="H2804" s="564" t="s">
        <v>5465</v>
      </c>
      <c r="I2804" s="564" t="s">
        <v>45</v>
      </c>
      <c r="J2804" s="564" t="s">
        <v>1069</v>
      </c>
      <c r="K2804" s="564" t="s">
        <v>1090</v>
      </c>
      <c r="L2804" s="564" t="s">
        <v>2098</v>
      </c>
      <c r="M2804" s="564" t="s">
        <v>2098</v>
      </c>
      <c r="N2804" s="564" t="s">
        <v>45</v>
      </c>
      <c r="O2804" s="564" t="s">
        <v>2099</v>
      </c>
      <c r="P2804" s="23"/>
      <c r="Q2804" s="23"/>
      <c r="R2804" s="23"/>
      <c r="S2804" s="23"/>
      <c r="T2804" s="23"/>
      <c r="U2804" s="23"/>
      <c r="V2804" s="23"/>
      <c r="W2804" s="23"/>
      <c r="X2804" s="23"/>
      <c r="Y2804" s="23"/>
      <c r="Z2804" s="23"/>
    </row>
    <row r="2805" spans="1:26" ht="13">
      <c r="A2805" s="562" t="s">
        <v>6670</v>
      </c>
      <c r="B2805" s="563" t="s">
        <v>6671</v>
      </c>
      <c r="C2805" s="564" t="s">
        <v>1612</v>
      </c>
      <c r="D2805" s="565">
        <v>42768</v>
      </c>
      <c r="E2805" s="565">
        <v>42794</v>
      </c>
      <c r="F2805" s="566">
        <v>4500000</v>
      </c>
      <c r="G2805" s="564" t="s">
        <v>5465</v>
      </c>
      <c r="H2805" s="564" t="s">
        <v>5465</v>
      </c>
      <c r="I2805" s="564" t="s">
        <v>45</v>
      </c>
      <c r="J2805" s="564" t="s">
        <v>1069</v>
      </c>
      <c r="K2805" s="564" t="s">
        <v>1090</v>
      </c>
      <c r="L2805" s="564" t="s">
        <v>2098</v>
      </c>
      <c r="M2805" s="564" t="s">
        <v>2098</v>
      </c>
      <c r="N2805" s="564" t="s">
        <v>45</v>
      </c>
      <c r="O2805" s="564" t="s">
        <v>2099</v>
      </c>
      <c r="P2805" s="23"/>
      <c r="Q2805" s="23"/>
      <c r="R2805" s="23"/>
      <c r="S2805" s="23"/>
      <c r="T2805" s="23"/>
      <c r="U2805" s="23"/>
      <c r="V2805" s="23"/>
      <c r="W2805" s="23"/>
      <c r="X2805" s="23"/>
      <c r="Y2805" s="23"/>
      <c r="Z2805" s="23"/>
    </row>
    <row r="2806" spans="1:26" ht="13">
      <c r="A2806" s="562" t="s">
        <v>6672</v>
      </c>
      <c r="B2806" s="563" t="s">
        <v>6673</v>
      </c>
      <c r="C2806" s="564" t="s">
        <v>1612</v>
      </c>
      <c r="D2806" s="565">
        <v>42766</v>
      </c>
      <c r="E2806" s="565">
        <v>43100</v>
      </c>
      <c r="F2806" s="566">
        <v>50500000</v>
      </c>
      <c r="G2806" s="564" t="s">
        <v>1636</v>
      </c>
      <c r="H2806" s="564" t="s">
        <v>1636</v>
      </c>
      <c r="I2806" s="564" t="s">
        <v>6674</v>
      </c>
      <c r="J2806" s="564" t="s">
        <v>1069</v>
      </c>
      <c r="K2806" s="564" t="s">
        <v>1070</v>
      </c>
      <c r="L2806" s="564" t="s">
        <v>2098</v>
      </c>
      <c r="M2806" s="564" t="s">
        <v>2098</v>
      </c>
      <c r="N2806" s="564" t="s">
        <v>1082</v>
      </c>
      <c r="O2806" s="564" t="s">
        <v>2099</v>
      </c>
      <c r="P2806" s="23"/>
      <c r="Q2806" s="23"/>
      <c r="R2806" s="23"/>
      <c r="S2806" s="23"/>
      <c r="T2806" s="23"/>
      <c r="U2806" s="23"/>
      <c r="V2806" s="23"/>
      <c r="W2806" s="23"/>
      <c r="X2806" s="23"/>
      <c r="Y2806" s="23"/>
      <c r="Z2806" s="23"/>
    </row>
    <row r="2807" spans="1:26" ht="13">
      <c r="A2807" s="562" t="s">
        <v>6675</v>
      </c>
      <c r="B2807" s="563" t="s">
        <v>6569</v>
      </c>
      <c r="C2807" s="564" t="s">
        <v>1612</v>
      </c>
      <c r="D2807" s="565">
        <v>42761</v>
      </c>
      <c r="E2807" s="565">
        <v>42790</v>
      </c>
      <c r="F2807" s="566">
        <v>618000</v>
      </c>
      <c r="G2807" s="564" t="s">
        <v>1424</v>
      </c>
      <c r="H2807" s="564" t="s">
        <v>1424</v>
      </c>
      <c r="I2807" s="564" t="s">
        <v>64</v>
      </c>
      <c r="J2807" s="564" t="s">
        <v>1069</v>
      </c>
      <c r="K2807" s="564" t="s">
        <v>1090</v>
      </c>
      <c r="L2807" s="564" t="s">
        <v>2098</v>
      </c>
      <c r="M2807" s="564" t="s">
        <v>2098</v>
      </c>
      <c r="N2807" s="564" t="s">
        <v>64</v>
      </c>
      <c r="O2807" s="564" t="s">
        <v>2099</v>
      </c>
      <c r="P2807" s="23"/>
      <c r="Q2807" s="23"/>
      <c r="R2807" s="23"/>
      <c r="S2807" s="23"/>
      <c r="T2807" s="23"/>
      <c r="U2807" s="23"/>
      <c r="V2807" s="23"/>
      <c r="W2807" s="23"/>
      <c r="X2807" s="23"/>
      <c r="Y2807" s="23"/>
      <c r="Z2807" s="23"/>
    </row>
    <row r="2808" spans="1:26" ht="13">
      <c r="A2808" s="562" t="s">
        <v>6676</v>
      </c>
      <c r="B2808" s="563" t="s">
        <v>6113</v>
      </c>
      <c r="C2808" s="564" t="s">
        <v>1612</v>
      </c>
      <c r="D2808" s="565">
        <v>42760</v>
      </c>
      <c r="E2808" s="565">
        <v>42790</v>
      </c>
      <c r="F2808" s="566">
        <v>432000</v>
      </c>
      <c r="G2808" s="564" t="s">
        <v>1424</v>
      </c>
      <c r="H2808" s="564" t="s">
        <v>1424</v>
      </c>
      <c r="I2808" s="564" t="s">
        <v>125</v>
      </c>
      <c r="J2808" s="564" t="s">
        <v>1069</v>
      </c>
      <c r="K2808" s="564" t="s">
        <v>1070</v>
      </c>
      <c r="L2808" s="564" t="s">
        <v>2098</v>
      </c>
      <c r="M2808" s="564" t="s">
        <v>2098</v>
      </c>
      <c r="N2808" s="564" t="s">
        <v>1073</v>
      </c>
      <c r="O2808" s="564" t="s">
        <v>2099</v>
      </c>
      <c r="P2808" s="23"/>
      <c r="Q2808" s="23"/>
      <c r="R2808" s="23"/>
      <c r="S2808" s="23"/>
      <c r="T2808" s="23"/>
      <c r="U2808" s="23"/>
      <c r="V2808" s="23"/>
      <c r="W2808" s="23"/>
      <c r="X2808" s="23"/>
      <c r="Y2808" s="23"/>
      <c r="Z2808" s="23"/>
    </row>
    <row r="2809" spans="1:26" ht="13">
      <c r="A2809" s="562" t="s">
        <v>6677</v>
      </c>
      <c r="B2809" s="563" t="s">
        <v>6678</v>
      </c>
      <c r="C2809" s="564" t="s">
        <v>1612</v>
      </c>
      <c r="D2809" s="565">
        <v>42761</v>
      </c>
      <c r="E2809" s="565">
        <v>42790</v>
      </c>
      <c r="F2809" s="566">
        <v>27300000</v>
      </c>
      <c r="G2809" s="564" t="s">
        <v>1424</v>
      </c>
      <c r="H2809" s="564" t="s">
        <v>1424</v>
      </c>
      <c r="I2809" s="564" t="s">
        <v>45</v>
      </c>
      <c r="J2809" s="564" t="s">
        <v>1069</v>
      </c>
      <c r="K2809" s="564" t="s">
        <v>1090</v>
      </c>
      <c r="L2809" s="564" t="s">
        <v>2098</v>
      </c>
      <c r="M2809" s="564" t="s">
        <v>2098</v>
      </c>
      <c r="N2809" s="564" t="s">
        <v>45</v>
      </c>
      <c r="O2809" s="564" t="s">
        <v>2099</v>
      </c>
      <c r="P2809" s="23"/>
      <c r="Q2809" s="23"/>
      <c r="R2809" s="23"/>
      <c r="S2809" s="23"/>
      <c r="T2809" s="23"/>
      <c r="U2809" s="23"/>
      <c r="V2809" s="23"/>
      <c r="W2809" s="23"/>
      <c r="X2809" s="23"/>
      <c r="Y2809" s="23"/>
      <c r="Z2809" s="23"/>
    </row>
    <row r="2810" spans="1:26" ht="13">
      <c r="A2810" s="562" t="s">
        <v>6679</v>
      </c>
      <c r="B2810" s="563" t="s">
        <v>6680</v>
      </c>
      <c r="C2810" s="564" t="s">
        <v>1612</v>
      </c>
      <c r="D2810" s="565">
        <v>42760</v>
      </c>
      <c r="E2810" s="565">
        <v>42790</v>
      </c>
      <c r="F2810" s="566">
        <v>42840000</v>
      </c>
      <c r="G2810" s="564" t="s">
        <v>1424</v>
      </c>
      <c r="H2810" s="564" t="s">
        <v>1424</v>
      </c>
      <c r="I2810" s="564" t="s">
        <v>45</v>
      </c>
      <c r="J2810" s="564" t="s">
        <v>1069</v>
      </c>
      <c r="K2810" s="564" t="s">
        <v>1090</v>
      </c>
      <c r="L2810" s="564" t="s">
        <v>2098</v>
      </c>
      <c r="M2810" s="564" t="s">
        <v>2098</v>
      </c>
      <c r="N2810" s="564" t="s">
        <v>45</v>
      </c>
      <c r="O2810" s="564" t="s">
        <v>2099</v>
      </c>
      <c r="P2810" s="23"/>
      <c r="Q2810" s="23"/>
      <c r="R2810" s="23"/>
      <c r="S2810" s="23"/>
      <c r="T2810" s="23"/>
      <c r="U2810" s="23"/>
      <c r="V2810" s="23"/>
      <c r="W2810" s="23"/>
      <c r="X2810" s="23"/>
      <c r="Y2810" s="23"/>
      <c r="Z2810" s="23"/>
    </row>
    <row r="2811" spans="1:26" ht="13">
      <c r="A2811" s="562" t="s">
        <v>6681</v>
      </c>
      <c r="B2811" s="563" t="s">
        <v>6682</v>
      </c>
      <c r="C2811" s="564" t="s">
        <v>1612</v>
      </c>
      <c r="D2811" s="565">
        <v>42760</v>
      </c>
      <c r="E2811" s="565">
        <v>42790</v>
      </c>
      <c r="F2811" s="566">
        <v>4720000</v>
      </c>
      <c r="G2811" s="564" t="s">
        <v>1424</v>
      </c>
      <c r="H2811" s="564" t="s">
        <v>1424</v>
      </c>
      <c r="I2811" s="564" t="s">
        <v>45</v>
      </c>
      <c r="J2811" s="564" t="s">
        <v>1069</v>
      </c>
      <c r="K2811" s="564" t="s">
        <v>1090</v>
      </c>
      <c r="L2811" s="564" t="s">
        <v>2098</v>
      </c>
      <c r="M2811" s="564" t="s">
        <v>2098</v>
      </c>
      <c r="N2811" s="564" t="s">
        <v>45</v>
      </c>
      <c r="O2811" s="564" t="s">
        <v>2099</v>
      </c>
      <c r="P2811" s="23"/>
      <c r="Q2811" s="23"/>
      <c r="R2811" s="23"/>
      <c r="S2811" s="23"/>
      <c r="T2811" s="23"/>
      <c r="U2811" s="23"/>
      <c r="V2811" s="23"/>
      <c r="W2811" s="23"/>
      <c r="X2811" s="23"/>
      <c r="Y2811" s="23"/>
      <c r="Z2811" s="23"/>
    </row>
    <row r="2812" spans="1:26" ht="13">
      <c r="A2812" s="562" t="s">
        <v>6683</v>
      </c>
      <c r="B2812" s="563" t="s">
        <v>6684</v>
      </c>
      <c r="C2812" s="564" t="s">
        <v>1612</v>
      </c>
      <c r="D2812" s="565">
        <v>42761</v>
      </c>
      <c r="E2812" s="565">
        <v>42790</v>
      </c>
      <c r="F2812" s="566">
        <v>22890000</v>
      </c>
      <c r="G2812" s="564" t="s">
        <v>1424</v>
      </c>
      <c r="H2812" s="564" t="s">
        <v>1424</v>
      </c>
      <c r="I2812" s="564" t="s">
        <v>45</v>
      </c>
      <c r="J2812" s="564" t="s">
        <v>1069</v>
      </c>
      <c r="K2812" s="564" t="s">
        <v>1090</v>
      </c>
      <c r="L2812" s="564" t="s">
        <v>2098</v>
      </c>
      <c r="M2812" s="564" t="s">
        <v>2098</v>
      </c>
      <c r="N2812" s="564" t="s">
        <v>45</v>
      </c>
      <c r="O2812" s="564" t="s">
        <v>2099</v>
      </c>
      <c r="P2812" s="23"/>
      <c r="Q2812" s="23"/>
      <c r="R2812" s="23"/>
      <c r="S2812" s="23"/>
      <c r="T2812" s="23"/>
      <c r="U2812" s="23"/>
      <c r="V2812" s="23"/>
      <c r="W2812" s="23"/>
      <c r="X2812" s="23"/>
      <c r="Y2812" s="23"/>
      <c r="Z2812" s="23"/>
    </row>
    <row r="2813" spans="1:26" ht="13">
      <c r="A2813" s="562" t="s">
        <v>6685</v>
      </c>
      <c r="B2813" s="563" t="s">
        <v>6686</v>
      </c>
      <c r="C2813" s="564" t="s">
        <v>1612</v>
      </c>
      <c r="D2813" s="565">
        <v>42759</v>
      </c>
      <c r="E2813" s="565">
        <v>42783</v>
      </c>
      <c r="F2813" s="566">
        <v>33054545</v>
      </c>
      <c r="G2813" s="564" t="s">
        <v>1623</v>
      </c>
      <c r="H2813" s="564" t="s">
        <v>1623</v>
      </c>
      <c r="I2813" s="564" t="s">
        <v>802</v>
      </c>
      <c r="J2813" s="564" t="s">
        <v>1069</v>
      </c>
      <c r="K2813" s="564" t="s">
        <v>1198</v>
      </c>
      <c r="L2813" s="564" t="s">
        <v>2098</v>
      </c>
      <c r="M2813" s="564" t="s">
        <v>2098</v>
      </c>
      <c r="N2813" s="564" t="s">
        <v>132</v>
      </c>
      <c r="O2813" s="564" t="s">
        <v>2099</v>
      </c>
      <c r="P2813" s="23"/>
      <c r="Q2813" s="23"/>
      <c r="R2813" s="23"/>
      <c r="S2813" s="23"/>
      <c r="T2813" s="23"/>
      <c r="U2813" s="23"/>
      <c r="V2813" s="23"/>
      <c r="W2813" s="23"/>
      <c r="X2813" s="23"/>
      <c r="Y2813" s="23"/>
      <c r="Z2813" s="23"/>
    </row>
    <row r="2814" spans="1:26" ht="13">
      <c r="A2814" s="562" t="s">
        <v>6687</v>
      </c>
      <c r="B2814" s="563" t="s">
        <v>6688</v>
      </c>
      <c r="C2814" s="564" t="s">
        <v>1612</v>
      </c>
      <c r="D2814" s="565">
        <v>42755</v>
      </c>
      <c r="E2814" s="565">
        <v>42774</v>
      </c>
      <c r="F2814" s="566">
        <v>413000000</v>
      </c>
      <c r="G2814" s="564" t="s">
        <v>1564</v>
      </c>
      <c r="H2814" s="564" t="s">
        <v>1564</v>
      </c>
      <c r="I2814" s="564" t="s">
        <v>6689</v>
      </c>
      <c r="J2814" s="564" t="s">
        <v>1069</v>
      </c>
      <c r="K2814" s="564" t="s">
        <v>1070</v>
      </c>
      <c r="L2814" s="564" t="s">
        <v>2098</v>
      </c>
      <c r="M2814" s="564" t="s">
        <v>2098</v>
      </c>
      <c r="N2814" s="564" t="s">
        <v>1082</v>
      </c>
      <c r="O2814" s="564" t="s">
        <v>2099</v>
      </c>
      <c r="P2814" s="23"/>
      <c r="Q2814" s="23"/>
      <c r="R2814" s="23"/>
      <c r="S2814" s="23"/>
      <c r="T2814" s="23"/>
      <c r="U2814" s="23"/>
      <c r="V2814" s="23"/>
      <c r="W2814" s="23"/>
      <c r="X2814" s="23"/>
      <c r="Y2814" s="23"/>
      <c r="Z2814" s="23"/>
    </row>
    <row r="2815" spans="1:26" ht="13">
      <c r="A2815" s="562" t="s">
        <v>6690</v>
      </c>
      <c r="B2815" s="563" t="s">
        <v>5810</v>
      </c>
      <c r="C2815" s="564" t="s">
        <v>1612</v>
      </c>
      <c r="D2815" s="565">
        <v>42754</v>
      </c>
      <c r="E2815" s="565">
        <v>42783</v>
      </c>
      <c r="F2815" s="566">
        <v>1250000</v>
      </c>
      <c r="G2815" s="564" t="s">
        <v>1424</v>
      </c>
      <c r="H2815" s="564" t="s">
        <v>1424</v>
      </c>
      <c r="I2815" s="564" t="s">
        <v>70</v>
      </c>
      <c r="J2815" s="564" t="s">
        <v>1069</v>
      </c>
      <c r="K2815" s="564" t="s">
        <v>1120</v>
      </c>
      <c r="L2815" s="564" t="s">
        <v>2098</v>
      </c>
      <c r="M2815" s="564" t="s">
        <v>2098</v>
      </c>
      <c r="N2815" s="564" t="s">
        <v>70</v>
      </c>
      <c r="O2815" s="564" t="s">
        <v>2099</v>
      </c>
      <c r="P2815" s="23"/>
      <c r="Q2815" s="23"/>
      <c r="R2815" s="23"/>
      <c r="S2815" s="23"/>
      <c r="T2815" s="23"/>
      <c r="U2815" s="23"/>
      <c r="V2815" s="23"/>
      <c r="W2815" s="23"/>
      <c r="X2815" s="23"/>
      <c r="Y2815" s="23"/>
      <c r="Z2815" s="23"/>
    </row>
    <row r="2816" spans="1:26" ht="13">
      <c r="A2816" s="562" t="s">
        <v>6691</v>
      </c>
      <c r="B2816" s="563" t="s">
        <v>6451</v>
      </c>
      <c r="C2816" s="564" t="s">
        <v>1612</v>
      </c>
      <c r="D2816" s="565">
        <v>42753</v>
      </c>
      <c r="E2816" s="565">
        <v>42783</v>
      </c>
      <c r="F2816" s="566">
        <v>17680000</v>
      </c>
      <c r="G2816" s="564" t="s">
        <v>1424</v>
      </c>
      <c r="H2816" s="564" t="s">
        <v>1424</v>
      </c>
      <c r="I2816" s="564" t="s">
        <v>70</v>
      </c>
      <c r="J2816" s="564" t="s">
        <v>1069</v>
      </c>
      <c r="K2816" s="564" t="s">
        <v>1120</v>
      </c>
      <c r="L2816" s="564" t="s">
        <v>2098</v>
      </c>
      <c r="M2816" s="564" t="s">
        <v>2098</v>
      </c>
      <c r="N2816" s="564" t="s">
        <v>70</v>
      </c>
      <c r="O2816" s="564" t="s">
        <v>2099</v>
      </c>
      <c r="P2816" s="23"/>
      <c r="Q2816" s="23"/>
      <c r="R2816" s="23"/>
      <c r="S2816" s="23"/>
      <c r="T2816" s="23"/>
      <c r="U2816" s="23"/>
      <c r="V2816" s="23"/>
      <c r="W2816" s="23"/>
      <c r="X2816" s="23"/>
      <c r="Y2816" s="23"/>
      <c r="Z2816" s="23"/>
    </row>
    <row r="2817" spans="1:26" ht="13">
      <c r="A2817" s="562" t="s">
        <v>6692</v>
      </c>
      <c r="B2817" s="563" t="s">
        <v>6651</v>
      </c>
      <c r="C2817" s="564" t="s">
        <v>1612</v>
      </c>
      <c r="D2817" s="565">
        <v>42752</v>
      </c>
      <c r="E2817" s="565">
        <v>42759</v>
      </c>
      <c r="F2817" s="566">
        <v>1876000</v>
      </c>
      <c r="G2817" s="564" t="s">
        <v>1636</v>
      </c>
      <c r="H2817" s="564" t="s">
        <v>1636</v>
      </c>
      <c r="I2817" s="564" t="s">
        <v>1637</v>
      </c>
      <c r="J2817" s="564" t="s">
        <v>1069</v>
      </c>
      <c r="K2817" s="564" t="s">
        <v>1120</v>
      </c>
      <c r="L2817" s="564" t="s">
        <v>2098</v>
      </c>
      <c r="M2817" s="564" t="s">
        <v>2098</v>
      </c>
      <c r="N2817" s="564" t="s">
        <v>1073</v>
      </c>
      <c r="O2817" s="564" t="s">
        <v>2099</v>
      </c>
      <c r="P2817" s="23"/>
      <c r="Q2817" s="23"/>
      <c r="R2817" s="23"/>
      <c r="S2817" s="23"/>
      <c r="T2817" s="23"/>
      <c r="U2817" s="23"/>
      <c r="V2817" s="23"/>
      <c r="W2817" s="23"/>
      <c r="X2817" s="23"/>
      <c r="Y2817" s="23"/>
      <c r="Z2817" s="23"/>
    </row>
    <row r="2818" spans="1:26" ht="13">
      <c r="A2818" s="562" t="s">
        <v>6693</v>
      </c>
      <c r="B2818" s="563" t="s">
        <v>6694</v>
      </c>
      <c r="C2818" s="564" t="s">
        <v>1612</v>
      </c>
      <c r="D2818" s="565">
        <v>42752</v>
      </c>
      <c r="E2818" s="565">
        <v>42783</v>
      </c>
      <c r="F2818" s="566">
        <v>555000</v>
      </c>
      <c r="G2818" s="564" t="s">
        <v>1424</v>
      </c>
      <c r="H2818" s="564" t="s">
        <v>1424</v>
      </c>
      <c r="I2818" s="564" t="s">
        <v>45</v>
      </c>
      <c r="J2818" s="564" t="s">
        <v>1069</v>
      </c>
      <c r="K2818" s="564" t="s">
        <v>1090</v>
      </c>
      <c r="L2818" s="564" t="s">
        <v>2098</v>
      </c>
      <c r="M2818" s="564" t="s">
        <v>2098</v>
      </c>
      <c r="N2818" s="564" t="s">
        <v>45</v>
      </c>
      <c r="O2818" s="564" t="s">
        <v>2099</v>
      </c>
      <c r="P2818" s="23"/>
      <c r="Q2818" s="23"/>
      <c r="R2818" s="23"/>
      <c r="S2818" s="23"/>
      <c r="T2818" s="23"/>
      <c r="U2818" s="23"/>
      <c r="V2818" s="23"/>
      <c r="W2818" s="23"/>
      <c r="X2818" s="23"/>
      <c r="Y2818" s="23"/>
      <c r="Z2818" s="23"/>
    </row>
    <row r="2819" spans="1:26" ht="13">
      <c r="A2819" s="562" t="s">
        <v>6695</v>
      </c>
      <c r="B2819" s="563" t="s">
        <v>6696</v>
      </c>
      <c r="C2819" s="564" t="s">
        <v>1612</v>
      </c>
      <c r="D2819" s="565">
        <v>42752</v>
      </c>
      <c r="E2819" s="565">
        <v>42736</v>
      </c>
      <c r="F2819" s="566">
        <v>7975320</v>
      </c>
      <c r="G2819" s="564" t="s">
        <v>1424</v>
      </c>
      <c r="H2819" s="564" t="s">
        <v>1424</v>
      </c>
      <c r="I2819" s="564" t="s">
        <v>45</v>
      </c>
      <c r="J2819" s="564" t="s">
        <v>1069</v>
      </c>
      <c r="K2819" s="564" t="s">
        <v>1090</v>
      </c>
      <c r="L2819" s="564" t="s">
        <v>1071</v>
      </c>
      <c r="M2819" s="564" t="s">
        <v>1183</v>
      </c>
      <c r="N2819" s="564" t="s">
        <v>45</v>
      </c>
      <c r="O2819" s="564" t="s">
        <v>2099</v>
      </c>
      <c r="P2819" s="23"/>
      <c r="Q2819" s="23"/>
      <c r="R2819" s="23"/>
      <c r="S2819" s="23"/>
      <c r="T2819" s="23"/>
      <c r="U2819" s="23"/>
      <c r="V2819" s="23"/>
      <c r="W2819" s="23"/>
      <c r="X2819" s="23"/>
      <c r="Y2819" s="23"/>
      <c r="Z2819" s="23"/>
    </row>
    <row r="2820" spans="1:26" ht="13">
      <c r="A2820" s="562" t="s">
        <v>6697</v>
      </c>
      <c r="B2820" s="563" t="s">
        <v>6698</v>
      </c>
      <c r="C2820" s="564" t="s">
        <v>1612</v>
      </c>
      <c r="D2820" s="565">
        <v>42752</v>
      </c>
      <c r="E2820" s="565">
        <v>42736</v>
      </c>
      <c r="F2820" s="566">
        <v>2902080</v>
      </c>
      <c r="G2820" s="564" t="s">
        <v>1424</v>
      </c>
      <c r="H2820" s="564" t="s">
        <v>1424</v>
      </c>
      <c r="I2820" s="564" t="s">
        <v>45</v>
      </c>
      <c r="J2820" s="564" t="s">
        <v>1069</v>
      </c>
      <c r="K2820" s="564" t="s">
        <v>1090</v>
      </c>
      <c r="L2820" s="564" t="s">
        <v>1071</v>
      </c>
      <c r="M2820" s="564" t="s">
        <v>1183</v>
      </c>
      <c r="N2820" s="564" t="s">
        <v>45</v>
      </c>
      <c r="O2820" s="564" t="s">
        <v>2099</v>
      </c>
      <c r="P2820" s="23"/>
      <c r="Q2820" s="23"/>
      <c r="R2820" s="23"/>
      <c r="S2820" s="23"/>
      <c r="T2820" s="23"/>
      <c r="U2820" s="23"/>
      <c r="V2820" s="23"/>
      <c r="W2820" s="23"/>
      <c r="X2820" s="23"/>
      <c r="Y2820" s="23"/>
      <c r="Z2820" s="23"/>
    </row>
    <row r="2821" spans="1:26" ht="13">
      <c r="A2821" s="562" t="s">
        <v>6699</v>
      </c>
      <c r="B2821" s="563" t="s">
        <v>6700</v>
      </c>
      <c r="C2821" s="564" t="s">
        <v>1612</v>
      </c>
      <c r="D2821" s="565">
        <v>42752</v>
      </c>
      <c r="E2821" s="565">
        <v>42736</v>
      </c>
      <c r="F2821" s="566">
        <v>110880</v>
      </c>
      <c r="G2821" s="564" t="s">
        <v>1424</v>
      </c>
      <c r="H2821" s="564" t="s">
        <v>1424</v>
      </c>
      <c r="I2821" s="564" t="s">
        <v>146</v>
      </c>
      <c r="J2821" s="564" t="s">
        <v>1069</v>
      </c>
      <c r="K2821" s="564" t="s">
        <v>1070</v>
      </c>
      <c r="L2821" s="564" t="s">
        <v>1071</v>
      </c>
      <c r="M2821" s="564" t="s">
        <v>1183</v>
      </c>
      <c r="N2821" s="564" t="s">
        <v>1073</v>
      </c>
      <c r="O2821" s="564" t="s">
        <v>2099</v>
      </c>
      <c r="P2821" s="23"/>
      <c r="Q2821" s="23"/>
      <c r="R2821" s="23"/>
      <c r="S2821" s="23"/>
      <c r="T2821" s="23"/>
      <c r="U2821" s="23"/>
      <c r="V2821" s="23"/>
      <c r="W2821" s="23"/>
      <c r="X2821" s="23"/>
      <c r="Y2821" s="23"/>
      <c r="Z2821" s="23"/>
    </row>
    <row r="2822" spans="1:26" ht="13">
      <c r="A2822" s="562" t="s">
        <v>6701</v>
      </c>
      <c r="B2822" s="563" t="s">
        <v>6702</v>
      </c>
      <c r="C2822" s="564" t="s">
        <v>1612</v>
      </c>
      <c r="D2822" s="565">
        <v>42752</v>
      </c>
      <c r="E2822" s="565">
        <v>42783</v>
      </c>
      <c r="F2822" s="566">
        <v>36720000</v>
      </c>
      <c r="G2822" s="564" t="s">
        <v>1424</v>
      </c>
      <c r="H2822" s="564" t="s">
        <v>1424</v>
      </c>
      <c r="I2822" s="564" t="s">
        <v>45</v>
      </c>
      <c r="J2822" s="564" t="s">
        <v>1069</v>
      </c>
      <c r="K2822" s="564" t="s">
        <v>1090</v>
      </c>
      <c r="L2822" s="564" t="s">
        <v>2098</v>
      </c>
      <c r="M2822" s="564" t="s">
        <v>2098</v>
      </c>
      <c r="N2822" s="564" t="s">
        <v>45</v>
      </c>
      <c r="O2822" s="564" t="s">
        <v>2099</v>
      </c>
      <c r="P2822" s="23"/>
      <c r="Q2822" s="23"/>
      <c r="R2822" s="23"/>
      <c r="S2822" s="23"/>
      <c r="T2822" s="23"/>
      <c r="U2822" s="23"/>
      <c r="V2822" s="23"/>
      <c r="W2822" s="23"/>
      <c r="X2822" s="23"/>
      <c r="Y2822" s="23"/>
      <c r="Z2822" s="23"/>
    </row>
    <row r="2823" spans="1:26" ht="13">
      <c r="A2823" s="562" t="s">
        <v>6703</v>
      </c>
      <c r="B2823" s="563" t="s">
        <v>5810</v>
      </c>
      <c r="C2823" s="564" t="s">
        <v>1612</v>
      </c>
      <c r="D2823" s="565">
        <v>42748</v>
      </c>
      <c r="E2823" s="565">
        <v>42766</v>
      </c>
      <c r="F2823" s="566">
        <v>1180000</v>
      </c>
      <c r="G2823" s="564" t="s">
        <v>1424</v>
      </c>
      <c r="H2823" s="564" t="s">
        <v>1424</v>
      </c>
      <c r="I2823" s="564" t="s">
        <v>70</v>
      </c>
      <c r="J2823" s="564" t="s">
        <v>1069</v>
      </c>
      <c r="K2823" s="564" t="s">
        <v>1120</v>
      </c>
      <c r="L2823" s="564" t="s">
        <v>2098</v>
      </c>
      <c r="M2823" s="564" t="s">
        <v>2098</v>
      </c>
      <c r="N2823" s="564" t="s">
        <v>70</v>
      </c>
      <c r="O2823" s="564" t="s">
        <v>2099</v>
      </c>
      <c r="P2823" s="23"/>
      <c r="Q2823" s="23"/>
      <c r="R2823" s="23"/>
      <c r="S2823" s="23"/>
      <c r="T2823" s="23"/>
      <c r="U2823" s="23"/>
      <c r="V2823" s="23"/>
      <c r="W2823" s="23"/>
      <c r="X2823" s="23"/>
      <c r="Y2823" s="23"/>
      <c r="Z2823" s="23"/>
    </row>
    <row r="2824" spans="1:26" ht="13">
      <c r="A2824" s="562" t="s">
        <v>6704</v>
      </c>
      <c r="B2824" s="563" t="s">
        <v>6705</v>
      </c>
      <c r="C2824" s="564" t="s">
        <v>1612</v>
      </c>
      <c r="D2824" s="565">
        <v>42747</v>
      </c>
      <c r="E2824" s="565">
        <v>42776</v>
      </c>
      <c r="F2824" s="566">
        <v>1180000</v>
      </c>
      <c r="G2824" s="564" t="s">
        <v>1424</v>
      </c>
      <c r="H2824" s="564" t="s">
        <v>1424</v>
      </c>
      <c r="I2824" s="564" t="s">
        <v>1628</v>
      </c>
      <c r="J2824" s="564" t="s">
        <v>1069</v>
      </c>
      <c r="K2824" s="564" t="s">
        <v>1105</v>
      </c>
      <c r="L2824" s="564" t="s">
        <v>2098</v>
      </c>
      <c r="M2824" s="564" t="s">
        <v>2098</v>
      </c>
      <c r="N2824" s="564" t="s">
        <v>1073</v>
      </c>
      <c r="O2824" s="564" t="s">
        <v>2099</v>
      </c>
      <c r="P2824" s="23"/>
      <c r="Q2824" s="23"/>
      <c r="R2824" s="23"/>
      <c r="S2824" s="23"/>
      <c r="T2824" s="23"/>
      <c r="U2824" s="23"/>
      <c r="V2824" s="23"/>
      <c r="W2824" s="23"/>
      <c r="X2824" s="23"/>
      <c r="Y2824" s="23"/>
      <c r="Z2824" s="23"/>
    </row>
    <row r="2825" spans="1:26" ht="13">
      <c r="A2825" s="562" t="s">
        <v>6706</v>
      </c>
      <c r="B2825" s="563" t="s">
        <v>6707</v>
      </c>
      <c r="C2825" s="564" t="s">
        <v>1612</v>
      </c>
      <c r="D2825" s="565">
        <v>42747</v>
      </c>
      <c r="E2825" s="565">
        <v>42755</v>
      </c>
      <c r="F2825" s="566">
        <v>20000000</v>
      </c>
      <c r="G2825" s="564" t="s">
        <v>1128</v>
      </c>
      <c r="H2825" s="564" t="s">
        <v>1128</v>
      </c>
      <c r="I2825" s="564" t="s">
        <v>45</v>
      </c>
      <c r="J2825" s="564" t="s">
        <v>1069</v>
      </c>
      <c r="K2825" s="564" t="s">
        <v>1090</v>
      </c>
      <c r="L2825" s="564" t="s">
        <v>2098</v>
      </c>
      <c r="M2825" s="564" t="s">
        <v>2098</v>
      </c>
      <c r="N2825" s="564" t="s">
        <v>45</v>
      </c>
      <c r="O2825" s="564" t="s">
        <v>2099</v>
      </c>
      <c r="P2825" s="23"/>
      <c r="Q2825" s="23"/>
      <c r="R2825" s="23"/>
      <c r="S2825" s="23"/>
      <c r="T2825" s="23"/>
      <c r="U2825" s="23"/>
      <c r="V2825" s="23"/>
      <c r="W2825" s="23"/>
      <c r="X2825" s="23"/>
      <c r="Y2825" s="23"/>
      <c r="Z2825" s="23"/>
    </row>
    <row r="2826" spans="1:26" ht="13">
      <c r="A2826" s="562" t="s">
        <v>6708</v>
      </c>
      <c r="B2826" s="563" t="s">
        <v>6709</v>
      </c>
      <c r="C2826" s="564" t="s">
        <v>1612</v>
      </c>
      <c r="D2826" s="565">
        <v>42745</v>
      </c>
      <c r="E2826" s="565">
        <v>42774</v>
      </c>
      <c r="F2826" s="566">
        <v>73140000</v>
      </c>
      <c r="G2826" s="564" t="s">
        <v>1623</v>
      </c>
      <c r="H2826" s="564" t="s">
        <v>1623</v>
      </c>
      <c r="I2826" s="564" t="s">
        <v>802</v>
      </c>
      <c r="J2826" s="564" t="s">
        <v>1069</v>
      </c>
      <c r="K2826" s="564" t="s">
        <v>1198</v>
      </c>
      <c r="L2826" s="564" t="s">
        <v>2098</v>
      </c>
      <c r="M2826" s="564" t="s">
        <v>2098</v>
      </c>
      <c r="N2826" s="564" t="s">
        <v>132</v>
      </c>
      <c r="O2826" s="564" t="s">
        <v>2099</v>
      </c>
      <c r="P2826" s="23"/>
      <c r="Q2826" s="23"/>
      <c r="R2826" s="23"/>
      <c r="S2826" s="23"/>
      <c r="T2826" s="23"/>
      <c r="U2826" s="23"/>
      <c r="V2826" s="23"/>
      <c r="W2826" s="23"/>
      <c r="X2826" s="23"/>
      <c r="Y2826" s="23"/>
      <c r="Z2826" s="23"/>
    </row>
    <row r="2827" spans="1:26" ht="13">
      <c r="A2827" s="562" t="s">
        <v>6710</v>
      </c>
      <c r="B2827" s="563" t="s">
        <v>6711</v>
      </c>
      <c r="C2827" s="564" t="s">
        <v>1612</v>
      </c>
      <c r="D2827" s="565">
        <v>42745</v>
      </c>
      <c r="E2827" s="565">
        <v>42774</v>
      </c>
      <c r="F2827" s="566">
        <v>5682600</v>
      </c>
      <c r="G2827" s="564" t="s">
        <v>1623</v>
      </c>
      <c r="H2827" s="564" t="s">
        <v>1623</v>
      </c>
      <c r="I2827" s="564" t="s">
        <v>802</v>
      </c>
      <c r="J2827" s="564" t="s">
        <v>1069</v>
      </c>
      <c r="K2827" s="564" t="s">
        <v>1198</v>
      </c>
      <c r="L2827" s="564" t="s">
        <v>2098</v>
      </c>
      <c r="M2827" s="564" t="s">
        <v>2098</v>
      </c>
      <c r="N2827" s="564" t="s">
        <v>132</v>
      </c>
      <c r="O2827" s="564" t="s">
        <v>2099</v>
      </c>
      <c r="P2827" s="23"/>
      <c r="Q2827" s="23"/>
      <c r="R2827" s="23"/>
      <c r="S2827" s="23"/>
      <c r="T2827" s="23"/>
      <c r="U2827" s="23"/>
      <c r="V2827" s="23"/>
      <c r="W2827" s="23"/>
      <c r="X2827" s="23"/>
      <c r="Y2827" s="23"/>
      <c r="Z2827" s="23"/>
    </row>
    <row r="2828" spans="1:26" ht="13">
      <c r="A2828" s="562" t="s">
        <v>6712</v>
      </c>
      <c r="B2828" s="563" t="s">
        <v>6713</v>
      </c>
      <c r="C2828" s="564" t="s">
        <v>1612</v>
      </c>
      <c r="D2828" s="565">
        <v>42745</v>
      </c>
      <c r="E2828" s="565">
        <v>42774</v>
      </c>
      <c r="F2828" s="566">
        <v>17918255</v>
      </c>
      <c r="G2828" s="564" t="s">
        <v>1623</v>
      </c>
      <c r="H2828" s="564" t="s">
        <v>1623</v>
      </c>
      <c r="I2828" s="564" t="s">
        <v>802</v>
      </c>
      <c r="J2828" s="564" t="s">
        <v>1069</v>
      </c>
      <c r="K2828" s="564" t="s">
        <v>1198</v>
      </c>
      <c r="L2828" s="564" t="s">
        <v>2098</v>
      </c>
      <c r="M2828" s="564" t="s">
        <v>2098</v>
      </c>
      <c r="N2828" s="564" t="s">
        <v>132</v>
      </c>
      <c r="O2828" s="564" t="s">
        <v>2099</v>
      </c>
      <c r="P2828" s="23"/>
      <c r="Q2828" s="23"/>
      <c r="R2828" s="23"/>
      <c r="S2828" s="23"/>
      <c r="T2828" s="23"/>
      <c r="U2828" s="23"/>
      <c r="V2828" s="23"/>
      <c r="W2828" s="23"/>
      <c r="X2828" s="23"/>
      <c r="Y2828" s="23"/>
      <c r="Z2828" s="23"/>
    </row>
    <row r="2829" spans="1:26" ht="13">
      <c r="A2829" s="562" t="s">
        <v>6714</v>
      </c>
      <c r="B2829" s="563" t="s">
        <v>6715</v>
      </c>
      <c r="C2829" s="564" t="s">
        <v>1612</v>
      </c>
      <c r="D2829" s="565">
        <v>42744</v>
      </c>
      <c r="E2829" s="565">
        <v>42774</v>
      </c>
      <c r="F2829" s="566">
        <v>7245000</v>
      </c>
      <c r="G2829" s="564" t="s">
        <v>1623</v>
      </c>
      <c r="H2829" s="564" t="s">
        <v>1623</v>
      </c>
      <c r="I2829" s="564" t="s">
        <v>802</v>
      </c>
      <c r="J2829" s="564" t="s">
        <v>1069</v>
      </c>
      <c r="K2829" s="564" t="s">
        <v>1198</v>
      </c>
      <c r="L2829" s="564" t="s">
        <v>2098</v>
      </c>
      <c r="M2829" s="564" t="s">
        <v>2098</v>
      </c>
      <c r="N2829" s="564" t="s">
        <v>132</v>
      </c>
      <c r="O2829" s="564" t="s">
        <v>2099</v>
      </c>
      <c r="P2829" s="23"/>
      <c r="Q2829" s="23"/>
      <c r="R2829" s="23"/>
      <c r="S2829" s="23"/>
      <c r="T2829" s="23"/>
      <c r="U2829" s="23"/>
      <c r="V2829" s="23"/>
      <c r="W2829" s="23"/>
      <c r="X2829" s="23"/>
      <c r="Y2829" s="23"/>
      <c r="Z2829" s="23"/>
    </row>
    <row r="2830" spans="1:26" ht="13">
      <c r="A2830" s="562" t="s">
        <v>6716</v>
      </c>
      <c r="B2830" s="563" t="s">
        <v>6717</v>
      </c>
      <c r="C2830" s="564" t="s">
        <v>1612</v>
      </c>
      <c r="D2830" s="565">
        <v>42745</v>
      </c>
      <c r="E2830" s="565">
        <v>42755</v>
      </c>
      <c r="F2830" s="566">
        <v>909091</v>
      </c>
      <c r="G2830" s="564" t="s">
        <v>1623</v>
      </c>
      <c r="H2830" s="564" t="s">
        <v>1623</v>
      </c>
      <c r="I2830" s="564" t="s">
        <v>802</v>
      </c>
      <c r="J2830" s="564" t="s">
        <v>1069</v>
      </c>
      <c r="K2830" s="564" t="s">
        <v>1198</v>
      </c>
      <c r="L2830" s="564" t="s">
        <v>2098</v>
      </c>
      <c r="M2830" s="564" t="s">
        <v>2098</v>
      </c>
      <c r="N2830" s="564" t="s">
        <v>132</v>
      </c>
      <c r="O2830" s="564" t="s">
        <v>2099</v>
      </c>
      <c r="P2830" s="23"/>
      <c r="Q2830" s="23"/>
      <c r="R2830" s="23"/>
      <c r="S2830" s="23"/>
      <c r="T2830" s="23"/>
      <c r="U2830" s="23"/>
      <c r="V2830" s="23"/>
      <c r="W2830" s="23"/>
      <c r="X2830" s="23"/>
      <c r="Y2830" s="23"/>
      <c r="Z2830" s="23"/>
    </row>
    <row r="2831" spans="1:26" ht="13">
      <c r="A2831" s="562" t="s">
        <v>6718</v>
      </c>
      <c r="B2831" s="563" t="s">
        <v>5810</v>
      </c>
      <c r="C2831" s="564" t="s">
        <v>1612</v>
      </c>
      <c r="D2831" s="565">
        <v>42740</v>
      </c>
      <c r="E2831" s="565">
        <v>42766</v>
      </c>
      <c r="F2831" s="566">
        <v>4562000</v>
      </c>
      <c r="G2831" s="564" t="s">
        <v>1424</v>
      </c>
      <c r="H2831" s="564" t="s">
        <v>1424</v>
      </c>
      <c r="I2831" s="564" t="s">
        <v>70</v>
      </c>
      <c r="J2831" s="564" t="s">
        <v>1069</v>
      </c>
      <c r="K2831" s="564" t="s">
        <v>1120</v>
      </c>
      <c r="L2831" s="564" t="s">
        <v>2098</v>
      </c>
      <c r="M2831" s="564" t="s">
        <v>2098</v>
      </c>
      <c r="N2831" s="564" t="s">
        <v>70</v>
      </c>
      <c r="O2831" s="564" t="s">
        <v>2099</v>
      </c>
      <c r="P2831" s="23"/>
      <c r="Q2831" s="23"/>
      <c r="R2831" s="23"/>
      <c r="S2831" s="23"/>
      <c r="T2831" s="23"/>
      <c r="U2831" s="23"/>
      <c r="V2831" s="23"/>
      <c r="W2831" s="23"/>
      <c r="X2831" s="23"/>
      <c r="Y2831" s="23"/>
      <c r="Z2831" s="23"/>
    </row>
    <row r="2832" spans="1:26" ht="13">
      <c r="A2832" s="562" t="s">
        <v>6719</v>
      </c>
      <c r="B2832" s="563" t="s">
        <v>6187</v>
      </c>
      <c r="C2832" s="564" t="s">
        <v>1612</v>
      </c>
      <c r="D2832" s="565">
        <v>42740</v>
      </c>
      <c r="E2832" s="565">
        <v>42766</v>
      </c>
      <c r="F2832" s="566">
        <v>125406000</v>
      </c>
      <c r="G2832" s="564" t="s">
        <v>5465</v>
      </c>
      <c r="H2832" s="564" t="s">
        <v>5465</v>
      </c>
      <c r="I2832" s="564" t="s">
        <v>45</v>
      </c>
      <c r="J2832" s="564" t="s">
        <v>1069</v>
      </c>
      <c r="K2832" s="564" t="s">
        <v>1090</v>
      </c>
      <c r="L2832" s="564" t="s">
        <v>2098</v>
      </c>
      <c r="M2832" s="564" t="s">
        <v>2098</v>
      </c>
      <c r="N2832" s="564" t="s">
        <v>45</v>
      </c>
      <c r="O2832" s="564" t="s">
        <v>2099</v>
      </c>
      <c r="P2832" s="23"/>
      <c r="Q2832" s="23"/>
      <c r="R2832" s="23"/>
      <c r="S2832" s="23"/>
      <c r="T2832" s="23"/>
      <c r="U2832" s="23"/>
      <c r="V2832" s="23"/>
      <c r="W2832" s="23"/>
      <c r="X2832" s="23"/>
      <c r="Y2832" s="23"/>
      <c r="Z2832" s="23"/>
    </row>
    <row r="2833" spans="1:26" ht="13">
      <c r="A2833" s="562" t="s">
        <v>6720</v>
      </c>
      <c r="B2833" s="563" t="s">
        <v>6721</v>
      </c>
      <c r="C2833" s="564" t="s">
        <v>1612</v>
      </c>
      <c r="D2833" s="565">
        <v>42738</v>
      </c>
      <c r="E2833" s="565">
        <v>42766</v>
      </c>
      <c r="F2833" s="566">
        <v>13670000</v>
      </c>
      <c r="G2833" s="564" t="s">
        <v>5465</v>
      </c>
      <c r="H2833" s="564" t="s">
        <v>5465</v>
      </c>
      <c r="I2833" s="564" t="s">
        <v>45</v>
      </c>
      <c r="J2833" s="564" t="s">
        <v>1069</v>
      </c>
      <c r="K2833" s="564" t="s">
        <v>1090</v>
      </c>
      <c r="L2833" s="564" t="s">
        <v>2098</v>
      </c>
      <c r="M2833" s="564" t="s">
        <v>2098</v>
      </c>
      <c r="N2833" s="564" t="s">
        <v>45</v>
      </c>
      <c r="O2833" s="564" t="s">
        <v>2099</v>
      </c>
      <c r="P2833" s="23"/>
      <c r="Q2833" s="23"/>
      <c r="R2833" s="23"/>
      <c r="S2833" s="23"/>
      <c r="T2833" s="23"/>
      <c r="U2833" s="23"/>
      <c r="V2833" s="23"/>
      <c r="W2833" s="23"/>
      <c r="X2833" s="23"/>
      <c r="Y2833" s="23"/>
      <c r="Z2833" s="23"/>
    </row>
    <row r="2834" spans="1:26" ht="13">
      <c r="A2834" s="562" t="s">
        <v>6722</v>
      </c>
      <c r="B2834" s="563" t="s">
        <v>6723</v>
      </c>
      <c r="C2834" s="564" t="s">
        <v>1612</v>
      </c>
      <c r="D2834" s="565">
        <v>42738</v>
      </c>
      <c r="E2834" s="565">
        <v>42766</v>
      </c>
      <c r="F2834" s="566">
        <v>28118000</v>
      </c>
      <c r="G2834" s="564" t="s">
        <v>5465</v>
      </c>
      <c r="H2834" s="564" t="s">
        <v>5465</v>
      </c>
      <c r="I2834" s="564" t="s">
        <v>45</v>
      </c>
      <c r="J2834" s="564" t="s">
        <v>1069</v>
      </c>
      <c r="K2834" s="564" t="s">
        <v>1090</v>
      </c>
      <c r="L2834" s="564" t="s">
        <v>2098</v>
      </c>
      <c r="M2834" s="564" t="s">
        <v>2098</v>
      </c>
      <c r="N2834" s="564" t="s">
        <v>45</v>
      </c>
      <c r="O2834" s="564" t="s">
        <v>2099</v>
      </c>
      <c r="P2834" s="23"/>
      <c r="Q2834" s="23"/>
      <c r="R2834" s="23"/>
      <c r="S2834" s="23"/>
      <c r="T2834" s="23"/>
      <c r="U2834" s="23"/>
      <c r="V2834" s="23"/>
      <c r="W2834" s="23"/>
      <c r="X2834" s="23"/>
      <c r="Y2834" s="23"/>
      <c r="Z2834" s="23"/>
    </row>
    <row r="2835" spans="1:26" ht="13">
      <c r="A2835" s="562" t="s">
        <v>6724</v>
      </c>
      <c r="B2835" s="563" t="s">
        <v>6725</v>
      </c>
      <c r="C2835" s="564" t="s">
        <v>1612</v>
      </c>
      <c r="D2835" s="565">
        <v>42737</v>
      </c>
      <c r="E2835" s="565">
        <v>42766</v>
      </c>
      <c r="F2835" s="566">
        <v>2000000</v>
      </c>
      <c r="G2835" s="564" t="s">
        <v>5465</v>
      </c>
      <c r="H2835" s="564" t="s">
        <v>5465</v>
      </c>
      <c r="I2835" s="564" t="s">
        <v>45</v>
      </c>
      <c r="J2835" s="564" t="s">
        <v>1069</v>
      </c>
      <c r="K2835" s="564" t="s">
        <v>1090</v>
      </c>
      <c r="L2835" s="564" t="s">
        <v>2098</v>
      </c>
      <c r="M2835" s="564" t="s">
        <v>2098</v>
      </c>
      <c r="N2835" s="564" t="s">
        <v>45</v>
      </c>
      <c r="O2835" s="564" t="s">
        <v>2099</v>
      </c>
      <c r="P2835" s="23"/>
      <c r="Q2835" s="23"/>
      <c r="R2835" s="23"/>
      <c r="S2835" s="23"/>
      <c r="T2835" s="23"/>
      <c r="U2835" s="23"/>
      <c r="V2835" s="23"/>
      <c r="W2835" s="23"/>
      <c r="X2835" s="23"/>
      <c r="Y2835" s="23"/>
      <c r="Z2835" s="23"/>
    </row>
    <row r="2836" spans="1:26" ht="13">
      <c r="A2836" s="562" t="s">
        <v>6726</v>
      </c>
      <c r="B2836" s="563" t="s">
        <v>6727</v>
      </c>
      <c r="C2836" s="564" t="s">
        <v>1612</v>
      </c>
      <c r="D2836" s="565">
        <v>42738</v>
      </c>
      <c r="E2836" s="565">
        <v>42766</v>
      </c>
      <c r="F2836" s="566">
        <v>9800000</v>
      </c>
      <c r="G2836" s="564" t="s">
        <v>5465</v>
      </c>
      <c r="H2836" s="564" t="s">
        <v>5465</v>
      </c>
      <c r="I2836" s="564" t="s">
        <v>45</v>
      </c>
      <c r="J2836" s="564" t="s">
        <v>1069</v>
      </c>
      <c r="K2836" s="564" t="s">
        <v>1090</v>
      </c>
      <c r="L2836" s="564" t="s">
        <v>2098</v>
      </c>
      <c r="M2836" s="564" t="s">
        <v>2098</v>
      </c>
      <c r="N2836" s="564" t="s">
        <v>45</v>
      </c>
      <c r="O2836" s="564" t="s">
        <v>2099</v>
      </c>
      <c r="P2836" s="23"/>
      <c r="Q2836" s="23"/>
      <c r="R2836" s="23"/>
      <c r="S2836" s="23"/>
      <c r="T2836" s="23"/>
      <c r="U2836" s="23"/>
      <c r="V2836" s="23"/>
      <c r="W2836" s="23"/>
      <c r="X2836" s="23"/>
      <c r="Y2836" s="23"/>
      <c r="Z2836" s="23"/>
    </row>
    <row r="2837" spans="1:26" ht="13">
      <c r="A2837" s="562" t="s">
        <v>6728</v>
      </c>
      <c r="B2837" s="563" t="s">
        <v>6729</v>
      </c>
      <c r="C2837" s="564" t="s">
        <v>1612</v>
      </c>
      <c r="D2837" s="565">
        <v>42738</v>
      </c>
      <c r="E2837" s="565">
        <v>42766</v>
      </c>
      <c r="F2837" s="566">
        <v>9422000</v>
      </c>
      <c r="G2837" s="564" t="s">
        <v>5465</v>
      </c>
      <c r="H2837" s="564" t="s">
        <v>5465</v>
      </c>
      <c r="I2837" s="564" t="s">
        <v>45</v>
      </c>
      <c r="J2837" s="564" t="s">
        <v>1069</v>
      </c>
      <c r="K2837" s="564" t="s">
        <v>1090</v>
      </c>
      <c r="L2837" s="564" t="s">
        <v>2098</v>
      </c>
      <c r="M2837" s="564" t="s">
        <v>2098</v>
      </c>
      <c r="N2837" s="564" t="s">
        <v>45</v>
      </c>
      <c r="O2837" s="564" t="s">
        <v>2099</v>
      </c>
      <c r="P2837" s="23"/>
      <c r="Q2837" s="23"/>
      <c r="R2837" s="23"/>
      <c r="S2837" s="23"/>
      <c r="T2837" s="23"/>
      <c r="U2837" s="23"/>
      <c r="V2837" s="23"/>
      <c r="W2837" s="23"/>
      <c r="X2837" s="23"/>
      <c r="Y2837" s="23"/>
      <c r="Z2837" s="23"/>
    </row>
    <row r="2838" spans="1:26" ht="13">
      <c r="A2838" s="562" t="s">
        <v>6730</v>
      </c>
      <c r="B2838" s="563" t="s">
        <v>6731</v>
      </c>
      <c r="C2838" s="564" t="s">
        <v>1612</v>
      </c>
      <c r="D2838" s="565">
        <v>42738</v>
      </c>
      <c r="E2838" s="565">
        <v>42766</v>
      </c>
      <c r="F2838" s="566">
        <v>12000000</v>
      </c>
      <c r="G2838" s="564" t="s">
        <v>5465</v>
      </c>
      <c r="H2838" s="564" t="s">
        <v>5465</v>
      </c>
      <c r="I2838" s="564" t="s">
        <v>45</v>
      </c>
      <c r="J2838" s="564" t="s">
        <v>1069</v>
      </c>
      <c r="K2838" s="564" t="s">
        <v>1090</v>
      </c>
      <c r="L2838" s="564" t="s">
        <v>2098</v>
      </c>
      <c r="M2838" s="564" t="s">
        <v>2098</v>
      </c>
      <c r="N2838" s="564" t="s">
        <v>45</v>
      </c>
      <c r="O2838" s="564" t="s">
        <v>2099</v>
      </c>
      <c r="P2838" s="23"/>
      <c r="Q2838" s="23"/>
      <c r="R2838" s="23"/>
      <c r="S2838" s="23"/>
      <c r="T2838" s="23"/>
      <c r="U2838" s="23"/>
      <c r="V2838" s="23"/>
      <c r="W2838" s="23"/>
      <c r="X2838" s="23"/>
      <c r="Y2838" s="23"/>
      <c r="Z2838" s="23"/>
    </row>
    <row r="2839" spans="1:26" ht="13">
      <c r="A2839" s="562" t="s">
        <v>6732</v>
      </c>
      <c r="B2839" s="563" t="s">
        <v>6733</v>
      </c>
      <c r="C2839" s="564" t="s">
        <v>1612</v>
      </c>
      <c r="D2839" s="565">
        <v>42738</v>
      </c>
      <c r="E2839" s="565">
        <v>42766</v>
      </c>
      <c r="F2839" s="566">
        <v>52500000</v>
      </c>
      <c r="G2839" s="564" t="s">
        <v>5465</v>
      </c>
      <c r="H2839" s="564" t="s">
        <v>5465</v>
      </c>
      <c r="I2839" s="564" t="s">
        <v>45</v>
      </c>
      <c r="J2839" s="564" t="s">
        <v>1069</v>
      </c>
      <c r="K2839" s="564" t="s">
        <v>1090</v>
      </c>
      <c r="L2839" s="564" t="s">
        <v>2098</v>
      </c>
      <c r="M2839" s="564" t="s">
        <v>2098</v>
      </c>
      <c r="N2839" s="564" t="s">
        <v>45</v>
      </c>
      <c r="O2839" s="564" t="s">
        <v>2099</v>
      </c>
      <c r="P2839" s="23"/>
      <c r="Q2839" s="23"/>
      <c r="R2839" s="23"/>
      <c r="S2839" s="23"/>
      <c r="T2839" s="23"/>
      <c r="U2839" s="23"/>
      <c r="V2839" s="23"/>
      <c r="W2839" s="23"/>
      <c r="X2839" s="23"/>
      <c r="Y2839" s="23"/>
      <c r="Z2839" s="23"/>
    </row>
    <row r="2840" spans="1:26" ht="13">
      <c r="A2840" s="562" t="s">
        <v>6734</v>
      </c>
      <c r="B2840" s="563" t="s">
        <v>6735</v>
      </c>
      <c r="C2840" s="564" t="s">
        <v>1612</v>
      </c>
      <c r="D2840" s="565">
        <v>42739</v>
      </c>
      <c r="E2840" s="565">
        <v>42825</v>
      </c>
      <c r="F2840" s="566">
        <v>90190909</v>
      </c>
      <c r="G2840" s="564" t="s">
        <v>1424</v>
      </c>
      <c r="H2840" s="564" t="s">
        <v>1424</v>
      </c>
      <c r="I2840" s="564" t="s">
        <v>6460</v>
      </c>
      <c r="J2840" s="564" t="s">
        <v>1069</v>
      </c>
      <c r="K2840" s="564" t="s">
        <v>1198</v>
      </c>
      <c r="L2840" s="564" t="s">
        <v>2098</v>
      </c>
      <c r="M2840" s="564" t="s">
        <v>2098</v>
      </c>
      <c r="N2840" s="564" t="s">
        <v>1368</v>
      </c>
      <c r="O2840" s="564" t="s">
        <v>2099</v>
      </c>
      <c r="P2840" s="23"/>
      <c r="Q2840" s="23"/>
      <c r="R2840" s="23"/>
      <c r="S2840" s="23"/>
      <c r="T2840" s="23"/>
      <c r="U2840" s="23"/>
      <c r="V2840" s="23"/>
      <c r="W2840" s="23"/>
      <c r="X2840" s="23"/>
      <c r="Y2840" s="23"/>
      <c r="Z2840" s="23"/>
    </row>
    <row r="2841" spans="1:26" ht="13">
      <c r="A2841" s="562" t="s">
        <v>6736</v>
      </c>
      <c r="B2841" s="563" t="s">
        <v>6737</v>
      </c>
      <c r="C2841" s="564" t="s">
        <v>1612</v>
      </c>
      <c r="D2841" s="565">
        <v>42737</v>
      </c>
      <c r="E2841" s="565">
        <v>42766</v>
      </c>
      <c r="F2841" s="566">
        <v>636364</v>
      </c>
      <c r="G2841" s="564" t="s">
        <v>1424</v>
      </c>
      <c r="H2841" s="564" t="s">
        <v>1424</v>
      </c>
      <c r="I2841" s="564" t="s">
        <v>6738</v>
      </c>
      <c r="J2841" s="564" t="s">
        <v>1069</v>
      </c>
      <c r="K2841" s="564" t="s">
        <v>1198</v>
      </c>
      <c r="L2841" s="564" t="s">
        <v>2098</v>
      </c>
      <c r="M2841" s="564" t="s">
        <v>2098</v>
      </c>
      <c r="N2841" s="564" t="s">
        <v>1368</v>
      </c>
      <c r="O2841" s="564" t="s">
        <v>2099</v>
      </c>
      <c r="P2841" s="23"/>
      <c r="Q2841" s="23"/>
      <c r="R2841" s="23"/>
      <c r="S2841" s="23"/>
      <c r="T2841" s="23"/>
      <c r="U2841" s="23"/>
      <c r="V2841" s="23"/>
      <c r="W2841" s="23"/>
      <c r="X2841" s="23"/>
      <c r="Y2841" s="23"/>
      <c r="Z2841" s="23"/>
    </row>
    <row r="2842" spans="1:26" ht="13">
      <c r="A2842" s="562" t="s">
        <v>6739</v>
      </c>
      <c r="B2842" s="563" t="s">
        <v>6740</v>
      </c>
      <c r="C2842" s="564" t="s">
        <v>1612</v>
      </c>
      <c r="D2842" s="565">
        <v>42733</v>
      </c>
      <c r="E2842" s="565">
        <v>42762</v>
      </c>
      <c r="F2842" s="566">
        <v>6750000</v>
      </c>
      <c r="G2842" s="564" t="s">
        <v>1424</v>
      </c>
      <c r="H2842" s="564" t="s">
        <v>1424</v>
      </c>
      <c r="I2842" s="564" t="s">
        <v>121</v>
      </c>
      <c r="J2842" s="564" t="s">
        <v>1069</v>
      </c>
      <c r="K2842" s="564" t="s">
        <v>1105</v>
      </c>
      <c r="L2842" s="564" t="s">
        <v>2098</v>
      </c>
      <c r="M2842" s="564" t="s">
        <v>2098</v>
      </c>
      <c r="N2842" s="564" t="s">
        <v>1073</v>
      </c>
      <c r="O2842" s="564" t="s">
        <v>2099</v>
      </c>
      <c r="P2842" s="23"/>
      <c r="Q2842" s="23"/>
      <c r="R2842" s="23"/>
      <c r="S2842" s="23"/>
      <c r="T2842" s="23"/>
      <c r="U2842" s="23"/>
      <c r="V2842" s="23"/>
      <c r="W2842" s="23"/>
      <c r="X2842" s="23"/>
      <c r="Y2842" s="23"/>
      <c r="Z2842" s="23"/>
    </row>
    <row r="2843" spans="1:26" ht="13">
      <c r="A2843" s="562" t="s">
        <v>6741</v>
      </c>
      <c r="B2843" s="563" t="s">
        <v>6742</v>
      </c>
      <c r="C2843" s="564" t="s">
        <v>1612</v>
      </c>
      <c r="D2843" s="565">
        <v>42734</v>
      </c>
      <c r="E2843" s="565">
        <v>42762</v>
      </c>
      <c r="F2843" s="566">
        <v>1788000</v>
      </c>
      <c r="G2843" s="564" t="s">
        <v>1424</v>
      </c>
      <c r="H2843" s="564" t="s">
        <v>1424</v>
      </c>
      <c r="I2843" s="564" t="s">
        <v>1781</v>
      </c>
      <c r="J2843" s="564" t="s">
        <v>1069</v>
      </c>
      <c r="K2843" s="564" t="s">
        <v>1070</v>
      </c>
      <c r="L2843" s="564" t="s">
        <v>2098</v>
      </c>
      <c r="M2843" s="564" t="s">
        <v>2098</v>
      </c>
      <c r="N2843" s="564" t="s">
        <v>1073</v>
      </c>
      <c r="O2843" s="564" t="s">
        <v>2099</v>
      </c>
      <c r="P2843" s="23"/>
      <c r="Q2843" s="23"/>
      <c r="R2843" s="23"/>
      <c r="S2843" s="23"/>
      <c r="T2843" s="23"/>
      <c r="U2843" s="23"/>
      <c r="V2843" s="23"/>
      <c r="W2843" s="23"/>
      <c r="X2843" s="23"/>
      <c r="Y2843" s="23"/>
      <c r="Z2843" s="23"/>
    </row>
    <row r="2844" spans="1:26" ht="13">
      <c r="A2844" s="562" t="s">
        <v>6743</v>
      </c>
      <c r="B2844" s="563" t="s">
        <v>6744</v>
      </c>
      <c r="C2844" s="564" t="s">
        <v>1612</v>
      </c>
      <c r="D2844" s="565">
        <v>42733</v>
      </c>
      <c r="E2844" s="565">
        <v>42734</v>
      </c>
      <c r="F2844" s="566">
        <v>20700000</v>
      </c>
      <c r="G2844" s="564" t="s">
        <v>5465</v>
      </c>
      <c r="H2844" s="564" t="s">
        <v>5465</v>
      </c>
      <c r="I2844" s="564" t="s">
        <v>45</v>
      </c>
      <c r="J2844" s="564" t="s">
        <v>1069</v>
      </c>
      <c r="K2844" s="564" t="s">
        <v>1090</v>
      </c>
      <c r="L2844" s="564" t="s">
        <v>2098</v>
      </c>
      <c r="M2844" s="564" t="s">
        <v>2098</v>
      </c>
      <c r="N2844" s="564" t="s">
        <v>45</v>
      </c>
      <c r="O2844" s="564" t="s">
        <v>2099</v>
      </c>
      <c r="P2844" s="23"/>
      <c r="Q2844" s="23"/>
      <c r="R2844" s="23"/>
      <c r="S2844" s="23"/>
      <c r="T2844" s="23"/>
      <c r="U2844" s="23"/>
      <c r="V2844" s="23"/>
      <c r="W2844" s="23"/>
      <c r="X2844" s="23"/>
      <c r="Y2844" s="23"/>
      <c r="Z2844" s="23"/>
    </row>
    <row r="2845" spans="1:26" ht="13">
      <c r="A2845" s="562" t="s">
        <v>6745</v>
      </c>
      <c r="B2845" s="563" t="s">
        <v>6746</v>
      </c>
      <c r="C2845" s="564" t="s">
        <v>2191</v>
      </c>
      <c r="D2845" s="565">
        <v>42732</v>
      </c>
      <c r="E2845" s="565">
        <v>42766</v>
      </c>
      <c r="F2845" s="566">
        <v>89454545</v>
      </c>
      <c r="G2845" s="564" t="s">
        <v>1424</v>
      </c>
      <c r="H2845" s="564" t="s">
        <v>1424</v>
      </c>
      <c r="I2845" s="564" t="s">
        <v>6738</v>
      </c>
      <c r="J2845" s="564" t="s">
        <v>1069</v>
      </c>
      <c r="K2845" s="564" t="s">
        <v>1198</v>
      </c>
      <c r="L2845" s="564" t="s">
        <v>2098</v>
      </c>
      <c r="M2845" s="564" t="s">
        <v>2098</v>
      </c>
      <c r="N2845" s="564" t="s">
        <v>1368</v>
      </c>
      <c r="O2845" s="564" t="s">
        <v>2099</v>
      </c>
      <c r="P2845" s="23"/>
      <c r="Q2845" s="23"/>
      <c r="R2845" s="23"/>
      <c r="S2845" s="23"/>
      <c r="T2845" s="23"/>
      <c r="U2845" s="23"/>
      <c r="V2845" s="23"/>
      <c r="W2845" s="23"/>
      <c r="X2845" s="23"/>
      <c r="Y2845" s="23"/>
      <c r="Z2845" s="23"/>
    </row>
    <row r="2846" spans="1:26" ht="13">
      <c r="A2846" s="562" t="s">
        <v>6747</v>
      </c>
      <c r="B2846" s="563" t="s">
        <v>5974</v>
      </c>
      <c r="C2846" s="564" t="s">
        <v>1612</v>
      </c>
      <c r="D2846" s="565">
        <v>42724</v>
      </c>
      <c r="E2846" s="565">
        <v>42755</v>
      </c>
      <c r="F2846" s="566">
        <v>4950000</v>
      </c>
      <c r="G2846" s="564" t="s">
        <v>1424</v>
      </c>
      <c r="H2846" s="564" t="s">
        <v>1424</v>
      </c>
      <c r="I2846" s="564" t="s">
        <v>45</v>
      </c>
      <c r="J2846" s="564" t="s">
        <v>1069</v>
      </c>
      <c r="K2846" s="564" t="s">
        <v>1090</v>
      </c>
      <c r="L2846" s="564" t="s">
        <v>2098</v>
      </c>
      <c r="M2846" s="564" t="s">
        <v>2098</v>
      </c>
      <c r="N2846" s="564" t="s">
        <v>45</v>
      </c>
      <c r="O2846" s="564" t="s">
        <v>2099</v>
      </c>
      <c r="P2846" s="23"/>
      <c r="Q2846" s="23"/>
      <c r="R2846" s="23"/>
      <c r="S2846" s="23"/>
      <c r="T2846" s="23"/>
      <c r="U2846" s="23"/>
      <c r="V2846" s="23"/>
      <c r="W2846" s="23"/>
      <c r="X2846" s="23"/>
      <c r="Y2846" s="23"/>
      <c r="Z2846" s="23"/>
    </row>
    <row r="2847" spans="1:26" ht="13">
      <c r="A2847" s="562" t="s">
        <v>6748</v>
      </c>
      <c r="B2847" s="563" t="s">
        <v>6749</v>
      </c>
      <c r="C2847" s="564" t="s">
        <v>1612</v>
      </c>
      <c r="D2847" s="565">
        <v>42724</v>
      </c>
      <c r="E2847" s="565">
        <v>42755</v>
      </c>
      <c r="F2847" s="566">
        <v>296000</v>
      </c>
      <c r="G2847" s="564" t="s">
        <v>1424</v>
      </c>
      <c r="H2847" s="564" t="s">
        <v>1424</v>
      </c>
      <c r="I2847" s="564" t="s">
        <v>2586</v>
      </c>
      <c r="J2847" s="564" t="s">
        <v>1069</v>
      </c>
      <c r="K2847" s="564" t="s">
        <v>1070</v>
      </c>
      <c r="L2847" s="564" t="s">
        <v>2098</v>
      </c>
      <c r="M2847" s="564" t="s">
        <v>2098</v>
      </c>
      <c r="N2847" s="564" t="s">
        <v>1073</v>
      </c>
      <c r="O2847" s="564" t="s">
        <v>2099</v>
      </c>
      <c r="P2847" s="23"/>
      <c r="Q2847" s="23"/>
      <c r="R2847" s="23"/>
      <c r="S2847" s="23"/>
      <c r="T2847" s="23"/>
      <c r="U2847" s="23"/>
      <c r="V2847" s="23"/>
      <c r="W2847" s="23"/>
      <c r="X2847" s="23"/>
      <c r="Y2847" s="23"/>
      <c r="Z2847" s="23"/>
    </row>
    <row r="2848" spans="1:26" ht="13">
      <c r="A2848" s="562" t="s">
        <v>6750</v>
      </c>
      <c r="B2848" s="563" t="s">
        <v>6751</v>
      </c>
      <c r="C2848" s="564" t="s">
        <v>1612</v>
      </c>
      <c r="D2848" s="565">
        <v>42724</v>
      </c>
      <c r="E2848" s="565">
        <v>42755</v>
      </c>
      <c r="F2848" s="566">
        <v>444000</v>
      </c>
      <c r="G2848" s="564" t="s">
        <v>1424</v>
      </c>
      <c r="H2848" s="564" t="s">
        <v>1424</v>
      </c>
      <c r="I2848" s="564" t="s">
        <v>3824</v>
      </c>
      <c r="J2848" s="564" t="s">
        <v>1069</v>
      </c>
      <c r="K2848" s="564" t="s">
        <v>1070</v>
      </c>
      <c r="L2848" s="564" t="s">
        <v>2098</v>
      </c>
      <c r="M2848" s="564" t="s">
        <v>2098</v>
      </c>
      <c r="N2848" s="564" t="s">
        <v>1073</v>
      </c>
      <c r="O2848" s="564" t="s">
        <v>2099</v>
      </c>
      <c r="P2848" s="23"/>
      <c r="Q2848" s="23"/>
      <c r="R2848" s="23"/>
      <c r="S2848" s="23"/>
      <c r="T2848" s="23"/>
      <c r="U2848" s="23"/>
      <c r="V2848" s="23"/>
      <c r="W2848" s="23"/>
      <c r="X2848" s="23"/>
      <c r="Y2848" s="23"/>
      <c r="Z2848" s="23"/>
    </row>
    <row r="2849" spans="1:26" ht="13">
      <c r="A2849" s="562" t="s">
        <v>6752</v>
      </c>
      <c r="B2849" s="563" t="s">
        <v>5501</v>
      </c>
      <c r="C2849" s="564" t="s">
        <v>1612</v>
      </c>
      <c r="D2849" s="565">
        <v>42726</v>
      </c>
      <c r="E2849" s="565">
        <v>42755</v>
      </c>
      <c r="F2849" s="566">
        <v>1420400</v>
      </c>
      <c r="G2849" s="564" t="s">
        <v>1424</v>
      </c>
      <c r="H2849" s="564" t="s">
        <v>1424</v>
      </c>
      <c r="I2849" s="564" t="s">
        <v>3824</v>
      </c>
      <c r="J2849" s="564" t="s">
        <v>1069</v>
      </c>
      <c r="K2849" s="564" t="s">
        <v>1070</v>
      </c>
      <c r="L2849" s="564" t="s">
        <v>2098</v>
      </c>
      <c r="M2849" s="564" t="s">
        <v>2098</v>
      </c>
      <c r="N2849" s="564" t="s">
        <v>1073</v>
      </c>
      <c r="O2849" s="564" t="s">
        <v>2099</v>
      </c>
      <c r="P2849" s="23"/>
      <c r="Q2849" s="23"/>
      <c r="R2849" s="23"/>
      <c r="S2849" s="23"/>
      <c r="T2849" s="23"/>
      <c r="U2849" s="23"/>
      <c r="V2849" s="23"/>
      <c r="W2849" s="23"/>
      <c r="X2849" s="23"/>
      <c r="Y2849" s="23"/>
      <c r="Z2849" s="23"/>
    </row>
    <row r="2850" spans="1:26" ht="13">
      <c r="A2850" s="562" t="s">
        <v>6753</v>
      </c>
      <c r="B2850" s="563" t="s">
        <v>6754</v>
      </c>
      <c r="C2850" s="564" t="s">
        <v>1612</v>
      </c>
      <c r="D2850" s="565">
        <v>42724</v>
      </c>
      <c r="E2850" s="565">
        <v>42755</v>
      </c>
      <c r="F2850" s="566">
        <v>9867000</v>
      </c>
      <c r="G2850" s="564" t="s">
        <v>1424</v>
      </c>
      <c r="H2850" s="564" t="s">
        <v>1424</v>
      </c>
      <c r="I2850" s="564" t="s">
        <v>45</v>
      </c>
      <c r="J2850" s="564" t="s">
        <v>1069</v>
      </c>
      <c r="K2850" s="564" t="s">
        <v>1090</v>
      </c>
      <c r="L2850" s="564" t="s">
        <v>2098</v>
      </c>
      <c r="M2850" s="564" t="s">
        <v>2098</v>
      </c>
      <c r="N2850" s="564" t="s">
        <v>45</v>
      </c>
      <c r="O2850" s="564" t="s">
        <v>2099</v>
      </c>
      <c r="P2850" s="23"/>
      <c r="Q2850" s="23"/>
      <c r="R2850" s="23"/>
      <c r="S2850" s="23"/>
      <c r="T2850" s="23"/>
      <c r="U2850" s="23"/>
      <c r="V2850" s="23"/>
      <c r="W2850" s="23"/>
      <c r="X2850" s="23"/>
      <c r="Y2850" s="23"/>
      <c r="Z2850" s="23"/>
    </row>
    <row r="2851" spans="1:26" ht="13">
      <c r="A2851" s="562" t="s">
        <v>6755</v>
      </c>
      <c r="B2851" s="563" t="s">
        <v>5497</v>
      </c>
      <c r="C2851" s="564" t="s">
        <v>1612</v>
      </c>
      <c r="D2851" s="565">
        <v>42726</v>
      </c>
      <c r="E2851" s="565">
        <v>42755</v>
      </c>
      <c r="F2851" s="566">
        <v>636000</v>
      </c>
      <c r="G2851" s="564" t="s">
        <v>1424</v>
      </c>
      <c r="H2851" s="564" t="s">
        <v>1424</v>
      </c>
      <c r="I2851" s="564" t="s">
        <v>2586</v>
      </c>
      <c r="J2851" s="564" t="s">
        <v>1069</v>
      </c>
      <c r="K2851" s="564" t="s">
        <v>1070</v>
      </c>
      <c r="L2851" s="564" t="s">
        <v>2098</v>
      </c>
      <c r="M2851" s="564" t="s">
        <v>2098</v>
      </c>
      <c r="N2851" s="564" t="s">
        <v>1073</v>
      </c>
      <c r="O2851" s="564" t="s">
        <v>2099</v>
      </c>
      <c r="P2851" s="23"/>
      <c r="Q2851" s="23"/>
      <c r="R2851" s="23"/>
      <c r="S2851" s="23"/>
      <c r="T2851" s="23"/>
      <c r="U2851" s="23"/>
      <c r="V2851" s="23"/>
      <c r="W2851" s="23"/>
      <c r="X2851" s="23"/>
      <c r="Y2851" s="23"/>
      <c r="Z2851" s="23"/>
    </row>
    <row r="2852" spans="1:26" ht="13">
      <c r="A2852" s="562" t="s">
        <v>6756</v>
      </c>
      <c r="B2852" s="563" t="s">
        <v>6757</v>
      </c>
      <c r="C2852" s="564" t="s">
        <v>1612</v>
      </c>
      <c r="D2852" s="565">
        <v>42724</v>
      </c>
      <c r="E2852" s="565">
        <v>42748</v>
      </c>
      <c r="F2852" s="566">
        <v>790909</v>
      </c>
      <c r="G2852" s="564" t="s">
        <v>1623</v>
      </c>
      <c r="H2852" s="564" t="s">
        <v>1623</v>
      </c>
      <c r="I2852" s="564" t="s">
        <v>802</v>
      </c>
      <c r="J2852" s="564" t="s">
        <v>1069</v>
      </c>
      <c r="K2852" s="564" t="s">
        <v>1198</v>
      </c>
      <c r="L2852" s="564" t="s">
        <v>2098</v>
      </c>
      <c r="M2852" s="564" t="s">
        <v>2098</v>
      </c>
      <c r="N2852" s="564" t="s">
        <v>132</v>
      </c>
      <c r="O2852" s="564" t="s">
        <v>2099</v>
      </c>
      <c r="P2852" s="23"/>
      <c r="Q2852" s="23"/>
      <c r="R2852" s="23"/>
      <c r="S2852" s="23"/>
      <c r="T2852" s="23"/>
      <c r="U2852" s="23"/>
      <c r="V2852" s="23"/>
      <c r="W2852" s="23"/>
      <c r="X2852" s="23"/>
      <c r="Y2852" s="23"/>
      <c r="Z2852" s="23"/>
    </row>
    <row r="2853" spans="1:26" ht="13">
      <c r="A2853" s="562" t="s">
        <v>6758</v>
      </c>
      <c r="B2853" s="563" t="s">
        <v>6759</v>
      </c>
      <c r="C2853" s="564" t="s">
        <v>1612</v>
      </c>
      <c r="D2853" s="565">
        <v>42719</v>
      </c>
      <c r="E2853" s="565">
        <v>42734</v>
      </c>
      <c r="F2853" s="566">
        <v>2318000</v>
      </c>
      <c r="G2853" s="564" t="s">
        <v>1636</v>
      </c>
      <c r="H2853" s="564" t="s">
        <v>1636</v>
      </c>
      <c r="I2853" s="564" t="s">
        <v>1637</v>
      </c>
      <c r="J2853" s="564" t="s">
        <v>1069</v>
      </c>
      <c r="K2853" s="564" t="s">
        <v>1120</v>
      </c>
      <c r="L2853" s="564" t="s">
        <v>2098</v>
      </c>
      <c r="M2853" s="564" t="s">
        <v>2098</v>
      </c>
      <c r="N2853" s="564" t="s">
        <v>1073</v>
      </c>
      <c r="O2853" s="564" t="s">
        <v>2099</v>
      </c>
      <c r="P2853" s="23"/>
      <c r="Q2853" s="23"/>
      <c r="R2853" s="23"/>
      <c r="S2853" s="23"/>
      <c r="T2853" s="23"/>
      <c r="U2853" s="23"/>
      <c r="V2853" s="23"/>
      <c r="W2853" s="23"/>
      <c r="X2853" s="23"/>
      <c r="Y2853" s="23"/>
      <c r="Z2853" s="23"/>
    </row>
    <row r="2854" spans="1:26" ht="13">
      <c r="A2854" s="562" t="s">
        <v>6760</v>
      </c>
      <c r="B2854" s="563" t="s">
        <v>6761</v>
      </c>
      <c r="C2854" s="564" t="s">
        <v>2191</v>
      </c>
      <c r="D2854" s="565">
        <v>42716</v>
      </c>
      <c r="E2854" s="565">
        <v>42741</v>
      </c>
      <c r="F2854" s="566">
        <v>41106000</v>
      </c>
      <c r="G2854" s="564" t="s">
        <v>1636</v>
      </c>
      <c r="H2854" s="564" t="s">
        <v>1636</v>
      </c>
      <c r="I2854" s="564" t="s">
        <v>6762</v>
      </c>
      <c r="J2854" s="564" t="s">
        <v>1069</v>
      </c>
      <c r="K2854" s="564" t="s">
        <v>1070</v>
      </c>
      <c r="L2854" s="564" t="s">
        <v>2098</v>
      </c>
      <c r="M2854" s="564" t="s">
        <v>2098</v>
      </c>
      <c r="N2854" s="564" t="s">
        <v>1082</v>
      </c>
      <c r="O2854" s="564" t="s">
        <v>2099</v>
      </c>
      <c r="P2854" s="23"/>
      <c r="Q2854" s="23"/>
      <c r="R2854" s="23"/>
      <c r="S2854" s="23"/>
      <c r="T2854" s="23"/>
      <c r="U2854" s="23"/>
      <c r="V2854" s="23"/>
      <c r="W2854" s="23"/>
      <c r="X2854" s="23"/>
      <c r="Y2854" s="23"/>
      <c r="Z2854" s="23"/>
    </row>
    <row r="2855" spans="1:26" ht="13">
      <c r="A2855" s="562" t="s">
        <v>6763</v>
      </c>
      <c r="B2855" s="563" t="s">
        <v>6764</v>
      </c>
      <c r="C2855" s="564" t="s">
        <v>1612</v>
      </c>
      <c r="D2855" s="565">
        <v>42716</v>
      </c>
      <c r="E2855" s="565">
        <v>42705</v>
      </c>
      <c r="F2855" s="566">
        <v>6688440</v>
      </c>
      <c r="G2855" s="564" t="s">
        <v>1424</v>
      </c>
      <c r="H2855" s="564" t="s">
        <v>1424</v>
      </c>
      <c r="I2855" s="564" t="s">
        <v>45</v>
      </c>
      <c r="J2855" s="564" t="s">
        <v>1069</v>
      </c>
      <c r="K2855" s="564" t="s">
        <v>1090</v>
      </c>
      <c r="L2855" s="564" t="s">
        <v>1071</v>
      </c>
      <c r="M2855" s="564" t="s">
        <v>1183</v>
      </c>
      <c r="N2855" s="564" t="s">
        <v>45</v>
      </c>
      <c r="O2855" s="564" t="s">
        <v>2099</v>
      </c>
      <c r="P2855" s="23"/>
      <c r="Q2855" s="23"/>
      <c r="R2855" s="23"/>
      <c r="S2855" s="23"/>
      <c r="T2855" s="23"/>
      <c r="U2855" s="23"/>
      <c r="V2855" s="23"/>
      <c r="W2855" s="23"/>
      <c r="X2855" s="23"/>
      <c r="Y2855" s="23"/>
      <c r="Z2855" s="23"/>
    </row>
    <row r="2856" spans="1:26" ht="13">
      <c r="A2856" s="562" t="s">
        <v>6765</v>
      </c>
      <c r="B2856" s="563" t="s">
        <v>6766</v>
      </c>
      <c r="C2856" s="564" t="s">
        <v>1612</v>
      </c>
      <c r="D2856" s="565">
        <v>42716</v>
      </c>
      <c r="E2856" s="565">
        <v>42705</v>
      </c>
      <c r="F2856" s="566">
        <v>1672680</v>
      </c>
      <c r="G2856" s="564" t="s">
        <v>1424</v>
      </c>
      <c r="H2856" s="564" t="s">
        <v>1424</v>
      </c>
      <c r="I2856" s="564" t="s">
        <v>45</v>
      </c>
      <c r="J2856" s="564" t="s">
        <v>1069</v>
      </c>
      <c r="K2856" s="564" t="s">
        <v>1090</v>
      </c>
      <c r="L2856" s="564" t="s">
        <v>1071</v>
      </c>
      <c r="M2856" s="564" t="s">
        <v>1183</v>
      </c>
      <c r="N2856" s="564" t="s">
        <v>45</v>
      </c>
      <c r="O2856" s="564" t="s">
        <v>2099</v>
      </c>
      <c r="P2856" s="23"/>
      <c r="Q2856" s="23"/>
      <c r="R2856" s="23"/>
      <c r="S2856" s="23"/>
      <c r="T2856" s="23"/>
      <c r="U2856" s="23"/>
      <c r="V2856" s="23"/>
      <c r="W2856" s="23"/>
      <c r="X2856" s="23"/>
      <c r="Y2856" s="23"/>
      <c r="Z2856" s="23"/>
    </row>
    <row r="2857" spans="1:26" ht="13">
      <c r="A2857" s="562" t="s">
        <v>6767</v>
      </c>
      <c r="B2857" s="563" t="s">
        <v>6768</v>
      </c>
      <c r="C2857" s="564" t="s">
        <v>2191</v>
      </c>
      <c r="D2857" s="565">
        <v>42717</v>
      </c>
      <c r="E2857" s="565">
        <v>42734</v>
      </c>
      <c r="F2857" s="566">
        <v>91679370</v>
      </c>
      <c r="G2857" s="564" t="s">
        <v>1424</v>
      </c>
      <c r="H2857" s="564" t="s">
        <v>1424</v>
      </c>
      <c r="I2857" s="564" t="s">
        <v>6662</v>
      </c>
      <c r="J2857" s="564" t="s">
        <v>1069</v>
      </c>
      <c r="K2857" s="564" t="s">
        <v>1198</v>
      </c>
      <c r="L2857" s="564" t="s">
        <v>2098</v>
      </c>
      <c r="M2857" s="564" t="s">
        <v>2098</v>
      </c>
      <c r="N2857" s="564" t="s">
        <v>1082</v>
      </c>
      <c r="O2857" s="564" t="s">
        <v>2099</v>
      </c>
      <c r="P2857" s="23"/>
      <c r="Q2857" s="23"/>
      <c r="R2857" s="23"/>
      <c r="S2857" s="23"/>
      <c r="T2857" s="23"/>
      <c r="U2857" s="23"/>
      <c r="V2857" s="23"/>
      <c r="W2857" s="23"/>
      <c r="X2857" s="23"/>
      <c r="Y2857" s="23"/>
      <c r="Z2857" s="23"/>
    </row>
    <row r="2858" spans="1:26" ht="13">
      <c r="A2858" s="562" t="s">
        <v>6769</v>
      </c>
      <c r="B2858" s="563" t="s">
        <v>6770</v>
      </c>
      <c r="C2858" s="564" t="s">
        <v>1612</v>
      </c>
      <c r="D2858" s="565">
        <v>42717</v>
      </c>
      <c r="E2858" s="565">
        <v>42748</v>
      </c>
      <c r="F2858" s="566">
        <v>4080000</v>
      </c>
      <c r="G2858" s="564" t="s">
        <v>1424</v>
      </c>
      <c r="H2858" s="564" t="s">
        <v>1424</v>
      </c>
      <c r="I2858" s="564" t="s">
        <v>70</v>
      </c>
      <c r="J2858" s="564" t="s">
        <v>1069</v>
      </c>
      <c r="K2858" s="564" t="s">
        <v>1120</v>
      </c>
      <c r="L2858" s="564" t="s">
        <v>2098</v>
      </c>
      <c r="M2858" s="564" t="s">
        <v>2098</v>
      </c>
      <c r="N2858" s="564" t="s">
        <v>70</v>
      </c>
      <c r="O2858" s="564" t="s">
        <v>2099</v>
      </c>
      <c r="P2858" s="23"/>
      <c r="Q2858" s="23"/>
      <c r="R2858" s="23"/>
      <c r="S2858" s="23"/>
      <c r="T2858" s="23"/>
      <c r="U2858" s="23"/>
      <c r="V2858" s="23"/>
      <c r="W2858" s="23"/>
      <c r="X2858" s="23"/>
      <c r="Y2858" s="23"/>
      <c r="Z2858" s="23"/>
    </row>
    <row r="2859" spans="1:26" ht="13">
      <c r="A2859" s="562" t="s">
        <v>6771</v>
      </c>
      <c r="B2859" s="563" t="s">
        <v>6772</v>
      </c>
      <c r="C2859" s="564" t="s">
        <v>1612</v>
      </c>
      <c r="D2859" s="565">
        <v>42713</v>
      </c>
      <c r="E2859" s="565">
        <v>42719</v>
      </c>
      <c r="F2859" s="566">
        <v>1590000</v>
      </c>
      <c r="G2859" s="564" t="s">
        <v>1623</v>
      </c>
      <c r="H2859" s="564" t="s">
        <v>1623</v>
      </c>
      <c r="I2859" s="564" t="s">
        <v>802</v>
      </c>
      <c r="J2859" s="564" t="s">
        <v>1069</v>
      </c>
      <c r="K2859" s="564" t="s">
        <v>1198</v>
      </c>
      <c r="L2859" s="564" t="s">
        <v>2098</v>
      </c>
      <c r="M2859" s="564" t="s">
        <v>2098</v>
      </c>
      <c r="N2859" s="564" t="s">
        <v>132</v>
      </c>
      <c r="O2859" s="564" t="s">
        <v>2099</v>
      </c>
      <c r="P2859" s="23"/>
      <c r="Q2859" s="23"/>
      <c r="R2859" s="23"/>
      <c r="S2859" s="23"/>
      <c r="T2859" s="23"/>
      <c r="U2859" s="23"/>
      <c r="V2859" s="23"/>
      <c r="W2859" s="23"/>
      <c r="X2859" s="23"/>
      <c r="Y2859" s="23"/>
      <c r="Z2859" s="23"/>
    </row>
    <row r="2860" spans="1:26" ht="13">
      <c r="A2860" s="562" t="s">
        <v>6773</v>
      </c>
      <c r="B2860" s="563" t="s">
        <v>6774</v>
      </c>
      <c r="C2860" s="564" t="s">
        <v>1612</v>
      </c>
      <c r="D2860" s="565">
        <v>42713</v>
      </c>
      <c r="E2860" s="565">
        <v>42741</v>
      </c>
      <c r="F2860" s="566">
        <v>2196045</v>
      </c>
      <c r="G2860" s="564" t="s">
        <v>1623</v>
      </c>
      <c r="H2860" s="564" t="s">
        <v>1623</v>
      </c>
      <c r="I2860" s="564" t="s">
        <v>802</v>
      </c>
      <c r="J2860" s="564" t="s">
        <v>1069</v>
      </c>
      <c r="K2860" s="564" t="s">
        <v>1198</v>
      </c>
      <c r="L2860" s="564" t="s">
        <v>2098</v>
      </c>
      <c r="M2860" s="564" t="s">
        <v>2098</v>
      </c>
      <c r="N2860" s="564" t="s">
        <v>132</v>
      </c>
      <c r="O2860" s="564" t="s">
        <v>2099</v>
      </c>
      <c r="P2860" s="23"/>
      <c r="Q2860" s="23"/>
      <c r="R2860" s="23"/>
      <c r="S2860" s="23"/>
      <c r="T2860" s="23"/>
      <c r="U2860" s="23"/>
      <c r="V2860" s="23"/>
      <c r="W2860" s="23"/>
      <c r="X2860" s="23"/>
      <c r="Y2860" s="23"/>
      <c r="Z2860" s="23"/>
    </row>
    <row r="2861" spans="1:26" ht="13">
      <c r="A2861" s="562" t="s">
        <v>6775</v>
      </c>
      <c r="B2861" s="563" t="s">
        <v>6198</v>
      </c>
      <c r="C2861" s="564" t="s">
        <v>1612</v>
      </c>
      <c r="D2861" s="565">
        <v>42712</v>
      </c>
      <c r="E2861" s="565">
        <v>42734</v>
      </c>
      <c r="F2861" s="566">
        <v>12045000</v>
      </c>
      <c r="G2861" s="564" t="s">
        <v>5465</v>
      </c>
      <c r="H2861" s="564" t="s">
        <v>5465</v>
      </c>
      <c r="I2861" s="564" t="s">
        <v>45</v>
      </c>
      <c r="J2861" s="564" t="s">
        <v>1069</v>
      </c>
      <c r="K2861" s="564" t="s">
        <v>1090</v>
      </c>
      <c r="L2861" s="564" t="s">
        <v>2098</v>
      </c>
      <c r="M2861" s="564" t="s">
        <v>2098</v>
      </c>
      <c r="N2861" s="564" t="s">
        <v>45</v>
      </c>
      <c r="O2861" s="564" t="s">
        <v>2099</v>
      </c>
      <c r="P2861" s="23"/>
      <c r="Q2861" s="23"/>
      <c r="R2861" s="23"/>
      <c r="S2861" s="23"/>
      <c r="T2861" s="23"/>
      <c r="U2861" s="23"/>
      <c r="V2861" s="23"/>
      <c r="W2861" s="23"/>
      <c r="X2861" s="23"/>
      <c r="Y2861" s="23"/>
      <c r="Z2861" s="23"/>
    </row>
    <row r="2862" spans="1:26" ht="13">
      <c r="A2862" s="562" t="s">
        <v>6776</v>
      </c>
      <c r="B2862" s="563" t="s">
        <v>6777</v>
      </c>
      <c r="C2862" s="564" t="s">
        <v>1612</v>
      </c>
      <c r="D2862" s="565">
        <v>42710</v>
      </c>
      <c r="E2862" s="565">
        <v>42734</v>
      </c>
      <c r="F2862" s="566">
        <v>258410</v>
      </c>
      <c r="G2862" s="564" t="s">
        <v>1424</v>
      </c>
      <c r="H2862" s="564" t="s">
        <v>1424</v>
      </c>
      <c r="I2862" s="564" t="s">
        <v>1628</v>
      </c>
      <c r="J2862" s="564" t="s">
        <v>1069</v>
      </c>
      <c r="K2862" s="564" t="s">
        <v>1105</v>
      </c>
      <c r="L2862" s="564" t="s">
        <v>2098</v>
      </c>
      <c r="M2862" s="564" t="s">
        <v>2098</v>
      </c>
      <c r="N2862" s="564" t="s">
        <v>1073</v>
      </c>
      <c r="O2862" s="564" t="s">
        <v>2099</v>
      </c>
      <c r="P2862" s="23"/>
      <c r="Q2862" s="23"/>
      <c r="R2862" s="23"/>
      <c r="S2862" s="23"/>
      <c r="T2862" s="23"/>
      <c r="U2862" s="23"/>
      <c r="V2862" s="23"/>
      <c r="W2862" s="23"/>
      <c r="X2862" s="23"/>
      <c r="Y2862" s="23"/>
      <c r="Z2862" s="23"/>
    </row>
    <row r="2863" spans="1:26" ht="13">
      <c r="A2863" s="562" t="s">
        <v>6778</v>
      </c>
      <c r="B2863" s="563" t="s">
        <v>6779</v>
      </c>
      <c r="C2863" s="564" t="s">
        <v>1612</v>
      </c>
      <c r="D2863" s="565">
        <v>42706</v>
      </c>
      <c r="E2863" s="565">
        <v>42715</v>
      </c>
      <c r="F2863" s="566">
        <v>8415000</v>
      </c>
      <c r="G2863" s="564" t="s">
        <v>6780</v>
      </c>
      <c r="H2863" s="564" t="s">
        <v>6780</v>
      </c>
      <c r="I2863" s="564" t="s">
        <v>257</v>
      </c>
      <c r="J2863" s="564" t="s">
        <v>1069</v>
      </c>
      <c r="K2863" s="564" t="s">
        <v>1209</v>
      </c>
      <c r="L2863" s="564" t="s">
        <v>2098</v>
      </c>
      <c r="M2863" s="564" t="s">
        <v>2098</v>
      </c>
      <c r="N2863" s="564" t="s">
        <v>257</v>
      </c>
      <c r="O2863" s="564" t="s">
        <v>2099</v>
      </c>
      <c r="P2863" s="23"/>
      <c r="Q2863" s="23"/>
      <c r="R2863" s="23"/>
      <c r="S2863" s="23"/>
      <c r="T2863" s="23"/>
      <c r="U2863" s="23"/>
      <c r="V2863" s="23"/>
      <c r="W2863" s="23"/>
      <c r="X2863" s="23"/>
      <c r="Y2863" s="23"/>
      <c r="Z2863" s="23"/>
    </row>
    <row r="2864" spans="1:26" ht="13">
      <c r="A2864" s="562" t="s">
        <v>6781</v>
      </c>
      <c r="B2864" s="563" t="s">
        <v>6782</v>
      </c>
      <c r="C2864" s="564" t="s">
        <v>2191</v>
      </c>
      <c r="D2864" s="565">
        <v>42705</v>
      </c>
      <c r="E2864" s="565">
        <v>42719</v>
      </c>
      <c r="F2864" s="566">
        <v>11500000</v>
      </c>
      <c r="G2864" s="564" t="s">
        <v>1157</v>
      </c>
      <c r="H2864" s="564" t="s">
        <v>1157</v>
      </c>
      <c r="I2864" s="564" t="s">
        <v>6783</v>
      </c>
      <c r="J2864" s="564" t="s">
        <v>1069</v>
      </c>
      <c r="K2864" s="564" t="s">
        <v>1105</v>
      </c>
      <c r="L2864" s="564" t="s">
        <v>2098</v>
      </c>
      <c r="M2864" s="564" t="s">
        <v>2098</v>
      </c>
      <c r="N2864" s="564" t="s">
        <v>1082</v>
      </c>
      <c r="O2864" s="564" t="s">
        <v>2099</v>
      </c>
      <c r="P2864" s="23"/>
      <c r="Q2864" s="23"/>
      <c r="R2864" s="23"/>
      <c r="S2864" s="23"/>
      <c r="T2864" s="23"/>
      <c r="U2864" s="23"/>
      <c r="V2864" s="23"/>
      <c r="W2864" s="23"/>
      <c r="X2864" s="23"/>
      <c r="Y2864" s="23"/>
      <c r="Z2864" s="23"/>
    </row>
    <row r="2865" spans="1:26" ht="13">
      <c r="A2865" s="562" t="s">
        <v>6784</v>
      </c>
      <c r="B2865" s="563" t="s">
        <v>6785</v>
      </c>
      <c r="C2865" s="564" t="s">
        <v>1612</v>
      </c>
      <c r="D2865" s="565">
        <v>42705</v>
      </c>
      <c r="E2865" s="565">
        <v>42727</v>
      </c>
      <c r="F2865" s="566">
        <v>883000</v>
      </c>
      <c r="G2865" s="564" t="s">
        <v>1424</v>
      </c>
      <c r="H2865" s="564" t="s">
        <v>1424</v>
      </c>
      <c r="I2865" s="564" t="s">
        <v>1586</v>
      </c>
      <c r="J2865" s="564" t="s">
        <v>1069</v>
      </c>
      <c r="K2865" s="564" t="s">
        <v>1090</v>
      </c>
      <c r="L2865" s="564" t="s">
        <v>2098</v>
      </c>
      <c r="M2865" s="564" t="s">
        <v>2098</v>
      </c>
      <c r="N2865" s="564" t="s">
        <v>1073</v>
      </c>
      <c r="O2865" s="564" t="s">
        <v>2099</v>
      </c>
      <c r="P2865" s="23"/>
      <c r="Q2865" s="23"/>
      <c r="R2865" s="23"/>
      <c r="S2865" s="23"/>
      <c r="T2865" s="23"/>
      <c r="U2865" s="23"/>
      <c r="V2865" s="23"/>
      <c r="W2865" s="23"/>
      <c r="X2865" s="23"/>
      <c r="Y2865" s="23"/>
      <c r="Z2865" s="23"/>
    </row>
    <row r="2866" spans="1:26" ht="13">
      <c r="A2866" s="562" t="s">
        <v>6786</v>
      </c>
      <c r="B2866" s="563" t="s">
        <v>5810</v>
      </c>
      <c r="C2866" s="564" t="s">
        <v>1612</v>
      </c>
      <c r="D2866" s="565">
        <v>42706</v>
      </c>
      <c r="E2866" s="565">
        <v>42734</v>
      </c>
      <c r="F2866" s="566">
        <v>1030000</v>
      </c>
      <c r="G2866" s="564" t="s">
        <v>1424</v>
      </c>
      <c r="H2866" s="564" t="s">
        <v>1424</v>
      </c>
      <c r="I2866" s="564" t="s">
        <v>70</v>
      </c>
      <c r="J2866" s="564" t="s">
        <v>1069</v>
      </c>
      <c r="K2866" s="564" t="s">
        <v>1120</v>
      </c>
      <c r="L2866" s="564" t="s">
        <v>2098</v>
      </c>
      <c r="M2866" s="564" t="s">
        <v>2098</v>
      </c>
      <c r="N2866" s="564" t="s">
        <v>70</v>
      </c>
      <c r="O2866" s="564" t="s">
        <v>2099</v>
      </c>
      <c r="P2866" s="23"/>
      <c r="Q2866" s="23"/>
      <c r="R2866" s="23"/>
      <c r="S2866" s="23"/>
      <c r="T2866" s="23"/>
      <c r="U2866" s="23"/>
      <c r="V2866" s="23"/>
      <c r="W2866" s="23"/>
      <c r="X2866" s="23"/>
      <c r="Y2866" s="23"/>
      <c r="Z2866" s="23"/>
    </row>
    <row r="2867" spans="1:26" ht="13">
      <c r="A2867" s="562" t="s">
        <v>6787</v>
      </c>
      <c r="B2867" s="563" t="s">
        <v>6788</v>
      </c>
      <c r="C2867" s="564" t="s">
        <v>1612</v>
      </c>
      <c r="D2867" s="565">
        <v>42702</v>
      </c>
      <c r="E2867" s="565">
        <v>42731</v>
      </c>
      <c r="F2867" s="566">
        <v>37090909</v>
      </c>
      <c r="G2867" s="564" t="s">
        <v>1623</v>
      </c>
      <c r="H2867" s="564" t="s">
        <v>1623</v>
      </c>
      <c r="I2867" s="564" t="s">
        <v>802</v>
      </c>
      <c r="J2867" s="564" t="s">
        <v>1069</v>
      </c>
      <c r="K2867" s="564" t="s">
        <v>1198</v>
      </c>
      <c r="L2867" s="564" t="s">
        <v>2098</v>
      </c>
      <c r="M2867" s="564" t="s">
        <v>2098</v>
      </c>
      <c r="N2867" s="564" t="s">
        <v>132</v>
      </c>
      <c r="O2867" s="564" t="s">
        <v>2099</v>
      </c>
      <c r="P2867" s="23"/>
      <c r="Q2867" s="23"/>
      <c r="R2867" s="23"/>
      <c r="S2867" s="23"/>
      <c r="T2867" s="23"/>
      <c r="U2867" s="23"/>
      <c r="V2867" s="23"/>
      <c r="W2867" s="23"/>
      <c r="X2867" s="23"/>
      <c r="Y2867" s="23"/>
      <c r="Z2867" s="23"/>
    </row>
    <row r="2868" spans="1:26" ht="13">
      <c r="A2868" s="562" t="s">
        <v>6789</v>
      </c>
      <c r="B2868" s="563" t="s">
        <v>6790</v>
      </c>
      <c r="C2868" s="564" t="s">
        <v>2191</v>
      </c>
      <c r="D2868" s="565">
        <v>42702</v>
      </c>
      <c r="E2868" s="565">
        <v>42711</v>
      </c>
      <c r="F2868" s="566">
        <v>2827153000</v>
      </c>
      <c r="G2868" s="564" t="s">
        <v>1529</v>
      </c>
      <c r="H2868" s="564" t="s">
        <v>1529</v>
      </c>
      <c r="I2868" s="564" t="s">
        <v>1842</v>
      </c>
      <c r="J2868" s="564" t="s">
        <v>1069</v>
      </c>
      <c r="K2868" s="564" t="s">
        <v>1070</v>
      </c>
      <c r="L2868" s="564" t="s">
        <v>2098</v>
      </c>
      <c r="M2868" s="564" t="s">
        <v>2098</v>
      </c>
      <c r="N2868" s="564" t="s">
        <v>1082</v>
      </c>
      <c r="O2868" s="564" t="s">
        <v>2099</v>
      </c>
      <c r="P2868" s="23"/>
      <c r="Q2868" s="23"/>
      <c r="R2868" s="23"/>
      <c r="S2868" s="23"/>
      <c r="T2868" s="23"/>
      <c r="U2868" s="23"/>
      <c r="V2868" s="23"/>
      <c r="W2868" s="23"/>
      <c r="X2868" s="23"/>
      <c r="Y2868" s="23"/>
      <c r="Z2868" s="23"/>
    </row>
    <row r="2869" spans="1:26" ht="13">
      <c r="A2869" s="562" t="s">
        <v>6791</v>
      </c>
      <c r="B2869" s="563" t="s">
        <v>6792</v>
      </c>
      <c r="C2869" s="564" t="s">
        <v>2191</v>
      </c>
      <c r="D2869" s="565">
        <v>42698</v>
      </c>
      <c r="E2869" s="565">
        <v>42710</v>
      </c>
      <c r="F2869" s="566">
        <v>73910000</v>
      </c>
      <c r="G2869" s="564" t="s">
        <v>1157</v>
      </c>
      <c r="H2869" s="564" t="s">
        <v>1157</v>
      </c>
      <c r="I2869" s="564" t="s">
        <v>6783</v>
      </c>
      <c r="J2869" s="564" t="s">
        <v>1069</v>
      </c>
      <c r="K2869" s="564" t="s">
        <v>1105</v>
      </c>
      <c r="L2869" s="564" t="s">
        <v>2098</v>
      </c>
      <c r="M2869" s="564" t="s">
        <v>2098</v>
      </c>
      <c r="N2869" s="564" t="s">
        <v>1082</v>
      </c>
      <c r="O2869" s="564" t="s">
        <v>2099</v>
      </c>
      <c r="P2869" s="23"/>
      <c r="Q2869" s="23"/>
      <c r="R2869" s="23"/>
      <c r="S2869" s="23"/>
      <c r="T2869" s="23"/>
      <c r="U2869" s="23"/>
      <c r="V2869" s="23"/>
      <c r="W2869" s="23"/>
      <c r="X2869" s="23"/>
      <c r="Y2869" s="23"/>
      <c r="Z2869" s="23"/>
    </row>
    <row r="2870" spans="1:26" ht="13">
      <c r="A2870" s="562" t="s">
        <v>6793</v>
      </c>
      <c r="B2870" s="563" t="s">
        <v>6794</v>
      </c>
      <c r="C2870" s="564" t="s">
        <v>1612</v>
      </c>
      <c r="D2870" s="565">
        <v>42689</v>
      </c>
      <c r="E2870" s="565">
        <v>42713</v>
      </c>
      <c r="F2870" s="566">
        <v>16767273</v>
      </c>
      <c r="G2870" s="564" t="s">
        <v>1623</v>
      </c>
      <c r="H2870" s="564" t="s">
        <v>1623</v>
      </c>
      <c r="I2870" s="564" t="s">
        <v>802</v>
      </c>
      <c r="J2870" s="564" t="s">
        <v>1069</v>
      </c>
      <c r="K2870" s="564" t="s">
        <v>1198</v>
      </c>
      <c r="L2870" s="564" t="s">
        <v>2098</v>
      </c>
      <c r="M2870" s="564" t="s">
        <v>2098</v>
      </c>
      <c r="N2870" s="564" t="s">
        <v>132</v>
      </c>
      <c r="O2870" s="564" t="s">
        <v>2099</v>
      </c>
      <c r="P2870" s="23"/>
      <c r="Q2870" s="23"/>
      <c r="R2870" s="23"/>
      <c r="S2870" s="23"/>
      <c r="T2870" s="23"/>
      <c r="U2870" s="23"/>
      <c r="V2870" s="23"/>
      <c r="W2870" s="23"/>
      <c r="X2870" s="23"/>
      <c r="Y2870" s="23"/>
      <c r="Z2870" s="23"/>
    </row>
    <row r="2871" spans="1:26" ht="13">
      <c r="A2871" s="562" t="s">
        <v>6795</v>
      </c>
      <c r="B2871" s="563" t="s">
        <v>6796</v>
      </c>
      <c r="C2871" s="564" t="s">
        <v>1612</v>
      </c>
      <c r="D2871" s="565">
        <v>42690</v>
      </c>
      <c r="E2871" s="565">
        <v>42719</v>
      </c>
      <c r="F2871" s="566">
        <v>9578000</v>
      </c>
      <c r="G2871" s="564" t="s">
        <v>1123</v>
      </c>
      <c r="H2871" s="564" t="s">
        <v>1123</v>
      </c>
      <c r="I2871" s="564" t="s">
        <v>1781</v>
      </c>
      <c r="J2871" s="564" t="s">
        <v>1069</v>
      </c>
      <c r="K2871" s="564" t="s">
        <v>1070</v>
      </c>
      <c r="L2871" s="564" t="s">
        <v>2098</v>
      </c>
      <c r="M2871" s="564" t="s">
        <v>2098</v>
      </c>
      <c r="N2871" s="564" t="s">
        <v>1073</v>
      </c>
      <c r="O2871" s="564" t="s">
        <v>2099</v>
      </c>
      <c r="P2871" s="23"/>
      <c r="Q2871" s="23"/>
      <c r="R2871" s="23"/>
      <c r="S2871" s="23"/>
      <c r="T2871" s="23"/>
      <c r="U2871" s="23"/>
      <c r="V2871" s="23"/>
      <c r="W2871" s="23"/>
      <c r="X2871" s="23"/>
      <c r="Y2871" s="23"/>
      <c r="Z2871" s="23"/>
    </row>
    <row r="2872" spans="1:26" ht="13">
      <c r="A2872" s="562" t="s">
        <v>6797</v>
      </c>
      <c r="B2872" s="563" t="s">
        <v>6798</v>
      </c>
      <c r="C2872" s="564" t="s">
        <v>1612</v>
      </c>
      <c r="D2872" s="565">
        <v>42689</v>
      </c>
      <c r="E2872" s="565">
        <v>42702</v>
      </c>
      <c r="F2872" s="566">
        <v>1863636</v>
      </c>
      <c r="G2872" s="564" t="s">
        <v>1623</v>
      </c>
      <c r="H2872" s="564" t="s">
        <v>1623</v>
      </c>
      <c r="I2872" s="564" t="s">
        <v>802</v>
      </c>
      <c r="J2872" s="564" t="s">
        <v>1069</v>
      </c>
      <c r="K2872" s="564" t="s">
        <v>1198</v>
      </c>
      <c r="L2872" s="564" t="s">
        <v>2098</v>
      </c>
      <c r="M2872" s="564" t="s">
        <v>2098</v>
      </c>
      <c r="N2872" s="564" t="s">
        <v>132</v>
      </c>
      <c r="O2872" s="564" t="s">
        <v>2099</v>
      </c>
      <c r="P2872" s="23"/>
      <c r="Q2872" s="23"/>
      <c r="R2872" s="23"/>
      <c r="S2872" s="23"/>
      <c r="T2872" s="23"/>
      <c r="U2872" s="23"/>
      <c r="V2872" s="23"/>
      <c r="W2872" s="23"/>
      <c r="X2872" s="23"/>
      <c r="Y2872" s="23"/>
      <c r="Z2872" s="23"/>
    </row>
    <row r="2873" spans="1:26" ht="13">
      <c r="A2873" s="562" t="s">
        <v>6799</v>
      </c>
      <c r="B2873" s="563" t="s">
        <v>6800</v>
      </c>
      <c r="C2873" s="564" t="s">
        <v>1612</v>
      </c>
      <c r="D2873" s="565">
        <v>42685</v>
      </c>
      <c r="E2873" s="565">
        <v>42675</v>
      </c>
      <c r="F2873" s="566">
        <v>4373400</v>
      </c>
      <c r="G2873" s="564" t="s">
        <v>1424</v>
      </c>
      <c r="H2873" s="564" t="s">
        <v>1424</v>
      </c>
      <c r="I2873" s="564" t="s">
        <v>45</v>
      </c>
      <c r="J2873" s="564" t="s">
        <v>1069</v>
      </c>
      <c r="K2873" s="564" t="s">
        <v>1090</v>
      </c>
      <c r="L2873" s="564" t="s">
        <v>1071</v>
      </c>
      <c r="M2873" s="564" t="s">
        <v>1183</v>
      </c>
      <c r="N2873" s="564" t="s">
        <v>45</v>
      </c>
      <c r="O2873" s="564" t="s">
        <v>2099</v>
      </c>
      <c r="P2873" s="23"/>
      <c r="Q2873" s="23"/>
      <c r="R2873" s="23"/>
      <c r="S2873" s="23"/>
      <c r="T2873" s="23"/>
      <c r="U2873" s="23"/>
      <c r="V2873" s="23"/>
      <c r="W2873" s="23"/>
      <c r="X2873" s="23"/>
      <c r="Y2873" s="23"/>
      <c r="Z2873" s="23"/>
    </row>
    <row r="2874" spans="1:26" ht="13">
      <c r="A2874" s="562" t="s">
        <v>6801</v>
      </c>
      <c r="B2874" s="563" t="s">
        <v>6802</v>
      </c>
      <c r="C2874" s="564" t="s">
        <v>1612</v>
      </c>
      <c r="D2874" s="565">
        <v>42685</v>
      </c>
      <c r="E2874" s="565">
        <v>42704</v>
      </c>
      <c r="F2874" s="566">
        <v>16500000</v>
      </c>
      <c r="G2874" s="564" t="s">
        <v>5465</v>
      </c>
      <c r="H2874" s="564" t="s">
        <v>5465</v>
      </c>
      <c r="I2874" s="564" t="s">
        <v>45</v>
      </c>
      <c r="J2874" s="564" t="s">
        <v>1069</v>
      </c>
      <c r="K2874" s="564" t="s">
        <v>1090</v>
      </c>
      <c r="L2874" s="564" t="s">
        <v>2098</v>
      </c>
      <c r="M2874" s="564" t="s">
        <v>2098</v>
      </c>
      <c r="N2874" s="564" t="s">
        <v>45</v>
      </c>
      <c r="O2874" s="564" t="s">
        <v>2099</v>
      </c>
      <c r="P2874" s="23"/>
      <c r="Q2874" s="23"/>
      <c r="R2874" s="23"/>
      <c r="S2874" s="23"/>
      <c r="T2874" s="23"/>
      <c r="U2874" s="23"/>
      <c r="V2874" s="23"/>
      <c r="W2874" s="23"/>
      <c r="X2874" s="23"/>
      <c r="Y2874" s="23"/>
      <c r="Z2874" s="23"/>
    </row>
    <row r="2875" spans="1:26" ht="13">
      <c r="A2875" s="562" t="s">
        <v>6803</v>
      </c>
      <c r="B2875" s="563" t="s">
        <v>6804</v>
      </c>
      <c r="C2875" s="564" t="s">
        <v>1612</v>
      </c>
      <c r="D2875" s="565">
        <v>42684</v>
      </c>
      <c r="E2875" s="565">
        <v>42704</v>
      </c>
      <c r="F2875" s="566">
        <v>5510000</v>
      </c>
      <c r="G2875" s="564" t="s">
        <v>5465</v>
      </c>
      <c r="H2875" s="564" t="s">
        <v>5465</v>
      </c>
      <c r="I2875" s="564" t="s">
        <v>45</v>
      </c>
      <c r="J2875" s="564" t="s">
        <v>1069</v>
      </c>
      <c r="K2875" s="564" t="s">
        <v>1090</v>
      </c>
      <c r="L2875" s="564" t="s">
        <v>2098</v>
      </c>
      <c r="M2875" s="564" t="s">
        <v>2098</v>
      </c>
      <c r="N2875" s="564" t="s">
        <v>45</v>
      </c>
      <c r="O2875" s="564" t="s">
        <v>2099</v>
      </c>
      <c r="P2875" s="23"/>
      <c r="Q2875" s="23"/>
      <c r="R2875" s="23"/>
      <c r="S2875" s="23"/>
      <c r="T2875" s="23"/>
      <c r="U2875" s="23"/>
      <c r="V2875" s="23"/>
      <c r="W2875" s="23"/>
      <c r="X2875" s="23"/>
      <c r="Y2875" s="23"/>
      <c r="Z2875" s="23"/>
    </row>
    <row r="2876" spans="1:26" ht="13">
      <c r="A2876" s="562" t="s">
        <v>6805</v>
      </c>
      <c r="B2876" s="563" t="s">
        <v>6806</v>
      </c>
      <c r="C2876" s="564" t="s">
        <v>1612</v>
      </c>
      <c r="D2876" s="565">
        <v>42682</v>
      </c>
      <c r="E2876" s="565">
        <v>42712</v>
      </c>
      <c r="F2876" s="566">
        <v>320000</v>
      </c>
      <c r="G2876" s="564" t="s">
        <v>1424</v>
      </c>
      <c r="H2876" s="564" t="s">
        <v>1424</v>
      </c>
      <c r="I2876" s="564" t="s">
        <v>3824</v>
      </c>
      <c r="J2876" s="564" t="s">
        <v>1069</v>
      </c>
      <c r="K2876" s="564" t="s">
        <v>1070</v>
      </c>
      <c r="L2876" s="564" t="s">
        <v>2098</v>
      </c>
      <c r="M2876" s="564" t="s">
        <v>2098</v>
      </c>
      <c r="N2876" s="564" t="s">
        <v>1073</v>
      </c>
      <c r="O2876" s="564" t="s">
        <v>2099</v>
      </c>
      <c r="P2876" s="23"/>
      <c r="Q2876" s="23"/>
      <c r="R2876" s="23"/>
      <c r="S2876" s="23"/>
      <c r="T2876" s="23"/>
      <c r="U2876" s="23"/>
      <c r="V2876" s="23"/>
      <c r="W2876" s="23"/>
      <c r="X2876" s="23"/>
      <c r="Y2876" s="23"/>
      <c r="Z2876" s="23"/>
    </row>
    <row r="2877" spans="1:26" ht="13">
      <c r="A2877" s="562" t="s">
        <v>6807</v>
      </c>
      <c r="B2877" s="563" t="s">
        <v>6279</v>
      </c>
      <c r="C2877" s="564" t="s">
        <v>1612</v>
      </c>
      <c r="D2877" s="565">
        <v>42681</v>
      </c>
      <c r="E2877" s="565">
        <v>42711</v>
      </c>
      <c r="F2877" s="566">
        <v>900000</v>
      </c>
      <c r="G2877" s="564" t="s">
        <v>1424</v>
      </c>
      <c r="H2877" s="564" t="s">
        <v>1424</v>
      </c>
      <c r="I2877" s="564" t="s">
        <v>225</v>
      </c>
      <c r="J2877" s="564" t="s">
        <v>1069</v>
      </c>
      <c r="K2877" s="564" t="s">
        <v>1105</v>
      </c>
      <c r="L2877" s="564" t="s">
        <v>2098</v>
      </c>
      <c r="M2877" s="564" t="s">
        <v>2098</v>
      </c>
      <c r="N2877" s="564" t="s">
        <v>225</v>
      </c>
      <c r="O2877" s="564" t="s">
        <v>2099</v>
      </c>
      <c r="P2877" s="23"/>
      <c r="Q2877" s="23"/>
      <c r="R2877" s="23"/>
      <c r="S2877" s="23"/>
      <c r="T2877" s="23"/>
      <c r="U2877" s="23"/>
      <c r="V2877" s="23"/>
      <c r="W2877" s="23"/>
      <c r="X2877" s="23"/>
      <c r="Y2877" s="23"/>
      <c r="Z2877" s="23"/>
    </row>
    <row r="2878" spans="1:26" ht="13">
      <c r="A2878" s="562" t="s">
        <v>6808</v>
      </c>
      <c r="B2878" s="563" t="s">
        <v>6809</v>
      </c>
      <c r="C2878" s="564" t="s">
        <v>1873</v>
      </c>
      <c r="D2878" s="565">
        <v>42676</v>
      </c>
      <c r="E2878" s="565">
        <v>42735</v>
      </c>
      <c r="F2878" s="566">
        <v>15400000</v>
      </c>
      <c r="G2878" s="564" t="s">
        <v>1157</v>
      </c>
      <c r="H2878" s="564" t="s">
        <v>1157</v>
      </c>
      <c r="I2878" s="564" t="s">
        <v>170</v>
      </c>
      <c r="J2878" s="564" t="s">
        <v>1069</v>
      </c>
      <c r="K2878" s="564" t="s">
        <v>1105</v>
      </c>
      <c r="L2878" s="564" t="s">
        <v>2098</v>
      </c>
      <c r="M2878" s="564" t="s">
        <v>2098</v>
      </c>
      <c r="N2878" s="564" t="s">
        <v>170</v>
      </c>
      <c r="O2878" s="564" t="s">
        <v>2099</v>
      </c>
      <c r="P2878" s="23"/>
      <c r="Q2878" s="23"/>
      <c r="R2878" s="23"/>
      <c r="S2878" s="23"/>
      <c r="T2878" s="23"/>
      <c r="U2878" s="23"/>
      <c r="V2878" s="23"/>
      <c r="W2878" s="23"/>
      <c r="X2878" s="23"/>
      <c r="Y2878" s="23"/>
      <c r="Z2878" s="23"/>
    </row>
    <row r="2879" spans="1:26" ht="13">
      <c r="A2879" s="562" t="s">
        <v>6810</v>
      </c>
      <c r="B2879" s="563" t="s">
        <v>6811</v>
      </c>
      <c r="C2879" s="564" t="s">
        <v>2191</v>
      </c>
      <c r="D2879" s="565">
        <v>42674</v>
      </c>
      <c r="E2879" s="565">
        <v>42674</v>
      </c>
      <c r="F2879" s="566">
        <v>1090909</v>
      </c>
      <c r="G2879" s="564" t="s">
        <v>1623</v>
      </c>
      <c r="H2879" s="564" t="s">
        <v>1623</v>
      </c>
      <c r="I2879" s="564" t="s">
        <v>6812</v>
      </c>
      <c r="J2879" s="564" t="s">
        <v>1069</v>
      </c>
      <c r="K2879" s="564" t="s">
        <v>1070</v>
      </c>
      <c r="L2879" s="564" t="s">
        <v>2098</v>
      </c>
      <c r="M2879" s="564" t="s">
        <v>2098</v>
      </c>
      <c r="N2879" s="564" t="s">
        <v>1082</v>
      </c>
      <c r="O2879" s="564" t="s">
        <v>2099</v>
      </c>
      <c r="P2879" s="23"/>
      <c r="Q2879" s="23"/>
      <c r="R2879" s="23"/>
      <c r="S2879" s="23"/>
      <c r="T2879" s="23"/>
      <c r="U2879" s="23"/>
      <c r="V2879" s="23"/>
      <c r="W2879" s="23"/>
      <c r="X2879" s="23"/>
      <c r="Y2879" s="23"/>
      <c r="Z2879" s="23"/>
    </row>
    <row r="2880" spans="1:26" ht="13">
      <c r="A2880" s="562" t="s">
        <v>6813</v>
      </c>
      <c r="B2880" s="563" t="s">
        <v>6779</v>
      </c>
      <c r="C2880" s="564" t="s">
        <v>1612</v>
      </c>
      <c r="D2880" s="565">
        <v>42674</v>
      </c>
      <c r="E2880" s="565">
        <v>42684</v>
      </c>
      <c r="F2880" s="566">
        <v>5100000</v>
      </c>
      <c r="G2880" s="564" t="s">
        <v>6780</v>
      </c>
      <c r="H2880" s="564" t="s">
        <v>6780</v>
      </c>
      <c r="I2880" s="564" t="s">
        <v>257</v>
      </c>
      <c r="J2880" s="564" t="s">
        <v>1069</v>
      </c>
      <c r="K2880" s="564" t="s">
        <v>1209</v>
      </c>
      <c r="L2880" s="564" t="s">
        <v>2098</v>
      </c>
      <c r="M2880" s="564" t="s">
        <v>2098</v>
      </c>
      <c r="N2880" s="564" t="s">
        <v>257</v>
      </c>
      <c r="O2880" s="564" t="s">
        <v>2099</v>
      </c>
      <c r="P2880" s="23"/>
      <c r="Q2880" s="23"/>
      <c r="R2880" s="23"/>
      <c r="S2880" s="23"/>
      <c r="T2880" s="23"/>
      <c r="U2880" s="23"/>
      <c r="V2880" s="23"/>
      <c r="W2880" s="23"/>
      <c r="X2880" s="23"/>
      <c r="Y2880" s="23"/>
      <c r="Z2880" s="23"/>
    </row>
    <row r="2881" spans="1:26" ht="13">
      <c r="A2881" s="562" t="s">
        <v>6814</v>
      </c>
      <c r="B2881" s="563" t="s">
        <v>6815</v>
      </c>
      <c r="C2881" s="564" t="s">
        <v>1612</v>
      </c>
      <c r="D2881" s="565">
        <v>42675</v>
      </c>
      <c r="E2881" s="565">
        <v>42674</v>
      </c>
      <c r="F2881" s="566">
        <v>43980000</v>
      </c>
      <c r="G2881" s="564" t="s">
        <v>1128</v>
      </c>
      <c r="H2881" s="564" t="s">
        <v>1128</v>
      </c>
      <c r="I2881" s="564" t="s">
        <v>45</v>
      </c>
      <c r="J2881" s="564" t="s">
        <v>1069</v>
      </c>
      <c r="K2881" s="564" t="s">
        <v>1090</v>
      </c>
      <c r="L2881" s="564" t="s">
        <v>2098</v>
      </c>
      <c r="M2881" s="564" t="s">
        <v>2098</v>
      </c>
      <c r="N2881" s="564" t="s">
        <v>45</v>
      </c>
      <c r="O2881" s="564" t="s">
        <v>2099</v>
      </c>
      <c r="P2881" s="23"/>
      <c r="Q2881" s="23"/>
      <c r="R2881" s="23"/>
      <c r="S2881" s="23"/>
      <c r="T2881" s="23"/>
      <c r="U2881" s="23"/>
      <c r="V2881" s="23"/>
      <c r="W2881" s="23"/>
      <c r="X2881" s="23"/>
      <c r="Y2881" s="23"/>
      <c r="Z2881" s="23"/>
    </row>
    <row r="2882" spans="1:26" ht="13">
      <c r="A2882" s="562" t="s">
        <v>6816</v>
      </c>
      <c r="B2882" s="563" t="s">
        <v>5974</v>
      </c>
      <c r="C2882" s="564" t="s">
        <v>1612</v>
      </c>
      <c r="D2882" s="565">
        <v>42671</v>
      </c>
      <c r="E2882" s="565">
        <v>42699</v>
      </c>
      <c r="F2882" s="566">
        <v>990000</v>
      </c>
      <c r="G2882" s="564" t="s">
        <v>1424</v>
      </c>
      <c r="H2882" s="564" t="s">
        <v>1424</v>
      </c>
      <c r="I2882" s="564" t="s">
        <v>45</v>
      </c>
      <c r="J2882" s="564" t="s">
        <v>1069</v>
      </c>
      <c r="K2882" s="564" t="s">
        <v>1090</v>
      </c>
      <c r="L2882" s="564" t="s">
        <v>2098</v>
      </c>
      <c r="M2882" s="564" t="s">
        <v>2098</v>
      </c>
      <c r="N2882" s="564" t="s">
        <v>45</v>
      </c>
      <c r="O2882" s="564" t="s">
        <v>2099</v>
      </c>
      <c r="P2882" s="23"/>
      <c r="Q2882" s="23"/>
      <c r="R2882" s="23"/>
      <c r="S2882" s="23"/>
      <c r="T2882" s="23"/>
      <c r="U2882" s="23"/>
      <c r="V2882" s="23"/>
      <c r="W2882" s="23"/>
      <c r="X2882" s="23"/>
      <c r="Y2882" s="23"/>
      <c r="Z2882" s="23"/>
    </row>
    <row r="2883" spans="1:26" ht="13">
      <c r="A2883" s="562" t="s">
        <v>6817</v>
      </c>
      <c r="B2883" s="563" t="s">
        <v>5974</v>
      </c>
      <c r="C2883" s="564" t="s">
        <v>1612</v>
      </c>
      <c r="D2883" s="565">
        <v>42671</v>
      </c>
      <c r="E2883" s="565">
        <v>42699</v>
      </c>
      <c r="F2883" s="566">
        <v>990000</v>
      </c>
      <c r="G2883" s="564" t="s">
        <v>1424</v>
      </c>
      <c r="H2883" s="564" t="s">
        <v>1424</v>
      </c>
      <c r="I2883" s="564" t="s">
        <v>45</v>
      </c>
      <c r="J2883" s="564" t="s">
        <v>1069</v>
      </c>
      <c r="K2883" s="564" t="s">
        <v>1090</v>
      </c>
      <c r="L2883" s="564" t="s">
        <v>2098</v>
      </c>
      <c r="M2883" s="564" t="s">
        <v>2098</v>
      </c>
      <c r="N2883" s="564" t="s">
        <v>45</v>
      </c>
      <c r="O2883" s="564" t="s">
        <v>2099</v>
      </c>
      <c r="P2883" s="23"/>
      <c r="Q2883" s="23"/>
      <c r="R2883" s="23"/>
      <c r="S2883" s="23"/>
      <c r="T2883" s="23"/>
      <c r="U2883" s="23"/>
      <c r="V2883" s="23"/>
      <c r="W2883" s="23"/>
      <c r="X2883" s="23"/>
      <c r="Y2883" s="23"/>
      <c r="Z2883" s="23"/>
    </row>
    <row r="2884" spans="1:26" ht="13">
      <c r="A2884" s="562" t="s">
        <v>6818</v>
      </c>
      <c r="B2884" s="563" t="s">
        <v>4434</v>
      </c>
      <c r="C2884" s="564" t="s">
        <v>1612</v>
      </c>
      <c r="D2884" s="565">
        <v>42670</v>
      </c>
      <c r="E2884" s="565">
        <v>42699</v>
      </c>
      <c r="F2884" s="566">
        <v>408000</v>
      </c>
      <c r="G2884" s="564" t="s">
        <v>1424</v>
      </c>
      <c r="H2884" s="564" t="s">
        <v>1424</v>
      </c>
      <c r="I2884" s="564" t="s">
        <v>2586</v>
      </c>
      <c r="J2884" s="564" t="s">
        <v>1069</v>
      </c>
      <c r="K2884" s="564" t="s">
        <v>1070</v>
      </c>
      <c r="L2884" s="564" t="s">
        <v>2098</v>
      </c>
      <c r="M2884" s="564" t="s">
        <v>2098</v>
      </c>
      <c r="N2884" s="564" t="s">
        <v>1073</v>
      </c>
      <c r="O2884" s="564" t="s">
        <v>2099</v>
      </c>
      <c r="P2884" s="23"/>
      <c r="Q2884" s="23"/>
      <c r="R2884" s="23"/>
      <c r="S2884" s="23"/>
      <c r="T2884" s="23"/>
      <c r="U2884" s="23"/>
      <c r="V2884" s="23"/>
      <c r="W2884" s="23"/>
      <c r="X2884" s="23"/>
      <c r="Y2884" s="23"/>
      <c r="Z2884" s="23"/>
    </row>
    <row r="2885" spans="1:26" ht="13">
      <c r="A2885" s="562" t="s">
        <v>6819</v>
      </c>
      <c r="B2885" s="563" t="s">
        <v>4432</v>
      </c>
      <c r="C2885" s="564" t="s">
        <v>1612</v>
      </c>
      <c r="D2885" s="565">
        <v>42670</v>
      </c>
      <c r="E2885" s="565">
        <v>42699</v>
      </c>
      <c r="F2885" s="566">
        <v>612000</v>
      </c>
      <c r="G2885" s="564" t="s">
        <v>1424</v>
      </c>
      <c r="H2885" s="564" t="s">
        <v>1424</v>
      </c>
      <c r="I2885" s="564" t="s">
        <v>3824</v>
      </c>
      <c r="J2885" s="564" t="s">
        <v>1069</v>
      </c>
      <c r="K2885" s="564" t="s">
        <v>1070</v>
      </c>
      <c r="L2885" s="564" t="s">
        <v>2098</v>
      </c>
      <c r="M2885" s="564" t="s">
        <v>2098</v>
      </c>
      <c r="N2885" s="564" t="s">
        <v>1073</v>
      </c>
      <c r="O2885" s="564" t="s">
        <v>2099</v>
      </c>
      <c r="P2885" s="23"/>
      <c r="Q2885" s="23"/>
      <c r="R2885" s="23"/>
      <c r="S2885" s="23"/>
      <c r="T2885" s="23"/>
      <c r="U2885" s="23"/>
      <c r="V2885" s="23"/>
      <c r="W2885" s="23"/>
      <c r="X2885" s="23"/>
      <c r="Y2885" s="23"/>
      <c r="Z2885" s="23"/>
    </row>
    <row r="2886" spans="1:26" ht="13">
      <c r="A2886" s="562" t="s">
        <v>6820</v>
      </c>
      <c r="B2886" s="563" t="s">
        <v>5810</v>
      </c>
      <c r="C2886" s="564" t="s">
        <v>1612</v>
      </c>
      <c r="D2886" s="565">
        <v>42662</v>
      </c>
      <c r="E2886" s="565">
        <v>42692</v>
      </c>
      <c r="F2886" s="566">
        <v>3090000</v>
      </c>
      <c r="G2886" s="564" t="s">
        <v>1424</v>
      </c>
      <c r="H2886" s="564" t="s">
        <v>1424</v>
      </c>
      <c r="I2886" s="564" t="s">
        <v>70</v>
      </c>
      <c r="J2886" s="564" t="s">
        <v>1069</v>
      </c>
      <c r="K2886" s="564" t="s">
        <v>1120</v>
      </c>
      <c r="L2886" s="564" t="s">
        <v>2098</v>
      </c>
      <c r="M2886" s="564" t="s">
        <v>2098</v>
      </c>
      <c r="N2886" s="564" t="s">
        <v>70</v>
      </c>
      <c r="O2886" s="564" t="s">
        <v>2099</v>
      </c>
      <c r="P2886" s="23"/>
      <c r="Q2886" s="23"/>
      <c r="R2886" s="23"/>
      <c r="S2886" s="23"/>
      <c r="T2886" s="23"/>
      <c r="U2886" s="23"/>
      <c r="V2886" s="23"/>
      <c r="W2886" s="23"/>
      <c r="X2886" s="23"/>
      <c r="Y2886" s="23"/>
      <c r="Z2886" s="23"/>
    </row>
    <row r="2887" spans="1:26" ht="13">
      <c r="A2887" s="562" t="s">
        <v>6821</v>
      </c>
      <c r="B2887" s="563" t="s">
        <v>5974</v>
      </c>
      <c r="C2887" s="564" t="s">
        <v>1612</v>
      </c>
      <c r="D2887" s="565">
        <v>42662</v>
      </c>
      <c r="E2887" s="565">
        <v>42688</v>
      </c>
      <c r="F2887" s="566">
        <v>990000</v>
      </c>
      <c r="G2887" s="564" t="s">
        <v>1424</v>
      </c>
      <c r="H2887" s="564" t="s">
        <v>1424</v>
      </c>
      <c r="I2887" s="564" t="s">
        <v>45</v>
      </c>
      <c r="J2887" s="564" t="s">
        <v>1069</v>
      </c>
      <c r="K2887" s="564" t="s">
        <v>1090</v>
      </c>
      <c r="L2887" s="564" t="s">
        <v>2098</v>
      </c>
      <c r="M2887" s="564" t="s">
        <v>2098</v>
      </c>
      <c r="N2887" s="564" t="s">
        <v>45</v>
      </c>
      <c r="O2887" s="564" t="s">
        <v>2099</v>
      </c>
      <c r="P2887" s="23"/>
      <c r="Q2887" s="23"/>
      <c r="R2887" s="23"/>
      <c r="S2887" s="23"/>
      <c r="T2887" s="23"/>
      <c r="U2887" s="23"/>
      <c r="V2887" s="23"/>
      <c r="W2887" s="23"/>
      <c r="X2887" s="23"/>
      <c r="Y2887" s="23"/>
      <c r="Z2887" s="23"/>
    </row>
    <row r="2888" spans="1:26" ht="13">
      <c r="A2888" s="562" t="s">
        <v>6822</v>
      </c>
      <c r="B2888" s="563" t="s">
        <v>6823</v>
      </c>
      <c r="C2888" s="564" t="s">
        <v>1612</v>
      </c>
      <c r="D2888" s="565">
        <v>42662</v>
      </c>
      <c r="E2888" s="565">
        <v>42644</v>
      </c>
      <c r="F2888" s="566">
        <v>9273000</v>
      </c>
      <c r="G2888" s="564" t="s">
        <v>1424</v>
      </c>
      <c r="H2888" s="564" t="s">
        <v>1424</v>
      </c>
      <c r="I2888" s="564" t="s">
        <v>45</v>
      </c>
      <c r="J2888" s="564" t="s">
        <v>1069</v>
      </c>
      <c r="K2888" s="564" t="s">
        <v>1090</v>
      </c>
      <c r="L2888" s="564" t="s">
        <v>1071</v>
      </c>
      <c r="M2888" s="564" t="s">
        <v>1183</v>
      </c>
      <c r="N2888" s="564" t="s">
        <v>45</v>
      </c>
      <c r="O2888" s="564" t="s">
        <v>2099</v>
      </c>
      <c r="P2888" s="23"/>
      <c r="Q2888" s="23"/>
      <c r="R2888" s="23"/>
      <c r="S2888" s="23"/>
      <c r="T2888" s="23"/>
      <c r="U2888" s="23"/>
      <c r="V2888" s="23"/>
      <c r="W2888" s="23"/>
      <c r="X2888" s="23"/>
      <c r="Y2888" s="23"/>
      <c r="Z2888" s="23"/>
    </row>
    <row r="2889" spans="1:26" ht="13">
      <c r="A2889" s="562" t="s">
        <v>6824</v>
      </c>
      <c r="B2889" s="563" t="s">
        <v>6825</v>
      </c>
      <c r="C2889" s="564" t="s">
        <v>1204</v>
      </c>
      <c r="D2889" s="565">
        <v>42662</v>
      </c>
      <c r="E2889" s="565">
        <v>42644</v>
      </c>
      <c r="F2889" s="566">
        <v>4824000</v>
      </c>
      <c r="G2889" s="564" t="s">
        <v>1424</v>
      </c>
      <c r="H2889" s="564" t="s">
        <v>1424</v>
      </c>
      <c r="I2889" s="564" t="s">
        <v>1471</v>
      </c>
      <c r="J2889" s="564" t="s">
        <v>1069</v>
      </c>
      <c r="K2889" s="564" t="s">
        <v>1070</v>
      </c>
      <c r="L2889" s="564" t="s">
        <v>1071</v>
      </c>
      <c r="M2889" s="564" t="s">
        <v>1183</v>
      </c>
      <c r="N2889" s="564" t="s">
        <v>1082</v>
      </c>
      <c r="O2889" s="564" t="s">
        <v>1472</v>
      </c>
      <c r="P2889" s="23"/>
      <c r="Q2889" s="23"/>
      <c r="R2889" s="23"/>
      <c r="S2889" s="23"/>
      <c r="T2889" s="23"/>
      <c r="U2889" s="23"/>
      <c r="V2889" s="23"/>
      <c r="W2889" s="23"/>
      <c r="X2889" s="23"/>
      <c r="Y2889" s="23"/>
      <c r="Z2889" s="23"/>
    </row>
    <row r="2890" spans="1:26" ht="13">
      <c r="A2890" s="562" t="s">
        <v>6826</v>
      </c>
      <c r="B2890" s="563" t="s">
        <v>6827</v>
      </c>
      <c r="C2890" s="564" t="s">
        <v>2191</v>
      </c>
      <c r="D2890" s="565">
        <v>42661</v>
      </c>
      <c r="E2890" s="565">
        <v>42670</v>
      </c>
      <c r="F2890" s="566">
        <v>83955394</v>
      </c>
      <c r="G2890" s="564" t="s">
        <v>1424</v>
      </c>
      <c r="H2890" s="564" t="s">
        <v>1424</v>
      </c>
      <c r="I2890" s="564" t="s">
        <v>6662</v>
      </c>
      <c r="J2890" s="564" t="s">
        <v>1069</v>
      </c>
      <c r="K2890" s="564" t="s">
        <v>1198</v>
      </c>
      <c r="L2890" s="564" t="s">
        <v>2098</v>
      </c>
      <c r="M2890" s="564" t="s">
        <v>2098</v>
      </c>
      <c r="N2890" s="564" t="s">
        <v>1082</v>
      </c>
      <c r="O2890" s="564" t="s">
        <v>2099</v>
      </c>
      <c r="P2890" s="23"/>
      <c r="Q2890" s="23"/>
      <c r="R2890" s="23"/>
      <c r="S2890" s="23"/>
      <c r="T2890" s="23"/>
      <c r="U2890" s="23"/>
      <c r="V2890" s="23"/>
      <c r="W2890" s="23"/>
      <c r="X2890" s="23"/>
      <c r="Y2890" s="23"/>
      <c r="Z2890" s="23"/>
    </row>
    <row r="2891" spans="1:26" ht="13">
      <c r="A2891" s="562" t="s">
        <v>6828</v>
      </c>
      <c r="B2891" s="563" t="s">
        <v>6829</v>
      </c>
      <c r="C2891" s="564" t="s">
        <v>1612</v>
      </c>
      <c r="D2891" s="565">
        <v>42661</v>
      </c>
      <c r="E2891" s="565">
        <v>42685</v>
      </c>
      <c r="F2891" s="566">
        <v>41181818</v>
      </c>
      <c r="G2891" s="564" t="s">
        <v>1623</v>
      </c>
      <c r="H2891" s="564" t="s">
        <v>1623</v>
      </c>
      <c r="I2891" s="564" t="s">
        <v>802</v>
      </c>
      <c r="J2891" s="564" t="s">
        <v>1069</v>
      </c>
      <c r="K2891" s="564" t="s">
        <v>1198</v>
      </c>
      <c r="L2891" s="564" t="s">
        <v>2098</v>
      </c>
      <c r="M2891" s="564" t="s">
        <v>2098</v>
      </c>
      <c r="N2891" s="564" t="s">
        <v>132</v>
      </c>
      <c r="O2891" s="564" t="s">
        <v>2099</v>
      </c>
      <c r="P2891" s="23"/>
      <c r="Q2891" s="23"/>
      <c r="R2891" s="23"/>
      <c r="S2891" s="23"/>
      <c r="T2891" s="23"/>
      <c r="U2891" s="23"/>
      <c r="V2891" s="23"/>
      <c r="W2891" s="23"/>
      <c r="X2891" s="23"/>
      <c r="Y2891" s="23"/>
      <c r="Z2891" s="23"/>
    </row>
    <row r="2892" spans="1:26" ht="13">
      <c r="A2892" s="562" t="s">
        <v>6830</v>
      </c>
      <c r="B2892" s="563" t="s">
        <v>6831</v>
      </c>
      <c r="C2892" s="564" t="s">
        <v>1612</v>
      </c>
      <c r="D2892" s="565">
        <v>42660</v>
      </c>
      <c r="E2892" s="565">
        <v>42674</v>
      </c>
      <c r="F2892" s="566">
        <v>224263000</v>
      </c>
      <c r="G2892" s="564" t="s">
        <v>5465</v>
      </c>
      <c r="H2892" s="564" t="s">
        <v>5465</v>
      </c>
      <c r="I2892" s="564" t="s">
        <v>45</v>
      </c>
      <c r="J2892" s="564" t="s">
        <v>1069</v>
      </c>
      <c r="K2892" s="564" t="s">
        <v>1090</v>
      </c>
      <c r="L2892" s="564" t="s">
        <v>2098</v>
      </c>
      <c r="M2892" s="564" t="s">
        <v>2098</v>
      </c>
      <c r="N2892" s="564" t="s">
        <v>45</v>
      </c>
      <c r="O2892" s="564" t="s">
        <v>2099</v>
      </c>
      <c r="P2892" s="23"/>
      <c r="Q2892" s="23"/>
      <c r="R2892" s="23"/>
      <c r="S2892" s="23"/>
      <c r="T2892" s="23"/>
      <c r="U2892" s="23"/>
      <c r="V2892" s="23"/>
      <c r="W2892" s="23"/>
      <c r="X2892" s="23"/>
      <c r="Y2892" s="23"/>
      <c r="Z2892" s="23"/>
    </row>
    <row r="2893" spans="1:26" ht="13">
      <c r="A2893" s="562" t="s">
        <v>6832</v>
      </c>
      <c r="B2893" s="563" t="s">
        <v>6833</v>
      </c>
      <c r="C2893" s="564" t="s">
        <v>1612</v>
      </c>
      <c r="D2893" s="565">
        <v>42660</v>
      </c>
      <c r="E2893" s="565">
        <v>42674</v>
      </c>
      <c r="F2893" s="566">
        <v>268737000</v>
      </c>
      <c r="G2893" s="564" t="s">
        <v>5465</v>
      </c>
      <c r="H2893" s="564" t="s">
        <v>5465</v>
      </c>
      <c r="I2893" s="564" t="s">
        <v>45</v>
      </c>
      <c r="J2893" s="564" t="s">
        <v>1069</v>
      </c>
      <c r="K2893" s="564" t="s">
        <v>1090</v>
      </c>
      <c r="L2893" s="564" t="s">
        <v>2098</v>
      </c>
      <c r="M2893" s="564" t="s">
        <v>2098</v>
      </c>
      <c r="N2893" s="564" t="s">
        <v>45</v>
      </c>
      <c r="O2893" s="564" t="s">
        <v>2099</v>
      </c>
      <c r="P2893" s="23"/>
      <c r="Q2893" s="23"/>
      <c r="R2893" s="23"/>
      <c r="S2893" s="23"/>
      <c r="T2893" s="23"/>
      <c r="U2893" s="23"/>
      <c r="V2893" s="23"/>
      <c r="W2893" s="23"/>
      <c r="X2893" s="23"/>
      <c r="Y2893" s="23"/>
      <c r="Z2893" s="23"/>
    </row>
    <row r="2894" spans="1:26" ht="13">
      <c r="A2894" s="562" t="s">
        <v>6834</v>
      </c>
      <c r="B2894" s="563" t="s">
        <v>6835</v>
      </c>
      <c r="C2894" s="564" t="s">
        <v>1612</v>
      </c>
      <c r="D2894" s="565">
        <v>42654</v>
      </c>
      <c r="E2894" s="565">
        <v>42674</v>
      </c>
      <c r="F2894" s="566">
        <v>53124000</v>
      </c>
      <c r="G2894" s="564" t="s">
        <v>5465</v>
      </c>
      <c r="H2894" s="564" t="s">
        <v>5465</v>
      </c>
      <c r="I2894" s="564" t="s">
        <v>45</v>
      </c>
      <c r="J2894" s="564" t="s">
        <v>1069</v>
      </c>
      <c r="K2894" s="564" t="s">
        <v>1090</v>
      </c>
      <c r="L2894" s="564" t="s">
        <v>2098</v>
      </c>
      <c r="M2894" s="564" t="s">
        <v>2098</v>
      </c>
      <c r="N2894" s="564" t="s">
        <v>45</v>
      </c>
      <c r="O2894" s="564" t="s">
        <v>2099</v>
      </c>
      <c r="P2894" s="23"/>
      <c r="Q2894" s="23"/>
      <c r="R2894" s="23"/>
      <c r="S2894" s="23"/>
      <c r="T2894" s="23"/>
      <c r="U2894" s="23"/>
      <c r="V2894" s="23"/>
      <c r="W2894" s="23"/>
      <c r="X2894" s="23"/>
      <c r="Y2894" s="23"/>
      <c r="Z2894" s="23"/>
    </row>
    <row r="2895" spans="1:26" ht="13">
      <c r="A2895" s="562" t="s">
        <v>6836</v>
      </c>
      <c r="B2895" s="563" t="s">
        <v>6837</v>
      </c>
      <c r="C2895" s="564" t="s">
        <v>2191</v>
      </c>
      <c r="D2895" s="565">
        <v>42654</v>
      </c>
      <c r="E2895" s="565">
        <v>42664</v>
      </c>
      <c r="F2895" s="566">
        <v>29026000</v>
      </c>
      <c r="G2895" s="564" t="s">
        <v>1636</v>
      </c>
      <c r="H2895" s="564" t="s">
        <v>1636</v>
      </c>
      <c r="I2895" s="564" t="s">
        <v>6762</v>
      </c>
      <c r="J2895" s="564" t="s">
        <v>1069</v>
      </c>
      <c r="K2895" s="564" t="s">
        <v>1070</v>
      </c>
      <c r="L2895" s="564" t="s">
        <v>2098</v>
      </c>
      <c r="M2895" s="564" t="s">
        <v>2098</v>
      </c>
      <c r="N2895" s="564" t="s">
        <v>1082</v>
      </c>
      <c r="O2895" s="564" t="s">
        <v>2099</v>
      </c>
      <c r="P2895" s="23"/>
      <c r="Q2895" s="23"/>
      <c r="R2895" s="23"/>
      <c r="S2895" s="23"/>
      <c r="T2895" s="23"/>
      <c r="U2895" s="23"/>
      <c r="V2895" s="23"/>
      <c r="W2895" s="23"/>
      <c r="X2895" s="23"/>
      <c r="Y2895" s="23"/>
      <c r="Z2895" s="23"/>
    </row>
    <row r="2896" spans="1:26" ht="13">
      <c r="A2896" s="562" t="s">
        <v>6838</v>
      </c>
      <c r="B2896" s="563" t="s">
        <v>6839</v>
      </c>
      <c r="C2896" s="564" t="s">
        <v>2191</v>
      </c>
      <c r="D2896" s="565">
        <v>42655</v>
      </c>
      <c r="E2896" s="565">
        <v>42670</v>
      </c>
      <c r="F2896" s="566">
        <v>83955394</v>
      </c>
      <c r="G2896" s="564" t="s">
        <v>1424</v>
      </c>
      <c r="H2896" s="564" t="s">
        <v>1424</v>
      </c>
      <c r="I2896" s="564" t="s">
        <v>6662</v>
      </c>
      <c r="J2896" s="564" t="s">
        <v>1069</v>
      </c>
      <c r="K2896" s="564" t="s">
        <v>1198</v>
      </c>
      <c r="L2896" s="564" t="s">
        <v>2098</v>
      </c>
      <c r="M2896" s="564" t="s">
        <v>2098</v>
      </c>
      <c r="N2896" s="564" t="s">
        <v>1082</v>
      </c>
      <c r="O2896" s="564" t="s">
        <v>2099</v>
      </c>
      <c r="P2896" s="23"/>
      <c r="Q2896" s="23"/>
      <c r="R2896" s="23"/>
      <c r="S2896" s="23"/>
      <c r="T2896" s="23"/>
      <c r="U2896" s="23"/>
      <c r="V2896" s="23"/>
      <c r="W2896" s="23"/>
      <c r="X2896" s="23"/>
      <c r="Y2896" s="23"/>
      <c r="Z2896" s="23"/>
    </row>
    <row r="2897" spans="1:26" ht="13">
      <c r="A2897" s="562" t="s">
        <v>6840</v>
      </c>
      <c r="B2897" s="563" t="s">
        <v>6841</v>
      </c>
      <c r="C2897" s="564" t="s">
        <v>1612</v>
      </c>
      <c r="D2897" s="565">
        <v>42654</v>
      </c>
      <c r="E2897" s="565">
        <v>42660</v>
      </c>
      <c r="F2897" s="566">
        <v>9500000</v>
      </c>
      <c r="G2897" s="564" t="s">
        <v>1187</v>
      </c>
      <c r="H2897" s="564" t="s">
        <v>1187</v>
      </c>
      <c r="I2897" s="564" t="s">
        <v>70</v>
      </c>
      <c r="J2897" s="564" t="s">
        <v>1069</v>
      </c>
      <c r="K2897" s="564" t="s">
        <v>1120</v>
      </c>
      <c r="L2897" s="564" t="s">
        <v>2098</v>
      </c>
      <c r="M2897" s="564" t="s">
        <v>2098</v>
      </c>
      <c r="N2897" s="564" t="s">
        <v>70</v>
      </c>
      <c r="O2897" s="564" t="s">
        <v>2099</v>
      </c>
      <c r="P2897" s="23"/>
      <c r="Q2897" s="23"/>
      <c r="R2897" s="23"/>
      <c r="S2897" s="23"/>
      <c r="T2897" s="23"/>
      <c r="U2897" s="23"/>
      <c r="V2897" s="23"/>
      <c r="W2897" s="23"/>
      <c r="X2897" s="23"/>
      <c r="Y2897" s="23"/>
      <c r="Z2897" s="23"/>
    </row>
    <row r="2898" spans="1:26" ht="13">
      <c r="A2898" s="562" t="s">
        <v>6842</v>
      </c>
      <c r="B2898" s="563" t="s">
        <v>6843</v>
      </c>
      <c r="C2898" s="564" t="s">
        <v>2437</v>
      </c>
      <c r="D2898" s="565">
        <v>42649</v>
      </c>
      <c r="E2898" s="565">
        <v>42663</v>
      </c>
      <c r="F2898" s="566">
        <v>17903600</v>
      </c>
      <c r="G2898" s="564" t="s">
        <v>6844</v>
      </c>
      <c r="H2898" s="564" t="s">
        <v>6844</v>
      </c>
      <c r="I2898" s="564" t="s">
        <v>6845</v>
      </c>
      <c r="J2898" s="564" t="s">
        <v>1069</v>
      </c>
      <c r="K2898" s="564" t="s">
        <v>1070</v>
      </c>
      <c r="L2898" s="564" t="s">
        <v>2098</v>
      </c>
      <c r="M2898" s="564" t="s">
        <v>2098</v>
      </c>
      <c r="N2898" s="564" t="s">
        <v>1082</v>
      </c>
      <c r="O2898" s="564" t="s">
        <v>2099</v>
      </c>
      <c r="P2898" s="23"/>
      <c r="Q2898" s="23"/>
      <c r="R2898" s="23"/>
      <c r="S2898" s="23"/>
      <c r="T2898" s="23"/>
      <c r="U2898" s="23"/>
      <c r="V2898" s="23"/>
      <c r="W2898" s="23"/>
      <c r="X2898" s="23"/>
      <c r="Y2898" s="23"/>
      <c r="Z2898" s="23"/>
    </row>
    <row r="2899" spans="1:26" ht="13">
      <c r="A2899" s="562" t="s">
        <v>6846</v>
      </c>
      <c r="B2899" s="563" t="s">
        <v>5718</v>
      </c>
      <c r="C2899" s="564" t="s">
        <v>1612</v>
      </c>
      <c r="D2899" s="565">
        <v>42642</v>
      </c>
      <c r="E2899" s="565">
        <v>42671</v>
      </c>
      <c r="F2899" s="566">
        <v>1180000</v>
      </c>
      <c r="G2899" s="564" t="s">
        <v>1424</v>
      </c>
      <c r="H2899" s="564" t="s">
        <v>1424</v>
      </c>
      <c r="I2899" s="564" t="s">
        <v>45</v>
      </c>
      <c r="J2899" s="564" t="s">
        <v>1069</v>
      </c>
      <c r="K2899" s="564" t="s">
        <v>1090</v>
      </c>
      <c r="L2899" s="564" t="s">
        <v>2098</v>
      </c>
      <c r="M2899" s="564" t="s">
        <v>2098</v>
      </c>
      <c r="N2899" s="564" t="s">
        <v>45</v>
      </c>
      <c r="O2899" s="564" t="s">
        <v>2099</v>
      </c>
      <c r="P2899" s="23"/>
      <c r="Q2899" s="23"/>
      <c r="R2899" s="23"/>
      <c r="S2899" s="23"/>
      <c r="T2899" s="23"/>
      <c r="U2899" s="23"/>
      <c r="V2899" s="23"/>
      <c r="W2899" s="23"/>
      <c r="X2899" s="23"/>
      <c r="Y2899" s="23"/>
      <c r="Z2899" s="23"/>
    </row>
    <row r="2900" spans="1:26" ht="13">
      <c r="A2900" s="562" t="s">
        <v>6847</v>
      </c>
      <c r="B2900" s="563" t="s">
        <v>6848</v>
      </c>
      <c r="C2900" s="564" t="s">
        <v>1612</v>
      </c>
      <c r="D2900" s="565">
        <v>42642</v>
      </c>
      <c r="E2900" s="565">
        <v>42671</v>
      </c>
      <c r="F2900" s="566">
        <v>21525000</v>
      </c>
      <c r="G2900" s="564" t="s">
        <v>1424</v>
      </c>
      <c r="H2900" s="564" t="s">
        <v>1424</v>
      </c>
      <c r="I2900" s="564" t="s">
        <v>45</v>
      </c>
      <c r="J2900" s="564" t="s">
        <v>1069</v>
      </c>
      <c r="K2900" s="564" t="s">
        <v>1090</v>
      </c>
      <c r="L2900" s="564" t="s">
        <v>2098</v>
      </c>
      <c r="M2900" s="564" t="s">
        <v>2098</v>
      </c>
      <c r="N2900" s="564" t="s">
        <v>45</v>
      </c>
      <c r="O2900" s="564" t="s">
        <v>2099</v>
      </c>
      <c r="P2900" s="23"/>
      <c r="Q2900" s="23"/>
      <c r="R2900" s="23"/>
      <c r="S2900" s="23"/>
      <c r="T2900" s="23"/>
      <c r="U2900" s="23"/>
      <c r="V2900" s="23"/>
      <c r="W2900" s="23"/>
      <c r="X2900" s="23"/>
      <c r="Y2900" s="23"/>
      <c r="Z2900" s="23"/>
    </row>
    <row r="2901" spans="1:26" ht="13">
      <c r="A2901" s="562" t="s">
        <v>6849</v>
      </c>
      <c r="B2901" s="563" t="s">
        <v>6850</v>
      </c>
      <c r="C2901" s="564" t="s">
        <v>1612</v>
      </c>
      <c r="D2901" s="565">
        <v>42642</v>
      </c>
      <c r="E2901" s="565">
        <v>42651</v>
      </c>
      <c r="F2901" s="566">
        <v>2380000</v>
      </c>
      <c r="G2901" s="564" t="s">
        <v>6780</v>
      </c>
      <c r="H2901" s="564" t="s">
        <v>6780</v>
      </c>
      <c r="I2901" s="564" t="s">
        <v>257</v>
      </c>
      <c r="J2901" s="564" t="s">
        <v>1069</v>
      </c>
      <c r="K2901" s="564" t="s">
        <v>1209</v>
      </c>
      <c r="L2901" s="564" t="s">
        <v>2098</v>
      </c>
      <c r="M2901" s="564" t="s">
        <v>2098</v>
      </c>
      <c r="N2901" s="564" t="s">
        <v>257</v>
      </c>
      <c r="O2901" s="564" t="s">
        <v>2099</v>
      </c>
      <c r="P2901" s="23"/>
      <c r="Q2901" s="23"/>
      <c r="R2901" s="23"/>
      <c r="S2901" s="23"/>
      <c r="T2901" s="23"/>
      <c r="U2901" s="23"/>
      <c r="V2901" s="23"/>
      <c r="W2901" s="23"/>
      <c r="X2901" s="23"/>
      <c r="Y2901" s="23"/>
      <c r="Z2901" s="23"/>
    </row>
    <row r="2902" spans="1:26" ht="13">
      <c r="A2902" s="562" t="s">
        <v>6851</v>
      </c>
      <c r="B2902" s="563" t="s">
        <v>6852</v>
      </c>
      <c r="C2902" s="564" t="s">
        <v>1612</v>
      </c>
      <c r="D2902" s="565">
        <v>42643</v>
      </c>
      <c r="E2902" s="565">
        <v>42674</v>
      </c>
      <c r="F2902" s="566">
        <v>24112876</v>
      </c>
      <c r="G2902" s="564" t="s">
        <v>5465</v>
      </c>
      <c r="H2902" s="564" t="s">
        <v>5465</v>
      </c>
      <c r="I2902" s="564" t="s">
        <v>45</v>
      </c>
      <c r="J2902" s="564" t="s">
        <v>1069</v>
      </c>
      <c r="K2902" s="564" t="s">
        <v>1090</v>
      </c>
      <c r="L2902" s="564" t="s">
        <v>2098</v>
      </c>
      <c r="M2902" s="564" t="s">
        <v>2098</v>
      </c>
      <c r="N2902" s="564" t="s">
        <v>45</v>
      </c>
      <c r="O2902" s="564" t="s">
        <v>2099</v>
      </c>
      <c r="P2902" s="23"/>
      <c r="Q2902" s="23"/>
      <c r="R2902" s="23"/>
      <c r="S2902" s="23"/>
      <c r="T2902" s="23"/>
      <c r="U2902" s="23"/>
      <c r="V2902" s="23"/>
      <c r="W2902" s="23"/>
      <c r="X2902" s="23"/>
      <c r="Y2902" s="23"/>
      <c r="Z2902" s="23"/>
    </row>
    <row r="2903" spans="1:26" ht="13">
      <c r="A2903" s="562" t="s">
        <v>6853</v>
      </c>
      <c r="B2903" s="563" t="s">
        <v>6854</v>
      </c>
      <c r="C2903" s="564" t="s">
        <v>1612</v>
      </c>
      <c r="D2903" s="565">
        <v>42641</v>
      </c>
      <c r="E2903" s="565">
        <v>42674</v>
      </c>
      <c r="F2903" s="566">
        <v>25000000</v>
      </c>
      <c r="G2903" s="564" t="s">
        <v>5465</v>
      </c>
      <c r="H2903" s="564" t="s">
        <v>5465</v>
      </c>
      <c r="I2903" s="564" t="s">
        <v>45</v>
      </c>
      <c r="J2903" s="564" t="s">
        <v>1069</v>
      </c>
      <c r="K2903" s="564" t="s">
        <v>1090</v>
      </c>
      <c r="L2903" s="564" t="s">
        <v>2098</v>
      </c>
      <c r="M2903" s="564" t="s">
        <v>2098</v>
      </c>
      <c r="N2903" s="564" t="s">
        <v>45</v>
      </c>
      <c r="O2903" s="564" t="s">
        <v>2099</v>
      </c>
      <c r="P2903" s="23"/>
      <c r="Q2903" s="23"/>
      <c r="R2903" s="23"/>
      <c r="S2903" s="23"/>
      <c r="T2903" s="23"/>
      <c r="U2903" s="23"/>
      <c r="V2903" s="23"/>
      <c r="W2903" s="23"/>
      <c r="X2903" s="23"/>
      <c r="Y2903" s="23"/>
      <c r="Z2903" s="23"/>
    </row>
    <row r="2904" spans="1:26" ht="13">
      <c r="A2904" s="562" t="s">
        <v>6855</v>
      </c>
      <c r="B2904" s="563" t="s">
        <v>6856</v>
      </c>
      <c r="C2904" s="564" t="s">
        <v>1612</v>
      </c>
      <c r="D2904" s="565">
        <v>42642</v>
      </c>
      <c r="E2904" s="565">
        <v>42642</v>
      </c>
      <c r="F2904" s="567">
        <v>1</v>
      </c>
      <c r="G2904" s="564" t="s">
        <v>3535</v>
      </c>
      <c r="H2904" s="564" t="s">
        <v>3535</v>
      </c>
      <c r="I2904" s="564" t="s">
        <v>2311</v>
      </c>
      <c r="J2904" s="564" t="s">
        <v>1069</v>
      </c>
      <c r="K2904" s="564" t="s">
        <v>1070</v>
      </c>
      <c r="L2904" s="564" t="s">
        <v>2098</v>
      </c>
      <c r="M2904" s="564" t="s">
        <v>2098</v>
      </c>
      <c r="N2904" s="564" t="s">
        <v>1073</v>
      </c>
      <c r="O2904" s="564" t="s">
        <v>2099</v>
      </c>
      <c r="P2904" s="23"/>
      <c r="Q2904" s="23"/>
      <c r="R2904" s="23"/>
      <c r="S2904" s="23"/>
      <c r="T2904" s="23"/>
      <c r="U2904" s="23"/>
      <c r="V2904" s="23"/>
      <c r="W2904" s="23"/>
      <c r="X2904" s="23"/>
      <c r="Y2904" s="23"/>
      <c r="Z2904" s="23"/>
    </row>
    <row r="2905" spans="1:26" ht="13">
      <c r="A2905" s="562" t="s">
        <v>6857</v>
      </c>
      <c r="B2905" s="563" t="s">
        <v>5718</v>
      </c>
      <c r="C2905" s="564" t="s">
        <v>1612</v>
      </c>
      <c r="D2905" s="565">
        <v>42636</v>
      </c>
      <c r="E2905" s="565">
        <v>42664</v>
      </c>
      <c r="F2905" s="566">
        <v>1180000</v>
      </c>
      <c r="G2905" s="564" t="s">
        <v>1424</v>
      </c>
      <c r="H2905" s="564" t="s">
        <v>1424</v>
      </c>
      <c r="I2905" s="564" t="s">
        <v>45</v>
      </c>
      <c r="J2905" s="564" t="s">
        <v>1069</v>
      </c>
      <c r="K2905" s="564" t="s">
        <v>1090</v>
      </c>
      <c r="L2905" s="564" t="s">
        <v>2098</v>
      </c>
      <c r="M2905" s="564" t="s">
        <v>2098</v>
      </c>
      <c r="N2905" s="564" t="s">
        <v>45</v>
      </c>
      <c r="O2905" s="564" t="s">
        <v>2099</v>
      </c>
      <c r="P2905" s="23"/>
      <c r="Q2905" s="23"/>
      <c r="R2905" s="23"/>
      <c r="S2905" s="23"/>
      <c r="T2905" s="23"/>
      <c r="U2905" s="23"/>
      <c r="V2905" s="23"/>
      <c r="W2905" s="23"/>
      <c r="X2905" s="23"/>
      <c r="Y2905" s="23"/>
      <c r="Z2905" s="23"/>
    </row>
    <row r="2906" spans="1:26" ht="13">
      <c r="A2906" s="562" t="s">
        <v>6858</v>
      </c>
      <c r="B2906" s="563" t="s">
        <v>6859</v>
      </c>
      <c r="C2906" s="564" t="s">
        <v>6860</v>
      </c>
      <c r="D2906" s="565">
        <v>42640</v>
      </c>
      <c r="E2906" s="565">
        <v>42643</v>
      </c>
      <c r="F2906" s="566">
        <v>166760000</v>
      </c>
      <c r="G2906" s="564" t="s">
        <v>1128</v>
      </c>
      <c r="H2906" s="564" t="s">
        <v>1128</v>
      </c>
      <c r="I2906" s="564" t="s">
        <v>6861</v>
      </c>
      <c r="J2906" s="564" t="s">
        <v>1069</v>
      </c>
      <c r="K2906" s="564" t="s">
        <v>1070</v>
      </c>
      <c r="L2906" s="564" t="s">
        <v>2098</v>
      </c>
      <c r="M2906" s="564" t="s">
        <v>2098</v>
      </c>
      <c r="N2906" s="564" t="s">
        <v>1082</v>
      </c>
      <c r="O2906" s="564" t="s">
        <v>2099</v>
      </c>
      <c r="P2906" s="23"/>
      <c r="Q2906" s="23"/>
      <c r="R2906" s="23"/>
      <c r="S2906" s="23"/>
      <c r="T2906" s="23"/>
      <c r="U2906" s="23"/>
      <c r="V2906" s="23"/>
      <c r="W2906" s="23"/>
      <c r="X2906" s="23"/>
      <c r="Y2906" s="23"/>
      <c r="Z2906" s="23"/>
    </row>
    <row r="2907" spans="1:26" ht="13">
      <c r="A2907" s="562" t="s">
        <v>6862</v>
      </c>
      <c r="B2907" s="563" t="s">
        <v>5739</v>
      </c>
      <c r="C2907" s="564" t="s">
        <v>1612</v>
      </c>
      <c r="D2907" s="565">
        <v>42636</v>
      </c>
      <c r="E2907" s="565">
        <v>42664</v>
      </c>
      <c r="F2907" s="566">
        <v>9430000</v>
      </c>
      <c r="G2907" s="564" t="s">
        <v>1424</v>
      </c>
      <c r="H2907" s="564" t="s">
        <v>1424</v>
      </c>
      <c r="I2907" s="564" t="s">
        <v>45</v>
      </c>
      <c r="J2907" s="564" t="s">
        <v>1069</v>
      </c>
      <c r="K2907" s="564" t="s">
        <v>1090</v>
      </c>
      <c r="L2907" s="564" t="s">
        <v>2098</v>
      </c>
      <c r="M2907" s="564" t="s">
        <v>2098</v>
      </c>
      <c r="N2907" s="564" t="s">
        <v>45</v>
      </c>
      <c r="O2907" s="564" t="s">
        <v>2099</v>
      </c>
      <c r="P2907" s="23"/>
      <c r="Q2907" s="23"/>
      <c r="R2907" s="23"/>
      <c r="S2907" s="23"/>
      <c r="T2907" s="23"/>
      <c r="U2907" s="23"/>
      <c r="V2907" s="23"/>
      <c r="W2907" s="23"/>
      <c r="X2907" s="23"/>
      <c r="Y2907" s="23"/>
      <c r="Z2907" s="23"/>
    </row>
    <row r="2908" spans="1:26" ht="13">
      <c r="A2908" s="562" t="s">
        <v>6863</v>
      </c>
      <c r="B2908" s="563" t="s">
        <v>5718</v>
      </c>
      <c r="C2908" s="564" t="s">
        <v>1612</v>
      </c>
      <c r="D2908" s="565">
        <v>42636</v>
      </c>
      <c r="E2908" s="565">
        <v>42664</v>
      </c>
      <c r="F2908" s="566">
        <v>1180000</v>
      </c>
      <c r="G2908" s="564" t="s">
        <v>1424</v>
      </c>
      <c r="H2908" s="564" t="s">
        <v>1424</v>
      </c>
      <c r="I2908" s="564" t="s">
        <v>45</v>
      </c>
      <c r="J2908" s="564" t="s">
        <v>1069</v>
      </c>
      <c r="K2908" s="564" t="s">
        <v>1090</v>
      </c>
      <c r="L2908" s="564" t="s">
        <v>2098</v>
      </c>
      <c r="M2908" s="564" t="s">
        <v>2098</v>
      </c>
      <c r="N2908" s="564" t="s">
        <v>45</v>
      </c>
      <c r="O2908" s="564" t="s">
        <v>2099</v>
      </c>
      <c r="P2908" s="23"/>
      <c r="Q2908" s="23"/>
      <c r="R2908" s="23"/>
      <c r="S2908" s="23"/>
      <c r="T2908" s="23"/>
      <c r="U2908" s="23"/>
      <c r="V2908" s="23"/>
      <c r="W2908" s="23"/>
      <c r="X2908" s="23"/>
      <c r="Y2908" s="23"/>
      <c r="Z2908" s="23"/>
    </row>
    <row r="2909" spans="1:26" ht="13">
      <c r="A2909" s="562" t="s">
        <v>6864</v>
      </c>
      <c r="B2909" s="563" t="s">
        <v>6336</v>
      </c>
      <c r="C2909" s="564" t="s">
        <v>1612</v>
      </c>
      <c r="D2909" s="565">
        <v>42635</v>
      </c>
      <c r="E2909" s="565">
        <v>42664</v>
      </c>
      <c r="F2909" s="566">
        <v>650000</v>
      </c>
      <c r="G2909" s="564" t="s">
        <v>1424</v>
      </c>
      <c r="H2909" s="564" t="s">
        <v>1424</v>
      </c>
      <c r="I2909" s="564" t="s">
        <v>70</v>
      </c>
      <c r="J2909" s="564" t="s">
        <v>1069</v>
      </c>
      <c r="K2909" s="564" t="s">
        <v>1120</v>
      </c>
      <c r="L2909" s="564" t="s">
        <v>2098</v>
      </c>
      <c r="M2909" s="564" t="s">
        <v>2098</v>
      </c>
      <c r="N2909" s="564" t="s">
        <v>70</v>
      </c>
      <c r="O2909" s="564" t="s">
        <v>2099</v>
      </c>
      <c r="P2909" s="23"/>
      <c r="Q2909" s="23"/>
      <c r="R2909" s="23"/>
      <c r="S2909" s="23"/>
      <c r="T2909" s="23"/>
      <c r="U2909" s="23"/>
      <c r="V2909" s="23"/>
      <c r="W2909" s="23"/>
      <c r="X2909" s="23"/>
      <c r="Y2909" s="23"/>
      <c r="Z2909" s="23"/>
    </row>
    <row r="2910" spans="1:26" ht="13">
      <c r="A2910" s="562" t="s">
        <v>6865</v>
      </c>
      <c r="B2910" s="563" t="s">
        <v>6866</v>
      </c>
      <c r="C2910" s="564" t="s">
        <v>1612</v>
      </c>
      <c r="D2910" s="565">
        <v>42633</v>
      </c>
      <c r="E2910" s="565">
        <v>42661</v>
      </c>
      <c r="F2910" s="566">
        <v>2172727</v>
      </c>
      <c r="G2910" s="564" t="s">
        <v>1623</v>
      </c>
      <c r="H2910" s="564" t="s">
        <v>1623</v>
      </c>
      <c r="I2910" s="564" t="s">
        <v>802</v>
      </c>
      <c r="J2910" s="564" t="s">
        <v>1069</v>
      </c>
      <c r="K2910" s="564" t="s">
        <v>1198</v>
      </c>
      <c r="L2910" s="564" t="s">
        <v>2098</v>
      </c>
      <c r="M2910" s="564" t="s">
        <v>2098</v>
      </c>
      <c r="N2910" s="564" t="s">
        <v>132</v>
      </c>
      <c r="O2910" s="564" t="s">
        <v>2099</v>
      </c>
      <c r="P2910" s="23"/>
      <c r="Q2910" s="23"/>
      <c r="R2910" s="23"/>
      <c r="S2910" s="23"/>
      <c r="T2910" s="23"/>
      <c r="U2910" s="23"/>
      <c r="V2910" s="23"/>
      <c r="W2910" s="23"/>
      <c r="X2910" s="23"/>
      <c r="Y2910" s="23"/>
      <c r="Z2910" s="23"/>
    </row>
    <row r="2911" spans="1:26" ht="13">
      <c r="A2911" s="562" t="s">
        <v>6867</v>
      </c>
      <c r="B2911" s="563" t="s">
        <v>6785</v>
      </c>
      <c r="C2911" s="564" t="s">
        <v>1612</v>
      </c>
      <c r="D2911" s="565">
        <v>42626</v>
      </c>
      <c r="E2911" s="565">
        <v>42656</v>
      </c>
      <c r="F2911" s="567">
        <v>735</v>
      </c>
      <c r="G2911" s="564" t="s">
        <v>1424</v>
      </c>
      <c r="H2911" s="564" t="s">
        <v>1424</v>
      </c>
      <c r="I2911" s="564" t="s">
        <v>1586</v>
      </c>
      <c r="J2911" s="564" t="s">
        <v>1069</v>
      </c>
      <c r="K2911" s="564" t="s">
        <v>1090</v>
      </c>
      <c r="L2911" s="564" t="s">
        <v>2098</v>
      </c>
      <c r="M2911" s="564" t="s">
        <v>2098</v>
      </c>
      <c r="N2911" s="564" t="s">
        <v>1073</v>
      </c>
      <c r="O2911" s="564" t="s">
        <v>2099</v>
      </c>
      <c r="P2911" s="23"/>
      <c r="Q2911" s="23"/>
      <c r="R2911" s="23"/>
      <c r="S2911" s="23"/>
      <c r="T2911" s="23"/>
      <c r="U2911" s="23"/>
      <c r="V2911" s="23"/>
      <c r="W2911" s="23"/>
      <c r="X2911" s="23"/>
      <c r="Y2911" s="23"/>
      <c r="Z2911" s="23"/>
    </row>
    <row r="2912" spans="1:26" ht="13">
      <c r="A2912" s="562" t="s">
        <v>6868</v>
      </c>
      <c r="B2912" s="563" t="s">
        <v>6869</v>
      </c>
      <c r="C2912" s="564" t="s">
        <v>1612</v>
      </c>
      <c r="D2912" s="565">
        <v>42621</v>
      </c>
      <c r="E2912" s="565">
        <v>42643</v>
      </c>
      <c r="F2912" s="566">
        <v>1113</v>
      </c>
      <c r="G2912" s="564" t="s">
        <v>1424</v>
      </c>
      <c r="H2912" s="564" t="s">
        <v>1424</v>
      </c>
      <c r="I2912" s="564" t="s">
        <v>64</v>
      </c>
      <c r="J2912" s="564" t="s">
        <v>1069</v>
      </c>
      <c r="K2912" s="564" t="s">
        <v>1090</v>
      </c>
      <c r="L2912" s="564" t="s">
        <v>2098</v>
      </c>
      <c r="M2912" s="564" t="s">
        <v>2098</v>
      </c>
      <c r="N2912" s="564" t="s">
        <v>64</v>
      </c>
      <c r="O2912" s="564" t="s">
        <v>2099</v>
      </c>
      <c r="P2912" s="23"/>
      <c r="Q2912" s="23"/>
      <c r="R2912" s="23"/>
      <c r="S2912" s="23"/>
      <c r="T2912" s="23"/>
      <c r="U2912" s="23"/>
      <c r="V2912" s="23"/>
      <c r="W2912" s="23"/>
      <c r="X2912" s="23"/>
      <c r="Y2912" s="23"/>
      <c r="Z2912" s="23"/>
    </row>
    <row r="2913" spans="1:26" ht="13">
      <c r="A2913" s="562" t="s">
        <v>6870</v>
      </c>
      <c r="B2913" s="563" t="s">
        <v>6871</v>
      </c>
      <c r="C2913" s="564" t="s">
        <v>1612</v>
      </c>
      <c r="D2913" s="565">
        <v>42625</v>
      </c>
      <c r="E2913" s="565">
        <v>42643</v>
      </c>
      <c r="F2913" s="566">
        <v>4676000</v>
      </c>
      <c r="G2913" s="564" t="s">
        <v>5465</v>
      </c>
      <c r="H2913" s="564" t="s">
        <v>5465</v>
      </c>
      <c r="I2913" s="564" t="s">
        <v>45</v>
      </c>
      <c r="J2913" s="564" t="s">
        <v>1069</v>
      </c>
      <c r="K2913" s="564" t="s">
        <v>1090</v>
      </c>
      <c r="L2913" s="564" t="s">
        <v>2098</v>
      </c>
      <c r="M2913" s="564" t="s">
        <v>2098</v>
      </c>
      <c r="N2913" s="564" t="s">
        <v>45</v>
      </c>
      <c r="O2913" s="564" t="s">
        <v>2099</v>
      </c>
      <c r="P2913" s="23"/>
      <c r="Q2913" s="23"/>
      <c r="R2913" s="23"/>
      <c r="S2913" s="23"/>
      <c r="T2913" s="23"/>
      <c r="U2913" s="23"/>
      <c r="V2913" s="23"/>
      <c r="W2913" s="23"/>
      <c r="X2913" s="23"/>
      <c r="Y2913" s="23"/>
      <c r="Z2913" s="23"/>
    </row>
    <row r="2914" spans="1:26" ht="13">
      <c r="A2914" s="562" t="s">
        <v>6872</v>
      </c>
      <c r="B2914" s="563" t="s">
        <v>6873</v>
      </c>
      <c r="C2914" s="564" t="s">
        <v>1612</v>
      </c>
      <c r="D2914" s="565">
        <v>42625</v>
      </c>
      <c r="E2914" s="565">
        <v>42643</v>
      </c>
      <c r="F2914" s="566">
        <v>3510000</v>
      </c>
      <c r="G2914" s="564" t="s">
        <v>5465</v>
      </c>
      <c r="H2914" s="564" t="s">
        <v>5465</v>
      </c>
      <c r="I2914" s="564" t="s">
        <v>45</v>
      </c>
      <c r="J2914" s="564" t="s">
        <v>1069</v>
      </c>
      <c r="K2914" s="564" t="s">
        <v>1090</v>
      </c>
      <c r="L2914" s="564" t="s">
        <v>2098</v>
      </c>
      <c r="M2914" s="564" t="s">
        <v>2098</v>
      </c>
      <c r="N2914" s="564" t="s">
        <v>45</v>
      </c>
      <c r="O2914" s="564" t="s">
        <v>2099</v>
      </c>
      <c r="P2914" s="23"/>
      <c r="Q2914" s="23"/>
      <c r="R2914" s="23"/>
      <c r="S2914" s="23"/>
      <c r="T2914" s="23"/>
      <c r="U2914" s="23"/>
      <c r="V2914" s="23"/>
      <c r="W2914" s="23"/>
      <c r="X2914" s="23"/>
      <c r="Y2914" s="23"/>
      <c r="Z2914" s="23"/>
    </row>
    <row r="2915" spans="1:26" ht="13">
      <c r="A2915" s="562" t="s">
        <v>6874</v>
      </c>
      <c r="B2915" s="563" t="s">
        <v>5810</v>
      </c>
      <c r="C2915" s="564" t="s">
        <v>1612</v>
      </c>
      <c r="D2915" s="565">
        <v>42621</v>
      </c>
      <c r="E2915" s="565">
        <v>42643</v>
      </c>
      <c r="F2915" s="566">
        <v>3243</v>
      </c>
      <c r="G2915" s="564" t="s">
        <v>1424</v>
      </c>
      <c r="H2915" s="564" t="s">
        <v>1424</v>
      </c>
      <c r="I2915" s="564" t="s">
        <v>70</v>
      </c>
      <c r="J2915" s="564" t="s">
        <v>1069</v>
      </c>
      <c r="K2915" s="564" t="s">
        <v>1120</v>
      </c>
      <c r="L2915" s="564" t="s">
        <v>2098</v>
      </c>
      <c r="M2915" s="564" t="s">
        <v>2098</v>
      </c>
      <c r="N2915" s="564" t="s">
        <v>70</v>
      </c>
      <c r="O2915" s="564" t="s">
        <v>2099</v>
      </c>
      <c r="P2915" s="23"/>
      <c r="Q2915" s="23"/>
      <c r="R2915" s="23"/>
      <c r="S2915" s="23"/>
      <c r="T2915" s="23"/>
      <c r="U2915" s="23"/>
      <c r="V2915" s="23"/>
      <c r="W2915" s="23"/>
      <c r="X2915" s="23"/>
      <c r="Y2915" s="23"/>
      <c r="Z2915" s="23"/>
    </row>
    <row r="2916" spans="1:26" ht="13">
      <c r="A2916" s="562" t="s">
        <v>6875</v>
      </c>
      <c r="B2916" s="563" t="s">
        <v>6876</v>
      </c>
      <c r="C2916" s="564" t="s">
        <v>1612</v>
      </c>
      <c r="D2916" s="565">
        <v>42626</v>
      </c>
      <c r="E2916" s="565">
        <v>42671</v>
      </c>
      <c r="F2916" s="566">
        <v>263476</v>
      </c>
      <c r="G2916" s="564" t="s">
        <v>1424</v>
      </c>
      <c r="H2916" s="564" t="s">
        <v>1424</v>
      </c>
      <c r="I2916" s="564" t="s">
        <v>70</v>
      </c>
      <c r="J2916" s="564" t="s">
        <v>1069</v>
      </c>
      <c r="K2916" s="564" t="s">
        <v>1120</v>
      </c>
      <c r="L2916" s="564" t="s">
        <v>2098</v>
      </c>
      <c r="M2916" s="564" t="s">
        <v>2098</v>
      </c>
      <c r="N2916" s="564" t="s">
        <v>70</v>
      </c>
      <c r="O2916" s="564" t="s">
        <v>2099</v>
      </c>
      <c r="P2916" s="23"/>
      <c r="Q2916" s="23"/>
      <c r="R2916" s="23"/>
      <c r="S2916" s="23"/>
      <c r="T2916" s="23"/>
      <c r="U2916" s="23"/>
      <c r="V2916" s="23"/>
      <c r="W2916" s="23"/>
      <c r="X2916" s="23"/>
      <c r="Y2916" s="23"/>
      <c r="Z2916" s="23"/>
    </row>
    <row r="2917" spans="1:26" ht="13">
      <c r="A2917" s="562" t="s">
        <v>6877</v>
      </c>
      <c r="B2917" s="563" t="s">
        <v>6878</v>
      </c>
      <c r="C2917" s="564" t="s">
        <v>1612</v>
      </c>
      <c r="D2917" s="565">
        <v>42626</v>
      </c>
      <c r="E2917" s="565">
        <v>42663</v>
      </c>
      <c r="F2917" s="566">
        <v>48900</v>
      </c>
      <c r="G2917" s="564" t="s">
        <v>1636</v>
      </c>
      <c r="H2917" s="564" t="s">
        <v>1636</v>
      </c>
      <c r="I2917" s="564" t="s">
        <v>1681</v>
      </c>
      <c r="J2917" s="564" t="s">
        <v>1069</v>
      </c>
      <c r="K2917" s="564" t="s">
        <v>1120</v>
      </c>
      <c r="L2917" s="564" t="s">
        <v>2098</v>
      </c>
      <c r="M2917" s="564" t="s">
        <v>2098</v>
      </c>
      <c r="N2917" s="564" t="s">
        <v>1073</v>
      </c>
      <c r="O2917" s="564" t="s">
        <v>2099</v>
      </c>
      <c r="P2917" s="23"/>
      <c r="Q2917" s="23"/>
      <c r="R2917" s="23"/>
      <c r="S2917" s="23"/>
      <c r="T2917" s="23"/>
      <c r="U2917" s="23"/>
      <c r="V2917" s="23"/>
      <c r="W2917" s="23"/>
      <c r="X2917" s="23"/>
      <c r="Y2917" s="23"/>
      <c r="Z2917" s="23"/>
    </row>
    <row r="2918" spans="1:26" ht="13">
      <c r="A2918" s="562" t="s">
        <v>6879</v>
      </c>
      <c r="B2918" s="563" t="s">
        <v>6880</v>
      </c>
      <c r="C2918" s="564" t="s">
        <v>1612</v>
      </c>
      <c r="D2918" s="565">
        <v>42619</v>
      </c>
      <c r="E2918" s="565">
        <v>42643</v>
      </c>
      <c r="F2918" s="567">
        <v>444</v>
      </c>
      <c r="G2918" s="564" t="s">
        <v>1424</v>
      </c>
      <c r="H2918" s="564" t="s">
        <v>1424</v>
      </c>
      <c r="I2918" s="564" t="s">
        <v>3824</v>
      </c>
      <c r="J2918" s="564" t="s">
        <v>1069</v>
      </c>
      <c r="K2918" s="564" t="s">
        <v>1070</v>
      </c>
      <c r="L2918" s="564" t="s">
        <v>2098</v>
      </c>
      <c r="M2918" s="564" t="s">
        <v>2098</v>
      </c>
      <c r="N2918" s="564" t="s">
        <v>1073</v>
      </c>
      <c r="O2918" s="564" t="s">
        <v>2099</v>
      </c>
      <c r="P2918" s="23"/>
      <c r="Q2918" s="23"/>
      <c r="R2918" s="23"/>
      <c r="S2918" s="23"/>
      <c r="T2918" s="23"/>
      <c r="U2918" s="23"/>
      <c r="V2918" s="23"/>
      <c r="W2918" s="23"/>
      <c r="X2918" s="23"/>
      <c r="Y2918" s="23"/>
      <c r="Z2918" s="23"/>
    </row>
    <row r="2919" spans="1:26" ht="13">
      <c r="A2919" s="562" t="s">
        <v>6881</v>
      </c>
      <c r="B2919" s="563" t="s">
        <v>6882</v>
      </c>
      <c r="C2919" s="564" t="s">
        <v>1612</v>
      </c>
      <c r="D2919" s="565">
        <v>42619</v>
      </c>
      <c r="E2919" s="565">
        <v>42643</v>
      </c>
      <c r="F2919" s="567">
        <v>444</v>
      </c>
      <c r="G2919" s="564" t="s">
        <v>1424</v>
      </c>
      <c r="H2919" s="564" t="s">
        <v>1424</v>
      </c>
      <c r="I2919" s="564" t="s">
        <v>2586</v>
      </c>
      <c r="J2919" s="564" t="s">
        <v>1069</v>
      </c>
      <c r="K2919" s="564" t="s">
        <v>1070</v>
      </c>
      <c r="L2919" s="564" t="s">
        <v>2098</v>
      </c>
      <c r="M2919" s="564" t="s">
        <v>2098</v>
      </c>
      <c r="N2919" s="564" t="s">
        <v>1073</v>
      </c>
      <c r="O2919" s="564" t="s">
        <v>2099</v>
      </c>
      <c r="P2919" s="23"/>
      <c r="Q2919" s="23"/>
      <c r="R2919" s="23"/>
      <c r="S2919" s="23"/>
      <c r="T2919" s="23"/>
      <c r="U2919" s="23"/>
      <c r="V2919" s="23"/>
      <c r="W2919" s="23"/>
      <c r="X2919" s="23"/>
      <c r="Y2919" s="23"/>
      <c r="Z2919" s="23"/>
    </row>
    <row r="2920" spans="1:26" ht="13">
      <c r="A2920" s="562" t="s">
        <v>6883</v>
      </c>
      <c r="B2920" s="563" t="s">
        <v>6150</v>
      </c>
      <c r="C2920" s="564" t="s">
        <v>1612</v>
      </c>
      <c r="D2920" s="565">
        <v>42619</v>
      </c>
      <c r="E2920" s="565">
        <v>42643</v>
      </c>
      <c r="F2920" s="566">
        <v>4720</v>
      </c>
      <c r="G2920" s="564" t="s">
        <v>1424</v>
      </c>
      <c r="H2920" s="564" t="s">
        <v>1424</v>
      </c>
      <c r="I2920" s="564" t="s">
        <v>1837</v>
      </c>
      <c r="J2920" s="564" t="s">
        <v>1069</v>
      </c>
      <c r="K2920" s="564" t="s">
        <v>1070</v>
      </c>
      <c r="L2920" s="564" t="s">
        <v>2098</v>
      </c>
      <c r="M2920" s="564" t="s">
        <v>2098</v>
      </c>
      <c r="N2920" s="564" t="s">
        <v>1082</v>
      </c>
      <c r="O2920" s="564" t="s">
        <v>2099</v>
      </c>
      <c r="P2920" s="23"/>
      <c r="Q2920" s="23"/>
      <c r="R2920" s="23"/>
      <c r="S2920" s="23"/>
      <c r="T2920" s="23"/>
      <c r="U2920" s="23"/>
      <c r="V2920" s="23"/>
      <c r="W2920" s="23"/>
      <c r="X2920" s="23"/>
      <c r="Y2920" s="23"/>
      <c r="Z2920" s="23"/>
    </row>
    <row r="2921" spans="1:26" ht="13">
      <c r="A2921" s="562" t="s">
        <v>6884</v>
      </c>
      <c r="B2921" s="563" t="s">
        <v>6885</v>
      </c>
      <c r="C2921" s="564" t="s">
        <v>3935</v>
      </c>
      <c r="D2921" s="565">
        <v>42621</v>
      </c>
      <c r="E2921" s="565">
        <v>43084</v>
      </c>
      <c r="F2921" s="566">
        <v>280000</v>
      </c>
      <c r="G2921" s="564" t="s">
        <v>1116</v>
      </c>
      <c r="H2921" s="564" t="s">
        <v>1116</v>
      </c>
      <c r="I2921" s="564" t="s">
        <v>516</v>
      </c>
      <c r="J2921" s="564" t="s">
        <v>1069</v>
      </c>
      <c r="K2921" s="564" t="s">
        <v>1209</v>
      </c>
      <c r="L2921" s="564" t="s">
        <v>2098</v>
      </c>
      <c r="M2921" s="564" t="s">
        <v>2098</v>
      </c>
      <c r="N2921" s="564" t="s">
        <v>1082</v>
      </c>
      <c r="O2921" s="564" t="s">
        <v>2099</v>
      </c>
      <c r="P2921" s="23"/>
      <c r="Q2921" s="23"/>
      <c r="R2921" s="23"/>
      <c r="S2921" s="23"/>
      <c r="T2921" s="23"/>
      <c r="U2921" s="23"/>
      <c r="V2921" s="23"/>
      <c r="W2921" s="23"/>
      <c r="X2921" s="23"/>
      <c r="Y2921" s="23"/>
      <c r="Z2921" s="23"/>
    </row>
    <row r="2922" spans="1:26" ht="13">
      <c r="A2922" s="562" t="s">
        <v>6886</v>
      </c>
      <c r="B2922" s="563" t="s">
        <v>6887</v>
      </c>
      <c r="C2922" s="564" t="s">
        <v>1612</v>
      </c>
      <c r="D2922" s="565">
        <v>42618</v>
      </c>
      <c r="E2922" s="565">
        <v>42625</v>
      </c>
      <c r="F2922" s="566">
        <v>3254546</v>
      </c>
      <c r="G2922" s="564" t="s">
        <v>1623</v>
      </c>
      <c r="H2922" s="564" t="s">
        <v>1623</v>
      </c>
      <c r="I2922" s="564" t="s">
        <v>802</v>
      </c>
      <c r="J2922" s="564" t="s">
        <v>1069</v>
      </c>
      <c r="K2922" s="564" t="s">
        <v>1198</v>
      </c>
      <c r="L2922" s="564" t="s">
        <v>2098</v>
      </c>
      <c r="M2922" s="564" t="s">
        <v>2098</v>
      </c>
      <c r="N2922" s="564" t="s">
        <v>132</v>
      </c>
      <c r="O2922" s="564" t="s">
        <v>2099</v>
      </c>
      <c r="P2922" s="23"/>
      <c r="Q2922" s="23"/>
      <c r="R2922" s="23"/>
      <c r="S2922" s="23"/>
      <c r="T2922" s="23"/>
      <c r="U2922" s="23"/>
      <c r="V2922" s="23"/>
      <c r="W2922" s="23"/>
      <c r="X2922" s="23"/>
      <c r="Y2922" s="23"/>
      <c r="Z2922" s="23"/>
    </row>
    <row r="2923" spans="1:26" ht="13">
      <c r="A2923" s="562" t="s">
        <v>6888</v>
      </c>
      <c r="B2923" s="563" t="s">
        <v>6889</v>
      </c>
      <c r="C2923" s="564" t="s">
        <v>1612</v>
      </c>
      <c r="D2923" s="565">
        <v>42618</v>
      </c>
      <c r="E2923" s="565">
        <v>42646</v>
      </c>
      <c r="F2923" s="566">
        <v>15068182</v>
      </c>
      <c r="G2923" s="564" t="s">
        <v>1623</v>
      </c>
      <c r="H2923" s="564" t="s">
        <v>1623</v>
      </c>
      <c r="I2923" s="564" t="s">
        <v>802</v>
      </c>
      <c r="J2923" s="564" t="s">
        <v>1069</v>
      </c>
      <c r="K2923" s="564" t="s">
        <v>1198</v>
      </c>
      <c r="L2923" s="564" t="s">
        <v>2098</v>
      </c>
      <c r="M2923" s="564" t="s">
        <v>2098</v>
      </c>
      <c r="N2923" s="564" t="s">
        <v>132</v>
      </c>
      <c r="O2923" s="564" t="s">
        <v>2099</v>
      </c>
      <c r="P2923" s="23"/>
      <c r="Q2923" s="23"/>
      <c r="R2923" s="23"/>
      <c r="S2923" s="23"/>
      <c r="T2923" s="23"/>
      <c r="U2923" s="23"/>
      <c r="V2923" s="23"/>
      <c r="W2923" s="23"/>
      <c r="X2923" s="23"/>
      <c r="Y2923" s="23"/>
      <c r="Z2923" s="23"/>
    </row>
    <row r="2924" spans="1:26" ht="13">
      <c r="A2924" s="562" t="s">
        <v>6890</v>
      </c>
      <c r="B2924" s="563" t="s">
        <v>6891</v>
      </c>
      <c r="C2924" s="564" t="s">
        <v>1612</v>
      </c>
      <c r="D2924" s="565">
        <v>42619</v>
      </c>
      <c r="E2924" s="565">
        <v>42614</v>
      </c>
      <c r="F2924" s="566">
        <v>110880</v>
      </c>
      <c r="G2924" s="564" t="s">
        <v>1424</v>
      </c>
      <c r="H2924" s="564" t="s">
        <v>1424</v>
      </c>
      <c r="I2924" s="564" t="s">
        <v>146</v>
      </c>
      <c r="J2924" s="564" t="s">
        <v>1069</v>
      </c>
      <c r="K2924" s="564" t="s">
        <v>1070</v>
      </c>
      <c r="L2924" s="564" t="s">
        <v>1071</v>
      </c>
      <c r="M2924" s="564" t="s">
        <v>1183</v>
      </c>
      <c r="N2924" s="564" t="s">
        <v>1073</v>
      </c>
      <c r="O2924" s="564" t="s">
        <v>2099</v>
      </c>
      <c r="P2924" s="23"/>
      <c r="Q2924" s="23"/>
      <c r="R2924" s="23"/>
      <c r="S2924" s="23"/>
      <c r="T2924" s="23"/>
      <c r="U2924" s="23"/>
      <c r="V2924" s="23"/>
      <c r="W2924" s="23"/>
      <c r="X2924" s="23"/>
      <c r="Y2924" s="23"/>
      <c r="Z2924" s="23"/>
    </row>
    <row r="2925" spans="1:26" ht="13">
      <c r="A2925" s="562" t="s">
        <v>6892</v>
      </c>
      <c r="B2925" s="563" t="s">
        <v>6893</v>
      </c>
      <c r="C2925" s="564" t="s">
        <v>1612</v>
      </c>
      <c r="D2925" s="565">
        <v>42618</v>
      </c>
      <c r="E2925" s="565">
        <v>42614</v>
      </c>
      <c r="F2925" s="566">
        <v>33582120</v>
      </c>
      <c r="G2925" s="564" t="s">
        <v>1424</v>
      </c>
      <c r="H2925" s="564" t="s">
        <v>1424</v>
      </c>
      <c r="I2925" s="564" t="s">
        <v>45</v>
      </c>
      <c r="J2925" s="564" t="s">
        <v>1069</v>
      </c>
      <c r="K2925" s="564" t="s">
        <v>1090</v>
      </c>
      <c r="L2925" s="564" t="s">
        <v>1071</v>
      </c>
      <c r="M2925" s="564" t="s">
        <v>1183</v>
      </c>
      <c r="N2925" s="564" t="s">
        <v>45</v>
      </c>
      <c r="O2925" s="564" t="s">
        <v>2099</v>
      </c>
      <c r="P2925" s="23"/>
      <c r="Q2925" s="23"/>
      <c r="R2925" s="23"/>
      <c r="S2925" s="23"/>
      <c r="T2925" s="23"/>
      <c r="U2925" s="23"/>
      <c r="V2925" s="23"/>
      <c r="W2925" s="23"/>
      <c r="X2925" s="23"/>
      <c r="Y2925" s="23"/>
      <c r="Z2925" s="23"/>
    </row>
    <row r="2926" spans="1:26" ht="13">
      <c r="A2926" s="562" t="s">
        <v>6894</v>
      </c>
      <c r="B2926" s="563" t="s">
        <v>6895</v>
      </c>
      <c r="C2926" s="564" t="s">
        <v>1612</v>
      </c>
      <c r="D2926" s="565">
        <v>42618</v>
      </c>
      <c r="E2926" s="565">
        <v>42614</v>
      </c>
      <c r="F2926" s="566">
        <v>13668600</v>
      </c>
      <c r="G2926" s="564" t="s">
        <v>1424</v>
      </c>
      <c r="H2926" s="564" t="s">
        <v>1424</v>
      </c>
      <c r="I2926" s="564" t="s">
        <v>45</v>
      </c>
      <c r="J2926" s="564" t="s">
        <v>1069</v>
      </c>
      <c r="K2926" s="564" t="s">
        <v>1090</v>
      </c>
      <c r="L2926" s="564" t="s">
        <v>1071</v>
      </c>
      <c r="M2926" s="564" t="s">
        <v>1183</v>
      </c>
      <c r="N2926" s="564" t="s">
        <v>45</v>
      </c>
      <c r="O2926" s="564" t="s">
        <v>2099</v>
      </c>
      <c r="P2926" s="23"/>
      <c r="Q2926" s="23"/>
      <c r="R2926" s="23"/>
      <c r="S2926" s="23"/>
      <c r="T2926" s="23"/>
      <c r="U2926" s="23"/>
      <c r="V2926" s="23"/>
      <c r="W2926" s="23"/>
      <c r="X2926" s="23"/>
      <c r="Y2926" s="23"/>
      <c r="Z2926" s="23"/>
    </row>
    <row r="2927" spans="1:26" ht="13">
      <c r="A2927" s="562" t="s">
        <v>6896</v>
      </c>
      <c r="B2927" s="563" t="s">
        <v>6897</v>
      </c>
      <c r="C2927" s="564" t="s">
        <v>1612</v>
      </c>
      <c r="D2927" s="565">
        <v>42619</v>
      </c>
      <c r="E2927" s="565">
        <v>42630</v>
      </c>
      <c r="F2927" s="566">
        <v>1190000</v>
      </c>
      <c r="G2927" s="564" t="s">
        <v>6780</v>
      </c>
      <c r="H2927" s="564" t="s">
        <v>6780</v>
      </c>
      <c r="I2927" s="564" t="s">
        <v>257</v>
      </c>
      <c r="J2927" s="564" t="s">
        <v>1069</v>
      </c>
      <c r="K2927" s="564" t="s">
        <v>1209</v>
      </c>
      <c r="L2927" s="564" t="s">
        <v>2098</v>
      </c>
      <c r="M2927" s="564" t="s">
        <v>2098</v>
      </c>
      <c r="N2927" s="564" t="s">
        <v>257</v>
      </c>
      <c r="O2927" s="564" t="s">
        <v>2099</v>
      </c>
      <c r="P2927" s="23"/>
      <c r="Q2927" s="23"/>
      <c r="R2927" s="23"/>
      <c r="S2927" s="23"/>
      <c r="T2927" s="23"/>
      <c r="U2927" s="23"/>
      <c r="V2927" s="23"/>
      <c r="W2927" s="23"/>
      <c r="X2927" s="23"/>
      <c r="Y2927" s="23"/>
      <c r="Z2927" s="23"/>
    </row>
    <row r="2928" spans="1:26" ht="13">
      <c r="A2928" s="562" t="s">
        <v>6898</v>
      </c>
      <c r="B2928" s="563" t="s">
        <v>6899</v>
      </c>
      <c r="C2928" s="564" t="s">
        <v>1612</v>
      </c>
      <c r="D2928" s="565">
        <v>42619</v>
      </c>
      <c r="E2928" s="565">
        <v>42674</v>
      </c>
      <c r="F2928" s="566">
        <v>47250</v>
      </c>
      <c r="G2928" s="564" t="s">
        <v>1157</v>
      </c>
      <c r="H2928" s="564" t="s">
        <v>1157</v>
      </c>
      <c r="I2928" s="564" t="s">
        <v>64</v>
      </c>
      <c r="J2928" s="564" t="s">
        <v>1069</v>
      </c>
      <c r="K2928" s="564" t="s">
        <v>1090</v>
      </c>
      <c r="L2928" s="564" t="s">
        <v>2098</v>
      </c>
      <c r="M2928" s="564" t="s">
        <v>2098</v>
      </c>
      <c r="N2928" s="564" t="s">
        <v>64</v>
      </c>
      <c r="O2928" s="564" t="s">
        <v>2099</v>
      </c>
      <c r="P2928" s="23"/>
      <c r="Q2928" s="23"/>
      <c r="R2928" s="23"/>
      <c r="S2928" s="23"/>
      <c r="T2928" s="23"/>
      <c r="U2928" s="23"/>
      <c r="V2928" s="23"/>
      <c r="W2928" s="23"/>
      <c r="X2928" s="23"/>
      <c r="Y2928" s="23"/>
      <c r="Z2928" s="23"/>
    </row>
    <row r="2929" spans="1:26" ht="13">
      <c r="A2929" s="562" t="s">
        <v>6900</v>
      </c>
      <c r="B2929" s="563" t="s">
        <v>6901</v>
      </c>
      <c r="C2929" s="564" t="s">
        <v>1612</v>
      </c>
      <c r="D2929" s="565">
        <v>42618</v>
      </c>
      <c r="E2929" s="565">
        <v>42643</v>
      </c>
      <c r="F2929" s="566">
        <v>275399000</v>
      </c>
      <c r="G2929" s="564" t="s">
        <v>5465</v>
      </c>
      <c r="H2929" s="564" t="s">
        <v>5465</v>
      </c>
      <c r="I2929" s="564" t="s">
        <v>45</v>
      </c>
      <c r="J2929" s="564" t="s">
        <v>1069</v>
      </c>
      <c r="K2929" s="564" t="s">
        <v>1090</v>
      </c>
      <c r="L2929" s="564" t="s">
        <v>2098</v>
      </c>
      <c r="M2929" s="564" t="s">
        <v>2098</v>
      </c>
      <c r="N2929" s="564" t="s">
        <v>45</v>
      </c>
      <c r="O2929" s="564" t="s">
        <v>2099</v>
      </c>
      <c r="P2929" s="23"/>
      <c r="Q2929" s="23"/>
      <c r="R2929" s="23"/>
      <c r="S2929" s="23"/>
      <c r="T2929" s="23"/>
      <c r="U2929" s="23"/>
      <c r="V2929" s="23"/>
      <c r="W2929" s="23"/>
      <c r="X2929" s="23"/>
      <c r="Y2929" s="23"/>
      <c r="Z2929" s="23"/>
    </row>
    <row r="2930" spans="1:26" ht="13">
      <c r="A2930" s="562" t="s">
        <v>6902</v>
      </c>
      <c r="B2930" s="563" t="s">
        <v>6903</v>
      </c>
      <c r="C2930" s="564" t="s">
        <v>1612</v>
      </c>
      <c r="D2930" s="565">
        <v>42615</v>
      </c>
      <c r="E2930" s="565">
        <v>42643</v>
      </c>
      <c r="F2930" s="566">
        <v>2145</v>
      </c>
      <c r="G2930" s="564" t="s">
        <v>1424</v>
      </c>
      <c r="H2930" s="564" t="s">
        <v>1424</v>
      </c>
      <c r="I2930" s="564" t="s">
        <v>45</v>
      </c>
      <c r="J2930" s="564" t="s">
        <v>1069</v>
      </c>
      <c r="K2930" s="564" t="s">
        <v>1090</v>
      </c>
      <c r="L2930" s="564" t="s">
        <v>2098</v>
      </c>
      <c r="M2930" s="564" t="s">
        <v>2098</v>
      </c>
      <c r="N2930" s="564" t="s">
        <v>45</v>
      </c>
      <c r="O2930" s="564" t="s">
        <v>2099</v>
      </c>
      <c r="P2930" s="23"/>
      <c r="Q2930" s="23"/>
      <c r="R2930" s="23"/>
      <c r="S2930" s="23"/>
      <c r="T2930" s="23"/>
      <c r="U2930" s="23"/>
      <c r="V2930" s="23"/>
      <c r="W2930" s="23"/>
      <c r="X2930" s="23"/>
      <c r="Y2930" s="23"/>
      <c r="Z2930" s="23"/>
    </row>
    <row r="2931" spans="1:26" ht="13">
      <c r="A2931" s="562" t="s">
        <v>6904</v>
      </c>
      <c r="B2931" s="563" t="s">
        <v>6905</v>
      </c>
      <c r="C2931" s="564" t="s">
        <v>1612</v>
      </c>
      <c r="D2931" s="565">
        <v>42615</v>
      </c>
      <c r="E2931" s="565">
        <v>42643</v>
      </c>
      <c r="F2931" s="566">
        <v>11190000</v>
      </c>
      <c r="G2931" s="564" t="s">
        <v>5465</v>
      </c>
      <c r="H2931" s="564" t="s">
        <v>5465</v>
      </c>
      <c r="I2931" s="564" t="s">
        <v>45</v>
      </c>
      <c r="J2931" s="564" t="s">
        <v>1069</v>
      </c>
      <c r="K2931" s="564" t="s">
        <v>1090</v>
      </c>
      <c r="L2931" s="564" t="s">
        <v>2098</v>
      </c>
      <c r="M2931" s="564" t="s">
        <v>2098</v>
      </c>
      <c r="N2931" s="564" t="s">
        <v>45</v>
      </c>
      <c r="O2931" s="564" t="s">
        <v>2099</v>
      </c>
      <c r="P2931" s="23"/>
      <c r="Q2931" s="23"/>
      <c r="R2931" s="23"/>
      <c r="S2931" s="23"/>
      <c r="T2931" s="23"/>
      <c r="U2931" s="23"/>
      <c r="V2931" s="23"/>
      <c r="W2931" s="23"/>
      <c r="X2931" s="23"/>
      <c r="Y2931" s="23"/>
      <c r="Z2931" s="23"/>
    </row>
    <row r="2932" spans="1:26" ht="13">
      <c r="A2932" s="562" t="s">
        <v>6906</v>
      </c>
      <c r="B2932" s="563" t="s">
        <v>6907</v>
      </c>
      <c r="C2932" s="564" t="s">
        <v>1612</v>
      </c>
      <c r="D2932" s="565">
        <v>42615</v>
      </c>
      <c r="E2932" s="565">
        <v>42643</v>
      </c>
      <c r="F2932" s="566">
        <v>62540000</v>
      </c>
      <c r="G2932" s="564" t="s">
        <v>5465</v>
      </c>
      <c r="H2932" s="564" t="s">
        <v>5465</v>
      </c>
      <c r="I2932" s="564" t="s">
        <v>45</v>
      </c>
      <c r="J2932" s="564" t="s">
        <v>1069</v>
      </c>
      <c r="K2932" s="564" t="s">
        <v>1090</v>
      </c>
      <c r="L2932" s="564" t="s">
        <v>2098</v>
      </c>
      <c r="M2932" s="564" t="s">
        <v>2098</v>
      </c>
      <c r="N2932" s="564" t="s">
        <v>45</v>
      </c>
      <c r="O2932" s="564" t="s">
        <v>2099</v>
      </c>
      <c r="P2932" s="23"/>
      <c r="Q2932" s="23"/>
      <c r="R2932" s="23"/>
      <c r="S2932" s="23"/>
      <c r="T2932" s="23"/>
      <c r="U2932" s="23"/>
      <c r="V2932" s="23"/>
      <c r="W2932" s="23"/>
      <c r="X2932" s="23"/>
      <c r="Y2932" s="23"/>
      <c r="Z2932" s="23"/>
    </row>
    <row r="2933" spans="1:26" ht="13">
      <c r="A2933" s="562" t="s">
        <v>6908</v>
      </c>
      <c r="B2933" s="563" t="s">
        <v>5810</v>
      </c>
      <c r="C2933" s="564" t="s">
        <v>1612</v>
      </c>
      <c r="D2933" s="565">
        <v>42611</v>
      </c>
      <c r="E2933" s="565">
        <v>42636</v>
      </c>
      <c r="F2933" s="566">
        <v>2796</v>
      </c>
      <c r="G2933" s="564" t="s">
        <v>1424</v>
      </c>
      <c r="H2933" s="564" t="s">
        <v>1424</v>
      </c>
      <c r="I2933" s="564" t="s">
        <v>70</v>
      </c>
      <c r="J2933" s="564" t="s">
        <v>1069</v>
      </c>
      <c r="K2933" s="564" t="s">
        <v>1120</v>
      </c>
      <c r="L2933" s="564" t="s">
        <v>2098</v>
      </c>
      <c r="M2933" s="564" t="s">
        <v>2098</v>
      </c>
      <c r="N2933" s="564" t="s">
        <v>70</v>
      </c>
      <c r="O2933" s="564" t="s">
        <v>2099</v>
      </c>
      <c r="P2933" s="23"/>
      <c r="Q2933" s="23"/>
      <c r="R2933" s="23"/>
      <c r="S2933" s="23"/>
      <c r="T2933" s="23"/>
      <c r="U2933" s="23"/>
      <c r="V2933" s="23"/>
      <c r="W2933" s="23"/>
      <c r="X2933" s="23"/>
      <c r="Y2933" s="23"/>
      <c r="Z2933" s="23"/>
    </row>
    <row r="2934" spans="1:26" ht="13">
      <c r="A2934" s="562" t="s">
        <v>6909</v>
      </c>
      <c r="B2934" s="563" t="s">
        <v>6910</v>
      </c>
      <c r="C2934" s="564" t="s">
        <v>1612</v>
      </c>
      <c r="D2934" s="565">
        <v>42607</v>
      </c>
      <c r="E2934" s="565">
        <v>42614</v>
      </c>
      <c r="F2934" s="566">
        <v>686364</v>
      </c>
      <c r="G2934" s="564" t="s">
        <v>1623</v>
      </c>
      <c r="H2934" s="564" t="s">
        <v>1623</v>
      </c>
      <c r="I2934" s="564" t="s">
        <v>802</v>
      </c>
      <c r="J2934" s="564" t="s">
        <v>1069</v>
      </c>
      <c r="K2934" s="564" t="s">
        <v>1198</v>
      </c>
      <c r="L2934" s="564" t="s">
        <v>2098</v>
      </c>
      <c r="M2934" s="564" t="s">
        <v>2098</v>
      </c>
      <c r="N2934" s="564" t="s">
        <v>132</v>
      </c>
      <c r="O2934" s="564" t="s">
        <v>2099</v>
      </c>
      <c r="P2934" s="23"/>
      <c r="Q2934" s="23"/>
      <c r="R2934" s="23"/>
      <c r="S2934" s="23"/>
      <c r="T2934" s="23"/>
      <c r="U2934" s="23"/>
      <c r="V2934" s="23"/>
      <c r="W2934" s="23"/>
      <c r="X2934" s="23"/>
      <c r="Y2934" s="23"/>
      <c r="Z2934" s="23"/>
    </row>
    <row r="2935" spans="1:26" ht="13">
      <c r="A2935" s="562" t="s">
        <v>6911</v>
      </c>
      <c r="B2935" s="563" t="s">
        <v>6912</v>
      </c>
      <c r="C2935" s="564" t="s">
        <v>1612</v>
      </c>
      <c r="D2935" s="565">
        <v>42603</v>
      </c>
      <c r="E2935" s="565">
        <v>42629</v>
      </c>
      <c r="F2935" s="566">
        <v>21272727</v>
      </c>
      <c r="G2935" s="564" t="s">
        <v>1623</v>
      </c>
      <c r="H2935" s="564" t="s">
        <v>1623</v>
      </c>
      <c r="I2935" s="564" t="s">
        <v>802</v>
      </c>
      <c r="J2935" s="564" t="s">
        <v>1069</v>
      </c>
      <c r="K2935" s="564" t="s">
        <v>1198</v>
      </c>
      <c r="L2935" s="564" t="s">
        <v>2098</v>
      </c>
      <c r="M2935" s="564" t="s">
        <v>2098</v>
      </c>
      <c r="N2935" s="564" t="s">
        <v>132</v>
      </c>
      <c r="O2935" s="564" t="s">
        <v>2099</v>
      </c>
      <c r="P2935" s="23"/>
      <c r="Q2935" s="23"/>
      <c r="R2935" s="23"/>
      <c r="S2935" s="23"/>
      <c r="T2935" s="23"/>
      <c r="U2935" s="23"/>
      <c r="V2935" s="23"/>
      <c r="W2935" s="23"/>
      <c r="X2935" s="23"/>
      <c r="Y2935" s="23"/>
      <c r="Z2935" s="23"/>
    </row>
    <row r="2936" spans="1:26" ht="13">
      <c r="A2936" s="562" t="s">
        <v>6913</v>
      </c>
      <c r="B2936" s="563" t="s">
        <v>6914</v>
      </c>
      <c r="C2936" s="564" t="s">
        <v>1612</v>
      </c>
      <c r="D2936" s="565">
        <v>42603</v>
      </c>
      <c r="E2936" s="565">
        <v>42606</v>
      </c>
      <c r="F2936" s="566">
        <v>530000</v>
      </c>
      <c r="G2936" s="564" t="s">
        <v>1623</v>
      </c>
      <c r="H2936" s="564" t="s">
        <v>1623</v>
      </c>
      <c r="I2936" s="564" t="s">
        <v>802</v>
      </c>
      <c r="J2936" s="564" t="s">
        <v>1069</v>
      </c>
      <c r="K2936" s="564" t="s">
        <v>1198</v>
      </c>
      <c r="L2936" s="564" t="s">
        <v>2098</v>
      </c>
      <c r="M2936" s="564" t="s">
        <v>2098</v>
      </c>
      <c r="N2936" s="564" t="s">
        <v>132</v>
      </c>
      <c r="O2936" s="564" t="s">
        <v>2099</v>
      </c>
      <c r="P2936" s="23"/>
      <c r="Q2936" s="23"/>
      <c r="R2936" s="23"/>
      <c r="S2936" s="23"/>
      <c r="T2936" s="23"/>
      <c r="U2936" s="23"/>
      <c r="V2936" s="23"/>
      <c r="W2936" s="23"/>
      <c r="X2936" s="23"/>
      <c r="Y2936" s="23"/>
      <c r="Z2936" s="23"/>
    </row>
    <row r="2937" spans="1:26" ht="13">
      <c r="A2937" s="562" t="s">
        <v>6915</v>
      </c>
      <c r="B2937" s="563" t="s">
        <v>5812</v>
      </c>
      <c r="C2937" s="564" t="s">
        <v>1612</v>
      </c>
      <c r="D2937" s="565">
        <v>42601</v>
      </c>
      <c r="E2937" s="565">
        <v>42629</v>
      </c>
      <c r="F2937" s="566">
        <v>2720</v>
      </c>
      <c r="G2937" s="564" t="s">
        <v>1424</v>
      </c>
      <c r="H2937" s="564" t="s">
        <v>1424</v>
      </c>
      <c r="I2937" s="564" t="s">
        <v>64</v>
      </c>
      <c r="J2937" s="564" t="s">
        <v>1069</v>
      </c>
      <c r="K2937" s="564" t="s">
        <v>1090</v>
      </c>
      <c r="L2937" s="564" t="s">
        <v>2098</v>
      </c>
      <c r="M2937" s="564" t="s">
        <v>2098</v>
      </c>
      <c r="N2937" s="564" t="s">
        <v>64</v>
      </c>
      <c r="O2937" s="564" t="s">
        <v>2099</v>
      </c>
      <c r="P2937" s="23"/>
      <c r="Q2937" s="23"/>
      <c r="R2937" s="23"/>
      <c r="S2937" s="23"/>
      <c r="T2937" s="23"/>
      <c r="U2937" s="23"/>
      <c r="V2937" s="23"/>
      <c r="W2937" s="23"/>
      <c r="X2937" s="23"/>
      <c r="Y2937" s="23"/>
      <c r="Z2937" s="23"/>
    </row>
    <row r="2938" spans="1:26" ht="13">
      <c r="A2938" s="562" t="s">
        <v>6916</v>
      </c>
      <c r="B2938" s="563" t="s">
        <v>6917</v>
      </c>
      <c r="C2938" s="564" t="s">
        <v>1612</v>
      </c>
      <c r="D2938" s="565">
        <v>42601</v>
      </c>
      <c r="E2938" s="565">
        <v>42629</v>
      </c>
      <c r="F2938" s="566">
        <v>6352</v>
      </c>
      <c r="G2938" s="564" t="s">
        <v>1424</v>
      </c>
      <c r="H2938" s="564" t="s">
        <v>1424</v>
      </c>
      <c r="I2938" s="564" t="s">
        <v>64</v>
      </c>
      <c r="J2938" s="564" t="s">
        <v>1069</v>
      </c>
      <c r="K2938" s="564" t="s">
        <v>1090</v>
      </c>
      <c r="L2938" s="564" t="s">
        <v>2098</v>
      </c>
      <c r="M2938" s="564" t="s">
        <v>2098</v>
      </c>
      <c r="N2938" s="564" t="s">
        <v>64</v>
      </c>
      <c r="O2938" s="564" t="s">
        <v>2099</v>
      </c>
      <c r="P2938" s="23"/>
      <c r="Q2938" s="23"/>
      <c r="R2938" s="23"/>
      <c r="S2938" s="23"/>
      <c r="T2938" s="23"/>
      <c r="U2938" s="23"/>
      <c r="V2938" s="23"/>
      <c r="W2938" s="23"/>
      <c r="X2938" s="23"/>
      <c r="Y2938" s="23"/>
      <c r="Z2938" s="23"/>
    </row>
    <row r="2939" spans="1:26" ht="13">
      <c r="A2939" s="562" t="s">
        <v>6918</v>
      </c>
      <c r="B2939" s="563" t="s">
        <v>6470</v>
      </c>
      <c r="C2939" s="564" t="s">
        <v>1612</v>
      </c>
      <c r="D2939" s="565">
        <v>42599</v>
      </c>
      <c r="E2939" s="565">
        <v>42613</v>
      </c>
      <c r="F2939" s="566">
        <v>119200000</v>
      </c>
      <c r="G2939" s="564" t="s">
        <v>5465</v>
      </c>
      <c r="H2939" s="564" t="s">
        <v>5465</v>
      </c>
      <c r="I2939" s="564" t="s">
        <v>45</v>
      </c>
      <c r="J2939" s="564" t="s">
        <v>1069</v>
      </c>
      <c r="K2939" s="564" t="s">
        <v>1090</v>
      </c>
      <c r="L2939" s="564" t="s">
        <v>2098</v>
      </c>
      <c r="M2939" s="564" t="s">
        <v>2098</v>
      </c>
      <c r="N2939" s="564" t="s">
        <v>45</v>
      </c>
      <c r="O2939" s="564" t="s">
        <v>2099</v>
      </c>
      <c r="P2939" s="23"/>
      <c r="Q2939" s="23"/>
      <c r="R2939" s="23"/>
      <c r="S2939" s="23"/>
      <c r="T2939" s="23"/>
      <c r="U2939" s="23"/>
      <c r="V2939" s="23"/>
      <c r="W2939" s="23"/>
      <c r="X2939" s="23"/>
      <c r="Y2939" s="23"/>
      <c r="Z2939" s="23"/>
    </row>
    <row r="2940" spans="1:26" ht="13">
      <c r="A2940" s="562" t="s">
        <v>6919</v>
      </c>
      <c r="B2940" s="563" t="s">
        <v>6920</v>
      </c>
      <c r="C2940" s="564" t="s">
        <v>2191</v>
      </c>
      <c r="D2940" s="565">
        <v>42593</v>
      </c>
      <c r="E2940" s="565">
        <v>42604</v>
      </c>
      <c r="F2940" s="566">
        <v>34973</v>
      </c>
      <c r="G2940" s="564" t="s">
        <v>1636</v>
      </c>
      <c r="H2940" s="564" t="s">
        <v>1636</v>
      </c>
      <c r="I2940" s="564" t="s">
        <v>6762</v>
      </c>
      <c r="J2940" s="564" t="s">
        <v>1069</v>
      </c>
      <c r="K2940" s="564" t="s">
        <v>1070</v>
      </c>
      <c r="L2940" s="564" t="s">
        <v>2098</v>
      </c>
      <c r="M2940" s="564" t="s">
        <v>2098</v>
      </c>
      <c r="N2940" s="564" t="s">
        <v>1082</v>
      </c>
      <c r="O2940" s="564" t="s">
        <v>2099</v>
      </c>
      <c r="P2940" s="23"/>
      <c r="Q2940" s="23"/>
      <c r="R2940" s="23"/>
      <c r="S2940" s="23"/>
      <c r="T2940" s="23"/>
      <c r="U2940" s="23"/>
      <c r="V2940" s="23"/>
      <c r="W2940" s="23"/>
      <c r="X2940" s="23"/>
      <c r="Y2940" s="23"/>
      <c r="Z2940" s="23"/>
    </row>
    <row r="2941" spans="1:26" ht="13">
      <c r="A2941" s="562" t="s">
        <v>6921</v>
      </c>
      <c r="B2941" s="563" t="s">
        <v>6922</v>
      </c>
      <c r="C2941" s="564" t="s">
        <v>1612</v>
      </c>
      <c r="D2941" s="565">
        <v>42593</v>
      </c>
      <c r="E2941" s="565">
        <v>42619</v>
      </c>
      <c r="F2941" s="567">
        <v>450</v>
      </c>
      <c r="G2941" s="564" t="s">
        <v>1424</v>
      </c>
      <c r="H2941" s="564" t="s">
        <v>1424</v>
      </c>
      <c r="I2941" s="564" t="s">
        <v>70</v>
      </c>
      <c r="J2941" s="564" t="s">
        <v>1069</v>
      </c>
      <c r="K2941" s="564" t="s">
        <v>1120</v>
      </c>
      <c r="L2941" s="564" t="s">
        <v>2098</v>
      </c>
      <c r="M2941" s="564" t="s">
        <v>2098</v>
      </c>
      <c r="N2941" s="564" t="s">
        <v>70</v>
      </c>
      <c r="O2941" s="564" t="s">
        <v>2099</v>
      </c>
      <c r="P2941" s="23"/>
      <c r="Q2941" s="23"/>
      <c r="R2941" s="23"/>
      <c r="S2941" s="23"/>
      <c r="T2941" s="23"/>
      <c r="U2941" s="23"/>
      <c r="V2941" s="23"/>
      <c r="W2941" s="23"/>
      <c r="X2941" s="23"/>
      <c r="Y2941" s="23"/>
      <c r="Z2941" s="23"/>
    </row>
    <row r="2942" spans="1:26" ht="13">
      <c r="A2942" s="562" t="s">
        <v>6923</v>
      </c>
      <c r="B2942" s="563" t="s">
        <v>6924</v>
      </c>
      <c r="C2942" s="564" t="s">
        <v>1612</v>
      </c>
      <c r="D2942" s="565">
        <v>42593</v>
      </c>
      <c r="E2942" s="565">
        <v>42583</v>
      </c>
      <c r="F2942" s="566">
        <v>2606880</v>
      </c>
      <c r="G2942" s="564" t="s">
        <v>1424</v>
      </c>
      <c r="H2942" s="564" t="s">
        <v>1424</v>
      </c>
      <c r="I2942" s="564" t="s">
        <v>45</v>
      </c>
      <c r="J2942" s="564" t="s">
        <v>1069</v>
      </c>
      <c r="K2942" s="564" t="s">
        <v>1090</v>
      </c>
      <c r="L2942" s="564" t="s">
        <v>1071</v>
      </c>
      <c r="M2942" s="564" t="s">
        <v>1183</v>
      </c>
      <c r="N2942" s="564" t="s">
        <v>45</v>
      </c>
      <c r="O2942" s="564" t="s">
        <v>2099</v>
      </c>
      <c r="P2942" s="23"/>
      <c r="Q2942" s="23"/>
      <c r="R2942" s="23"/>
      <c r="S2942" s="23"/>
      <c r="T2942" s="23"/>
      <c r="U2942" s="23"/>
      <c r="V2942" s="23"/>
      <c r="W2942" s="23"/>
      <c r="X2942" s="23"/>
      <c r="Y2942" s="23"/>
      <c r="Z2942" s="23"/>
    </row>
    <row r="2943" spans="1:26" ht="13">
      <c r="A2943" s="562" t="s">
        <v>6925</v>
      </c>
      <c r="B2943" s="563" t="s">
        <v>6926</v>
      </c>
      <c r="C2943" s="564" t="s">
        <v>1612</v>
      </c>
      <c r="D2943" s="565">
        <v>42591</v>
      </c>
      <c r="E2943" s="565">
        <v>42613</v>
      </c>
      <c r="F2943" s="566">
        <v>40400000</v>
      </c>
      <c r="G2943" s="564" t="s">
        <v>5465</v>
      </c>
      <c r="H2943" s="564" t="s">
        <v>5465</v>
      </c>
      <c r="I2943" s="564" t="s">
        <v>45</v>
      </c>
      <c r="J2943" s="564" t="s">
        <v>1069</v>
      </c>
      <c r="K2943" s="564" t="s">
        <v>1090</v>
      </c>
      <c r="L2943" s="564" t="s">
        <v>2098</v>
      </c>
      <c r="M2943" s="564" t="s">
        <v>2098</v>
      </c>
      <c r="N2943" s="564" t="s">
        <v>45</v>
      </c>
      <c r="O2943" s="564" t="s">
        <v>2099</v>
      </c>
      <c r="P2943" s="23"/>
      <c r="Q2943" s="23"/>
      <c r="R2943" s="23"/>
      <c r="S2943" s="23"/>
      <c r="T2943" s="23"/>
      <c r="U2943" s="23"/>
      <c r="V2943" s="23"/>
      <c r="W2943" s="23"/>
      <c r="X2943" s="23"/>
      <c r="Y2943" s="23"/>
      <c r="Z2943" s="23"/>
    </row>
    <row r="2944" spans="1:26" ht="13">
      <c r="A2944" s="562" t="s">
        <v>6927</v>
      </c>
      <c r="B2944" s="563" t="s">
        <v>6484</v>
      </c>
      <c r="C2944" s="564" t="s">
        <v>1612</v>
      </c>
      <c r="D2944" s="565">
        <v>42592</v>
      </c>
      <c r="E2944" s="565">
        <v>42613</v>
      </c>
      <c r="F2944" s="566">
        <v>1760000</v>
      </c>
      <c r="G2944" s="564" t="s">
        <v>5465</v>
      </c>
      <c r="H2944" s="564" t="s">
        <v>5465</v>
      </c>
      <c r="I2944" s="564" t="s">
        <v>45</v>
      </c>
      <c r="J2944" s="564" t="s">
        <v>1069</v>
      </c>
      <c r="K2944" s="564" t="s">
        <v>1090</v>
      </c>
      <c r="L2944" s="564" t="s">
        <v>2098</v>
      </c>
      <c r="M2944" s="564" t="s">
        <v>2098</v>
      </c>
      <c r="N2944" s="564" t="s">
        <v>45</v>
      </c>
      <c r="O2944" s="564" t="s">
        <v>2099</v>
      </c>
      <c r="P2944" s="23"/>
      <c r="Q2944" s="23"/>
      <c r="R2944" s="23"/>
      <c r="S2944" s="23"/>
      <c r="T2944" s="23"/>
      <c r="U2944" s="23"/>
      <c r="V2944" s="23"/>
      <c r="W2944" s="23"/>
      <c r="X2944" s="23"/>
      <c r="Y2944" s="23"/>
      <c r="Z2944" s="23"/>
    </row>
    <row r="2945" spans="1:26" ht="13">
      <c r="A2945" s="562" t="s">
        <v>6928</v>
      </c>
      <c r="B2945" s="563" t="s">
        <v>6929</v>
      </c>
      <c r="C2945" s="564" t="s">
        <v>1612</v>
      </c>
      <c r="D2945" s="565">
        <v>42592</v>
      </c>
      <c r="E2945" s="565">
        <v>42613</v>
      </c>
      <c r="F2945" s="566">
        <v>9000000</v>
      </c>
      <c r="G2945" s="564" t="s">
        <v>5465</v>
      </c>
      <c r="H2945" s="564" t="s">
        <v>5465</v>
      </c>
      <c r="I2945" s="564" t="s">
        <v>45</v>
      </c>
      <c r="J2945" s="564" t="s">
        <v>1069</v>
      </c>
      <c r="K2945" s="564" t="s">
        <v>1090</v>
      </c>
      <c r="L2945" s="564" t="s">
        <v>2098</v>
      </c>
      <c r="M2945" s="564" t="s">
        <v>2098</v>
      </c>
      <c r="N2945" s="564" t="s">
        <v>45</v>
      </c>
      <c r="O2945" s="564" t="s">
        <v>2099</v>
      </c>
      <c r="P2945" s="23"/>
      <c r="Q2945" s="23"/>
      <c r="R2945" s="23"/>
      <c r="S2945" s="23"/>
      <c r="T2945" s="23"/>
      <c r="U2945" s="23"/>
      <c r="V2945" s="23"/>
      <c r="W2945" s="23"/>
      <c r="X2945" s="23"/>
      <c r="Y2945" s="23"/>
      <c r="Z2945" s="23"/>
    </row>
    <row r="2946" spans="1:26" ht="13">
      <c r="A2946" s="562" t="s">
        <v>6930</v>
      </c>
      <c r="B2946" s="563" t="s">
        <v>6931</v>
      </c>
      <c r="C2946" s="564" t="s">
        <v>1612</v>
      </c>
      <c r="D2946" s="565">
        <v>42585</v>
      </c>
      <c r="E2946" s="565">
        <v>43008</v>
      </c>
      <c r="F2946" s="566">
        <v>198000000</v>
      </c>
      <c r="G2946" s="564" t="s">
        <v>5465</v>
      </c>
      <c r="H2946" s="564" t="s">
        <v>5465</v>
      </c>
      <c r="I2946" s="564" t="s">
        <v>45</v>
      </c>
      <c r="J2946" s="564" t="s">
        <v>1069</v>
      </c>
      <c r="K2946" s="564" t="s">
        <v>1090</v>
      </c>
      <c r="L2946" s="564" t="s">
        <v>2098</v>
      </c>
      <c r="M2946" s="564" t="s">
        <v>2098</v>
      </c>
      <c r="N2946" s="564" t="s">
        <v>45</v>
      </c>
      <c r="O2946" s="564" t="s">
        <v>2099</v>
      </c>
      <c r="P2946" s="23"/>
      <c r="Q2946" s="23"/>
      <c r="R2946" s="23"/>
      <c r="S2946" s="23"/>
      <c r="T2946" s="23"/>
      <c r="U2946" s="23"/>
      <c r="V2946" s="23"/>
      <c r="W2946" s="23"/>
      <c r="X2946" s="23"/>
      <c r="Y2946" s="23"/>
      <c r="Z2946" s="23"/>
    </row>
    <row r="2947" spans="1:26" ht="13">
      <c r="A2947" s="562" t="s">
        <v>6932</v>
      </c>
      <c r="B2947" s="563" t="s">
        <v>6933</v>
      </c>
      <c r="C2947" s="564" t="s">
        <v>1612</v>
      </c>
      <c r="D2947" s="565">
        <v>42583</v>
      </c>
      <c r="E2947" s="565">
        <v>42613</v>
      </c>
      <c r="F2947" s="567">
        <v>850</v>
      </c>
      <c r="G2947" s="564" t="s">
        <v>1424</v>
      </c>
      <c r="H2947" s="564" t="s">
        <v>1424</v>
      </c>
      <c r="I2947" s="564" t="s">
        <v>70</v>
      </c>
      <c r="J2947" s="564" t="s">
        <v>1069</v>
      </c>
      <c r="K2947" s="564" t="s">
        <v>1120</v>
      </c>
      <c r="L2947" s="564" t="s">
        <v>2098</v>
      </c>
      <c r="M2947" s="564" t="s">
        <v>2098</v>
      </c>
      <c r="N2947" s="564" t="s">
        <v>70</v>
      </c>
      <c r="O2947" s="564" t="s">
        <v>2099</v>
      </c>
      <c r="P2947" s="23"/>
      <c r="Q2947" s="23"/>
      <c r="R2947" s="23"/>
      <c r="S2947" s="23"/>
      <c r="T2947" s="23"/>
      <c r="U2947" s="23"/>
      <c r="V2947" s="23"/>
      <c r="W2947" s="23"/>
      <c r="X2947" s="23"/>
      <c r="Y2947" s="23"/>
      <c r="Z2947" s="23"/>
    </row>
    <row r="2948" spans="1:26" ht="13">
      <c r="A2948" s="562" t="s">
        <v>6934</v>
      </c>
      <c r="B2948" s="563" t="s">
        <v>6933</v>
      </c>
      <c r="C2948" s="564" t="s">
        <v>1612</v>
      </c>
      <c r="D2948" s="565">
        <v>42578</v>
      </c>
      <c r="E2948" s="565">
        <v>42594</v>
      </c>
      <c r="F2948" s="566">
        <v>1700</v>
      </c>
      <c r="G2948" s="564" t="s">
        <v>1424</v>
      </c>
      <c r="H2948" s="564" t="s">
        <v>1424</v>
      </c>
      <c r="I2948" s="564" t="s">
        <v>70</v>
      </c>
      <c r="J2948" s="564" t="s">
        <v>1069</v>
      </c>
      <c r="K2948" s="564" t="s">
        <v>1120</v>
      </c>
      <c r="L2948" s="564" t="s">
        <v>2098</v>
      </c>
      <c r="M2948" s="564" t="s">
        <v>2098</v>
      </c>
      <c r="N2948" s="564" t="s">
        <v>70</v>
      </c>
      <c r="O2948" s="564" t="s">
        <v>2099</v>
      </c>
      <c r="P2948" s="23"/>
      <c r="Q2948" s="23"/>
      <c r="R2948" s="23"/>
      <c r="S2948" s="23"/>
      <c r="T2948" s="23"/>
      <c r="U2948" s="23"/>
      <c r="V2948" s="23"/>
      <c r="W2948" s="23"/>
      <c r="X2948" s="23"/>
      <c r="Y2948" s="23"/>
      <c r="Z2948" s="23"/>
    </row>
    <row r="2949" spans="1:26" ht="13">
      <c r="A2949" s="562" t="s">
        <v>6935</v>
      </c>
      <c r="B2949" s="563" t="s">
        <v>6936</v>
      </c>
      <c r="C2949" s="564" t="s">
        <v>1204</v>
      </c>
      <c r="D2949" s="565">
        <v>42576</v>
      </c>
      <c r="E2949" s="565">
        <v>42552</v>
      </c>
      <c r="F2949" s="566">
        <v>3780</v>
      </c>
      <c r="G2949" s="564" t="s">
        <v>1424</v>
      </c>
      <c r="H2949" s="564" t="s">
        <v>1424</v>
      </c>
      <c r="I2949" s="564" t="s">
        <v>1471</v>
      </c>
      <c r="J2949" s="564" t="s">
        <v>1069</v>
      </c>
      <c r="K2949" s="564" t="s">
        <v>1070</v>
      </c>
      <c r="L2949" s="564" t="s">
        <v>1071</v>
      </c>
      <c r="M2949" s="564" t="s">
        <v>1183</v>
      </c>
      <c r="N2949" s="564" t="s">
        <v>1082</v>
      </c>
      <c r="O2949" s="564" t="s">
        <v>1472</v>
      </c>
      <c r="P2949" s="23"/>
      <c r="Q2949" s="23"/>
      <c r="R2949" s="23"/>
      <c r="S2949" s="23"/>
      <c r="T2949" s="23"/>
      <c r="U2949" s="23"/>
      <c r="V2949" s="23"/>
      <c r="W2949" s="23"/>
      <c r="X2949" s="23"/>
      <c r="Y2949" s="23"/>
      <c r="Z2949" s="23"/>
    </row>
    <row r="2950" spans="1:26" ht="13">
      <c r="A2950" s="562" t="s">
        <v>6937</v>
      </c>
      <c r="B2950" s="563" t="s">
        <v>6938</v>
      </c>
      <c r="C2950" s="564" t="s">
        <v>1612</v>
      </c>
      <c r="D2950" s="565">
        <v>42576</v>
      </c>
      <c r="E2950" s="565">
        <v>42552</v>
      </c>
      <c r="F2950" s="566">
        <v>5362560</v>
      </c>
      <c r="G2950" s="564" t="s">
        <v>1424</v>
      </c>
      <c r="H2950" s="564" t="s">
        <v>1424</v>
      </c>
      <c r="I2950" s="564" t="s">
        <v>45</v>
      </c>
      <c r="J2950" s="564" t="s">
        <v>1069</v>
      </c>
      <c r="K2950" s="564" t="s">
        <v>1090</v>
      </c>
      <c r="L2950" s="564" t="s">
        <v>1071</v>
      </c>
      <c r="M2950" s="564" t="s">
        <v>1183</v>
      </c>
      <c r="N2950" s="564" t="s">
        <v>45</v>
      </c>
      <c r="O2950" s="564" t="s">
        <v>2099</v>
      </c>
      <c r="P2950" s="23"/>
      <c r="Q2950" s="23"/>
      <c r="R2950" s="23"/>
      <c r="S2950" s="23"/>
      <c r="T2950" s="23"/>
      <c r="U2950" s="23"/>
      <c r="V2950" s="23"/>
      <c r="W2950" s="23"/>
      <c r="X2950" s="23"/>
      <c r="Y2950" s="23"/>
      <c r="Z2950" s="23"/>
    </row>
    <row r="2951" spans="1:26" ht="13">
      <c r="A2951" s="562" t="s">
        <v>6939</v>
      </c>
      <c r="B2951" s="563" t="s">
        <v>5810</v>
      </c>
      <c r="C2951" s="564" t="s">
        <v>1612</v>
      </c>
      <c r="D2951" s="565">
        <v>42573</v>
      </c>
      <c r="E2951" s="565">
        <v>42601</v>
      </c>
      <c r="F2951" s="566">
        <v>1766</v>
      </c>
      <c r="G2951" s="564" t="s">
        <v>1424</v>
      </c>
      <c r="H2951" s="564" t="s">
        <v>1424</v>
      </c>
      <c r="I2951" s="564" t="s">
        <v>70</v>
      </c>
      <c r="J2951" s="564" t="s">
        <v>1069</v>
      </c>
      <c r="K2951" s="564" t="s">
        <v>1120</v>
      </c>
      <c r="L2951" s="564" t="s">
        <v>2098</v>
      </c>
      <c r="M2951" s="564" t="s">
        <v>2098</v>
      </c>
      <c r="N2951" s="564" t="s">
        <v>70</v>
      </c>
      <c r="O2951" s="564" t="s">
        <v>2099</v>
      </c>
      <c r="P2951" s="23"/>
      <c r="Q2951" s="23"/>
      <c r="R2951" s="23"/>
      <c r="S2951" s="23"/>
      <c r="T2951" s="23"/>
      <c r="U2951" s="23"/>
      <c r="V2951" s="23"/>
      <c r="W2951" s="23"/>
      <c r="X2951" s="23"/>
      <c r="Y2951" s="23"/>
      <c r="Z2951" s="23"/>
    </row>
    <row r="2952" spans="1:26" ht="13">
      <c r="A2952" s="562" t="s">
        <v>6940</v>
      </c>
      <c r="B2952" s="563" t="s">
        <v>6941</v>
      </c>
      <c r="C2952" s="564" t="s">
        <v>1612</v>
      </c>
      <c r="D2952" s="565">
        <v>42576</v>
      </c>
      <c r="E2952" s="565">
        <v>42552</v>
      </c>
      <c r="F2952" s="566">
        <v>111840</v>
      </c>
      <c r="G2952" s="564" t="s">
        <v>1424</v>
      </c>
      <c r="H2952" s="564" t="s">
        <v>1424</v>
      </c>
      <c r="I2952" s="564" t="s">
        <v>146</v>
      </c>
      <c r="J2952" s="564" t="s">
        <v>1069</v>
      </c>
      <c r="K2952" s="564" t="s">
        <v>1070</v>
      </c>
      <c r="L2952" s="564" t="s">
        <v>1071</v>
      </c>
      <c r="M2952" s="564" t="s">
        <v>1183</v>
      </c>
      <c r="N2952" s="564" t="s">
        <v>1073</v>
      </c>
      <c r="O2952" s="564" t="s">
        <v>2099</v>
      </c>
      <c r="P2952" s="23"/>
      <c r="Q2952" s="23"/>
      <c r="R2952" s="23"/>
      <c r="S2952" s="23"/>
      <c r="T2952" s="23"/>
      <c r="U2952" s="23"/>
      <c r="V2952" s="23"/>
      <c r="W2952" s="23"/>
      <c r="X2952" s="23"/>
      <c r="Y2952" s="23"/>
      <c r="Z2952" s="23"/>
    </row>
    <row r="2953" spans="1:26" ht="13">
      <c r="A2953" s="562" t="s">
        <v>6942</v>
      </c>
      <c r="B2953" s="563" t="s">
        <v>6943</v>
      </c>
      <c r="C2953" s="564" t="s">
        <v>1612</v>
      </c>
      <c r="D2953" s="565">
        <v>42576</v>
      </c>
      <c r="E2953" s="565">
        <v>42552</v>
      </c>
      <c r="F2953" s="566">
        <v>7676520</v>
      </c>
      <c r="G2953" s="564" t="s">
        <v>1424</v>
      </c>
      <c r="H2953" s="564" t="s">
        <v>1424</v>
      </c>
      <c r="I2953" s="564" t="s">
        <v>45</v>
      </c>
      <c r="J2953" s="564" t="s">
        <v>1069</v>
      </c>
      <c r="K2953" s="564" t="s">
        <v>1090</v>
      </c>
      <c r="L2953" s="564" t="s">
        <v>1071</v>
      </c>
      <c r="M2953" s="564" t="s">
        <v>1183</v>
      </c>
      <c r="N2953" s="564" t="s">
        <v>45</v>
      </c>
      <c r="O2953" s="564" t="s">
        <v>2099</v>
      </c>
      <c r="P2953" s="23"/>
      <c r="Q2953" s="23"/>
      <c r="R2953" s="23"/>
      <c r="S2953" s="23"/>
      <c r="T2953" s="23"/>
      <c r="U2953" s="23"/>
      <c r="V2953" s="23"/>
      <c r="W2953" s="23"/>
      <c r="X2953" s="23"/>
      <c r="Y2953" s="23"/>
      <c r="Z2953" s="23"/>
    </row>
    <row r="2954" spans="1:26" ht="13">
      <c r="A2954" s="562" t="s">
        <v>6944</v>
      </c>
      <c r="B2954" s="563" t="s">
        <v>6945</v>
      </c>
      <c r="C2954" s="564" t="s">
        <v>6860</v>
      </c>
      <c r="D2954" s="565">
        <v>42576</v>
      </c>
      <c r="E2954" s="565">
        <v>42602</v>
      </c>
      <c r="F2954" s="566">
        <v>55949000</v>
      </c>
      <c r="G2954" s="564" t="s">
        <v>1128</v>
      </c>
      <c r="H2954" s="564" t="s">
        <v>1128</v>
      </c>
      <c r="I2954" s="564" t="s">
        <v>6946</v>
      </c>
      <c r="J2954" s="564" t="s">
        <v>1069</v>
      </c>
      <c r="K2954" s="564" t="s">
        <v>1070</v>
      </c>
      <c r="L2954" s="564" t="s">
        <v>2098</v>
      </c>
      <c r="M2954" s="564" t="s">
        <v>2098</v>
      </c>
      <c r="N2954" s="564" t="s">
        <v>1368</v>
      </c>
      <c r="O2954" s="564" t="s">
        <v>2099</v>
      </c>
      <c r="P2954" s="23"/>
      <c r="Q2954" s="23"/>
      <c r="R2954" s="23"/>
      <c r="S2954" s="23"/>
      <c r="T2954" s="23"/>
      <c r="U2954" s="23"/>
      <c r="V2954" s="23"/>
      <c r="W2954" s="23"/>
      <c r="X2954" s="23"/>
      <c r="Y2954" s="23"/>
      <c r="Z2954" s="23"/>
    </row>
    <row r="2955" spans="1:26" ht="13">
      <c r="A2955" s="562" t="s">
        <v>6947</v>
      </c>
      <c r="B2955" s="563" t="s">
        <v>6948</v>
      </c>
      <c r="C2955" s="564" t="s">
        <v>1612</v>
      </c>
      <c r="D2955" s="565">
        <v>42576</v>
      </c>
      <c r="E2955" s="565">
        <v>42587</v>
      </c>
      <c r="F2955" s="566">
        <v>22663636</v>
      </c>
      <c r="G2955" s="564" t="s">
        <v>1623</v>
      </c>
      <c r="H2955" s="564" t="s">
        <v>1623</v>
      </c>
      <c r="I2955" s="564" t="s">
        <v>802</v>
      </c>
      <c r="J2955" s="564" t="s">
        <v>1069</v>
      </c>
      <c r="K2955" s="564" t="s">
        <v>1198</v>
      </c>
      <c r="L2955" s="564" t="s">
        <v>2098</v>
      </c>
      <c r="M2955" s="564" t="s">
        <v>2098</v>
      </c>
      <c r="N2955" s="564" t="s">
        <v>132</v>
      </c>
      <c r="O2955" s="564" t="s">
        <v>2099</v>
      </c>
      <c r="P2955" s="23"/>
      <c r="Q2955" s="23"/>
      <c r="R2955" s="23"/>
      <c r="S2955" s="23"/>
      <c r="T2955" s="23"/>
      <c r="U2955" s="23"/>
      <c r="V2955" s="23"/>
      <c r="W2955" s="23"/>
      <c r="X2955" s="23"/>
      <c r="Y2955" s="23"/>
      <c r="Z2955" s="23"/>
    </row>
    <row r="2956" spans="1:26" ht="13">
      <c r="A2956" s="562" t="s">
        <v>6949</v>
      </c>
      <c r="B2956" s="563" t="s">
        <v>6950</v>
      </c>
      <c r="C2956" s="564" t="s">
        <v>6860</v>
      </c>
      <c r="D2956" s="565">
        <v>42576</v>
      </c>
      <c r="E2956" s="565">
        <v>42613</v>
      </c>
      <c r="F2956" s="566">
        <v>49645000</v>
      </c>
      <c r="G2956" s="564" t="s">
        <v>5465</v>
      </c>
      <c r="H2956" s="564" t="s">
        <v>5465</v>
      </c>
      <c r="I2956" s="564" t="s">
        <v>6951</v>
      </c>
      <c r="J2956" s="564" t="s">
        <v>1069</v>
      </c>
      <c r="K2956" s="564" t="s">
        <v>1070</v>
      </c>
      <c r="L2956" s="564" t="s">
        <v>2098</v>
      </c>
      <c r="M2956" s="564" t="s">
        <v>2098</v>
      </c>
      <c r="N2956" s="564" t="s">
        <v>1082</v>
      </c>
      <c r="O2956" s="564" t="s">
        <v>2099</v>
      </c>
      <c r="P2956" s="23"/>
      <c r="Q2956" s="23"/>
      <c r="R2956" s="23"/>
      <c r="S2956" s="23"/>
      <c r="T2956" s="23"/>
      <c r="U2956" s="23"/>
      <c r="V2956" s="23"/>
      <c r="W2956" s="23"/>
      <c r="X2956" s="23"/>
      <c r="Y2956" s="23"/>
      <c r="Z2956" s="23"/>
    </row>
    <row r="2957" spans="1:26" ht="13">
      <c r="A2957" s="562" t="s">
        <v>6952</v>
      </c>
      <c r="B2957" s="563" t="s">
        <v>6953</v>
      </c>
      <c r="C2957" s="564" t="s">
        <v>1612</v>
      </c>
      <c r="D2957" s="565">
        <v>42572</v>
      </c>
      <c r="E2957" s="565">
        <v>42601</v>
      </c>
      <c r="F2957" s="566">
        <v>9828</v>
      </c>
      <c r="G2957" s="564" t="s">
        <v>1636</v>
      </c>
      <c r="H2957" s="564" t="s">
        <v>1636</v>
      </c>
      <c r="I2957" s="564" t="s">
        <v>1637</v>
      </c>
      <c r="J2957" s="564" t="s">
        <v>1069</v>
      </c>
      <c r="K2957" s="564" t="s">
        <v>1120</v>
      </c>
      <c r="L2957" s="564" t="s">
        <v>2098</v>
      </c>
      <c r="M2957" s="564" t="s">
        <v>2098</v>
      </c>
      <c r="N2957" s="564" t="s">
        <v>1073</v>
      </c>
      <c r="O2957" s="564" t="s">
        <v>2099</v>
      </c>
      <c r="P2957" s="23"/>
      <c r="Q2957" s="23"/>
      <c r="R2957" s="23"/>
      <c r="S2957" s="23"/>
      <c r="T2957" s="23"/>
      <c r="U2957" s="23"/>
      <c r="V2957" s="23"/>
      <c r="W2957" s="23"/>
      <c r="X2957" s="23"/>
      <c r="Y2957" s="23"/>
      <c r="Z2957" s="23"/>
    </row>
    <row r="2958" spans="1:26" ht="13">
      <c r="A2958" s="562" t="s">
        <v>6954</v>
      </c>
      <c r="B2958" s="563" t="s">
        <v>5718</v>
      </c>
      <c r="C2958" s="564" t="s">
        <v>1612</v>
      </c>
      <c r="D2958" s="565">
        <v>42569</v>
      </c>
      <c r="E2958" s="565">
        <v>42597</v>
      </c>
      <c r="F2958" s="567">
        <v>205</v>
      </c>
      <c r="G2958" s="564" t="s">
        <v>1424</v>
      </c>
      <c r="H2958" s="564" t="s">
        <v>1424</v>
      </c>
      <c r="I2958" s="564" t="s">
        <v>45</v>
      </c>
      <c r="J2958" s="564" t="s">
        <v>1069</v>
      </c>
      <c r="K2958" s="564" t="s">
        <v>1090</v>
      </c>
      <c r="L2958" s="564" t="s">
        <v>2098</v>
      </c>
      <c r="M2958" s="564" t="s">
        <v>2098</v>
      </c>
      <c r="N2958" s="564" t="s">
        <v>45</v>
      </c>
      <c r="O2958" s="564" t="s">
        <v>2099</v>
      </c>
      <c r="P2958" s="23"/>
      <c r="Q2958" s="23"/>
      <c r="R2958" s="23"/>
      <c r="S2958" s="23"/>
      <c r="T2958" s="23"/>
      <c r="U2958" s="23"/>
      <c r="V2958" s="23"/>
      <c r="W2958" s="23"/>
      <c r="X2958" s="23"/>
      <c r="Y2958" s="23"/>
      <c r="Z2958" s="23"/>
    </row>
    <row r="2959" spans="1:26" ht="13">
      <c r="A2959" s="562" t="s">
        <v>6955</v>
      </c>
      <c r="B2959" s="563" t="s">
        <v>6626</v>
      </c>
      <c r="C2959" s="564" t="s">
        <v>1612</v>
      </c>
      <c r="D2959" s="565">
        <v>42569</v>
      </c>
      <c r="E2959" s="565">
        <v>42586</v>
      </c>
      <c r="F2959" s="566">
        <v>2360</v>
      </c>
      <c r="G2959" s="564" t="s">
        <v>1424</v>
      </c>
      <c r="H2959" s="564" t="s">
        <v>1424</v>
      </c>
      <c r="I2959" s="564" t="s">
        <v>45</v>
      </c>
      <c r="J2959" s="564" t="s">
        <v>1069</v>
      </c>
      <c r="K2959" s="564" t="s">
        <v>1090</v>
      </c>
      <c r="L2959" s="564" t="s">
        <v>2098</v>
      </c>
      <c r="M2959" s="564" t="s">
        <v>2098</v>
      </c>
      <c r="N2959" s="564" t="s">
        <v>45</v>
      </c>
      <c r="O2959" s="564" t="s">
        <v>2099</v>
      </c>
      <c r="P2959" s="23"/>
      <c r="Q2959" s="23"/>
      <c r="R2959" s="23"/>
      <c r="S2959" s="23"/>
      <c r="T2959" s="23"/>
      <c r="U2959" s="23"/>
      <c r="V2959" s="23"/>
      <c r="W2959" s="23"/>
      <c r="X2959" s="23"/>
      <c r="Y2959" s="23"/>
      <c r="Z2959" s="23"/>
    </row>
    <row r="2960" spans="1:26" ht="13">
      <c r="A2960" s="562" t="s">
        <v>6956</v>
      </c>
      <c r="B2960" s="563" t="s">
        <v>5974</v>
      </c>
      <c r="C2960" s="564" t="s">
        <v>1612</v>
      </c>
      <c r="D2960" s="565">
        <v>42569</v>
      </c>
      <c r="E2960" s="565">
        <v>42593</v>
      </c>
      <c r="F2960" s="567">
        <v>990</v>
      </c>
      <c r="G2960" s="564" t="s">
        <v>1424</v>
      </c>
      <c r="H2960" s="564" t="s">
        <v>1424</v>
      </c>
      <c r="I2960" s="564" t="s">
        <v>45</v>
      </c>
      <c r="J2960" s="564" t="s">
        <v>1069</v>
      </c>
      <c r="K2960" s="564" t="s">
        <v>1090</v>
      </c>
      <c r="L2960" s="564" t="s">
        <v>2098</v>
      </c>
      <c r="M2960" s="564" t="s">
        <v>2098</v>
      </c>
      <c r="N2960" s="564" t="s">
        <v>45</v>
      </c>
      <c r="O2960" s="564" t="s">
        <v>2099</v>
      </c>
      <c r="P2960" s="23"/>
      <c r="Q2960" s="23"/>
      <c r="R2960" s="23"/>
      <c r="S2960" s="23"/>
      <c r="T2960" s="23"/>
      <c r="U2960" s="23"/>
      <c r="V2960" s="23"/>
      <c r="W2960" s="23"/>
      <c r="X2960" s="23"/>
      <c r="Y2960" s="23"/>
      <c r="Z2960" s="23"/>
    </row>
    <row r="2961" spans="1:26" ht="13">
      <c r="A2961" s="562" t="s">
        <v>6957</v>
      </c>
      <c r="B2961" s="563" t="s">
        <v>5718</v>
      </c>
      <c r="C2961" s="564" t="s">
        <v>1612</v>
      </c>
      <c r="D2961" s="565">
        <v>42569</v>
      </c>
      <c r="E2961" s="565">
        <v>42587</v>
      </c>
      <c r="F2961" s="566">
        <v>1180</v>
      </c>
      <c r="G2961" s="564" t="s">
        <v>1424</v>
      </c>
      <c r="H2961" s="564" t="s">
        <v>1424</v>
      </c>
      <c r="I2961" s="564" t="s">
        <v>45</v>
      </c>
      <c r="J2961" s="564" t="s">
        <v>1069</v>
      </c>
      <c r="K2961" s="564" t="s">
        <v>1090</v>
      </c>
      <c r="L2961" s="564" t="s">
        <v>2098</v>
      </c>
      <c r="M2961" s="564" t="s">
        <v>2098</v>
      </c>
      <c r="N2961" s="564" t="s">
        <v>45</v>
      </c>
      <c r="O2961" s="564" t="s">
        <v>2099</v>
      </c>
      <c r="P2961" s="23"/>
      <c r="Q2961" s="23"/>
      <c r="R2961" s="23"/>
      <c r="S2961" s="23"/>
      <c r="T2961" s="23"/>
      <c r="U2961" s="23"/>
      <c r="V2961" s="23"/>
      <c r="W2961" s="23"/>
      <c r="X2961" s="23"/>
      <c r="Y2961" s="23"/>
      <c r="Z2961" s="23"/>
    </row>
    <row r="2962" spans="1:26" ht="13">
      <c r="A2962" s="562" t="s">
        <v>6958</v>
      </c>
      <c r="B2962" s="563" t="s">
        <v>6959</v>
      </c>
      <c r="C2962" s="564" t="s">
        <v>1612</v>
      </c>
      <c r="D2962" s="565">
        <v>42569</v>
      </c>
      <c r="E2962" s="565">
        <v>42594</v>
      </c>
      <c r="F2962" s="566">
        <v>2002</v>
      </c>
      <c r="G2962" s="564" t="s">
        <v>1424</v>
      </c>
      <c r="H2962" s="564" t="s">
        <v>1424</v>
      </c>
      <c r="I2962" s="564" t="s">
        <v>45</v>
      </c>
      <c r="J2962" s="564" t="s">
        <v>1069</v>
      </c>
      <c r="K2962" s="564" t="s">
        <v>1090</v>
      </c>
      <c r="L2962" s="564" t="s">
        <v>2098</v>
      </c>
      <c r="M2962" s="564" t="s">
        <v>2098</v>
      </c>
      <c r="N2962" s="564" t="s">
        <v>45</v>
      </c>
      <c r="O2962" s="564" t="s">
        <v>2099</v>
      </c>
      <c r="P2962" s="23"/>
      <c r="Q2962" s="23"/>
      <c r="R2962" s="23"/>
      <c r="S2962" s="23"/>
      <c r="T2962" s="23"/>
      <c r="U2962" s="23"/>
      <c r="V2962" s="23"/>
      <c r="W2962" s="23"/>
      <c r="X2962" s="23"/>
      <c r="Y2962" s="23"/>
      <c r="Z2962" s="23"/>
    </row>
    <row r="2963" spans="1:26" ht="13">
      <c r="A2963" s="562" t="s">
        <v>6960</v>
      </c>
      <c r="B2963" s="563" t="s">
        <v>5712</v>
      </c>
      <c r="C2963" s="564" t="s">
        <v>1612</v>
      </c>
      <c r="D2963" s="565">
        <v>42569</v>
      </c>
      <c r="E2963" s="565">
        <v>42600</v>
      </c>
      <c r="F2963" s="566">
        <v>1455000</v>
      </c>
      <c r="G2963" s="564" t="s">
        <v>1424</v>
      </c>
      <c r="H2963" s="564" t="s">
        <v>1424</v>
      </c>
      <c r="I2963" s="564" t="s">
        <v>121</v>
      </c>
      <c r="J2963" s="564" t="s">
        <v>1069</v>
      </c>
      <c r="K2963" s="564" t="s">
        <v>1105</v>
      </c>
      <c r="L2963" s="564" t="s">
        <v>2098</v>
      </c>
      <c r="M2963" s="564" t="s">
        <v>2098</v>
      </c>
      <c r="N2963" s="564" t="s">
        <v>1073</v>
      </c>
      <c r="O2963" s="564" t="s">
        <v>2099</v>
      </c>
      <c r="P2963" s="23"/>
      <c r="Q2963" s="23"/>
      <c r="R2963" s="23"/>
      <c r="S2963" s="23"/>
      <c r="T2963" s="23"/>
      <c r="U2963" s="23"/>
      <c r="V2963" s="23"/>
      <c r="W2963" s="23"/>
      <c r="X2963" s="23"/>
      <c r="Y2963" s="23"/>
      <c r="Z2963" s="23"/>
    </row>
    <row r="2964" spans="1:26" ht="13">
      <c r="A2964" s="562" t="s">
        <v>6961</v>
      </c>
      <c r="B2964" s="563" t="s">
        <v>5769</v>
      </c>
      <c r="C2964" s="564" t="s">
        <v>1612</v>
      </c>
      <c r="D2964" s="565">
        <v>42569</v>
      </c>
      <c r="E2964" s="565">
        <v>42594</v>
      </c>
      <c r="F2964" s="566">
        <v>1215000</v>
      </c>
      <c r="G2964" s="564" t="s">
        <v>1424</v>
      </c>
      <c r="H2964" s="564" t="s">
        <v>1424</v>
      </c>
      <c r="I2964" s="564" t="s">
        <v>1230</v>
      </c>
      <c r="J2964" s="564" t="s">
        <v>1069</v>
      </c>
      <c r="K2964" s="564" t="s">
        <v>1090</v>
      </c>
      <c r="L2964" s="564" t="s">
        <v>2098</v>
      </c>
      <c r="M2964" s="564" t="s">
        <v>2098</v>
      </c>
      <c r="N2964" s="564" t="s">
        <v>1073</v>
      </c>
      <c r="O2964" s="564" t="s">
        <v>2099</v>
      </c>
      <c r="P2964" s="23"/>
      <c r="Q2964" s="23"/>
      <c r="R2964" s="23"/>
      <c r="S2964" s="23"/>
      <c r="T2964" s="23"/>
      <c r="U2964" s="23"/>
      <c r="V2964" s="23"/>
      <c r="W2964" s="23"/>
      <c r="X2964" s="23"/>
      <c r="Y2964" s="23"/>
      <c r="Z2964" s="23"/>
    </row>
    <row r="2965" spans="1:26" ht="13">
      <c r="A2965" s="562" t="s">
        <v>6962</v>
      </c>
      <c r="B2965" s="563" t="s">
        <v>6963</v>
      </c>
      <c r="C2965" s="564" t="s">
        <v>1612</v>
      </c>
      <c r="D2965" s="565">
        <v>42566</v>
      </c>
      <c r="E2965" s="565">
        <v>42583</v>
      </c>
      <c r="F2965" s="566">
        <v>39690</v>
      </c>
      <c r="G2965" s="564" t="s">
        <v>1157</v>
      </c>
      <c r="H2965" s="564" t="s">
        <v>1157</v>
      </c>
      <c r="I2965" s="564" t="s">
        <v>70</v>
      </c>
      <c r="J2965" s="564" t="s">
        <v>1069</v>
      </c>
      <c r="K2965" s="564" t="s">
        <v>1120</v>
      </c>
      <c r="L2965" s="564" t="s">
        <v>2098</v>
      </c>
      <c r="M2965" s="564" t="s">
        <v>2098</v>
      </c>
      <c r="N2965" s="564" t="s">
        <v>70</v>
      </c>
      <c r="O2965" s="564" t="s">
        <v>2099</v>
      </c>
      <c r="P2965" s="23"/>
      <c r="Q2965" s="23"/>
      <c r="R2965" s="23"/>
      <c r="S2965" s="23"/>
      <c r="T2965" s="23"/>
      <c r="U2965" s="23"/>
      <c r="V2965" s="23"/>
      <c r="W2965" s="23"/>
      <c r="X2965" s="23"/>
      <c r="Y2965" s="23"/>
      <c r="Z2965" s="23"/>
    </row>
    <row r="2966" spans="1:26" ht="13">
      <c r="A2966" s="562" t="s">
        <v>6964</v>
      </c>
      <c r="B2966" s="563" t="s">
        <v>6965</v>
      </c>
      <c r="C2966" s="564" t="s">
        <v>1612</v>
      </c>
      <c r="D2966" s="565">
        <v>42564</v>
      </c>
      <c r="E2966" s="565">
        <v>42643</v>
      </c>
      <c r="F2966" s="566">
        <v>45656009</v>
      </c>
      <c r="G2966" s="564" t="s">
        <v>5465</v>
      </c>
      <c r="H2966" s="564" t="s">
        <v>5465</v>
      </c>
      <c r="I2966" s="564" t="s">
        <v>45</v>
      </c>
      <c r="J2966" s="564" t="s">
        <v>1069</v>
      </c>
      <c r="K2966" s="564" t="s">
        <v>1090</v>
      </c>
      <c r="L2966" s="564" t="s">
        <v>2098</v>
      </c>
      <c r="M2966" s="564" t="s">
        <v>2098</v>
      </c>
      <c r="N2966" s="564" t="s">
        <v>45</v>
      </c>
      <c r="O2966" s="564" t="s">
        <v>2099</v>
      </c>
      <c r="P2966" s="23"/>
      <c r="Q2966" s="23"/>
      <c r="R2966" s="23"/>
      <c r="S2966" s="23"/>
      <c r="T2966" s="23"/>
      <c r="U2966" s="23"/>
      <c r="V2966" s="23"/>
      <c r="W2966" s="23"/>
      <c r="X2966" s="23"/>
      <c r="Y2966" s="23"/>
      <c r="Z2966" s="23"/>
    </row>
    <row r="2967" spans="1:26" ht="13">
      <c r="A2967" s="562" t="s">
        <v>6966</v>
      </c>
      <c r="B2967" s="563" t="s">
        <v>6967</v>
      </c>
      <c r="C2967" s="564" t="s">
        <v>1612</v>
      </c>
      <c r="D2967" s="565">
        <v>42564</v>
      </c>
      <c r="E2967" s="565">
        <v>42551</v>
      </c>
      <c r="F2967" s="566">
        <v>3672445150</v>
      </c>
      <c r="G2967" s="564" t="s">
        <v>1424</v>
      </c>
      <c r="H2967" s="564" t="s">
        <v>1424</v>
      </c>
      <c r="I2967" s="564" t="s">
        <v>45</v>
      </c>
      <c r="J2967" s="564" t="s">
        <v>1069</v>
      </c>
      <c r="K2967" s="564" t="s">
        <v>1090</v>
      </c>
      <c r="L2967" s="564" t="s">
        <v>2098</v>
      </c>
      <c r="M2967" s="564" t="s">
        <v>2098</v>
      </c>
      <c r="N2967" s="564" t="s">
        <v>45</v>
      </c>
      <c r="O2967" s="564" t="s">
        <v>2099</v>
      </c>
      <c r="P2967" s="23"/>
      <c r="Q2967" s="23"/>
      <c r="R2967" s="23"/>
      <c r="S2967" s="23"/>
      <c r="T2967" s="23"/>
      <c r="U2967" s="23"/>
      <c r="V2967" s="23"/>
      <c r="W2967" s="23"/>
      <c r="X2967" s="23"/>
      <c r="Y2967" s="23"/>
      <c r="Z2967" s="23"/>
    </row>
    <row r="2968" spans="1:26" ht="13">
      <c r="A2968" s="562" t="s">
        <v>6968</v>
      </c>
      <c r="B2968" s="563" t="s">
        <v>5810</v>
      </c>
      <c r="C2968" s="564" t="s">
        <v>1612</v>
      </c>
      <c r="D2968" s="565">
        <v>42559</v>
      </c>
      <c r="E2968" s="565">
        <v>42590</v>
      </c>
      <c r="F2968" s="566">
        <v>4120</v>
      </c>
      <c r="G2968" s="564" t="s">
        <v>1424</v>
      </c>
      <c r="H2968" s="564" t="s">
        <v>1424</v>
      </c>
      <c r="I2968" s="564" t="s">
        <v>70</v>
      </c>
      <c r="J2968" s="564" t="s">
        <v>1069</v>
      </c>
      <c r="K2968" s="564" t="s">
        <v>1120</v>
      </c>
      <c r="L2968" s="564" t="s">
        <v>2098</v>
      </c>
      <c r="M2968" s="564" t="s">
        <v>2098</v>
      </c>
      <c r="N2968" s="564" t="s">
        <v>70</v>
      </c>
      <c r="O2968" s="564" t="s">
        <v>2099</v>
      </c>
      <c r="P2968" s="23"/>
      <c r="Q2968" s="23"/>
      <c r="R2968" s="23"/>
      <c r="S2968" s="23"/>
      <c r="T2968" s="23"/>
      <c r="U2968" s="23"/>
      <c r="V2968" s="23"/>
      <c r="W2968" s="23"/>
      <c r="X2968" s="23"/>
      <c r="Y2968" s="23"/>
      <c r="Z2968" s="23"/>
    </row>
    <row r="2969" spans="1:26" ht="13">
      <c r="A2969" s="562" t="s">
        <v>6969</v>
      </c>
      <c r="B2969" s="563" t="s">
        <v>3819</v>
      </c>
      <c r="C2969" s="564" t="s">
        <v>1873</v>
      </c>
      <c r="D2969" s="565">
        <v>42558</v>
      </c>
      <c r="E2969" s="565">
        <v>42567</v>
      </c>
      <c r="F2969" s="566">
        <v>2520000</v>
      </c>
      <c r="G2969" s="564" t="s">
        <v>1157</v>
      </c>
      <c r="H2969" s="564" t="s">
        <v>1157</v>
      </c>
      <c r="I2969" s="564" t="s">
        <v>170</v>
      </c>
      <c r="J2969" s="564" t="s">
        <v>1069</v>
      </c>
      <c r="K2969" s="564" t="s">
        <v>1105</v>
      </c>
      <c r="L2969" s="564" t="s">
        <v>2098</v>
      </c>
      <c r="M2969" s="564" t="s">
        <v>2098</v>
      </c>
      <c r="N2969" s="564" t="s">
        <v>170</v>
      </c>
      <c r="O2969" s="564" t="s">
        <v>2099</v>
      </c>
      <c r="P2969" s="23"/>
      <c r="Q2969" s="23"/>
      <c r="R2969" s="23"/>
      <c r="S2969" s="23"/>
      <c r="T2969" s="23"/>
      <c r="U2969" s="23"/>
      <c r="V2969" s="23"/>
      <c r="W2969" s="23"/>
      <c r="X2969" s="23"/>
      <c r="Y2969" s="23"/>
      <c r="Z2969" s="23"/>
    </row>
    <row r="2970" spans="1:26" ht="13">
      <c r="A2970" s="562" t="s">
        <v>6970</v>
      </c>
      <c r="B2970" s="563" t="s">
        <v>6971</v>
      </c>
      <c r="C2970" s="564" t="s">
        <v>6860</v>
      </c>
      <c r="D2970" s="565">
        <v>42558</v>
      </c>
      <c r="E2970" s="565">
        <v>42669</v>
      </c>
      <c r="F2970" s="566">
        <v>43000000</v>
      </c>
      <c r="G2970" s="564" t="s">
        <v>1128</v>
      </c>
      <c r="H2970" s="564" t="s">
        <v>1128</v>
      </c>
      <c r="I2970" s="564" t="s">
        <v>6972</v>
      </c>
      <c r="J2970" s="564" t="s">
        <v>1069</v>
      </c>
      <c r="K2970" s="564" t="s">
        <v>1070</v>
      </c>
      <c r="L2970" s="564" t="s">
        <v>2098</v>
      </c>
      <c r="M2970" s="564" t="s">
        <v>2098</v>
      </c>
      <c r="N2970" s="564" t="s">
        <v>1082</v>
      </c>
      <c r="O2970" s="564" t="s">
        <v>2099</v>
      </c>
      <c r="P2970" s="23"/>
      <c r="Q2970" s="23"/>
      <c r="R2970" s="23"/>
      <c r="S2970" s="23"/>
      <c r="T2970" s="23"/>
      <c r="U2970" s="23"/>
      <c r="V2970" s="23"/>
      <c r="W2970" s="23"/>
      <c r="X2970" s="23"/>
      <c r="Y2970" s="23"/>
      <c r="Z2970" s="23"/>
    </row>
    <row r="2971" spans="1:26" ht="13">
      <c r="A2971" s="562" t="s">
        <v>6973</v>
      </c>
      <c r="B2971" s="563" t="s">
        <v>6974</v>
      </c>
      <c r="C2971" s="564" t="s">
        <v>1612</v>
      </c>
      <c r="D2971" s="565">
        <v>42559</v>
      </c>
      <c r="E2971" s="565">
        <v>42587</v>
      </c>
      <c r="F2971" s="567">
        <v>883</v>
      </c>
      <c r="G2971" s="564" t="s">
        <v>1424</v>
      </c>
      <c r="H2971" s="564" t="s">
        <v>1424</v>
      </c>
      <c r="I2971" s="564" t="s">
        <v>1637</v>
      </c>
      <c r="J2971" s="564" t="s">
        <v>1069</v>
      </c>
      <c r="K2971" s="564" t="s">
        <v>1120</v>
      </c>
      <c r="L2971" s="564" t="s">
        <v>2098</v>
      </c>
      <c r="M2971" s="564" t="s">
        <v>2098</v>
      </c>
      <c r="N2971" s="564" t="s">
        <v>1073</v>
      </c>
      <c r="O2971" s="564" t="s">
        <v>2099</v>
      </c>
      <c r="P2971" s="23"/>
      <c r="Q2971" s="23"/>
      <c r="R2971" s="23"/>
      <c r="S2971" s="23"/>
      <c r="T2971" s="23"/>
      <c r="U2971" s="23"/>
      <c r="V2971" s="23"/>
      <c r="W2971" s="23"/>
      <c r="X2971" s="23"/>
      <c r="Y2971" s="23"/>
      <c r="Z2971" s="23"/>
    </row>
    <row r="2972" spans="1:26" ht="13">
      <c r="A2972" s="562" t="s">
        <v>6975</v>
      </c>
      <c r="B2972" s="563" t="s">
        <v>6976</v>
      </c>
      <c r="C2972" s="564" t="s">
        <v>1612</v>
      </c>
      <c r="D2972" s="565">
        <v>42558</v>
      </c>
      <c r="E2972" s="565">
        <v>42559</v>
      </c>
      <c r="F2972" s="566">
        <v>3200000</v>
      </c>
      <c r="G2972" s="564" t="s">
        <v>1128</v>
      </c>
      <c r="H2972" s="564" t="s">
        <v>1128</v>
      </c>
      <c r="I2972" s="564" t="s">
        <v>45</v>
      </c>
      <c r="J2972" s="564" t="s">
        <v>1069</v>
      </c>
      <c r="K2972" s="564" t="s">
        <v>1090</v>
      </c>
      <c r="L2972" s="564" t="s">
        <v>2098</v>
      </c>
      <c r="M2972" s="564" t="s">
        <v>2098</v>
      </c>
      <c r="N2972" s="564" t="s">
        <v>45</v>
      </c>
      <c r="O2972" s="564" t="s">
        <v>2099</v>
      </c>
      <c r="P2972" s="23"/>
      <c r="Q2972" s="23"/>
      <c r="R2972" s="23"/>
      <c r="S2972" s="23"/>
      <c r="T2972" s="23"/>
      <c r="U2972" s="23"/>
      <c r="V2972" s="23"/>
      <c r="W2972" s="23"/>
      <c r="X2972" s="23"/>
      <c r="Y2972" s="23"/>
      <c r="Z2972" s="23"/>
    </row>
    <row r="2973" spans="1:26" ht="13">
      <c r="A2973" s="562" t="s">
        <v>6977</v>
      </c>
      <c r="B2973" s="563" t="s">
        <v>6978</v>
      </c>
      <c r="C2973" s="564" t="s">
        <v>1612</v>
      </c>
      <c r="D2973" s="565">
        <v>42556</v>
      </c>
      <c r="E2973" s="565">
        <v>42567</v>
      </c>
      <c r="F2973" s="566">
        <v>5950000</v>
      </c>
      <c r="G2973" s="564" t="s">
        <v>1128</v>
      </c>
      <c r="H2973" s="564" t="s">
        <v>1128</v>
      </c>
      <c r="I2973" s="564" t="s">
        <v>257</v>
      </c>
      <c r="J2973" s="564" t="s">
        <v>1069</v>
      </c>
      <c r="K2973" s="564" t="s">
        <v>1209</v>
      </c>
      <c r="L2973" s="564" t="s">
        <v>2098</v>
      </c>
      <c r="M2973" s="564" t="s">
        <v>2098</v>
      </c>
      <c r="N2973" s="564" t="s">
        <v>257</v>
      </c>
      <c r="O2973" s="564" t="s">
        <v>2099</v>
      </c>
      <c r="P2973" s="23"/>
      <c r="Q2973" s="23"/>
      <c r="R2973" s="23"/>
      <c r="S2973" s="23"/>
      <c r="T2973" s="23"/>
      <c r="U2973" s="23"/>
      <c r="V2973" s="23"/>
      <c r="W2973" s="23"/>
      <c r="X2973" s="23"/>
      <c r="Y2973" s="23"/>
      <c r="Z2973" s="23"/>
    </row>
    <row r="2974" spans="1:26" ht="13">
      <c r="A2974" s="562" t="s">
        <v>6979</v>
      </c>
      <c r="B2974" s="563" t="s">
        <v>6980</v>
      </c>
      <c r="C2974" s="564" t="s">
        <v>1612</v>
      </c>
      <c r="D2974" s="565">
        <v>42552</v>
      </c>
      <c r="E2974" s="565">
        <v>42580</v>
      </c>
      <c r="F2974" s="566">
        <v>137044000</v>
      </c>
      <c r="G2974" s="564" t="s">
        <v>5465</v>
      </c>
      <c r="H2974" s="564" t="s">
        <v>5465</v>
      </c>
      <c r="I2974" s="564" t="s">
        <v>45</v>
      </c>
      <c r="J2974" s="564" t="s">
        <v>1069</v>
      </c>
      <c r="K2974" s="564" t="s">
        <v>1090</v>
      </c>
      <c r="L2974" s="564" t="s">
        <v>2098</v>
      </c>
      <c r="M2974" s="564" t="s">
        <v>2098</v>
      </c>
      <c r="N2974" s="564" t="s">
        <v>45</v>
      </c>
      <c r="O2974" s="564" t="s">
        <v>2099</v>
      </c>
      <c r="P2974" s="23"/>
      <c r="Q2974" s="23"/>
      <c r="R2974" s="23"/>
      <c r="S2974" s="23"/>
      <c r="T2974" s="23"/>
      <c r="U2974" s="23"/>
      <c r="V2974" s="23"/>
      <c r="W2974" s="23"/>
      <c r="X2974" s="23"/>
      <c r="Y2974" s="23"/>
      <c r="Z2974" s="23"/>
    </row>
    <row r="2975" spans="1:26" ht="13">
      <c r="A2975" s="562" t="s">
        <v>6981</v>
      </c>
      <c r="B2975" s="563" t="s">
        <v>6982</v>
      </c>
      <c r="C2975" s="564" t="s">
        <v>1612</v>
      </c>
      <c r="D2975" s="565">
        <v>42555</v>
      </c>
      <c r="E2975" s="565">
        <v>42580</v>
      </c>
      <c r="F2975" s="566">
        <v>1863636</v>
      </c>
      <c r="G2975" s="564" t="s">
        <v>1623</v>
      </c>
      <c r="H2975" s="564" t="s">
        <v>1623</v>
      </c>
      <c r="I2975" s="564" t="s">
        <v>802</v>
      </c>
      <c r="J2975" s="564" t="s">
        <v>1069</v>
      </c>
      <c r="K2975" s="564" t="s">
        <v>1198</v>
      </c>
      <c r="L2975" s="564" t="s">
        <v>2098</v>
      </c>
      <c r="M2975" s="564" t="s">
        <v>2098</v>
      </c>
      <c r="N2975" s="564" t="s">
        <v>132</v>
      </c>
      <c r="O2975" s="564" t="s">
        <v>2099</v>
      </c>
      <c r="P2975" s="23"/>
      <c r="Q2975" s="23"/>
      <c r="R2975" s="23"/>
      <c r="S2975" s="23"/>
      <c r="T2975" s="23"/>
      <c r="U2975" s="23"/>
      <c r="V2975" s="23"/>
      <c r="W2975" s="23"/>
      <c r="X2975" s="23"/>
      <c r="Y2975" s="23"/>
      <c r="Z2975" s="23"/>
    </row>
    <row r="2976" spans="1:26" ht="13">
      <c r="A2976" s="562" t="s">
        <v>6983</v>
      </c>
      <c r="B2976" s="563" t="s">
        <v>6984</v>
      </c>
      <c r="C2976" s="564" t="s">
        <v>1612</v>
      </c>
      <c r="D2976" s="565">
        <v>42555</v>
      </c>
      <c r="E2976" s="565">
        <v>42573</v>
      </c>
      <c r="F2976" s="566">
        <v>8480000</v>
      </c>
      <c r="G2976" s="564" t="s">
        <v>5465</v>
      </c>
      <c r="H2976" s="564" t="s">
        <v>5465</v>
      </c>
      <c r="I2976" s="564" t="s">
        <v>45</v>
      </c>
      <c r="J2976" s="564" t="s">
        <v>1069</v>
      </c>
      <c r="K2976" s="564" t="s">
        <v>1090</v>
      </c>
      <c r="L2976" s="564" t="s">
        <v>2098</v>
      </c>
      <c r="M2976" s="564" t="s">
        <v>2098</v>
      </c>
      <c r="N2976" s="564" t="s">
        <v>45</v>
      </c>
      <c r="O2976" s="564" t="s">
        <v>2099</v>
      </c>
      <c r="P2976" s="23"/>
      <c r="Q2976" s="23"/>
      <c r="R2976" s="23"/>
      <c r="S2976" s="23"/>
      <c r="T2976" s="23"/>
      <c r="U2976" s="23"/>
      <c r="V2976" s="23"/>
      <c r="W2976" s="23"/>
      <c r="X2976" s="23"/>
      <c r="Y2976" s="23"/>
      <c r="Z2976" s="23"/>
    </row>
    <row r="2977" spans="1:26" ht="13">
      <c r="A2977" s="562" t="s">
        <v>6985</v>
      </c>
      <c r="B2977" s="563" t="s">
        <v>6986</v>
      </c>
      <c r="C2977" s="564" t="s">
        <v>1612</v>
      </c>
      <c r="D2977" s="565">
        <v>42551</v>
      </c>
      <c r="E2977" s="565">
        <v>42565</v>
      </c>
      <c r="F2977" s="566">
        <v>418182</v>
      </c>
      <c r="G2977" s="564" t="s">
        <v>1623</v>
      </c>
      <c r="H2977" s="564" t="s">
        <v>1623</v>
      </c>
      <c r="I2977" s="564" t="s">
        <v>802</v>
      </c>
      <c r="J2977" s="564" t="s">
        <v>1069</v>
      </c>
      <c r="K2977" s="564" t="s">
        <v>1198</v>
      </c>
      <c r="L2977" s="564" t="s">
        <v>2098</v>
      </c>
      <c r="M2977" s="564" t="s">
        <v>2098</v>
      </c>
      <c r="N2977" s="564" t="s">
        <v>132</v>
      </c>
      <c r="O2977" s="564" t="s">
        <v>2099</v>
      </c>
      <c r="P2977" s="23"/>
      <c r="Q2977" s="23"/>
      <c r="R2977" s="23"/>
      <c r="S2977" s="23"/>
      <c r="T2977" s="23"/>
      <c r="U2977" s="23"/>
      <c r="V2977" s="23"/>
      <c r="W2977" s="23"/>
      <c r="X2977" s="23"/>
      <c r="Y2977" s="23"/>
      <c r="Z2977" s="23"/>
    </row>
    <row r="2978" spans="1:26" ht="13">
      <c r="A2978" s="562" t="s">
        <v>6987</v>
      </c>
      <c r="B2978" s="563" t="s">
        <v>6468</v>
      </c>
      <c r="C2978" s="564" t="s">
        <v>1612</v>
      </c>
      <c r="D2978" s="565">
        <v>42551</v>
      </c>
      <c r="E2978" s="565">
        <v>42580</v>
      </c>
      <c r="F2978" s="566">
        <v>18150</v>
      </c>
      <c r="G2978" s="564" t="s">
        <v>1424</v>
      </c>
      <c r="H2978" s="564" t="s">
        <v>1424</v>
      </c>
      <c r="I2978" s="564" t="s">
        <v>45</v>
      </c>
      <c r="J2978" s="564" t="s">
        <v>1069</v>
      </c>
      <c r="K2978" s="564" t="s">
        <v>1090</v>
      </c>
      <c r="L2978" s="564" t="s">
        <v>2098</v>
      </c>
      <c r="M2978" s="564" t="s">
        <v>2098</v>
      </c>
      <c r="N2978" s="564" t="s">
        <v>45</v>
      </c>
      <c r="O2978" s="564" t="s">
        <v>2099</v>
      </c>
      <c r="P2978" s="23"/>
      <c r="Q2978" s="23"/>
      <c r="R2978" s="23"/>
      <c r="S2978" s="23"/>
      <c r="T2978" s="23"/>
      <c r="U2978" s="23"/>
      <c r="V2978" s="23"/>
      <c r="W2978" s="23"/>
      <c r="X2978" s="23"/>
      <c r="Y2978" s="23"/>
      <c r="Z2978" s="23"/>
    </row>
    <row r="2979" spans="1:26" ht="13">
      <c r="A2979" s="562" t="s">
        <v>6988</v>
      </c>
      <c r="B2979" s="563" t="s">
        <v>5765</v>
      </c>
      <c r="C2979" s="564" t="s">
        <v>1612</v>
      </c>
      <c r="D2979" s="565">
        <v>42549</v>
      </c>
      <c r="E2979" s="565">
        <v>42579</v>
      </c>
      <c r="F2979" s="566">
        <v>7982</v>
      </c>
      <c r="G2979" s="564" t="s">
        <v>1424</v>
      </c>
      <c r="H2979" s="564" t="s">
        <v>1424</v>
      </c>
      <c r="I2979" s="564" t="s">
        <v>70</v>
      </c>
      <c r="J2979" s="564" t="s">
        <v>1069</v>
      </c>
      <c r="K2979" s="564" t="s">
        <v>1120</v>
      </c>
      <c r="L2979" s="564" t="s">
        <v>2098</v>
      </c>
      <c r="M2979" s="564" t="s">
        <v>2098</v>
      </c>
      <c r="N2979" s="564" t="s">
        <v>70</v>
      </c>
      <c r="O2979" s="564" t="s">
        <v>2099</v>
      </c>
      <c r="P2979" s="23"/>
      <c r="Q2979" s="23"/>
      <c r="R2979" s="23"/>
      <c r="S2979" s="23"/>
      <c r="T2979" s="23"/>
      <c r="U2979" s="23"/>
      <c r="V2979" s="23"/>
      <c r="W2979" s="23"/>
      <c r="X2979" s="23"/>
      <c r="Y2979" s="23"/>
      <c r="Z2979" s="23"/>
    </row>
    <row r="2980" spans="1:26" ht="13">
      <c r="A2980" s="562" t="s">
        <v>6989</v>
      </c>
      <c r="B2980" s="563" t="s">
        <v>5696</v>
      </c>
      <c r="C2980" s="564" t="s">
        <v>1612</v>
      </c>
      <c r="D2980" s="565">
        <v>42550</v>
      </c>
      <c r="E2980" s="565">
        <v>42580</v>
      </c>
      <c r="F2980" s="566">
        <v>1430</v>
      </c>
      <c r="G2980" s="564" t="s">
        <v>1424</v>
      </c>
      <c r="H2980" s="564" t="s">
        <v>1424</v>
      </c>
      <c r="I2980" s="564" t="s">
        <v>45</v>
      </c>
      <c r="J2980" s="564" t="s">
        <v>1069</v>
      </c>
      <c r="K2980" s="564" t="s">
        <v>1090</v>
      </c>
      <c r="L2980" s="564" t="s">
        <v>2098</v>
      </c>
      <c r="M2980" s="564" t="s">
        <v>2098</v>
      </c>
      <c r="N2980" s="564" t="s">
        <v>45</v>
      </c>
      <c r="O2980" s="564" t="s">
        <v>2099</v>
      </c>
      <c r="P2980" s="23"/>
      <c r="Q2980" s="23"/>
      <c r="R2980" s="23"/>
      <c r="S2980" s="23"/>
      <c r="T2980" s="23"/>
      <c r="U2980" s="23"/>
      <c r="V2980" s="23"/>
      <c r="W2980" s="23"/>
      <c r="X2980" s="23"/>
      <c r="Y2980" s="23"/>
      <c r="Z2980" s="23"/>
    </row>
    <row r="2981" spans="1:26" ht="13">
      <c r="A2981" s="562" t="s">
        <v>6990</v>
      </c>
      <c r="B2981" s="563" t="s">
        <v>6991</v>
      </c>
      <c r="C2981" s="564" t="s">
        <v>1612</v>
      </c>
      <c r="D2981" s="565">
        <v>42545</v>
      </c>
      <c r="E2981" s="565">
        <v>42580</v>
      </c>
      <c r="F2981" s="566">
        <v>34125</v>
      </c>
      <c r="G2981" s="564" t="s">
        <v>1424</v>
      </c>
      <c r="H2981" s="564" t="s">
        <v>1424</v>
      </c>
      <c r="I2981" s="564" t="s">
        <v>45</v>
      </c>
      <c r="J2981" s="564" t="s">
        <v>1069</v>
      </c>
      <c r="K2981" s="564" t="s">
        <v>1090</v>
      </c>
      <c r="L2981" s="564" t="s">
        <v>2098</v>
      </c>
      <c r="M2981" s="564" t="s">
        <v>2098</v>
      </c>
      <c r="N2981" s="564" t="s">
        <v>45</v>
      </c>
      <c r="O2981" s="564" t="s">
        <v>2099</v>
      </c>
      <c r="P2981" s="23"/>
      <c r="Q2981" s="23"/>
      <c r="R2981" s="23"/>
      <c r="S2981" s="23"/>
      <c r="T2981" s="23"/>
      <c r="U2981" s="23"/>
      <c r="V2981" s="23"/>
      <c r="W2981" s="23"/>
      <c r="X2981" s="23"/>
      <c r="Y2981" s="23"/>
      <c r="Z2981" s="23"/>
    </row>
    <row r="2982" spans="1:26" ht="13">
      <c r="A2982" s="562" t="s">
        <v>6992</v>
      </c>
      <c r="B2982" s="563" t="s">
        <v>6993</v>
      </c>
      <c r="C2982" s="564" t="s">
        <v>1612</v>
      </c>
      <c r="D2982" s="565">
        <v>42545</v>
      </c>
      <c r="E2982" s="565">
        <v>42580</v>
      </c>
      <c r="F2982" s="566">
        <v>90800000</v>
      </c>
      <c r="G2982" s="564" t="s">
        <v>5465</v>
      </c>
      <c r="H2982" s="564" t="s">
        <v>5465</v>
      </c>
      <c r="I2982" s="564" t="s">
        <v>45</v>
      </c>
      <c r="J2982" s="564" t="s">
        <v>1069</v>
      </c>
      <c r="K2982" s="564" t="s">
        <v>1090</v>
      </c>
      <c r="L2982" s="564" t="s">
        <v>2098</v>
      </c>
      <c r="M2982" s="564" t="s">
        <v>2098</v>
      </c>
      <c r="N2982" s="564" t="s">
        <v>45</v>
      </c>
      <c r="O2982" s="564" t="s">
        <v>2099</v>
      </c>
      <c r="P2982" s="23"/>
      <c r="Q2982" s="23"/>
      <c r="R2982" s="23"/>
      <c r="S2982" s="23"/>
      <c r="T2982" s="23"/>
      <c r="U2982" s="23"/>
      <c r="V2982" s="23"/>
      <c r="W2982" s="23"/>
      <c r="X2982" s="23"/>
      <c r="Y2982" s="23"/>
      <c r="Z2982" s="23"/>
    </row>
    <row r="2983" spans="1:26" ht="13">
      <c r="A2983" s="562" t="s">
        <v>6994</v>
      </c>
      <c r="B2983" s="563" t="s">
        <v>6481</v>
      </c>
      <c r="C2983" s="564" t="s">
        <v>1612</v>
      </c>
      <c r="D2983" s="565">
        <v>42545</v>
      </c>
      <c r="E2983" s="565">
        <v>42580</v>
      </c>
      <c r="F2983" s="566">
        <v>59275000</v>
      </c>
      <c r="G2983" s="564" t="s">
        <v>5465</v>
      </c>
      <c r="H2983" s="564" t="s">
        <v>5465</v>
      </c>
      <c r="I2983" s="564" t="s">
        <v>45</v>
      </c>
      <c r="J2983" s="564" t="s">
        <v>1069</v>
      </c>
      <c r="K2983" s="564" t="s">
        <v>1090</v>
      </c>
      <c r="L2983" s="564" t="s">
        <v>2098</v>
      </c>
      <c r="M2983" s="564" t="s">
        <v>2098</v>
      </c>
      <c r="N2983" s="564" t="s">
        <v>45</v>
      </c>
      <c r="O2983" s="564" t="s">
        <v>2099</v>
      </c>
      <c r="P2983" s="23"/>
      <c r="Q2983" s="23"/>
      <c r="R2983" s="23"/>
      <c r="S2983" s="23"/>
      <c r="T2983" s="23"/>
      <c r="U2983" s="23"/>
      <c r="V2983" s="23"/>
      <c r="W2983" s="23"/>
      <c r="X2983" s="23"/>
      <c r="Y2983" s="23"/>
      <c r="Z2983" s="23"/>
    </row>
    <row r="2984" spans="1:26" ht="13">
      <c r="A2984" s="562" t="s">
        <v>6995</v>
      </c>
      <c r="B2984" s="563" t="s">
        <v>5810</v>
      </c>
      <c r="C2984" s="564" t="s">
        <v>1612</v>
      </c>
      <c r="D2984" s="565">
        <v>42544</v>
      </c>
      <c r="E2984" s="565">
        <v>42573</v>
      </c>
      <c r="F2984" s="567">
        <v>883</v>
      </c>
      <c r="G2984" s="564" t="s">
        <v>1424</v>
      </c>
      <c r="H2984" s="564" t="s">
        <v>1424</v>
      </c>
      <c r="I2984" s="564" t="s">
        <v>70</v>
      </c>
      <c r="J2984" s="564" t="s">
        <v>1069</v>
      </c>
      <c r="K2984" s="564" t="s">
        <v>1120</v>
      </c>
      <c r="L2984" s="564" t="s">
        <v>2098</v>
      </c>
      <c r="M2984" s="564" t="s">
        <v>2098</v>
      </c>
      <c r="N2984" s="564" t="s">
        <v>70</v>
      </c>
      <c r="O2984" s="564" t="s">
        <v>2099</v>
      </c>
      <c r="P2984" s="23"/>
      <c r="Q2984" s="23"/>
      <c r="R2984" s="23"/>
      <c r="S2984" s="23"/>
      <c r="T2984" s="23"/>
      <c r="U2984" s="23"/>
      <c r="V2984" s="23"/>
      <c r="W2984" s="23"/>
      <c r="X2984" s="23"/>
      <c r="Y2984" s="23"/>
      <c r="Z2984" s="23"/>
    </row>
    <row r="2985" spans="1:26" ht="13">
      <c r="A2985" s="562" t="s">
        <v>6996</v>
      </c>
      <c r="B2985" s="563" t="s">
        <v>6997</v>
      </c>
      <c r="C2985" s="564" t="s">
        <v>1612</v>
      </c>
      <c r="D2985" s="565">
        <v>42542</v>
      </c>
      <c r="E2985" s="565">
        <v>42522</v>
      </c>
      <c r="F2985" s="566">
        <v>9701400</v>
      </c>
      <c r="G2985" s="564" t="s">
        <v>1424</v>
      </c>
      <c r="H2985" s="564" t="s">
        <v>1424</v>
      </c>
      <c r="I2985" s="564" t="s">
        <v>45</v>
      </c>
      <c r="J2985" s="564" t="s">
        <v>1069</v>
      </c>
      <c r="K2985" s="564" t="s">
        <v>1090</v>
      </c>
      <c r="L2985" s="564" t="s">
        <v>1071</v>
      </c>
      <c r="M2985" s="564" t="s">
        <v>1183</v>
      </c>
      <c r="N2985" s="564" t="s">
        <v>45</v>
      </c>
      <c r="O2985" s="564" t="s">
        <v>2099</v>
      </c>
      <c r="P2985" s="23"/>
      <c r="Q2985" s="23"/>
      <c r="R2985" s="23"/>
      <c r="S2985" s="23"/>
      <c r="T2985" s="23"/>
      <c r="U2985" s="23"/>
      <c r="V2985" s="23"/>
      <c r="W2985" s="23"/>
      <c r="X2985" s="23"/>
      <c r="Y2985" s="23"/>
      <c r="Z2985" s="23"/>
    </row>
    <row r="2986" spans="1:26" ht="13">
      <c r="A2986" s="562" t="s">
        <v>6998</v>
      </c>
      <c r="B2986" s="563" t="s">
        <v>6999</v>
      </c>
      <c r="C2986" s="564" t="s">
        <v>1612</v>
      </c>
      <c r="D2986" s="565">
        <v>42542</v>
      </c>
      <c r="E2986" s="565">
        <v>42522</v>
      </c>
      <c r="F2986" s="566">
        <v>559800</v>
      </c>
      <c r="G2986" s="564" t="s">
        <v>1424</v>
      </c>
      <c r="H2986" s="564" t="s">
        <v>1424</v>
      </c>
      <c r="I2986" s="564" t="s">
        <v>1586</v>
      </c>
      <c r="J2986" s="564" t="s">
        <v>1069</v>
      </c>
      <c r="K2986" s="564" t="s">
        <v>1090</v>
      </c>
      <c r="L2986" s="564" t="s">
        <v>1071</v>
      </c>
      <c r="M2986" s="564" t="s">
        <v>1183</v>
      </c>
      <c r="N2986" s="564" t="s">
        <v>1073</v>
      </c>
      <c r="O2986" s="564" t="s">
        <v>2099</v>
      </c>
      <c r="P2986" s="23"/>
      <c r="Q2986" s="23"/>
      <c r="R2986" s="23"/>
      <c r="S2986" s="23"/>
      <c r="T2986" s="23"/>
      <c r="U2986" s="23"/>
      <c r="V2986" s="23"/>
      <c r="W2986" s="23"/>
      <c r="X2986" s="23"/>
      <c r="Y2986" s="23"/>
      <c r="Z2986" s="23"/>
    </row>
    <row r="2987" spans="1:26" ht="13">
      <c r="A2987" s="562" t="s">
        <v>7000</v>
      </c>
      <c r="B2987" s="563" t="s">
        <v>5974</v>
      </c>
      <c r="C2987" s="564" t="s">
        <v>1612</v>
      </c>
      <c r="D2987" s="565">
        <v>42542</v>
      </c>
      <c r="E2987" s="565">
        <v>42542</v>
      </c>
      <c r="F2987" s="566">
        <v>1980</v>
      </c>
      <c r="G2987" s="564" t="s">
        <v>1424</v>
      </c>
      <c r="H2987" s="564" t="s">
        <v>1424</v>
      </c>
      <c r="I2987" s="564" t="s">
        <v>45</v>
      </c>
      <c r="J2987" s="564" t="s">
        <v>1069</v>
      </c>
      <c r="K2987" s="564" t="s">
        <v>1090</v>
      </c>
      <c r="L2987" s="564" t="s">
        <v>2098</v>
      </c>
      <c r="M2987" s="564" t="s">
        <v>2098</v>
      </c>
      <c r="N2987" s="564" t="s">
        <v>45</v>
      </c>
      <c r="O2987" s="564" t="s">
        <v>2099</v>
      </c>
      <c r="P2987" s="23"/>
      <c r="Q2987" s="23"/>
      <c r="R2987" s="23"/>
      <c r="S2987" s="23"/>
      <c r="T2987" s="23"/>
      <c r="U2987" s="23"/>
      <c r="V2987" s="23"/>
      <c r="W2987" s="23"/>
      <c r="X2987" s="23"/>
      <c r="Y2987" s="23"/>
      <c r="Z2987" s="23"/>
    </row>
    <row r="2988" spans="1:26" ht="13">
      <c r="A2988" s="562" t="s">
        <v>7001</v>
      </c>
      <c r="B2988" s="563" t="s">
        <v>7002</v>
      </c>
      <c r="C2988" s="564" t="s">
        <v>1612</v>
      </c>
      <c r="D2988" s="565">
        <v>42544</v>
      </c>
      <c r="E2988" s="565">
        <v>42573</v>
      </c>
      <c r="F2988" s="567">
        <v>650</v>
      </c>
      <c r="G2988" s="564" t="s">
        <v>1424</v>
      </c>
      <c r="H2988" s="564" t="s">
        <v>1424</v>
      </c>
      <c r="I2988" s="564" t="s">
        <v>70</v>
      </c>
      <c r="J2988" s="564" t="s">
        <v>1069</v>
      </c>
      <c r="K2988" s="564" t="s">
        <v>1120</v>
      </c>
      <c r="L2988" s="564" t="s">
        <v>2098</v>
      </c>
      <c r="M2988" s="564" t="s">
        <v>2098</v>
      </c>
      <c r="N2988" s="564" t="s">
        <v>70</v>
      </c>
      <c r="O2988" s="564" t="s">
        <v>2099</v>
      </c>
      <c r="P2988" s="23"/>
      <c r="Q2988" s="23"/>
      <c r="R2988" s="23"/>
      <c r="S2988" s="23"/>
      <c r="T2988" s="23"/>
      <c r="U2988" s="23"/>
      <c r="V2988" s="23"/>
      <c r="W2988" s="23"/>
      <c r="X2988" s="23"/>
      <c r="Y2988" s="23"/>
      <c r="Z2988" s="23"/>
    </row>
    <row r="2989" spans="1:26" ht="13">
      <c r="A2989" s="562" t="s">
        <v>7003</v>
      </c>
      <c r="B2989" s="563" t="s">
        <v>7004</v>
      </c>
      <c r="C2989" s="564" t="s">
        <v>1612</v>
      </c>
      <c r="D2989" s="565">
        <v>42542</v>
      </c>
      <c r="E2989" s="565">
        <v>42522</v>
      </c>
      <c r="F2989" s="566">
        <v>1007640</v>
      </c>
      <c r="G2989" s="564" t="s">
        <v>1424</v>
      </c>
      <c r="H2989" s="564" t="s">
        <v>1424</v>
      </c>
      <c r="I2989" s="564" t="s">
        <v>146</v>
      </c>
      <c r="J2989" s="564" t="s">
        <v>1069</v>
      </c>
      <c r="K2989" s="564" t="s">
        <v>1070</v>
      </c>
      <c r="L2989" s="564" t="s">
        <v>1071</v>
      </c>
      <c r="M2989" s="564" t="s">
        <v>1183</v>
      </c>
      <c r="N2989" s="564" t="s">
        <v>1073</v>
      </c>
      <c r="O2989" s="564" t="s">
        <v>2099</v>
      </c>
      <c r="P2989" s="23"/>
      <c r="Q2989" s="23"/>
      <c r="R2989" s="23"/>
      <c r="S2989" s="23"/>
      <c r="T2989" s="23"/>
      <c r="U2989" s="23"/>
      <c r="V2989" s="23"/>
      <c r="W2989" s="23"/>
      <c r="X2989" s="23"/>
      <c r="Y2989" s="23"/>
      <c r="Z2989" s="23"/>
    </row>
    <row r="2990" spans="1:26" ht="13">
      <c r="A2990" s="562" t="s">
        <v>7005</v>
      </c>
      <c r="B2990" s="563" t="s">
        <v>7006</v>
      </c>
      <c r="C2990" s="564" t="s">
        <v>1612</v>
      </c>
      <c r="D2990" s="565">
        <v>42542</v>
      </c>
      <c r="E2990" s="565">
        <v>42522</v>
      </c>
      <c r="F2990" s="566">
        <v>1840320</v>
      </c>
      <c r="G2990" s="564" t="s">
        <v>1424</v>
      </c>
      <c r="H2990" s="564" t="s">
        <v>1424</v>
      </c>
      <c r="I2990" s="564" t="s">
        <v>45</v>
      </c>
      <c r="J2990" s="564" t="s">
        <v>1069</v>
      </c>
      <c r="K2990" s="564" t="s">
        <v>1090</v>
      </c>
      <c r="L2990" s="564" t="s">
        <v>1071</v>
      </c>
      <c r="M2990" s="564" t="s">
        <v>1183</v>
      </c>
      <c r="N2990" s="564" t="s">
        <v>45</v>
      </c>
      <c r="O2990" s="564" t="s">
        <v>2099</v>
      </c>
      <c r="P2990" s="23"/>
      <c r="Q2990" s="23"/>
      <c r="R2990" s="23"/>
      <c r="S2990" s="23"/>
      <c r="T2990" s="23"/>
      <c r="U2990" s="23"/>
      <c r="V2990" s="23"/>
      <c r="W2990" s="23"/>
      <c r="X2990" s="23"/>
      <c r="Y2990" s="23"/>
      <c r="Z2990" s="23"/>
    </row>
    <row r="2991" spans="1:26" ht="13">
      <c r="A2991" s="562" t="s">
        <v>7007</v>
      </c>
      <c r="B2991" s="563" t="s">
        <v>5974</v>
      </c>
      <c r="C2991" s="564" t="s">
        <v>1612</v>
      </c>
      <c r="D2991" s="565">
        <v>42542</v>
      </c>
      <c r="E2991" s="565">
        <v>42542</v>
      </c>
      <c r="F2991" s="567">
        <v>990</v>
      </c>
      <c r="G2991" s="564" t="s">
        <v>1424</v>
      </c>
      <c r="H2991" s="564" t="s">
        <v>1424</v>
      </c>
      <c r="I2991" s="564" t="s">
        <v>45</v>
      </c>
      <c r="J2991" s="564" t="s">
        <v>1069</v>
      </c>
      <c r="K2991" s="564" t="s">
        <v>1090</v>
      </c>
      <c r="L2991" s="564" t="s">
        <v>2098</v>
      </c>
      <c r="M2991" s="564" t="s">
        <v>2098</v>
      </c>
      <c r="N2991" s="564" t="s">
        <v>45</v>
      </c>
      <c r="O2991" s="564" t="s">
        <v>2099</v>
      </c>
      <c r="P2991" s="23"/>
      <c r="Q2991" s="23"/>
      <c r="R2991" s="23"/>
      <c r="S2991" s="23"/>
      <c r="T2991" s="23"/>
      <c r="U2991" s="23"/>
      <c r="V2991" s="23"/>
      <c r="W2991" s="23"/>
      <c r="X2991" s="23"/>
      <c r="Y2991" s="23"/>
      <c r="Z2991" s="23"/>
    </row>
    <row r="2992" spans="1:26" ht="13">
      <c r="A2992" s="562" t="s">
        <v>7008</v>
      </c>
      <c r="B2992" s="563" t="s">
        <v>7009</v>
      </c>
      <c r="C2992" s="564" t="s">
        <v>1612</v>
      </c>
      <c r="D2992" s="565">
        <v>42542</v>
      </c>
      <c r="E2992" s="565">
        <v>42552</v>
      </c>
      <c r="F2992" s="566">
        <v>3545455</v>
      </c>
      <c r="G2992" s="564" t="s">
        <v>1623</v>
      </c>
      <c r="H2992" s="564" t="s">
        <v>1623</v>
      </c>
      <c r="I2992" s="564" t="s">
        <v>802</v>
      </c>
      <c r="J2992" s="564" t="s">
        <v>1069</v>
      </c>
      <c r="K2992" s="564" t="s">
        <v>1198</v>
      </c>
      <c r="L2992" s="564" t="s">
        <v>2098</v>
      </c>
      <c r="M2992" s="564" t="s">
        <v>2098</v>
      </c>
      <c r="N2992" s="564" t="s">
        <v>132</v>
      </c>
      <c r="O2992" s="564" t="s">
        <v>2099</v>
      </c>
      <c r="P2992" s="23"/>
      <c r="Q2992" s="23"/>
      <c r="R2992" s="23"/>
      <c r="S2992" s="23"/>
      <c r="T2992" s="23"/>
      <c r="U2992" s="23"/>
      <c r="V2992" s="23"/>
      <c r="W2992" s="23"/>
      <c r="X2992" s="23"/>
      <c r="Y2992" s="23"/>
      <c r="Z2992" s="23"/>
    </row>
    <row r="2993" spans="1:26" ht="13">
      <c r="A2993" s="562" t="s">
        <v>7010</v>
      </c>
      <c r="B2993" s="563" t="s">
        <v>7011</v>
      </c>
      <c r="C2993" s="564" t="s">
        <v>1612</v>
      </c>
      <c r="D2993" s="565">
        <v>42542</v>
      </c>
      <c r="E2993" s="565">
        <v>42548</v>
      </c>
      <c r="F2993" s="566">
        <v>2690909</v>
      </c>
      <c r="G2993" s="564" t="s">
        <v>1623</v>
      </c>
      <c r="H2993" s="564" t="s">
        <v>1623</v>
      </c>
      <c r="I2993" s="564" t="s">
        <v>802</v>
      </c>
      <c r="J2993" s="564" t="s">
        <v>1069</v>
      </c>
      <c r="K2993" s="564" t="s">
        <v>1198</v>
      </c>
      <c r="L2993" s="564" t="s">
        <v>2098</v>
      </c>
      <c r="M2993" s="564" t="s">
        <v>2098</v>
      </c>
      <c r="N2993" s="564" t="s">
        <v>132</v>
      </c>
      <c r="O2993" s="564" t="s">
        <v>2099</v>
      </c>
      <c r="P2993" s="23"/>
      <c r="Q2993" s="23"/>
      <c r="R2993" s="23"/>
      <c r="S2993" s="23"/>
      <c r="T2993" s="23"/>
      <c r="U2993" s="23"/>
      <c r="V2993" s="23"/>
      <c r="W2993" s="23"/>
      <c r="X2993" s="23"/>
      <c r="Y2993" s="23"/>
      <c r="Z2993" s="23"/>
    </row>
    <row r="2994" spans="1:26" ht="13">
      <c r="A2994" s="562" t="s">
        <v>7012</v>
      </c>
      <c r="B2994" s="563" t="s">
        <v>7013</v>
      </c>
      <c r="C2994" s="564" t="s">
        <v>1612</v>
      </c>
      <c r="D2994" s="565">
        <v>42542</v>
      </c>
      <c r="E2994" s="565">
        <v>42580</v>
      </c>
      <c r="F2994" s="566">
        <v>3216</v>
      </c>
      <c r="G2994" s="564" t="s">
        <v>1424</v>
      </c>
      <c r="H2994" s="564" t="s">
        <v>1424</v>
      </c>
      <c r="I2994" s="564" t="s">
        <v>64</v>
      </c>
      <c r="J2994" s="564" t="s">
        <v>1069</v>
      </c>
      <c r="K2994" s="564" t="s">
        <v>1090</v>
      </c>
      <c r="L2994" s="564" t="s">
        <v>2098</v>
      </c>
      <c r="M2994" s="564" t="s">
        <v>2098</v>
      </c>
      <c r="N2994" s="564" t="s">
        <v>64</v>
      </c>
      <c r="O2994" s="564" t="s">
        <v>2099</v>
      </c>
      <c r="P2994" s="23"/>
      <c r="Q2994" s="23"/>
      <c r="R2994" s="23"/>
      <c r="S2994" s="23"/>
      <c r="T2994" s="23"/>
      <c r="U2994" s="23"/>
      <c r="V2994" s="23"/>
      <c r="W2994" s="23"/>
      <c r="X2994" s="23"/>
      <c r="Y2994" s="23"/>
      <c r="Z2994" s="23"/>
    </row>
    <row r="2995" spans="1:26" ht="13">
      <c r="A2995" s="562" t="s">
        <v>7014</v>
      </c>
      <c r="B2995" s="563" t="s">
        <v>7015</v>
      </c>
      <c r="C2995" s="564" t="s">
        <v>1612</v>
      </c>
      <c r="D2995" s="565">
        <v>42543</v>
      </c>
      <c r="E2995" s="565">
        <v>42566</v>
      </c>
      <c r="F2995" s="566">
        <v>8480000</v>
      </c>
      <c r="G2995" s="564" t="s">
        <v>5465</v>
      </c>
      <c r="H2995" s="564" t="s">
        <v>5465</v>
      </c>
      <c r="I2995" s="564" t="s">
        <v>45</v>
      </c>
      <c r="J2995" s="564" t="s">
        <v>1069</v>
      </c>
      <c r="K2995" s="564" t="s">
        <v>1090</v>
      </c>
      <c r="L2995" s="564" t="s">
        <v>2098</v>
      </c>
      <c r="M2995" s="564" t="s">
        <v>2098</v>
      </c>
      <c r="N2995" s="564" t="s">
        <v>45</v>
      </c>
      <c r="O2995" s="564" t="s">
        <v>2099</v>
      </c>
      <c r="P2995" s="23"/>
      <c r="Q2995" s="23"/>
      <c r="R2995" s="23"/>
      <c r="S2995" s="23"/>
      <c r="T2995" s="23"/>
      <c r="U2995" s="23"/>
      <c r="V2995" s="23"/>
      <c r="W2995" s="23"/>
      <c r="X2995" s="23"/>
      <c r="Y2995" s="23"/>
      <c r="Z2995" s="23"/>
    </row>
    <row r="2996" spans="1:26" ht="13">
      <c r="A2996" s="562" t="s">
        <v>7016</v>
      </c>
      <c r="B2996" s="563" t="s">
        <v>6554</v>
      </c>
      <c r="C2996" s="564" t="s">
        <v>1612</v>
      </c>
      <c r="D2996" s="565">
        <v>42542</v>
      </c>
      <c r="E2996" s="565">
        <v>42551</v>
      </c>
      <c r="F2996" s="566">
        <v>31300</v>
      </c>
      <c r="G2996" s="564" t="s">
        <v>1128</v>
      </c>
      <c r="H2996" s="564" t="s">
        <v>1128</v>
      </c>
      <c r="I2996" s="564" t="s">
        <v>1161</v>
      </c>
      <c r="J2996" s="564" t="s">
        <v>1069</v>
      </c>
      <c r="K2996" s="564" t="s">
        <v>1090</v>
      </c>
      <c r="L2996" s="564" t="s">
        <v>2098</v>
      </c>
      <c r="M2996" s="564" t="s">
        <v>2098</v>
      </c>
      <c r="N2996" s="564" t="s">
        <v>1073</v>
      </c>
      <c r="O2996" s="564" t="s">
        <v>2099</v>
      </c>
      <c r="P2996" s="23"/>
      <c r="Q2996" s="23"/>
      <c r="R2996" s="23"/>
      <c r="S2996" s="23"/>
      <c r="T2996" s="23"/>
      <c r="U2996" s="23"/>
      <c r="V2996" s="23"/>
      <c r="W2996" s="23"/>
      <c r="X2996" s="23"/>
      <c r="Y2996" s="23"/>
      <c r="Z2996" s="23"/>
    </row>
    <row r="2997" spans="1:26" ht="13">
      <c r="A2997" s="562" t="s">
        <v>7017</v>
      </c>
      <c r="B2997" s="563" t="s">
        <v>7018</v>
      </c>
      <c r="C2997" s="564" t="s">
        <v>1612</v>
      </c>
      <c r="D2997" s="565">
        <v>42541</v>
      </c>
      <c r="E2997" s="565">
        <v>42660</v>
      </c>
      <c r="F2997" s="566">
        <v>20454545</v>
      </c>
      <c r="G2997" s="564" t="s">
        <v>1123</v>
      </c>
      <c r="H2997" s="564" t="s">
        <v>1123</v>
      </c>
      <c r="I2997" s="564" t="s">
        <v>802</v>
      </c>
      <c r="J2997" s="564" t="s">
        <v>1069</v>
      </c>
      <c r="K2997" s="564" t="s">
        <v>1198</v>
      </c>
      <c r="L2997" s="564" t="s">
        <v>2098</v>
      </c>
      <c r="M2997" s="564" t="s">
        <v>2098</v>
      </c>
      <c r="N2997" s="564" t="s">
        <v>132</v>
      </c>
      <c r="O2997" s="564" t="s">
        <v>2099</v>
      </c>
      <c r="P2997" s="23"/>
      <c r="Q2997" s="23"/>
      <c r="R2997" s="23"/>
      <c r="S2997" s="23"/>
      <c r="T2997" s="23"/>
      <c r="U2997" s="23"/>
      <c r="V2997" s="23"/>
      <c r="W2997" s="23"/>
      <c r="X2997" s="23"/>
      <c r="Y2997" s="23"/>
      <c r="Z2997" s="23"/>
    </row>
    <row r="2998" spans="1:26" ht="13">
      <c r="A2998" s="562" t="s">
        <v>7019</v>
      </c>
      <c r="B2998" s="563" t="s">
        <v>5810</v>
      </c>
      <c r="C2998" s="564" t="s">
        <v>1612</v>
      </c>
      <c r="D2998" s="565">
        <v>42534</v>
      </c>
      <c r="E2998" s="565">
        <v>42564</v>
      </c>
      <c r="F2998" s="566">
        <v>2796</v>
      </c>
      <c r="G2998" s="564" t="s">
        <v>1424</v>
      </c>
      <c r="H2998" s="564" t="s">
        <v>1424</v>
      </c>
      <c r="I2998" s="564" t="s">
        <v>70</v>
      </c>
      <c r="J2998" s="564" t="s">
        <v>1069</v>
      </c>
      <c r="K2998" s="564" t="s">
        <v>1120</v>
      </c>
      <c r="L2998" s="564" t="s">
        <v>2098</v>
      </c>
      <c r="M2998" s="564" t="s">
        <v>2098</v>
      </c>
      <c r="N2998" s="564" t="s">
        <v>70</v>
      </c>
      <c r="O2998" s="564" t="s">
        <v>2099</v>
      </c>
      <c r="P2998" s="23"/>
      <c r="Q2998" s="23"/>
      <c r="R2998" s="23"/>
      <c r="S2998" s="23"/>
      <c r="T2998" s="23"/>
      <c r="U2998" s="23"/>
      <c r="V2998" s="23"/>
      <c r="W2998" s="23"/>
      <c r="X2998" s="23"/>
      <c r="Y2998" s="23"/>
      <c r="Z2998" s="23"/>
    </row>
    <row r="2999" spans="1:26" ht="13">
      <c r="A2999" s="562" t="s">
        <v>7020</v>
      </c>
      <c r="B2999" s="563" t="s">
        <v>7021</v>
      </c>
      <c r="C2999" s="564" t="s">
        <v>1612</v>
      </c>
      <c r="D2999" s="565">
        <v>42531</v>
      </c>
      <c r="E2999" s="565">
        <v>42551</v>
      </c>
      <c r="F2999" s="566">
        <v>19447</v>
      </c>
      <c r="G2999" s="564" t="s">
        <v>1116</v>
      </c>
      <c r="H2999" s="564" t="s">
        <v>1116</v>
      </c>
      <c r="I2999" s="564" t="s">
        <v>45</v>
      </c>
      <c r="J2999" s="564" t="s">
        <v>1069</v>
      </c>
      <c r="K2999" s="564" t="s">
        <v>1090</v>
      </c>
      <c r="L2999" s="564" t="s">
        <v>2098</v>
      </c>
      <c r="M2999" s="564" t="s">
        <v>2098</v>
      </c>
      <c r="N2999" s="564" t="s">
        <v>45</v>
      </c>
      <c r="O2999" s="564" t="s">
        <v>2099</v>
      </c>
      <c r="P2999" s="23"/>
      <c r="Q2999" s="23"/>
      <c r="R2999" s="23"/>
      <c r="S2999" s="23"/>
      <c r="T2999" s="23"/>
      <c r="U2999" s="23"/>
      <c r="V2999" s="23"/>
      <c r="W2999" s="23"/>
      <c r="X2999" s="23"/>
      <c r="Y2999" s="23"/>
      <c r="Z2999" s="23"/>
    </row>
    <row r="3000" spans="1:26" ht="13">
      <c r="A3000" s="562" t="s">
        <v>7022</v>
      </c>
      <c r="B3000" s="563" t="s">
        <v>6688</v>
      </c>
      <c r="C3000" s="564" t="s">
        <v>2191</v>
      </c>
      <c r="D3000" s="565">
        <v>42529</v>
      </c>
      <c r="E3000" s="565">
        <v>42551</v>
      </c>
      <c r="F3000" s="566">
        <v>210000000</v>
      </c>
      <c r="G3000" s="564" t="s">
        <v>1564</v>
      </c>
      <c r="H3000" s="564" t="s">
        <v>1564</v>
      </c>
      <c r="I3000" s="564" t="s">
        <v>7023</v>
      </c>
      <c r="J3000" s="564" t="s">
        <v>1069</v>
      </c>
      <c r="K3000" s="564" t="s">
        <v>1070</v>
      </c>
      <c r="L3000" s="564" t="s">
        <v>2098</v>
      </c>
      <c r="M3000" s="564" t="s">
        <v>2098</v>
      </c>
      <c r="N3000" s="564" t="s">
        <v>1082</v>
      </c>
      <c r="O3000" s="564" t="s">
        <v>2099</v>
      </c>
      <c r="P3000" s="23"/>
      <c r="Q3000" s="23"/>
      <c r="R3000" s="23"/>
      <c r="S3000" s="23"/>
      <c r="T3000" s="23"/>
      <c r="U3000" s="23"/>
      <c r="V3000" s="23"/>
      <c r="W3000" s="23"/>
      <c r="X3000" s="23"/>
      <c r="Y3000" s="23"/>
      <c r="Z3000" s="23"/>
    </row>
    <row r="3001" spans="1:26" ht="13">
      <c r="A3001" s="562" t="s">
        <v>7024</v>
      </c>
      <c r="B3001" s="563" t="s">
        <v>7025</v>
      </c>
      <c r="C3001" s="564" t="s">
        <v>2191</v>
      </c>
      <c r="D3001" s="565">
        <v>42517</v>
      </c>
      <c r="E3001" s="565">
        <v>42558</v>
      </c>
      <c r="F3001" s="566">
        <v>336000000</v>
      </c>
      <c r="G3001" s="564" t="s">
        <v>6844</v>
      </c>
      <c r="H3001" s="564" t="s">
        <v>6844</v>
      </c>
      <c r="I3001" s="564" t="s">
        <v>7026</v>
      </c>
      <c r="J3001" s="564" t="s">
        <v>1069</v>
      </c>
      <c r="K3001" s="564" t="s">
        <v>2878</v>
      </c>
      <c r="L3001" s="564" t="s">
        <v>2098</v>
      </c>
      <c r="M3001" s="564" t="s">
        <v>2098</v>
      </c>
      <c r="N3001" s="564" t="s">
        <v>1082</v>
      </c>
      <c r="O3001" s="564" t="s">
        <v>2099</v>
      </c>
      <c r="P3001" s="23"/>
      <c r="Q3001" s="23"/>
      <c r="R3001" s="23"/>
      <c r="S3001" s="23"/>
      <c r="T3001" s="23"/>
      <c r="U3001" s="23"/>
      <c r="V3001" s="23"/>
      <c r="W3001" s="23"/>
      <c r="X3001" s="23"/>
      <c r="Y3001" s="23"/>
      <c r="Z3001" s="23"/>
    </row>
    <row r="3002" spans="1:26" ht="13">
      <c r="A3002" s="562" t="s">
        <v>7027</v>
      </c>
      <c r="B3002" s="563" t="s">
        <v>7028</v>
      </c>
      <c r="C3002" s="564" t="s">
        <v>1612</v>
      </c>
      <c r="D3002" s="565">
        <v>42524</v>
      </c>
      <c r="E3002" s="565">
        <v>42551</v>
      </c>
      <c r="F3002" s="566">
        <v>1573</v>
      </c>
      <c r="G3002" s="564" t="s">
        <v>1424</v>
      </c>
      <c r="H3002" s="564" t="s">
        <v>1424</v>
      </c>
      <c r="I3002" s="564" t="s">
        <v>45</v>
      </c>
      <c r="J3002" s="564" t="s">
        <v>1069</v>
      </c>
      <c r="K3002" s="564" t="s">
        <v>1090</v>
      </c>
      <c r="L3002" s="564" t="s">
        <v>2098</v>
      </c>
      <c r="M3002" s="564" t="s">
        <v>2098</v>
      </c>
      <c r="N3002" s="564" t="s">
        <v>45</v>
      </c>
      <c r="O3002" s="564" t="s">
        <v>2099</v>
      </c>
      <c r="P3002" s="23"/>
      <c r="Q3002" s="23"/>
      <c r="R3002" s="23"/>
      <c r="S3002" s="23"/>
      <c r="T3002" s="23"/>
      <c r="U3002" s="23"/>
      <c r="V3002" s="23"/>
      <c r="W3002" s="23"/>
      <c r="X3002" s="23"/>
      <c r="Y3002" s="23"/>
      <c r="Z3002" s="23"/>
    </row>
    <row r="3003" spans="1:26" ht="13">
      <c r="A3003" s="562" t="s">
        <v>7029</v>
      </c>
      <c r="B3003" s="563" t="s">
        <v>5007</v>
      </c>
      <c r="C3003" s="564" t="s">
        <v>1612</v>
      </c>
      <c r="D3003" s="565">
        <v>42524</v>
      </c>
      <c r="E3003" s="565">
        <v>42551</v>
      </c>
      <c r="F3003" s="566">
        <v>16480000</v>
      </c>
      <c r="G3003" s="564" t="s">
        <v>5465</v>
      </c>
      <c r="H3003" s="564" t="s">
        <v>5465</v>
      </c>
      <c r="I3003" s="564" t="s">
        <v>45</v>
      </c>
      <c r="J3003" s="564" t="s">
        <v>1069</v>
      </c>
      <c r="K3003" s="564" t="s">
        <v>1090</v>
      </c>
      <c r="L3003" s="564" t="s">
        <v>2098</v>
      </c>
      <c r="M3003" s="564" t="s">
        <v>2098</v>
      </c>
      <c r="N3003" s="564" t="s">
        <v>45</v>
      </c>
      <c r="O3003" s="564" t="s">
        <v>2099</v>
      </c>
      <c r="P3003" s="23"/>
      <c r="Q3003" s="23"/>
      <c r="R3003" s="23"/>
      <c r="S3003" s="23"/>
      <c r="T3003" s="23"/>
      <c r="U3003" s="23"/>
      <c r="V3003" s="23"/>
      <c r="W3003" s="23"/>
      <c r="X3003" s="23"/>
      <c r="Y3003" s="23"/>
      <c r="Z3003" s="23"/>
    </row>
    <row r="3004" spans="1:26" ht="13">
      <c r="A3004" s="562" t="s">
        <v>7030</v>
      </c>
      <c r="B3004" s="563" t="s">
        <v>6150</v>
      </c>
      <c r="C3004" s="564" t="s">
        <v>1612</v>
      </c>
      <c r="D3004" s="565">
        <v>42524</v>
      </c>
      <c r="E3004" s="565">
        <v>42551</v>
      </c>
      <c r="F3004" s="566">
        <v>3630</v>
      </c>
      <c r="G3004" s="564" t="s">
        <v>1424</v>
      </c>
      <c r="H3004" s="564" t="s">
        <v>1424</v>
      </c>
      <c r="I3004" s="564" t="s">
        <v>1837</v>
      </c>
      <c r="J3004" s="564" t="s">
        <v>1069</v>
      </c>
      <c r="K3004" s="564" t="s">
        <v>1070</v>
      </c>
      <c r="L3004" s="564" t="s">
        <v>2098</v>
      </c>
      <c r="M3004" s="564" t="s">
        <v>2098</v>
      </c>
      <c r="N3004" s="564" t="s">
        <v>1082</v>
      </c>
      <c r="O3004" s="564" t="s">
        <v>2099</v>
      </c>
      <c r="P3004" s="23"/>
      <c r="Q3004" s="23"/>
      <c r="R3004" s="23"/>
      <c r="S3004" s="23"/>
      <c r="T3004" s="23"/>
      <c r="U3004" s="23"/>
      <c r="V3004" s="23"/>
      <c r="W3004" s="23"/>
      <c r="X3004" s="23"/>
      <c r="Y3004" s="23"/>
      <c r="Z3004" s="23"/>
    </row>
    <row r="3005" spans="1:26" ht="13">
      <c r="A3005" s="562" t="s">
        <v>7031</v>
      </c>
      <c r="B3005" s="563" t="s">
        <v>5718</v>
      </c>
      <c r="C3005" s="564" t="s">
        <v>1612</v>
      </c>
      <c r="D3005" s="565">
        <v>42524</v>
      </c>
      <c r="E3005" s="565">
        <v>42551</v>
      </c>
      <c r="F3005" s="567">
        <v>850</v>
      </c>
      <c r="G3005" s="564" t="s">
        <v>1424</v>
      </c>
      <c r="H3005" s="564" t="s">
        <v>1424</v>
      </c>
      <c r="I3005" s="564" t="s">
        <v>45</v>
      </c>
      <c r="J3005" s="564" t="s">
        <v>1069</v>
      </c>
      <c r="K3005" s="564" t="s">
        <v>1090</v>
      </c>
      <c r="L3005" s="564" t="s">
        <v>2098</v>
      </c>
      <c r="M3005" s="564" t="s">
        <v>2098</v>
      </c>
      <c r="N3005" s="564" t="s">
        <v>45</v>
      </c>
      <c r="O3005" s="564" t="s">
        <v>2099</v>
      </c>
      <c r="P3005" s="23"/>
      <c r="Q3005" s="23"/>
      <c r="R3005" s="23"/>
      <c r="S3005" s="23"/>
      <c r="T3005" s="23"/>
      <c r="U3005" s="23"/>
      <c r="V3005" s="23"/>
      <c r="W3005" s="23"/>
      <c r="X3005" s="23"/>
      <c r="Y3005" s="23"/>
      <c r="Z3005" s="23"/>
    </row>
    <row r="3006" spans="1:26" ht="13">
      <c r="A3006" s="562" t="s">
        <v>7032</v>
      </c>
      <c r="B3006" s="563" t="s">
        <v>5856</v>
      </c>
      <c r="C3006" s="564" t="s">
        <v>1612</v>
      </c>
      <c r="D3006" s="565">
        <v>42524</v>
      </c>
      <c r="E3006" s="565">
        <v>42551</v>
      </c>
      <c r="F3006" s="566">
        <v>19318000</v>
      </c>
      <c r="G3006" s="564" t="s">
        <v>5465</v>
      </c>
      <c r="H3006" s="564" t="s">
        <v>5465</v>
      </c>
      <c r="I3006" s="564" t="s">
        <v>45</v>
      </c>
      <c r="J3006" s="564" t="s">
        <v>1069</v>
      </c>
      <c r="K3006" s="564" t="s">
        <v>1090</v>
      </c>
      <c r="L3006" s="564" t="s">
        <v>2098</v>
      </c>
      <c r="M3006" s="564" t="s">
        <v>2098</v>
      </c>
      <c r="N3006" s="564" t="s">
        <v>45</v>
      </c>
      <c r="O3006" s="564" t="s">
        <v>2099</v>
      </c>
      <c r="P3006" s="23"/>
      <c r="Q3006" s="23"/>
      <c r="R3006" s="23"/>
      <c r="S3006" s="23"/>
      <c r="T3006" s="23"/>
      <c r="U3006" s="23"/>
      <c r="V3006" s="23"/>
      <c r="W3006" s="23"/>
      <c r="X3006" s="23"/>
      <c r="Y3006" s="23"/>
      <c r="Z3006" s="23"/>
    </row>
    <row r="3007" spans="1:26" ht="13">
      <c r="A3007" s="562" t="s">
        <v>7033</v>
      </c>
      <c r="B3007" s="563" t="s">
        <v>7034</v>
      </c>
      <c r="C3007" s="564" t="s">
        <v>2191</v>
      </c>
      <c r="D3007" s="565">
        <v>42527</v>
      </c>
      <c r="E3007" s="565">
        <v>42528</v>
      </c>
      <c r="F3007" s="566">
        <v>310920000</v>
      </c>
      <c r="G3007" s="564" t="s">
        <v>1187</v>
      </c>
      <c r="H3007" s="564" t="s">
        <v>1187</v>
      </c>
      <c r="I3007" s="564" t="s">
        <v>4547</v>
      </c>
      <c r="J3007" s="564" t="s">
        <v>1069</v>
      </c>
      <c r="K3007" s="564" t="s">
        <v>1070</v>
      </c>
      <c r="L3007" s="564" t="s">
        <v>2098</v>
      </c>
      <c r="M3007" s="564" t="s">
        <v>2098</v>
      </c>
      <c r="N3007" s="564" t="s">
        <v>1082</v>
      </c>
      <c r="O3007" s="564" t="s">
        <v>2099</v>
      </c>
      <c r="P3007" s="23"/>
      <c r="Q3007" s="23"/>
      <c r="R3007" s="23"/>
      <c r="S3007" s="23"/>
      <c r="T3007" s="23"/>
      <c r="U3007" s="23"/>
      <c r="V3007" s="23"/>
      <c r="W3007" s="23"/>
      <c r="X3007" s="23"/>
      <c r="Y3007" s="23"/>
      <c r="Z3007" s="23"/>
    </row>
    <row r="3008" spans="1:26" ht="13">
      <c r="A3008" s="562" t="s">
        <v>7035</v>
      </c>
      <c r="B3008" s="563" t="s">
        <v>5810</v>
      </c>
      <c r="C3008" s="564" t="s">
        <v>1612</v>
      </c>
      <c r="D3008" s="565">
        <v>42524</v>
      </c>
      <c r="E3008" s="565">
        <v>42551</v>
      </c>
      <c r="F3008" s="566">
        <v>13245</v>
      </c>
      <c r="G3008" s="564" t="s">
        <v>1424</v>
      </c>
      <c r="H3008" s="564" t="s">
        <v>1424</v>
      </c>
      <c r="I3008" s="564" t="s">
        <v>70</v>
      </c>
      <c r="J3008" s="564" t="s">
        <v>1069</v>
      </c>
      <c r="K3008" s="564" t="s">
        <v>1120</v>
      </c>
      <c r="L3008" s="564" t="s">
        <v>2098</v>
      </c>
      <c r="M3008" s="564" t="s">
        <v>2098</v>
      </c>
      <c r="N3008" s="564" t="s">
        <v>70</v>
      </c>
      <c r="O3008" s="564" t="s">
        <v>2099</v>
      </c>
      <c r="P3008" s="23"/>
      <c r="Q3008" s="23"/>
      <c r="R3008" s="23"/>
      <c r="S3008" s="23"/>
      <c r="T3008" s="23"/>
      <c r="U3008" s="23"/>
      <c r="V3008" s="23"/>
      <c r="W3008" s="23"/>
      <c r="X3008" s="23"/>
      <c r="Y3008" s="23"/>
      <c r="Z3008" s="23"/>
    </row>
    <row r="3009" spans="1:26" ht="13">
      <c r="A3009" s="562" t="s">
        <v>7036</v>
      </c>
      <c r="B3009" s="563" t="s">
        <v>6974</v>
      </c>
      <c r="C3009" s="564" t="s">
        <v>1612</v>
      </c>
      <c r="D3009" s="565">
        <v>42523</v>
      </c>
      <c r="E3009" s="565">
        <v>42551</v>
      </c>
      <c r="F3009" s="567">
        <v>883</v>
      </c>
      <c r="G3009" s="564" t="s">
        <v>1424</v>
      </c>
      <c r="H3009" s="564" t="s">
        <v>1424</v>
      </c>
      <c r="I3009" s="564" t="s">
        <v>1637</v>
      </c>
      <c r="J3009" s="564" t="s">
        <v>1069</v>
      </c>
      <c r="K3009" s="564" t="s">
        <v>1120</v>
      </c>
      <c r="L3009" s="564" t="s">
        <v>2098</v>
      </c>
      <c r="M3009" s="564" t="s">
        <v>2098</v>
      </c>
      <c r="N3009" s="564" t="s">
        <v>1073</v>
      </c>
      <c r="O3009" s="564" t="s">
        <v>2099</v>
      </c>
      <c r="P3009" s="23"/>
      <c r="Q3009" s="23"/>
      <c r="R3009" s="23"/>
      <c r="S3009" s="23"/>
      <c r="T3009" s="23"/>
      <c r="U3009" s="23"/>
      <c r="V3009" s="23"/>
      <c r="W3009" s="23"/>
      <c r="X3009" s="23"/>
      <c r="Y3009" s="23"/>
      <c r="Z3009" s="23"/>
    </row>
    <row r="3010" spans="1:26" ht="13">
      <c r="A3010" s="562" t="s">
        <v>7037</v>
      </c>
      <c r="B3010" s="563" t="s">
        <v>7038</v>
      </c>
      <c r="C3010" s="564" t="s">
        <v>2191</v>
      </c>
      <c r="D3010" s="565">
        <v>42522</v>
      </c>
      <c r="E3010" s="565">
        <v>42521</v>
      </c>
      <c r="F3010" s="566">
        <v>64895000</v>
      </c>
      <c r="G3010" s="564" t="s">
        <v>1123</v>
      </c>
      <c r="H3010" s="564" t="s">
        <v>1123</v>
      </c>
      <c r="I3010" s="564" t="s">
        <v>140</v>
      </c>
      <c r="J3010" s="564" t="s">
        <v>1069</v>
      </c>
      <c r="K3010" s="564" t="s">
        <v>1205</v>
      </c>
      <c r="L3010" s="564" t="s">
        <v>2098</v>
      </c>
      <c r="M3010" s="564" t="s">
        <v>2098</v>
      </c>
      <c r="N3010" s="564" t="s">
        <v>1073</v>
      </c>
      <c r="O3010" s="564" t="s">
        <v>2099</v>
      </c>
      <c r="P3010" s="23"/>
      <c r="Q3010" s="23"/>
      <c r="R3010" s="23"/>
      <c r="S3010" s="23"/>
      <c r="T3010" s="23"/>
      <c r="U3010" s="23"/>
      <c r="V3010" s="23"/>
      <c r="W3010" s="23"/>
      <c r="X3010" s="23"/>
      <c r="Y3010" s="23"/>
      <c r="Z3010" s="23"/>
    </row>
    <row r="3011" spans="1:26" ht="13">
      <c r="A3011" s="562" t="s">
        <v>7039</v>
      </c>
      <c r="B3011" s="563" t="s">
        <v>7040</v>
      </c>
      <c r="C3011" s="564" t="s">
        <v>1612</v>
      </c>
      <c r="D3011" s="565">
        <v>42517</v>
      </c>
      <c r="E3011" s="565">
        <v>42536</v>
      </c>
      <c r="F3011" s="566">
        <v>41181818</v>
      </c>
      <c r="G3011" s="564" t="s">
        <v>1623</v>
      </c>
      <c r="H3011" s="564" t="s">
        <v>1623</v>
      </c>
      <c r="I3011" s="564" t="s">
        <v>802</v>
      </c>
      <c r="J3011" s="564" t="s">
        <v>1069</v>
      </c>
      <c r="K3011" s="564" t="s">
        <v>1198</v>
      </c>
      <c r="L3011" s="564" t="s">
        <v>2098</v>
      </c>
      <c r="M3011" s="564" t="s">
        <v>2098</v>
      </c>
      <c r="N3011" s="564" t="s">
        <v>132</v>
      </c>
      <c r="O3011" s="564" t="s">
        <v>2099</v>
      </c>
      <c r="P3011" s="23"/>
      <c r="Q3011" s="23"/>
      <c r="R3011" s="23"/>
      <c r="S3011" s="23"/>
      <c r="T3011" s="23"/>
      <c r="U3011" s="23"/>
      <c r="V3011" s="23"/>
      <c r="W3011" s="23"/>
      <c r="X3011" s="23"/>
      <c r="Y3011" s="23"/>
      <c r="Z3011" s="23"/>
    </row>
    <row r="3012" spans="1:26" ht="13">
      <c r="A3012" s="562" t="s">
        <v>7041</v>
      </c>
      <c r="B3012" s="563" t="s">
        <v>7042</v>
      </c>
      <c r="C3012" s="564" t="s">
        <v>1612</v>
      </c>
      <c r="D3012" s="565">
        <v>42520</v>
      </c>
      <c r="E3012" s="565">
        <v>42524</v>
      </c>
      <c r="F3012" s="566">
        <v>1538182</v>
      </c>
      <c r="G3012" s="564" t="s">
        <v>1623</v>
      </c>
      <c r="H3012" s="564" t="s">
        <v>1623</v>
      </c>
      <c r="I3012" s="564" t="s">
        <v>802</v>
      </c>
      <c r="J3012" s="564" t="s">
        <v>1069</v>
      </c>
      <c r="K3012" s="564" t="s">
        <v>1198</v>
      </c>
      <c r="L3012" s="564" t="s">
        <v>2098</v>
      </c>
      <c r="M3012" s="564" t="s">
        <v>2098</v>
      </c>
      <c r="N3012" s="564" t="s">
        <v>132</v>
      </c>
      <c r="O3012" s="564" t="s">
        <v>2099</v>
      </c>
      <c r="P3012" s="23"/>
      <c r="Q3012" s="23"/>
      <c r="R3012" s="23"/>
      <c r="S3012" s="23"/>
      <c r="T3012" s="23"/>
      <c r="U3012" s="23"/>
      <c r="V3012" s="23"/>
      <c r="W3012" s="23"/>
      <c r="X3012" s="23"/>
      <c r="Y3012" s="23"/>
      <c r="Z3012" s="23"/>
    </row>
    <row r="3013" spans="1:26" ht="13">
      <c r="A3013" s="562" t="s">
        <v>7043</v>
      </c>
      <c r="B3013" s="563" t="s">
        <v>5810</v>
      </c>
      <c r="C3013" s="564" t="s">
        <v>1612</v>
      </c>
      <c r="D3013" s="565">
        <v>42516</v>
      </c>
      <c r="E3013" s="565">
        <v>42551</v>
      </c>
      <c r="F3013" s="566">
        <v>2803</v>
      </c>
      <c r="G3013" s="564" t="s">
        <v>1424</v>
      </c>
      <c r="H3013" s="564" t="s">
        <v>1424</v>
      </c>
      <c r="I3013" s="564" t="s">
        <v>70</v>
      </c>
      <c r="J3013" s="564" t="s">
        <v>1069</v>
      </c>
      <c r="K3013" s="564" t="s">
        <v>1120</v>
      </c>
      <c r="L3013" s="564" t="s">
        <v>2098</v>
      </c>
      <c r="M3013" s="564" t="s">
        <v>2098</v>
      </c>
      <c r="N3013" s="564" t="s">
        <v>70</v>
      </c>
      <c r="O3013" s="564" t="s">
        <v>2099</v>
      </c>
      <c r="P3013" s="23"/>
      <c r="Q3013" s="23"/>
      <c r="R3013" s="23"/>
      <c r="S3013" s="23"/>
      <c r="T3013" s="23"/>
      <c r="U3013" s="23"/>
      <c r="V3013" s="23"/>
      <c r="W3013" s="23"/>
      <c r="X3013" s="23"/>
      <c r="Y3013" s="23"/>
      <c r="Z3013" s="23"/>
    </row>
    <row r="3014" spans="1:26" ht="13">
      <c r="A3014" s="562" t="s">
        <v>7044</v>
      </c>
      <c r="B3014" s="563" t="s">
        <v>5718</v>
      </c>
      <c r="C3014" s="564" t="s">
        <v>1612</v>
      </c>
      <c r="D3014" s="565">
        <v>42516</v>
      </c>
      <c r="E3014" s="565">
        <v>42551</v>
      </c>
      <c r="F3014" s="566">
        <v>1180</v>
      </c>
      <c r="G3014" s="564" t="s">
        <v>1424</v>
      </c>
      <c r="H3014" s="564" t="s">
        <v>1424</v>
      </c>
      <c r="I3014" s="564" t="s">
        <v>45</v>
      </c>
      <c r="J3014" s="564" t="s">
        <v>1069</v>
      </c>
      <c r="K3014" s="564" t="s">
        <v>1090</v>
      </c>
      <c r="L3014" s="564" t="s">
        <v>2098</v>
      </c>
      <c r="M3014" s="564" t="s">
        <v>2098</v>
      </c>
      <c r="N3014" s="564" t="s">
        <v>45</v>
      </c>
      <c r="O3014" s="564" t="s">
        <v>2099</v>
      </c>
      <c r="P3014" s="23"/>
      <c r="Q3014" s="23"/>
      <c r="R3014" s="23"/>
      <c r="S3014" s="23"/>
      <c r="T3014" s="23"/>
      <c r="U3014" s="23"/>
      <c r="V3014" s="23"/>
      <c r="W3014" s="23"/>
      <c r="X3014" s="23"/>
      <c r="Y3014" s="23"/>
      <c r="Z3014" s="23"/>
    </row>
    <row r="3015" spans="1:26" ht="13">
      <c r="A3015" s="562" t="s">
        <v>7045</v>
      </c>
      <c r="B3015" s="563" t="s">
        <v>7046</v>
      </c>
      <c r="C3015" s="564" t="s">
        <v>1612</v>
      </c>
      <c r="D3015" s="565">
        <v>42516</v>
      </c>
      <c r="E3015" s="565">
        <v>42544</v>
      </c>
      <c r="F3015" s="566">
        <v>686364</v>
      </c>
      <c r="G3015" s="564" t="s">
        <v>1623</v>
      </c>
      <c r="H3015" s="564" t="s">
        <v>1623</v>
      </c>
      <c r="I3015" s="564" t="s">
        <v>802</v>
      </c>
      <c r="J3015" s="564" t="s">
        <v>1069</v>
      </c>
      <c r="K3015" s="564" t="s">
        <v>1198</v>
      </c>
      <c r="L3015" s="564" t="s">
        <v>2098</v>
      </c>
      <c r="M3015" s="564" t="s">
        <v>2098</v>
      </c>
      <c r="N3015" s="564" t="s">
        <v>132</v>
      </c>
      <c r="O3015" s="564" t="s">
        <v>2099</v>
      </c>
      <c r="P3015" s="23"/>
      <c r="Q3015" s="23"/>
      <c r="R3015" s="23"/>
      <c r="S3015" s="23"/>
      <c r="T3015" s="23"/>
      <c r="U3015" s="23"/>
      <c r="V3015" s="23"/>
      <c r="W3015" s="23"/>
      <c r="X3015" s="23"/>
      <c r="Y3015" s="23"/>
      <c r="Z3015" s="23"/>
    </row>
    <row r="3016" spans="1:26" ht="13">
      <c r="A3016" s="562" t="s">
        <v>7047</v>
      </c>
      <c r="B3016" s="563" t="s">
        <v>7048</v>
      </c>
      <c r="C3016" s="564" t="s">
        <v>1612</v>
      </c>
      <c r="D3016" s="565">
        <v>42516</v>
      </c>
      <c r="E3016" s="565">
        <v>42528</v>
      </c>
      <c r="F3016" s="566">
        <v>4000000</v>
      </c>
      <c r="G3016" s="564" t="s">
        <v>1623</v>
      </c>
      <c r="H3016" s="564" t="s">
        <v>1623</v>
      </c>
      <c r="I3016" s="564" t="s">
        <v>802</v>
      </c>
      <c r="J3016" s="564" t="s">
        <v>1069</v>
      </c>
      <c r="K3016" s="564" t="s">
        <v>1198</v>
      </c>
      <c r="L3016" s="564" t="s">
        <v>2098</v>
      </c>
      <c r="M3016" s="564" t="s">
        <v>2098</v>
      </c>
      <c r="N3016" s="564" t="s">
        <v>132</v>
      </c>
      <c r="O3016" s="564" t="s">
        <v>2099</v>
      </c>
      <c r="P3016" s="23"/>
      <c r="Q3016" s="23"/>
      <c r="R3016" s="23"/>
      <c r="S3016" s="23"/>
      <c r="T3016" s="23"/>
      <c r="U3016" s="23"/>
      <c r="V3016" s="23"/>
      <c r="W3016" s="23"/>
      <c r="X3016" s="23"/>
      <c r="Y3016" s="23"/>
      <c r="Z3016" s="23"/>
    </row>
    <row r="3017" spans="1:26" ht="13">
      <c r="A3017" s="562" t="s">
        <v>7049</v>
      </c>
      <c r="B3017" s="563" t="s">
        <v>7050</v>
      </c>
      <c r="C3017" s="564" t="s">
        <v>1204</v>
      </c>
      <c r="D3017" s="565">
        <v>42514</v>
      </c>
      <c r="E3017" s="565">
        <v>42491</v>
      </c>
      <c r="F3017" s="566">
        <v>13860</v>
      </c>
      <c r="G3017" s="564" t="s">
        <v>1424</v>
      </c>
      <c r="H3017" s="564" t="s">
        <v>1424</v>
      </c>
      <c r="I3017" s="564" t="s">
        <v>1471</v>
      </c>
      <c r="J3017" s="564" t="s">
        <v>1069</v>
      </c>
      <c r="K3017" s="564" t="s">
        <v>1070</v>
      </c>
      <c r="L3017" s="564" t="s">
        <v>1071</v>
      </c>
      <c r="M3017" s="564" t="s">
        <v>1183</v>
      </c>
      <c r="N3017" s="564" t="s">
        <v>1082</v>
      </c>
      <c r="O3017" s="564" t="s">
        <v>1472</v>
      </c>
      <c r="P3017" s="23"/>
      <c r="Q3017" s="23"/>
      <c r="R3017" s="23"/>
      <c r="S3017" s="23"/>
      <c r="T3017" s="23"/>
      <c r="U3017" s="23"/>
      <c r="V3017" s="23"/>
      <c r="W3017" s="23"/>
      <c r="X3017" s="23"/>
      <c r="Y3017" s="23"/>
      <c r="Z3017" s="23"/>
    </row>
    <row r="3018" spans="1:26" ht="13">
      <c r="A3018" s="562" t="s">
        <v>7051</v>
      </c>
      <c r="B3018" s="563" t="s">
        <v>5718</v>
      </c>
      <c r="C3018" s="564" t="s">
        <v>1612</v>
      </c>
      <c r="D3018" s="565">
        <v>42513</v>
      </c>
      <c r="E3018" s="565">
        <v>42538</v>
      </c>
      <c r="F3018" s="566">
        <v>1180</v>
      </c>
      <c r="G3018" s="564" t="s">
        <v>1424</v>
      </c>
      <c r="H3018" s="564" t="s">
        <v>1424</v>
      </c>
      <c r="I3018" s="564" t="s">
        <v>45</v>
      </c>
      <c r="J3018" s="564" t="s">
        <v>1069</v>
      </c>
      <c r="K3018" s="564" t="s">
        <v>1090</v>
      </c>
      <c r="L3018" s="564" t="s">
        <v>2098</v>
      </c>
      <c r="M3018" s="564" t="s">
        <v>2098</v>
      </c>
      <c r="N3018" s="564" t="s">
        <v>45</v>
      </c>
      <c r="O3018" s="564" t="s">
        <v>2099</v>
      </c>
      <c r="P3018" s="23"/>
      <c r="Q3018" s="23"/>
      <c r="R3018" s="23"/>
      <c r="S3018" s="23"/>
      <c r="T3018" s="23"/>
      <c r="U3018" s="23"/>
      <c r="V3018" s="23"/>
      <c r="W3018" s="23"/>
      <c r="X3018" s="23"/>
      <c r="Y3018" s="23"/>
      <c r="Z3018" s="23"/>
    </row>
    <row r="3019" spans="1:26" ht="13">
      <c r="A3019" s="562" t="s">
        <v>7052</v>
      </c>
      <c r="B3019" s="563" t="s">
        <v>6544</v>
      </c>
      <c r="C3019" s="564" t="s">
        <v>1612</v>
      </c>
      <c r="D3019" s="565">
        <v>42514</v>
      </c>
      <c r="E3019" s="565">
        <v>42538</v>
      </c>
      <c r="F3019" s="566">
        <v>5100</v>
      </c>
      <c r="G3019" s="564" t="s">
        <v>1424</v>
      </c>
      <c r="H3019" s="564" t="s">
        <v>1424</v>
      </c>
      <c r="I3019" s="564" t="s">
        <v>45</v>
      </c>
      <c r="J3019" s="564" t="s">
        <v>1069</v>
      </c>
      <c r="K3019" s="564" t="s">
        <v>1090</v>
      </c>
      <c r="L3019" s="564" t="s">
        <v>2098</v>
      </c>
      <c r="M3019" s="564" t="s">
        <v>2098</v>
      </c>
      <c r="N3019" s="564" t="s">
        <v>45</v>
      </c>
      <c r="O3019" s="564" t="s">
        <v>2099</v>
      </c>
      <c r="P3019" s="23"/>
      <c r="Q3019" s="23"/>
      <c r="R3019" s="23"/>
      <c r="S3019" s="23"/>
      <c r="T3019" s="23"/>
      <c r="U3019" s="23"/>
      <c r="V3019" s="23"/>
      <c r="W3019" s="23"/>
      <c r="X3019" s="23"/>
      <c r="Y3019" s="23"/>
      <c r="Z3019" s="23"/>
    </row>
    <row r="3020" spans="1:26" ht="13">
      <c r="A3020" s="562" t="s">
        <v>7053</v>
      </c>
      <c r="B3020" s="563" t="s">
        <v>7054</v>
      </c>
      <c r="C3020" s="564" t="s">
        <v>1612</v>
      </c>
      <c r="D3020" s="565">
        <v>42508</v>
      </c>
      <c r="E3020" s="565">
        <v>42491</v>
      </c>
      <c r="F3020" s="566">
        <v>2752200</v>
      </c>
      <c r="G3020" s="564" t="s">
        <v>1424</v>
      </c>
      <c r="H3020" s="564" t="s">
        <v>1424</v>
      </c>
      <c r="I3020" s="564" t="s">
        <v>45</v>
      </c>
      <c r="J3020" s="564" t="s">
        <v>1069</v>
      </c>
      <c r="K3020" s="564" t="s">
        <v>1090</v>
      </c>
      <c r="L3020" s="564" t="s">
        <v>1071</v>
      </c>
      <c r="M3020" s="564" t="s">
        <v>1183</v>
      </c>
      <c r="N3020" s="564" t="s">
        <v>45</v>
      </c>
      <c r="O3020" s="564" t="s">
        <v>2099</v>
      </c>
      <c r="P3020" s="23"/>
      <c r="Q3020" s="23"/>
      <c r="R3020" s="23"/>
      <c r="S3020" s="23"/>
      <c r="T3020" s="23"/>
      <c r="U3020" s="23"/>
      <c r="V3020" s="23"/>
      <c r="W3020" s="23"/>
      <c r="X3020" s="23"/>
      <c r="Y3020" s="23"/>
      <c r="Z3020" s="23"/>
    </row>
    <row r="3021" spans="1:26" ht="13">
      <c r="A3021" s="562" t="s">
        <v>7055</v>
      </c>
      <c r="B3021" s="563" t="s">
        <v>7056</v>
      </c>
      <c r="C3021" s="564" t="s">
        <v>2191</v>
      </c>
      <c r="D3021" s="565">
        <v>42508</v>
      </c>
      <c r="E3021" s="565">
        <v>42531</v>
      </c>
      <c r="F3021" s="566">
        <v>17144</v>
      </c>
      <c r="G3021" s="564" t="s">
        <v>1636</v>
      </c>
      <c r="H3021" s="564" t="s">
        <v>1636</v>
      </c>
      <c r="I3021" s="564" t="s">
        <v>6762</v>
      </c>
      <c r="J3021" s="564" t="s">
        <v>1069</v>
      </c>
      <c r="K3021" s="564" t="s">
        <v>1070</v>
      </c>
      <c r="L3021" s="564" t="s">
        <v>2098</v>
      </c>
      <c r="M3021" s="564" t="s">
        <v>2098</v>
      </c>
      <c r="N3021" s="564" t="s">
        <v>1082</v>
      </c>
      <c r="O3021" s="564" t="s">
        <v>2099</v>
      </c>
      <c r="P3021" s="23"/>
      <c r="Q3021" s="23"/>
      <c r="R3021" s="23"/>
      <c r="S3021" s="23"/>
      <c r="T3021" s="23"/>
      <c r="U3021" s="23"/>
      <c r="V3021" s="23"/>
      <c r="W3021" s="23"/>
      <c r="X3021" s="23"/>
      <c r="Y3021" s="23"/>
      <c r="Z3021" s="23"/>
    </row>
    <row r="3022" spans="1:26" ht="13">
      <c r="A3022" s="562" t="s">
        <v>7057</v>
      </c>
      <c r="B3022" s="563" t="s">
        <v>5204</v>
      </c>
      <c r="C3022" s="564" t="s">
        <v>1612</v>
      </c>
      <c r="D3022" s="565">
        <v>42508</v>
      </c>
      <c r="E3022" s="565">
        <v>42538</v>
      </c>
      <c r="F3022" s="566">
        <v>480000</v>
      </c>
      <c r="G3022" s="564" t="s">
        <v>1424</v>
      </c>
      <c r="H3022" s="564" t="s">
        <v>1424</v>
      </c>
      <c r="I3022" s="564" t="s">
        <v>1247</v>
      </c>
      <c r="J3022" s="564" t="s">
        <v>1069</v>
      </c>
      <c r="K3022" s="564" t="s">
        <v>1070</v>
      </c>
      <c r="L3022" s="564" t="s">
        <v>2098</v>
      </c>
      <c r="M3022" s="564" t="s">
        <v>2098</v>
      </c>
      <c r="N3022" s="564" t="s">
        <v>1073</v>
      </c>
      <c r="O3022" s="564" t="s">
        <v>2099</v>
      </c>
      <c r="P3022" s="23"/>
      <c r="Q3022" s="23"/>
      <c r="R3022" s="23"/>
      <c r="S3022" s="23"/>
      <c r="T3022" s="23"/>
      <c r="U3022" s="23"/>
      <c r="V3022" s="23"/>
      <c r="W3022" s="23"/>
      <c r="X3022" s="23"/>
      <c r="Y3022" s="23"/>
      <c r="Z3022" s="23"/>
    </row>
    <row r="3023" spans="1:26" ht="13">
      <c r="A3023" s="562" t="s">
        <v>7058</v>
      </c>
      <c r="B3023" s="563" t="s">
        <v>7059</v>
      </c>
      <c r="C3023" s="564" t="s">
        <v>1612</v>
      </c>
      <c r="D3023" s="565">
        <v>42506</v>
      </c>
      <c r="E3023" s="565">
        <v>42517</v>
      </c>
      <c r="F3023" s="566">
        <v>16954545</v>
      </c>
      <c r="G3023" s="564" t="s">
        <v>1623</v>
      </c>
      <c r="H3023" s="564" t="s">
        <v>1623</v>
      </c>
      <c r="I3023" s="564" t="s">
        <v>802</v>
      </c>
      <c r="J3023" s="564" t="s">
        <v>1069</v>
      </c>
      <c r="K3023" s="564" t="s">
        <v>1198</v>
      </c>
      <c r="L3023" s="564" t="s">
        <v>2098</v>
      </c>
      <c r="M3023" s="564" t="s">
        <v>2098</v>
      </c>
      <c r="N3023" s="564" t="s">
        <v>132</v>
      </c>
      <c r="O3023" s="564" t="s">
        <v>2099</v>
      </c>
      <c r="P3023" s="23"/>
      <c r="Q3023" s="23"/>
      <c r="R3023" s="23"/>
      <c r="S3023" s="23"/>
      <c r="T3023" s="23"/>
      <c r="U3023" s="23"/>
      <c r="V3023" s="23"/>
      <c r="W3023" s="23"/>
      <c r="X3023" s="23"/>
      <c r="Y3023" s="23"/>
      <c r="Z3023" s="23"/>
    </row>
    <row r="3024" spans="1:26" ht="13">
      <c r="A3024" s="562" t="s">
        <v>7060</v>
      </c>
      <c r="B3024" s="563" t="s">
        <v>7061</v>
      </c>
      <c r="C3024" s="564" t="s">
        <v>1612</v>
      </c>
      <c r="D3024" s="565">
        <v>42502</v>
      </c>
      <c r="E3024" s="565">
        <v>42500</v>
      </c>
      <c r="F3024" s="566">
        <v>1162000</v>
      </c>
      <c r="G3024" s="564" t="s">
        <v>6780</v>
      </c>
      <c r="H3024" s="564" t="s">
        <v>6780</v>
      </c>
      <c r="I3024" s="564" t="s">
        <v>45</v>
      </c>
      <c r="J3024" s="564" t="s">
        <v>1069</v>
      </c>
      <c r="K3024" s="564" t="s">
        <v>1090</v>
      </c>
      <c r="L3024" s="564" t="s">
        <v>2098</v>
      </c>
      <c r="M3024" s="564" t="s">
        <v>2098</v>
      </c>
      <c r="N3024" s="564" t="s">
        <v>45</v>
      </c>
      <c r="O3024" s="564" t="s">
        <v>2099</v>
      </c>
      <c r="P3024" s="23"/>
      <c r="Q3024" s="23"/>
      <c r="R3024" s="23"/>
      <c r="S3024" s="23"/>
      <c r="T3024" s="23"/>
      <c r="U3024" s="23"/>
      <c r="V3024" s="23"/>
      <c r="W3024" s="23"/>
      <c r="X3024" s="23"/>
      <c r="Y3024" s="23"/>
      <c r="Z3024" s="23"/>
    </row>
    <row r="3025" spans="1:26" ht="13">
      <c r="A3025" s="562" t="s">
        <v>7062</v>
      </c>
      <c r="B3025" s="563" t="s">
        <v>6538</v>
      </c>
      <c r="C3025" s="564" t="s">
        <v>1612</v>
      </c>
      <c r="D3025" s="565">
        <v>42502</v>
      </c>
      <c r="E3025" s="565">
        <v>42531</v>
      </c>
      <c r="F3025" s="566">
        <v>150700</v>
      </c>
      <c r="G3025" s="564" t="s">
        <v>1424</v>
      </c>
      <c r="H3025" s="564" t="s">
        <v>1424</v>
      </c>
      <c r="I3025" s="564" t="s">
        <v>1161</v>
      </c>
      <c r="J3025" s="564" t="s">
        <v>1069</v>
      </c>
      <c r="K3025" s="564" t="s">
        <v>1090</v>
      </c>
      <c r="L3025" s="564" t="s">
        <v>2098</v>
      </c>
      <c r="M3025" s="564" t="s">
        <v>2098</v>
      </c>
      <c r="N3025" s="564" t="s">
        <v>1073</v>
      </c>
      <c r="O3025" s="564" t="s">
        <v>2099</v>
      </c>
      <c r="P3025" s="23"/>
      <c r="Q3025" s="23"/>
      <c r="R3025" s="23"/>
      <c r="S3025" s="23"/>
      <c r="T3025" s="23"/>
      <c r="U3025" s="23"/>
      <c r="V3025" s="23"/>
      <c r="W3025" s="23"/>
      <c r="X3025" s="23"/>
      <c r="Y3025" s="23"/>
      <c r="Z3025" s="23"/>
    </row>
    <row r="3026" spans="1:26" ht="13">
      <c r="A3026" s="562" t="s">
        <v>7063</v>
      </c>
      <c r="B3026" s="563" t="s">
        <v>7064</v>
      </c>
      <c r="C3026" s="564" t="s">
        <v>1612</v>
      </c>
      <c r="D3026" s="565">
        <v>42501</v>
      </c>
      <c r="E3026" s="565">
        <v>42521</v>
      </c>
      <c r="F3026" s="566">
        <v>43620</v>
      </c>
      <c r="G3026" s="564" t="s">
        <v>1424</v>
      </c>
      <c r="H3026" s="564" t="s">
        <v>1424</v>
      </c>
      <c r="I3026" s="564" t="s">
        <v>64</v>
      </c>
      <c r="J3026" s="564" t="s">
        <v>1069</v>
      </c>
      <c r="K3026" s="564" t="s">
        <v>1090</v>
      </c>
      <c r="L3026" s="564" t="s">
        <v>2098</v>
      </c>
      <c r="M3026" s="564" t="s">
        <v>2098</v>
      </c>
      <c r="N3026" s="564" t="s">
        <v>64</v>
      </c>
      <c r="O3026" s="564" t="s">
        <v>2099</v>
      </c>
      <c r="P3026" s="23"/>
      <c r="Q3026" s="23"/>
      <c r="R3026" s="23"/>
      <c r="S3026" s="23"/>
      <c r="T3026" s="23"/>
      <c r="U3026" s="23"/>
      <c r="V3026" s="23"/>
      <c r="W3026" s="23"/>
      <c r="X3026" s="23"/>
      <c r="Y3026" s="23"/>
      <c r="Z3026" s="23"/>
    </row>
    <row r="3027" spans="1:26" ht="13">
      <c r="A3027" s="562" t="s">
        <v>7065</v>
      </c>
      <c r="B3027" s="563" t="s">
        <v>5718</v>
      </c>
      <c r="C3027" s="564" t="s">
        <v>1612</v>
      </c>
      <c r="D3027" s="565">
        <v>42501</v>
      </c>
      <c r="E3027" s="565">
        <v>42531</v>
      </c>
      <c r="F3027" s="566">
        <v>1180</v>
      </c>
      <c r="G3027" s="564" t="s">
        <v>1424</v>
      </c>
      <c r="H3027" s="564" t="s">
        <v>1424</v>
      </c>
      <c r="I3027" s="564" t="s">
        <v>45</v>
      </c>
      <c r="J3027" s="564" t="s">
        <v>1069</v>
      </c>
      <c r="K3027" s="564" t="s">
        <v>1090</v>
      </c>
      <c r="L3027" s="564" t="s">
        <v>2098</v>
      </c>
      <c r="M3027" s="564" t="s">
        <v>2098</v>
      </c>
      <c r="N3027" s="564" t="s">
        <v>45</v>
      </c>
      <c r="O3027" s="564" t="s">
        <v>2099</v>
      </c>
      <c r="P3027" s="23"/>
      <c r="Q3027" s="23"/>
      <c r="R3027" s="23"/>
      <c r="S3027" s="23"/>
      <c r="T3027" s="23"/>
      <c r="U3027" s="23"/>
      <c r="V3027" s="23"/>
      <c r="W3027" s="23"/>
      <c r="X3027" s="23"/>
      <c r="Y3027" s="23"/>
      <c r="Z3027" s="23"/>
    </row>
    <row r="3028" spans="1:26" ht="13">
      <c r="A3028" s="562" t="s">
        <v>7066</v>
      </c>
      <c r="B3028" s="563" t="s">
        <v>5884</v>
      </c>
      <c r="C3028" s="564" t="s">
        <v>1612</v>
      </c>
      <c r="D3028" s="565">
        <v>42499</v>
      </c>
      <c r="E3028" s="565">
        <v>42494</v>
      </c>
      <c r="F3028" s="566">
        <v>441000</v>
      </c>
      <c r="G3028" s="564" t="s">
        <v>1424</v>
      </c>
      <c r="H3028" s="564" t="s">
        <v>1424</v>
      </c>
      <c r="I3028" s="564" t="s">
        <v>1586</v>
      </c>
      <c r="J3028" s="564" t="s">
        <v>1069</v>
      </c>
      <c r="K3028" s="564" t="s">
        <v>1090</v>
      </c>
      <c r="L3028" s="564" t="s">
        <v>2098</v>
      </c>
      <c r="M3028" s="564" t="s">
        <v>2098</v>
      </c>
      <c r="N3028" s="564" t="s">
        <v>1073</v>
      </c>
      <c r="O3028" s="564" t="s">
        <v>2099</v>
      </c>
      <c r="P3028" s="23"/>
      <c r="Q3028" s="23"/>
      <c r="R3028" s="23"/>
      <c r="S3028" s="23"/>
      <c r="T3028" s="23"/>
      <c r="U3028" s="23"/>
      <c r="V3028" s="23"/>
      <c r="W3028" s="23"/>
      <c r="X3028" s="23"/>
      <c r="Y3028" s="23"/>
      <c r="Z3028" s="23"/>
    </row>
    <row r="3029" spans="1:26" ht="13">
      <c r="A3029" s="562" t="s">
        <v>7067</v>
      </c>
      <c r="B3029" s="563" t="s">
        <v>5941</v>
      </c>
      <c r="C3029" s="564" t="s">
        <v>1612</v>
      </c>
      <c r="D3029" s="565">
        <v>42492</v>
      </c>
      <c r="E3029" s="565">
        <v>42521</v>
      </c>
      <c r="F3029" s="566">
        <v>387000000</v>
      </c>
      <c r="G3029" s="564" t="s">
        <v>5465</v>
      </c>
      <c r="H3029" s="564" t="s">
        <v>5465</v>
      </c>
      <c r="I3029" s="564" t="s">
        <v>45</v>
      </c>
      <c r="J3029" s="564" t="s">
        <v>1069</v>
      </c>
      <c r="K3029" s="564" t="s">
        <v>1090</v>
      </c>
      <c r="L3029" s="564" t="s">
        <v>2098</v>
      </c>
      <c r="M3029" s="564" t="s">
        <v>2098</v>
      </c>
      <c r="N3029" s="564" t="s">
        <v>45</v>
      </c>
      <c r="O3029" s="564" t="s">
        <v>2099</v>
      </c>
      <c r="P3029" s="23"/>
      <c r="Q3029" s="23"/>
      <c r="R3029" s="23"/>
      <c r="S3029" s="23"/>
      <c r="T3029" s="23"/>
      <c r="U3029" s="23"/>
      <c r="V3029" s="23"/>
      <c r="W3029" s="23"/>
      <c r="X3029" s="23"/>
      <c r="Y3029" s="23"/>
      <c r="Z3029" s="23"/>
    </row>
    <row r="3030" spans="1:26" ht="13">
      <c r="A3030" s="562" t="s">
        <v>7068</v>
      </c>
      <c r="B3030" s="563" t="s">
        <v>7069</v>
      </c>
      <c r="C3030" s="564" t="s">
        <v>1612</v>
      </c>
      <c r="D3030" s="565">
        <v>42492</v>
      </c>
      <c r="E3030" s="565">
        <v>42660</v>
      </c>
      <c r="F3030" s="566">
        <v>20454545</v>
      </c>
      <c r="G3030" s="564" t="s">
        <v>1123</v>
      </c>
      <c r="H3030" s="564" t="s">
        <v>1123</v>
      </c>
      <c r="I3030" s="564" t="s">
        <v>802</v>
      </c>
      <c r="J3030" s="564" t="s">
        <v>1069</v>
      </c>
      <c r="K3030" s="564" t="s">
        <v>1198</v>
      </c>
      <c r="L3030" s="564" t="s">
        <v>2098</v>
      </c>
      <c r="M3030" s="564" t="s">
        <v>2098</v>
      </c>
      <c r="N3030" s="564" t="s">
        <v>132</v>
      </c>
      <c r="O3030" s="564" t="s">
        <v>2099</v>
      </c>
      <c r="P3030" s="23"/>
      <c r="Q3030" s="23"/>
      <c r="R3030" s="23"/>
      <c r="S3030" s="23"/>
      <c r="T3030" s="23"/>
      <c r="U3030" s="23"/>
      <c r="V3030" s="23"/>
      <c r="W3030" s="23"/>
      <c r="X3030" s="23"/>
      <c r="Y3030" s="23"/>
      <c r="Z3030" s="23"/>
    </row>
    <row r="3031" spans="1:26" ht="13">
      <c r="A3031" s="562" t="s">
        <v>7070</v>
      </c>
      <c r="B3031" s="563" t="s">
        <v>7071</v>
      </c>
      <c r="C3031" s="564" t="s">
        <v>1612</v>
      </c>
      <c r="D3031" s="565">
        <v>42492</v>
      </c>
      <c r="E3031" s="565">
        <v>42521</v>
      </c>
      <c r="F3031" s="566">
        <v>27000000</v>
      </c>
      <c r="G3031" s="564" t="s">
        <v>5465</v>
      </c>
      <c r="H3031" s="564" t="s">
        <v>5465</v>
      </c>
      <c r="I3031" s="564" t="s">
        <v>45</v>
      </c>
      <c r="J3031" s="564" t="s">
        <v>1069</v>
      </c>
      <c r="K3031" s="564" t="s">
        <v>1090</v>
      </c>
      <c r="L3031" s="564" t="s">
        <v>2098</v>
      </c>
      <c r="M3031" s="564" t="s">
        <v>2098</v>
      </c>
      <c r="N3031" s="564" t="s">
        <v>45</v>
      </c>
      <c r="O3031" s="564" t="s">
        <v>2099</v>
      </c>
      <c r="P3031" s="23"/>
      <c r="Q3031" s="23"/>
      <c r="R3031" s="23"/>
      <c r="S3031" s="23"/>
      <c r="T3031" s="23"/>
      <c r="U3031" s="23"/>
      <c r="V3031" s="23"/>
      <c r="W3031" s="23"/>
      <c r="X3031" s="23"/>
      <c r="Y3031" s="23"/>
      <c r="Z3031" s="23"/>
    </row>
    <row r="3032" spans="1:26" ht="13">
      <c r="A3032" s="562" t="s">
        <v>7072</v>
      </c>
      <c r="B3032" s="563" t="s">
        <v>5810</v>
      </c>
      <c r="C3032" s="564" t="s">
        <v>1612</v>
      </c>
      <c r="D3032" s="565">
        <v>42488</v>
      </c>
      <c r="E3032" s="565">
        <v>42517</v>
      </c>
      <c r="F3032" s="566">
        <v>4562</v>
      </c>
      <c r="G3032" s="564" t="s">
        <v>1424</v>
      </c>
      <c r="H3032" s="564" t="s">
        <v>1424</v>
      </c>
      <c r="I3032" s="564" t="s">
        <v>70</v>
      </c>
      <c r="J3032" s="564" t="s">
        <v>1069</v>
      </c>
      <c r="K3032" s="564" t="s">
        <v>1120</v>
      </c>
      <c r="L3032" s="564" t="s">
        <v>2098</v>
      </c>
      <c r="M3032" s="564" t="s">
        <v>2098</v>
      </c>
      <c r="N3032" s="564" t="s">
        <v>70</v>
      </c>
      <c r="O3032" s="564" t="s">
        <v>2099</v>
      </c>
      <c r="P3032" s="23"/>
      <c r="Q3032" s="23"/>
      <c r="R3032" s="23"/>
      <c r="S3032" s="23"/>
      <c r="T3032" s="23"/>
      <c r="U3032" s="23"/>
      <c r="V3032" s="23"/>
      <c r="W3032" s="23"/>
      <c r="X3032" s="23"/>
      <c r="Y3032" s="23"/>
      <c r="Z3032" s="23"/>
    </row>
    <row r="3033" spans="1:26" ht="13">
      <c r="A3033" s="562" t="s">
        <v>7073</v>
      </c>
      <c r="B3033" s="563" t="s">
        <v>5974</v>
      </c>
      <c r="C3033" s="564" t="s">
        <v>1612</v>
      </c>
      <c r="D3033" s="565">
        <v>42486</v>
      </c>
      <c r="E3033" s="565">
        <v>42515</v>
      </c>
      <c r="F3033" s="566">
        <v>1980</v>
      </c>
      <c r="G3033" s="564" t="s">
        <v>1424</v>
      </c>
      <c r="H3033" s="564" t="s">
        <v>1424</v>
      </c>
      <c r="I3033" s="564" t="s">
        <v>45</v>
      </c>
      <c r="J3033" s="564" t="s">
        <v>1069</v>
      </c>
      <c r="K3033" s="564" t="s">
        <v>1090</v>
      </c>
      <c r="L3033" s="564" t="s">
        <v>2098</v>
      </c>
      <c r="M3033" s="564" t="s">
        <v>2098</v>
      </c>
      <c r="N3033" s="564" t="s">
        <v>45</v>
      </c>
      <c r="O3033" s="564" t="s">
        <v>2099</v>
      </c>
      <c r="P3033" s="23"/>
      <c r="Q3033" s="23"/>
      <c r="R3033" s="23"/>
      <c r="S3033" s="23"/>
      <c r="T3033" s="23"/>
      <c r="U3033" s="23"/>
      <c r="V3033" s="23"/>
      <c r="W3033" s="23"/>
      <c r="X3033" s="23"/>
      <c r="Y3033" s="23"/>
      <c r="Z3033" s="23"/>
    </row>
    <row r="3034" spans="1:26" ht="13">
      <c r="A3034" s="562" t="s">
        <v>7074</v>
      </c>
      <c r="B3034" s="563" t="s">
        <v>7075</v>
      </c>
      <c r="C3034" s="564" t="s">
        <v>1612</v>
      </c>
      <c r="D3034" s="565">
        <v>42486</v>
      </c>
      <c r="E3034" s="565">
        <v>42521</v>
      </c>
      <c r="F3034" s="566">
        <v>1236000</v>
      </c>
      <c r="G3034" s="564" t="s">
        <v>1123</v>
      </c>
      <c r="H3034" s="564" t="s">
        <v>1123</v>
      </c>
      <c r="I3034" s="564" t="s">
        <v>64</v>
      </c>
      <c r="J3034" s="564" t="s">
        <v>1069</v>
      </c>
      <c r="K3034" s="564" t="s">
        <v>1090</v>
      </c>
      <c r="L3034" s="564" t="s">
        <v>2098</v>
      </c>
      <c r="M3034" s="564" t="s">
        <v>2098</v>
      </c>
      <c r="N3034" s="564" t="s">
        <v>64</v>
      </c>
      <c r="O3034" s="564" t="s">
        <v>2099</v>
      </c>
      <c r="P3034" s="23"/>
      <c r="Q3034" s="23"/>
      <c r="R3034" s="23"/>
      <c r="S3034" s="23"/>
      <c r="T3034" s="23"/>
      <c r="U3034" s="23"/>
      <c r="V3034" s="23"/>
      <c r="W3034" s="23"/>
      <c r="X3034" s="23"/>
      <c r="Y3034" s="23"/>
      <c r="Z3034" s="23"/>
    </row>
    <row r="3035" spans="1:26" ht="13">
      <c r="A3035" s="562" t="s">
        <v>7076</v>
      </c>
      <c r="B3035" s="563" t="s">
        <v>6527</v>
      </c>
      <c r="C3035" s="564" t="s">
        <v>1612</v>
      </c>
      <c r="D3035" s="565">
        <v>42485</v>
      </c>
      <c r="E3035" s="565">
        <v>42517</v>
      </c>
      <c r="F3035" s="566">
        <v>32661200</v>
      </c>
      <c r="G3035" s="564" t="s">
        <v>1128</v>
      </c>
      <c r="H3035" s="564" t="s">
        <v>1128</v>
      </c>
      <c r="I3035" s="564" t="s">
        <v>45</v>
      </c>
      <c r="J3035" s="564" t="s">
        <v>1069</v>
      </c>
      <c r="K3035" s="564" t="s">
        <v>1090</v>
      </c>
      <c r="L3035" s="564" t="s">
        <v>2098</v>
      </c>
      <c r="M3035" s="564" t="s">
        <v>2098</v>
      </c>
      <c r="N3035" s="564" t="s">
        <v>45</v>
      </c>
      <c r="O3035" s="564" t="s">
        <v>2099</v>
      </c>
      <c r="P3035" s="23"/>
      <c r="Q3035" s="23"/>
      <c r="R3035" s="23"/>
      <c r="S3035" s="23"/>
      <c r="T3035" s="23"/>
      <c r="U3035" s="23"/>
      <c r="V3035" s="23"/>
      <c r="W3035" s="23"/>
      <c r="X3035" s="23"/>
      <c r="Y3035" s="23"/>
      <c r="Z3035" s="23"/>
    </row>
    <row r="3036" spans="1:26" ht="13">
      <c r="A3036" s="562" t="s">
        <v>7077</v>
      </c>
      <c r="B3036" s="563" t="s">
        <v>7078</v>
      </c>
      <c r="C3036" s="564" t="s">
        <v>1612</v>
      </c>
      <c r="D3036" s="565">
        <v>42485</v>
      </c>
      <c r="E3036" s="565">
        <v>42510</v>
      </c>
      <c r="F3036" s="566">
        <v>1144</v>
      </c>
      <c r="G3036" s="564" t="s">
        <v>1424</v>
      </c>
      <c r="H3036" s="564" t="s">
        <v>1424</v>
      </c>
      <c r="I3036" s="564" t="s">
        <v>45</v>
      </c>
      <c r="J3036" s="564" t="s">
        <v>1069</v>
      </c>
      <c r="K3036" s="564" t="s">
        <v>1090</v>
      </c>
      <c r="L3036" s="564" t="s">
        <v>2098</v>
      </c>
      <c r="M3036" s="564" t="s">
        <v>2098</v>
      </c>
      <c r="N3036" s="564" t="s">
        <v>45</v>
      </c>
      <c r="O3036" s="564" t="s">
        <v>2099</v>
      </c>
      <c r="P3036" s="23"/>
      <c r="Q3036" s="23"/>
      <c r="R3036" s="23"/>
      <c r="S3036" s="23"/>
      <c r="T3036" s="23"/>
      <c r="U3036" s="23"/>
      <c r="V3036" s="23"/>
      <c r="W3036" s="23"/>
      <c r="X3036" s="23"/>
      <c r="Y3036" s="23"/>
      <c r="Z3036" s="23"/>
    </row>
    <row r="3037" spans="1:26" ht="13">
      <c r="A3037" s="562" t="s">
        <v>7079</v>
      </c>
      <c r="B3037" s="563" t="s">
        <v>7080</v>
      </c>
      <c r="C3037" s="564" t="s">
        <v>1612</v>
      </c>
      <c r="D3037" s="565">
        <v>42479</v>
      </c>
      <c r="E3037" s="565">
        <v>42521</v>
      </c>
      <c r="F3037" s="566">
        <v>618000</v>
      </c>
      <c r="G3037" s="564" t="s">
        <v>1123</v>
      </c>
      <c r="H3037" s="564" t="s">
        <v>1123</v>
      </c>
      <c r="I3037" s="564" t="s">
        <v>64</v>
      </c>
      <c r="J3037" s="564" t="s">
        <v>1069</v>
      </c>
      <c r="K3037" s="564" t="s">
        <v>1090</v>
      </c>
      <c r="L3037" s="564" t="s">
        <v>2098</v>
      </c>
      <c r="M3037" s="564" t="s">
        <v>2098</v>
      </c>
      <c r="N3037" s="564" t="s">
        <v>64</v>
      </c>
      <c r="O3037" s="564" t="s">
        <v>2099</v>
      </c>
      <c r="P3037" s="23"/>
      <c r="Q3037" s="23"/>
      <c r="R3037" s="23"/>
      <c r="S3037" s="23"/>
      <c r="T3037" s="23"/>
      <c r="U3037" s="23"/>
      <c r="V3037" s="23"/>
      <c r="W3037" s="23"/>
      <c r="X3037" s="23"/>
      <c r="Y3037" s="23"/>
      <c r="Z3037" s="23"/>
    </row>
    <row r="3038" spans="1:26" ht="13">
      <c r="A3038" s="562" t="s">
        <v>7081</v>
      </c>
      <c r="B3038" s="563" t="s">
        <v>7082</v>
      </c>
      <c r="C3038" s="564" t="s">
        <v>1204</v>
      </c>
      <c r="D3038" s="565">
        <v>42478</v>
      </c>
      <c r="E3038" s="565">
        <v>42461</v>
      </c>
      <c r="F3038" s="566">
        <v>2405040</v>
      </c>
      <c r="G3038" s="564" t="s">
        <v>1424</v>
      </c>
      <c r="H3038" s="564" t="s">
        <v>1424</v>
      </c>
      <c r="I3038" s="564" t="s">
        <v>1471</v>
      </c>
      <c r="J3038" s="564" t="s">
        <v>1069</v>
      </c>
      <c r="K3038" s="564" t="s">
        <v>1070</v>
      </c>
      <c r="L3038" s="564" t="s">
        <v>1071</v>
      </c>
      <c r="M3038" s="564" t="s">
        <v>1183</v>
      </c>
      <c r="N3038" s="564" t="s">
        <v>1082</v>
      </c>
      <c r="O3038" s="564" t="s">
        <v>1472</v>
      </c>
      <c r="P3038" s="23"/>
      <c r="Q3038" s="23"/>
      <c r="R3038" s="23"/>
      <c r="S3038" s="23"/>
      <c r="T3038" s="23"/>
      <c r="U3038" s="23"/>
      <c r="V3038" s="23"/>
      <c r="W3038" s="23"/>
      <c r="X3038" s="23"/>
      <c r="Y3038" s="23"/>
      <c r="Z3038" s="23"/>
    </row>
    <row r="3039" spans="1:26" ht="13">
      <c r="A3039" s="562" t="s">
        <v>7083</v>
      </c>
      <c r="B3039" s="563" t="s">
        <v>7084</v>
      </c>
      <c r="C3039" s="564" t="s">
        <v>1612</v>
      </c>
      <c r="D3039" s="565">
        <v>42478</v>
      </c>
      <c r="E3039" s="565">
        <v>42461</v>
      </c>
      <c r="F3039" s="566">
        <v>1919640</v>
      </c>
      <c r="G3039" s="564" t="s">
        <v>1424</v>
      </c>
      <c r="H3039" s="564" t="s">
        <v>1424</v>
      </c>
      <c r="I3039" s="564" t="s">
        <v>1586</v>
      </c>
      <c r="J3039" s="564" t="s">
        <v>1069</v>
      </c>
      <c r="K3039" s="564" t="s">
        <v>1090</v>
      </c>
      <c r="L3039" s="564" t="s">
        <v>1071</v>
      </c>
      <c r="M3039" s="564" t="s">
        <v>1183</v>
      </c>
      <c r="N3039" s="564" t="s">
        <v>1073</v>
      </c>
      <c r="O3039" s="564" t="s">
        <v>2099</v>
      </c>
      <c r="P3039" s="23"/>
      <c r="Q3039" s="23"/>
      <c r="R3039" s="23"/>
      <c r="S3039" s="23"/>
      <c r="T3039" s="23"/>
      <c r="U3039" s="23"/>
      <c r="V3039" s="23"/>
      <c r="W3039" s="23"/>
      <c r="X3039" s="23"/>
      <c r="Y3039" s="23"/>
      <c r="Z3039" s="23"/>
    </row>
    <row r="3040" spans="1:26" ht="13">
      <c r="A3040" s="562" t="s">
        <v>7085</v>
      </c>
      <c r="B3040" s="563" t="s">
        <v>7086</v>
      </c>
      <c r="C3040" s="564" t="s">
        <v>1612</v>
      </c>
      <c r="D3040" s="565">
        <v>42478</v>
      </c>
      <c r="E3040" s="565">
        <v>42248</v>
      </c>
      <c r="F3040" s="566">
        <v>158640</v>
      </c>
      <c r="G3040" s="564" t="s">
        <v>1424</v>
      </c>
      <c r="H3040" s="564" t="s">
        <v>1424</v>
      </c>
      <c r="I3040" s="564" t="s">
        <v>146</v>
      </c>
      <c r="J3040" s="564" t="s">
        <v>1069</v>
      </c>
      <c r="K3040" s="564" t="s">
        <v>1070</v>
      </c>
      <c r="L3040" s="564" t="s">
        <v>1071</v>
      </c>
      <c r="M3040" s="564" t="s">
        <v>1183</v>
      </c>
      <c r="N3040" s="564" t="s">
        <v>1073</v>
      </c>
      <c r="O3040" s="564" t="s">
        <v>2099</v>
      </c>
      <c r="P3040" s="23"/>
      <c r="Q3040" s="23"/>
      <c r="R3040" s="23"/>
      <c r="S3040" s="23"/>
      <c r="T3040" s="23"/>
      <c r="U3040" s="23"/>
      <c r="V3040" s="23"/>
      <c r="W3040" s="23"/>
      <c r="X3040" s="23"/>
      <c r="Y3040" s="23"/>
      <c r="Z3040" s="23"/>
    </row>
    <row r="3041" spans="1:26" ht="13">
      <c r="A3041" s="562" t="s">
        <v>7087</v>
      </c>
      <c r="B3041" s="563" t="s">
        <v>7088</v>
      </c>
      <c r="C3041" s="564" t="s">
        <v>1612</v>
      </c>
      <c r="D3041" s="565">
        <v>42474</v>
      </c>
      <c r="E3041" s="565">
        <v>42461</v>
      </c>
      <c r="F3041" s="566">
        <v>665600</v>
      </c>
      <c r="G3041" s="564" t="s">
        <v>1424</v>
      </c>
      <c r="H3041" s="564" t="s">
        <v>1424</v>
      </c>
      <c r="I3041" s="564" t="s">
        <v>45</v>
      </c>
      <c r="J3041" s="564" t="s">
        <v>1069</v>
      </c>
      <c r="K3041" s="564" t="s">
        <v>1090</v>
      </c>
      <c r="L3041" s="564" t="s">
        <v>1071</v>
      </c>
      <c r="M3041" s="564" t="s">
        <v>1183</v>
      </c>
      <c r="N3041" s="564" t="s">
        <v>45</v>
      </c>
      <c r="O3041" s="564" t="s">
        <v>2099</v>
      </c>
      <c r="P3041" s="23"/>
      <c r="Q3041" s="23"/>
      <c r="R3041" s="23"/>
      <c r="S3041" s="23"/>
      <c r="T3041" s="23"/>
      <c r="U3041" s="23"/>
      <c r="V3041" s="23"/>
      <c r="W3041" s="23"/>
      <c r="X3041" s="23"/>
      <c r="Y3041" s="23"/>
      <c r="Z3041" s="23"/>
    </row>
    <row r="3042" spans="1:26" ht="13">
      <c r="A3042" s="562" t="s">
        <v>7089</v>
      </c>
      <c r="B3042" s="563" t="s">
        <v>7090</v>
      </c>
      <c r="C3042" s="564" t="s">
        <v>1612</v>
      </c>
      <c r="D3042" s="565">
        <v>42472</v>
      </c>
      <c r="E3042" s="565">
        <v>42489</v>
      </c>
      <c r="F3042" s="566">
        <v>180397000</v>
      </c>
      <c r="G3042" s="564" t="s">
        <v>5465</v>
      </c>
      <c r="H3042" s="564" t="s">
        <v>5465</v>
      </c>
      <c r="I3042" s="564" t="s">
        <v>45</v>
      </c>
      <c r="J3042" s="564" t="s">
        <v>1069</v>
      </c>
      <c r="K3042" s="564" t="s">
        <v>1090</v>
      </c>
      <c r="L3042" s="564" t="s">
        <v>2098</v>
      </c>
      <c r="M3042" s="564" t="s">
        <v>2098</v>
      </c>
      <c r="N3042" s="564" t="s">
        <v>45</v>
      </c>
      <c r="O3042" s="564" t="s">
        <v>2099</v>
      </c>
      <c r="P3042" s="23"/>
      <c r="Q3042" s="23"/>
      <c r="R3042" s="23"/>
      <c r="S3042" s="23"/>
      <c r="T3042" s="23"/>
      <c r="U3042" s="23"/>
      <c r="V3042" s="23"/>
      <c r="W3042" s="23"/>
      <c r="X3042" s="23"/>
      <c r="Y3042" s="23"/>
      <c r="Z3042" s="23"/>
    </row>
    <row r="3043" spans="1:26" ht="13">
      <c r="A3043" s="562" t="s">
        <v>7091</v>
      </c>
      <c r="B3043" s="563" t="s">
        <v>5810</v>
      </c>
      <c r="C3043" s="564" t="s">
        <v>1612</v>
      </c>
      <c r="D3043" s="565">
        <v>42468</v>
      </c>
      <c r="E3043" s="565">
        <v>42496</v>
      </c>
      <c r="F3043" s="566">
        <v>20309</v>
      </c>
      <c r="G3043" s="564" t="s">
        <v>1424</v>
      </c>
      <c r="H3043" s="564" t="s">
        <v>1424</v>
      </c>
      <c r="I3043" s="564" t="s">
        <v>70</v>
      </c>
      <c r="J3043" s="564" t="s">
        <v>1069</v>
      </c>
      <c r="K3043" s="564" t="s">
        <v>1120</v>
      </c>
      <c r="L3043" s="564" t="s">
        <v>2098</v>
      </c>
      <c r="M3043" s="564" t="s">
        <v>2098</v>
      </c>
      <c r="N3043" s="564" t="s">
        <v>70</v>
      </c>
      <c r="O3043" s="564" t="s">
        <v>2099</v>
      </c>
      <c r="P3043" s="23"/>
      <c r="Q3043" s="23"/>
      <c r="R3043" s="23"/>
      <c r="S3043" s="23"/>
      <c r="T3043" s="23"/>
      <c r="U3043" s="23"/>
      <c r="V3043" s="23"/>
      <c r="W3043" s="23"/>
      <c r="X3043" s="23"/>
      <c r="Y3043" s="23"/>
      <c r="Z3043" s="23"/>
    </row>
    <row r="3044" spans="1:26" ht="13">
      <c r="A3044" s="562" t="s">
        <v>7092</v>
      </c>
      <c r="B3044" s="563" t="s">
        <v>7093</v>
      </c>
      <c r="C3044" s="564" t="s">
        <v>1612</v>
      </c>
      <c r="D3044" s="565">
        <v>42472</v>
      </c>
      <c r="E3044" s="565">
        <v>42461</v>
      </c>
      <c r="F3044" s="566">
        <v>13166040</v>
      </c>
      <c r="G3044" s="564" t="s">
        <v>1424</v>
      </c>
      <c r="H3044" s="564" t="s">
        <v>1424</v>
      </c>
      <c r="I3044" s="564" t="s">
        <v>45</v>
      </c>
      <c r="J3044" s="564" t="s">
        <v>1069</v>
      </c>
      <c r="K3044" s="564" t="s">
        <v>1090</v>
      </c>
      <c r="L3044" s="564" t="s">
        <v>1071</v>
      </c>
      <c r="M3044" s="564" t="s">
        <v>1183</v>
      </c>
      <c r="N3044" s="564" t="s">
        <v>45</v>
      </c>
      <c r="O3044" s="564" t="s">
        <v>2099</v>
      </c>
      <c r="P3044" s="23"/>
      <c r="Q3044" s="23"/>
      <c r="R3044" s="23"/>
      <c r="S3044" s="23"/>
      <c r="T3044" s="23"/>
      <c r="U3044" s="23"/>
      <c r="V3044" s="23"/>
      <c r="W3044" s="23"/>
      <c r="X3044" s="23"/>
      <c r="Y3044" s="23"/>
      <c r="Z3044" s="23"/>
    </row>
    <row r="3045" spans="1:26" ht="13">
      <c r="A3045" s="562" t="s">
        <v>7094</v>
      </c>
      <c r="B3045" s="563" t="s">
        <v>7095</v>
      </c>
      <c r="C3045" s="564" t="s">
        <v>1612</v>
      </c>
      <c r="D3045" s="565">
        <v>42474</v>
      </c>
      <c r="E3045" s="565">
        <v>42503</v>
      </c>
      <c r="F3045" s="566">
        <v>4400</v>
      </c>
      <c r="G3045" s="564" t="s">
        <v>1424</v>
      </c>
      <c r="H3045" s="564" t="s">
        <v>1424</v>
      </c>
      <c r="I3045" s="564" t="s">
        <v>64</v>
      </c>
      <c r="J3045" s="564" t="s">
        <v>1069</v>
      </c>
      <c r="K3045" s="564" t="s">
        <v>1090</v>
      </c>
      <c r="L3045" s="564" t="s">
        <v>2098</v>
      </c>
      <c r="M3045" s="564" t="s">
        <v>2098</v>
      </c>
      <c r="N3045" s="564" t="s">
        <v>64</v>
      </c>
      <c r="O3045" s="564" t="s">
        <v>2099</v>
      </c>
      <c r="P3045" s="23"/>
      <c r="Q3045" s="23"/>
      <c r="R3045" s="23"/>
      <c r="S3045" s="23"/>
      <c r="T3045" s="23"/>
      <c r="U3045" s="23"/>
      <c r="V3045" s="23"/>
      <c r="W3045" s="23"/>
      <c r="X3045" s="23"/>
      <c r="Y3045" s="23"/>
      <c r="Z3045" s="23"/>
    </row>
    <row r="3046" spans="1:26" ht="13">
      <c r="A3046" s="562" t="s">
        <v>7096</v>
      </c>
      <c r="B3046" s="563" t="s">
        <v>7097</v>
      </c>
      <c r="C3046" s="564" t="s">
        <v>1612</v>
      </c>
      <c r="D3046" s="565">
        <v>42474</v>
      </c>
      <c r="E3046" s="565">
        <v>42461</v>
      </c>
      <c r="F3046" s="566">
        <v>550722840</v>
      </c>
      <c r="G3046" s="564" t="s">
        <v>1424</v>
      </c>
      <c r="H3046" s="564" t="s">
        <v>1424</v>
      </c>
      <c r="I3046" s="564" t="s">
        <v>45</v>
      </c>
      <c r="J3046" s="564" t="s">
        <v>1069</v>
      </c>
      <c r="K3046" s="564" t="s">
        <v>1090</v>
      </c>
      <c r="L3046" s="564" t="s">
        <v>1071</v>
      </c>
      <c r="M3046" s="564" t="s">
        <v>1183</v>
      </c>
      <c r="N3046" s="564" t="s">
        <v>45</v>
      </c>
      <c r="O3046" s="564" t="s">
        <v>2099</v>
      </c>
      <c r="P3046" s="23"/>
      <c r="Q3046" s="23"/>
      <c r="R3046" s="23"/>
      <c r="S3046" s="23"/>
      <c r="T3046" s="23"/>
      <c r="U3046" s="23"/>
      <c r="V3046" s="23"/>
      <c r="W3046" s="23"/>
      <c r="X3046" s="23"/>
      <c r="Y3046" s="23"/>
      <c r="Z3046" s="23"/>
    </row>
    <row r="3047" spans="1:26" ht="13">
      <c r="A3047" s="562" t="s">
        <v>7098</v>
      </c>
      <c r="B3047" s="563" t="s">
        <v>7099</v>
      </c>
      <c r="C3047" s="564" t="s">
        <v>1612</v>
      </c>
      <c r="D3047" s="565">
        <v>42474</v>
      </c>
      <c r="E3047" s="565">
        <v>42461</v>
      </c>
      <c r="F3047" s="566">
        <v>4474920</v>
      </c>
      <c r="G3047" s="564" t="s">
        <v>1424</v>
      </c>
      <c r="H3047" s="564" t="s">
        <v>1424</v>
      </c>
      <c r="I3047" s="564" t="s">
        <v>45</v>
      </c>
      <c r="J3047" s="564" t="s">
        <v>1069</v>
      </c>
      <c r="K3047" s="564" t="s">
        <v>1090</v>
      </c>
      <c r="L3047" s="564" t="s">
        <v>1071</v>
      </c>
      <c r="M3047" s="564" t="s">
        <v>1183</v>
      </c>
      <c r="N3047" s="564" t="s">
        <v>45</v>
      </c>
      <c r="O3047" s="564" t="s">
        <v>2099</v>
      </c>
      <c r="P3047" s="23"/>
      <c r="Q3047" s="23"/>
      <c r="R3047" s="23"/>
      <c r="S3047" s="23"/>
      <c r="T3047" s="23"/>
      <c r="U3047" s="23"/>
      <c r="V3047" s="23"/>
      <c r="W3047" s="23"/>
      <c r="X3047" s="23"/>
      <c r="Y3047" s="23"/>
      <c r="Z3047" s="23"/>
    </row>
    <row r="3048" spans="1:26" ht="13">
      <c r="A3048" s="562" t="s">
        <v>7100</v>
      </c>
      <c r="B3048" s="563" t="s">
        <v>6682</v>
      </c>
      <c r="C3048" s="564" t="s">
        <v>1612</v>
      </c>
      <c r="D3048" s="565">
        <v>42465</v>
      </c>
      <c r="E3048" s="565">
        <v>42494</v>
      </c>
      <c r="F3048" s="566">
        <v>2720</v>
      </c>
      <c r="G3048" s="564" t="s">
        <v>1424</v>
      </c>
      <c r="H3048" s="564" t="s">
        <v>1424</v>
      </c>
      <c r="I3048" s="564" t="s">
        <v>45</v>
      </c>
      <c r="J3048" s="564" t="s">
        <v>1069</v>
      </c>
      <c r="K3048" s="564" t="s">
        <v>1090</v>
      </c>
      <c r="L3048" s="564" t="s">
        <v>2098</v>
      </c>
      <c r="M3048" s="564" t="s">
        <v>2098</v>
      </c>
      <c r="N3048" s="564" t="s">
        <v>45</v>
      </c>
      <c r="O3048" s="564" t="s">
        <v>2099</v>
      </c>
      <c r="P3048" s="23"/>
      <c r="Q3048" s="23"/>
      <c r="R3048" s="23"/>
      <c r="S3048" s="23"/>
      <c r="T3048" s="23"/>
      <c r="U3048" s="23"/>
      <c r="V3048" s="23"/>
      <c r="W3048" s="23"/>
      <c r="X3048" s="23"/>
      <c r="Y3048" s="23"/>
      <c r="Z3048" s="23"/>
    </row>
    <row r="3049" spans="1:26" ht="13">
      <c r="A3049" s="562" t="s">
        <v>7101</v>
      </c>
      <c r="B3049" s="563" t="s">
        <v>5969</v>
      </c>
      <c r="C3049" s="564" t="s">
        <v>1612</v>
      </c>
      <c r="D3049" s="565">
        <v>42465</v>
      </c>
      <c r="E3049" s="565">
        <v>42489</v>
      </c>
      <c r="F3049" s="566">
        <v>57461000</v>
      </c>
      <c r="G3049" s="564" t="s">
        <v>5465</v>
      </c>
      <c r="H3049" s="564" t="s">
        <v>5465</v>
      </c>
      <c r="I3049" s="564" t="s">
        <v>45</v>
      </c>
      <c r="J3049" s="564" t="s">
        <v>1069</v>
      </c>
      <c r="K3049" s="564" t="s">
        <v>1090</v>
      </c>
      <c r="L3049" s="564" t="s">
        <v>2098</v>
      </c>
      <c r="M3049" s="564" t="s">
        <v>2098</v>
      </c>
      <c r="N3049" s="564" t="s">
        <v>45</v>
      </c>
      <c r="O3049" s="564" t="s">
        <v>2099</v>
      </c>
      <c r="P3049" s="23"/>
      <c r="Q3049" s="23"/>
      <c r="R3049" s="23"/>
      <c r="S3049" s="23"/>
      <c r="T3049" s="23"/>
      <c r="U3049" s="23"/>
      <c r="V3049" s="23"/>
      <c r="W3049" s="23"/>
      <c r="X3049" s="23"/>
      <c r="Y3049" s="23"/>
      <c r="Z3049" s="23"/>
    </row>
    <row r="3050" spans="1:26" ht="13">
      <c r="A3050" s="562" t="s">
        <v>7102</v>
      </c>
      <c r="B3050" s="563" t="s">
        <v>6571</v>
      </c>
      <c r="C3050" s="564" t="s">
        <v>1612</v>
      </c>
      <c r="D3050" s="565">
        <v>42466</v>
      </c>
      <c r="E3050" s="565">
        <v>42489</v>
      </c>
      <c r="F3050" s="566">
        <v>1900000</v>
      </c>
      <c r="G3050" s="564" t="s">
        <v>5465</v>
      </c>
      <c r="H3050" s="564" t="s">
        <v>5465</v>
      </c>
      <c r="I3050" s="564" t="s">
        <v>45</v>
      </c>
      <c r="J3050" s="564" t="s">
        <v>1069</v>
      </c>
      <c r="K3050" s="564" t="s">
        <v>1090</v>
      </c>
      <c r="L3050" s="564" t="s">
        <v>2098</v>
      </c>
      <c r="M3050" s="564" t="s">
        <v>2098</v>
      </c>
      <c r="N3050" s="564" t="s">
        <v>45</v>
      </c>
      <c r="O3050" s="564" t="s">
        <v>2099</v>
      </c>
      <c r="P3050" s="23"/>
      <c r="Q3050" s="23"/>
      <c r="R3050" s="23"/>
      <c r="S3050" s="23"/>
      <c r="T3050" s="23"/>
      <c r="U3050" s="23"/>
      <c r="V3050" s="23"/>
      <c r="W3050" s="23"/>
      <c r="X3050" s="23"/>
      <c r="Y3050" s="23"/>
      <c r="Z3050" s="23"/>
    </row>
    <row r="3051" spans="1:26" ht="13">
      <c r="A3051" s="562" t="s">
        <v>7103</v>
      </c>
      <c r="B3051" s="563" t="s">
        <v>7104</v>
      </c>
      <c r="C3051" s="564" t="s">
        <v>1612</v>
      </c>
      <c r="D3051" s="565">
        <v>42467</v>
      </c>
      <c r="E3051" s="565">
        <v>42489</v>
      </c>
      <c r="F3051" s="566">
        <v>103000000</v>
      </c>
      <c r="G3051" s="564" t="s">
        <v>5465</v>
      </c>
      <c r="H3051" s="564" t="s">
        <v>5465</v>
      </c>
      <c r="I3051" s="564" t="s">
        <v>45</v>
      </c>
      <c r="J3051" s="564" t="s">
        <v>1069</v>
      </c>
      <c r="K3051" s="564" t="s">
        <v>1090</v>
      </c>
      <c r="L3051" s="564" t="s">
        <v>2098</v>
      </c>
      <c r="M3051" s="564" t="s">
        <v>2098</v>
      </c>
      <c r="N3051" s="564" t="s">
        <v>45</v>
      </c>
      <c r="O3051" s="564" t="s">
        <v>2099</v>
      </c>
      <c r="P3051" s="23"/>
      <c r="Q3051" s="23"/>
      <c r="R3051" s="23"/>
      <c r="S3051" s="23"/>
      <c r="T3051" s="23"/>
      <c r="U3051" s="23"/>
      <c r="V3051" s="23"/>
      <c r="W3051" s="23"/>
      <c r="X3051" s="23"/>
      <c r="Y3051" s="23"/>
      <c r="Z3051" s="23"/>
    </row>
    <row r="3052" spans="1:26" ht="13">
      <c r="A3052" s="562" t="s">
        <v>7105</v>
      </c>
      <c r="B3052" s="563" t="s">
        <v>7106</v>
      </c>
      <c r="C3052" s="564" t="s">
        <v>1612</v>
      </c>
      <c r="D3052" s="565">
        <v>42465</v>
      </c>
      <c r="E3052" s="565">
        <v>42482</v>
      </c>
      <c r="F3052" s="566">
        <v>23300</v>
      </c>
      <c r="G3052" s="564" t="s">
        <v>1116</v>
      </c>
      <c r="H3052" s="564" t="s">
        <v>1116</v>
      </c>
      <c r="I3052" s="564" t="s">
        <v>45</v>
      </c>
      <c r="J3052" s="564" t="s">
        <v>1069</v>
      </c>
      <c r="K3052" s="564" t="s">
        <v>1090</v>
      </c>
      <c r="L3052" s="564" t="s">
        <v>2098</v>
      </c>
      <c r="M3052" s="564" t="s">
        <v>2098</v>
      </c>
      <c r="N3052" s="564" t="s">
        <v>45</v>
      </c>
      <c r="O3052" s="564" t="s">
        <v>2099</v>
      </c>
      <c r="P3052" s="23"/>
      <c r="Q3052" s="23"/>
      <c r="R3052" s="23"/>
      <c r="S3052" s="23"/>
      <c r="T3052" s="23"/>
      <c r="U3052" s="23"/>
      <c r="V3052" s="23"/>
      <c r="W3052" s="23"/>
      <c r="X3052" s="23"/>
      <c r="Y3052" s="23"/>
      <c r="Z3052" s="23"/>
    </row>
    <row r="3053" spans="1:26" ht="13">
      <c r="A3053" s="562" t="s">
        <v>7107</v>
      </c>
      <c r="B3053" s="563" t="s">
        <v>7108</v>
      </c>
      <c r="C3053" s="564" t="s">
        <v>1612</v>
      </c>
      <c r="D3053" s="565">
        <v>42465</v>
      </c>
      <c r="E3053" s="565">
        <v>42475</v>
      </c>
      <c r="F3053" s="567">
        <v>715</v>
      </c>
      <c r="G3053" s="564" t="s">
        <v>1424</v>
      </c>
      <c r="H3053" s="564" t="s">
        <v>1424</v>
      </c>
      <c r="I3053" s="564" t="s">
        <v>6146</v>
      </c>
      <c r="J3053" s="564" t="s">
        <v>1069</v>
      </c>
      <c r="K3053" s="564" t="s">
        <v>1090</v>
      </c>
      <c r="L3053" s="564" t="s">
        <v>2098</v>
      </c>
      <c r="M3053" s="564" t="s">
        <v>2098</v>
      </c>
      <c r="N3053" s="564" t="s">
        <v>1073</v>
      </c>
      <c r="O3053" s="564" t="s">
        <v>2099</v>
      </c>
      <c r="P3053" s="23"/>
      <c r="Q3053" s="23"/>
      <c r="R3053" s="23"/>
      <c r="S3053" s="23"/>
      <c r="T3053" s="23"/>
      <c r="U3053" s="23"/>
      <c r="V3053" s="23"/>
      <c r="W3053" s="23"/>
      <c r="X3053" s="23"/>
      <c r="Y3053" s="23"/>
      <c r="Z3053" s="23"/>
    </row>
    <row r="3054" spans="1:26" ht="13">
      <c r="A3054" s="562" t="s">
        <v>7109</v>
      </c>
      <c r="B3054" s="563" t="s">
        <v>7110</v>
      </c>
      <c r="C3054" s="564" t="s">
        <v>1612</v>
      </c>
      <c r="D3054" s="565">
        <v>42461</v>
      </c>
      <c r="E3054" s="565">
        <v>42475</v>
      </c>
      <c r="F3054" s="566">
        <v>4415000</v>
      </c>
      <c r="G3054" s="564" t="s">
        <v>1623</v>
      </c>
      <c r="H3054" s="564" t="s">
        <v>1623</v>
      </c>
      <c r="I3054" s="564" t="s">
        <v>1746</v>
      </c>
      <c r="J3054" s="564" t="s">
        <v>1069</v>
      </c>
      <c r="K3054" s="564" t="s">
        <v>1198</v>
      </c>
      <c r="L3054" s="564" t="s">
        <v>2098</v>
      </c>
      <c r="M3054" s="564" t="s">
        <v>2098</v>
      </c>
      <c r="N3054" s="564" t="s">
        <v>1073</v>
      </c>
      <c r="O3054" s="564" t="s">
        <v>2099</v>
      </c>
      <c r="P3054" s="23"/>
      <c r="Q3054" s="23"/>
      <c r="R3054" s="23"/>
      <c r="S3054" s="23"/>
      <c r="T3054" s="23"/>
      <c r="U3054" s="23"/>
      <c r="V3054" s="23"/>
      <c r="W3054" s="23"/>
      <c r="X3054" s="23"/>
      <c r="Y3054" s="23"/>
      <c r="Z3054" s="23"/>
    </row>
    <row r="3055" spans="1:26" ht="13">
      <c r="A3055" s="562" t="s">
        <v>7111</v>
      </c>
      <c r="B3055" s="563" t="s">
        <v>7112</v>
      </c>
      <c r="C3055" s="564" t="s">
        <v>1612</v>
      </c>
      <c r="D3055" s="565">
        <v>42464</v>
      </c>
      <c r="E3055" s="565">
        <v>42476</v>
      </c>
      <c r="F3055" s="566">
        <v>8000000</v>
      </c>
      <c r="G3055" s="564" t="s">
        <v>1123</v>
      </c>
      <c r="H3055" s="564" t="s">
        <v>1123</v>
      </c>
      <c r="I3055" s="564" t="s">
        <v>1781</v>
      </c>
      <c r="J3055" s="564" t="s">
        <v>1069</v>
      </c>
      <c r="K3055" s="564" t="s">
        <v>1070</v>
      </c>
      <c r="L3055" s="564" t="s">
        <v>2098</v>
      </c>
      <c r="M3055" s="564" t="s">
        <v>2098</v>
      </c>
      <c r="N3055" s="564" t="s">
        <v>1073</v>
      </c>
      <c r="O3055" s="564" t="s">
        <v>2099</v>
      </c>
      <c r="P3055" s="23"/>
      <c r="Q3055" s="23"/>
      <c r="R3055" s="23"/>
      <c r="S3055" s="23"/>
      <c r="T3055" s="23"/>
      <c r="U3055" s="23"/>
      <c r="V3055" s="23"/>
      <c r="W3055" s="23"/>
      <c r="X3055" s="23"/>
      <c r="Y3055" s="23"/>
      <c r="Z3055" s="23"/>
    </row>
    <row r="3056" spans="1:26" ht="13">
      <c r="A3056" s="562" t="s">
        <v>7113</v>
      </c>
      <c r="B3056" s="563" t="s">
        <v>7114</v>
      </c>
      <c r="C3056" s="564" t="s">
        <v>1612</v>
      </c>
      <c r="D3056" s="565">
        <v>42459</v>
      </c>
      <c r="E3056" s="565">
        <v>42490</v>
      </c>
      <c r="F3056" s="566">
        <v>618000</v>
      </c>
      <c r="G3056" s="564" t="s">
        <v>1123</v>
      </c>
      <c r="H3056" s="564" t="s">
        <v>1123</v>
      </c>
      <c r="I3056" s="564" t="s">
        <v>64</v>
      </c>
      <c r="J3056" s="564" t="s">
        <v>1069</v>
      </c>
      <c r="K3056" s="564" t="s">
        <v>1090</v>
      </c>
      <c r="L3056" s="564" t="s">
        <v>2098</v>
      </c>
      <c r="M3056" s="564" t="s">
        <v>2098</v>
      </c>
      <c r="N3056" s="564" t="s">
        <v>64</v>
      </c>
      <c r="O3056" s="564" t="s">
        <v>2099</v>
      </c>
      <c r="P3056" s="23"/>
      <c r="Q3056" s="23"/>
      <c r="R3056" s="23"/>
      <c r="S3056" s="23"/>
      <c r="T3056" s="23"/>
      <c r="U3056" s="23"/>
      <c r="V3056" s="23"/>
      <c r="W3056" s="23"/>
      <c r="X3056" s="23"/>
      <c r="Y3056" s="23"/>
      <c r="Z3056" s="23"/>
    </row>
    <row r="3057" spans="1:26" ht="13">
      <c r="A3057" s="562" t="s">
        <v>7115</v>
      </c>
      <c r="B3057" s="563" t="s">
        <v>7116</v>
      </c>
      <c r="C3057" s="564" t="s">
        <v>1612</v>
      </c>
      <c r="D3057" s="565">
        <v>42459</v>
      </c>
      <c r="E3057" s="565">
        <v>42490</v>
      </c>
      <c r="F3057" s="566">
        <v>4199</v>
      </c>
      <c r="G3057" s="564" t="s">
        <v>1424</v>
      </c>
      <c r="H3057" s="564" t="s">
        <v>1424</v>
      </c>
      <c r="I3057" s="564" t="s">
        <v>1514</v>
      </c>
      <c r="J3057" s="564" t="s">
        <v>1069</v>
      </c>
      <c r="K3057" s="564" t="s">
        <v>1090</v>
      </c>
      <c r="L3057" s="564" t="s">
        <v>2098</v>
      </c>
      <c r="M3057" s="564" t="s">
        <v>2098</v>
      </c>
      <c r="N3057" s="564" t="s">
        <v>1073</v>
      </c>
      <c r="O3057" s="564" t="s">
        <v>2099</v>
      </c>
      <c r="P3057" s="23"/>
      <c r="Q3057" s="23"/>
      <c r="R3057" s="23"/>
      <c r="S3057" s="23"/>
      <c r="T3057" s="23"/>
      <c r="U3057" s="23"/>
      <c r="V3057" s="23"/>
      <c r="W3057" s="23"/>
      <c r="X3057" s="23"/>
      <c r="Y3057" s="23"/>
      <c r="Z3057" s="23"/>
    </row>
    <row r="3058" spans="1:26" ht="13">
      <c r="A3058" s="562" t="s">
        <v>7117</v>
      </c>
      <c r="B3058" s="563" t="s">
        <v>7118</v>
      </c>
      <c r="C3058" s="564" t="s">
        <v>1612</v>
      </c>
      <c r="D3058" s="565">
        <v>42457</v>
      </c>
      <c r="E3058" s="565">
        <v>42467</v>
      </c>
      <c r="F3058" s="566">
        <v>7650000</v>
      </c>
      <c r="G3058" s="564" t="s">
        <v>1128</v>
      </c>
      <c r="H3058" s="564" t="s">
        <v>1128</v>
      </c>
      <c r="I3058" s="564" t="s">
        <v>257</v>
      </c>
      <c r="J3058" s="564" t="s">
        <v>1069</v>
      </c>
      <c r="K3058" s="564" t="s">
        <v>1209</v>
      </c>
      <c r="L3058" s="564" t="s">
        <v>2098</v>
      </c>
      <c r="M3058" s="564" t="s">
        <v>2098</v>
      </c>
      <c r="N3058" s="564" t="s">
        <v>257</v>
      </c>
      <c r="O3058" s="564" t="s">
        <v>2099</v>
      </c>
      <c r="P3058" s="23"/>
      <c r="Q3058" s="23"/>
      <c r="R3058" s="23"/>
      <c r="S3058" s="23"/>
      <c r="T3058" s="23"/>
      <c r="U3058" s="23"/>
      <c r="V3058" s="23"/>
      <c r="W3058" s="23"/>
      <c r="X3058" s="23"/>
      <c r="Y3058" s="23"/>
      <c r="Z3058" s="23"/>
    </row>
    <row r="3059" spans="1:26" ht="13">
      <c r="A3059" s="562" t="s">
        <v>7119</v>
      </c>
      <c r="B3059" s="563" t="s">
        <v>7120</v>
      </c>
      <c r="C3059" s="564" t="s">
        <v>1612</v>
      </c>
      <c r="D3059" s="565">
        <v>42458</v>
      </c>
      <c r="E3059" s="565">
        <v>42468</v>
      </c>
      <c r="F3059" s="566">
        <v>4850000</v>
      </c>
      <c r="G3059" s="564" t="s">
        <v>1187</v>
      </c>
      <c r="H3059" s="564" t="s">
        <v>1187</v>
      </c>
      <c r="I3059" s="564" t="s">
        <v>70</v>
      </c>
      <c r="J3059" s="564" t="s">
        <v>1069</v>
      </c>
      <c r="K3059" s="564" t="s">
        <v>1120</v>
      </c>
      <c r="L3059" s="564" t="s">
        <v>2098</v>
      </c>
      <c r="M3059" s="564" t="s">
        <v>2098</v>
      </c>
      <c r="N3059" s="564" t="s">
        <v>70</v>
      </c>
      <c r="O3059" s="564" t="s">
        <v>2099</v>
      </c>
      <c r="P3059" s="23"/>
      <c r="Q3059" s="23"/>
      <c r="R3059" s="23"/>
      <c r="S3059" s="23"/>
      <c r="T3059" s="23"/>
      <c r="U3059" s="23"/>
      <c r="V3059" s="23"/>
      <c r="W3059" s="23"/>
      <c r="X3059" s="23"/>
      <c r="Y3059" s="23"/>
      <c r="Z3059" s="23"/>
    </row>
    <row r="3060" spans="1:26" ht="13">
      <c r="A3060" s="562" t="s">
        <v>7121</v>
      </c>
      <c r="B3060" s="563" t="s">
        <v>5810</v>
      </c>
      <c r="C3060" s="564" t="s">
        <v>1612</v>
      </c>
      <c r="D3060" s="565">
        <v>42453</v>
      </c>
      <c r="E3060" s="565">
        <v>42482</v>
      </c>
      <c r="F3060" s="566">
        <v>2943</v>
      </c>
      <c r="G3060" s="564" t="s">
        <v>1424</v>
      </c>
      <c r="H3060" s="564" t="s">
        <v>1424</v>
      </c>
      <c r="I3060" s="564" t="s">
        <v>70</v>
      </c>
      <c r="J3060" s="564" t="s">
        <v>1069</v>
      </c>
      <c r="K3060" s="564" t="s">
        <v>1120</v>
      </c>
      <c r="L3060" s="564" t="s">
        <v>2098</v>
      </c>
      <c r="M3060" s="564" t="s">
        <v>2098</v>
      </c>
      <c r="N3060" s="564" t="s">
        <v>70</v>
      </c>
      <c r="O3060" s="564" t="s">
        <v>2099</v>
      </c>
      <c r="P3060" s="23"/>
      <c r="Q3060" s="23"/>
      <c r="R3060" s="23"/>
      <c r="S3060" s="23"/>
      <c r="T3060" s="23"/>
      <c r="U3060" s="23"/>
      <c r="V3060" s="23"/>
      <c r="W3060" s="23"/>
      <c r="X3060" s="23"/>
      <c r="Y3060" s="23"/>
      <c r="Z3060" s="23"/>
    </row>
    <row r="3061" spans="1:26" ht="13">
      <c r="A3061" s="562" t="s">
        <v>7122</v>
      </c>
      <c r="B3061" s="563" t="s">
        <v>7123</v>
      </c>
      <c r="C3061" s="564" t="s">
        <v>1204</v>
      </c>
      <c r="D3061" s="565">
        <v>42453</v>
      </c>
      <c r="E3061" s="565">
        <v>42430</v>
      </c>
      <c r="F3061" s="566">
        <v>1260</v>
      </c>
      <c r="G3061" s="564" t="s">
        <v>1424</v>
      </c>
      <c r="H3061" s="564" t="s">
        <v>1424</v>
      </c>
      <c r="I3061" s="564" t="s">
        <v>1471</v>
      </c>
      <c r="J3061" s="564" t="s">
        <v>1069</v>
      </c>
      <c r="K3061" s="564" t="s">
        <v>1070</v>
      </c>
      <c r="L3061" s="564" t="s">
        <v>1071</v>
      </c>
      <c r="M3061" s="564" t="s">
        <v>1183</v>
      </c>
      <c r="N3061" s="564" t="s">
        <v>1082</v>
      </c>
      <c r="O3061" s="564" t="s">
        <v>1472</v>
      </c>
      <c r="P3061" s="23"/>
      <c r="Q3061" s="23"/>
      <c r="R3061" s="23"/>
      <c r="S3061" s="23"/>
      <c r="T3061" s="23"/>
      <c r="U3061" s="23"/>
      <c r="V3061" s="23"/>
      <c r="W3061" s="23"/>
      <c r="X3061" s="23"/>
      <c r="Y3061" s="23"/>
      <c r="Z3061" s="23"/>
    </row>
    <row r="3062" spans="1:26" ht="13">
      <c r="A3062" s="562" t="s">
        <v>7124</v>
      </c>
      <c r="B3062" s="563" t="s">
        <v>6626</v>
      </c>
      <c r="C3062" s="564" t="s">
        <v>1612</v>
      </c>
      <c r="D3062" s="565">
        <v>42453</v>
      </c>
      <c r="E3062" s="565">
        <v>42482</v>
      </c>
      <c r="F3062" s="566">
        <v>1860</v>
      </c>
      <c r="G3062" s="564" t="s">
        <v>1424</v>
      </c>
      <c r="H3062" s="564" t="s">
        <v>1424</v>
      </c>
      <c r="I3062" s="564" t="s">
        <v>45</v>
      </c>
      <c r="J3062" s="564" t="s">
        <v>1069</v>
      </c>
      <c r="K3062" s="564" t="s">
        <v>1090</v>
      </c>
      <c r="L3062" s="564" t="s">
        <v>2098</v>
      </c>
      <c r="M3062" s="564" t="s">
        <v>2098</v>
      </c>
      <c r="N3062" s="564" t="s">
        <v>45</v>
      </c>
      <c r="O3062" s="564" t="s">
        <v>2099</v>
      </c>
      <c r="P3062" s="23"/>
      <c r="Q3062" s="23"/>
      <c r="R3062" s="23"/>
      <c r="S3062" s="23"/>
      <c r="T3062" s="23"/>
      <c r="U3062" s="23"/>
      <c r="V3062" s="23"/>
      <c r="W3062" s="23"/>
      <c r="X3062" s="23"/>
      <c r="Y3062" s="23"/>
      <c r="Z3062" s="23"/>
    </row>
    <row r="3063" spans="1:26" ht="13">
      <c r="A3063" s="562" t="s">
        <v>7125</v>
      </c>
      <c r="B3063" s="563" t="s">
        <v>5810</v>
      </c>
      <c r="C3063" s="564" t="s">
        <v>1612</v>
      </c>
      <c r="D3063" s="565">
        <v>42451</v>
      </c>
      <c r="E3063" s="565">
        <v>42482</v>
      </c>
      <c r="F3063" s="566">
        <v>2796</v>
      </c>
      <c r="G3063" s="564" t="s">
        <v>1424</v>
      </c>
      <c r="H3063" s="564" t="s">
        <v>1424</v>
      </c>
      <c r="I3063" s="564" t="s">
        <v>70</v>
      </c>
      <c r="J3063" s="564" t="s">
        <v>1069</v>
      </c>
      <c r="K3063" s="564" t="s">
        <v>1120</v>
      </c>
      <c r="L3063" s="564" t="s">
        <v>2098</v>
      </c>
      <c r="M3063" s="564" t="s">
        <v>2098</v>
      </c>
      <c r="N3063" s="564" t="s">
        <v>70</v>
      </c>
      <c r="O3063" s="564" t="s">
        <v>2099</v>
      </c>
      <c r="P3063" s="23"/>
      <c r="Q3063" s="23"/>
      <c r="R3063" s="23"/>
      <c r="S3063" s="23"/>
      <c r="T3063" s="23"/>
      <c r="U3063" s="23"/>
      <c r="V3063" s="23"/>
      <c r="W3063" s="23"/>
      <c r="X3063" s="23"/>
      <c r="Y3063" s="23"/>
      <c r="Z3063" s="23"/>
    </row>
    <row r="3064" spans="1:26" ht="13">
      <c r="A3064" s="562" t="s">
        <v>7126</v>
      </c>
      <c r="B3064" s="563" t="s">
        <v>6630</v>
      </c>
      <c r="C3064" s="564" t="s">
        <v>1612</v>
      </c>
      <c r="D3064" s="565">
        <v>42453</v>
      </c>
      <c r="E3064" s="565">
        <v>42460</v>
      </c>
      <c r="F3064" s="566">
        <v>278548000</v>
      </c>
      <c r="G3064" s="564" t="s">
        <v>5465</v>
      </c>
      <c r="H3064" s="564" t="s">
        <v>5465</v>
      </c>
      <c r="I3064" s="564" t="s">
        <v>45</v>
      </c>
      <c r="J3064" s="564" t="s">
        <v>1069</v>
      </c>
      <c r="K3064" s="564" t="s">
        <v>1090</v>
      </c>
      <c r="L3064" s="564" t="s">
        <v>2098</v>
      </c>
      <c r="M3064" s="564" t="s">
        <v>2098</v>
      </c>
      <c r="N3064" s="564" t="s">
        <v>45</v>
      </c>
      <c r="O3064" s="564" t="s">
        <v>2099</v>
      </c>
      <c r="P3064" s="23"/>
      <c r="Q3064" s="23"/>
      <c r="R3064" s="23"/>
      <c r="S3064" s="23"/>
      <c r="T3064" s="23"/>
      <c r="U3064" s="23"/>
      <c r="V3064" s="23"/>
      <c r="W3064" s="23"/>
      <c r="X3064" s="23"/>
      <c r="Y3064" s="23"/>
      <c r="Z3064" s="23"/>
    </row>
    <row r="3065" spans="1:26" ht="13">
      <c r="A3065" s="562" t="s">
        <v>7127</v>
      </c>
      <c r="B3065" s="563" t="s">
        <v>6607</v>
      </c>
      <c r="C3065" s="564" t="s">
        <v>1873</v>
      </c>
      <c r="D3065" s="565">
        <v>42447</v>
      </c>
      <c r="E3065" s="565">
        <v>42475</v>
      </c>
      <c r="F3065" s="566">
        <v>2321400</v>
      </c>
      <c r="G3065" s="564" t="s">
        <v>1424</v>
      </c>
      <c r="H3065" s="564" t="s">
        <v>1424</v>
      </c>
      <c r="I3065" s="564" t="s">
        <v>170</v>
      </c>
      <c r="J3065" s="564" t="s">
        <v>1069</v>
      </c>
      <c r="K3065" s="564" t="s">
        <v>1105</v>
      </c>
      <c r="L3065" s="564" t="s">
        <v>2098</v>
      </c>
      <c r="M3065" s="564" t="s">
        <v>2098</v>
      </c>
      <c r="N3065" s="564" t="s">
        <v>170</v>
      </c>
      <c r="O3065" s="564" t="s">
        <v>2099</v>
      </c>
      <c r="P3065" s="23"/>
      <c r="Q3065" s="23"/>
      <c r="R3065" s="23"/>
      <c r="S3065" s="23"/>
      <c r="T3065" s="23"/>
      <c r="U3065" s="23"/>
      <c r="V3065" s="23"/>
      <c r="W3065" s="23"/>
      <c r="X3065" s="23"/>
      <c r="Y3065" s="23"/>
      <c r="Z3065" s="23"/>
    </row>
    <row r="3066" spans="1:26" ht="13">
      <c r="A3066" s="562" t="s">
        <v>7128</v>
      </c>
      <c r="B3066" s="563" t="s">
        <v>5995</v>
      </c>
      <c r="C3066" s="564" t="s">
        <v>1612</v>
      </c>
      <c r="D3066" s="565">
        <v>42446</v>
      </c>
      <c r="E3066" s="565">
        <v>42475</v>
      </c>
      <c r="F3066" s="566">
        <v>2375000</v>
      </c>
      <c r="G3066" s="564" t="s">
        <v>1424</v>
      </c>
      <c r="H3066" s="564" t="s">
        <v>1424</v>
      </c>
      <c r="I3066" s="564" t="s">
        <v>225</v>
      </c>
      <c r="J3066" s="564" t="s">
        <v>1069</v>
      </c>
      <c r="K3066" s="564" t="s">
        <v>1105</v>
      </c>
      <c r="L3066" s="564" t="s">
        <v>2098</v>
      </c>
      <c r="M3066" s="564" t="s">
        <v>2098</v>
      </c>
      <c r="N3066" s="564" t="s">
        <v>225</v>
      </c>
      <c r="O3066" s="564" t="s">
        <v>2099</v>
      </c>
      <c r="P3066" s="23"/>
      <c r="Q3066" s="23"/>
      <c r="R3066" s="23"/>
      <c r="S3066" s="23"/>
      <c r="T3066" s="23"/>
      <c r="U3066" s="23"/>
      <c r="V3066" s="23"/>
      <c r="W3066" s="23"/>
      <c r="X3066" s="23"/>
      <c r="Y3066" s="23"/>
      <c r="Z3066" s="23"/>
    </row>
    <row r="3067" spans="1:26" ht="13">
      <c r="A3067" s="562" t="s">
        <v>7129</v>
      </c>
      <c r="B3067" s="563" t="s">
        <v>7130</v>
      </c>
      <c r="C3067" s="564" t="s">
        <v>1612</v>
      </c>
      <c r="D3067" s="565">
        <v>42445</v>
      </c>
      <c r="E3067" s="565">
        <v>42460</v>
      </c>
      <c r="F3067" s="566">
        <v>1505500</v>
      </c>
      <c r="G3067" s="564" t="s">
        <v>1424</v>
      </c>
      <c r="H3067" s="564" t="s">
        <v>1424</v>
      </c>
      <c r="I3067" s="564" t="s">
        <v>45</v>
      </c>
      <c r="J3067" s="564" t="s">
        <v>1069</v>
      </c>
      <c r="K3067" s="564" t="s">
        <v>1090</v>
      </c>
      <c r="L3067" s="564" t="s">
        <v>2098</v>
      </c>
      <c r="M3067" s="564" t="s">
        <v>2098</v>
      </c>
      <c r="N3067" s="564" t="s">
        <v>45</v>
      </c>
      <c r="O3067" s="564" t="s">
        <v>2099</v>
      </c>
      <c r="P3067" s="23"/>
      <c r="Q3067" s="23"/>
      <c r="R3067" s="23"/>
      <c r="S3067" s="23"/>
      <c r="T3067" s="23"/>
      <c r="U3067" s="23"/>
      <c r="V3067" s="23"/>
      <c r="W3067" s="23"/>
      <c r="X3067" s="23"/>
      <c r="Y3067" s="23"/>
      <c r="Z3067" s="23"/>
    </row>
    <row r="3068" spans="1:26" ht="13">
      <c r="A3068" s="562" t="s">
        <v>7131</v>
      </c>
      <c r="B3068" s="563" t="s">
        <v>7132</v>
      </c>
      <c r="C3068" s="564" t="s">
        <v>1612</v>
      </c>
      <c r="D3068" s="565">
        <v>42445</v>
      </c>
      <c r="E3068" s="565">
        <v>42475</v>
      </c>
      <c r="F3068" s="566">
        <v>4415</v>
      </c>
      <c r="G3068" s="564" t="s">
        <v>1424</v>
      </c>
      <c r="H3068" s="564" t="s">
        <v>1424</v>
      </c>
      <c r="I3068" s="564" t="s">
        <v>1637</v>
      </c>
      <c r="J3068" s="564" t="s">
        <v>1069</v>
      </c>
      <c r="K3068" s="564" t="s">
        <v>1120</v>
      </c>
      <c r="L3068" s="564" t="s">
        <v>2098</v>
      </c>
      <c r="M3068" s="564" t="s">
        <v>2098</v>
      </c>
      <c r="N3068" s="564" t="s">
        <v>1073</v>
      </c>
      <c r="O3068" s="564" t="s">
        <v>2099</v>
      </c>
      <c r="P3068" s="23"/>
      <c r="Q3068" s="23"/>
      <c r="R3068" s="23"/>
      <c r="S3068" s="23"/>
      <c r="T3068" s="23"/>
      <c r="U3068" s="23"/>
      <c r="V3068" s="23"/>
      <c r="W3068" s="23"/>
      <c r="X3068" s="23"/>
      <c r="Y3068" s="23"/>
      <c r="Z3068" s="23"/>
    </row>
    <row r="3069" spans="1:26" ht="13">
      <c r="A3069" s="562" t="s">
        <v>7133</v>
      </c>
      <c r="B3069" s="563" t="s">
        <v>7134</v>
      </c>
      <c r="C3069" s="564" t="s">
        <v>1612</v>
      </c>
      <c r="D3069" s="565">
        <v>42444</v>
      </c>
      <c r="E3069" s="565">
        <v>42471</v>
      </c>
      <c r="F3069" s="566">
        <v>2589</v>
      </c>
      <c r="G3069" s="564" t="s">
        <v>1424</v>
      </c>
      <c r="H3069" s="564" t="s">
        <v>1424</v>
      </c>
      <c r="I3069" s="564" t="s">
        <v>1637</v>
      </c>
      <c r="J3069" s="564" t="s">
        <v>1069</v>
      </c>
      <c r="K3069" s="564" t="s">
        <v>1120</v>
      </c>
      <c r="L3069" s="564" t="s">
        <v>2098</v>
      </c>
      <c r="M3069" s="564" t="s">
        <v>2098</v>
      </c>
      <c r="N3069" s="564" t="s">
        <v>1073</v>
      </c>
      <c r="O3069" s="564" t="s">
        <v>2099</v>
      </c>
      <c r="P3069" s="23"/>
      <c r="Q3069" s="23"/>
      <c r="R3069" s="23"/>
      <c r="S3069" s="23"/>
      <c r="T3069" s="23"/>
      <c r="U3069" s="23"/>
      <c r="V3069" s="23"/>
      <c r="W3069" s="23"/>
      <c r="X3069" s="23"/>
      <c r="Y3069" s="23"/>
      <c r="Z3069" s="23"/>
    </row>
    <row r="3070" spans="1:26" ht="13">
      <c r="A3070" s="562" t="s">
        <v>7135</v>
      </c>
      <c r="B3070" s="563" t="s">
        <v>7136</v>
      </c>
      <c r="C3070" s="564" t="s">
        <v>1612</v>
      </c>
      <c r="D3070" s="565">
        <v>42443</v>
      </c>
      <c r="E3070" s="565">
        <v>42473</v>
      </c>
      <c r="F3070" s="566">
        <v>2589</v>
      </c>
      <c r="G3070" s="564" t="s">
        <v>1424</v>
      </c>
      <c r="H3070" s="564" t="s">
        <v>1424</v>
      </c>
      <c r="I3070" s="564" t="s">
        <v>1637</v>
      </c>
      <c r="J3070" s="564" t="s">
        <v>1069</v>
      </c>
      <c r="K3070" s="564" t="s">
        <v>1120</v>
      </c>
      <c r="L3070" s="564" t="s">
        <v>2098</v>
      </c>
      <c r="M3070" s="564" t="s">
        <v>2098</v>
      </c>
      <c r="N3070" s="564" t="s">
        <v>1073</v>
      </c>
      <c r="O3070" s="564" t="s">
        <v>2099</v>
      </c>
      <c r="P3070" s="23"/>
      <c r="Q3070" s="23"/>
      <c r="R3070" s="23"/>
      <c r="S3070" s="23"/>
      <c r="T3070" s="23"/>
      <c r="U3070" s="23"/>
      <c r="V3070" s="23"/>
      <c r="W3070" s="23"/>
      <c r="X3070" s="23"/>
      <c r="Y3070" s="23"/>
      <c r="Z3070" s="23"/>
    </row>
    <row r="3071" spans="1:26" ht="13">
      <c r="A3071" s="562" t="s">
        <v>7137</v>
      </c>
      <c r="B3071" s="563" t="s">
        <v>7138</v>
      </c>
      <c r="C3071" s="564" t="s">
        <v>1612</v>
      </c>
      <c r="D3071" s="565">
        <v>42439</v>
      </c>
      <c r="E3071" s="565">
        <v>42460</v>
      </c>
      <c r="F3071" s="566">
        <v>159800</v>
      </c>
      <c r="G3071" s="564" t="s">
        <v>1116</v>
      </c>
      <c r="H3071" s="564" t="s">
        <v>1116</v>
      </c>
      <c r="I3071" s="564" t="s">
        <v>45</v>
      </c>
      <c r="J3071" s="564" t="s">
        <v>1069</v>
      </c>
      <c r="K3071" s="564" t="s">
        <v>1090</v>
      </c>
      <c r="L3071" s="564" t="s">
        <v>2098</v>
      </c>
      <c r="M3071" s="564" t="s">
        <v>2098</v>
      </c>
      <c r="N3071" s="564" t="s">
        <v>45</v>
      </c>
      <c r="O3071" s="564" t="s">
        <v>2099</v>
      </c>
      <c r="P3071" s="23"/>
      <c r="Q3071" s="23"/>
      <c r="R3071" s="23"/>
      <c r="S3071" s="23"/>
      <c r="T3071" s="23"/>
      <c r="U3071" s="23"/>
      <c r="V3071" s="23"/>
      <c r="W3071" s="23"/>
      <c r="X3071" s="23"/>
      <c r="Y3071" s="23"/>
      <c r="Z3071" s="23"/>
    </row>
    <row r="3072" spans="1:26" ht="13">
      <c r="A3072" s="562" t="s">
        <v>7139</v>
      </c>
      <c r="B3072" s="563" t="s">
        <v>5810</v>
      </c>
      <c r="C3072" s="564" t="s">
        <v>1612</v>
      </c>
      <c r="D3072" s="565">
        <v>42439</v>
      </c>
      <c r="E3072" s="565">
        <v>42468</v>
      </c>
      <c r="F3072" s="566">
        <v>1726</v>
      </c>
      <c r="G3072" s="564" t="s">
        <v>1424</v>
      </c>
      <c r="H3072" s="564" t="s">
        <v>1424</v>
      </c>
      <c r="I3072" s="564" t="s">
        <v>70</v>
      </c>
      <c r="J3072" s="564" t="s">
        <v>1069</v>
      </c>
      <c r="K3072" s="564" t="s">
        <v>1120</v>
      </c>
      <c r="L3072" s="564" t="s">
        <v>2098</v>
      </c>
      <c r="M3072" s="564" t="s">
        <v>2098</v>
      </c>
      <c r="N3072" s="564" t="s">
        <v>70</v>
      </c>
      <c r="O3072" s="564" t="s">
        <v>2099</v>
      </c>
      <c r="P3072" s="23"/>
      <c r="Q3072" s="23"/>
      <c r="R3072" s="23"/>
      <c r="S3072" s="23"/>
      <c r="T3072" s="23"/>
      <c r="U3072" s="23"/>
      <c r="V3072" s="23"/>
      <c r="W3072" s="23"/>
      <c r="X3072" s="23"/>
      <c r="Y3072" s="23"/>
      <c r="Z3072" s="23"/>
    </row>
    <row r="3073" spans="1:26" ht="13">
      <c r="A3073" s="562" t="s">
        <v>7140</v>
      </c>
      <c r="B3073" s="563" t="s">
        <v>5974</v>
      </c>
      <c r="C3073" s="564" t="s">
        <v>1612</v>
      </c>
      <c r="D3073" s="565">
        <v>42438</v>
      </c>
      <c r="E3073" s="565">
        <v>42468</v>
      </c>
      <c r="F3073" s="566">
        <v>1980</v>
      </c>
      <c r="G3073" s="564" t="s">
        <v>1424</v>
      </c>
      <c r="H3073" s="564" t="s">
        <v>1424</v>
      </c>
      <c r="I3073" s="564" t="s">
        <v>45</v>
      </c>
      <c r="J3073" s="564" t="s">
        <v>1069</v>
      </c>
      <c r="K3073" s="564" t="s">
        <v>1090</v>
      </c>
      <c r="L3073" s="564" t="s">
        <v>2098</v>
      </c>
      <c r="M3073" s="564" t="s">
        <v>2098</v>
      </c>
      <c r="N3073" s="564" t="s">
        <v>45</v>
      </c>
      <c r="O3073" s="564" t="s">
        <v>2099</v>
      </c>
      <c r="P3073" s="23"/>
      <c r="Q3073" s="23"/>
      <c r="R3073" s="23"/>
      <c r="S3073" s="23"/>
      <c r="T3073" s="23"/>
      <c r="U3073" s="23"/>
      <c r="V3073" s="23"/>
      <c r="W3073" s="23"/>
      <c r="X3073" s="23"/>
      <c r="Y3073" s="23"/>
      <c r="Z3073" s="23"/>
    </row>
    <row r="3074" spans="1:26" ht="13">
      <c r="A3074" s="562" t="s">
        <v>7141</v>
      </c>
      <c r="B3074" s="563" t="s">
        <v>6150</v>
      </c>
      <c r="C3074" s="564" t="s">
        <v>1612</v>
      </c>
      <c r="D3074" s="565">
        <v>42439</v>
      </c>
      <c r="E3074" s="565">
        <v>42468</v>
      </c>
      <c r="F3074" s="566">
        <v>13310</v>
      </c>
      <c r="G3074" s="564" t="s">
        <v>1424</v>
      </c>
      <c r="H3074" s="564" t="s">
        <v>1424</v>
      </c>
      <c r="I3074" s="564" t="s">
        <v>1837</v>
      </c>
      <c r="J3074" s="564" t="s">
        <v>1069</v>
      </c>
      <c r="K3074" s="564" t="s">
        <v>1070</v>
      </c>
      <c r="L3074" s="564" t="s">
        <v>2098</v>
      </c>
      <c r="M3074" s="564" t="s">
        <v>2098</v>
      </c>
      <c r="N3074" s="564" t="s">
        <v>1082</v>
      </c>
      <c r="O3074" s="564" t="s">
        <v>2099</v>
      </c>
      <c r="P3074" s="23"/>
      <c r="Q3074" s="23"/>
      <c r="R3074" s="23"/>
      <c r="S3074" s="23"/>
      <c r="T3074" s="23"/>
      <c r="U3074" s="23"/>
      <c r="V3074" s="23"/>
      <c r="W3074" s="23"/>
      <c r="X3074" s="23"/>
      <c r="Y3074" s="23"/>
      <c r="Z3074" s="23"/>
    </row>
    <row r="3075" spans="1:26" ht="13">
      <c r="A3075" s="562" t="s">
        <v>7142</v>
      </c>
      <c r="B3075" s="563" t="s">
        <v>7143</v>
      </c>
      <c r="C3075" s="564" t="s">
        <v>1612</v>
      </c>
      <c r="D3075" s="565">
        <v>42436</v>
      </c>
      <c r="E3075" s="565">
        <v>42370</v>
      </c>
      <c r="F3075" s="566">
        <v>4424520</v>
      </c>
      <c r="G3075" s="564" t="s">
        <v>1424</v>
      </c>
      <c r="H3075" s="564" t="s">
        <v>1424</v>
      </c>
      <c r="I3075" s="564" t="s">
        <v>45</v>
      </c>
      <c r="J3075" s="564" t="s">
        <v>1069</v>
      </c>
      <c r="K3075" s="564" t="s">
        <v>1090</v>
      </c>
      <c r="L3075" s="564" t="s">
        <v>1071</v>
      </c>
      <c r="M3075" s="564" t="s">
        <v>1183</v>
      </c>
      <c r="N3075" s="564" t="s">
        <v>45</v>
      </c>
      <c r="O3075" s="564" t="s">
        <v>2099</v>
      </c>
      <c r="P3075" s="23"/>
      <c r="Q3075" s="23"/>
      <c r="R3075" s="23"/>
      <c r="S3075" s="23"/>
      <c r="T3075" s="23"/>
      <c r="U3075" s="23"/>
      <c r="V3075" s="23"/>
      <c r="W3075" s="23"/>
      <c r="X3075" s="23"/>
      <c r="Y3075" s="23"/>
      <c r="Z3075" s="23"/>
    </row>
    <row r="3076" spans="1:26" ht="13">
      <c r="A3076" s="562" t="s">
        <v>7144</v>
      </c>
      <c r="B3076" s="563" t="s">
        <v>7145</v>
      </c>
      <c r="C3076" s="564" t="s">
        <v>6860</v>
      </c>
      <c r="D3076" s="565">
        <v>42437</v>
      </c>
      <c r="E3076" s="565">
        <v>42429</v>
      </c>
      <c r="F3076" s="566">
        <v>227508750</v>
      </c>
      <c r="G3076" s="564" t="s">
        <v>1128</v>
      </c>
      <c r="H3076" s="564" t="s">
        <v>1128</v>
      </c>
      <c r="I3076" s="564" t="s">
        <v>7146</v>
      </c>
      <c r="J3076" s="564" t="s">
        <v>1069</v>
      </c>
      <c r="K3076" s="564" t="s">
        <v>1070</v>
      </c>
      <c r="L3076" s="564" t="s">
        <v>2098</v>
      </c>
      <c r="M3076" s="564" t="s">
        <v>2098</v>
      </c>
      <c r="N3076" s="564" t="s">
        <v>1368</v>
      </c>
      <c r="O3076" s="564" t="s">
        <v>2099</v>
      </c>
      <c r="P3076" s="23"/>
      <c r="Q3076" s="23"/>
      <c r="R3076" s="23"/>
      <c r="S3076" s="23"/>
      <c r="T3076" s="23"/>
      <c r="U3076" s="23"/>
      <c r="V3076" s="23"/>
      <c r="W3076" s="23"/>
      <c r="X3076" s="23"/>
      <c r="Y3076" s="23"/>
      <c r="Z3076" s="23"/>
    </row>
    <row r="3077" spans="1:26" ht="13">
      <c r="A3077" s="562" t="s">
        <v>7147</v>
      </c>
      <c r="B3077" s="563" t="s">
        <v>7148</v>
      </c>
      <c r="C3077" s="564" t="s">
        <v>1612</v>
      </c>
      <c r="D3077" s="565">
        <v>42437</v>
      </c>
      <c r="E3077" s="565">
        <v>42467</v>
      </c>
      <c r="F3077" s="566">
        <v>1180</v>
      </c>
      <c r="G3077" s="564" t="s">
        <v>1424</v>
      </c>
      <c r="H3077" s="564" t="s">
        <v>1424</v>
      </c>
      <c r="I3077" s="564" t="s">
        <v>45</v>
      </c>
      <c r="J3077" s="564" t="s">
        <v>1069</v>
      </c>
      <c r="K3077" s="564" t="s">
        <v>1090</v>
      </c>
      <c r="L3077" s="564" t="s">
        <v>2098</v>
      </c>
      <c r="M3077" s="564" t="s">
        <v>2098</v>
      </c>
      <c r="N3077" s="564" t="s">
        <v>45</v>
      </c>
      <c r="O3077" s="564" t="s">
        <v>2099</v>
      </c>
      <c r="P3077" s="23"/>
      <c r="Q3077" s="23"/>
      <c r="R3077" s="23"/>
      <c r="S3077" s="23"/>
      <c r="T3077" s="23"/>
      <c r="U3077" s="23"/>
      <c r="V3077" s="23"/>
      <c r="W3077" s="23"/>
      <c r="X3077" s="23"/>
      <c r="Y3077" s="23"/>
      <c r="Z3077" s="23"/>
    </row>
    <row r="3078" spans="1:26" ht="13">
      <c r="A3078" s="562" t="s">
        <v>7149</v>
      </c>
      <c r="B3078" s="563" t="s">
        <v>7150</v>
      </c>
      <c r="C3078" s="564" t="s">
        <v>1612</v>
      </c>
      <c r="D3078" s="565">
        <v>42436</v>
      </c>
      <c r="E3078" s="565">
        <v>42370</v>
      </c>
      <c r="F3078" s="566">
        <v>158640</v>
      </c>
      <c r="G3078" s="564" t="s">
        <v>1424</v>
      </c>
      <c r="H3078" s="564" t="s">
        <v>1424</v>
      </c>
      <c r="I3078" s="564" t="s">
        <v>146</v>
      </c>
      <c r="J3078" s="564" t="s">
        <v>1069</v>
      </c>
      <c r="K3078" s="564" t="s">
        <v>1070</v>
      </c>
      <c r="L3078" s="564" t="s">
        <v>1071</v>
      </c>
      <c r="M3078" s="564" t="s">
        <v>1183</v>
      </c>
      <c r="N3078" s="564" t="s">
        <v>1073</v>
      </c>
      <c r="O3078" s="564" t="s">
        <v>2099</v>
      </c>
      <c r="P3078" s="23"/>
      <c r="Q3078" s="23"/>
      <c r="R3078" s="23"/>
      <c r="S3078" s="23"/>
      <c r="T3078" s="23"/>
      <c r="U3078" s="23"/>
      <c r="V3078" s="23"/>
      <c r="W3078" s="23"/>
      <c r="X3078" s="23"/>
      <c r="Y3078" s="23"/>
      <c r="Z3078" s="23"/>
    </row>
    <row r="3079" spans="1:26" ht="13">
      <c r="A3079" s="562" t="s">
        <v>7151</v>
      </c>
      <c r="B3079" s="563" t="s">
        <v>7152</v>
      </c>
      <c r="C3079" s="564" t="s">
        <v>1204</v>
      </c>
      <c r="D3079" s="565">
        <v>42437</v>
      </c>
      <c r="E3079" s="565">
        <v>42401</v>
      </c>
      <c r="F3079" s="566">
        <v>8964000</v>
      </c>
      <c r="G3079" s="564" t="s">
        <v>1424</v>
      </c>
      <c r="H3079" s="564" t="s">
        <v>1424</v>
      </c>
      <c r="I3079" s="564" t="s">
        <v>1471</v>
      </c>
      <c r="J3079" s="564" t="s">
        <v>1069</v>
      </c>
      <c r="K3079" s="564" t="s">
        <v>1070</v>
      </c>
      <c r="L3079" s="564" t="s">
        <v>1071</v>
      </c>
      <c r="M3079" s="564" t="s">
        <v>1183</v>
      </c>
      <c r="N3079" s="564" t="s">
        <v>1082</v>
      </c>
      <c r="O3079" s="564" t="s">
        <v>1472</v>
      </c>
      <c r="P3079" s="23"/>
      <c r="Q3079" s="23"/>
      <c r="R3079" s="23"/>
      <c r="S3079" s="23"/>
      <c r="T3079" s="23"/>
      <c r="U3079" s="23"/>
      <c r="V3079" s="23"/>
      <c r="W3079" s="23"/>
      <c r="X3079" s="23"/>
      <c r="Y3079" s="23"/>
      <c r="Z3079" s="23"/>
    </row>
    <row r="3080" spans="1:26" ht="13">
      <c r="A3080" s="562" t="s">
        <v>7153</v>
      </c>
      <c r="B3080" s="563" t="s">
        <v>7154</v>
      </c>
      <c r="C3080" s="564" t="s">
        <v>1612</v>
      </c>
      <c r="D3080" s="565">
        <v>42436</v>
      </c>
      <c r="E3080" s="565">
        <v>42370</v>
      </c>
      <c r="F3080" s="566">
        <v>13916400</v>
      </c>
      <c r="G3080" s="564" t="s">
        <v>1424</v>
      </c>
      <c r="H3080" s="564" t="s">
        <v>1424</v>
      </c>
      <c r="I3080" s="564" t="s">
        <v>45</v>
      </c>
      <c r="J3080" s="564" t="s">
        <v>1069</v>
      </c>
      <c r="K3080" s="564" t="s">
        <v>1090</v>
      </c>
      <c r="L3080" s="564" t="s">
        <v>1071</v>
      </c>
      <c r="M3080" s="564" t="s">
        <v>1183</v>
      </c>
      <c r="N3080" s="564" t="s">
        <v>45</v>
      </c>
      <c r="O3080" s="564" t="s">
        <v>2099</v>
      </c>
      <c r="P3080" s="23"/>
      <c r="Q3080" s="23"/>
      <c r="R3080" s="23"/>
      <c r="S3080" s="23"/>
      <c r="T3080" s="23"/>
      <c r="U3080" s="23"/>
      <c r="V3080" s="23"/>
      <c r="W3080" s="23"/>
      <c r="X3080" s="23"/>
      <c r="Y3080" s="23"/>
      <c r="Z3080" s="23"/>
    </row>
    <row r="3081" spans="1:26" ht="13">
      <c r="A3081" s="562" t="s">
        <v>7155</v>
      </c>
      <c r="B3081" s="563" t="s">
        <v>7156</v>
      </c>
      <c r="C3081" s="564" t="s">
        <v>1612</v>
      </c>
      <c r="D3081" s="565">
        <v>42436</v>
      </c>
      <c r="E3081" s="565">
        <v>42430</v>
      </c>
      <c r="F3081" s="566">
        <v>10651200</v>
      </c>
      <c r="G3081" s="564" t="s">
        <v>1424</v>
      </c>
      <c r="H3081" s="564" t="s">
        <v>1424</v>
      </c>
      <c r="I3081" s="564" t="s">
        <v>45</v>
      </c>
      <c r="J3081" s="564" t="s">
        <v>1069</v>
      </c>
      <c r="K3081" s="564" t="s">
        <v>1090</v>
      </c>
      <c r="L3081" s="564" t="s">
        <v>1071</v>
      </c>
      <c r="M3081" s="564" t="s">
        <v>1183</v>
      </c>
      <c r="N3081" s="564" t="s">
        <v>45</v>
      </c>
      <c r="O3081" s="564" t="s">
        <v>2099</v>
      </c>
      <c r="P3081" s="23"/>
      <c r="Q3081" s="23"/>
      <c r="R3081" s="23"/>
      <c r="S3081" s="23"/>
      <c r="T3081" s="23"/>
      <c r="U3081" s="23"/>
      <c r="V3081" s="23"/>
      <c r="W3081" s="23"/>
      <c r="X3081" s="23"/>
      <c r="Y3081" s="23"/>
      <c r="Z3081" s="23"/>
    </row>
    <row r="3082" spans="1:26" ht="13">
      <c r="A3082" s="562" t="s">
        <v>7157</v>
      </c>
      <c r="B3082" s="563" t="s">
        <v>6017</v>
      </c>
      <c r="C3082" s="564" t="s">
        <v>1612</v>
      </c>
      <c r="D3082" s="565">
        <v>42432</v>
      </c>
      <c r="E3082" s="565">
        <v>42460</v>
      </c>
      <c r="F3082" s="566">
        <v>6428000</v>
      </c>
      <c r="G3082" s="564" t="s">
        <v>5465</v>
      </c>
      <c r="H3082" s="564" t="s">
        <v>5465</v>
      </c>
      <c r="I3082" s="564" t="s">
        <v>45</v>
      </c>
      <c r="J3082" s="564" t="s">
        <v>1069</v>
      </c>
      <c r="K3082" s="564" t="s">
        <v>1090</v>
      </c>
      <c r="L3082" s="564" t="s">
        <v>2098</v>
      </c>
      <c r="M3082" s="564" t="s">
        <v>2098</v>
      </c>
      <c r="N3082" s="564" t="s">
        <v>45</v>
      </c>
      <c r="O3082" s="564" t="s">
        <v>2099</v>
      </c>
      <c r="P3082" s="23"/>
      <c r="Q3082" s="23"/>
      <c r="R3082" s="23"/>
      <c r="S3082" s="23"/>
      <c r="T3082" s="23"/>
      <c r="U3082" s="23"/>
      <c r="V3082" s="23"/>
      <c r="W3082" s="23"/>
      <c r="X3082" s="23"/>
      <c r="Y3082" s="23"/>
      <c r="Z3082" s="23"/>
    </row>
    <row r="3083" spans="1:26" ht="13">
      <c r="A3083" s="562" t="s">
        <v>7158</v>
      </c>
      <c r="B3083" s="563" t="s">
        <v>7159</v>
      </c>
      <c r="C3083" s="564" t="s">
        <v>1612</v>
      </c>
      <c r="D3083" s="565">
        <v>42432</v>
      </c>
      <c r="E3083" s="565">
        <v>42464</v>
      </c>
      <c r="F3083" s="566">
        <v>1100</v>
      </c>
      <c r="G3083" s="564" t="s">
        <v>1424</v>
      </c>
      <c r="H3083" s="564" t="s">
        <v>1424</v>
      </c>
      <c r="I3083" s="564" t="s">
        <v>64</v>
      </c>
      <c r="J3083" s="564" t="s">
        <v>1069</v>
      </c>
      <c r="K3083" s="564" t="s">
        <v>1090</v>
      </c>
      <c r="L3083" s="564" t="s">
        <v>2098</v>
      </c>
      <c r="M3083" s="564" t="s">
        <v>2098</v>
      </c>
      <c r="N3083" s="564" t="s">
        <v>64</v>
      </c>
      <c r="O3083" s="564" t="s">
        <v>2099</v>
      </c>
      <c r="P3083" s="23"/>
      <c r="Q3083" s="23"/>
      <c r="R3083" s="23"/>
      <c r="S3083" s="23"/>
      <c r="T3083" s="23"/>
      <c r="U3083" s="23"/>
      <c r="V3083" s="23"/>
      <c r="W3083" s="23"/>
      <c r="X3083" s="23"/>
      <c r="Y3083" s="23"/>
      <c r="Z3083" s="23"/>
    </row>
    <row r="3084" spans="1:26" ht="13">
      <c r="A3084" s="562" t="s">
        <v>7160</v>
      </c>
      <c r="B3084" s="563" t="s">
        <v>7161</v>
      </c>
      <c r="C3084" s="564" t="s">
        <v>2191</v>
      </c>
      <c r="D3084" s="565">
        <v>42429</v>
      </c>
      <c r="E3084" s="565">
        <v>42447</v>
      </c>
      <c r="F3084" s="566">
        <v>16545455</v>
      </c>
      <c r="G3084" s="564" t="s">
        <v>1187</v>
      </c>
      <c r="H3084" s="564" t="s">
        <v>1187</v>
      </c>
      <c r="I3084" s="564" t="s">
        <v>7162</v>
      </c>
      <c r="J3084" s="564" t="s">
        <v>1069</v>
      </c>
      <c r="K3084" s="564" t="s">
        <v>1205</v>
      </c>
      <c r="L3084" s="564" t="s">
        <v>2098</v>
      </c>
      <c r="M3084" s="564" t="s">
        <v>2098</v>
      </c>
      <c r="N3084" s="564" t="s">
        <v>1368</v>
      </c>
      <c r="O3084" s="564" t="s">
        <v>2099</v>
      </c>
      <c r="P3084" s="23"/>
      <c r="Q3084" s="23"/>
      <c r="R3084" s="23"/>
      <c r="S3084" s="23"/>
      <c r="T3084" s="23"/>
      <c r="U3084" s="23"/>
      <c r="V3084" s="23"/>
      <c r="W3084" s="23"/>
      <c r="X3084" s="23"/>
      <c r="Y3084" s="23"/>
      <c r="Z3084" s="23"/>
    </row>
    <row r="3085" spans="1:26" ht="13">
      <c r="A3085" s="562" t="s">
        <v>7163</v>
      </c>
      <c r="B3085" s="563" t="s">
        <v>7164</v>
      </c>
      <c r="C3085" s="564" t="s">
        <v>2191</v>
      </c>
      <c r="D3085" s="565">
        <v>42418</v>
      </c>
      <c r="E3085" s="565">
        <v>42429</v>
      </c>
      <c r="F3085" s="566">
        <v>290909090</v>
      </c>
      <c r="G3085" s="564" t="s">
        <v>1187</v>
      </c>
      <c r="H3085" s="564" t="s">
        <v>1187</v>
      </c>
      <c r="I3085" s="564" t="s">
        <v>7162</v>
      </c>
      <c r="J3085" s="564" t="s">
        <v>1069</v>
      </c>
      <c r="K3085" s="564" t="s">
        <v>1205</v>
      </c>
      <c r="L3085" s="564" t="s">
        <v>2098</v>
      </c>
      <c r="M3085" s="564" t="s">
        <v>2098</v>
      </c>
      <c r="N3085" s="564" t="s">
        <v>1368</v>
      </c>
      <c r="O3085" s="564" t="s">
        <v>2099</v>
      </c>
      <c r="P3085" s="23"/>
      <c r="Q3085" s="23"/>
      <c r="R3085" s="23"/>
      <c r="S3085" s="23"/>
      <c r="T3085" s="23"/>
      <c r="U3085" s="23"/>
      <c r="V3085" s="23"/>
      <c r="W3085" s="23"/>
      <c r="X3085" s="23"/>
      <c r="Y3085" s="23"/>
      <c r="Z3085" s="23"/>
    </row>
    <row r="3086" spans="1:26" ht="13">
      <c r="A3086" s="562" t="s">
        <v>7165</v>
      </c>
      <c r="B3086" s="563" t="s">
        <v>7166</v>
      </c>
      <c r="C3086" s="564" t="s">
        <v>1612</v>
      </c>
      <c r="D3086" s="565">
        <v>42423</v>
      </c>
      <c r="E3086" s="565">
        <v>42429</v>
      </c>
      <c r="F3086" s="566">
        <v>124500000</v>
      </c>
      <c r="G3086" s="564" t="s">
        <v>337</v>
      </c>
      <c r="H3086" s="564" t="s">
        <v>337</v>
      </c>
      <c r="I3086" s="564" t="s">
        <v>45</v>
      </c>
      <c r="J3086" s="564" t="s">
        <v>1069</v>
      </c>
      <c r="K3086" s="564" t="s">
        <v>1090</v>
      </c>
      <c r="L3086" s="564" t="s">
        <v>2098</v>
      </c>
      <c r="M3086" s="564" t="s">
        <v>2098</v>
      </c>
      <c r="N3086" s="564" t="s">
        <v>45</v>
      </c>
      <c r="O3086" s="564" t="s">
        <v>2099</v>
      </c>
      <c r="P3086" s="23"/>
      <c r="Q3086" s="23"/>
      <c r="R3086" s="23"/>
      <c r="S3086" s="23"/>
      <c r="T3086" s="23"/>
      <c r="U3086" s="23"/>
      <c r="V3086" s="23"/>
      <c r="W3086" s="23"/>
      <c r="X3086" s="23"/>
      <c r="Y3086" s="23"/>
      <c r="Z3086" s="23"/>
    </row>
    <row r="3087" spans="1:26" ht="13">
      <c r="A3087" s="562" t="s">
        <v>7167</v>
      </c>
      <c r="B3087" s="563" t="s">
        <v>7168</v>
      </c>
      <c r="C3087" s="564" t="s">
        <v>2191</v>
      </c>
      <c r="D3087" s="565">
        <v>42422</v>
      </c>
      <c r="E3087" s="565">
        <v>42429</v>
      </c>
      <c r="F3087" s="566">
        <v>19000000</v>
      </c>
      <c r="G3087" s="564" t="s">
        <v>1123</v>
      </c>
      <c r="H3087" s="564" t="s">
        <v>1123</v>
      </c>
      <c r="I3087" s="564" t="s">
        <v>140</v>
      </c>
      <c r="J3087" s="564" t="s">
        <v>1069</v>
      </c>
      <c r="K3087" s="564" t="s">
        <v>1205</v>
      </c>
      <c r="L3087" s="564" t="s">
        <v>2098</v>
      </c>
      <c r="M3087" s="564" t="s">
        <v>2098</v>
      </c>
      <c r="N3087" s="564" t="s">
        <v>1073</v>
      </c>
      <c r="O3087" s="564" t="s">
        <v>2099</v>
      </c>
      <c r="P3087" s="23"/>
      <c r="Q3087" s="23"/>
      <c r="R3087" s="23"/>
      <c r="S3087" s="23"/>
      <c r="T3087" s="23"/>
      <c r="U3087" s="23"/>
      <c r="V3087" s="23"/>
      <c r="W3087" s="23"/>
      <c r="X3087" s="23"/>
      <c r="Y3087" s="23"/>
      <c r="Z3087" s="23"/>
    </row>
    <row r="3088" spans="1:26" ht="13">
      <c r="A3088" s="562" t="s">
        <v>7169</v>
      </c>
      <c r="B3088" s="563" t="s">
        <v>6628</v>
      </c>
      <c r="C3088" s="564" t="s">
        <v>1612</v>
      </c>
      <c r="D3088" s="565">
        <v>42419</v>
      </c>
      <c r="E3088" s="565">
        <v>42444</v>
      </c>
      <c r="F3088" s="566">
        <v>23020</v>
      </c>
      <c r="G3088" s="564" t="s">
        <v>1424</v>
      </c>
      <c r="H3088" s="564" t="s">
        <v>1424</v>
      </c>
      <c r="I3088" s="564" t="s">
        <v>45</v>
      </c>
      <c r="J3088" s="564" t="s">
        <v>1069</v>
      </c>
      <c r="K3088" s="564" t="s">
        <v>1090</v>
      </c>
      <c r="L3088" s="564" t="s">
        <v>2098</v>
      </c>
      <c r="M3088" s="564" t="s">
        <v>2098</v>
      </c>
      <c r="N3088" s="564" t="s">
        <v>45</v>
      </c>
      <c r="O3088" s="564" t="s">
        <v>2099</v>
      </c>
      <c r="P3088" s="23"/>
      <c r="Q3088" s="23"/>
      <c r="R3088" s="23"/>
      <c r="S3088" s="23"/>
      <c r="T3088" s="23"/>
      <c r="U3088" s="23"/>
      <c r="V3088" s="23"/>
      <c r="W3088" s="23"/>
      <c r="X3088" s="23"/>
      <c r="Y3088" s="23"/>
      <c r="Z3088" s="23"/>
    </row>
    <row r="3089" spans="1:26" ht="13">
      <c r="A3089" s="562" t="s">
        <v>7170</v>
      </c>
      <c r="B3089" s="563" t="s">
        <v>7171</v>
      </c>
      <c r="C3089" s="564" t="s">
        <v>1612</v>
      </c>
      <c r="D3089" s="565">
        <v>42419</v>
      </c>
      <c r="E3089" s="565">
        <v>42447</v>
      </c>
      <c r="F3089" s="566">
        <v>3639</v>
      </c>
      <c r="G3089" s="564" t="s">
        <v>1424</v>
      </c>
      <c r="H3089" s="564" t="s">
        <v>1424</v>
      </c>
      <c r="I3089" s="564" t="s">
        <v>70</v>
      </c>
      <c r="J3089" s="564" t="s">
        <v>1069</v>
      </c>
      <c r="K3089" s="564" t="s">
        <v>1120</v>
      </c>
      <c r="L3089" s="564" t="s">
        <v>2098</v>
      </c>
      <c r="M3089" s="564" t="s">
        <v>2098</v>
      </c>
      <c r="N3089" s="564" t="s">
        <v>70</v>
      </c>
      <c r="O3089" s="564" t="s">
        <v>2099</v>
      </c>
      <c r="P3089" s="23"/>
      <c r="Q3089" s="23"/>
      <c r="R3089" s="23"/>
      <c r="S3089" s="23"/>
      <c r="T3089" s="23"/>
      <c r="U3089" s="23"/>
      <c r="V3089" s="23"/>
      <c r="W3089" s="23"/>
      <c r="X3089" s="23"/>
      <c r="Y3089" s="23"/>
      <c r="Z3089" s="23"/>
    </row>
    <row r="3090" spans="1:26" ht="13">
      <c r="A3090" s="562" t="s">
        <v>7172</v>
      </c>
      <c r="B3090" s="563" t="s">
        <v>5810</v>
      </c>
      <c r="C3090" s="564" t="s">
        <v>1612</v>
      </c>
      <c r="D3090" s="565">
        <v>42416</v>
      </c>
      <c r="E3090" s="565">
        <v>42445</v>
      </c>
      <c r="F3090" s="566">
        <v>7479</v>
      </c>
      <c r="G3090" s="564" t="s">
        <v>1424</v>
      </c>
      <c r="H3090" s="564" t="s">
        <v>1424</v>
      </c>
      <c r="I3090" s="564" t="s">
        <v>70</v>
      </c>
      <c r="J3090" s="564" t="s">
        <v>1069</v>
      </c>
      <c r="K3090" s="564" t="s">
        <v>1120</v>
      </c>
      <c r="L3090" s="564" t="s">
        <v>2098</v>
      </c>
      <c r="M3090" s="564" t="s">
        <v>2098</v>
      </c>
      <c r="N3090" s="564" t="s">
        <v>70</v>
      </c>
      <c r="O3090" s="564" t="s">
        <v>2099</v>
      </c>
      <c r="P3090" s="23"/>
      <c r="Q3090" s="23"/>
      <c r="R3090" s="23"/>
      <c r="S3090" s="23"/>
      <c r="T3090" s="23"/>
      <c r="U3090" s="23"/>
      <c r="V3090" s="23"/>
      <c r="W3090" s="23"/>
      <c r="X3090" s="23"/>
      <c r="Y3090" s="23"/>
      <c r="Z3090" s="23"/>
    </row>
    <row r="3091" spans="1:26" ht="13">
      <c r="A3091" s="562" t="s">
        <v>7173</v>
      </c>
      <c r="B3091" s="563" t="s">
        <v>7174</v>
      </c>
      <c r="C3091" s="564" t="s">
        <v>2191</v>
      </c>
      <c r="D3091" s="565">
        <v>42415</v>
      </c>
      <c r="E3091" s="565">
        <v>42735</v>
      </c>
      <c r="F3091" s="566">
        <v>202000</v>
      </c>
      <c r="G3091" s="564" t="s">
        <v>1636</v>
      </c>
      <c r="H3091" s="564" t="s">
        <v>1636</v>
      </c>
      <c r="I3091" s="564" t="s">
        <v>7175</v>
      </c>
      <c r="J3091" s="564" t="s">
        <v>1069</v>
      </c>
      <c r="K3091" s="564" t="s">
        <v>1070</v>
      </c>
      <c r="L3091" s="564" t="s">
        <v>2098</v>
      </c>
      <c r="M3091" s="564" t="s">
        <v>2098</v>
      </c>
      <c r="N3091" s="564" t="s">
        <v>1082</v>
      </c>
      <c r="O3091" s="564" t="s">
        <v>2099</v>
      </c>
      <c r="P3091" s="23"/>
      <c r="Q3091" s="23"/>
      <c r="R3091" s="23"/>
      <c r="S3091" s="23"/>
      <c r="T3091" s="23"/>
      <c r="U3091" s="23"/>
      <c r="V3091" s="23"/>
      <c r="W3091" s="23"/>
      <c r="X3091" s="23"/>
      <c r="Y3091" s="23"/>
      <c r="Z3091" s="23"/>
    </row>
    <row r="3092" spans="1:26" ht="13">
      <c r="A3092" s="562" t="s">
        <v>7176</v>
      </c>
      <c r="B3092" s="563" t="s">
        <v>7177</v>
      </c>
      <c r="C3092" s="564" t="s">
        <v>1612</v>
      </c>
      <c r="D3092" s="565">
        <v>42415</v>
      </c>
      <c r="E3092" s="565">
        <v>42441</v>
      </c>
      <c r="F3092" s="566">
        <v>5000000</v>
      </c>
      <c r="G3092" s="564" t="s">
        <v>1123</v>
      </c>
      <c r="H3092" s="564" t="s">
        <v>1123</v>
      </c>
      <c r="I3092" s="564" t="s">
        <v>802</v>
      </c>
      <c r="J3092" s="564" t="s">
        <v>1069</v>
      </c>
      <c r="K3092" s="564" t="s">
        <v>1198</v>
      </c>
      <c r="L3092" s="564" t="s">
        <v>2098</v>
      </c>
      <c r="M3092" s="564" t="s">
        <v>2098</v>
      </c>
      <c r="N3092" s="564" t="s">
        <v>132</v>
      </c>
      <c r="O3092" s="564" t="s">
        <v>2099</v>
      </c>
      <c r="P3092" s="23"/>
      <c r="Q3092" s="23"/>
      <c r="R3092" s="23"/>
      <c r="S3092" s="23"/>
      <c r="T3092" s="23"/>
      <c r="U3092" s="23"/>
      <c r="V3092" s="23"/>
      <c r="W3092" s="23"/>
      <c r="X3092" s="23"/>
      <c r="Y3092" s="23"/>
      <c r="Z3092" s="23"/>
    </row>
    <row r="3093" spans="1:26" ht="13">
      <c r="A3093" s="562" t="s">
        <v>7178</v>
      </c>
      <c r="B3093" s="563" t="s">
        <v>7179</v>
      </c>
      <c r="C3093" s="564" t="s">
        <v>1612</v>
      </c>
      <c r="D3093" s="565">
        <v>42415</v>
      </c>
      <c r="E3093" s="565">
        <v>42444</v>
      </c>
      <c r="F3093" s="566">
        <v>5863</v>
      </c>
      <c r="G3093" s="564" t="s">
        <v>1424</v>
      </c>
      <c r="H3093" s="564" t="s">
        <v>1424</v>
      </c>
      <c r="I3093" s="564" t="s">
        <v>45</v>
      </c>
      <c r="J3093" s="564" t="s">
        <v>1069</v>
      </c>
      <c r="K3093" s="564" t="s">
        <v>1090</v>
      </c>
      <c r="L3093" s="564" t="s">
        <v>2098</v>
      </c>
      <c r="M3093" s="564" t="s">
        <v>2098</v>
      </c>
      <c r="N3093" s="564" t="s">
        <v>45</v>
      </c>
      <c r="O3093" s="564" t="s">
        <v>2099</v>
      </c>
      <c r="P3093" s="23"/>
      <c r="Q3093" s="23"/>
      <c r="R3093" s="23"/>
      <c r="S3093" s="23"/>
      <c r="T3093" s="23"/>
      <c r="U3093" s="23"/>
      <c r="V3093" s="23"/>
      <c r="W3093" s="23"/>
      <c r="X3093" s="23"/>
      <c r="Y3093" s="23"/>
      <c r="Z3093" s="23"/>
    </row>
    <row r="3094" spans="1:26" ht="13">
      <c r="A3094" s="562" t="s">
        <v>7180</v>
      </c>
      <c r="B3094" s="563" t="s">
        <v>7181</v>
      </c>
      <c r="C3094" s="564" t="s">
        <v>2191</v>
      </c>
      <c r="D3094" s="565">
        <v>42403</v>
      </c>
      <c r="E3094" s="565">
        <v>42460</v>
      </c>
      <c r="F3094" s="566">
        <v>85900000</v>
      </c>
      <c r="G3094" s="564" t="s">
        <v>1123</v>
      </c>
      <c r="H3094" s="564" t="s">
        <v>1123</v>
      </c>
      <c r="I3094" s="564" t="s">
        <v>7182</v>
      </c>
      <c r="J3094" s="564" t="s">
        <v>1069</v>
      </c>
      <c r="K3094" s="564" t="s">
        <v>1205</v>
      </c>
      <c r="L3094" s="564" t="s">
        <v>2098</v>
      </c>
      <c r="M3094" s="564" t="s">
        <v>2098</v>
      </c>
      <c r="N3094" s="564" t="s">
        <v>1082</v>
      </c>
      <c r="O3094" s="564" t="s">
        <v>2099</v>
      </c>
      <c r="P3094" s="23"/>
      <c r="Q3094" s="23"/>
      <c r="R3094" s="23"/>
      <c r="S3094" s="23"/>
      <c r="T3094" s="23"/>
      <c r="U3094" s="23"/>
      <c r="V3094" s="23"/>
      <c r="W3094" s="23"/>
      <c r="X3094" s="23"/>
      <c r="Y3094" s="23"/>
      <c r="Z3094" s="23"/>
    </row>
    <row r="3095" spans="1:26" ht="13">
      <c r="A3095" s="562" t="s">
        <v>7183</v>
      </c>
      <c r="B3095" s="563" t="s">
        <v>7184</v>
      </c>
      <c r="C3095" s="564" t="s">
        <v>2191</v>
      </c>
      <c r="D3095" s="565">
        <v>42403</v>
      </c>
      <c r="E3095" s="565">
        <v>42440</v>
      </c>
      <c r="F3095" s="566">
        <v>195727</v>
      </c>
      <c r="G3095" s="564" t="s">
        <v>1636</v>
      </c>
      <c r="H3095" s="564" t="s">
        <v>1636</v>
      </c>
      <c r="I3095" s="564" t="s">
        <v>6762</v>
      </c>
      <c r="J3095" s="564" t="s">
        <v>1069</v>
      </c>
      <c r="K3095" s="564" t="s">
        <v>1070</v>
      </c>
      <c r="L3095" s="564" t="s">
        <v>2098</v>
      </c>
      <c r="M3095" s="564" t="s">
        <v>2098</v>
      </c>
      <c r="N3095" s="564" t="s">
        <v>1082</v>
      </c>
      <c r="O3095" s="564" t="s">
        <v>2099</v>
      </c>
      <c r="P3095" s="23"/>
      <c r="Q3095" s="23"/>
      <c r="R3095" s="23"/>
      <c r="S3095" s="23"/>
      <c r="T3095" s="23"/>
      <c r="U3095" s="23"/>
      <c r="V3095" s="23"/>
      <c r="W3095" s="23"/>
      <c r="X3095" s="23"/>
      <c r="Y3095" s="23"/>
      <c r="Z3095" s="23"/>
    </row>
    <row r="3096" spans="1:26" ht="13">
      <c r="A3096" s="562" t="s">
        <v>7185</v>
      </c>
      <c r="B3096" s="563" t="s">
        <v>7186</v>
      </c>
      <c r="C3096" s="564" t="s">
        <v>1612</v>
      </c>
      <c r="D3096" s="565">
        <v>42403</v>
      </c>
      <c r="E3096" s="565">
        <v>42429</v>
      </c>
      <c r="F3096" s="566">
        <v>28479</v>
      </c>
      <c r="G3096" s="564" t="s">
        <v>1424</v>
      </c>
      <c r="H3096" s="564" t="s">
        <v>1424</v>
      </c>
      <c r="I3096" s="564" t="s">
        <v>70</v>
      </c>
      <c r="J3096" s="564" t="s">
        <v>1069</v>
      </c>
      <c r="K3096" s="564" t="s">
        <v>1120</v>
      </c>
      <c r="L3096" s="564" t="s">
        <v>2098</v>
      </c>
      <c r="M3096" s="564" t="s">
        <v>2098</v>
      </c>
      <c r="N3096" s="564" t="s">
        <v>70</v>
      </c>
      <c r="O3096" s="564" t="s">
        <v>2099</v>
      </c>
      <c r="P3096" s="23"/>
      <c r="Q3096" s="23"/>
      <c r="R3096" s="23"/>
      <c r="S3096" s="23"/>
      <c r="T3096" s="23"/>
      <c r="U3096" s="23"/>
      <c r="V3096" s="23"/>
      <c r="W3096" s="23"/>
      <c r="X3096" s="23"/>
      <c r="Y3096" s="23"/>
      <c r="Z3096" s="23"/>
    </row>
    <row r="3097" spans="1:26" ht="13">
      <c r="A3097" s="562" t="s">
        <v>7187</v>
      </c>
      <c r="B3097" s="563" t="s">
        <v>6671</v>
      </c>
      <c r="C3097" s="564" t="s">
        <v>1612</v>
      </c>
      <c r="D3097" s="565">
        <v>42403</v>
      </c>
      <c r="E3097" s="565">
        <v>42429</v>
      </c>
      <c r="F3097" s="566">
        <v>4500000</v>
      </c>
      <c r="G3097" s="564" t="s">
        <v>5465</v>
      </c>
      <c r="H3097" s="564" t="s">
        <v>5465</v>
      </c>
      <c r="I3097" s="564" t="s">
        <v>45</v>
      </c>
      <c r="J3097" s="564" t="s">
        <v>1069</v>
      </c>
      <c r="K3097" s="564" t="s">
        <v>1090</v>
      </c>
      <c r="L3097" s="564" t="s">
        <v>2098</v>
      </c>
      <c r="M3097" s="564" t="s">
        <v>2098</v>
      </c>
      <c r="N3097" s="564" t="s">
        <v>45</v>
      </c>
      <c r="O3097" s="564" t="s">
        <v>2099</v>
      </c>
      <c r="P3097" s="23"/>
      <c r="Q3097" s="23"/>
      <c r="R3097" s="23"/>
      <c r="S3097" s="23"/>
      <c r="T3097" s="23"/>
      <c r="U3097" s="23"/>
      <c r="V3097" s="23"/>
      <c r="W3097" s="23"/>
      <c r="X3097" s="23"/>
      <c r="Y3097" s="23"/>
      <c r="Z3097" s="23"/>
    </row>
    <row r="3098" spans="1:26" ht="13">
      <c r="A3098" s="562" t="s">
        <v>7188</v>
      </c>
      <c r="B3098" s="563" t="s">
        <v>6669</v>
      </c>
      <c r="C3098" s="564" t="s">
        <v>1612</v>
      </c>
      <c r="D3098" s="565">
        <v>42403</v>
      </c>
      <c r="E3098" s="565">
        <v>42429</v>
      </c>
      <c r="F3098" s="566">
        <v>2200000</v>
      </c>
      <c r="G3098" s="564" t="s">
        <v>5465</v>
      </c>
      <c r="H3098" s="564" t="s">
        <v>5465</v>
      </c>
      <c r="I3098" s="564" t="s">
        <v>45</v>
      </c>
      <c r="J3098" s="564" t="s">
        <v>1069</v>
      </c>
      <c r="K3098" s="564" t="s">
        <v>1090</v>
      </c>
      <c r="L3098" s="564" t="s">
        <v>2098</v>
      </c>
      <c r="M3098" s="564" t="s">
        <v>2098</v>
      </c>
      <c r="N3098" s="564" t="s">
        <v>45</v>
      </c>
      <c r="O3098" s="564" t="s">
        <v>2099</v>
      </c>
      <c r="P3098" s="23"/>
      <c r="Q3098" s="23"/>
      <c r="R3098" s="23"/>
      <c r="S3098" s="23"/>
      <c r="T3098" s="23"/>
      <c r="U3098" s="23"/>
      <c r="V3098" s="23"/>
      <c r="W3098" s="23"/>
      <c r="X3098" s="23"/>
      <c r="Y3098" s="23"/>
      <c r="Z3098" s="23"/>
    </row>
    <row r="3099" spans="1:26" ht="13">
      <c r="A3099" s="562" t="s">
        <v>7189</v>
      </c>
      <c r="B3099" s="563" t="s">
        <v>7190</v>
      </c>
      <c r="C3099" s="564" t="s">
        <v>1612</v>
      </c>
      <c r="D3099" s="565">
        <v>42403</v>
      </c>
      <c r="E3099" s="565">
        <v>42417</v>
      </c>
      <c r="F3099" s="566">
        <v>10790000</v>
      </c>
      <c r="G3099" s="564" t="s">
        <v>1128</v>
      </c>
      <c r="H3099" s="564" t="s">
        <v>1128</v>
      </c>
      <c r="I3099" s="564" t="s">
        <v>45</v>
      </c>
      <c r="J3099" s="564" t="s">
        <v>1069</v>
      </c>
      <c r="K3099" s="564" t="s">
        <v>1090</v>
      </c>
      <c r="L3099" s="564" t="s">
        <v>2098</v>
      </c>
      <c r="M3099" s="564" t="s">
        <v>2098</v>
      </c>
      <c r="N3099" s="564" t="s">
        <v>45</v>
      </c>
      <c r="O3099" s="564" t="s">
        <v>2099</v>
      </c>
      <c r="P3099" s="23"/>
      <c r="Q3099" s="23"/>
      <c r="R3099" s="23"/>
      <c r="S3099" s="23"/>
      <c r="T3099" s="23"/>
      <c r="U3099" s="23"/>
      <c r="V3099" s="23"/>
      <c r="W3099" s="23"/>
      <c r="X3099" s="23"/>
      <c r="Y3099" s="23"/>
      <c r="Z3099" s="23"/>
    </row>
    <row r="3100" spans="1:26" ht="13">
      <c r="A3100" s="562" t="s">
        <v>7191</v>
      </c>
      <c r="B3100" s="563" t="s">
        <v>7192</v>
      </c>
      <c r="C3100" s="564" t="s">
        <v>1612</v>
      </c>
      <c r="D3100" s="565">
        <v>42398</v>
      </c>
      <c r="E3100" s="565">
        <v>42426</v>
      </c>
      <c r="F3100" s="566">
        <v>13875</v>
      </c>
      <c r="G3100" s="564" t="s">
        <v>1424</v>
      </c>
      <c r="H3100" s="564" t="s">
        <v>1424</v>
      </c>
      <c r="I3100" s="564" t="s">
        <v>70</v>
      </c>
      <c r="J3100" s="564" t="s">
        <v>1069</v>
      </c>
      <c r="K3100" s="564" t="s">
        <v>1120</v>
      </c>
      <c r="L3100" s="564" t="s">
        <v>2098</v>
      </c>
      <c r="M3100" s="564" t="s">
        <v>2098</v>
      </c>
      <c r="N3100" s="564" t="s">
        <v>70</v>
      </c>
      <c r="O3100" s="564" t="s">
        <v>2099</v>
      </c>
      <c r="P3100" s="23"/>
      <c r="Q3100" s="23"/>
      <c r="R3100" s="23"/>
      <c r="S3100" s="23"/>
      <c r="T3100" s="23"/>
      <c r="U3100" s="23"/>
      <c r="V3100" s="23"/>
      <c r="W3100" s="23"/>
      <c r="X3100" s="23"/>
      <c r="Y3100" s="23"/>
      <c r="Z3100" s="23"/>
    </row>
    <row r="3101" spans="1:26" ht="13">
      <c r="A3101" s="562" t="s">
        <v>7193</v>
      </c>
      <c r="B3101" s="563" t="s">
        <v>7194</v>
      </c>
      <c r="C3101" s="564" t="s">
        <v>1612</v>
      </c>
      <c r="D3101" s="565">
        <v>42397</v>
      </c>
      <c r="E3101" s="565">
        <v>42416</v>
      </c>
      <c r="F3101" s="566">
        <v>18952000</v>
      </c>
      <c r="G3101" s="564" t="s">
        <v>1623</v>
      </c>
      <c r="H3101" s="564" t="s">
        <v>1623</v>
      </c>
      <c r="I3101" s="564" t="s">
        <v>802</v>
      </c>
      <c r="J3101" s="564" t="s">
        <v>1069</v>
      </c>
      <c r="K3101" s="564" t="s">
        <v>1198</v>
      </c>
      <c r="L3101" s="564" t="s">
        <v>2098</v>
      </c>
      <c r="M3101" s="564" t="s">
        <v>2098</v>
      </c>
      <c r="N3101" s="564" t="s">
        <v>132</v>
      </c>
      <c r="O3101" s="564" t="s">
        <v>2099</v>
      </c>
      <c r="P3101" s="23"/>
      <c r="Q3101" s="23"/>
      <c r="R3101" s="23"/>
      <c r="S3101" s="23"/>
      <c r="T3101" s="23"/>
      <c r="U3101" s="23"/>
      <c r="V3101" s="23"/>
      <c r="W3101" s="23"/>
      <c r="X3101" s="23"/>
      <c r="Y3101" s="23"/>
      <c r="Z3101" s="23"/>
    </row>
    <row r="3102" spans="1:26" ht="13">
      <c r="A3102" s="562" t="s">
        <v>7195</v>
      </c>
      <c r="B3102" s="563" t="s">
        <v>7196</v>
      </c>
      <c r="C3102" s="564" t="s">
        <v>1612</v>
      </c>
      <c r="D3102" s="565">
        <v>42398</v>
      </c>
      <c r="E3102" s="565">
        <v>42426</v>
      </c>
      <c r="F3102" s="566">
        <v>4689</v>
      </c>
      <c r="G3102" s="564" t="s">
        <v>1424</v>
      </c>
      <c r="H3102" s="564" t="s">
        <v>1424</v>
      </c>
      <c r="I3102" s="564" t="s">
        <v>70</v>
      </c>
      <c r="J3102" s="564" t="s">
        <v>1069</v>
      </c>
      <c r="K3102" s="564" t="s">
        <v>1120</v>
      </c>
      <c r="L3102" s="564" t="s">
        <v>2098</v>
      </c>
      <c r="M3102" s="564" t="s">
        <v>2098</v>
      </c>
      <c r="N3102" s="564" t="s">
        <v>70</v>
      </c>
      <c r="O3102" s="564" t="s">
        <v>2099</v>
      </c>
      <c r="P3102" s="23"/>
      <c r="Q3102" s="23"/>
      <c r="R3102" s="23"/>
      <c r="S3102" s="23"/>
      <c r="T3102" s="23"/>
      <c r="U3102" s="23"/>
      <c r="V3102" s="23"/>
      <c r="W3102" s="23"/>
      <c r="X3102" s="23"/>
      <c r="Y3102" s="23"/>
      <c r="Z3102" s="23"/>
    </row>
    <row r="3103" spans="1:26" ht="13">
      <c r="A3103" s="562" t="s">
        <v>7197</v>
      </c>
      <c r="B3103" s="563" t="s">
        <v>7198</v>
      </c>
      <c r="C3103" s="564" t="s">
        <v>1612</v>
      </c>
      <c r="D3103" s="565">
        <v>42396</v>
      </c>
      <c r="E3103" s="565">
        <v>42416</v>
      </c>
      <c r="F3103" s="566">
        <v>95718000</v>
      </c>
      <c r="G3103" s="564" t="s">
        <v>1623</v>
      </c>
      <c r="H3103" s="564" t="s">
        <v>1623</v>
      </c>
      <c r="I3103" s="564" t="s">
        <v>802</v>
      </c>
      <c r="J3103" s="564" t="s">
        <v>1069</v>
      </c>
      <c r="K3103" s="564" t="s">
        <v>1198</v>
      </c>
      <c r="L3103" s="564" t="s">
        <v>2098</v>
      </c>
      <c r="M3103" s="564" t="s">
        <v>2098</v>
      </c>
      <c r="N3103" s="564" t="s">
        <v>132</v>
      </c>
      <c r="O3103" s="564" t="s">
        <v>2099</v>
      </c>
      <c r="P3103" s="23"/>
      <c r="Q3103" s="23"/>
      <c r="R3103" s="23"/>
      <c r="S3103" s="23"/>
      <c r="T3103" s="23"/>
      <c r="U3103" s="23"/>
      <c r="V3103" s="23"/>
      <c r="W3103" s="23"/>
      <c r="X3103" s="23"/>
      <c r="Y3103" s="23"/>
      <c r="Z3103" s="23"/>
    </row>
    <row r="3104" spans="1:26" ht="13">
      <c r="A3104" s="562" t="s">
        <v>7199</v>
      </c>
      <c r="B3104" s="563" t="s">
        <v>7200</v>
      </c>
      <c r="C3104" s="564" t="s">
        <v>1204</v>
      </c>
      <c r="D3104" s="565">
        <v>42395</v>
      </c>
      <c r="E3104" s="565">
        <v>42370</v>
      </c>
      <c r="F3104" s="566">
        <v>2638800</v>
      </c>
      <c r="G3104" s="564" t="s">
        <v>1424</v>
      </c>
      <c r="H3104" s="564" t="s">
        <v>1424</v>
      </c>
      <c r="I3104" s="564" t="s">
        <v>1471</v>
      </c>
      <c r="J3104" s="564" t="s">
        <v>1069</v>
      </c>
      <c r="K3104" s="564" t="s">
        <v>1070</v>
      </c>
      <c r="L3104" s="564" t="s">
        <v>1071</v>
      </c>
      <c r="M3104" s="564" t="s">
        <v>1183</v>
      </c>
      <c r="N3104" s="564" t="s">
        <v>1082</v>
      </c>
      <c r="O3104" s="564" t="s">
        <v>1472</v>
      </c>
      <c r="P3104" s="23"/>
      <c r="Q3104" s="23"/>
      <c r="R3104" s="23"/>
      <c r="S3104" s="23"/>
      <c r="T3104" s="23"/>
      <c r="U3104" s="23"/>
      <c r="V3104" s="23"/>
      <c r="W3104" s="23"/>
      <c r="X3104" s="23"/>
      <c r="Y3104" s="23"/>
      <c r="Z3104" s="23"/>
    </row>
    <row r="3105" spans="1:26" ht="13">
      <c r="A3105" s="562" t="s">
        <v>7201</v>
      </c>
      <c r="B3105" s="563" t="s">
        <v>7148</v>
      </c>
      <c r="C3105" s="564" t="s">
        <v>1612</v>
      </c>
      <c r="D3105" s="565">
        <v>42395</v>
      </c>
      <c r="E3105" s="565">
        <v>42429</v>
      </c>
      <c r="F3105" s="566">
        <v>1420</v>
      </c>
      <c r="G3105" s="564" t="s">
        <v>1424</v>
      </c>
      <c r="H3105" s="564" t="s">
        <v>1424</v>
      </c>
      <c r="I3105" s="564" t="s">
        <v>45</v>
      </c>
      <c r="J3105" s="564" t="s">
        <v>1069</v>
      </c>
      <c r="K3105" s="564" t="s">
        <v>1090</v>
      </c>
      <c r="L3105" s="564" t="s">
        <v>2098</v>
      </c>
      <c r="M3105" s="564" t="s">
        <v>2098</v>
      </c>
      <c r="N3105" s="564" t="s">
        <v>45</v>
      </c>
      <c r="O3105" s="564" t="s">
        <v>2099</v>
      </c>
      <c r="P3105" s="23"/>
      <c r="Q3105" s="23"/>
      <c r="R3105" s="23"/>
      <c r="S3105" s="23"/>
      <c r="T3105" s="23"/>
      <c r="U3105" s="23"/>
      <c r="V3105" s="23"/>
      <c r="W3105" s="23"/>
      <c r="X3105" s="23"/>
      <c r="Y3105" s="23"/>
      <c r="Z3105" s="23"/>
    </row>
    <row r="3106" spans="1:26" ht="13">
      <c r="A3106" s="562" t="s">
        <v>7202</v>
      </c>
      <c r="B3106" s="563" t="s">
        <v>5537</v>
      </c>
      <c r="C3106" s="564" t="s">
        <v>1612</v>
      </c>
      <c r="D3106" s="565">
        <v>42391</v>
      </c>
      <c r="E3106" s="565">
        <v>42429</v>
      </c>
      <c r="F3106" s="566">
        <v>1300</v>
      </c>
      <c r="G3106" s="564" t="s">
        <v>1424</v>
      </c>
      <c r="H3106" s="564" t="s">
        <v>1424</v>
      </c>
      <c r="I3106" s="564" t="s">
        <v>70</v>
      </c>
      <c r="J3106" s="564" t="s">
        <v>1069</v>
      </c>
      <c r="K3106" s="564" t="s">
        <v>1120</v>
      </c>
      <c r="L3106" s="564" t="s">
        <v>2098</v>
      </c>
      <c r="M3106" s="564" t="s">
        <v>2098</v>
      </c>
      <c r="N3106" s="564" t="s">
        <v>70</v>
      </c>
      <c r="O3106" s="564" t="s">
        <v>2099</v>
      </c>
      <c r="P3106" s="23"/>
      <c r="Q3106" s="23"/>
      <c r="R3106" s="23"/>
      <c r="S3106" s="23"/>
      <c r="T3106" s="23"/>
      <c r="U3106" s="23"/>
      <c r="V3106" s="23"/>
      <c r="W3106" s="23"/>
      <c r="X3106" s="23"/>
      <c r="Y3106" s="23"/>
      <c r="Z3106" s="23"/>
    </row>
    <row r="3107" spans="1:26" ht="13">
      <c r="A3107" s="562" t="s">
        <v>7203</v>
      </c>
      <c r="B3107" s="563" t="s">
        <v>7204</v>
      </c>
      <c r="C3107" s="564" t="s">
        <v>1612</v>
      </c>
      <c r="D3107" s="565">
        <v>42390</v>
      </c>
      <c r="E3107" s="565">
        <v>42422</v>
      </c>
      <c r="F3107" s="566">
        <v>5315</v>
      </c>
      <c r="G3107" s="564" t="s">
        <v>1424</v>
      </c>
      <c r="H3107" s="564" t="s">
        <v>1424</v>
      </c>
      <c r="I3107" s="564" t="s">
        <v>70</v>
      </c>
      <c r="J3107" s="564" t="s">
        <v>1069</v>
      </c>
      <c r="K3107" s="564" t="s">
        <v>1120</v>
      </c>
      <c r="L3107" s="564" t="s">
        <v>2098</v>
      </c>
      <c r="M3107" s="564" t="s">
        <v>2098</v>
      </c>
      <c r="N3107" s="564" t="s">
        <v>70</v>
      </c>
      <c r="O3107" s="564" t="s">
        <v>2099</v>
      </c>
      <c r="P3107" s="23"/>
      <c r="Q3107" s="23"/>
      <c r="R3107" s="23"/>
      <c r="S3107" s="23"/>
      <c r="T3107" s="23"/>
      <c r="U3107" s="23"/>
      <c r="V3107" s="23"/>
      <c r="W3107" s="23"/>
      <c r="X3107" s="23"/>
      <c r="Y3107" s="23"/>
      <c r="Z3107" s="23"/>
    </row>
    <row r="3108" spans="1:26" ht="13">
      <c r="A3108" s="562" t="s">
        <v>7205</v>
      </c>
      <c r="B3108" s="563" t="s">
        <v>6150</v>
      </c>
      <c r="C3108" s="564" t="s">
        <v>1612</v>
      </c>
      <c r="D3108" s="565">
        <v>42390</v>
      </c>
      <c r="E3108" s="565">
        <v>42422</v>
      </c>
      <c r="F3108" s="566">
        <v>1210</v>
      </c>
      <c r="G3108" s="564" t="s">
        <v>1424</v>
      </c>
      <c r="H3108" s="564" t="s">
        <v>1424</v>
      </c>
      <c r="I3108" s="564" t="s">
        <v>1837</v>
      </c>
      <c r="J3108" s="564" t="s">
        <v>1069</v>
      </c>
      <c r="K3108" s="564" t="s">
        <v>1070</v>
      </c>
      <c r="L3108" s="564" t="s">
        <v>2098</v>
      </c>
      <c r="M3108" s="564" t="s">
        <v>2098</v>
      </c>
      <c r="N3108" s="564" t="s">
        <v>1082</v>
      </c>
      <c r="O3108" s="564" t="s">
        <v>2099</v>
      </c>
      <c r="P3108" s="23"/>
      <c r="Q3108" s="23"/>
      <c r="R3108" s="23"/>
      <c r="S3108" s="23"/>
      <c r="T3108" s="23"/>
      <c r="U3108" s="23"/>
      <c r="V3108" s="23"/>
      <c r="W3108" s="23"/>
      <c r="X3108" s="23"/>
      <c r="Y3108" s="23"/>
      <c r="Z3108" s="23"/>
    </row>
    <row r="3109" spans="1:26" ht="13">
      <c r="A3109" s="562" t="s">
        <v>7206</v>
      </c>
      <c r="B3109" s="563" t="s">
        <v>7207</v>
      </c>
      <c r="C3109" s="564" t="s">
        <v>2191</v>
      </c>
      <c r="D3109" s="565">
        <v>42390</v>
      </c>
      <c r="E3109" s="565">
        <v>42400</v>
      </c>
      <c r="F3109" s="566">
        <v>110050000</v>
      </c>
      <c r="G3109" s="564" t="s">
        <v>7208</v>
      </c>
      <c r="H3109" s="564" t="s">
        <v>7208</v>
      </c>
      <c r="I3109" s="564" t="s">
        <v>7209</v>
      </c>
      <c r="J3109" s="564" t="s">
        <v>1069</v>
      </c>
      <c r="K3109" s="564" t="s">
        <v>1070</v>
      </c>
      <c r="L3109" s="564" t="s">
        <v>2098</v>
      </c>
      <c r="M3109" s="564" t="s">
        <v>2098</v>
      </c>
      <c r="N3109" s="564" t="s">
        <v>1082</v>
      </c>
      <c r="O3109" s="564" t="s">
        <v>2099</v>
      </c>
      <c r="P3109" s="23"/>
      <c r="Q3109" s="23"/>
      <c r="R3109" s="23"/>
      <c r="S3109" s="23"/>
      <c r="T3109" s="23"/>
      <c r="U3109" s="23"/>
      <c r="V3109" s="23"/>
      <c r="W3109" s="23"/>
      <c r="X3109" s="23"/>
      <c r="Y3109" s="23"/>
      <c r="Z3109" s="23"/>
    </row>
    <row r="3110" spans="1:26" ht="13">
      <c r="A3110" s="562" t="s">
        <v>7210</v>
      </c>
      <c r="B3110" s="563" t="s">
        <v>7211</v>
      </c>
      <c r="C3110" s="564" t="s">
        <v>1612</v>
      </c>
      <c r="D3110" s="565">
        <v>42390</v>
      </c>
      <c r="E3110" s="565">
        <v>42422</v>
      </c>
      <c r="F3110" s="566">
        <v>6770</v>
      </c>
      <c r="G3110" s="564" t="s">
        <v>1424</v>
      </c>
      <c r="H3110" s="564" t="s">
        <v>1424</v>
      </c>
      <c r="I3110" s="564" t="s">
        <v>64</v>
      </c>
      <c r="J3110" s="564" t="s">
        <v>1069</v>
      </c>
      <c r="K3110" s="564" t="s">
        <v>1090</v>
      </c>
      <c r="L3110" s="564" t="s">
        <v>2098</v>
      </c>
      <c r="M3110" s="564" t="s">
        <v>2098</v>
      </c>
      <c r="N3110" s="564" t="s">
        <v>64</v>
      </c>
      <c r="O3110" s="564" t="s">
        <v>2099</v>
      </c>
      <c r="P3110" s="23"/>
      <c r="Q3110" s="23"/>
      <c r="R3110" s="23"/>
      <c r="S3110" s="23"/>
      <c r="T3110" s="23"/>
      <c r="U3110" s="23"/>
      <c r="V3110" s="23"/>
      <c r="W3110" s="23"/>
      <c r="X3110" s="23"/>
      <c r="Y3110" s="23"/>
      <c r="Z3110" s="23"/>
    </row>
    <row r="3111" spans="1:26" ht="13">
      <c r="A3111" s="562" t="s">
        <v>7212</v>
      </c>
      <c r="B3111" s="563" t="s">
        <v>7213</v>
      </c>
      <c r="C3111" s="564" t="s">
        <v>1612</v>
      </c>
      <c r="D3111" s="565">
        <v>42384</v>
      </c>
      <c r="E3111" s="565">
        <v>42398</v>
      </c>
      <c r="F3111" s="566">
        <v>165162000</v>
      </c>
      <c r="G3111" s="564" t="s">
        <v>5465</v>
      </c>
      <c r="H3111" s="564" t="s">
        <v>5465</v>
      </c>
      <c r="I3111" s="564" t="s">
        <v>45</v>
      </c>
      <c r="J3111" s="564" t="s">
        <v>1069</v>
      </c>
      <c r="K3111" s="564" t="s">
        <v>1090</v>
      </c>
      <c r="L3111" s="564" t="s">
        <v>2098</v>
      </c>
      <c r="M3111" s="564" t="s">
        <v>2098</v>
      </c>
      <c r="N3111" s="564" t="s">
        <v>45</v>
      </c>
      <c r="O3111" s="564" t="s">
        <v>2099</v>
      </c>
      <c r="P3111" s="23"/>
      <c r="Q3111" s="23"/>
      <c r="R3111" s="23"/>
      <c r="S3111" s="23"/>
      <c r="T3111" s="23"/>
      <c r="U3111" s="23"/>
      <c r="V3111" s="23"/>
      <c r="W3111" s="23"/>
      <c r="X3111" s="23"/>
      <c r="Y3111" s="23"/>
      <c r="Z3111" s="23"/>
    </row>
    <row r="3112" spans="1:26" ht="13">
      <c r="A3112" s="562" t="s">
        <v>7214</v>
      </c>
      <c r="B3112" s="563" t="s">
        <v>6113</v>
      </c>
      <c r="C3112" s="564" t="s">
        <v>1612</v>
      </c>
      <c r="D3112" s="565">
        <v>42387</v>
      </c>
      <c r="E3112" s="565">
        <v>42429</v>
      </c>
      <c r="F3112" s="567">
        <v>432</v>
      </c>
      <c r="G3112" s="564" t="s">
        <v>1424</v>
      </c>
      <c r="H3112" s="564" t="s">
        <v>1424</v>
      </c>
      <c r="I3112" s="564" t="s">
        <v>125</v>
      </c>
      <c r="J3112" s="564" t="s">
        <v>1069</v>
      </c>
      <c r="K3112" s="564" t="s">
        <v>1070</v>
      </c>
      <c r="L3112" s="564" t="s">
        <v>2098</v>
      </c>
      <c r="M3112" s="564" t="s">
        <v>2098</v>
      </c>
      <c r="N3112" s="564" t="s">
        <v>1073</v>
      </c>
      <c r="O3112" s="564" t="s">
        <v>2099</v>
      </c>
      <c r="P3112" s="23"/>
      <c r="Q3112" s="23"/>
      <c r="R3112" s="23"/>
      <c r="S3112" s="23"/>
      <c r="T3112" s="23"/>
      <c r="U3112" s="23"/>
      <c r="V3112" s="23"/>
      <c r="W3112" s="23"/>
      <c r="X3112" s="23"/>
      <c r="Y3112" s="23"/>
      <c r="Z3112" s="23"/>
    </row>
    <row r="3113" spans="1:26" ht="13">
      <c r="A3113" s="562" t="s">
        <v>7215</v>
      </c>
      <c r="B3113" s="563" t="s">
        <v>7216</v>
      </c>
      <c r="C3113" s="564" t="s">
        <v>1612</v>
      </c>
      <c r="D3113" s="565">
        <v>42381</v>
      </c>
      <c r="E3113" s="565">
        <v>42419</v>
      </c>
      <c r="F3113" s="566">
        <v>1490</v>
      </c>
      <c r="G3113" s="564" t="s">
        <v>1424</v>
      </c>
      <c r="H3113" s="564" t="s">
        <v>1424</v>
      </c>
      <c r="I3113" s="564" t="s">
        <v>45</v>
      </c>
      <c r="J3113" s="564" t="s">
        <v>1069</v>
      </c>
      <c r="K3113" s="564" t="s">
        <v>1090</v>
      </c>
      <c r="L3113" s="564" t="s">
        <v>2098</v>
      </c>
      <c r="M3113" s="564" t="s">
        <v>2098</v>
      </c>
      <c r="N3113" s="564" t="s">
        <v>45</v>
      </c>
      <c r="O3113" s="564" t="s">
        <v>2099</v>
      </c>
      <c r="P3113" s="23"/>
      <c r="Q3113" s="23"/>
      <c r="R3113" s="23"/>
      <c r="S3113" s="23"/>
      <c r="T3113" s="23"/>
      <c r="U3113" s="23"/>
      <c r="V3113" s="23"/>
      <c r="W3113" s="23"/>
      <c r="X3113" s="23"/>
      <c r="Y3113" s="23"/>
      <c r="Z3113" s="23"/>
    </row>
    <row r="3114" spans="1:26" ht="13">
      <c r="A3114" s="562" t="s">
        <v>7217</v>
      </c>
      <c r="B3114" s="563" t="s">
        <v>7218</v>
      </c>
      <c r="C3114" s="564" t="s">
        <v>2191</v>
      </c>
      <c r="D3114" s="565">
        <v>42383</v>
      </c>
      <c r="E3114" s="565">
        <v>42405</v>
      </c>
      <c r="F3114" s="566">
        <v>712807</v>
      </c>
      <c r="G3114" s="564" t="s">
        <v>1636</v>
      </c>
      <c r="H3114" s="564" t="s">
        <v>1636</v>
      </c>
      <c r="I3114" s="564" t="s">
        <v>6762</v>
      </c>
      <c r="J3114" s="564" t="s">
        <v>1069</v>
      </c>
      <c r="K3114" s="564" t="s">
        <v>1070</v>
      </c>
      <c r="L3114" s="564" t="s">
        <v>2098</v>
      </c>
      <c r="M3114" s="564" t="s">
        <v>2098</v>
      </c>
      <c r="N3114" s="564" t="s">
        <v>1082</v>
      </c>
      <c r="O3114" s="564" t="s">
        <v>2099</v>
      </c>
      <c r="P3114" s="23"/>
      <c r="Q3114" s="23"/>
      <c r="R3114" s="23"/>
      <c r="S3114" s="23"/>
      <c r="T3114" s="23"/>
      <c r="U3114" s="23"/>
      <c r="V3114" s="23"/>
      <c r="W3114" s="23"/>
      <c r="X3114" s="23"/>
      <c r="Y3114" s="23"/>
      <c r="Z3114" s="23"/>
    </row>
    <row r="3115" spans="1:26" ht="13">
      <c r="A3115" s="562" t="s">
        <v>7219</v>
      </c>
      <c r="B3115" s="563" t="s">
        <v>7220</v>
      </c>
      <c r="C3115" s="564" t="s">
        <v>1612</v>
      </c>
      <c r="D3115" s="565">
        <v>42383</v>
      </c>
      <c r="E3115" s="565">
        <v>42419</v>
      </c>
      <c r="F3115" s="566">
        <v>2589</v>
      </c>
      <c r="G3115" s="564" t="s">
        <v>1424</v>
      </c>
      <c r="H3115" s="564" t="s">
        <v>1424</v>
      </c>
      <c r="I3115" s="564" t="s">
        <v>70</v>
      </c>
      <c r="J3115" s="564" t="s">
        <v>1069</v>
      </c>
      <c r="K3115" s="564" t="s">
        <v>1120</v>
      </c>
      <c r="L3115" s="564" t="s">
        <v>2098</v>
      </c>
      <c r="M3115" s="564" t="s">
        <v>2098</v>
      </c>
      <c r="N3115" s="564" t="s">
        <v>70</v>
      </c>
      <c r="O3115" s="564" t="s">
        <v>2099</v>
      </c>
      <c r="P3115" s="23"/>
      <c r="Q3115" s="23"/>
      <c r="R3115" s="23"/>
      <c r="S3115" s="23"/>
      <c r="T3115" s="23"/>
      <c r="U3115" s="23"/>
      <c r="V3115" s="23"/>
      <c r="W3115" s="23"/>
      <c r="X3115" s="23"/>
      <c r="Y3115" s="23"/>
      <c r="Z3115" s="23"/>
    </row>
    <row r="3116" spans="1:26" ht="13">
      <c r="A3116" s="562" t="s">
        <v>7221</v>
      </c>
      <c r="B3116" s="563" t="s">
        <v>7222</v>
      </c>
      <c r="C3116" s="564" t="s">
        <v>1612</v>
      </c>
      <c r="D3116" s="565">
        <v>42381</v>
      </c>
      <c r="E3116" s="565">
        <v>42419</v>
      </c>
      <c r="F3116" s="567">
        <v>190</v>
      </c>
      <c r="G3116" s="564" t="s">
        <v>1424</v>
      </c>
      <c r="H3116" s="564" t="s">
        <v>1424</v>
      </c>
      <c r="I3116" s="564" t="s">
        <v>45</v>
      </c>
      <c r="J3116" s="564" t="s">
        <v>1069</v>
      </c>
      <c r="K3116" s="564" t="s">
        <v>1090</v>
      </c>
      <c r="L3116" s="564" t="s">
        <v>2098</v>
      </c>
      <c r="M3116" s="564" t="s">
        <v>2098</v>
      </c>
      <c r="N3116" s="564" t="s">
        <v>45</v>
      </c>
      <c r="O3116" s="564" t="s">
        <v>2099</v>
      </c>
      <c r="P3116" s="23"/>
      <c r="Q3116" s="23"/>
      <c r="R3116" s="23"/>
      <c r="S3116" s="23"/>
      <c r="T3116" s="23"/>
      <c r="U3116" s="23"/>
      <c r="V3116" s="23"/>
      <c r="W3116" s="23"/>
      <c r="X3116" s="23"/>
      <c r="Y3116" s="23"/>
      <c r="Z3116" s="23"/>
    </row>
    <row r="3117" spans="1:26" ht="13">
      <c r="A3117" s="562" t="s">
        <v>7223</v>
      </c>
      <c r="B3117" s="563" t="s">
        <v>6727</v>
      </c>
      <c r="C3117" s="564" t="s">
        <v>1612</v>
      </c>
      <c r="D3117" s="565">
        <v>42377</v>
      </c>
      <c r="E3117" s="565">
        <v>42398</v>
      </c>
      <c r="F3117" s="566">
        <v>9800000</v>
      </c>
      <c r="G3117" s="564" t="s">
        <v>5465</v>
      </c>
      <c r="H3117" s="564" t="s">
        <v>5465</v>
      </c>
      <c r="I3117" s="564" t="s">
        <v>45</v>
      </c>
      <c r="J3117" s="564" t="s">
        <v>1069</v>
      </c>
      <c r="K3117" s="564" t="s">
        <v>1090</v>
      </c>
      <c r="L3117" s="564" t="s">
        <v>2098</v>
      </c>
      <c r="M3117" s="564" t="s">
        <v>2098</v>
      </c>
      <c r="N3117" s="564" t="s">
        <v>45</v>
      </c>
      <c r="O3117" s="564" t="s">
        <v>2099</v>
      </c>
      <c r="P3117" s="23"/>
      <c r="Q3117" s="23"/>
      <c r="R3117" s="23"/>
      <c r="S3117" s="23"/>
      <c r="T3117" s="23"/>
      <c r="U3117" s="23"/>
      <c r="V3117" s="23"/>
      <c r="W3117" s="23"/>
      <c r="X3117" s="23"/>
      <c r="Y3117" s="23"/>
      <c r="Z3117" s="23"/>
    </row>
    <row r="3118" spans="1:26" ht="13">
      <c r="A3118" s="562" t="s">
        <v>7224</v>
      </c>
      <c r="B3118" s="563" t="s">
        <v>7225</v>
      </c>
      <c r="C3118" s="564" t="s">
        <v>1612</v>
      </c>
      <c r="D3118" s="565">
        <v>42380</v>
      </c>
      <c r="E3118" s="565">
        <v>42400</v>
      </c>
      <c r="F3118" s="566">
        <v>52500</v>
      </c>
      <c r="G3118" s="564" t="s">
        <v>7208</v>
      </c>
      <c r="H3118" s="564" t="s">
        <v>7208</v>
      </c>
      <c r="I3118" s="564" t="s">
        <v>45</v>
      </c>
      <c r="J3118" s="564" t="s">
        <v>1069</v>
      </c>
      <c r="K3118" s="564" t="s">
        <v>1090</v>
      </c>
      <c r="L3118" s="564" t="s">
        <v>2098</v>
      </c>
      <c r="M3118" s="564" t="s">
        <v>2098</v>
      </c>
      <c r="N3118" s="564" t="s">
        <v>45</v>
      </c>
      <c r="O3118" s="564" t="s">
        <v>2099</v>
      </c>
      <c r="P3118" s="23"/>
      <c r="Q3118" s="23"/>
      <c r="R3118" s="23"/>
      <c r="S3118" s="23"/>
      <c r="T3118" s="23"/>
      <c r="U3118" s="23"/>
      <c r="V3118" s="23"/>
      <c r="W3118" s="23"/>
      <c r="X3118" s="23"/>
      <c r="Y3118" s="23"/>
      <c r="Z3118" s="23"/>
    </row>
    <row r="3119" spans="1:26" ht="13">
      <c r="A3119" s="562" t="s">
        <v>7226</v>
      </c>
      <c r="B3119" s="563" t="s">
        <v>6187</v>
      </c>
      <c r="C3119" s="564" t="s">
        <v>1612</v>
      </c>
      <c r="D3119" s="565">
        <v>42380</v>
      </c>
      <c r="E3119" s="565">
        <v>42398</v>
      </c>
      <c r="F3119" s="566">
        <v>125406000</v>
      </c>
      <c r="G3119" s="564" t="s">
        <v>5465</v>
      </c>
      <c r="H3119" s="564" t="s">
        <v>5465</v>
      </c>
      <c r="I3119" s="564" t="s">
        <v>45</v>
      </c>
      <c r="J3119" s="564" t="s">
        <v>1069</v>
      </c>
      <c r="K3119" s="564" t="s">
        <v>1090</v>
      </c>
      <c r="L3119" s="564" t="s">
        <v>2098</v>
      </c>
      <c r="M3119" s="564" t="s">
        <v>2098</v>
      </c>
      <c r="N3119" s="564" t="s">
        <v>45</v>
      </c>
      <c r="O3119" s="564" t="s">
        <v>2099</v>
      </c>
      <c r="P3119" s="23"/>
      <c r="Q3119" s="23"/>
      <c r="R3119" s="23"/>
      <c r="S3119" s="23"/>
      <c r="T3119" s="23"/>
      <c r="U3119" s="23"/>
      <c r="V3119" s="23"/>
      <c r="W3119" s="23"/>
      <c r="X3119" s="23"/>
      <c r="Y3119" s="23"/>
      <c r="Z3119" s="23"/>
    </row>
    <row r="3120" spans="1:26" ht="13">
      <c r="A3120" s="562" t="s">
        <v>7227</v>
      </c>
      <c r="B3120" s="563" t="s">
        <v>7228</v>
      </c>
      <c r="C3120" s="564" t="s">
        <v>1612</v>
      </c>
      <c r="D3120" s="565">
        <v>42381</v>
      </c>
      <c r="E3120" s="565">
        <v>42371</v>
      </c>
      <c r="F3120" s="566">
        <v>7650000</v>
      </c>
      <c r="G3120" s="564" t="s">
        <v>6780</v>
      </c>
      <c r="H3120" s="564" t="s">
        <v>6780</v>
      </c>
      <c r="I3120" s="564" t="s">
        <v>257</v>
      </c>
      <c r="J3120" s="564" t="s">
        <v>1069</v>
      </c>
      <c r="K3120" s="564" t="s">
        <v>1209</v>
      </c>
      <c r="L3120" s="564" t="s">
        <v>2098</v>
      </c>
      <c r="M3120" s="564" t="s">
        <v>2098</v>
      </c>
      <c r="N3120" s="564" t="s">
        <v>257</v>
      </c>
      <c r="O3120" s="564" t="s">
        <v>2099</v>
      </c>
      <c r="P3120" s="23"/>
      <c r="Q3120" s="23"/>
      <c r="R3120" s="23"/>
      <c r="S3120" s="23"/>
      <c r="T3120" s="23"/>
      <c r="U3120" s="23"/>
      <c r="V3120" s="23"/>
      <c r="W3120" s="23"/>
      <c r="X3120" s="23"/>
      <c r="Y3120" s="23"/>
      <c r="Z3120" s="23"/>
    </row>
    <row r="3121" spans="1:26" ht="13">
      <c r="A3121" s="562" t="s">
        <v>7229</v>
      </c>
      <c r="B3121" s="563" t="s">
        <v>7230</v>
      </c>
      <c r="C3121" s="564" t="s">
        <v>6860</v>
      </c>
      <c r="D3121" s="565">
        <v>42373</v>
      </c>
      <c r="E3121" s="565">
        <v>42490</v>
      </c>
      <c r="F3121" s="566">
        <v>214800</v>
      </c>
      <c r="G3121" s="564" t="s">
        <v>1116</v>
      </c>
      <c r="H3121" s="564" t="s">
        <v>1116</v>
      </c>
      <c r="I3121" s="564" t="s">
        <v>7231</v>
      </c>
      <c r="J3121" s="564" t="s">
        <v>1069</v>
      </c>
      <c r="K3121" s="564" t="s">
        <v>1070</v>
      </c>
      <c r="L3121" s="564" t="s">
        <v>2098</v>
      </c>
      <c r="M3121" s="564" t="s">
        <v>2098</v>
      </c>
      <c r="N3121" s="564" t="s">
        <v>1082</v>
      </c>
      <c r="O3121" s="564" t="s">
        <v>2099</v>
      </c>
      <c r="P3121" s="23"/>
      <c r="Q3121" s="23"/>
      <c r="R3121" s="23"/>
      <c r="S3121" s="23"/>
      <c r="T3121" s="23"/>
      <c r="U3121" s="23"/>
      <c r="V3121" s="23"/>
      <c r="W3121" s="23"/>
      <c r="X3121" s="23"/>
      <c r="Y3121" s="23"/>
      <c r="Z3121" s="23"/>
    </row>
    <row r="3122" spans="1:26" ht="13">
      <c r="A3122" s="562" t="s">
        <v>7232</v>
      </c>
      <c r="B3122" s="563" t="s">
        <v>6731</v>
      </c>
      <c r="C3122" s="564" t="s">
        <v>1612</v>
      </c>
      <c r="D3122" s="565">
        <v>42376</v>
      </c>
      <c r="E3122" s="565">
        <v>42398</v>
      </c>
      <c r="F3122" s="566">
        <v>12000000</v>
      </c>
      <c r="G3122" s="564" t="s">
        <v>5465</v>
      </c>
      <c r="H3122" s="564" t="s">
        <v>5465</v>
      </c>
      <c r="I3122" s="564" t="s">
        <v>45</v>
      </c>
      <c r="J3122" s="564" t="s">
        <v>1069</v>
      </c>
      <c r="K3122" s="564" t="s">
        <v>1090</v>
      </c>
      <c r="L3122" s="564" t="s">
        <v>2098</v>
      </c>
      <c r="M3122" s="564" t="s">
        <v>2098</v>
      </c>
      <c r="N3122" s="564" t="s">
        <v>45</v>
      </c>
      <c r="O3122" s="564" t="s">
        <v>2099</v>
      </c>
      <c r="P3122" s="23"/>
      <c r="Q3122" s="23"/>
      <c r="R3122" s="23"/>
      <c r="S3122" s="23"/>
      <c r="T3122" s="23"/>
      <c r="U3122" s="23"/>
      <c r="V3122" s="23"/>
      <c r="W3122" s="23"/>
      <c r="X3122" s="23"/>
      <c r="Y3122" s="23"/>
      <c r="Z3122" s="23"/>
    </row>
    <row r="3123" spans="1:26" ht="13">
      <c r="A3123" s="562" t="s">
        <v>7233</v>
      </c>
      <c r="B3123" s="563" t="s">
        <v>7234</v>
      </c>
      <c r="C3123" s="564" t="s">
        <v>1612</v>
      </c>
      <c r="D3123" s="565">
        <v>42374</v>
      </c>
      <c r="E3123" s="565">
        <v>42391</v>
      </c>
      <c r="F3123" s="566">
        <v>5682600</v>
      </c>
      <c r="G3123" s="564" t="s">
        <v>1623</v>
      </c>
      <c r="H3123" s="564" t="s">
        <v>1623</v>
      </c>
      <c r="I3123" s="564" t="s">
        <v>802</v>
      </c>
      <c r="J3123" s="564" t="s">
        <v>1069</v>
      </c>
      <c r="K3123" s="564" t="s">
        <v>1198</v>
      </c>
      <c r="L3123" s="564" t="s">
        <v>2098</v>
      </c>
      <c r="M3123" s="564" t="s">
        <v>2098</v>
      </c>
      <c r="N3123" s="564" t="s">
        <v>132</v>
      </c>
      <c r="O3123" s="564" t="s">
        <v>2099</v>
      </c>
      <c r="P3123" s="23"/>
      <c r="Q3123" s="23"/>
      <c r="R3123" s="23"/>
      <c r="S3123" s="23"/>
      <c r="T3123" s="23"/>
      <c r="U3123" s="23"/>
      <c r="V3123" s="23"/>
      <c r="W3123" s="23"/>
      <c r="X3123" s="23"/>
      <c r="Y3123" s="23"/>
      <c r="Z3123" s="23"/>
    </row>
    <row r="3124" spans="1:26" ht="13">
      <c r="A3124" s="562" t="s">
        <v>7235</v>
      </c>
      <c r="B3124" s="563" t="s">
        <v>7236</v>
      </c>
      <c r="C3124" s="564" t="s">
        <v>1612</v>
      </c>
      <c r="D3124" s="565">
        <v>42374</v>
      </c>
      <c r="E3124" s="565">
        <v>42391</v>
      </c>
      <c r="F3124" s="566">
        <v>7245000</v>
      </c>
      <c r="G3124" s="564" t="s">
        <v>1623</v>
      </c>
      <c r="H3124" s="564" t="s">
        <v>1623</v>
      </c>
      <c r="I3124" s="564" t="s">
        <v>802</v>
      </c>
      <c r="J3124" s="564" t="s">
        <v>1069</v>
      </c>
      <c r="K3124" s="564" t="s">
        <v>1198</v>
      </c>
      <c r="L3124" s="564" t="s">
        <v>2098</v>
      </c>
      <c r="M3124" s="564" t="s">
        <v>2098</v>
      </c>
      <c r="N3124" s="564" t="s">
        <v>132</v>
      </c>
      <c r="O3124" s="564" t="s">
        <v>2099</v>
      </c>
      <c r="P3124" s="23"/>
      <c r="Q3124" s="23"/>
      <c r="R3124" s="23"/>
      <c r="S3124" s="23"/>
      <c r="T3124" s="23"/>
      <c r="U3124" s="23"/>
      <c r="V3124" s="23"/>
      <c r="W3124" s="23"/>
      <c r="X3124" s="23"/>
      <c r="Y3124" s="23"/>
      <c r="Z3124" s="23"/>
    </row>
    <row r="3125" spans="1:26" ht="13">
      <c r="A3125" s="562" t="s">
        <v>7237</v>
      </c>
      <c r="B3125" s="563" t="s">
        <v>7238</v>
      </c>
      <c r="C3125" s="564" t="s">
        <v>1612</v>
      </c>
      <c r="D3125" s="565">
        <v>42373</v>
      </c>
      <c r="E3125" s="565">
        <v>42398</v>
      </c>
      <c r="F3125" s="566">
        <v>6510</v>
      </c>
      <c r="G3125" s="564" t="s">
        <v>1424</v>
      </c>
      <c r="H3125" s="564" t="s">
        <v>1424</v>
      </c>
      <c r="I3125" s="564" t="s">
        <v>121</v>
      </c>
      <c r="J3125" s="564" t="s">
        <v>1069</v>
      </c>
      <c r="K3125" s="564" t="s">
        <v>1105</v>
      </c>
      <c r="L3125" s="564" t="s">
        <v>2098</v>
      </c>
      <c r="M3125" s="564" t="s">
        <v>2098</v>
      </c>
      <c r="N3125" s="564" t="s">
        <v>1073</v>
      </c>
      <c r="O3125" s="564" t="s">
        <v>2099</v>
      </c>
      <c r="P3125" s="23"/>
      <c r="Q3125" s="23"/>
      <c r="R3125" s="23"/>
      <c r="S3125" s="23"/>
      <c r="T3125" s="23"/>
      <c r="U3125" s="23"/>
      <c r="V3125" s="23"/>
      <c r="W3125" s="23"/>
      <c r="X3125" s="23"/>
      <c r="Y3125" s="23"/>
      <c r="Z3125" s="23"/>
    </row>
    <row r="3126" spans="1:26" ht="13">
      <c r="A3126" s="562" t="s">
        <v>7239</v>
      </c>
      <c r="B3126" s="563" t="s">
        <v>7240</v>
      </c>
      <c r="C3126" s="564" t="s">
        <v>1612</v>
      </c>
      <c r="D3126" s="565">
        <v>42369</v>
      </c>
      <c r="E3126" s="565">
        <v>42398</v>
      </c>
      <c r="F3126" s="566">
        <v>5178</v>
      </c>
      <c r="G3126" s="564" t="s">
        <v>1424</v>
      </c>
      <c r="H3126" s="564" t="s">
        <v>1424</v>
      </c>
      <c r="I3126" s="564" t="s">
        <v>70</v>
      </c>
      <c r="J3126" s="564" t="s">
        <v>1069</v>
      </c>
      <c r="K3126" s="564" t="s">
        <v>1120</v>
      </c>
      <c r="L3126" s="564" t="s">
        <v>2098</v>
      </c>
      <c r="M3126" s="564" t="s">
        <v>2098</v>
      </c>
      <c r="N3126" s="564" t="s">
        <v>70</v>
      </c>
      <c r="O3126" s="564" t="s">
        <v>2099</v>
      </c>
      <c r="P3126" s="23"/>
      <c r="Q3126" s="23"/>
      <c r="R3126" s="23"/>
      <c r="S3126" s="23"/>
      <c r="T3126" s="23"/>
      <c r="U3126" s="23"/>
      <c r="V3126" s="23"/>
      <c r="W3126" s="23"/>
      <c r="X3126" s="23"/>
      <c r="Y3126" s="23"/>
      <c r="Z3126" s="23"/>
    </row>
    <row r="3127" spans="1:26" ht="13">
      <c r="A3127" s="562" t="s">
        <v>7241</v>
      </c>
      <c r="B3127" s="563" t="s">
        <v>7242</v>
      </c>
      <c r="C3127" s="564" t="s">
        <v>1612</v>
      </c>
      <c r="D3127" s="565">
        <v>42368</v>
      </c>
      <c r="E3127" s="565">
        <v>42398</v>
      </c>
      <c r="F3127" s="567">
        <v>990</v>
      </c>
      <c r="G3127" s="564" t="s">
        <v>1424</v>
      </c>
      <c r="H3127" s="564" t="s">
        <v>1424</v>
      </c>
      <c r="I3127" s="564" t="s">
        <v>45</v>
      </c>
      <c r="J3127" s="564" t="s">
        <v>1069</v>
      </c>
      <c r="K3127" s="564" t="s">
        <v>1090</v>
      </c>
      <c r="L3127" s="564" t="s">
        <v>2098</v>
      </c>
      <c r="M3127" s="564" t="s">
        <v>2098</v>
      </c>
      <c r="N3127" s="564" t="s">
        <v>45</v>
      </c>
      <c r="O3127" s="564" t="s">
        <v>2099</v>
      </c>
      <c r="P3127" s="23"/>
      <c r="Q3127" s="23"/>
      <c r="R3127" s="23"/>
      <c r="S3127" s="23"/>
      <c r="T3127" s="23"/>
      <c r="U3127" s="23"/>
      <c r="V3127" s="23"/>
      <c r="W3127" s="23"/>
      <c r="X3127" s="23"/>
      <c r="Y3127" s="23"/>
      <c r="Z3127" s="23"/>
    </row>
    <row r="3128" spans="1:26" ht="13">
      <c r="A3128" s="562" t="s">
        <v>7243</v>
      </c>
      <c r="B3128" s="563" t="s">
        <v>7244</v>
      </c>
      <c r="C3128" s="564" t="s">
        <v>1612</v>
      </c>
      <c r="D3128" s="565">
        <v>42368</v>
      </c>
      <c r="E3128" s="565">
        <v>42391</v>
      </c>
      <c r="F3128" s="566">
        <v>2172727</v>
      </c>
      <c r="G3128" s="564" t="s">
        <v>1623</v>
      </c>
      <c r="H3128" s="564" t="s">
        <v>1623</v>
      </c>
      <c r="I3128" s="564" t="s">
        <v>802</v>
      </c>
      <c r="J3128" s="564" t="s">
        <v>1069</v>
      </c>
      <c r="K3128" s="564" t="s">
        <v>1198</v>
      </c>
      <c r="L3128" s="564" t="s">
        <v>2098</v>
      </c>
      <c r="M3128" s="564" t="s">
        <v>2098</v>
      </c>
      <c r="N3128" s="564" t="s">
        <v>132</v>
      </c>
      <c r="O3128" s="564" t="s">
        <v>2099</v>
      </c>
      <c r="P3128" s="23"/>
      <c r="Q3128" s="23"/>
      <c r="R3128" s="23"/>
      <c r="S3128" s="23"/>
      <c r="T3128" s="23"/>
      <c r="U3128" s="23"/>
      <c r="V3128" s="23"/>
      <c r="W3128" s="23"/>
      <c r="X3128" s="23"/>
      <c r="Y3128" s="23"/>
      <c r="Z3128" s="23"/>
    </row>
    <row r="3129" spans="1:26" ht="13">
      <c r="A3129" s="562" t="s">
        <v>7245</v>
      </c>
      <c r="B3129" s="563" t="s">
        <v>7246</v>
      </c>
      <c r="C3129" s="564" t="s">
        <v>1612</v>
      </c>
      <c r="D3129" s="565">
        <v>42368</v>
      </c>
      <c r="E3129" s="565">
        <v>42398</v>
      </c>
      <c r="F3129" s="566">
        <v>3452</v>
      </c>
      <c r="G3129" s="564" t="s">
        <v>1424</v>
      </c>
      <c r="H3129" s="564" t="s">
        <v>1424</v>
      </c>
      <c r="I3129" s="564" t="s">
        <v>70</v>
      </c>
      <c r="J3129" s="564" t="s">
        <v>1069</v>
      </c>
      <c r="K3129" s="564" t="s">
        <v>1120</v>
      </c>
      <c r="L3129" s="564" t="s">
        <v>2098</v>
      </c>
      <c r="M3129" s="564" t="s">
        <v>2098</v>
      </c>
      <c r="N3129" s="564" t="s">
        <v>70</v>
      </c>
      <c r="O3129" s="564" t="s">
        <v>2099</v>
      </c>
      <c r="P3129" s="23"/>
      <c r="Q3129" s="23"/>
      <c r="R3129" s="23"/>
      <c r="S3129" s="23"/>
      <c r="T3129" s="23"/>
      <c r="U3129" s="23"/>
      <c r="V3129" s="23"/>
      <c r="W3129" s="23"/>
      <c r="X3129" s="23"/>
      <c r="Y3129" s="23"/>
      <c r="Z3129" s="23"/>
    </row>
    <row r="3130" spans="1:26" ht="13">
      <c r="A3130" s="562" t="s">
        <v>7247</v>
      </c>
      <c r="B3130" s="563" t="s">
        <v>7248</v>
      </c>
      <c r="C3130" s="564" t="s">
        <v>1612</v>
      </c>
      <c r="D3130" s="565">
        <v>42369</v>
      </c>
      <c r="E3130" s="565">
        <v>42390</v>
      </c>
      <c r="F3130" s="566">
        <v>41063634</v>
      </c>
      <c r="G3130" s="564" t="s">
        <v>1623</v>
      </c>
      <c r="H3130" s="564" t="s">
        <v>1623</v>
      </c>
      <c r="I3130" s="564" t="s">
        <v>802</v>
      </c>
      <c r="J3130" s="564" t="s">
        <v>1069</v>
      </c>
      <c r="K3130" s="564" t="s">
        <v>1198</v>
      </c>
      <c r="L3130" s="564" t="s">
        <v>2098</v>
      </c>
      <c r="M3130" s="564" t="s">
        <v>2098</v>
      </c>
      <c r="N3130" s="564" t="s">
        <v>132</v>
      </c>
      <c r="O3130" s="564" t="s">
        <v>2099</v>
      </c>
      <c r="P3130" s="23"/>
      <c r="Q3130" s="23"/>
      <c r="R3130" s="23"/>
      <c r="S3130" s="23"/>
      <c r="T3130" s="23"/>
      <c r="U3130" s="23"/>
      <c r="V3130" s="23"/>
      <c r="W3130" s="23"/>
      <c r="X3130" s="23"/>
      <c r="Y3130" s="23"/>
      <c r="Z3130" s="23"/>
    </row>
    <row r="3131" spans="1:26" ht="13">
      <c r="A3131" s="562" t="s">
        <v>7249</v>
      </c>
      <c r="B3131" s="563" t="s">
        <v>7250</v>
      </c>
      <c r="C3131" s="564" t="s">
        <v>1612</v>
      </c>
      <c r="D3131" s="565">
        <v>42369</v>
      </c>
      <c r="E3131" s="565">
        <v>42380</v>
      </c>
      <c r="F3131" s="566">
        <v>600000</v>
      </c>
      <c r="G3131" s="564" t="s">
        <v>1623</v>
      </c>
      <c r="H3131" s="564" t="s">
        <v>1623</v>
      </c>
      <c r="I3131" s="564" t="s">
        <v>802</v>
      </c>
      <c r="J3131" s="564" t="s">
        <v>1069</v>
      </c>
      <c r="K3131" s="564" t="s">
        <v>1198</v>
      </c>
      <c r="L3131" s="564" t="s">
        <v>2098</v>
      </c>
      <c r="M3131" s="564" t="s">
        <v>2098</v>
      </c>
      <c r="N3131" s="564" t="s">
        <v>132</v>
      </c>
      <c r="O3131" s="564" t="s">
        <v>2099</v>
      </c>
      <c r="P3131" s="23"/>
      <c r="Q3131" s="23"/>
      <c r="R3131" s="23"/>
      <c r="S3131" s="23"/>
      <c r="T3131" s="23"/>
      <c r="U3131" s="23"/>
      <c r="V3131" s="23"/>
      <c r="W3131" s="23"/>
      <c r="X3131" s="23"/>
      <c r="Y3131" s="23"/>
      <c r="Z3131" s="23"/>
    </row>
    <row r="3132" spans="1:26" ht="13">
      <c r="A3132" s="562" t="s">
        <v>7251</v>
      </c>
      <c r="B3132" s="563" t="s">
        <v>7252</v>
      </c>
      <c r="C3132" s="564" t="s">
        <v>2191</v>
      </c>
      <c r="D3132" s="565">
        <v>42362</v>
      </c>
      <c r="E3132" s="565">
        <v>42374</v>
      </c>
      <c r="F3132" s="566">
        <v>58280000</v>
      </c>
      <c r="G3132" s="564" t="s">
        <v>7208</v>
      </c>
      <c r="H3132" s="564" t="s">
        <v>7208</v>
      </c>
      <c r="I3132" s="564" t="s">
        <v>1826</v>
      </c>
      <c r="J3132" s="564" t="s">
        <v>1069</v>
      </c>
      <c r="K3132" s="564" t="s">
        <v>1070</v>
      </c>
      <c r="L3132" s="564" t="s">
        <v>2098</v>
      </c>
      <c r="M3132" s="564" t="s">
        <v>2098</v>
      </c>
      <c r="N3132" s="564" t="s">
        <v>1082</v>
      </c>
      <c r="O3132" s="564" t="s">
        <v>2099</v>
      </c>
      <c r="P3132" s="23"/>
      <c r="Q3132" s="23"/>
      <c r="R3132" s="23"/>
      <c r="S3132" s="23"/>
      <c r="T3132" s="23"/>
      <c r="U3132" s="23"/>
      <c r="V3132" s="23"/>
      <c r="W3132" s="23"/>
      <c r="X3132" s="23"/>
      <c r="Y3132" s="23"/>
      <c r="Z3132" s="23"/>
    </row>
    <row r="3133" spans="1:26" ht="13">
      <c r="A3133" s="562" t="s">
        <v>7253</v>
      </c>
      <c r="B3133" s="563" t="s">
        <v>7254</v>
      </c>
      <c r="C3133" s="564" t="s">
        <v>1612</v>
      </c>
      <c r="D3133" s="565">
        <v>42361</v>
      </c>
      <c r="E3133" s="565">
        <v>42400</v>
      </c>
      <c r="F3133" s="566">
        <v>27380</v>
      </c>
      <c r="G3133" s="564" t="s">
        <v>1116</v>
      </c>
      <c r="H3133" s="564" t="s">
        <v>1116</v>
      </c>
      <c r="I3133" s="564" t="s">
        <v>45</v>
      </c>
      <c r="J3133" s="564" t="s">
        <v>1069</v>
      </c>
      <c r="K3133" s="564" t="s">
        <v>1090</v>
      </c>
      <c r="L3133" s="564" t="s">
        <v>2098</v>
      </c>
      <c r="M3133" s="564" t="s">
        <v>2098</v>
      </c>
      <c r="N3133" s="564" t="s">
        <v>45</v>
      </c>
      <c r="O3133" s="564" t="s">
        <v>2099</v>
      </c>
      <c r="P3133" s="23"/>
      <c r="Q3133" s="23"/>
      <c r="R3133" s="23"/>
      <c r="S3133" s="23"/>
      <c r="T3133" s="23"/>
      <c r="U3133" s="23"/>
      <c r="V3133" s="23"/>
      <c r="W3133" s="23"/>
      <c r="X3133" s="23"/>
      <c r="Y3133" s="23"/>
      <c r="Z3133" s="23"/>
    </row>
    <row r="3134" spans="1:26" ht="13">
      <c r="A3134" s="562" t="s">
        <v>7255</v>
      </c>
      <c r="B3134" s="563" t="s">
        <v>7256</v>
      </c>
      <c r="C3134" s="564" t="s">
        <v>1612</v>
      </c>
      <c r="D3134" s="565">
        <v>42361</v>
      </c>
      <c r="E3134" s="565">
        <v>42391</v>
      </c>
      <c r="F3134" s="566">
        <v>8140</v>
      </c>
      <c r="G3134" s="564" t="s">
        <v>1424</v>
      </c>
      <c r="H3134" s="564" t="s">
        <v>1424</v>
      </c>
      <c r="I3134" s="564" t="s">
        <v>64</v>
      </c>
      <c r="J3134" s="564" t="s">
        <v>1069</v>
      </c>
      <c r="K3134" s="564" t="s">
        <v>1090</v>
      </c>
      <c r="L3134" s="564" t="s">
        <v>2098</v>
      </c>
      <c r="M3134" s="564" t="s">
        <v>2098</v>
      </c>
      <c r="N3134" s="564" t="s">
        <v>64</v>
      </c>
      <c r="O3134" s="564" t="s">
        <v>2099</v>
      </c>
      <c r="P3134" s="23"/>
      <c r="Q3134" s="23"/>
      <c r="R3134" s="23"/>
      <c r="S3134" s="23"/>
      <c r="T3134" s="23"/>
      <c r="U3134" s="23"/>
      <c r="V3134" s="23"/>
      <c r="W3134" s="23"/>
      <c r="X3134" s="23"/>
      <c r="Y3134" s="23"/>
      <c r="Z3134" s="23"/>
    </row>
    <row r="3135" spans="1:26" ht="13">
      <c r="A3135" s="562" t="s">
        <v>7257</v>
      </c>
      <c r="B3135" s="563" t="s">
        <v>7258</v>
      </c>
      <c r="C3135" s="564" t="s">
        <v>2191</v>
      </c>
      <c r="D3135" s="565">
        <v>42362</v>
      </c>
      <c r="E3135" s="565">
        <v>42389</v>
      </c>
      <c r="F3135" s="566">
        <v>3436</v>
      </c>
      <c r="G3135" s="564" t="s">
        <v>1636</v>
      </c>
      <c r="H3135" s="564" t="s">
        <v>1636</v>
      </c>
      <c r="I3135" s="564" t="s">
        <v>7259</v>
      </c>
      <c r="J3135" s="564" t="s">
        <v>1069</v>
      </c>
      <c r="K3135" s="564" t="s">
        <v>1070</v>
      </c>
      <c r="L3135" s="564" t="s">
        <v>2098</v>
      </c>
      <c r="M3135" s="564" t="s">
        <v>2098</v>
      </c>
      <c r="N3135" s="564" t="s">
        <v>1082</v>
      </c>
      <c r="O3135" s="564" t="s">
        <v>2099</v>
      </c>
      <c r="P3135" s="23"/>
      <c r="Q3135" s="23"/>
      <c r="R3135" s="23"/>
      <c r="S3135" s="23"/>
      <c r="T3135" s="23"/>
      <c r="U3135" s="23"/>
      <c r="V3135" s="23"/>
      <c r="W3135" s="23"/>
      <c r="X3135" s="23"/>
      <c r="Y3135" s="23"/>
      <c r="Z3135" s="23"/>
    </row>
    <row r="3136" spans="1:26" ht="13">
      <c r="A3136" s="562" t="s">
        <v>7260</v>
      </c>
      <c r="B3136" s="563" t="s">
        <v>7261</v>
      </c>
      <c r="C3136" s="564" t="s">
        <v>1612</v>
      </c>
      <c r="D3136" s="565">
        <v>42360</v>
      </c>
      <c r="E3136" s="565">
        <v>42391</v>
      </c>
      <c r="F3136" s="566">
        <v>1359</v>
      </c>
      <c r="G3136" s="564" t="s">
        <v>1424</v>
      </c>
      <c r="H3136" s="564" t="s">
        <v>1424</v>
      </c>
      <c r="I3136" s="564" t="s">
        <v>70</v>
      </c>
      <c r="J3136" s="564" t="s">
        <v>1069</v>
      </c>
      <c r="K3136" s="564" t="s">
        <v>1120</v>
      </c>
      <c r="L3136" s="564" t="s">
        <v>2098</v>
      </c>
      <c r="M3136" s="564" t="s">
        <v>2098</v>
      </c>
      <c r="N3136" s="564" t="s">
        <v>70</v>
      </c>
      <c r="O3136" s="564" t="s">
        <v>2099</v>
      </c>
      <c r="P3136" s="23"/>
      <c r="Q3136" s="23"/>
      <c r="R3136" s="23"/>
      <c r="S3136" s="23"/>
      <c r="T3136" s="23"/>
      <c r="U3136" s="23"/>
      <c r="V3136" s="23"/>
      <c r="W3136" s="23"/>
      <c r="X3136" s="23"/>
      <c r="Y3136" s="23"/>
      <c r="Z3136" s="23"/>
    </row>
    <row r="3137" spans="1:26" ht="13">
      <c r="A3137" s="562" t="s">
        <v>7262</v>
      </c>
      <c r="B3137" s="563" t="s">
        <v>7263</v>
      </c>
      <c r="C3137" s="564" t="s">
        <v>1612</v>
      </c>
      <c r="D3137" s="565">
        <v>42355</v>
      </c>
      <c r="E3137" s="565">
        <v>42433</v>
      </c>
      <c r="F3137" s="566">
        <v>662440000</v>
      </c>
      <c r="G3137" s="564" t="s">
        <v>5465</v>
      </c>
      <c r="H3137" s="564" t="s">
        <v>5465</v>
      </c>
      <c r="I3137" s="564" t="s">
        <v>45</v>
      </c>
      <c r="J3137" s="564" t="s">
        <v>1069</v>
      </c>
      <c r="K3137" s="564" t="s">
        <v>1090</v>
      </c>
      <c r="L3137" s="564" t="s">
        <v>2098</v>
      </c>
      <c r="M3137" s="564" t="s">
        <v>2098</v>
      </c>
      <c r="N3137" s="564" t="s">
        <v>45</v>
      </c>
      <c r="O3137" s="564" t="s">
        <v>2099</v>
      </c>
      <c r="P3137" s="23"/>
      <c r="Q3137" s="23"/>
      <c r="R3137" s="23"/>
      <c r="S3137" s="23"/>
      <c r="T3137" s="23"/>
      <c r="U3137" s="23"/>
      <c r="V3137" s="23"/>
      <c r="W3137" s="23"/>
      <c r="X3137" s="23"/>
      <c r="Y3137" s="23"/>
      <c r="Z3137" s="23"/>
    </row>
    <row r="3138" spans="1:26" ht="13">
      <c r="A3138" s="562" t="s">
        <v>7264</v>
      </c>
      <c r="B3138" s="563" t="s">
        <v>6649</v>
      </c>
      <c r="C3138" s="564" t="s">
        <v>1612</v>
      </c>
      <c r="D3138" s="565">
        <v>42355</v>
      </c>
      <c r="E3138" s="565">
        <v>42384</v>
      </c>
      <c r="F3138" s="566">
        <v>1950</v>
      </c>
      <c r="G3138" s="564" t="s">
        <v>1424</v>
      </c>
      <c r="H3138" s="564" t="s">
        <v>1424</v>
      </c>
      <c r="I3138" s="564" t="s">
        <v>70</v>
      </c>
      <c r="J3138" s="564" t="s">
        <v>1069</v>
      </c>
      <c r="K3138" s="564" t="s">
        <v>1120</v>
      </c>
      <c r="L3138" s="564" t="s">
        <v>2098</v>
      </c>
      <c r="M3138" s="564" t="s">
        <v>2098</v>
      </c>
      <c r="N3138" s="564" t="s">
        <v>70</v>
      </c>
      <c r="O3138" s="564" t="s">
        <v>2099</v>
      </c>
      <c r="P3138" s="23"/>
      <c r="Q3138" s="23"/>
      <c r="R3138" s="23"/>
      <c r="S3138" s="23"/>
      <c r="T3138" s="23"/>
      <c r="U3138" s="23"/>
      <c r="V3138" s="23"/>
      <c r="W3138" s="23"/>
      <c r="X3138" s="23"/>
      <c r="Y3138" s="23"/>
      <c r="Z3138" s="23"/>
    </row>
    <row r="3139" spans="1:26" ht="13">
      <c r="A3139" s="562" t="s">
        <v>7265</v>
      </c>
      <c r="B3139" s="563" t="s">
        <v>7266</v>
      </c>
      <c r="C3139" s="564" t="s">
        <v>1612</v>
      </c>
      <c r="D3139" s="565">
        <v>42354</v>
      </c>
      <c r="E3139" s="565">
        <v>42368</v>
      </c>
      <c r="F3139" s="566">
        <v>47156000</v>
      </c>
      <c r="G3139" s="564" t="s">
        <v>1128</v>
      </c>
      <c r="H3139" s="564" t="s">
        <v>1128</v>
      </c>
      <c r="I3139" s="564" t="s">
        <v>45</v>
      </c>
      <c r="J3139" s="564" t="s">
        <v>1069</v>
      </c>
      <c r="K3139" s="564" t="s">
        <v>1090</v>
      </c>
      <c r="L3139" s="564" t="s">
        <v>2098</v>
      </c>
      <c r="M3139" s="564" t="s">
        <v>2098</v>
      </c>
      <c r="N3139" s="564" t="s">
        <v>45</v>
      </c>
      <c r="O3139" s="564" t="s">
        <v>2099</v>
      </c>
      <c r="P3139" s="23"/>
      <c r="Q3139" s="23"/>
      <c r="R3139" s="23"/>
      <c r="S3139" s="23"/>
      <c r="T3139" s="23"/>
      <c r="U3139" s="23"/>
      <c r="V3139" s="23"/>
      <c r="W3139" s="23"/>
      <c r="X3139" s="23"/>
      <c r="Y3139" s="23"/>
      <c r="Z3139" s="23"/>
    </row>
    <row r="3140" spans="1:26" ht="13">
      <c r="A3140" s="562" t="s">
        <v>7267</v>
      </c>
      <c r="B3140" s="563" t="s">
        <v>7268</v>
      </c>
      <c r="C3140" s="564" t="s">
        <v>1612</v>
      </c>
      <c r="D3140" s="565">
        <v>42349</v>
      </c>
      <c r="E3140" s="565">
        <v>42339</v>
      </c>
      <c r="F3140" s="566">
        <v>10021440</v>
      </c>
      <c r="G3140" s="564" t="s">
        <v>1424</v>
      </c>
      <c r="H3140" s="564" t="s">
        <v>1424</v>
      </c>
      <c r="I3140" s="564" t="s">
        <v>45</v>
      </c>
      <c r="J3140" s="564" t="s">
        <v>1069</v>
      </c>
      <c r="K3140" s="564" t="s">
        <v>1090</v>
      </c>
      <c r="L3140" s="564" t="s">
        <v>1071</v>
      </c>
      <c r="M3140" s="564" t="s">
        <v>1183</v>
      </c>
      <c r="N3140" s="564" t="s">
        <v>45</v>
      </c>
      <c r="O3140" s="564" t="s">
        <v>2099</v>
      </c>
      <c r="P3140" s="23"/>
      <c r="Q3140" s="23"/>
      <c r="R3140" s="23"/>
      <c r="S3140" s="23"/>
      <c r="T3140" s="23"/>
      <c r="U3140" s="23"/>
      <c r="V3140" s="23"/>
      <c r="W3140" s="23"/>
      <c r="X3140" s="23"/>
      <c r="Y3140" s="23"/>
      <c r="Z3140" s="23"/>
    </row>
    <row r="3141" spans="1:26" ht="13">
      <c r="A3141" s="562" t="s">
        <v>7269</v>
      </c>
      <c r="B3141" s="563" t="s">
        <v>7270</v>
      </c>
      <c r="C3141" s="564" t="s">
        <v>1612</v>
      </c>
      <c r="D3141" s="565">
        <v>42349</v>
      </c>
      <c r="E3141" s="565">
        <v>42339</v>
      </c>
      <c r="F3141" s="566">
        <v>3078960</v>
      </c>
      <c r="G3141" s="564" t="s">
        <v>1424</v>
      </c>
      <c r="H3141" s="564" t="s">
        <v>1424</v>
      </c>
      <c r="I3141" s="564" t="s">
        <v>45</v>
      </c>
      <c r="J3141" s="564" t="s">
        <v>1069</v>
      </c>
      <c r="K3141" s="564" t="s">
        <v>1090</v>
      </c>
      <c r="L3141" s="564" t="s">
        <v>1071</v>
      </c>
      <c r="M3141" s="564" t="s">
        <v>1183</v>
      </c>
      <c r="N3141" s="564" t="s">
        <v>45</v>
      </c>
      <c r="O3141" s="564" t="s">
        <v>2099</v>
      </c>
      <c r="P3141" s="23"/>
      <c r="Q3141" s="23"/>
      <c r="R3141" s="23"/>
      <c r="S3141" s="23"/>
      <c r="T3141" s="23"/>
      <c r="U3141" s="23"/>
      <c r="V3141" s="23"/>
      <c r="W3141" s="23"/>
      <c r="X3141" s="23"/>
      <c r="Y3141" s="23"/>
      <c r="Z3141" s="23"/>
    </row>
    <row r="3142" spans="1:26" ht="13">
      <c r="A3142" s="562" t="s">
        <v>7271</v>
      </c>
      <c r="B3142" s="563" t="s">
        <v>5501</v>
      </c>
      <c r="C3142" s="564" t="s">
        <v>1612</v>
      </c>
      <c r="D3142" s="565">
        <v>42349</v>
      </c>
      <c r="E3142" s="565">
        <v>42369</v>
      </c>
      <c r="F3142" s="566">
        <v>1102400</v>
      </c>
      <c r="G3142" s="564" t="s">
        <v>1424</v>
      </c>
      <c r="H3142" s="564" t="s">
        <v>1424</v>
      </c>
      <c r="I3142" s="564" t="s">
        <v>3824</v>
      </c>
      <c r="J3142" s="564" t="s">
        <v>1069</v>
      </c>
      <c r="K3142" s="564" t="s">
        <v>1070</v>
      </c>
      <c r="L3142" s="564" t="s">
        <v>2098</v>
      </c>
      <c r="M3142" s="564" t="s">
        <v>2098</v>
      </c>
      <c r="N3142" s="564" t="s">
        <v>1073</v>
      </c>
      <c r="O3142" s="564" t="s">
        <v>2099</v>
      </c>
      <c r="P3142" s="23"/>
      <c r="Q3142" s="23"/>
      <c r="R3142" s="23"/>
      <c r="S3142" s="23"/>
      <c r="T3142" s="23"/>
      <c r="U3142" s="23"/>
      <c r="V3142" s="23"/>
      <c r="W3142" s="23"/>
      <c r="X3142" s="23"/>
      <c r="Y3142" s="23"/>
      <c r="Z3142" s="23"/>
    </row>
    <row r="3143" spans="1:26" ht="13">
      <c r="A3143" s="562" t="s">
        <v>7272</v>
      </c>
      <c r="B3143" s="563" t="s">
        <v>5497</v>
      </c>
      <c r="C3143" s="564" t="s">
        <v>1612</v>
      </c>
      <c r="D3143" s="565">
        <v>42349</v>
      </c>
      <c r="E3143" s="565">
        <v>42369</v>
      </c>
      <c r="F3143" s="566">
        <v>455800</v>
      </c>
      <c r="G3143" s="564" t="s">
        <v>1424</v>
      </c>
      <c r="H3143" s="564" t="s">
        <v>1424</v>
      </c>
      <c r="I3143" s="564" t="s">
        <v>2586</v>
      </c>
      <c r="J3143" s="564" t="s">
        <v>1069</v>
      </c>
      <c r="K3143" s="564" t="s">
        <v>1070</v>
      </c>
      <c r="L3143" s="564" t="s">
        <v>2098</v>
      </c>
      <c r="M3143" s="564" t="s">
        <v>2098</v>
      </c>
      <c r="N3143" s="564" t="s">
        <v>1073</v>
      </c>
      <c r="O3143" s="564" t="s">
        <v>2099</v>
      </c>
      <c r="P3143" s="23"/>
      <c r="Q3143" s="23"/>
      <c r="R3143" s="23"/>
      <c r="S3143" s="23"/>
      <c r="T3143" s="23"/>
      <c r="U3143" s="23"/>
      <c r="V3143" s="23"/>
      <c r="W3143" s="23"/>
      <c r="X3143" s="23"/>
      <c r="Y3143" s="23"/>
      <c r="Z3143" s="23"/>
    </row>
    <row r="3144" spans="1:26" ht="13">
      <c r="A3144" s="562" t="s">
        <v>7273</v>
      </c>
      <c r="B3144" s="563" t="s">
        <v>7274</v>
      </c>
      <c r="C3144" s="564" t="s">
        <v>1612</v>
      </c>
      <c r="D3144" s="565">
        <v>42349</v>
      </c>
      <c r="E3144" s="565">
        <v>42380</v>
      </c>
      <c r="F3144" s="566">
        <v>4096</v>
      </c>
      <c r="G3144" s="564" t="s">
        <v>1424</v>
      </c>
      <c r="H3144" s="564" t="s">
        <v>1424</v>
      </c>
      <c r="I3144" s="564" t="s">
        <v>70</v>
      </c>
      <c r="J3144" s="564" t="s">
        <v>1069</v>
      </c>
      <c r="K3144" s="564" t="s">
        <v>1120</v>
      </c>
      <c r="L3144" s="564" t="s">
        <v>2098</v>
      </c>
      <c r="M3144" s="564" t="s">
        <v>2098</v>
      </c>
      <c r="N3144" s="564" t="s">
        <v>70</v>
      </c>
      <c r="O3144" s="564" t="s">
        <v>2099</v>
      </c>
      <c r="P3144" s="23"/>
      <c r="Q3144" s="23"/>
      <c r="R3144" s="23"/>
      <c r="S3144" s="23"/>
      <c r="T3144" s="23"/>
      <c r="U3144" s="23"/>
      <c r="V3144" s="23"/>
      <c r="W3144" s="23"/>
      <c r="X3144" s="23"/>
      <c r="Y3144" s="23"/>
      <c r="Z3144" s="23"/>
    </row>
    <row r="3145" spans="1:26" ht="13">
      <c r="A3145" s="562" t="s">
        <v>7275</v>
      </c>
      <c r="B3145" s="563" t="s">
        <v>7276</v>
      </c>
      <c r="C3145" s="564" t="s">
        <v>1612</v>
      </c>
      <c r="D3145" s="565">
        <v>42348</v>
      </c>
      <c r="E3145" s="565">
        <v>42377</v>
      </c>
      <c r="F3145" s="566">
        <v>1764000</v>
      </c>
      <c r="G3145" s="564" t="s">
        <v>1623</v>
      </c>
      <c r="H3145" s="564" t="s">
        <v>1623</v>
      </c>
      <c r="I3145" s="564" t="s">
        <v>802</v>
      </c>
      <c r="J3145" s="564" t="s">
        <v>1069</v>
      </c>
      <c r="K3145" s="564" t="s">
        <v>1198</v>
      </c>
      <c r="L3145" s="564" t="s">
        <v>2098</v>
      </c>
      <c r="M3145" s="564" t="s">
        <v>2098</v>
      </c>
      <c r="N3145" s="564" t="s">
        <v>132</v>
      </c>
      <c r="O3145" s="564" t="s">
        <v>2099</v>
      </c>
      <c r="P3145" s="23"/>
      <c r="Q3145" s="23"/>
      <c r="R3145" s="23"/>
      <c r="S3145" s="23"/>
      <c r="T3145" s="23"/>
      <c r="U3145" s="23"/>
      <c r="V3145" s="23"/>
      <c r="W3145" s="23"/>
      <c r="X3145" s="23"/>
      <c r="Y3145" s="23"/>
      <c r="Z3145" s="23"/>
    </row>
    <row r="3146" spans="1:26" ht="13">
      <c r="A3146" s="562" t="s">
        <v>7277</v>
      </c>
      <c r="B3146" s="563" t="s">
        <v>6198</v>
      </c>
      <c r="C3146" s="564" t="s">
        <v>1612</v>
      </c>
      <c r="D3146" s="565">
        <v>42346</v>
      </c>
      <c r="E3146" s="565">
        <v>42369</v>
      </c>
      <c r="F3146" s="566">
        <v>12045000</v>
      </c>
      <c r="G3146" s="564" t="s">
        <v>5465</v>
      </c>
      <c r="H3146" s="564" t="s">
        <v>5465</v>
      </c>
      <c r="I3146" s="564" t="s">
        <v>45</v>
      </c>
      <c r="J3146" s="564" t="s">
        <v>1069</v>
      </c>
      <c r="K3146" s="564" t="s">
        <v>1090</v>
      </c>
      <c r="L3146" s="564" t="s">
        <v>2098</v>
      </c>
      <c r="M3146" s="564" t="s">
        <v>2098</v>
      </c>
      <c r="N3146" s="564" t="s">
        <v>45</v>
      </c>
      <c r="O3146" s="564" t="s">
        <v>2099</v>
      </c>
      <c r="P3146" s="23"/>
      <c r="Q3146" s="23"/>
      <c r="R3146" s="23"/>
      <c r="S3146" s="23"/>
      <c r="T3146" s="23"/>
      <c r="U3146" s="23"/>
      <c r="V3146" s="23"/>
      <c r="W3146" s="23"/>
      <c r="X3146" s="23"/>
      <c r="Y3146" s="23"/>
      <c r="Z3146" s="23"/>
    </row>
    <row r="3147" spans="1:26" ht="13">
      <c r="A3147" s="562" t="s">
        <v>7278</v>
      </c>
      <c r="B3147" s="563" t="s">
        <v>6150</v>
      </c>
      <c r="C3147" s="564" t="s">
        <v>1612</v>
      </c>
      <c r="D3147" s="565">
        <v>42342</v>
      </c>
      <c r="E3147" s="565">
        <v>42373</v>
      </c>
      <c r="F3147" s="566">
        <v>8760</v>
      </c>
      <c r="G3147" s="564" t="s">
        <v>1424</v>
      </c>
      <c r="H3147" s="564" t="s">
        <v>1424</v>
      </c>
      <c r="I3147" s="564" t="s">
        <v>1837</v>
      </c>
      <c r="J3147" s="564" t="s">
        <v>1069</v>
      </c>
      <c r="K3147" s="564" t="s">
        <v>1070</v>
      </c>
      <c r="L3147" s="564" t="s">
        <v>2098</v>
      </c>
      <c r="M3147" s="564" t="s">
        <v>2098</v>
      </c>
      <c r="N3147" s="564" t="s">
        <v>1082</v>
      </c>
      <c r="O3147" s="564" t="s">
        <v>2099</v>
      </c>
      <c r="P3147" s="23"/>
      <c r="Q3147" s="23"/>
      <c r="R3147" s="23"/>
      <c r="S3147" s="23"/>
      <c r="T3147" s="23"/>
      <c r="U3147" s="23"/>
      <c r="V3147" s="23"/>
      <c r="W3147" s="23"/>
      <c r="X3147" s="23"/>
      <c r="Y3147" s="23"/>
      <c r="Z3147" s="23"/>
    </row>
    <row r="3148" spans="1:26" ht="13">
      <c r="A3148" s="562" t="s">
        <v>7279</v>
      </c>
      <c r="B3148" s="563" t="s">
        <v>7280</v>
      </c>
      <c r="C3148" s="564" t="s">
        <v>1612</v>
      </c>
      <c r="D3148" s="565">
        <v>42342</v>
      </c>
      <c r="E3148" s="565">
        <v>42360</v>
      </c>
      <c r="F3148" s="566">
        <v>1590000</v>
      </c>
      <c r="G3148" s="564" t="s">
        <v>1623</v>
      </c>
      <c r="H3148" s="564" t="s">
        <v>1623</v>
      </c>
      <c r="I3148" s="564" t="s">
        <v>802</v>
      </c>
      <c r="J3148" s="564" t="s">
        <v>1069</v>
      </c>
      <c r="K3148" s="564" t="s">
        <v>1198</v>
      </c>
      <c r="L3148" s="564" t="s">
        <v>2098</v>
      </c>
      <c r="M3148" s="564" t="s">
        <v>2098</v>
      </c>
      <c r="N3148" s="564" t="s">
        <v>132</v>
      </c>
      <c r="O3148" s="564" t="s">
        <v>2099</v>
      </c>
      <c r="P3148" s="23"/>
      <c r="Q3148" s="23"/>
      <c r="R3148" s="23"/>
      <c r="S3148" s="23"/>
      <c r="T3148" s="23"/>
      <c r="U3148" s="23"/>
      <c r="V3148" s="23"/>
      <c r="W3148" s="23"/>
      <c r="X3148" s="23"/>
      <c r="Y3148" s="23"/>
      <c r="Z3148" s="23"/>
    </row>
    <row r="3149" spans="1:26" ht="13">
      <c r="A3149" s="562" t="s">
        <v>7281</v>
      </c>
      <c r="B3149" s="563" t="s">
        <v>7282</v>
      </c>
      <c r="C3149" s="564" t="s">
        <v>1612</v>
      </c>
      <c r="D3149" s="565">
        <v>42342</v>
      </c>
      <c r="E3149" s="565">
        <v>42369</v>
      </c>
      <c r="F3149" s="566">
        <v>19940900</v>
      </c>
      <c r="G3149" s="564" t="s">
        <v>5465</v>
      </c>
      <c r="H3149" s="564" t="s">
        <v>5465</v>
      </c>
      <c r="I3149" s="564" t="s">
        <v>45</v>
      </c>
      <c r="J3149" s="564" t="s">
        <v>1069</v>
      </c>
      <c r="K3149" s="564" t="s">
        <v>1090</v>
      </c>
      <c r="L3149" s="564" t="s">
        <v>2098</v>
      </c>
      <c r="M3149" s="564" t="s">
        <v>2098</v>
      </c>
      <c r="N3149" s="564" t="s">
        <v>45</v>
      </c>
      <c r="O3149" s="564" t="s">
        <v>2099</v>
      </c>
      <c r="P3149" s="23"/>
      <c r="Q3149" s="23"/>
      <c r="R3149" s="23"/>
      <c r="S3149" s="23"/>
      <c r="T3149" s="23"/>
      <c r="U3149" s="23"/>
      <c r="V3149" s="23"/>
      <c r="W3149" s="23"/>
      <c r="X3149" s="23"/>
      <c r="Y3149" s="23"/>
      <c r="Z3149" s="23"/>
    </row>
    <row r="3150" spans="1:26" ht="13">
      <c r="A3150" s="562" t="s">
        <v>7283</v>
      </c>
      <c r="B3150" s="563" t="s">
        <v>6150</v>
      </c>
      <c r="C3150" s="564" t="s">
        <v>1612</v>
      </c>
      <c r="D3150" s="565">
        <v>42341</v>
      </c>
      <c r="E3150" s="565">
        <v>42373</v>
      </c>
      <c r="F3150" s="566">
        <v>1150</v>
      </c>
      <c r="G3150" s="564" t="s">
        <v>1424</v>
      </c>
      <c r="H3150" s="564" t="s">
        <v>1424</v>
      </c>
      <c r="I3150" s="564" t="s">
        <v>1837</v>
      </c>
      <c r="J3150" s="564" t="s">
        <v>1069</v>
      </c>
      <c r="K3150" s="564" t="s">
        <v>1070</v>
      </c>
      <c r="L3150" s="564" t="s">
        <v>2098</v>
      </c>
      <c r="M3150" s="564" t="s">
        <v>2098</v>
      </c>
      <c r="N3150" s="564" t="s">
        <v>1082</v>
      </c>
      <c r="O3150" s="564" t="s">
        <v>2099</v>
      </c>
      <c r="P3150" s="23"/>
      <c r="Q3150" s="23"/>
      <c r="R3150" s="23"/>
      <c r="S3150" s="23"/>
      <c r="T3150" s="23"/>
      <c r="U3150" s="23"/>
      <c r="V3150" s="23"/>
      <c r="W3150" s="23"/>
      <c r="X3150" s="23"/>
      <c r="Y3150" s="23"/>
      <c r="Z3150" s="23"/>
    </row>
    <row r="3151" spans="1:26" ht="13">
      <c r="A3151" s="562" t="s">
        <v>7284</v>
      </c>
      <c r="B3151" s="563" t="s">
        <v>7285</v>
      </c>
      <c r="C3151" s="564" t="s">
        <v>1612</v>
      </c>
      <c r="D3151" s="565">
        <v>42340</v>
      </c>
      <c r="E3151" s="565">
        <v>42340</v>
      </c>
      <c r="F3151" s="566">
        <v>17359454</v>
      </c>
      <c r="G3151" s="564" t="s">
        <v>1623</v>
      </c>
      <c r="H3151" s="564" t="s">
        <v>1623</v>
      </c>
      <c r="I3151" s="564" t="s">
        <v>802</v>
      </c>
      <c r="J3151" s="564" t="s">
        <v>1069</v>
      </c>
      <c r="K3151" s="564" t="s">
        <v>1198</v>
      </c>
      <c r="L3151" s="564" t="s">
        <v>2098</v>
      </c>
      <c r="M3151" s="564" t="s">
        <v>2098</v>
      </c>
      <c r="N3151" s="564" t="s">
        <v>132</v>
      </c>
      <c r="O3151" s="564" t="s">
        <v>2099</v>
      </c>
      <c r="P3151" s="23"/>
      <c r="Q3151" s="23"/>
      <c r="R3151" s="23"/>
      <c r="S3151" s="23"/>
      <c r="T3151" s="23"/>
      <c r="U3151" s="23"/>
      <c r="V3151" s="23"/>
      <c r="W3151" s="23"/>
      <c r="X3151" s="23"/>
      <c r="Y3151" s="23"/>
      <c r="Z3151" s="23"/>
    </row>
    <row r="3152" spans="1:26" ht="13">
      <c r="A3152" s="562" t="s">
        <v>7286</v>
      </c>
      <c r="B3152" s="563" t="s">
        <v>7287</v>
      </c>
      <c r="C3152" s="564" t="s">
        <v>1612</v>
      </c>
      <c r="D3152" s="565">
        <v>42340</v>
      </c>
      <c r="E3152" s="565">
        <v>42373</v>
      </c>
      <c r="F3152" s="567">
        <v>600</v>
      </c>
      <c r="G3152" s="564" t="s">
        <v>1424</v>
      </c>
      <c r="H3152" s="564" t="s">
        <v>1424</v>
      </c>
      <c r="I3152" s="564" t="s">
        <v>70</v>
      </c>
      <c r="J3152" s="564" t="s">
        <v>1069</v>
      </c>
      <c r="K3152" s="564" t="s">
        <v>1120</v>
      </c>
      <c r="L3152" s="564" t="s">
        <v>2098</v>
      </c>
      <c r="M3152" s="564" t="s">
        <v>2098</v>
      </c>
      <c r="N3152" s="564" t="s">
        <v>70</v>
      </c>
      <c r="O3152" s="564" t="s">
        <v>2099</v>
      </c>
      <c r="P3152" s="23"/>
      <c r="Q3152" s="23"/>
      <c r="R3152" s="23"/>
      <c r="S3152" s="23"/>
      <c r="T3152" s="23"/>
      <c r="U3152" s="23"/>
      <c r="V3152" s="23"/>
      <c r="W3152" s="23"/>
      <c r="X3152" s="23"/>
      <c r="Y3152" s="23"/>
      <c r="Z3152" s="23"/>
    </row>
    <row r="3153" spans="1:26" ht="13">
      <c r="A3153" s="562" t="s">
        <v>7288</v>
      </c>
      <c r="B3153" s="563" t="s">
        <v>7289</v>
      </c>
      <c r="C3153" s="564" t="s">
        <v>1612</v>
      </c>
      <c r="D3153" s="565">
        <v>42339</v>
      </c>
      <c r="E3153" s="565">
        <v>42368</v>
      </c>
      <c r="F3153" s="566">
        <v>1071000</v>
      </c>
      <c r="G3153" s="564" t="s">
        <v>1128</v>
      </c>
      <c r="H3153" s="564" t="s">
        <v>1128</v>
      </c>
      <c r="I3153" s="564" t="s">
        <v>45</v>
      </c>
      <c r="J3153" s="564" t="s">
        <v>1069</v>
      </c>
      <c r="K3153" s="564" t="s">
        <v>1090</v>
      </c>
      <c r="L3153" s="564" t="s">
        <v>2098</v>
      </c>
      <c r="M3153" s="564" t="s">
        <v>2098</v>
      </c>
      <c r="N3153" s="564" t="s">
        <v>45</v>
      </c>
      <c r="O3153" s="564" t="s">
        <v>2099</v>
      </c>
      <c r="P3153" s="23"/>
      <c r="Q3153" s="23"/>
      <c r="R3153" s="23"/>
      <c r="S3153" s="23"/>
      <c r="T3153" s="23"/>
      <c r="U3153" s="23"/>
      <c r="V3153" s="23"/>
      <c r="W3153" s="23"/>
      <c r="X3153" s="23"/>
      <c r="Y3153" s="23"/>
      <c r="Z3153" s="23"/>
    </row>
    <row r="3154" spans="1:26" ht="13">
      <c r="A3154" s="562" t="s">
        <v>7290</v>
      </c>
      <c r="B3154" s="563" t="s">
        <v>7291</v>
      </c>
      <c r="C3154" s="564" t="s">
        <v>1612</v>
      </c>
      <c r="D3154" s="565">
        <v>42332</v>
      </c>
      <c r="E3154" s="565">
        <v>42362</v>
      </c>
      <c r="F3154" s="566">
        <v>1622</v>
      </c>
      <c r="G3154" s="564" t="s">
        <v>1424</v>
      </c>
      <c r="H3154" s="564" t="s">
        <v>1424</v>
      </c>
      <c r="I3154" s="564" t="s">
        <v>125</v>
      </c>
      <c r="J3154" s="564" t="s">
        <v>1069</v>
      </c>
      <c r="K3154" s="564" t="s">
        <v>1070</v>
      </c>
      <c r="L3154" s="564" t="s">
        <v>2098</v>
      </c>
      <c r="M3154" s="564" t="s">
        <v>2098</v>
      </c>
      <c r="N3154" s="564" t="s">
        <v>1073</v>
      </c>
      <c r="O3154" s="564" t="s">
        <v>2099</v>
      </c>
      <c r="P3154" s="23"/>
      <c r="Q3154" s="23"/>
      <c r="R3154" s="23"/>
      <c r="S3154" s="23"/>
      <c r="T3154" s="23"/>
      <c r="U3154" s="23"/>
      <c r="V3154" s="23"/>
      <c r="W3154" s="23"/>
      <c r="X3154" s="23"/>
      <c r="Y3154" s="23"/>
      <c r="Z3154" s="23"/>
    </row>
    <row r="3155" spans="1:26" ht="13">
      <c r="A3155" s="562" t="s">
        <v>7292</v>
      </c>
      <c r="B3155" s="563" t="s">
        <v>7293</v>
      </c>
      <c r="C3155" s="564" t="s">
        <v>1612</v>
      </c>
      <c r="D3155" s="565">
        <v>42333</v>
      </c>
      <c r="E3155" s="565">
        <v>42369</v>
      </c>
      <c r="F3155" s="566">
        <v>27411900</v>
      </c>
      <c r="G3155" s="564" t="s">
        <v>5465</v>
      </c>
      <c r="H3155" s="564" t="s">
        <v>5465</v>
      </c>
      <c r="I3155" s="564" t="s">
        <v>45</v>
      </c>
      <c r="J3155" s="564" t="s">
        <v>1069</v>
      </c>
      <c r="K3155" s="564" t="s">
        <v>1090</v>
      </c>
      <c r="L3155" s="564" t="s">
        <v>2098</v>
      </c>
      <c r="M3155" s="564" t="s">
        <v>2098</v>
      </c>
      <c r="N3155" s="564" t="s">
        <v>45</v>
      </c>
      <c r="O3155" s="564" t="s">
        <v>2099</v>
      </c>
      <c r="P3155" s="23"/>
      <c r="Q3155" s="23"/>
      <c r="R3155" s="23"/>
      <c r="S3155" s="23"/>
      <c r="T3155" s="23"/>
      <c r="U3155" s="23"/>
      <c r="V3155" s="23"/>
      <c r="W3155" s="23"/>
      <c r="X3155" s="23"/>
      <c r="Y3155" s="23"/>
      <c r="Z3155" s="23"/>
    </row>
    <row r="3156" spans="1:26" ht="13">
      <c r="A3156" s="562" t="s">
        <v>7294</v>
      </c>
      <c r="B3156" s="563" t="s">
        <v>6744</v>
      </c>
      <c r="C3156" s="564" t="s">
        <v>1612</v>
      </c>
      <c r="D3156" s="565">
        <v>42333</v>
      </c>
      <c r="E3156" s="565">
        <v>42369</v>
      </c>
      <c r="F3156" s="566">
        <v>20700000</v>
      </c>
      <c r="G3156" s="564" t="s">
        <v>5465</v>
      </c>
      <c r="H3156" s="564" t="s">
        <v>5465</v>
      </c>
      <c r="I3156" s="564" t="s">
        <v>45</v>
      </c>
      <c r="J3156" s="564" t="s">
        <v>1069</v>
      </c>
      <c r="K3156" s="564" t="s">
        <v>1090</v>
      </c>
      <c r="L3156" s="564" t="s">
        <v>2098</v>
      </c>
      <c r="M3156" s="564" t="s">
        <v>2098</v>
      </c>
      <c r="N3156" s="564" t="s">
        <v>45</v>
      </c>
      <c r="O3156" s="564" t="s">
        <v>2099</v>
      </c>
      <c r="P3156" s="23"/>
      <c r="Q3156" s="23"/>
      <c r="R3156" s="23"/>
      <c r="S3156" s="23"/>
      <c r="T3156" s="23"/>
      <c r="U3156" s="23"/>
      <c r="V3156" s="23"/>
      <c r="W3156" s="23"/>
      <c r="X3156" s="23"/>
      <c r="Y3156" s="23"/>
      <c r="Z3156" s="23"/>
    </row>
    <row r="3157" spans="1:26" ht="13">
      <c r="A3157" s="562" t="s">
        <v>7295</v>
      </c>
      <c r="B3157" s="563" t="s">
        <v>7296</v>
      </c>
      <c r="C3157" s="564" t="s">
        <v>1612</v>
      </c>
      <c r="D3157" s="565">
        <v>42328</v>
      </c>
      <c r="E3157" s="565">
        <v>42355</v>
      </c>
      <c r="F3157" s="566">
        <v>2147727</v>
      </c>
      <c r="G3157" s="564" t="s">
        <v>1623</v>
      </c>
      <c r="H3157" s="564" t="s">
        <v>1623</v>
      </c>
      <c r="I3157" s="564" t="s">
        <v>802</v>
      </c>
      <c r="J3157" s="564" t="s">
        <v>1069</v>
      </c>
      <c r="K3157" s="564" t="s">
        <v>1198</v>
      </c>
      <c r="L3157" s="564" t="s">
        <v>2098</v>
      </c>
      <c r="M3157" s="564" t="s">
        <v>2098</v>
      </c>
      <c r="N3157" s="564" t="s">
        <v>132</v>
      </c>
      <c r="O3157" s="564" t="s">
        <v>2099</v>
      </c>
      <c r="P3157" s="23"/>
      <c r="Q3157" s="23"/>
      <c r="R3157" s="23"/>
      <c r="S3157" s="23"/>
      <c r="T3157" s="23"/>
      <c r="U3157" s="23"/>
      <c r="V3157" s="23"/>
      <c r="W3157" s="23"/>
      <c r="X3157" s="23"/>
      <c r="Y3157" s="23"/>
      <c r="Z3157" s="23"/>
    </row>
    <row r="3158" spans="1:26" ht="13">
      <c r="A3158" s="562" t="s">
        <v>7297</v>
      </c>
      <c r="B3158" s="563" t="s">
        <v>7298</v>
      </c>
      <c r="C3158" s="564" t="s">
        <v>1612</v>
      </c>
      <c r="D3158" s="565">
        <v>42328</v>
      </c>
      <c r="E3158" s="565">
        <v>42355</v>
      </c>
      <c r="F3158" s="566">
        <v>21418182</v>
      </c>
      <c r="G3158" s="564" t="s">
        <v>1623</v>
      </c>
      <c r="H3158" s="564" t="s">
        <v>1623</v>
      </c>
      <c r="I3158" s="564" t="s">
        <v>802</v>
      </c>
      <c r="J3158" s="564" t="s">
        <v>1069</v>
      </c>
      <c r="K3158" s="564" t="s">
        <v>1198</v>
      </c>
      <c r="L3158" s="564" t="s">
        <v>2098</v>
      </c>
      <c r="M3158" s="564" t="s">
        <v>2098</v>
      </c>
      <c r="N3158" s="564" t="s">
        <v>132</v>
      </c>
      <c r="O3158" s="564" t="s">
        <v>2099</v>
      </c>
      <c r="P3158" s="23"/>
      <c r="Q3158" s="23"/>
      <c r="R3158" s="23"/>
      <c r="S3158" s="23"/>
      <c r="T3158" s="23"/>
      <c r="U3158" s="23"/>
      <c r="V3158" s="23"/>
      <c r="W3158" s="23"/>
      <c r="X3158" s="23"/>
      <c r="Y3158" s="23"/>
      <c r="Z3158" s="23"/>
    </row>
    <row r="3159" spans="1:26" ht="13">
      <c r="A3159" s="562" t="s">
        <v>7299</v>
      </c>
      <c r="B3159" s="563" t="s">
        <v>7300</v>
      </c>
      <c r="C3159" s="564" t="s">
        <v>1612</v>
      </c>
      <c r="D3159" s="565">
        <v>42331</v>
      </c>
      <c r="E3159" s="565">
        <v>42355</v>
      </c>
      <c r="F3159" s="566">
        <v>22167273</v>
      </c>
      <c r="G3159" s="564" t="s">
        <v>1623</v>
      </c>
      <c r="H3159" s="564" t="s">
        <v>1623</v>
      </c>
      <c r="I3159" s="564" t="s">
        <v>802</v>
      </c>
      <c r="J3159" s="564" t="s">
        <v>1069</v>
      </c>
      <c r="K3159" s="564" t="s">
        <v>1198</v>
      </c>
      <c r="L3159" s="564" t="s">
        <v>2098</v>
      </c>
      <c r="M3159" s="564" t="s">
        <v>2098</v>
      </c>
      <c r="N3159" s="564" t="s">
        <v>132</v>
      </c>
      <c r="O3159" s="564" t="s">
        <v>2099</v>
      </c>
      <c r="P3159" s="23"/>
      <c r="Q3159" s="23"/>
      <c r="R3159" s="23"/>
      <c r="S3159" s="23"/>
      <c r="T3159" s="23"/>
      <c r="U3159" s="23"/>
      <c r="V3159" s="23"/>
      <c r="W3159" s="23"/>
      <c r="X3159" s="23"/>
      <c r="Y3159" s="23"/>
      <c r="Z3159" s="23"/>
    </row>
    <row r="3160" spans="1:26" ht="13">
      <c r="A3160" s="562" t="s">
        <v>7301</v>
      </c>
      <c r="B3160" s="563" t="s">
        <v>7302</v>
      </c>
      <c r="C3160" s="564" t="s">
        <v>6860</v>
      </c>
      <c r="D3160" s="565">
        <v>42328</v>
      </c>
      <c r="E3160" s="565">
        <v>42356</v>
      </c>
      <c r="F3160" s="566">
        <v>45290</v>
      </c>
      <c r="G3160" s="564" t="s">
        <v>1128</v>
      </c>
      <c r="H3160" s="564" t="s">
        <v>1128</v>
      </c>
      <c r="I3160" s="564" t="s">
        <v>7303</v>
      </c>
      <c r="J3160" s="564" t="s">
        <v>1069</v>
      </c>
      <c r="K3160" s="564" t="s">
        <v>1070</v>
      </c>
      <c r="L3160" s="564" t="s">
        <v>2098</v>
      </c>
      <c r="M3160" s="564" t="s">
        <v>2098</v>
      </c>
      <c r="N3160" s="564" t="s">
        <v>2325</v>
      </c>
      <c r="O3160" s="564" t="s">
        <v>2099</v>
      </c>
      <c r="P3160" s="23"/>
      <c r="Q3160" s="23"/>
      <c r="R3160" s="23"/>
      <c r="S3160" s="23"/>
      <c r="T3160" s="23"/>
      <c r="U3160" s="23"/>
      <c r="V3160" s="23"/>
      <c r="W3160" s="23"/>
      <c r="X3160" s="23"/>
      <c r="Y3160" s="23"/>
      <c r="Z3160" s="23"/>
    </row>
    <row r="3161" spans="1:26" ht="13">
      <c r="A3161" s="562" t="s">
        <v>7304</v>
      </c>
      <c r="B3161" s="563" t="s">
        <v>7305</v>
      </c>
      <c r="C3161" s="564" t="s">
        <v>1612</v>
      </c>
      <c r="D3161" s="565">
        <v>42325</v>
      </c>
      <c r="E3161" s="565">
        <v>42309</v>
      </c>
      <c r="F3161" s="566">
        <v>9887400</v>
      </c>
      <c r="G3161" s="564" t="s">
        <v>1424</v>
      </c>
      <c r="H3161" s="564" t="s">
        <v>1424</v>
      </c>
      <c r="I3161" s="564" t="s">
        <v>45</v>
      </c>
      <c r="J3161" s="564" t="s">
        <v>1069</v>
      </c>
      <c r="K3161" s="564" t="s">
        <v>1090</v>
      </c>
      <c r="L3161" s="564" t="s">
        <v>1071</v>
      </c>
      <c r="M3161" s="564" t="s">
        <v>1183</v>
      </c>
      <c r="N3161" s="564" t="s">
        <v>45</v>
      </c>
      <c r="O3161" s="564" t="s">
        <v>2099</v>
      </c>
      <c r="P3161" s="23"/>
      <c r="Q3161" s="23"/>
      <c r="R3161" s="23"/>
      <c r="S3161" s="23"/>
      <c r="T3161" s="23"/>
      <c r="U3161" s="23"/>
      <c r="V3161" s="23"/>
      <c r="W3161" s="23"/>
      <c r="X3161" s="23"/>
      <c r="Y3161" s="23"/>
      <c r="Z3161" s="23"/>
    </row>
    <row r="3162" spans="1:26" ht="13">
      <c r="A3162" s="562" t="s">
        <v>7306</v>
      </c>
      <c r="B3162" s="563" t="s">
        <v>7307</v>
      </c>
      <c r="C3162" s="564" t="s">
        <v>1612</v>
      </c>
      <c r="D3162" s="565">
        <v>42326</v>
      </c>
      <c r="E3162" s="565">
        <v>42354</v>
      </c>
      <c r="F3162" s="566">
        <v>3059091</v>
      </c>
      <c r="G3162" s="564" t="s">
        <v>1623</v>
      </c>
      <c r="H3162" s="564" t="s">
        <v>1623</v>
      </c>
      <c r="I3162" s="564" t="s">
        <v>802</v>
      </c>
      <c r="J3162" s="564" t="s">
        <v>1069</v>
      </c>
      <c r="K3162" s="564" t="s">
        <v>1198</v>
      </c>
      <c r="L3162" s="564" t="s">
        <v>2098</v>
      </c>
      <c r="M3162" s="564" t="s">
        <v>2098</v>
      </c>
      <c r="N3162" s="564" t="s">
        <v>132</v>
      </c>
      <c r="O3162" s="564" t="s">
        <v>2099</v>
      </c>
      <c r="P3162" s="23"/>
      <c r="Q3162" s="23"/>
      <c r="R3162" s="23"/>
      <c r="S3162" s="23"/>
      <c r="T3162" s="23"/>
      <c r="U3162" s="23"/>
      <c r="V3162" s="23"/>
      <c r="W3162" s="23"/>
      <c r="X3162" s="23"/>
      <c r="Y3162" s="23"/>
      <c r="Z3162" s="23"/>
    </row>
    <row r="3163" spans="1:26" ht="13">
      <c r="A3163" s="562" t="s">
        <v>7308</v>
      </c>
      <c r="B3163" s="563" t="s">
        <v>7309</v>
      </c>
      <c r="C3163" s="564" t="s">
        <v>1612</v>
      </c>
      <c r="D3163" s="565">
        <v>42324</v>
      </c>
      <c r="E3163" s="565">
        <v>42338</v>
      </c>
      <c r="F3163" s="566">
        <v>11390000</v>
      </c>
      <c r="G3163" s="564" t="s">
        <v>1116</v>
      </c>
      <c r="H3163" s="564" t="s">
        <v>1116</v>
      </c>
      <c r="I3163" s="564" t="s">
        <v>45</v>
      </c>
      <c r="J3163" s="564" t="s">
        <v>1069</v>
      </c>
      <c r="K3163" s="564" t="s">
        <v>1090</v>
      </c>
      <c r="L3163" s="564" t="s">
        <v>2098</v>
      </c>
      <c r="M3163" s="564" t="s">
        <v>2098</v>
      </c>
      <c r="N3163" s="564" t="s">
        <v>45</v>
      </c>
      <c r="O3163" s="564" t="s">
        <v>2099</v>
      </c>
      <c r="P3163" s="23"/>
      <c r="Q3163" s="23"/>
      <c r="R3163" s="23"/>
      <c r="S3163" s="23"/>
      <c r="T3163" s="23"/>
      <c r="U3163" s="23"/>
      <c r="V3163" s="23"/>
      <c r="W3163" s="23"/>
      <c r="X3163" s="23"/>
      <c r="Y3163" s="23"/>
      <c r="Z3163" s="23"/>
    </row>
    <row r="3164" spans="1:26" ht="13">
      <c r="A3164" s="562" t="s">
        <v>7310</v>
      </c>
      <c r="B3164" s="563" t="s">
        <v>7311</v>
      </c>
      <c r="C3164" s="564" t="s">
        <v>1612</v>
      </c>
      <c r="D3164" s="565">
        <v>42321</v>
      </c>
      <c r="E3164" s="565">
        <v>42352</v>
      </c>
      <c r="F3164" s="566">
        <v>1425</v>
      </c>
      <c r="G3164" s="564" t="s">
        <v>1424</v>
      </c>
      <c r="H3164" s="564" t="s">
        <v>1424</v>
      </c>
      <c r="I3164" s="564" t="s">
        <v>146</v>
      </c>
      <c r="J3164" s="564" t="s">
        <v>1069</v>
      </c>
      <c r="K3164" s="564" t="s">
        <v>1070</v>
      </c>
      <c r="L3164" s="564" t="s">
        <v>2098</v>
      </c>
      <c r="M3164" s="564" t="s">
        <v>2098</v>
      </c>
      <c r="N3164" s="564" t="s">
        <v>1073</v>
      </c>
      <c r="O3164" s="564" t="s">
        <v>2099</v>
      </c>
      <c r="P3164" s="23"/>
      <c r="Q3164" s="23"/>
      <c r="R3164" s="23"/>
      <c r="S3164" s="23"/>
      <c r="T3164" s="23"/>
      <c r="U3164" s="23"/>
      <c r="V3164" s="23"/>
      <c r="W3164" s="23"/>
      <c r="X3164" s="23"/>
      <c r="Y3164" s="23"/>
      <c r="Z3164" s="23"/>
    </row>
    <row r="3165" spans="1:26" ht="13">
      <c r="A3165" s="562" t="s">
        <v>7312</v>
      </c>
      <c r="B3165" s="563" t="s">
        <v>7313</v>
      </c>
      <c r="C3165" s="564" t="s">
        <v>1612</v>
      </c>
      <c r="D3165" s="565">
        <v>42321</v>
      </c>
      <c r="E3165" s="565">
        <v>42352</v>
      </c>
      <c r="F3165" s="566">
        <v>3230</v>
      </c>
      <c r="G3165" s="564" t="s">
        <v>1424</v>
      </c>
      <c r="H3165" s="564" t="s">
        <v>1424</v>
      </c>
      <c r="I3165" s="564" t="s">
        <v>6146</v>
      </c>
      <c r="J3165" s="564" t="s">
        <v>1069</v>
      </c>
      <c r="K3165" s="564" t="s">
        <v>1090</v>
      </c>
      <c r="L3165" s="564" t="s">
        <v>2098</v>
      </c>
      <c r="M3165" s="564" t="s">
        <v>2098</v>
      </c>
      <c r="N3165" s="564" t="s">
        <v>1073</v>
      </c>
      <c r="O3165" s="564" t="s">
        <v>2099</v>
      </c>
      <c r="P3165" s="23"/>
      <c r="Q3165" s="23"/>
      <c r="R3165" s="23"/>
      <c r="S3165" s="23"/>
      <c r="T3165" s="23"/>
      <c r="U3165" s="23"/>
      <c r="V3165" s="23"/>
      <c r="W3165" s="23"/>
      <c r="X3165" s="23"/>
      <c r="Y3165" s="23"/>
      <c r="Z3165" s="23"/>
    </row>
    <row r="3166" spans="1:26" ht="13">
      <c r="A3166" s="562" t="s">
        <v>7314</v>
      </c>
      <c r="B3166" s="563" t="s">
        <v>7315</v>
      </c>
      <c r="C3166" s="564" t="s">
        <v>1612</v>
      </c>
      <c r="D3166" s="565">
        <v>42321</v>
      </c>
      <c r="E3166" s="565">
        <v>42338</v>
      </c>
      <c r="F3166" s="566">
        <v>1400</v>
      </c>
      <c r="G3166" s="564" t="s">
        <v>1424</v>
      </c>
      <c r="H3166" s="564" t="s">
        <v>1424</v>
      </c>
      <c r="I3166" s="564" t="s">
        <v>1837</v>
      </c>
      <c r="J3166" s="564" t="s">
        <v>1069</v>
      </c>
      <c r="K3166" s="564" t="s">
        <v>1070</v>
      </c>
      <c r="L3166" s="564" t="s">
        <v>2098</v>
      </c>
      <c r="M3166" s="564" t="s">
        <v>2098</v>
      </c>
      <c r="N3166" s="564" t="s">
        <v>1082</v>
      </c>
      <c r="O3166" s="564" t="s">
        <v>2099</v>
      </c>
      <c r="P3166" s="23"/>
      <c r="Q3166" s="23"/>
      <c r="R3166" s="23"/>
      <c r="S3166" s="23"/>
      <c r="T3166" s="23"/>
      <c r="U3166" s="23"/>
      <c r="V3166" s="23"/>
      <c r="W3166" s="23"/>
      <c r="X3166" s="23"/>
      <c r="Y3166" s="23"/>
      <c r="Z3166" s="23"/>
    </row>
    <row r="3167" spans="1:26" ht="13">
      <c r="A3167" s="562" t="s">
        <v>7316</v>
      </c>
      <c r="B3167" s="563" t="s">
        <v>7317</v>
      </c>
      <c r="C3167" s="564" t="s">
        <v>1612</v>
      </c>
      <c r="D3167" s="565">
        <v>42320</v>
      </c>
      <c r="E3167" s="565">
        <v>42349</v>
      </c>
      <c r="F3167" s="566">
        <v>5440</v>
      </c>
      <c r="G3167" s="564" t="s">
        <v>1424</v>
      </c>
      <c r="H3167" s="564" t="s">
        <v>1424</v>
      </c>
      <c r="I3167" s="564" t="s">
        <v>45</v>
      </c>
      <c r="J3167" s="564" t="s">
        <v>1069</v>
      </c>
      <c r="K3167" s="564" t="s">
        <v>1090</v>
      </c>
      <c r="L3167" s="564" t="s">
        <v>2098</v>
      </c>
      <c r="M3167" s="564" t="s">
        <v>2098</v>
      </c>
      <c r="N3167" s="564" t="s">
        <v>45</v>
      </c>
      <c r="O3167" s="564" t="s">
        <v>2099</v>
      </c>
      <c r="P3167" s="23"/>
      <c r="Q3167" s="23"/>
      <c r="R3167" s="23"/>
      <c r="S3167" s="23"/>
      <c r="T3167" s="23"/>
      <c r="U3167" s="23"/>
      <c r="V3167" s="23"/>
      <c r="W3167" s="23"/>
      <c r="X3167" s="23"/>
      <c r="Y3167" s="23"/>
      <c r="Z3167" s="23"/>
    </row>
    <row r="3168" spans="1:26" ht="13">
      <c r="A3168" s="562" t="s">
        <v>7318</v>
      </c>
      <c r="B3168" s="563" t="s">
        <v>7319</v>
      </c>
      <c r="C3168" s="564" t="s">
        <v>1612</v>
      </c>
      <c r="D3168" s="565">
        <v>42320</v>
      </c>
      <c r="E3168" s="565">
        <v>42349</v>
      </c>
      <c r="F3168" s="566">
        <v>10200</v>
      </c>
      <c r="G3168" s="564" t="s">
        <v>1424</v>
      </c>
      <c r="H3168" s="564" t="s">
        <v>1424</v>
      </c>
      <c r="I3168" s="564" t="s">
        <v>45</v>
      </c>
      <c r="J3168" s="564" t="s">
        <v>1069</v>
      </c>
      <c r="K3168" s="564" t="s">
        <v>1090</v>
      </c>
      <c r="L3168" s="564" t="s">
        <v>2098</v>
      </c>
      <c r="M3168" s="564" t="s">
        <v>2098</v>
      </c>
      <c r="N3168" s="564" t="s">
        <v>45</v>
      </c>
      <c r="O3168" s="564" t="s">
        <v>2099</v>
      </c>
      <c r="P3168" s="23"/>
      <c r="Q3168" s="23"/>
      <c r="R3168" s="23"/>
      <c r="S3168" s="23"/>
      <c r="T3168" s="23"/>
      <c r="U3168" s="23"/>
      <c r="V3168" s="23"/>
      <c r="W3168" s="23"/>
      <c r="X3168" s="23"/>
      <c r="Y3168" s="23"/>
      <c r="Z3168" s="23"/>
    </row>
    <row r="3169" spans="1:26" ht="13">
      <c r="A3169" s="562" t="s">
        <v>7320</v>
      </c>
      <c r="B3169" s="563" t="s">
        <v>6192</v>
      </c>
      <c r="C3169" s="564" t="s">
        <v>1612</v>
      </c>
      <c r="D3169" s="565">
        <v>42320</v>
      </c>
      <c r="E3169" s="565">
        <v>42349</v>
      </c>
      <c r="F3169" s="567">
        <v>580</v>
      </c>
      <c r="G3169" s="564" t="s">
        <v>1424</v>
      </c>
      <c r="H3169" s="564" t="s">
        <v>1424</v>
      </c>
      <c r="I3169" s="564" t="s">
        <v>45</v>
      </c>
      <c r="J3169" s="564" t="s">
        <v>1069</v>
      </c>
      <c r="K3169" s="564" t="s">
        <v>1090</v>
      </c>
      <c r="L3169" s="564" t="s">
        <v>2098</v>
      </c>
      <c r="M3169" s="564" t="s">
        <v>2098</v>
      </c>
      <c r="N3169" s="564" t="s">
        <v>45</v>
      </c>
      <c r="O3169" s="564" t="s">
        <v>2099</v>
      </c>
      <c r="P3169" s="23"/>
      <c r="Q3169" s="23"/>
      <c r="R3169" s="23"/>
      <c r="S3169" s="23"/>
      <c r="T3169" s="23"/>
      <c r="U3169" s="23"/>
      <c r="V3169" s="23"/>
      <c r="W3169" s="23"/>
      <c r="X3169" s="23"/>
      <c r="Y3169" s="23"/>
      <c r="Z3169" s="23"/>
    </row>
    <row r="3170" spans="1:26" ht="13">
      <c r="A3170" s="562" t="s">
        <v>7321</v>
      </c>
      <c r="B3170" s="563" t="s">
        <v>7322</v>
      </c>
      <c r="C3170" s="564" t="s">
        <v>1612</v>
      </c>
      <c r="D3170" s="565">
        <v>42320</v>
      </c>
      <c r="E3170" s="565">
        <v>42309</v>
      </c>
      <c r="F3170" s="566">
        <v>463080</v>
      </c>
      <c r="G3170" s="564" t="s">
        <v>1424</v>
      </c>
      <c r="H3170" s="564" t="s">
        <v>1424</v>
      </c>
      <c r="I3170" s="564" t="s">
        <v>45</v>
      </c>
      <c r="J3170" s="564" t="s">
        <v>1069</v>
      </c>
      <c r="K3170" s="564" t="s">
        <v>1090</v>
      </c>
      <c r="L3170" s="564" t="s">
        <v>1071</v>
      </c>
      <c r="M3170" s="564" t="s">
        <v>1183</v>
      </c>
      <c r="N3170" s="564" t="s">
        <v>45</v>
      </c>
      <c r="O3170" s="564" t="s">
        <v>2099</v>
      </c>
      <c r="P3170" s="23"/>
      <c r="Q3170" s="23"/>
      <c r="R3170" s="23"/>
      <c r="S3170" s="23"/>
      <c r="T3170" s="23"/>
      <c r="U3170" s="23"/>
      <c r="V3170" s="23"/>
      <c r="W3170" s="23"/>
      <c r="X3170" s="23"/>
      <c r="Y3170" s="23"/>
      <c r="Z3170" s="23"/>
    </row>
    <row r="3171" spans="1:26" ht="13">
      <c r="A3171" s="562" t="s">
        <v>7323</v>
      </c>
      <c r="B3171" s="563" t="s">
        <v>7324</v>
      </c>
      <c r="C3171" s="564" t="s">
        <v>1612</v>
      </c>
      <c r="D3171" s="565">
        <v>42320</v>
      </c>
      <c r="E3171" s="565">
        <v>42309</v>
      </c>
      <c r="F3171" s="566">
        <v>6685200</v>
      </c>
      <c r="G3171" s="564" t="s">
        <v>1424</v>
      </c>
      <c r="H3171" s="564" t="s">
        <v>1424</v>
      </c>
      <c r="I3171" s="564" t="s">
        <v>45</v>
      </c>
      <c r="J3171" s="564" t="s">
        <v>1069</v>
      </c>
      <c r="K3171" s="564" t="s">
        <v>1090</v>
      </c>
      <c r="L3171" s="564" t="s">
        <v>1071</v>
      </c>
      <c r="M3171" s="564" t="s">
        <v>1183</v>
      </c>
      <c r="N3171" s="564" t="s">
        <v>45</v>
      </c>
      <c r="O3171" s="564" t="s">
        <v>2099</v>
      </c>
      <c r="P3171" s="23"/>
      <c r="Q3171" s="23"/>
      <c r="R3171" s="23"/>
      <c r="S3171" s="23"/>
      <c r="T3171" s="23"/>
      <c r="U3171" s="23"/>
      <c r="V3171" s="23"/>
      <c r="W3171" s="23"/>
      <c r="X3171" s="23"/>
      <c r="Y3171" s="23"/>
      <c r="Z3171" s="23"/>
    </row>
    <row r="3172" spans="1:26" ht="13">
      <c r="A3172" s="562" t="s">
        <v>7325</v>
      </c>
      <c r="B3172" s="563" t="s">
        <v>7326</v>
      </c>
      <c r="C3172" s="564" t="s">
        <v>1612</v>
      </c>
      <c r="D3172" s="565">
        <v>42320</v>
      </c>
      <c r="E3172" s="565">
        <v>42309</v>
      </c>
      <c r="F3172" s="566">
        <v>25875000</v>
      </c>
      <c r="G3172" s="564" t="s">
        <v>1424</v>
      </c>
      <c r="H3172" s="564" t="s">
        <v>1424</v>
      </c>
      <c r="I3172" s="564" t="s">
        <v>45</v>
      </c>
      <c r="J3172" s="564" t="s">
        <v>1069</v>
      </c>
      <c r="K3172" s="564" t="s">
        <v>1090</v>
      </c>
      <c r="L3172" s="564" t="s">
        <v>1071</v>
      </c>
      <c r="M3172" s="564" t="s">
        <v>1183</v>
      </c>
      <c r="N3172" s="564" t="s">
        <v>45</v>
      </c>
      <c r="O3172" s="564" t="s">
        <v>2099</v>
      </c>
      <c r="P3172" s="23"/>
      <c r="Q3172" s="23"/>
      <c r="R3172" s="23"/>
      <c r="S3172" s="23"/>
      <c r="T3172" s="23"/>
      <c r="U3172" s="23"/>
      <c r="V3172" s="23"/>
      <c r="W3172" s="23"/>
      <c r="X3172" s="23"/>
      <c r="Y3172" s="23"/>
      <c r="Z3172" s="23"/>
    </row>
    <row r="3173" spans="1:26" ht="13">
      <c r="A3173" s="562" t="s">
        <v>7327</v>
      </c>
      <c r="B3173" s="563" t="s">
        <v>7328</v>
      </c>
      <c r="C3173" s="564" t="s">
        <v>1612</v>
      </c>
      <c r="D3173" s="565">
        <v>42319</v>
      </c>
      <c r="E3173" s="565">
        <v>42338</v>
      </c>
      <c r="F3173" s="566">
        <v>2776</v>
      </c>
      <c r="G3173" s="564" t="s">
        <v>1424</v>
      </c>
      <c r="H3173" s="564" t="s">
        <v>1424</v>
      </c>
      <c r="I3173" s="564" t="s">
        <v>70</v>
      </c>
      <c r="J3173" s="564" t="s">
        <v>1069</v>
      </c>
      <c r="K3173" s="564" t="s">
        <v>1120</v>
      </c>
      <c r="L3173" s="564" t="s">
        <v>2098</v>
      </c>
      <c r="M3173" s="564" t="s">
        <v>2098</v>
      </c>
      <c r="N3173" s="564" t="s">
        <v>70</v>
      </c>
      <c r="O3173" s="564" t="s">
        <v>2099</v>
      </c>
      <c r="P3173" s="23"/>
      <c r="Q3173" s="23"/>
      <c r="R3173" s="23"/>
      <c r="S3173" s="23"/>
      <c r="T3173" s="23"/>
      <c r="U3173" s="23"/>
      <c r="V3173" s="23"/>
      <c r="W3173" s="23"/>
      <c r="X3173" s="23"/>
      <c r="Y3173" s="23"/>
      <c r="Z3173" s="23"/>
    </row>
    <row r="3174" spans="1:26" ht="13">
      <c r="A3174" s="562" t="s">
        <v>7329</v>
      </c>
      <c r="B3174" s="563" t="s">
        <v>7330</v>
      </c>
      <c r="C3174" s="564" t="s">
        <v>1612</v>
      </c>
      <c r="D3174" s="565">
        <v>42319</v>
      </c>
      <c r="E3174" s="565">
        <v>42314</v>
      </c>
      <c r="F3174" s="566">
        <v>31500</v>
      </c>
      <c r="G3174" s="564" t="s">
        <v>1116</v>
      </c>
      <c r="H3174" s="564" t="s">
        <v>1116</v>
      </c>
      <c r="I3174" s="564" t="s">
        <v>45</v>
      </c>
      <c r="J3174" s="564" t="s">
        <v>1069</v>
      </c>
      <c r="K3174" s="564" t="s">
        <v>1090</v>
      </c>
      <c r="L3174" s="564" t="s">
        <v>2098</v>
      </c>
      <c r="M3174" s="564" t="s">
        <v>2098</v>
      </c>
      <c r="N3174" s="564" t="s">
        <v>45</v>
      </c>
      <c r="O3174" s="564" t="s">
        <v>2099</v>
      </c>
      <c r="P3174" s="23"/>
      <c r="Q3174" s="23"/>
      <c r="R3174" s="23"/>
      <c r="S3174" s="23"/>
      <c r="T3174" s="23"/>
      <c r="U3174" s="23"/>
      <c r="V3174" s="23"/>
      <c r="W3174" s="23"/>
      <c r="X3174" s="23"/>
      <c r="Y3174" s="23"/>
      <c r="Z3174" s="23"/>
    </row>
    <row r="3175" spans="1:26" ht="13">
      <c r="A3175" s="562" t="s">
        <v>7331</v>
      </c>
      <c r="B3175" s="563" t="s">
        <v>6279</v>
      </c>
      <c r="C3175" s="564" t="s">
        <v>1612</v>
      </c>
      <c r="D3175" s="565">
        <v>42317</v>
      </c>
      <c r="E3175" s="565">
        <v>42347</v>
      </c>
      <c r="F3175" s="567">
        <v>900</v>
      </c>
      <c r="G3175" s="564" t="s">
        <v>1424</v>
      </c>
      <c r="H3175" s="564" t="s">
        <v>1424</v>
      </c>
      <c r="I3175" s="564" t="s">
        <v>225</v>
      </c>
      <c r="J3175" s="564" t="s">
        <v>1069</v>
      </c>
      <c r="K3175" s="564" t="s">
        <v>1105</v>
      </c>
      <c r="L3175" s="564" t="s">
        <v>2098</v>
      </c>
      <c r="M3175" s="564" t="s">
        <v>2098</v>
      </c>
      <c r="N3175" s="564" t="s">
        <v>225</v>
      </c>
      <c r="O3175" s="564" t="s">
        <v>2099</v>
      </c>
      <c r="P3175" s="23"/>
      <c r="Q3175" s="23"/>
      <c r="R3175" s="23"/>
      <c r="S3175" s="23"/>
      <c r="T3175" s="23"/>
      <c r="U3175" s="23"/>
      <c r="V3175" s="23"/>
      <c r="W3175" s="23"/>
      <c r="X3175" s="23"/>
      <c r="Y3175" s="23"/>
      <c r="Z3175" s="23"/>
    </row>
    <row r="3176" spans="1:26" ht="13">
      <c r="A3176" s="562" t="s">
        <v>7332</v>
      </c>
      <c r="B3176" s="563" t="s">
        <v>7242</v>
      </c>
      <c r="C3176" s="564" t="s">
        <v>1612</v>
      </c>
      <c r="D3176" s="565">
        <v>42313</v>
      </c>
      <c r="E3176" s="565">
        <v>42338</v>
      </c>
      <c r="F3176" s="567">
        <v>990</v>
      </c>
      <c r="G3176" s="564" t="s">
        <v>1424</v>
      </c>
      <c r="H3176" s="564" t="s">
        <v>1424</v>
      </c>
      <c r="I3176" s="564" t="s">
        <v>45</v>
      </c>
      <c r="J3176" s="564" t="s">
        <v>1069</v>
      </c>
      <c r="K3176" s="564" t="s">
        <v>1090</v>
      </c>
      <c r="L3176" s="564" t="s">
        <v>2098</v>
      </c>
      <c r="M3176" s="564" t="s">
        <v>2098</v>
      </c>
      <c r="N3176" s="564" t="s">
        <v>45</v>
      </c>
      <c r="O3176" s="564" t="s">
        <v>2099</v>
      </c>
      <c r="P3176" s="23"/>
      <c r="Q3176" s="23"/>
      <c r="R3176" s="23"/>
      <c r="S3176" s="23"/>
      <c r="T3176" s="23"/>
      <c r="U3176" s="23"/>
      <c r="V3176" s="23"/>
      <c r="W3176" s="23"/>
      <c r="X3176" s="23"/>
      <c r="Y3176" s="23"/>
      <c r="Z3176" s="23"/>
    </row>
    <row r="3177" spans="1:26" ht="13">
      <c r="A3177" s="562" t="s">
        <v>7333</v>
      </c>
      <c r="B3177" s="563" t="s">
        <v>6802</v>
      </c>
      <c r="C3177" s="564" t="s">
        <v>1612</v>
      </c>
      <c r="D3177" s="565">
        <v>42311</v>
      </c>
      <c r="E3177" s="565">
        <v>42338</v>
      </c>
      <c r="F3177" s="566">
        <v>16500000</v>
      </c>
      <c r="G3177" s="564" t="s">
        <v>5465</v>
      </c>
      <c r="H3177" s="564" t="s">
        <v>5465</v>
      </c>
      <c r="I3177" s="564" t="s">
        <v>45</v>
      </c>
      <c r="J3177" s="564" t="s">
        <v>1069</v>
      </c>
      <c r="K3177" s="564" t="s">
        <v>1090</v>
      </c>
      <c r="L3177" s="564" t="s">
        <v>2098</v>
      </c>
      <c r="M3177" s="564" t="s">
        <v>2098</v>
      </c>
      <c r="N3177" s="564" t="s">
        <v>45</v>
      </c>
      <c r="O3177" s="564" t="s">
        <v>2099</v>
      </c>
      <c r="P3177" s="23"/>
      <c r="Q3177" s="23"/>
      <c r="R3177" s="23"/>
      <c r="S3177" s="23"/>
      <c r="T3177" s="23"/>
      <c r="U3177" s="23"/>
      <c r="V3177" s="23"/>
      <c r="W3177" s="23"/>
      <c r="X3177" s="23"/>
      <c r="Y3177" s="23"/>
      <c r="Z3177" s="23"/>
    </row>
    <row r="3178" spans="1:26" ht="13">
      <c r="A3178" s="562" t="s">
        <v>7334</v>
      </c>
      <c r="B3178" s="563" t="s">
        <v>6804</v>
      </c>
      <c r="C3178" s="564" t="s">
        <v>1612</v>
      </c>
      <c r="D3178" s="565">
        <v>42311</v>
      </c>
      <c r="E3178" s="565">
        <v>42338</v>
      </c>
      <c r="F3178" s="566">
        <v>5510000</v>
      </c>
      <c r="G3178" s="564" t="s">
        <v>5465</v>
      </c>
      <c r="H3178" s="564" t="s">
        <v>5465</v>
      </c>
      <c r="I3178" s="564" t="s">
        <v>45</v>
      </c>
      <c r="J3178" s="564" t="s">
        <v>1069</v>
      </c>
      <c r="K3178" s="564" t="s">
        <v>1090</v>
      </c>
      <c r="L3178" s="564" t="s">
        <v>2098</v>
      </c>
      <c r="M3178" s="564" t="s">
        <v>2098</v>
      </c>
      <c r="N3178" s="564" t="s">
        <v>45</v>
      </c>
      <c r="O3178" s="564" t="s">
        <v>2099</v>
      </c>
      <c r="P3178" s="23"/>
      <c r="Q3178" s="23"/>
      <c r="R3178" s="23"/>
      <c r="S3178" s="23"/>
      <c r="T3178" s="23"/>
      <c r="U3178" s="23"/>
      <c r="V3178" s="23"/>
      <c r="W3178" s="23"/>
      <c r="X3178" s="23"/>
      <c r="Y3178" s="23"/>
      <c r="Z3178" s="23"/>
    </row>
    <row r="3179" spans="1:26" ht="13">
      <c r="A3179" s="562" t="s">
        <v>7335</v>
      </c>
      <c r="B3179" s="563" t="s">
        <v>7336</v>
      </c>
      <c r="C3179" s="564" t="s">
        <v>1612</v>
      </c>
      <c r="D3179" s="565">
        <v>42313</v>
      </c>
      <c r="E3179" s="565">
        <v>42338</v>
      </c>
      <c r="F3179" s="566">
        <v>18360</v>
      </c>
      <c r="G3179" s="564" t="s">
        <v>1424</v>
      </c>
      <c r="H3179" s="564" t="s">
        <v>1424</v>
      </c>
      <c r="I3179" s="564" t="s">
        <v>45</v>
      </c>
      <c r="J3179" s="564" t="s">
        <v>1069</v>
      </c>
      <c r="K3179" s="564" t="s">
        <v>1090</v>
      </c>
      <c r="L3179" s="564" t="s">
        <v>2098</v>
      </c>
      <c r="M3179" s="564" t="s">
        <v>2098</v>
      </c>
      <c r="N3179" s="564" t="s">
        <v>45</v>
      </c>
      <c r="O3179" s="564" t="s">
        <v>2099</v>
      </c>
      <c r="P3179" s="23"/>
      <c r="Q3179" s="23"/>
      <c r="R3179" s="23"/>
      <c r="S3179" s="23"/>
      <c r="T3179" s="23"/>
      <c r="U3179" s="23"/>
      <c r="V3179" s="23"/>
      <c r="W3179" s="23"/>
      <c r="X3179" s="23"/>
      <c r="Y3179" s="23"/>
      <c r="Z3179" s="23"/>
    </row>
    <row r="3180" spans="1:26" ht="13">
      <c r="A3180" s="562" t="s">
        <v>7337</v>
      </c>
      <c r="B3180" s="563" t="s">
        <v>7338</v>
      </c>
      <c r="C3180" s="564" t="s">
        <v>2191</v>
      </c>
      <c r="D3180" s="565">
        <v>42310</v>
      </c>
      <c r="E3180" s="565">
        <v>42319</v>
      </c>
      <c r="F3180" s="566">
        <v>1053936000</v>
      </c>
      <c r="G3180" s="564" t="s">
        <v>1529</v>
      </c>
      <c r="H3180" s="564" t="s">
        <v>1529</v>
      </c>
      <c r="I3180" s="564" t="s">
        <v>7339</v>
      </c>
      <c r="J3180" s="564" t="s">
        <v>1069</v>
      </c>
      <c r="K3180" s="564" t="s">
        <v>1070</v>
      </c>
      <c r="L3180" s="564" t="s">
        <v>2098</v>
      </c>
      <c r="M3180" s="564" t="s">
        <v>2098</v>
      </c>
      <c r="N3180" s="564" t="s">
        <v>1082</v>
      </c>
      <c r="O3180" s="564" t="s">
        <v>2099</v>
      </c>
      <c r="P3180" s="23"/>
      <c r="Q3180" s="23"/>
      <c r="R3180" s="23"/>
      <c r="S3180" s="23"/>
      <c r="T3180" s="23"/>
      <c r="U3180" s="23"/>
      <c r="V3180" s="23"/>
      <c r="W3180" s="23"/>
      <c r="X3180" s="23"/>
      <c r="Y3180" s="23"/>
      <c r="Z3180" s="23"/>
    </row>
    <row r="3181" spans="1:26" ht="13">
      <c r="A3181" s="562" t="s">
        <v>7340</v>
      </c>
      <c r="B3181" s="563" t="s">
        <v>7341</v>
      </c>
      <c r="C3181" s="564" t="s">
        <v>2191</v>
      </c>
      <c r="D3181" s="565">
        <v>42311</v>
      </c>
      <c r="E3181" s="565">
        <v>42338</v>
      </c>
      <c r="F3181" s="566">
        <v>903000</v>
      </c>
      <c r="G3181" s="564" t="s">
        <v>1636</v>
      </c>
      <c r="H3181" s="564" t="s">
        <v>1636</v>
      </c>
      <c r="I3181" s="564" t="s">
        <v>7342</v>
      </c>
      <c r="J3181" s="564" t="s">
        <v>1069</v>
      </c>
      <c r="K3181" s="564" t="s">
        <v>1070</v>
      </c>
      <c r="L3181" s="564" t="s">
        <v>2098</v>
      </c>
      <c r="M3181" s="564" t="s">
        <v>2098</v>
      </c>
      <c r="N3181" s="564" t="s">
        <v>1082</v>
      </c>
      <c r="O3181" s="564" t="s">
        <v>2099</v>
      </c>
      <c r="P3181" s="23"/>
      <c r="Q3181" s="23"/>
      <c r="R3181" s="23"/>
      <c r="S3181" s="23"/>
      <c r="T3181" s="23"/>
      <c r="U3181" s="23"/>
      <c r="V3181" s="23"/>
      <c r="W3181" s="23"/>
      <c r="X3181" s="23"/>
      <c r="Y3181" s="23"/>
      <c r="Z3181" s="23"/>
    </row>
    <row r="3182" spans="1:26" ht="13">
      <c r="A3182" s="562" t="s">
        <v>7343</v>
      </c>
      <c r="B3182" s="563" t="s">
        <v>7344</v>
      </c>
      <c r="C3182" s="564" t="s">
        <v>1612</v>
      </c>
      <c r="D3182" s="565">
        <v>42310</v>
      </c>
      <c r="E3182" s="565">
        <v>42328</v>
      </c>
      <c r="F3182" s="566">
        <v>1050</v>
      </c>
      <c r="G3182" s="564" t="s">
        <v>1424</v>
      </c>
      <c r="H3182" s="564" t="s">
        <v>1424</v>
      </c>
      <c r="I3182" s="564" t="s">
        <v>70</v>
      </c>
      <c r="J3182" s="564" t="s">
        <v>1069</v>
      </c>
      <c r="K3182" s="564" t="s">
        <v>1120</v>
      </c>
      <c r="L3182" s="564" t="s">
        <v>2098</v>
      </c>
      <c r="M3182" s="564" t="s">
        <v>2098</v>
      </c>
      <c r="N3182" s="564" t="s">
        <v>70</v>
      </c>
      <c r="O3182" s="564" t="s">
        <v>2099</v>
      </c>
      <c r="P3182" s="23"/>
      <c r="Q3182" s="23"/>
      <c r="R3182" s="23"/>
      <c r="S3182" s="23"/>
      <c r="T3182" s="23"/>
      <c r="U3182" s="23"/>
      <c r="V3182" s="23"/>
      <c r="W3182" s="23"/>
      <c r="X3182" s="23"/>
      <c r="Y3182" s="23"/>
      <c r="Z3182" s="23"/>
    </row>
    <row r="3183" spans="1:26" ht="13">
      <c r="A3183" s="562" t="s">
        <v>7345</v>
      </c>
      <c r="B3183" s="563" t="s">
        <v>7346</v>
      </c>
      <c r="C3183" s="564" t="s">
        <v>1612</v>
      </c>
      <c r="D3183" s="565">
        <v>42306</v>
      </c>
      <c r="E3183" s="565">
        <v>42429</v>
      </c>
      <c r="F3183" s="566">
        <v>49000</v>
      </c>
      <c r="G3183" s="564" t="s">
        <v>1128</v>
      </c>
      <c r="H3183" s="564" t="s">
        <v>1128</v>
      </c>
      <c r="I3183" s="564" t="s">
        <v>45</v>
      </c>
      <c r="J3183" s="564" t="s">
        <v>1069</v>
      </c>
      <c r="K3183" s="564" t="s">
        <v>1090</v>
      </c>
      <c r="L3183" s="564" t="s">
        <v>2098</v>
      </c>
      <c r="M3183" s="564" t="s">
        <v>2098</v>
      </c>
      <c r="N3183" s="564" t="s">
        <v>45</v>
      </c>
      <c r="O3183" s="564" t="s">
        <v>2099</v>
      </c>
      <c r="P3183" s="23"/>
      <c r="Q3183" s="23"/>
      <c r="R3183" s="23"/>
      <c r="S3183" s="23"/>
      <c r="T3183" s="23"/>
      <c r="U3183" s="23"/>
      <c r="V3183" s="23"/>
      <c r="W3183" s="23"/>
      <c r="X3183" s="23"/>
      <c r="Y3183" s="23"/>
      <c r="Z3183" s="23"/>
    </row>
    <row r="3184" spans="1:26" ht="13">
      <c r="A3184" s="562" t="s">
        <v>7347</v>
      </c>
      <c r="B3184" s="563" t="s">
        <v>7348</v>
      </c>
      <c r="C3184" s="564" t="s">
        <v>1612</v>
      </c>
      <c r="D3184" s="565">
        <v>42307</v>
      </c>
      <c r="E3184" s="565">
        <v>42334</v>
      </c>
      <c r="F3184" s="566">
        <v>6384000</v>
      </c>
      <c r="G3184" s="564" t="s">
        <v>1623</v>
      </c>
      <c r="H3184" s="564" t="s">
        <v>1623</v>
      </c>
      <c r="I3184" s="564" t="s">
        <v>802</v>
      </c>
      <c r="J3184" s="564" t="s">
        <v>1069</v>
      </c>
      <c r="K3184" s="564" t="s">
        <v>1198</v>
      </c>
      <c r="L3184" s="564" t="s">
        <v>2098</v>
      </c>
      <c r="M3184" s="564" t="s">
        <v>2098</v>
      </c>
      <c r="N3184" s="564" t="s">
        <v>132</v>
      </c>
      <c r="O3184" s="564" t="s">
        <v>2099</v>
      </c>
      <c r="P3184" s="23"/>
      <c r="Q3184" s="23"/>
      <c r="R3184" s="23"/>
      <c r="S3184" s="23"/>
      <c r="T3184" s="23"/>
      <c r="U3184" s="23"/>
      <c r="V3184" s="23"/>
      <c r="W3184" s="23"/>
      <c r="X3184" s="23"/>
      <c r="Y3184" s="23"/>
      <c r="Z3184" s="23"/>
    </row>
    <row r="3185" spans="1:26" ht="13">
      <c r="A3185" s="562" t="s">
        <v>7349</v>
      </c>
      <c r="B3185" s="563" t="s">
        <v>7190</v>
      </c>
      <c r="C3185" s="564" t="s">
        <v>1612</v>
      </c>
      <c r="D3185" s="565">
        <v>42305</v>
      </c>
      <c r="E3185" s="565">
        <v>42296</v>
      </c>
      <c r="F3185" s="566">
        <v>12450000</v>
      </c>
      <c r="G3185" s="564" t="s">
        <v>1128</v>
      </c>
      <c r="H3185" s="564" t="s">
        <v>1128</v>
      </c>
      <c r="I3185" s="564" t="s">
        <v>45</v>
      </c>
      <c r="J3185" s="564" t="s">
        <v>1069</v>
      </c>
      <c r="K3185" s="564" t="s">
        <v>1090</v>
      </c>
      <c r="L3185" s="564" t="s">
        <v>2098</v>
      </c>
      <c r="M3185" s="564" t="s">
        <v>2098</v>
      </c>
      <c r="N3185" s="564" t="s">
        <v>45</v>
      </c>
      <c r="O3185" s="564" t="s">
        <v>2099</v>
      </c>
      <c r="P3185" s="23"/>
      <c r="Q3185" s="23"/>
      <c r="R3185" s="23"/>
      <c r="S3185" s="23"/>
      <c r="T3185" s="23"/>
      <c r="U3185" s="23"/>
      <c r="V3185" s="23"/>
      <c r="W3185" s="23"/>
      <c r="X3185" s="23"/>
      <c r="Y3185" s="23"/>
      <c r="Z3185" s="23"/>
    </row>
    <row r="3186" spans="1:26" ht="13">
      <c r="A3186" s="562" t="s">
        <v>7350</v>
      </c>
      <c r="B3186" s="563" t="s">
        <v>7351</v>
      </c>
      <c r="C3186" s="564" t="s">
        <v>1612</v>
      </c>
      <c r="D3186" s="565">
        <v>42304</v>
      </c>
      <c r="E3186" s="565">
        <v>42335</v>
      </c>
      <c r="F3186" s="567">
        <v>425</v>
      </c>
      <c r="G3186" s="564" t="s">
        <v>1424</v>
      </c>
      <c r="H3186" s="564" t="s">
        <v>1424</v>
      </c>
      <c r="I3186" s="564" t="s">
        <v>2586</v>
      </c>
      <c r="J3186" s="564" t="s">
        <v>1069</v>
      </c>
      <c r="K3186" s="564" t="s">
        <v>1070</v>
      </c>
      <c r="L3186" s="564" t="s">
        <v>2098</v>
      </c>
      <c r="M3186" s="564" t="s">
        <v>2098</v>
      </c>
      <c r="N3186" s="564" t="s">
        <v>1073</v>
      </c>
      <c r="O3186" s="564" t="s">
        <v>2099</v>
      </c>
      <c r="P3186" s="23"/>
      <c r="Q3186" s="23"/>
      <c r="R3186" s="23"/>
      <c r="S3186" s="23"/>
      <c r="T3186" s="23"/>
      <c r="U3186" s="23"/>
      <c r="V3186" s="23"/>
      <c r="W3186" s="23"/>
      <c r="X3186" s="23"/>
      <c r="Y3186" s="23"/>
      <c r="Z3186" s="23"/>
    </row>
    <row r="3187" spans="1:26" ht="13">
      <c r="A3187" s="562" t="s">
        <v>7352</v>
      </c>
      <c r="B3187" s="563" t="s">
        <v>7353</v>
      </c>
      <c r="C3187" s="564" t="s">
        <v>1612</v>
      </c>
      <c r="D3187" s="565">
        <v>42304</v>
      </c>
      <c r="E3187" s="565">
        <v>42335</v>
      </c>
      <c r="F3187" s="567">
        <v>510</v>
      </c>
      <c r="G3187" s="564" t="s">
        <v>1424</v>
      </c>
      <c r="H3187" s="564" t="s">
        <v>1424</v>
      </c>
      <c r="I3187" s="564" t="s">
        <v>3824</v>
      </c>
      <c r="J3187" s="564" t="s">
        <v>1069</v>
      </c>
      <c r="K3187" s="564" t="s">
        <v>1070</v>
      </c>
      <c r="L3187" s="564" t="s">
        <v>2098</v>
      </c>
      <c r="M3187" s="564" t="s">
        <v>2098</v>
      </c>
      <c r="N3187" s="564" t="s">
        <v>1073</v>
      </c>
      <c r="O3187" s="564" t="s">
        <v>2099</v>
      </c>
      <c r="P3187" s="23"/>
      <c r="Q3187" s="23"/>
      <c r="R3187" s="23"/>
      <c r="S3187" s="23"/>
      <c r="T3187" s="23"/>
      <c r="U3187" s="23"/>
      <c r="V3187" s="23"/>
      <c r="W3187" s="23"/>
      <c r="X3187" s="23"/>
      <c r="Y3187" s="23"/>
      <c r="Z3187" s="23"/>
    </row>
    <row r="3188" spans="1:26" ht="13">
      <c r="A3188" s="562" t="s">
        <v>7354</v>
      </c>
      <c r="B3188" s="563" t="s">
        <v>7355</v>
      </c>
      <c r="C3188" s="564" t="s">
        <v>1612</v>
      </c>
      <c r="D3188" s="565">
        <v>42304</v>
      </c>
      <c r="E3188" s="565">
        <v>42313</v>
      </c>
      <c r="F3188" s="566">
        <v>2090909</v>
      </c>
      <c r="G3188" s="564" t="s">
        <v>1123</v>
      </c>
      <c r="H3188" s="564" t="s">
        <v>1123</v>
      </c>
      <c r="I3188" s="564" t="s">
        <v>802</v>
      </c>
      <c r="J3188" s="564" t="s">
        <v>1069</v>
      </c>
      <c r="K3188" s="564" t="s">
        <v>1198</v>
      </c>
      <c r="L3188" s="564" t="s">
        <v>2098</v>
      </c>
      <c r="M3188" s="564" t="s">
        <v>2098</v>
      </c>
      <c r="N3188" s="564" t="s">
        <v>132</v>
      </c>
      <c r="O3188" s="564" t="s">
        <v>2099</v>
      </c>
      <c r="P3188" s="23"/>
      <c r="Q3188" s="23"/>
      <c r="R3188" s="23"/>
      <c r="S3188" s="23"/>
      <c r="T3188" s="23"/>
      <c r="U3188" s="23"/>
      <c r="V3188" s="23"/>
      <c r="W3188" s="23"/>
      <c r="X3188" s="23"/>
      <c r="Y3188" s="23"/>
      <c r="Z3188" s="23"/>
    </row>
    <row r="3189" spans="1:26" ht="13">
      <c r="A3189" s="562" t="s">
        <v>7356</v>
      </c>
      <c r="B3189" s="563" t="s">
        <v>7357</v>
      </c>
      <c r="C3189" s="564" t="s">
        <v>1612</v>
      </c>
      <c r="D3189" s="565">
        <v>42300</v>
      </c>
      <c r="E3189" s="565">
        <v>42326</v>
      </c>
      <c r="F3189" s="566">
        <v>18399454</v>
      </c>
      <c r="G3189" s="564" t="s">
        <v>1623</v>
      </c>
      <c r="H3189" s="564" t="s">
        <v>1623</v>
      </c>
      <c r="I3189" s="564" t="s">
        <v>802</v>
      </c>
      <c r="J3189" s="564" t="s">
        <v>1069</v>
      </c>
      <c r="K3189" s="564" t="s">
        <v>1198</v>
      </c>
      <c r="L3189" s="564" t="s">
        <v>2098</v>
      </c>
      <c r="M3189" s="564" t="s">
        <v>2098</v>
      </c>
      <c r="N3189" s="564" t="s">
        <v>132</v>
      </c>
      <c r="O3189" s="564" t="s">
        <v>2099</v>
      </c>
      <c r="P3189" s="23"/>
      <c r="Q3189" s="23"/>
      <c r="R3189" s="23"/>
      <c r="S3189" s="23"/>
      <c r="T3189" s="23"/>
      <c r="U3189" s="23"/>
      <c r="V3189" s="23"/>
      <c r="W3189" s="23"/>
      <c r="X3189" s="23"/>
      <c r="Y3189" s="23"/>
      <c r="Z3189" s="23"/>
    </row>
    <row r="3190" spans="1:26" ht="13">
      <c r="A3190" s="562" t="s">
        <v>7358</v>
      </c>
      <c r="B3190" s="563" t="s">
        <v>7319</v>
      </c>
      <c r="C3190" s="564" t="s">
        <v>1612</v>
      </c>
      <c r="D3190" s="565">
        <v>42297</v>
      </c>
      <c r="E3190" s="565">
        <v>42338</v>
      </c>
      <c r="F3190" s="566">
        <v>10200</v>
      </c>
      <c r="G3190" s="564" t="s">
        <v>1424</v>
      </c>
      <c r="H3190" s="564" t="s">
        <v>1424</v>
      </c>
      <c r="I3190" s="564" t="s">
        <v>45</v>
      </c>
      <c r="J3190" s="564" t="s">
        <v>1069</v>
      </c>
      <c r="K3190" s="564" t="s">
        <v>1090</v>
      </c>
      <c r="L3190" s="564" t="s">
        <v>2098</v>
      </c>
      <c r="M3190" s="564" t="s">
        <v>2098</v>
      </c>
      <c r="N3190" s="564" t="s">
        <v>45</v>
      </c>
      <c r="O3190" s="564" t="s">
        <v>2099</v>
      </c>
      <c r="P3190" s="23"/>
      <c r="Q3190" s="23"/>
      <c r="R3190" s="23"/>
      <c r="S3190" s="23"/>
      <c r="T3190" s="23"/>
      <c r="U3190" s="23"/>
      <c r="V3190" s="23"/>
      <c r="W3190" s="23"/>
      <c r="X3190" s="23"/>
      <c r="Y3190" s="23"/>
      <c r="Z3190" s="23"/>
    </row>
    <row r="3191" spans="1:26" ht="13">
      <c r="A3191" s="562" t="s">
        <v>7359</v>
      </c>
      <c r="B3191" s="563" t="s">
        <v>7360</v>
      </c>
      <c r="C3191" s="564" t="s">
        <v>1612</v>
      </c>
      <c r="D3191" s="565">
        <v>42299</v>
      </c>
      <c r="E3191" s="565">
        <v>42314</v>
      </c>
      <c r="F3191" s="566">
        <v>1520</v>
      </c>
      <c r="G3191" s="564" t="s">
        <v>1424</v>
      </c>
      <c r="H3191" s="564" t="s">
        <v>1424</v>
      </c>
      <c r="I3191" s="564" t="s">
        <v>45</v>
      </c>
      <c r="J3191" s="564" t="s">
        <v>1069</v>
      </c>
      <c r="K3191" s="564" t="s">
        <v>1090</v>
      </c>
      <c r="L3191" s="564" t="s">
        <v>2098</v>
      </c>
      <c r="M3191" s="564" t="s">
        <v>2098</v>
      </c>
      <c r="N3191" s="564" t="s">
        <v>45</v>
      </c>
      <c r="O3191" s="564" t="s">
        <v>2099</v>
      </c>
      <c r="P3191" s="23"/>
      <c r="Q3191" s="23"/>
      <c r="R3191" s="23"/>
      <c r="S3191" s="23"/>
      <c r="T3191" s="23"/>
      <c r="U3191" s="23"/>
      <c r="V3191" s="23"/>
      <c r="W3191" s="23"/>
      <c r="X3191" s="23"/>
      <c r="Y3191" s="23"/>
      <c r="Z3191" s="23"/>
    </row>
    <row r="3192" spans="1:26" ht="13">
      <c r="A3192" s="562" t="s">
        <v>7361</v>
      </c>
      <c r="B3192" s="563" t="s">
        <v>7362</v>
      </c>
      <c r="C3192" s="564" t="s">
        <v>1612</v>
      </c>
      <c r="D3192" s="565">
        <v>42293</v>
      </c>
      <c r="E3192" s="565">
        <v>42305</v>
      </c>
      <c r="F3192" s="566">
        <v>2090909</v>
      </c>
      <c r="G3192" s="564" t="s">
        <v>1123</v>
      </c>
      <c r="H3192" s="564" t="s">
        <v>1123</v>
      </c>
      <c r="I3192" s="564" t="s">
        <v>802</v>
      </c>
      <c r="J3192" s="564" t="s">
        <v>1069</v>
      </c>
      <c r="K3192" s="564" t="s">
        <v>1198</v>
      </c>
      <c r="L3192" s="564" t="s">
        <v>2098</v>
      </c>
      <c r="M3192" s="564" t="s">
        <v>2098</v>
      </c>
      <c r="N3192" s="564" t="s">
        <v>132</v>
      </c>
      <c r="O3192" s="564" t="s">
        <v>2099</v>
      </c>
      <c r="P3192" s="23"/>
      <c r="Q3192" s="23"/>
      <c r="R3192" s="23"/>
      <c r="S3192" s="23"/>
      <c r="T3192" s="23"/>
      <c r="U3192" s="23"/>
      <c r="V3192" s="23"/>
      <c r="W3192" s="23"/>
      <c r="X3192" s="23"/>
      <c r="Y3192" s="23"/>
      <c r="Z3192" s="23"/>
    </row>
    <row r="3193" spans="1:26" ht="13">
      <c r="A3193" s="562" t="s">
        <v>7363</v>
      </c>
      <c r="B3193" s="563" t="s">
        <v>7364</v>
      </c>
      <c r="C3193" s="564" t="s">
        <v>1612</v>
      </c>
      <c r="D3193" s="565">
        <v>42296</v>
      </c>
      <c r="E3193" s="565">
        <v>42314</v>
      </c>
      <c r="F3193" s="566">
        <v>1913</v>
      </c>
      <c r="G3193" s="564" t="s">
        <v>1424</v>
      </c>
      <c r="H3193" s="564" t="s">
        <v>1424</v>
      </c>
      <c r="I3193" s="564" t="s">
        <v>70</v>
      </c>
      <c r="J3193" s="564" t="s">
        <v>1069</v>
      </c>
      <c r="K3193" s="564" t="s">
        <v>1120</v>
      </c>
      <c r="L3193" s="564" t="s">
        <v>2098</v>
      </c>
      <c r="M3193" s="564" t="s">
        <v>2098</v>
      </c>
      <c r="N3193" s="564" t="s">
        <v>70</v>
      </c>
      <c r="O3193" s="564" t="s">
        <v>2099</v>
      </c>
      <c r="P3193" s="23"/>
      <c r="Q3193" s="23"/>
      <c r="R3193" s="23"/>
      <c r="S3193" s="23"/>
      <c r="T3193" s="23"/>
      <c r="U3193" s="23"/>
      <c r="V3193" s="23"/>
      <c r="W3193" s="23"/>
      <c r="X3193" s="23"/>
      <c r="Y3193" s="23"/>
      <c r="Z3193" s="23"/>
    </row>
    <row r="3194" spans="1:26" ht="13">
      <c r="A3194" s="562" t="s">
        <v>7365</v>
      </c>
      <c r="B3194" s="563" t="s">
        <v>7366</v>
      </c>
      <c r="C3194" s="564" t="s">
        <v>1612</v>
      </c>
      <c r="D3194" s="565">
        <v>42291</v>
      </c>
      <c r="E3194" s="565">
        <v>42241</v>
      </c>
      <c r="F3194" s="566">
        <v>9900000</v>
      </c>
      <c r="G3194" s="564" t="s">
        <v>1128</v>
      </c>
      <c r="H3194" s="564" t="s">
        <v>1128</v>
      </c>
      <c r="I3194" s="564" t="s">
        <v>45</v>
      </c>
      <c r="J3194" s="564" t="s">
        <v>1069</v>
      </c>
      <c r="K3194" s="564" t="s">
        <v>1090</v>
      </c>
      <c r="L3194" s="564" t="s">
        <v>2098</v>
      </c>
      <c r="M3194" s="564" t="s">
        <v>2098</v>
      </c>
      <c r="N3194" s="564" t="s">
        <v>45</v>
      </c>
      <c r="O3194" s="564" t="s">
        <v>2099</v>
      </c>
      <c r="P3194" s="23"/>
      <c r="Q3194" s="23"/>
      <c r="R3194" s="23"/>
      <c r="S3194" s="23"/>
      <c r="T3194" s="23"/>
      <c r="U3194" s="23"/>
      <c r="V3194" s="23"/>
      <c r="W3194" s="23"/>
      <c r="X3194" s="23"/>
      <c r="Y3194" s="23"/>
      <c r="Z3194" s="23"/>
    </row>
    <row r="3195" spans="1:26" ht="13">
      <c r="A3195" s="562" t="s">
        <v>7367</v>
      </c>
      <c r="B3195" s="563" t="s">
        <v>7242</v>
      </c>
      <c r="C3195" s="564" t="s">
        <v>1612</v>
      </c>
      <c r="D3195" s="565">
        <v>42292</v>
      </c>
      <c r="E3195" s="565">
        <v>42321</v>
      </c>
      <c r="F3195" s="567">
        <v>990</v>
      </c>
      <c r="G3195" s="564" t="s">
        <v>1424</v>
      </c>
      <c r="H3195" s="564" t="s">
        <v>1424</v>
      </c>
      <c r="I3195" s="564" t="s">
        <v>45</v>
      </c>
      <c r="J3195" s="564" t="s">
        <v>1069</v>
      </c>
      <c r="K3195" s="564" t="s">
        <v>1090</v>
      </c>
      <c r="L3195" s="564" t="s">
        <v>2098</v>
      </c>
      <c r="M3195" s="564" t="s">
        <v>2098</v>
      </c>
      <c r="N3195" s="564" t="s">
        <v>45</v>
      </c>
      <c r="O3195" s="564" t="s">
        <v>2099</v>
      </c>
      <c r="P3195" s="23"/>
      <c r="Q3195" s="23"/>
      <c r="R3195" s="23"/>
      <c r="S3195" s="23"/>
      <c r="T3195" s="23"/>
      <c r="U3195" s="23"/>
      <c r="V3195" s="23"/>
      <c r="W3195" s="23"/>
      <c r="X3195" s="23"/>
      <c r="Y3195" s="23"/>
      <c r="Z3195" s="23"/>
    </row>
    <row r="3196" spans="1:26" ht="13">
      <c r="A3196" s="562" t="s">
        <v>7368</v>
      </c>
      <c r="B3196" s="563" t="s">
        <v>7369</v>
      </c>
      <c r="C3196" s="564" t="s">
        <v>1612</v>
      </c>
      <c r="D3196" s="565">
        <v>42291</v>
      </c>
      <c r="E3196" s="565">
        <v>42278</v>
      </c>
      <c r="F3196" s="566">
        <v>817200</v>
      </c>
      <c r="G3196" s="564" t="s">
        <v>1424</v>
      </c>
      <c r="H3196" s="564" t="s">
        <v>1424</v>
      </c>
      <c r="I3196" s="564" t="s">
        <v>45</v>
      </c>
      <c r="J3196" s="564" t="s">
        <v>1069</v>
      </c>
      <c r="K3196" s="564" t="s">
        <v>1090</v>
      </c>
      <c r="L3196" s="564" t="s">
        <v>1071</v>
      </c>
      <c r="M3196" s="564" t="s">
        <v>1183</v>
      </c>
      <c r="N3196" s="564" t="s">
        <v>45</v>
      </c>
      <c r="O3196" s="564" t="s">
        <v>2099</v>
      </c>
      <c r="P3196" s="23"/>
      <c r="Q3196" s="23"/>
      <c r="R3196" s="23"/>
      <c r="S3196" s="23"/>
      <c r="T3196" s="23"/>
      <c r="U3196" s="23"/>
      <c r="V3196" s="23"/>
      <c r="W3196" s="23"/>
      <c r="X3196" s="23"/>
      <c r="Y3196" s="23"/>
      <c r="Z3196" s="23"/>
    </row>
    <row r="3197" spans="1:26" ht="13">
      <c r="A3197" s="562" t="s">
        <v>7370</v>
      </c>
      <c r="B3197" s="563" t="s">
        <v>7371</v>
      </c>
      <c r="C3197" s="564" t="s">
        <v>2191</v>
      </c>
      <c r="D3197" s="565">
        <v>42291</v>
      </c>
      <c r="E3197" s="565">
        <v>42300</v>
      </c>
      <c r="F3197" s="566">
        <v>539000000</v>
      </c>
      <c r="G3197" s="564" t="s">
        <v>1529</v>
      </c>
      <c r="H3197" s="564" t="s">
        <v>1529</v>
      </c>
      <c r="I3197" s="564" t="s">
        <v>1771</v>
      </c>
      <c r="J3197" s="564" t="s">
        <v>1069</v>
      </c>
      <c r="K3197" s="564" t="s">
        <v>1070</v>
      </c>
      <c r="L3197" s="564" t="s">
        <v>2098</v>
      </c>
      <c r="M3197" s="564" t="s">
        <v>2098</v>
      </c>
      <c r="N3197" s="564" t="s">
        <v>1082</v>
      </c>
      <c r="O3197" s="564" t="s">
        <v>2099</v>
      </c>
      <c r="P3197" s="23"/>
      <c r="Q3197" s="23"/>
      <c r="R3197" s="23"/>
      <c r="S3197" s="23"/>
      <c r="T3197" s="23"/>
      <c r="U3197" s="23"/>
      <c r="V3197" s="23"/>
      <c r="W3197" s="23"/>
      <c r="X3197" s="23"/>
      <c r="Y3197" s="23"/>
      <c r="Z3197" s="23"/>
    </row>
    <row r="3198" spans="1:26" ht="13">
      <c r="A3198" s="562" t="s">
        <v>7372</v>
      </c>
      <c r="B3198" s="563" t="s">
        <v>7373</v>
      </c>
      <c r="C3198" s="564" t="s">
        <v>1612</v>
      </c>
      <c r="D3198" s="565">
        <v>42289</v>
      </c>
      <c r="E3198" s="565">
        <v>42308</v>
      </c>
      <c r="F3198" s="566">
        <v>507000</v>
      </c>
      <c r="G3198" s="564" t="s">
        <v>7208</v>
      </c>
      <c r="H3198" s="564" t="s">
        <v>7208</v>
      </c>
      <c r="I3198" s="564" t="s">
        <v>45</v>
      </c>
      <c r="J3198" s="564" t="s">
        <v>1069</v>
      </c>
      <c r="K3198" s="564" t="s">
        <v>1090</v>
      </c>
      <c r="L3198" s="564" t="s">
        <v>2098</v>
      </c>
      <c r="M3198" s="564" t="s">
        <v>2098</v>
      </c>
      <c r="N3198" s="564" t="s">
        <v>45</v>
      </c>
      <c r="O3198" s="564" t="s">
        <v>2099</v>
      </c>
      <c r="P3198" s="23"/>
      <c r="Q3198" s="23"/>
      <c r="R3198" s="23"/>
      <c r="S3198" s="23"/>
      <c r="T3198" s="23"/>
      <c r="U3198" s="23"/>
      <c r="V3198" s="23"/>
      <c r="W3198" s="23"/>
      <c r="X3198" s="23"/>
      <c r="Y3198" s="23"/>
      <c r="Z3198" s="23"/>
    </row>
    <row r="3199" spans="1:26" ht="13">
      <c r="A3199" s="562" t="s">
        <v>7374</v>
      </c>
      <c r="B3199" s="563" t="s">
        <v>7375</v>
      </c>
      <c r="C3199" s="564" t="s">
        <v>1612</v>
      </c>
      <c r="D3199" s="565">
        <v>42289</v>
      </c>
      <c r="E3199" s="565">
        <v>42324</v>
      </c>
      <c r="F3199" s="566">
        <v>12861</v>
      </c>
      <c r="G3199" s="564" t="s">
        <v>1424</v>
      </c>
      <c r="H3199" s="564" t="s">
        <v>1424</v>
      </c>
      <c r="I3199" s="564" t="s">
        <v>45</v>
      </c>
      <c r="J3199" s="564" t="s">
        <v>1069</v>
      </c>
      <c r="K3199" s="564" t="s">
        <v>1090</v>
      </c>
      <c r="L3199" s="564" t="s">
        <v>2098</v>
      </c>
      <c r="M3199" s="564" t="s">
        <v>2098</v>
      </c>
      <c r="N3199" s="564" t="s">
        <v>45</v>
      </c>
      <c r="O3199" s="564" t="s">
        <v>2099</v>
      </c>
      <c r="P3199" s="23"/>
      <c r="Q3199" s="23"/>
      <c r="R3199" s="23"/>
      <c r="S3199" s="23"/>
      <c r="T3199" s="23"/>
      <c r="U3199" s="23"/>
      <c r="V3199" s="23"/>
      <c r="W3199" s="23"/>
      <c r="X3199" s="23"/>
      <c r="Y3199" s="23"/>
      <c r="Z3199" s="23"/>
    </row>
    <row r="3200" spans="1:26" ht="13">
      <c r="A3200" s="562" t="s">
        <v>7376</v>
      </c>
      <c r="B3200" s="563" t="s">
        <v>7377</v>
      </c>
      <c r="C3200" s="564" t="s">
        <v>2191</v>
      </c>
      <c r="D3200" s="565">
        <v>42291</v>
      </c>
      <c r="E3200" s="565">
        <v>42324</v>
      </c>
      <c r="F3200" s="566">
        <v>446539</v>
      </c>
      <c r="G3200" s="564" t="s">
        <v>1636</v>
      </c>
      <c r="H3200" s="564" t="s">
        <v>1636</v>
      </c>
      <c r="I3200" s="564" t="s">
        <v>7259</v>
      </c>
      <c r="J3200" s="564" t="s">
        <v>1069</v>
      </c>
      <c r="K3200" s="564" t="s">
        <v>1070</v>
      </c>
      <c r="L3200" s="564" t="s">
        <v>2098</v>
      </c>
      <c r="M3200" s="564" t="s">
        <v>2098</v>
      </c>
      <c r="N3200" s="564" t="s">
        <v>1082</v>
      </c>
      <c r="O3200" s="564" t="s">
        <v>2099</v>
      </c>
      <c r="P3200" s="23"/>
      <c r="Q3200" s="23"/>
      <c r="R3200" s="23"/>
      <c r="S3200" s="23"/>
      <c r="T3200" s="23"/>
      <c r="U3200" s="23"/>
      <c r="V3200" s="23"/>
      <c r="W3200" s="23"/>
      <c r="X3200" s="23"/>
      <c r="Y3200" s="23"/>
      <c r="Z3200" s="23"/>
    </row>
    <row r="3201" spans="1:26" ht="13">
      <c r="A3201" s="562" t="s">
        <v>7378</v>
      </c>
      <c r="B3201" s="563" t="s">
        <v>7328</v>
      </c>
      <c r="C3201" s="564" t="s">
        <v>1612</v>
      </c>
      <c r="D3201" s="565">
        <v>42285</v>
      </c>
      <c r="E3201" s="565">
        <v>42298</v>
      </c>
      <c r="F3201" s="566">
        <v>2776</v>
      </c>
      <c r="G3201" s="564" t="s">
        <v>1424</v>
      </c>
      <c r="H3201" s="564" t="s">
        <v>1424</v>
      </c>
      <c r="I3201" s="564" t="s">
        <v>70</v>
      </c>
      <c r="J3201" s="564" t="s">
        <v>1069</v>
      </c>
      <c r="K3201" s="564" t="s">
        <v>1120</v>
      </c>
      <c r="L3201" s="564" t="s">
        <v>2098</v>
      </c>
      <c r="M3201" s="564" t="s">
        <v>2098</v>
      </c>
      <c r="N3201" s="564" t="s">
        <v>70</v>
      </c>
      <c r="O3201" s="564" t="s">
        <v>2099</v>
      </c>
      <c r="P3201" s="23"/>
      <c r="Q3201" s="23"/>
      <c r="R3201" s="23"/>
      <c r="S3201" s="23"/>
      <c r="T3201" s="23"/>
      <c r="U3201" s="23"/>
      <c r="V3201" s="23"/>
      <c r="W3201" s="23"/>
      <c r="X3201" s="23"/>
      <c r="Y3201" s="23"/>
      <c r="Z3201" s="23"/>
    </row>
    <row r="3202" spans="1:26" ht="13">
      <c r="A3202" s="562" t="s">
        <v>7379</v>
      </c>
      <c r="B3202" s="563" t="s">
        <v>7380</v>
      </c>
      <c r="C3202" s="564" t="s">
        <v>1612</v>
      </c>
      <c r="D3202" s="565">
        <v>42282</v>
      </c>
      <c r="E3202" s="565">
        <v>42293</v>
      </c>
      <c r="F3202" s="566">
        <v>1726</v>
      </c>
      <c r="G3202" s="564" t="s">
        <v>1424</v>
      </c>
      <c r="H3202" s="564" t="s">
        <v>1424</v>
      </c>
      <c r="I3202" s="564" t="s">
        <v>70</v>
      </c>
      <c r="J3202" s="564" t="s">
        <v>1069</v>
      </c>
      <c r="K3202" s="564" t="s">
        <v>1120</v>
      </c>
      <c r="L3202" s="564" t="s">
        <v>2098</v>
      </c>
      <c r="M3202" s="564" t="s">
        <v>2098</v>
      </c>
      <c r="N3202" s="564" t="s">
        <v>70</v>
      </c>
      <c r="O3202" s="564" t="s">
        <v>2099</v>
      </c>
      <c r="P3202" s="23"/>
      <c r="Q3202" s="23"/>
      <c r="R3202" s="23"/>
      <c r="S3202" s="23"/>
      <c r="T3202" s="23"/>
      <c r="U3202" s="23"/>
      <c r="V3202" s="23"/>
      <c r="W3202" s="23"/>
      <c r="X3202" s="23"/>
      <c r="Y3202" s="23"/>
      <c r="Z3202" s="23"/>
    </row>
    <row r="3203" spans="1:26" ht="13">
      <c r="A3203" s="562" t="s">
        <v>7381</v>
      </c>
      <c r="B3203" s="563" t="s">
        <v>6905</v>
      </c>
      <c r="C3203" s="564" t="s">
        <v>1612</v>
      </c>
      <c r="D3203" s="565">
        <v>42282</v>
      </c>
      <c r="E3203" s="565">
        <v>42307</v>
      </c>
      <c r="F3203" s="566">
        <v>11190000</v>
      </c>
      <c r="G3203" s="564" t="s">
        <v>5465</v>
      </c>
      <c r="H3203" s="564" t="s">
        <v>5465</v>
      </c>
      <c r="I3203" s="564" t="s">
        <v>45</v>
      </c>
      <c r="J3203" s="564" t="s">
        <v>1069</v>
      </c>
      <c r="K3203" s="564" t="s">
        <v>1090</v>
      </c>
      <c r="L3203" s="564" t="s">
        <v>2098</v>
      </c>
      <c r="M3203" s="564" t="s">
        <v>2098</v>
      </c>
      <c r="N3203" s="564" t="s">
        <v>45</v>
      </c>
      <c r="O3203" s="564" t="s">
        <v>2099</v>
      </c>
      <c r="P3203" s="23"/>
      <c r="Q3203" s="23"/>
      <c r="R3203" s="23"/>
      <c r="S3203" s="23"/>
      <c r="T3203" s="23"/>
      <c r="U3203" s="23"/>
      <c r="V3203" s="23"/>
      <c r="W3203" s="23"/>
      <c r="X3203" s="23"/>
      <c r="Y3203" s="23"/>
      <c r="Z3203" s="23"/>
    </row>
    <row r="3204" spans="1:26" ht="13">
      <c r="A3204" s="562" t="s">
        <v>7382</v>
      </c>
      <c r="B3204" s="563" t="s">
        <v>7383</v>
      </c>
      <c r="C3204" s="564" t="s">
        <v>1612</v>
      </c>
      <c r="D3204" s="565">
        <v>42278</v>
      </c>
      <c r="E3204" s="565">
        <v>42307</v>
      </c>
      <c r="F3204" s="566">
        <v>3826</v>
      </c>
      <c r="G3204" s="564" t="s">
        <v>1424</v>
      </c>
      <c r="H3204" s="564" t="s">
        <v>1424</v>
      </c>
      <c r="I3204" s="564" t="s">
        <v>70</v>
      </c>
      <c r="J3204" s="564" t="s">
        <v>1069</v>
      </c>
      <c r="K3204" s="564" t="s">
        <v>1120</v>
      </c>
      <c r="L3204" s="564" t="s">
        <v>2098</v>
      </c>
      <c r="M3204" s="564" t="s">
        <v>2098</v>
      </c>
      <c r="N3204" s="564" t="s">
        <v>70</v>
      </c>
      <c r="O3204" s="564" t="s">
        <v>2099</v>
      </c>
      <c r="P3204" s="23"/>
      <c r="Q3204" s="23"/>
      <c r="R3204" s="23"/>
      <c r="S3204" s="23"/>
      <c r="T3204" s="23"/>
      <c r="U3204" s="23"/>
      <c r="V3204" s="23"/>
      <c r="W3204" s="23"/>
      <c r="X3204" s="23"/>
      <c r="Y3204" s="23"/>
      <c r="Z3204" s="23"/>
    </row>
    <row r="3205" spans="1:26" ht="13">
      <c r="A3205" s="562" t="s">
        <v>7384</v>
      </c>
      <c r="B3205" s="563" t="s">
        <v>7385</v>
      </c>
      <c r="C3205" s="564" t="s">
        <v>1612</v>
      </c>
      <c r="D3205" s="565">
        <v>42277</v>
      </c>
      <c r="E3205" s="565">
        <v>42307</v>
      </c>
      <c r="F3205" s="566">
        <v>3480</v>
      </c>
      <c r="G3205" s="564" t="s">
        <v>1424</v>
      </c>
      <c r="H3205" s="564" t="s">
        <v>1424</v>
      </c>
      <c r="I3205" s="564" t="s">
        <v>64</v>
      </c>
      <c r="J3205" s="564" t="s">
        <v>1069</v>
      </c>
      <c r="K3205" s="564" t="s">
        <v>1090</v>
      </c>
      <c r="L3205" s="564" t="s">
        <v>2098</v>
      </c>
      <c r="M3205" s="564" t="s">
        <v>2098</v>
      </c>
      <c r="N3205" s="564" t="s">
        <v>64</v>
      </c>
      <c r="O3205" s="564" t="s">
        <v>2099</v>
      </c>
      <c r="P3205" s="23"/>
      <c r="Q3205" s="23"/>
      <c r="R3205" s="23"/>
      <c r="S3205" s="23"/>
      <c r="T3205" s="23"/>
      <c r="U3205" s="23"/>
      <c r="V3205" s="23"/>
      <c r="W3205" s="23"/>
      <c r="X3205" s="23"/>
      <c r="Y3205" s="23"/>
      <c r="Z3205" s="23"/>
    </row>
    <row r="3206" spans="1:26" ht="13">
      <c r="A3206" s="562" t="s">
        <v>7386</v>
      </c>
      <c r="B3206" s="563" t="s">
        <v>7387</v>
      </c>
      <c r="C3206" s="564" t="s">
        <v>2191</v>
      </c>
      <c r="D3206" s="565">
        <v>42278</v>
      </c>
      <c r="E3206" s="565">
        <v>42286</v>
      </c>
      <c r="F3206" s="566">
        <v>9920000</v>
      </c>
      <c r="G3206" s="564" t="s">
        <v>7208</v>
      </c>
      <c r="H3206" s="564" t="s">
        <v>7208</v>
      </c>
      <c r="I3206" s="564" t="s">
        <v>1826</v>
      </c>
      <c r="J3206" s="564" t="s">
        <v>1069</v>
      </c>
      <c r="K3206" s="564" t="s">
        <v>1070</v>
      </c>
      <c r="L3206" s="564" t="s">
        <v>2098</v>
      </c>
      <c r="M3206" s="564" t="s">
        <v>2098</v>
      </c>
      <c r="N3206" s="564" t="s">
        <v>1082</v>
      </c>
      <c r="O3206" s="564" t="s">
        <v>2099</v>
      </c>
      <c r="P3206" s="23"/>
      <c r="Q3206" s="23"/>
      <c r="R3206" s="23"/>
      <c r="S3206" s="23"/>
      <c r="T3206" s="23"/>
      <c r="U3206" s="23"/>
      <c r="V3206" s="23"/>
      <c r="W3206" s="23"/>
      <c r="X3206" s="23"/>
      <c r="Y3206" s="23"/>
      <c r="Z3206" s="23"/>
    </row>
    <row r="3207" spans="1:26" ht="13">
      <c r="A3207" s="562" t="s">
        <v>7388</v>
      </c>
      <c r="B3207" s="563" t="s">
        <v>7389</v>
      </c>
      <c r="C3207" s="564" t="s">
        <v>1612</v>
      </c>
      <c r="D3207" s="565">
        <v>42277</v>
      </c>
      <c r="E3207" s="565">
        <v>42277</v>
      </c>
      <c r="F3207" s="566">
        <v>33722000</v>
      </c>
      <c r="G3207" s="564" t="s">
        <v>7208</v>
      </c>
      <c r="H3207" s="564" t="s">
        <v>7208</v>
      </c>
      <c r="I3207" s="564" t="s">
        <v>45</v>
      </c>
      <c r="J3207" s="564" t="s">
        <v>1069</v>
      </c>
      <c r="K3207" s="564" t="s">
        <v>1090</v>
      </c>
      <c r="L3207" s="564" t="s">
        <v>2098</v>
      </c>
      <c r="M3207" s="564" t="s">
        <v>2098</v>
      </c>
      <c r="N3207" s="564" t="s">
        <v>45</v>
      </c>
      <c r="O3207" s="564" t="s">
        <v>2099</v>
      </c>
      <c r="P3207" s="23"/>
      <c r="Q3207" s="23"/>
      <c r="R3207" s="23"/>
      <c r="S3207" s="23"/>
      <c r="T3207" s="23"/>
      <c r="U3207" s="23"/>
      <c r="V3207" s="23"/>
      <c r="W3207" s="23"/>
      <c r="X3207" s="23"/>
      <c r="Y3207" s="23"/>
      <c r="Z3207" s="23"/>
    </row>
    <row r="3208" spans="1:26" ht="13">
      <c r="A3208" s="562" t="s">
        <v>7390</v>
      </c>
      <c r="B3208" s="563" t="s">
        <v>7078</v>
      </c>
      <c r="C3208" s="564" t="s">
        <v>1612</v>
      </c>
      <c r="D3208" s="565">
        <v>42272</v>
      </c>
      <c r="E3208" s="565">
        <v>42300</v>
      </c>
      <c r="F3208" s="566">
        <v>1144</v>
      </c>
      <c r="G3208" s="564" t="s">
        <v>1424</v>
      </c>
      <c r="H3208" s="564" t="s">
        <v>1424</v>
      </c>
      <c r="I3208" s="564" t="s">
        <v>45</v>
      </c>
      <c r="J3208" s="564" t="s">
        <v>1069</v>
      </c>
      <c r="K3208" s="564" t="s">
        <v>1090</v>
      </c>
      <c r="L3208" s="564" t="s">
        <v>2098</v>
      </c>
      <c r="M3208" s="564" t="s">
        <v>2098</v>
      </c>
      <c r="N3208" s="564" t="s">
        <v>45</v>
      </c>
      <c r="O3208" s="564" t="s">
        <v>2099</v>
      </c>
      <c r="P3208" s="23"/>
      <c r="Q3208" s="23"/>
      <c r="R3208" s="23"/>
      <c r="S3208" s="23"/>
      <c r="T3208" s="23"/>
      <c r="U3208" s="23"/>
      <c r="V3208" s="23"/>
      <c r="W3208" s="23"/>
      <c r="X3208" s="23"/>
      <c r="Y3208" s="23"/>
      <c r="Z3208" s="23"/>
    </row>
    <row r="3209" spans="1:26" ht="13">
      <c r="A3209" s="562" t="s">
        <v>7391</v>
      </c>
      <c r="B3209" s="563" t="s">
        <v>7392</v>
      </c>
      <c r="C3209" s="564" t="s">
        <v>1612</v>
      </c>
      <c r="D3209" s="565">
        <v>42244</v>
      </c>
      <c r="E3209" s="565">
        <v>42274</v>
      </c>
      <c r="F3209" s="567">
        <v>456</v>
      </c>
      <c r="G3209" s="564" t="s">
        <v>1424</v>
      </c>
      <c r="H3209" s="564" t="s">
        <v>1424</v>
      </c>
      <c r="I3209" s="564" t="s">
        <v>2586</v>
      </c>
      <c r="J3209" s="564" t="s">
        <v>1069</v>
      </c>
      <c r="K3209" s="564" t="s">
        <v>1070</v>
      </c>
      <c r="L3209" s="564" t="s">
        <v>2098</v>
      </c>
      <c r="M3209" s="564" t="s">
        <v>2098</v>
      </c>
      <c r="N3209" s="564" t="s">
        <v>1073</v>
      </c>
      <c r="O3209" s="564" t="s">
        <v>2099</v>
      </c>
      <c r="P3209" s="23"/>
      <c r="Q3209" s="23"/>
      <c r="R3209" s="23"/>
      <c r="S3209" s="23"/>
      <c r="T3209" s="23"/>
      <c r="U3209" s="23"/>
      <c r="V3209" s="23"/>
      <c r="W3209" s="23"/>
      <c r="X3209" s="23"/>
      <c r="Y3209" s="23"/>
      <c r="Z3209" s="23"/>
    </row>
    <row r="3210" spans="1:26" ht="13">
      <c r="A3210" s="562" t="s">
        <v>7393</v>
      </c>
      <c r="B3210" s="563" t="s">
        <v>7394</v>
      </c>
      <c r="C3210" s="564" t="s">
        <v>1612</v>
      </c>
      <c r="D3210" s="565">
        <v>42271</v>
      </c>
      <c r="E3210" s="565">
        <v>42300</v>
      </c>
      <c r="F3210" s="566">
        <v>1048</v>
      </c>
      <c r="G3210" s="564" t="s">
        <v>1424</v>
      </c>
      <c r="H3210" s="564" t="s">
        <v>1424</v>
      </c>
      <c r="I3210" s="564" t="s">
        <v>225</v>
      </c>
      <c r="J3210" s="564" t="s">
        <v>1069</v>
      </c>
      <c r="K3210" s="564" t="s">
        <v>1105</v>
      </c>
      <c r="L3210" s="564" t="s">
        <v>2098</v>
      </c>
      <c r="M3210" s="564" t="s">
        <v>2098</v>
      </c>
      <c r="N3210" s="564" t="s">
        <v>225</v>
      </c>
      <c r="O3210" s="564" t="s">
        <v>2099</v>
      </c>
      <c r="P3210" s="23"/>
      <c r="Q3210" s="23"/>
      <c r="R3210" s="23"/>
      <c r="S3210" s="23"/>
      <c r="T3210" s="23"/>
      <c r="U3210" s="23"/>
      <c r="V3210" s="23"/>
      <c r="W3210" s="23"/>
      <c r="X3210" s="23"/>
      <c r="Y3210" s="23"/>
      <c r="Z3210" s="23"/>
    </row>
    <row r="3211" spans="1:26" ht="13">
      <c r="A3211" s="562" t="s">
        <v>7395</v>
      </c>
      <c r="B3211" s="563" t="s">
        <v>7396</v>
      </c>
      <c r="C3211" s="564" t="s">
        <v>2191</v>
      </c>
      <c r="D3211" s="565">
        <v>42271</v>
      </c>
      <c r="E3211" s="565">
        <v>42277</v>
      </c>
      <c r="F3211" s="566">
        <v>11360000</v>
      </c>
      <c r="G3211" s="564" t="s">
        <v>1123</v>
      </c>
      <c r="H3211" s="564" t="s">
        <v>1123</v>
      </c>
      <c r="I3211" s="564" t="s">
        <v>140</v>
      </c>
      <c r="J3211" s="564" t="s">
        <v>1069</v>
      </c>
      <c r="K3211" s="564" t="s">
        <v>1205</v>
      </c>
      <c r="L3211" s="564" t="s">
        <v>2098</v>
      </c>
      <c r="M3211" s="564" t="s">
        <v>2098</v>
      </c>
      <c r="N3211" s="564" t="s">
        <v>1073</v>
      </c>
      <c r="O3211" s="564" t="s">
        <v>2099</v>
      </c>
      <c r="P3211" s="23"/>
      <c r="Q3211" s="23"/>
      <c r="R3211" s="23"/>
      <c r="S3211" s="23"/>
      <c r="T3211" s="23"/>
      <c r="U3211" s="23"/>
      <c r="V3211" s="23"/>
      <c r="W3211" s="23"/>
      <c r="X3211" s="23"/>
      <c r="Y3211" s="23"/>
      <c r="Z3211" s="23"/>
    </row>
    <row r="3212" spans="1:26" ht="13">
      <c r="A3212" s="562" t="s">
        <v>7397</v>
      </c>
      <c r="B3212" s="563" t="s">
        <v>7398</v>
      </c>
      <c r="C3212" s="564" t="s">
        <v>1612</v>
      </c>
      <c r="D3212" s="565">
        <v>42244</v>
      </c>
      <c r="E3212" s="565">
        <v>42274</v>
      </c>
      <c r="F3212" s="567">
        <v>456</v>
      </c>
      <c r="G3212" s="564" t="s">
        <v>1424</v>
      </c>
      <c r="H3212" s="564" t="s">
        <v>1424</v>
      </c>
      <c r="I3212" s="564" t="s">
        <v>3824</v>
      </c>
      <c r="J3212" s="564" t="s">
        <v>1069</v>
      </c>
      <c r="K3212" s="564" t="s">
        <v>1070</v>
      </c>
      <c r="L3212" s="564" t="s">
        <v>2098</v>
      </c>
      <c r="M3212" s="564" t="s">
        <v>2098</v>
      </c>
      <c r="N3212" s="564" t="s">
        <v>1073</v>
      </c>
      <c r="O3212" s="564" t="s">
        <v>2099</v>
      </c>
      <c r="P3212" s="23"/>
      <c r="Q3212" s="23"/>
      <c r="R3212" s="23"/>
      <c r="S3212" s="23"/>
      <c r="T3212" s="23"/>
      <c r="U3212" s="23"/>
      <c r="V3212" s="23"/>
      <c r="W3212" s="23"/>
      <c r="X3212" s="23"/>
      <c r="Y3212" s="23"/>
      <c r="Z3212" s="23"/>
    </row>
    <row r="3213" spans="1:26" ht="13">
      <c r="A3213" s="562" t="s">
        <v>7399</v>
      </c>
      <c r="B3213" s="563" t="s">
        <v>7400</v>
      </c>
      <c r="C3213" s="564" t="s">
        <v>1612</v>
      </c>
      <c r="D3213" s="565">
        <v>42269</v>
      </c>
      <c r="E3213" s="565">
        <v>42277</v>
      </c>
      <c r="F3213" s="566">
        <v>2963</v>
      </c>
      <c r="G3213" s="564" t="s">
        <v>1424</v>
      </c>
      <c r="H3213" s="564" t="s">
        <v>1424</v>
      </c>
      <c r="I3213" s="564" t="s">
        <v>70</v>
      </c>
      <c r="J3213" s="564" t="s">
        <v>1069</v>
      </c>
      <c r="K3213" s="564" t="s">
        <v>1120</v>
      </c>
      <c r="L3213" s="564" t="s">
        <v>2098</v>
      </c>
      <c r="M3213" s="564" t="s">
        <v>2098</v>
      </c>
      <c r="N3213" s="564" t="s">
        <v>70</v>
      </c>
      <c r="O3213" s="564" t="s">
        <v>2099</v>
      </c>
      <c r="P3213" s="23"/>
      <c r="Q3213" s="23"/>
      <c r="R3213" s="23"/>
      <c r="S3213" s="23"/>
      <c r="T3213" s="23"/>
      <c r="U3213" s="23"/>
      <c r="V3213" s="23"/>
      <c r="W3213" s="23"/>
      <c r="X3213" s="23"/>
      <c r="Y3213" s="23"/>
      <c r="Z3213" s="23"/>
    </row>
    <row r="3214" spans="1:26" ht="13">
      <c r="A3214" s="562" t="s">
        <v>7401</v>
      </c>
      <c r="B3214" s="563" t="s">
        <v>7402</v>
      </c>
      <c r="C3214" s="564" t="s">
        <v>2191</v>
      </c>
      <c r="D3214" s="565">
        <v>42268</v>
      </c>
      <c r="E3214" s="565">
        <v>42272</v>
      </c>
      <c r="F3214" s="566">
        <v>43136364</v>
      </c>
      <c r="G3214" s="564" t="s">
        <v>1123</v>
      </c>
      <c r="H3214" s="564" t="s">
        <v>1123</v>
      </c>
      <c r="I3214" s="564" t="s">
        <v>140</v>
      </c>
      <c r="J3214" s="564" t="s">
        <v>1069</v>
      </c>
      <c r="K3214" s="564" t="s">
        <v>1205</v>
      </c>
      <c r="L3214" s="564" t="s">
        <v>2098</v>
      </c>
      <c r="M3214" s="564" t="s">
        <v>2098</v>
      </c>
      <c r="N3214" s="564" t="s">
        <v>1073</v>
      </c>
      <c r="O3214" s="564" t="s">
        <v>2099</v>
      </c>
      <c r="P3214" s="23"/>
      <c r="Q3214" s="23"/>
      <c r="R3214" s="23"/>
      <c r="S3214" s="23"/>
      <c r="T3214" s="23"/>
      <c r="U3214" s="23"/>
      <c r="V3214" s="23"/>
      <c r="W3214" s="23"/>
      <c r="X3214" s="23"/>
      <c r="Y3214" s="23"/>
      <c r="Z3214" s="23"/>
    </row>
    <row r="3215" spans="1:26" ht="13">
      <c r="A3215" s="562" t="s">
        <v>7403</v>
      </c>
      <c r="B3215" s="563" t="s">
        <v>7404</v>
      </c>
      <c r="C3215" s="564" t="s">
        <v>1204</v>
      </c>
      <c r="D3215" s="565">
        <v>42262</v>
      </c>
      <c r="E3215" s="565">
        <v>42248</v>
      </c>
      <c r="F3215" s="566">
        <v>1198800</v>
      </c>
      <c r="G3215" s="564" t="s">
        <v>1424</v>
      </c>
      <c r="H3215" s="564" t="s">
        <v>1424</v>
      </c>
      <c r="I3215" s="564" t="s">
        <v>1471</v>
      </c>
      <c r="J3215" s="564" t="s">
        <v>1069</v>
      </c>
      <c r="K3215" s="564" t="s">
        <v>1070</v>
      </c>
      <c r="L3215" s="564" t="s">
        <v>1071</v>
      </c>
      <c r="M3215" s="564" t="s">
        <v>1183</v>
      </c>
      <c r="N3215" s="564" t="s">
        <v>1082</v>
      </c>
      <c r="O3215" s="564" t="s">
        <v>1472</v>
      </c>
      <c r="P3215" s="23"/>
      <c r="Q3215" s="23"/>
      <c r="R3215" s="23"/>
      <c r="S3215" s="23"/>
      <c r="T3215" s="23"/>
      <c r="U3215" s="23"/>
      <c r="V3215" s="23"/>
      <c r="W3215" s="23"/>
      <c r="X3215" s="23"/>
      <c r="Y3215" s="23"/>
      <c r="Z3215" s="23"/>
    </row>
    <row r="3216" spans="1:26" ht="13">
      <c r="A3216" s="562" t="s">
        <v>7405</v>
      </c>
      <c r="B3216" s="563" t="s">
        <v>7406</v>
      </c>
      <c r="C3216" s="564" t="s">
        <v>1612</v>
      </c>
      <c r="D3216" s="565">
        <v>42261</v>
      </c>
      <c r="E3216" s="565">
        <v>42285</v>
      </c>
      <c r="F3216" s="566">
        <v>44613634</v>
      </c>
      <c r="G3216" s="564" t="s">
        <v>1623</v>
      </c>
      <c r="H3216" s="564" t="s">
        <v>1623</v>
      </c>
      <c r="I3216" s="564" t="s">
        <v>802</v>
      </c>
      <c r="J3216" s="564" t="s">
        <v>1069</v>
      </c>
      <c r="K3216" s="564" t="s">
        <v>1198</v>
      </c>
      <c r="L3216" s="564" t="s">
        <v>2098</v>
      </c>
      <c r="M3216" s="564" t="s">
        <v>2098</v>
      </c>
      <c r="N3216" s="564" t="s">
        <v>132</v>
      </c>
      <c r="O3216" s="564" t="s">
        <v>2099</v>
      </c>
      <c r="P3216" s="23"/>
      <c r="Q3216" s="23"/>
      <c r="R3216" s="23"/>
      <c r="S3216" s="23"/>
      <c r="T3216" s="23"/>
      <c r="U3216" s="23"/>
      <c r="V3216" s="23"/>
      <c r="W3216" s="23"/>
      <c r="X3216" s="23"/>
      <c r="Y3216" s="23"/>
      <c r="Z3216" s="23"/>
    </row>
    <row r="3217" spans="1:26" ht="13">
      <c r="A3217" s="562" t="s">
        <v>7407</v>
      </c>
      <c r="B3217" s="563" t="s">
        <v>7408</v>
      </c>
      <c r="C3217" s="564" t="s">
        <v>1612</v>
      </c>
      <c r="D3217" s="565">
        <v>42258</v>
      </c>
      <c r="E3217" s="565">
        <v>42277</v>
      </c>
      <c r="F3217" s="567">
        <v>580</v>
      </c>
      <c r="G3217" s="564" t="s">
        <v>1424</v>
      </c>
      <c r="H3217" s="564" t="s">
        <v>1424</v>
      </c>
      <c r="I3217" s="564" t="s">
        <v>45</v>
      </c>
      <c r="J3217" s="564" t="s">
        <v>1069</v>
      </c>
      <c r="K3217" s="564" t="s">
        <v>1090</v>
      </c>
      <c r="L3217" s="564" t="s">
        <v>2098</v>
      </c>
      <c r="M3217" s="564" t="s">
        <v>2098</v>
      </c>
      <c r="N3217" s="564" t="s">
        <v>45</v>
      </c>
      <c r="O3217" s="564" t="s">
        <v>2099</v>
      </c>
      <c r="P3217" s="23"/>
      <c r="Q3217" s="23"/>
      <c r="R3217" s="23"/>
      <c r="S3217" s="23"/>
      <c r="T3217" s="23"/>
      <c r="U3217" s="23"/>
      <c r="V3217" s="23"/>
      <c r="W3217" s="23"/>
      <c r="X3217" s="23"/>
      <c r="Y3217" s="23"/>
      <c r="Z3217" s="23"/>
    </row>
    <row r="3218" spans="1:26" ht="13">
      <c r="A3218" s="562" t="s">
        <v>7409</v>
      </c>
      <c r="B3218" s="563" t="s">
        <v>7410</v>
      </c>
      <c r="C3218" s="564" t="s">
        <v>1612</v>
      </c>
      <c r="D3218" s="565">
        <v>42258</v>
      </c>
      <c r="E3218" s="565">
        <v>42277</v>
      </c>
      <c r="F3218" s="566">
        <v>12953</v>
      </c>
      <c r="G3218" s="564" t="s">
        <v>1424</v>
      </c>
      <c r="H3218" s="564" t="s">
        <v>1424</v>
      </c>
      <c r="I3218" s="564" t="s">
        <v>45</v>
      </c>
      <c r="J3218" s="564" t="s">
        <v>1069</v>
      </c>
      <c r="K3218" s="564" t="s">
        <v>1090</v>
      </c>
      <c r="L3218" s="564" t="s">
        <v>2098</v>
      </c>
      <c r="M3218" s="564" t="s">
        <v>2098</v>
      </c>
      <c r="N3218" s="564" t="s">
        <v>45</v>
      </c>
      <c r="O3218" s="564" t="s">
        <v>2099</v>
      </c>
      <c r="P3218" s="23"/>
      <c r="Q3218" s="23"/>
      <c r="R3218" s="23"/>
      <c r="S3218" s="23"/>
      <c r="T3218" s="23"/>
      <c r="U3218" s="23"/>
      <c r="V3218" s="23"/>
      <c r="W3218" s="23"/>
      <c r="X3218" s="23"/>
      <c r="Y3218" s="23"/>
      <c r="Z3218" s="23"/>
    </row>
    <row r="3219" spans="1:26" ht="13">
      <c r="A3219" s="562" t="s">
        <v>7411</v>
      </c>
      <c r="B3219" s="563" t="s">
        <v>7412</v>
      </c>
      <c r="C3219" s="564" t="s">
        <v>1612</v>
      </c>
      <c r="D3219" s="565">
        <v>42257</v>
      </c>
      <c r="E3219" s="565">
        <v>42248</v>
      </c>
      <c r="F3219" s="566">
        <v>14250600</v>
      </c>
      <c r="G3219" s="564" t="s">
        <v>1424</v>
      </c>
      <c r="H3219" s="564" t="s">
        <v>1424</v>
      </c>
      <c r="I3219" s="564" t="s">
        <v>45</v>
      </c>
      <c r="J3219" s="564" t="s">
        <v>1069</v>
      </c>
      <c r="K3219" s="564" t="s">
        <v>1090</v>
      </c>
      <c r="L3219" s="564" t="s">
        <v>1071</v>
      </c>
      <c r="M3219" s="564" t="s">
        <v>1183</v>
      </c>
      <c r="N3219" s="564" t="s">
        <v>45</v>
      </c>
      <c r="O3219" s="564" t="s">
        <v>2099</v>
      </c>
      <c r="P3219" s="23"/>
      <c r="Q3219" s="23"/>
      <c r="R3219" s="23"/>
      <c r="S3219" s="23"/>
      <c r="T3219" s="23"/>
      <c r="U3219" s="23"/>
      <c r="V3219" s="23"/>
      <c r="W3219" s="23"/>
      <c r="X3219" s="23"/>
      <c r="Y3219" s="23"/>
      <c r="Z3219" s="23"/>
    </row>
    <row r="3220" spans="1:26" ht="13">
      <c r="A3220" s="562" t="s">
        <v>7413</v>
      </c>
      <c r="B3220" s="563" t="s">
        <v>7414</v>
      </c>
      <c r="C3220" s="564" t="s">
        <v>1612</v>
      </c>
      <c r="D3220" s="565">
        <v>42257</v>
      </c>
      <c r="E3220" s="565">
        <v>42277</v>
      </c>
      <c r="F3220" s="566">
        <v>12082</v>
      </c>
      <c r="G3220" s="564" t="s">
        <v>1424</v>
      </c>
      <c r="H3220" s="564" t="s">
        <v>1424</v>
      </c>
      <c r="I3220" s="564" t="s">
        <v>70</v>
      </c>
      <c r="J3220" s="564" t="s">
        <v>1069</v>
      </c>
      <c r="K3220" s="564" t="s">
        <v>1120</v>
      </c>
      <c r="L3220" s="564" t="s">
        <v>2098</v>
      </c>
      <c r="M3220" s="564" t="s">
        <v>2098</v>
      </c>
      <c r="N3220" s="564" t="s">
        <v>70</v>
      </c>
      <c r="O3220" s="564" t="s">
        <v>2099</v>
      </c>
      <c r="P3220" s="23"/>
      <c r="Q3220" s="23"/>
      <c r="R3220" s="23"/>
      <c r="S3220" s="23"/>
      <c r="T3220" s="23"/>
      <c r="U3220" s="23"/>
      <c r="V3220" s="23"/>
      <c r="W3220" s="23"/>
      <c r="X3220" s="23"/>
      <c r="Y3220" s="23"/>
      <c r="Z3220" s="23"/>
    </row>
    <row r="3221" spans="1:26" ht="13">
      <c r="A3221" s="562" t="s">
        <v>7415</v>
      </c>
      <c r="B3221" s="563" t="s">
        <v>7416</v>
      </c>
      <c r="C3221" s="564" t="s">
        <v>1612</v>
      </c>
      <c r="D3221" s="565">
        <v>42257</v>
      </c>
      <c r="E3221" s="565">
        <v>42277</v>
      </c>
      <c r="F3221" s="566">
        <v>2266000</v>
      </c>
      <c r="G3221" s="564" t="s">
        <v>1123</v>
      </c>
      <c r="H3221" s="564" t="s">
        <v>1123</v>
      </c>
      <c r="I3221" s="564" t="s">
        <v>64</v>
      </c>
      <c r="J3221" s="564" t="s">
        <v>1069</v>
      </c>
      <c r="K3221" s="564" t="s">
        <v>1090</v>
      </c>
      <c r="L3221" s="564" t="s">
        <v>2098</v>
      </c>
      <c r="M3221" s="564" t="s">
        <v>2098</v>
      </c>
      <c r="N3221" s="564" t="s">
        <v>64</v>
      </c>
      <c r="O3221" s="564" t="s">
        <v>2099</v>
      </c>
      <c r="P3221" s="23"/>
      <c r="Q3221" s="23"/>
      <c r="R3221" s="23"/>
      <c r="S3221" s="23"/>
      <c r="T3221" s="23"/>
      <c r="U3221" s="23"/>
      <c r="V3221" s="23"/>
      <c r="W3221" s="23"/>
      <c r="X3221" s="23"/>
      <c r="Y3221" s="23"/>
      <c r="Z3221" s="23"/>
    </row>
    <row r="3222" spans="1:26" ht="13">
      <c r="A3222" s="562" t="s">
        <v>7417</v>
      </c>
      <c r="B3222" s="563" t="s">
        <v>7418</v>
      </c>
      <c r="C3222" s="564" t="s">
        <v>1612</v>
      </c>
      <c r="D3222" s="565">
        <v>42256</v>
      </c>
      <c r="E3222" s="565">
        <v>42248</v>
      </c>
      <c r="F3222" s="566">
        <v>52439160</v>
      </c>
      <c r="G3222" s="564" t="s">
        <v>1424</v>
      </c>
      <c r="H3222" s="564" t="s">
        <v>1424</v>
      </c>
      <c r="I3222" s="564" t="s">
        <v>45</v>
      </c>
      <c r="J3222" s="564" t="s">
        <v>1069</v>
      </c>
      <c r="K3222" s="564" t="s">
        <v>1090</v>
      </c>
      <c r="L3222" s="564" t="s">
        <v>1071</v>
      </c>
      <c r="M3222" s="564" t="s">
        <v>1183</v>
      </c>
      <c r="N3222" s="564" t="s">
        <v>45</v>
      </c>
      <c r="O3222" s="564" t="s">
        <v>2099</v>
      </c>
      <c r="P3222" s="23"/>
      <c r="Q3222" s="23"/>
      <c r="R3222" s="23"/>
      <c r="S3222" s="23"/>
      <c r="T3222" s="23"/>
      <c r="U3222" s="23"/>
      <c r="V3222" s="23"/>
      <c r="W3222" s="23"/>
      <c r="X3222" s="23"/>
      <c r="Y3222" s="23"/>
      <c r="Z3222" s="23"/>
    </row>
    <row r="3223" spans="1:26" ht="13">
      <c r="A3223" s="562" t="s">
        <v>7419</v>
      </c>
      <c r="B3223" s="563" t="s">
        <v>7148</v>
      </c>
      <c r="C3223" s="564" t="s">
        <v>1612</v>
      </c>
      <c r="D3223" s="565">
        <v>42254</v>
      </c>
      <c r="E3223" s="565">
        <v>42277</v>
      </c>
      <c r="F3223" s="567">
        <v>990</v>
      </c>
      <c r="G3223" s="564" t="s">
        <v>1424</v>
      </c>
      <c r="H3223" s="564" t="s">
        <v>1424</v>
      </c>
      <c r="I3223" s="564" t="s">
        <v>45</v>
      </c>
      <c r="J3223" s="564" t="s">
        <v>1069</v>
      </c>
      <c r="K3223" s="564" t="s">
        <v>1090</v>
      </c>
      <c r="L3223" s="564" t="s">
        <v>2098</v>
      </c>
      <c r="M3223" s="564" t="s">
        <v>2098</v>
      </c>
      <c r="N3223" s="564" t="s">
        <v>45</v>
      </c>
      <c r="O3223" s="564" t="s">
        <v>2099</v>
      </c>
      <c r="P3223" s="23"/>
      <c r="Q3223" s="23"/>
      <c r="R3223" s="23"/>
      <c r="S3223" s="23"/>
      <c r="T3223" s="23"/>
      <c r="U3223" s="23"/>
      <c r="V3223" s="23"/>
      <c r="W3223" s="23"/>
      <c r="X3223" s="23"/>
      <c r="Y3223" s="23"/>
      <c r="Z3223" s="23"/>
    </row>
    <row r="3224" spans="1:26" ht="13">
      <c r="A3224" s="562" t="s">
        <v>7420</v>
      </c>
      <c r="B3224" s="563" t="s">
        <v>7421</v>
      </c>
      <c r="C3224" s="564" t="s">
        <v>1612</v>
      </c>
      <c r="D3224" s="565">
        <v>42255</v>
      </c>
      <c r="E3224" s="565">
        <v>42248</v>
      </c>
      <c r="F3224" s="566">
        <v>1572960</v>
      </c>
      <c r="G3224" s="564" t="s">
        <v>1424</v>
      </c>
      <c r="H3224" s="564" t="s">
        <v>1424</v>
      </c>
      <c r="I3224" s="564" t="s">
        <v>45</v>
      </c>
      <c r="J3224" s="564" t="s">
        <v>1069</v>
      </c>
      <c r="K3224" s="564" t="s">
        <v>1090</v>
      </c>
      <c r="L3224" s="564" t="s">
        <v>1071</v>
      </c>
      <c r="M3224" s="564" t="s">
        <v>1183</v>
      </c>
      <c r="N3224" s="564" t="s">
        <v>45</v>
      </c>
      <c r="O3224" s="564" t="s">
        <v>2099</v>
      </c>
      <c r="P3224" s="23"/>
      <c r="Q3224" s="23"/>
      <c r="R3224" s="23"/>
      <c r="S3224" s="23"/>
      <c r="T3224" s="23"/>
      <c r="U3224" s="23"/>
      <c r="V3224" s="23"/>
      <c r="W3224" s="23"/>
      <c r="X3224" s="23"/>
      <c r="Y3224" s="23"/>
      <c r="Z3224" s="23"/>
    </row>
    <row r="3225" spans="1:26" ht="13">
      <c r="A3225" s="562" t="s">
        <v>7422</v>
      </c>
      <c r="B3225" s="563" t="s">
        <v>7423</v>
      </c>
      <c r="C3225" s="564" t="s">
        <v>2191</v>
      </c>
      <c r="D3225" s="565">
        <v>42250</v>
      </c>
      <c r="E3225" s="565">
        <v>42277</v>
      </c>
      <c r="F3225" s="566">
        <v>12953</v>
      </c>
      <c r="G3225" s="564" t="s">
        <v>1424</v>
      </c>
      <c r="H3225" s="564" t="s">
        <v>1424</v>
      </c>
      <c r="I3225" s="564" t="s">
        <v>1837</v>
      </c>
      <c r="J3225" s="564" t="s">
        <v>1069</v>
      </c>
      <c r="K3225" s="564" t="s">
        <v>1070</v>
      </c>
      <c r="L3225" s="564" t="s">
        <v>2098</v>
      </c>
      <c r="M3225" s="564" t="s">
        <v>2098</v>
      </c>
      <c r="N3225" s="564" t="s">
        <v>1082</v>
      </c>
      <c r="O3225" s="564" t="s">
        <v>2099</v>
      </c>
      <c r="P3225" s="23"/>
      <c r="Q3225" s="23"/>
      <c r="R3225" s="23"/>
      <c r="S3225" s="23"/>
      <c r="T3225" s="23"/>
      <c r="U3225" s="23"/>
      <c r="V3225" s="23"/>
      <c r="W3225" s="23"/>
      <c r="X3225" s="23"/>
      <c r="Y3225" s="23"/>
      <c r="Z3225" s="23"/>
    </row>
    <row r="3226" spans="1:26" ht="13">
      <c r="A3226" s="562" t="s">
        <v>7424</v>
      </c>
      <c r="B3226" s="563" t="s">
        <v>7425</v>
      </c>
      <c r="C3226" s="564" t="s">
        <v>1612</v>
      </c>
      <c r="D3226" s="565">
        <v>42254</v>
      </c>
      <c r="E3226" s="565">
        <v>42250</v>
      </c>
      <c r="F3226" s="567">
        <v>580</v>
      </c>
      <c r="G3226" s="564" t="s">
        <v>1424</v>
      </c>
      <c r="H3226" s="564" t="s">
        <v>1424</v>
      </c>
      <c r="I3226" s="564" t="s">
        <v>45</v>
      </c>
      <c r="J3226" s="564" t="s">
        <v>1069</v>
      </c>
      <c r="K3226" s="564" t="s">
        <v>1090</v>
      </c>
      <c r="L3226" s="564" t="s">
        <v>2098</v>
      </c>
      <c r="M3226" s="564" t="s">
        <v>2098</v>
      </c>
      <c r="N3226" s="564" t="s">
        <v>45</v>
      </c>
      <c r="O3226" s="564" t="s">
        <v>2099</v>
      </c>
      <c r="P3226" s="23"/>
      <c r="Q3226" s="23"/>
      <c r="R3226" s="23"/>
      <c r="S3226" s="23"/>
      <c r="T3226" s="23"/>
      <c r="U3226" s="23"/>
      <c r="V3226" s="23"/>
      <c r="W3226" s="23"/>
      <c r="X3226" s="23"/>
      <c r="Y3226" s="23"/>
      <c r="Z3226" s="23"/>
    </row>
    <row r="3227" spans="1:26" ht="13">
      <c r="A3227" s="562" t="s">
        <v>7426</v>
      </c>
      <c r="B3227" s="563" t="s">
        <v>6897</v>
      </c>
      <c r="C3227" s="564" t="s">
        <v>1612</v>
      </c>
      <c r="D3227" s="565">
        <v>42249</v>
      </c>
      <c r="E3227" s="565">
        <v>42258</v>
      </c>
      <c r="F3227" s="566">
        <v>10200000</v>
      </c>
      <c r="G3227" s="564" t="s">
        <v>1128</v>
      </c>
      <c r="H3227" s="564" t="s">
        <v>1128</v>
      </c>
      <c r="I3227" s="564" t="s">
        <v>257</v>
      </c>
      <c r="J3227" s="564" t="s">
        <v>1069</v>
      </c>
      <c r="K3227" s="564" t="s">
        <v>1209</v>
      </c>
      <c r="L3227" s="564" t="s">
        <v>2098</v>
      </c>
      <c r="M3227" s="564" t="s">
        <v>2098</v>
      </c>
      <c r="N3227" s="564" t="s">
        <v>257</v>
      </c>
      <c r="O3227" s="564" t="s">
        <v>2099</v>
      </c>
      <c r="P3227" s="23"/>
      <c r="Q3227" s="23"/>
      <c r="R3227" s="23"/>
      <c r="S3227" s="23"/>
      <c r="T3227" s="23"/>
      <c r="U3227" s="23"/>
      <c r="V3227" s="23"/>
      <c r="W3227" s="23"/>
      <c r="X3227" s="23"/>
      <c r="Y3227" s="23"/>
      <c r="Z3227" s="23"/>
    </row>
    <row r="3228" spans="1:26" ht="13">
      <c r="A3228" s="562" t="s">
        <v>7427</v>
      </c>
      <c r="B3228" s="563" t="s">
        <v>7428</v>
      </c>
      <c r="C3228" s="564" t="s">
        <v>1612</v>
      </c>
      <c r="D3228" s="565">
        <v>42248</v>
      </c>
      <c r="E3228" s="565">
        <v>42261</v>
      </c>
      <c r="F3228" s="566">
        <v>4315</v>
      </c>
      <c r="G3228" s="564" t="s">
        <v>1424</v>
      </c>
      <c r="H3228" s="564" t="s">
        <v>1424</v>
      </c>
      <c r="I3228" s="564" t="s">
        <v>70</v>
      </c>
      <c r="J3228" s="564" t="s">
        <v>1069</v>
      </c>
      <c r="K3228" s="564" t="s">
        <v>1120</v>
      </c>
      <c r="L3228" s="564" t="s">
        <v>2098</v>
      </c>
      <c r="M3228" s="564" t="s">
        <v>2098</v>
      </c>
      <c r="N3228" s="564" t="s">
        <v>70</v>
      </c>
      <c r="O3228" s="564" t="s">
        <v>2099</v>
      </c>
      <c r="P3228" s="23"/>
      <c r="Q3228" s="23"/>
      <c r="R3228" s="23"/>
      <c r="S3228" s="23"/>
      <c r="T3228" s="23"/>
      <c r="U3228" s="23"/>
      <c r="V3228" s="23"/>
      <c r="W3228" s="23"/>
      <c r="X3228" s="23"/>
      <c r="Y3228" s="23"/>
      <c r="Z3228" s="23"/>
    </row>
    <row r="3229" spans="1:26" ht="13">
      <c r="A3229" s="562" t="s">
        <v>7429</v>
      </c>
      <c r="B3229" s="563" t="s">
        <v>7430</v>
      </c>
      <c r="C3229" s="564" t="s">
        <v>1612</v>
      </c>
      <c r="D3229" s="565">
        <v>42249</v>
      </c>
      <c r="E3229" s="565">
        <v>42277</v>
      </c>
      <c r="F3229" s="566">
        <v>24000000</v>
      </c>
      <c r="G3229" s="564" t="s">
        <v>7208</v>
      </c>
      <c r="H3229" s="564" t="s">
        <v>7208</v>
      </c>
      <c r="I3229" s="564" t="s">
        <v>45</v>
      </c>
      <c r="J3229" s="564" t="s">
        <v>1069</v>
      </c>
      <c r="K3229" s="564" t="s">
        <v>1090</v>
      </c>
      <c r="L3229" s="564" t="s">
        <v>2098</v>
      </c>
      <c r="M3229" s="564" t="s">
        <v>2098</v>
      </c>
      <c r="N3229" s="564" t="s">
        <v>45</v>
      </c>
      <c r="O3229" s="564" t="s">
        <v>2099</v>
      </c>
      <c r="P3229" s="23"/>
      <c r="Q3229" s="23"/>
      <c r="R3229" s="23"/>
      <c r="S3229" s="23"/>
      <c r="T3229" s="23"/>
      <c r="U3229" s="23"/>
      <c r="V3229" s="23"/>
      <c r="W3229" s="23"/>
      <c r="X3229" s="23"/>
      <c r="Y3229" s="23"/>
      <c r="Z3229" s="23"/>
    </row>
    <row r="3230" spans="1:26" ht="13">
      <c r="A3230" s="562" t="s">
        <v>7431</v>
      </c>
      <c r="B3230" s="563" t="s">
        <v>7432</v>
      </c>
      <c r="C3230" s="564" t="s">
        <v>1612</v>
      </c>
      <c r="D3230" s="565">
        <v>42247</v>
      </c>
      <c r="E3230" s="565">
        <v>42307</v>
      </c>
      <c r="F3230" s="566">
        <v>5193475</v>
      </c>
      <c r="G3230" s="564" t="s">
        <v>1424</v>
      </c>
      <c r="H3230" s="564" t="s">
        <v>1424</v>
      </c>
      <c r="I3230" s="564" t="s">
        <v>45</v>
      </c>
      <c r="J3230" s="564" t="s">
        <v>1069</v>
      </c>
      <c r="K3230" s="564" t="s">
        <v>1090</v>
      </c>
      <c r="L3230" s="564" t="s">
        <v>2098</v>
      </c>
      <c r="M3230" s="564" t="s">
        <v>2098</v>
      </c>
      <c r="N3230" s="564" t="s">
        <v>45</v>
      </c>
      <c r="O3230" s="564" t="s">
        <v>2099</v>
      </c>
      <c r="P3230" s="23"/>
      <c r="Q3230" s="23"/>
      <c r="R3230" s="23"/>
      <c r="S3230" s="23"/>
      <c r="T3230" s="23"/>
      <c r="U3230" s="23"/>
      <c r="V3230" s="23"/>
      <c r="W3230" s="23"/>
      <c r="X3230" s="23"/>
      <c r="Y3230" s="23"/>
      <c r="Z3230" s="23"/>
    </row>
    <row r="3231" spans="1:26" ht="13">
      <c r="A3231" s="562" t="s">
        <v>7433</v>
      </c>
      <c r="B3231" s="563" t="s">
        <v>6907</v>
      </c>
      <c r="C3231" s="564" t="s">
        <v>1612</v>
      </c>
      <c r="D3231" s="565">
        <v>42247</v>
      </c>
      <c r="E3231" s="565">
        <v>42277</v>
      </c>
      <c r="F3231" s="566">
        <v>62540000</v>
      </c>
      <c r="G3231" s="564" t="s">
        <v>5465</v>
      </c>
      <c r="H3231" s="564" t="s">
        <v>5465</v>
      </c>
      <c r="I3231" s="564" t="s">
        <v>45</v>
      </c>
      <c r="J3231" s="564" t="s">
        <v>1069</v>
      </c>
      <c r="K3231" s="564" t="s">
        <v>1090</v>
      </c>
      <c r="L3231" s="564" t="s">
        <v>2098</v>
      </c>
      <c r="M3231" s="564" t="s">
        <v>2098</v>
      </c>
      <c r="N3231" s="564" t="s">
        <v>45</v>
      </c>
      <c r="O3231" s="564" t="s">
        <v>2099</v>
      </c>
      <c r="P3231" s="23"/>
      <c r="Q3231" s="23"/>
      <c r="R3231" s="23"/>
      <c r="S3231" s="23"/>
      <c r="T3231" s="23"/>
      <c r="U3231" s="23"/>
      <c r="V3231" s="23"/>
      <c r="W3231" s="23"/>
      <c r="X3231" s="23"/>
      <c r="Y3231" s="23"/>
      <c r="Z3231" s="23"/>
    </row>
    <row r="3232" spans="1:26" ht="13">
      <c r="A3232" s="562" t="s">
        <v>7434</v>
      </c>
      <c r="B3232" s="563" t="s">
        <v>6835</v>
      </c>
      <c r="C3232" s="564" t="s">
        <v>1612</v>
      </c>
      <c r="D3232" s="565">
        <v>42247</v>
      </c>
      <c r="E3232" s="565">
        <v>42277</v>
      </c>
      <c r="F3232" s="566">
        <v>66794000</v>
      </c>
      <c r="G3232" s="564" t="s">
        <v>5465</v>
      </c>
      <c r="H3232" s="564" t="s">
        <v>5465</v>
      </c>
      <c r="I3232" s="564" t="s">
        <v>45</v>
      </c>
      <c r="J3232" s="564" t="s">
        <v>1069</v>
      </c>
      <c r="K3232" s="564" t="s">
        <v>1090</v>
      </c>
      <c r="L3232" s="564" t="s">
        <v>2098</v>
      </c>
      <c r="M3232" s="564" t="s">
        <v>2098</v>
      </c>
      <c r="N3232" s="564" t="s">
        <v>45</v>
      </c>
      <c r="O3232" s="564" t="s">
        <v>2099</v>
      </c>
      <c r="P3232" s="23"/>
      <c r="Q3232" s="23"/>
      <c r="R3232" s="23"/>
      <c r="S3232" s="23"/>
      <c r="T3232" s="23"/>
      <c r="U3232" s="23"/>
      <c r="V3232" s="23"/>
      <c r="W3232" s="23"/>
      <c r="X3232" s="23"/>
      <c r="Y3232" s="23"/>
      <c r="Z3232" s="23"/>
    </row>
    <row r="3233" spans="1:26" ht="13">
      <c r="A3233" s="562" t="s">
        <v>7435</v>
      </c>
      <c r="B3233" s="563" t="s">
        <v>7436</v>
      </c>
      <c r="C3233" s="564" t="s">
        <v>1612</v>
      </c>
      <c r="D3233" s="565">
        <v>42243</v>
      </c>
      <c r="E3233" s="565">
        <v>42256</v>
      </c>
      <c r="F3233" s="566">
        <v>1050</v>
      </c>
      <c r="G3233" s="564" t="s">
        <v>1424</v>
      </c>
      <c r="H3233" s="564" t="s">
        <v>1424</v>
      </c>
      <c r="I3233" s="564" t="s">
        <v>70</v>
      </c>
      <c r="J3233" s="564" t="s">
        <v>1069</v>
      </c>
      <c r="K3233" s="564" t="s">
        <v>1120</v>
      </c>
      <c r="L3233" s="564" t="s">
        <v>2098</v>
      </c>
      <c r="M3233" s="564" t="s">
        <v>2098</v>
      </c>
      <c r="N3233" s="564" t="s">
        <v>70</v>
      </c>
      <c r="O3233" s="564" t="s">
        <v>2099</v>
      </c>
      <c r="P3233" s="23"/>
      <c r="Q3233" s="23"/>
      <c r="R3233" s="23"/>
      <c r="S3233" s="23"/>
      <c r="T3233" s="23"/>
      <c r="U3233" s="23"/>
      <c r="V3233" s="23"/>
      <c r="W3233" s="23"/>
      <c r="X3233" s="23"/>
      <c r="Y3233" s="23"/>
      <c r="Z3233" s="23"/>
    </row>
    <row r="3234" spans="1:26" ht="13">
      <c r="A3234" s="562" t="s">
        <v>7437</v>
      </c>
      <c r="B3234" s="563" t="s">
        <v>7438</v>
      </c>
      <c r="C3234" s="564" t="s">
        <v>6860</v>
      </c>
      <c r="D3234" s="565">
        <v>42244</v>
      </c>
      <c r="E3234" s="565">
        <v>42258</v>
      </c>
      <c r="F3234" s="566">
        <v>2370</v>
      </c>
      <c r="G3234" s="564" t="s">
        <v>1116</v>
      </c>
      <c r="H3234" s="564" t="s">
        <v>1116</v>
      </c>
      <c r="I3234" s="564" t="s">
        <v>7439</v>
      </c>
      <c r="J3234" s="564" t="s">
        <v>1069</v>
      </c>
      <c r="K3234" s="564" t="s">
        <v>1198</v>
      </c>
      <c r="L3234" s="564" t="s">
        <v>2098</v>
      </c>
      <c r="M3234" s="564" t="s">
        <v>2098</v>
      </c>
      <c r="N3234" s="564" t="s">
        <v>1082</v>
      </c>
      <c r="O3234" s="564" t="s">
        <v>2099</v>
      </c>
      <c r="P3234" s="23"/>
      <c r="Q3234" s="23"/>
      <c r="R3234" s="23"/>
      <c r="S3234" s="23"/>
      <c r="T3234" s="23"/>
      <c r="U3234" s="23"/>
      <c r="V3234" s="23"/>
      <c r="W3234" s="23"/>
      <c r="X3234" s="23"/>
      <c r="Y3234" s="23"/>
      <c r="Z3234" s="23"/>
    </row>
    <row r="3235" spans="1:26" ht="13">
      <c r="A3235" s="562" t="s">
        <v>7440</v>
      </c>
      <c r="B3235" s="563" t="s">
        <v>7441</v>
      </c>
      <c r="C3235" s="564" t="s">
        <v>1612</v>
      </c>
      <c r="D3235" s="565">
        <v>42247</v>
      </c>
      <c r="E3235" s="565">
        <v>42277</v>
      </c>
      <c r="F3235" s="566">
        <v>61204</v>
      </c>
      <c r="G3235" s="564" t="s">
        <v>1424</v>
      </c>
      <c r="H3235" s="564" t="s">
        <v>1424</v>
      </c>
      <c r="I3235" s="564" t="s">
        <v>45</v>
      </c>
      <c r="J3235" s="564" t="s">
        <v>1069</v>
      </c>
      <c r="K3235" s="564" t="s">
        <v>1090</v>
      </c>
      <c r="L3235" s="564" t="s">
        <v>2098</v>
      </c>
      <c r="M3235" s="564" t="s">
        <v>2098</v>
      </c>
      <c r="N3235" s="564" t="s">
        <v>45</v>
      </c>
      <c r="O3235" s="564" t="s">
        <v>2099</v>
      </c>
      <c r="P3235" s="23"/>
      <c r="Q3235" s="23"/>
      <c r="R3235" s="23"/>
      <c r="S3235" s="23"/>
      <c r="T3235" s="23"/>
      <c r="U3235" s="23"/>
      <c r="V3235" s="23"/>
      <c r="W3235" s="23"/>
      <c r="X3235" s="23"/>
      <c r="Y3235" s="23"/>
      <c r="Z3235" s="23"/>
    </row>
    <row r="3236" spans="1:26" ht="13">
      <c r="A3236" s="562" t="s">
        <v>7442</v>
      </c>
      <c r="B3236" s="563" t="s">
        <v>7443</v>
      </c>
      <c r="C3236" s="564" t="s">
        <v>2191</v>
      </c>
      <c r="D3236" s="565">
        <v>42244</v>
      </c>
      <c r="E3236" s="565">
        <v>42369</v>
      </c>
      <c r="F3236" s="566">
        <v>151500</v>
      </c>
      <c r="G3236" s="564" t="s">
        <v>1636</v>
      </c>
      <c r="H3236" s="564" t="s">
        <v>1636</v>
      </c>
      <c r="I3236" s="564" t="s">
        <v>7175</v>
      </c>
      <c r="J3236" s="564" t="s">
        <v>1069</v>
      </c>
      <c r="K3236" s="564" t="s">
        <v>1070</v>
      </c>
      <c r="L3236" s="564" t="s">
        <v>2098</v>
      </c>
      <c r="M3236" s="564" t="s">
        <v>2098</v>
      </c>
      <c r="N3236" s="564" t="s">
        <v>1082</v>
      </c>
      <c r="O3236" s="564" t="s">
        <v>2099</v>
      </c>
      <c r="P3236" s="23"/>
      <c r="Q3236" s="23"/>
      <c r="R3236" s="23"/>
      <c r="S3236" s="23"/>
      <c r="T3236" s="23"/>
      <c r="U3236" s="23"/>
      <c r="V3236" s="23"/>
      <c r="W3236" s="23"/>
      <c r="X3236" s="23"/>
      <c r="Y3236" s="23"/>
      <c r="Z3236" s="23"/>
    </row>
    <row r="3237" spans="1:26" ht="13">
      <c r="A3237" s="562" t="s">
        <v>7444</v>
      </c>
      <c r="B3237" s="563" t="s">
        <v>7445</v>
      </c>
      <c r="C3237" s="564" t="s">
        <v>1612</v>
      </c>
      <c r="D3237" s="565">
        <v>42243</v>
      </c>
      <c r="E3237" s="565">
        <v>42277</v>
      </c>
      <c r="F3237" s="567">
        <v>580</v>
      </c>
      <c r="G3237" s="564" t="s">
        <v>1424</v>
      </c>
      <c r="H3237" s="564" t="s">
        <v>1424</v>
      </c>
      <c r="I3237" s="564" t="s">
        <v>45</v>
      </c>
      <c r="J3237" s="564" t="s">
        <v>1069</v>
      </c>
      <c r="K3237" s="564" t="s">
        <v>1090</v>
      </c>
      <c r="L3237" s="564" t="s">
        <v>2098</v>
      </c>
      <c r="M3237" s="564" t="s">
        <v>2098</v>
      </c>
      <c r="N3237" s="564" t="s">
        <v>45</v>
      </c>
      <c r="O3237" s="564" t="s">
        <v>2099</v>
      </c>
      <c r="P3237" s="23"/>
      <c r="Q3237" s="23"/>
      <c r="R3237" s="23"/>
      <c r="S3237" s="23"/>
      <c r="T3237" s="23"/>
      <c r="U3237" s="23"/>
      <c r="V3237" s="23"/>
      <c r="W3237" s="23"/>
      <c r="X3237" s="23"/>
      <c r="Y3237" s="23"/>
      <c r="Z3237" s="23"/>
    </row>
    <row r="3238" spans="1:26" ht="13">
      <c r="A3238" s="562" t="s">
        <v>7446</v>
      </c>
      <c r="B3238" s="563" t="s">
        <v>7447</v>
      </c>
      <c r="C3238" s="564" t="s">
        <v>1612</v>
      </c>
      <c r="D3238" s="565">
        <v>42242</v>
      </c>
      <c r="E3238" s="565">
        <v>42277</v>
      </c>
      <c r="F3238" s="566">
        <v>39728</v>
      </c>
      <c r="G3238" s="564" t="s">
        <v>1424</v>
      </c>
      <c r="H3238" s="564" t="s">
        <v>1424</v>
      </c>
      <c r="I3238" s="564" t="s">
        <v>64</v>
      </c>
      <c r="J3238" s="564" t="s">
        <v>1069</v>
      </c>
      <c r="K3238" s="564" t="s">
        <v>1090</v>
      </c>
      <c r="L3238" s="564" t="s">
        <v>2098</v>
      </c>
      <c r="M3238" s="564" t="s">
        <v>2098</v>
      </c>
      <c r="N3238" s="564" t="s">
        <v>64</v>
      </c>
      <c r="O3238" s="564" t="s">
        <v>2099</v>
      </c>
      <c r="P3238" s="23"/>
      <c r="Q3238" s="23"/>
      <c r="R3238" s="23"/>
      <c r="S3238" s="23"/>
      <c r="T3238" s="23"/>
      <c r="U3238" s="23"/>
      <c r="V3238" s="23"/>
      <c r="W3238" s="23"/>
      <c r="X3238" s="23"/>
      <c r="Y3238" s="23"/>
      <c r="Z3238" s="23"/>
    </row>
    <row r="3239" spans="1:26" ht="13">
      <c r="A3239" s="562" t="s">
        <v>7448</v>
      </c>
      <c r="B3239" s="563" t="s">
        <v>7449</v>
      </c>
      <c r="C3239" s="564" t="s">
        <v>6860</v>
      </c>
      <c r="D3239" s="565">
        <v>42242</v>
      </c>
      <c r="E3239" s="565">
        <v>42490</v>
      </c>
      <c r="F3239" s="566">
        <v>55470</v>
      </c>
      <c r="G3239" s="564" t="s">
        <v>1116</v>
      </c>
      <c r="H3239" s="564" t="s">
        <v>1116</v>
      </c>
      <c r="I3239" s="564" t="s">
        <v>7231</v>
      </c>
      <c r="J3239" s="564" t="s">
        <v>1069</v>
      </c>
      <c r="K3239" s="564" t="s">
        <v>1090</v>
      </c>
      <c r="L3239" s="564" t="s">
        <v>2098</v>
      </c>
      <c r="M3239" s="564" t="s">
        <v>2098</v>
      </c>
      <c r="N3239" s="564" t="s">
        <v>1082</v>
      </c>
      <c r="O3239" s="564" t="s">
        <v>2099</v>
      </c>
      <c r="P3239" s="23"/>
      <c r="Q3239" s="23"/>
      <c r="R3239" s="23"/>
      <c r="S3239" s="23"/>
      <c r="T3239" s="23"/>
      <c r="U3239" s="23"/>
      <c r="V3239" s="23"/>
      <c r="W3239" s="23"/>
      <c r="X3239" s="23"/>
      <c r="Y3239" s="23"/>
      <c r="Z3239" s="23"/>
    </row>
    <row r="3240" spans="1:26" ht="13">
      <c r="A3240" s="562" t="s">
        <v>7450</v>
      </c>
      <c r="B3240" s="563" t="s">
        <v>6336</v>
      </c>
      <c r="C3240" s="564" t="s">
        <v>1612</v>
      </c>
      <c r="D3240" s="565">
        <v>42241</v>
      </c>
      <c r="E3240" s="565">
        <v>42251</v>
      </c>
      <c r="F3240" s="567">
        <v>650</v>
      </c>
      <c r="G3240" s="564" t="s">
        <v>1424</v>
      </c>
      <c r="H3240" s="564" t="s">
        <v>1424</v>
      </c>
      <c r="I3240" s="564" t="s">
        <v>70</v>
      </c>
      <c r="J3240" s="564" t="s">
        <v>1069</v>
      </c>
      <c r="K3240" s="564" t="s">
        <v>1120</v>
      </c>
      <c r="L3240" s="564" t="s">
        <v>2098</v>
      </c>
      <c r="M3240" s="564" t="s">
        <v>2098</v>
      </c>
      <c r="N3240" s="564" t="s">
        <v>70</v>
      </c>
      <c r="O3240" s="564" t="s">
        <v>2099</v>
      </c>
      <c r="P3240" s="23"/>
      <c r="Q3240" s="23"/>
      <c r="R3240" s="23"/>
      <c r="S3240" s="23"/>
      <c r="T3240" s="23"/>
      <c r="U3240" s="23"/>
      <c r="V3240" s="23"/>
      <c r="W3240" s="23"/>
      <c r="X3240" s="23"/>
      <c r="Y3240" s="23"/>
      <c r="Z3240" s="23"/>
    </row>
    <row r="3241" spans="1:26" ht="13">
      <c r="A3241" s="562" t="s">
        <v>7451</v>
      </c>
      <c r="B3241" s="563" t="s">
        <v>7452</v>
      </c>
      <c r="C3241" s="564" t="s">
        <v>1612</v>
      </c>
      <c r="D3241" s="565">
        <v>42240</v>
      </c>
      <c r="E3241" s="565">
        <v>42265</v>
      </c>
      <c r="F3241" s="566">
        <v>12722727</v>
      </c>
      <c r="G3241" s="564" t="s">
        <v>1623</v>
      </c>
      <c r="H3241" s="564" t="s">
        <v>1623</v>
      </c>
      <c r="I3241" s="564" t="s">
        <v>802</v>
      </c>
      <c r="J3241" s="564" t="s">
        <v>1069</v>
      </c>
      <c r="K3241" s="564" t="s">
        <v>1198</v>
      </c>
      <c r="L3241" s="564" t="s">
        <v>2098</v>
      </c>
      <c r="M3241" s="564" t="s">
        <v>2098</v>
      </c>
      <c r="N3241" s="564" t="s">
        <v>132</v>
      </c>
      <c r="O3241" s="564" t="s">
        <v>2099</v>
      </c>
      <c r="P3241" s="23"/>
      <c r="Q3241" s="23"/>
      <c r="R3241" s="23"/>
      <c r="S3241" s="23"/>
      <c r="T3241" s="23"/>
      <c r="U3241" s="23"/>
      <c r="V3241" s="23"/>
      <c r="W3241" s="23"/>
      <c r="X3241" s="23"/>
      <c r="Y3241" s="23"/>
      <c r="Z3241" s="23"/>
    </row>
    <row r="3242" spans="1:26" ht="13">
      <c r="A3242" s="562" t="s">
        <v>7453</v>
      </c>
      <c r="B3242" s="563" t="s">
        <v>7454</v>
      </c>
      <c r="C3242" s="564" t="s">
        <v>1612</v>
      </c>
      <c r="D3242" s="565">
        <v>42235</v>
      </c>
      <c r="E3242" s="565">
        <v>42277</v>
      </c>
      <c r="F3242" s="566">
        <v>275399000</v>
      </c>
      <c r="G3242" s="564" t="s">
        <v>7208</v>
      </c>
      <c r="H3242" s="564" t="s">
        <v>7208</v>
      </c>
      <c r="I3242" s="564" t="s">
        <v>45</v>
      </c>
      <c r="J3242" s="564" t="s">
        <v>1069</v>
      </c>
      <c r="K3242" s="564" t="s">
        <v>1090</v>
      </c>
      <c r="L3242" s="564" t="s">
        <v>2098</v>
      </c>
      <c r="M3242" s="564" t="s">
        <v>2098</v>
      </c>
      <c r="N3242" s="564" t="s">
        <v>45</v>
      </c>
      <c r="O3242" s="564" t="s">
        <v>2099</v>
      </c>
      <c r="P3242" s="23"/>
      <c r="Q3242" s="23"/>
      <c r="R3242" s="23"/>
      <c r="S3242" s="23"/>
      <c r="T3242" s="23"/>
      <c r="U3242" s="23"/>
      <c r="V3242" s="23"/>
      <c r="W3242" s="23"/>
      <c r="X3242" s="23"/>
      <c r="Y3242" s="23"/>
      <c r="Z3242" s="23"/>
    </row>
    <row r="3243" spans="1:26" ht="13">
      <c r="A3243" s="562" t="s">
        <v>7455</v>
      </c>
      <c r="B3243" s="563" t="s">
        <v>7456</v>
      </c>
      <c r="C3243" s="564" t="s">
        <v>1612</v>
      </c>
      <c r="D3243" s="565">
        <v>42240</v>
      </c>
      <c r="E3243" s="565">
        <v>42251</v>
      </c>
      <c r="F3243" s="566">
        <v>2700900</v>
      </c>
      <c r="G3243" s="564" t="s">
        <v>1636</v>
      </c>
      <c r="H3243" s="564" t="s">
        <v>1636</v>
      </c>
      <c r="I3243" s="564" t="s">
        <v>1826</v>
      </c>
      <c r="J3243" s="564" t="s">
        <v>1069</v>
      </c>
      <c r="K3243" s="564" t="s">
        <v>1070</v>
      </c>
      <c r="L3243" s="564" t="s">
        <v>2098</v>
      </c>
      <c r="M3243" s="564" t="s">
        <v>2098</v>
      </c>
      <c r="N3243" s="564" t="s">
        <v>1082</v>
      </c>
      <c r="O3243" s="564" t="s">
        <v>2099</v>
      </c>
      <c r="P3243" s="23"/>
      <c r="Q3243" s="23"/>
      <c r="R3243" s="23"/>
      <c r="S3243" s="23"/>
      <c r="T3243" s="23"/>
      <c r="U3243" s="23"/>
      <c r="V3243" s="23"/>
      <c r="W3243" s="23"/>
      <c r="X3243" s="23"/>
      <c r="Y3243" s="23"/>
      <c r="Z3243" s="23"/>
    </row>
    <row r="3244" spans="1:26" ht="13">
      <c r="A3244" s="562" t="s">
        <v>7457</v>
      </c>
      <c r="B3244" s="563" t="s">
        <v>7458</v>
      </c>
      <c r="C3244" s="564" t="s">
        <v>1612</v>
      </c>
      <c r="D3244" s="565">
        <v>42236</v>
      </c>
      <c r="E3244" s="565">
        <v>42236</v>
      </c>
      <c r="F3244" s="567">
        <v>920</v>
      </c>
      <c r="G3244" s="564" t="s">
        <v>1424</v>
      </c>
      <c r="H3244" s="564" t="s">
        <v>1424</v>
      </c>
      <c r="I3244" s="564" t="s">
        <v>70</v>
      </c>
      <c r="J3244" s="564" t="s">
        <v>1069</v>
      </c>
      <c r="K3244" s="564" t="s">
        <v>1120</v>
      </c>
      <c r="L3244" s="564" t="s">
        <v>2098</v>
      </c>
      <c r="M3244" s="564" t="s">
        <v>2098</v>
      </c>
      <c r="N3244" s="564" t="s">
        <v>70</v>
      </c>
      <c r="O3244" s="564" t="s">
        <v>2099</v>
      </c>
      <c r="P3244" s="23"/>
      <c r="Q3244" s="23"/>
      <c r="R3244" s="23"/>
      <c r="S3244" s="23"/>
      <c r="T3244" s="23"/>
      <c r="U3244" s="23"/>
      <c r="V3244" s="23"/>
      <c r="W3244" s="23"/>
      <c r="X3244" s="23"/>
      <c r="Y3244" s="23"/>
      <c r="Z3244" s="23"/>
    </row>
    <row r="3245" spans="1:26" ht="13">
      <c r="A3245" s="562" t="s">
        <v>7459</v>
      </c>
      <c r="B3245" s="563" t="s">
        <v>7148</v>
      </c>
      <c r="C3245" s="564" t="s">
        <v>1612</v>
      </c>
      <c r="D3245" s="565">
        <v>42236</v>
      </c>
      <c r="E3245" s="565">
        <v>42247</v>
      </c>
      <c r="F3245" s="567">
        <v>990</v>
      </c>
      <c r="G3245" s="564" t="s">
        <v>1424</v>
      </c>
      <c r="H3245" s="564" t="s">
        <v>1424</v>
      </c>
      <c r="I3245" s="564" t="s">
        <v>45</v>
      </c>
      <c r="J3245" s="564" t="s">
        <v>1069</v>
      </c>
      <c r="K3245" s="564" t="s">
        <v>1090</v>
      </c>
      <c r="L3245" s="564" t="s">
        <v>2098</v>
      </c>
      <c r="M3245" s="564" t="s">
        <v>2098</v>
      </c>
      <c r="N3245" s="564" t="s">
        <v>45</v>
      </c>
      <c r="O3245" s="564" t="s">
        <v>2099</v>
      </c>
      <c r="P3245" s="23"/>
      <c r="Q3245" s="23"/>
      <c r="R3245" s="23"/>
      <c r="S3245" s="23"/>
      <c r="T3245" s="23"/>
      <c r="U3245" s="23"/>
      <c r="V3245" s="23"/>
      <c r="W3245" s="23"/>
      <c r="X3245" s="23"/>
      <c r="Y3245" s="23"/>
      <c r="Z3245" s="23"/>
    </row>
    <row r="3246" spans="1:26" ht="13">
      <c r="A3246" s="562" t="s">
        <v>7460</v>
      </c>
      <c r="B3246" s="563" t="s">
        <v>7196</v>
      </c>
      <c r="C3246" s="564" t="s">
        <v>1612</v>
      </c>
      <c r="D3246" s="565">
        <v>42234</v>
      </c>
      <c r="E3246" s="565">
        <v>42250</v>
      </c>
      <c r="F3246" s="566">
        <v>4689</v>
      </c>
      <c r="G3246" s="564" t="s">
        <v>1424</v>
      </c>
      <c r="H3246" s="564" t="s">
        <v>1424</v>
      </c>
      <c r="I3246" s="564" t="s">
        <v>70</v>
      </c>
      <c r="J3246" s="564" t="s">
        <v>1069</v>
      </c>
      <c r="K3246" s="564" t="s">
        <v>1120</v>
      </c>
      <c r="L3246" s="564" t="s">
        <v>2098</v>
      </c>
      <c r="M3246" s="564" t="s">
        <v>2098</v>
      </c>
      <c r="N3246" s="564" t="s">
        <v>70</v>
      </c>
      <c r="O3246" s="564" t="s">
        <v>2099</v>
      </c>
      <c r="P3246" s="23"/>
      <c r="Q3246" s="23"/>
      <c r="R3246" s="23"/>
      <c r="S3246" s="23"/>
      <c r="T3246" s="23"/>
      <c r="U3246" s="23"/>
      <c r="V3246" s="23"/>
      <c r="W3246" s="23"/>
      <c r="X3246" s="23"/>
      <c r="Y3246" s="23"/>
      <c r="Z3246" s="23"/>
    </row>
    <row r="3247" spans="1:26" ht="13">
      <c r="A3247" s="562" t="s">
        <v>7461</v>
      </c>
      <c r="B3247" s="563" t="s">
        <v>7462</v>
      </c>
      <c r="C3247" s="564" t="s">
        <v>1612</v>
      </c>
      <c r="D3247" s="565">
        <v>42234</v>
      </c>
      <c r="E3247" s="565">
        <v>42255</v>
      </c>
      <c r="F3247" s="567">
        <v>863</v>
      </c>
      <c r="G3247" s="564" t="s">
        <v>1424</v>
      </c>
      <c r="H3247" s="564" t="s">
        <v>1424</v>
      </c>
      <c r="I3247" s="564" t="s">
        <v>70</v>
      </c>
      <c r="J3247" s="564" t="s">
        <v>1069</v>
      </c>
      <c r="K3247" s="564" t="s">
        <v>1120</v>
      </c>
      <c r="L3247" s="564" t="s">
        <v>2098</v>
      </c>
      <c r="M3247" s="564" t="s">
        <v>2098</v>
      </c>
      <c r="N3247" s="564" t="s">
        <v>70</v>
      </c>
      <c r="O3247" s="564" t="s">
        <v>2099</v>
      </c>
      <c r="P3247" s="23"/>
      <c r="Q3247" s="23"/>
      <c r="R3247" s="23"/>
      <c r="S3247" s="23"/>
      <c r="T3247" s="23"/>
      <c r="U3247" s="23"/>
      <c r="V3247" s="23"/>
      <c r="W3247" s="23"/>
      <c r="X3247" s="23"/>
      <c r="Y3247" s="23"/>
      <c r="Z3247" s="23"/>
    </row>
    <row r="3248" spans="1:26" ht="13">
      <c r="A3248" s="562" t="s">
        <v>7463</v>
      </c>
      <c r="B3248" s="563" t="s">
        <v>6150</v>
      </c>
      <c r="C3248" s="564" t="s">
        <v>1612</v>
      </c>
      <c r="D3248" s="565">
        <v>42228</v>
      </c>
      <c r="E3248" s="565">
        <v>42247</v>
      </c>
      <c r="F3248" s="566">
        <v>1150</v>
      </c>
      <c r="G3248" s="564" t="s">
        <v>1424</v>
      </c>
      <c r="H3248" s="564" t="s">
        <v>1424</v>
      </c>
      <c r="I3248" s="564" t="s">
        <v>1837</v>
      </c>
      <c r="J3248" s="564" t="s">
        <v>1069</v>
      </c>
      <c r="K3248" s="564" t="s">
        <v>1070</v>
      </c>
      <c r="L3248" s="564" t="s">
        <v>2098</v>
      </c>
      <c r="M3248" s="564" t="s">
        <v>2098</v>
      </c>
      <c r="N3248" s="564" t="s">
        <v>1082</v>
      </c>
      <c r="O3248" s="564" t="s">
        <v>2099</v>
      </c>
      <c r="P3248" s="23"/>
      <c r="Q3248" s="23"/>
      <c r="R3248" s="23"/>
      <c r="S3248" s="23"/>
      <c r="T3248" s="23"/>
      <c r="U3248" s="23"/>
      <c r="V3248" s="23"/>
      <c r="W3248" s="23"/>
      <c r="X3248" s="23"/>
      <c r="Y3248" s="23"/>
      <c r="Z3248" s="23"/>
    </row>
    <row r="3249" spans="1:26" ht="13">
      <c r="A3249" s="562" t="s">
        <v>7464</v>
      </c>
      <c r="B3249" s="563" t="s">
        <v>7465</v>
      </c>
      <c r="C3249" s="564" t="s">
        <v>1612</v>
      </c>
      <c r="D3249" s="565">
        <v>42227</v>
      </c>
      <c r="E3249" s="565">
        <v>42261</v>
      </c>
      <c r="F3249" s="567">
        <v>902</v>
      </c>
      <c r="G3249" s="564" t="s">
        <v>297</v>
      </c>
      <c r="H3249" s="564" t="s">
        <v>297</v>
      </c>
      <c r="I3249" s="564" t="s">
        <v>1826</v>
      </c>
      <c r="J3249" s="564" t="s">
        <v>1069</v>
      </c>
      <c r="K3249" s="564" t="s">
        <v>1070</v>
      </c>
      <c r="L3249" s="564" t="s">
        <v>2098</v>
      </c>
      <c r="M3249" s="564" t="s">
        <v>2098</v>
      </c>
      <c r="N3249" s="564" t="s">
        <v>1082</v>
      </c>
      <c r="O3249" s="564" t="s">
        <v>2099</v>
      </c>
      <c r="P3249" s="23"/>
      <c r="Q3249" s="23"/>
      <c r="R3249" s="23"/>
      <c r="S3249" s="23"/>
      <c r="T3249" s="23"/>
      <c r="U3249" s="23"/>
      <c r="V3249" s="23"/>
      <c r="W3249" s="23"/>
      <c r="X3249" s="23"/>
      <c r="Y3249" s="23"/>
      <c r="Z3249" s="23"/>
    </row>
    <row r="3250" spans="1:26" ht="13">
      <c r="A3250" s="562" t="s">
        <v>7466</v>
      </c>
      <c r="B3250" s="563" t="s">
        <v>7467</v>
      </c>
      <c r="C3250" s="564" t="s">
        <v>1612</v>
      </c>
      <c r="D3250" s="565">
        <v>42227</v>
      </c>
      <c r="E3250" s="565">
        <v>42247</v>
      </c>
      <c r="F3250" s="566">
        <v>18165</v>
      </c>
      <c r="G3250" s="564" t="s">
        <v>1424</v>
      </c>
      <c r="H3250" s="564" t="s">
        <v>1424</v>
      </c>
      <c r="I3250" s="564" t="s">
        <v>1837</v>
      </c>
      <c r="J3250" s="564" t="s">
        <v>1069</v>
      </c>
      <c r="K3250" s="564" t="s">
        <v>1090</v>
      </c>
      <c r="L3250" s="564" t="s">
        <v>2098</v>
      </c>
      <c r="M3250" s="564" t="s">
        <v>2098</v>
      </c>
      <c r="N3250" s="564" t="s">
        <v>1082</v>
      </c>
      <c r="O3250" s="564" t="s">
        <v>2099</v>
      </c>
      <c r="P3250" s="23"/>
      <c r="Q3250" s="23"/>
      <c r="R3250" s="23"/>
      <c r="S3250" s="23"/>
      <c r="T3250" s="23"/>
      <c r="U3250" s="23"/>
      <c r="V3250" s="23"/>
      <c r="W3250" s="23"/>
      <c r="X3250" s="23"/>
      <c r="Y3250" s="23"/>
      <c r="Z3250" s="23"/>
    </row>
    <row r="3251" spans="1:26" ht="13">
      <c r="A3251" s="562" t="s">
        <v>7468</v>
      </c>
      <c r="B3251" s="563" t="s">
        <v>7148</v>
      </c>
      <c r="C3251" s="564" t="s">
        <v>1612</v>
      </c>
      <c r="D3251" s="565">
        <v>42223</v>
      </c>
      <c r="E3251" s="565">
        <v>42247</v>
      </c>
      <c r="F3251" s="567">
        <v>990</v>
      </c>
      <c r="G3251" s="564" t="s">
        <v>1424</v>
      </c>
      <c r="H3251" s="564" t="s">
        <v>1424</v>
      </c>
      <c r="I3251" s="564" t="s">
        <v>45</v>
      </c>
      <c r="J3251" s="564" t="s">
        <v>1069</v>
      </c>
      <c r="K3251" s="564" t="s">
        <v>1090</v>
      </c>
      <c r="L3251" s="564" t="s">
        <v>2098</v>
      </c>
      <c r="M3251" s="564" t="s">
        <v>2098</v>
      </c>
      <c r="N3251" s="564" t="s">
        <v>45</v>
      </c>
      <c r="O3251" s="564" t="s">
        <v>2099</v>
      </c>
      <c r="P3251" s="23"/>
      <c r="Q3251" s="23"/>
      <c r="R3251" s="23"/>
      <c r="S3251" s="23"/>
      <c r="T3251" s="23"/>
      <c r="U3251" s="23"/>
      <c r="V3251" s="23"/>
      <c r="W3251" s="23"/>
      <c r="X3251" s="23"/>
      <c r="Y3251" s="23"/>
      <c r="Z3251" s="23"/>
    </row>
    <row r="3252" spans="1:26" ht="13">
      <c r="A3252" s="562" t="s">
        <v>7469</v>
      </c>
      <c r="B3252" s="563" t="s">
        <v>6470</v>
      </c>
      <c r="C3252" s="564" t="s">
        <v>1612</v>
      </c>
      <c r="D3252" s="565">
        <v>42226</v>
      </c>
      <c r="E3252" s="565">
        <v>42247</v>
      </c>
      <c r="F3252" s="566">
        <v>119200000</v>
      </c>
      <c r="G3252" s="564" t="s">
        <v>5465</v>
      </c>
      <c r="H3252" s="564" t="s">
        <v>5465</v>
      </c>
      <c r="I3252" s="564" t="s">
        <v>45</v>
      </c>
      <c r="J3252" s="564" t="s">
        <v>1069</v>
      </c>
      <c r="K3252" s="564" t="s">
        <v>1090</v>
      </c>
      <c r="L3252" s="564" t="s">
        <v>2098</v>
      </c>
      <c r="M3252" s="564" t="s">
        <v>2098</v>
      </c>
      <c r="N3252" s="564" t="s">
        <v>45</v>
      </c>
      <c r="O3252" s="564" t="s">
        <v>2099</v>
      </c>
      <c r="P3252" s="23"/>
      <c r="Q3252" s="23"/>
      <c r="R3252" s="23"/>
      <c r="S3252" s="23"/>
      <c r="T3252" s="23"/>
      <c r="U3252" s="23"/>
      <c r="V3252" s="23"/>
      <c r="W3252" s="23"/>
      <c r="X3252" s="23"/>
      <c r="Y3252" s="23"/>
      <c r="Z3252" s="23"/>
    </row>
    <row r="3253" spans="1:26" ht="13">
      <c r="A3253" s="562" t="s">
        <v>7470</v>
      </c>
      <c r="B3253" s="563" t="s">
        <v>7471</v>
      </c>
      <c r="C3253" s="564" t="s">
        <v>1612</v>
      </c>
      <c r="D3253" s="565">
        <v>42223</v>
      </c>
      <c r="E3253" s="565">
        <v>42217</v>
      </c>
      <c r="F3253" s="566">
        <v>25940880</v>
      </c>
      <c r="G3253" s="564" t="s">
        <v>1424</v>
      </c>
      <c r="H3253" s="564" t="s">
        <v>1424</v>
      </c>
      <c r="I3253" s="564" t="s">
        <v>45</v>
      </c>
      <c r="J3253" s="564" t="s">
        <v>1069</v>
      </c>
      <c r="K3253" s="564" t="s">
        <v>1090</v>
      </c>
      <c r="L3253" s="564" t="s">
        <v>1071</v>
      </c>
      <c r="M3253" s="564" t="s">
        <v>1183</v>
      </c>
      <c r="N3253" s="564" t="s">
        <v>45</v>
      </c>
      <c r="O3253" s="564" t="s">
        <v>2099</v>
      </c>
      <c r="P3253" s="23"/>
      <c r="Q3253" s="23"/>
      <c r="R3253" s="23"/>
      <c r="S3253" s="23"/>
      <c r="T3253" s="23"/>
      <c r="U3253" s="23"/>
      <c r="V3253" s="23"/>
      <c r="W3253" s="23"/>
      <c r="X3253" s="23"/>
      <c r="Y3253" s="23"/>
      <c r="Z3253" s="23"/>
    </row>
    <row r="3254" spans="1:26" ht="13">
      <c r="A3254" s="562" t="s">
        <v>7472</v>
      </c>
      <c r="B3254" s="563" t="s">
        <v>6192</v>
      </c>
      <c r="C3254" s="564" t="s">
        <v>1612</v>
      </c>
      <c r="D3254" s="565">
        <v>42222</v>
      </c>
      <c r="E3254" s="565">
        <v>42247</v>
      </c>
      <c r="F3254" s="567">
        <v>580</v>
      </c>
      <c r="G3254" s="564" t="s">
        <v>1424</v>
      </c>
      <c r="H3254" s="564" t="s">
        <v>1424</v>
      </c>
      <c r="I3254" s="564" t="s">
        <v>45</v>
      </c>
      <c r="J3254" s="564" t="s">
        <v>1069</v>
      </c>
      <c r="K3254" s="564" t="s">
        <v>1090</v>
      </c>
      <c r="L3254" s="564" t="s">
        <v>2098</v>
      </c>
      <c r="M3254" s="564" t="s">
        <v>2098</v>
      </c>
      <c r="N3254" s="564" t="s">
        <v>45</v>
      </c>
      <c r="O3254" s="564" t="s">
        <v>2099</v>
      </c>
      <c r="P3254" s="23"/>
      <c r="Q3254" s="23"/>
      <c r="R3254" s="23"/>
      <c r="S3254" s="23"/>
      <c r="T3254" s="23"/>
      <c r="U3254" s="23"/>
      <c r="V3254" s="23"/>
      <c r="W3254" s="23"/>
      <c r="X3254" s="23"/>
      <c r="Y3254" s="23"/>
      <c r="Z3254" s="23"/>
    </row>
    <row r="3255" spans="1:26" ht="13">
      <c r="A3255" s="562" t="s">
        <v>7473</v>
      </c>
      <c r="B3255" s="563" t="s">
        <v>7474</v>
      </c>
      <c r="C3255" s="564" t="s">
        <v>1612</v>
      </c>
      <c r="D3255" s="565">
        <v>42222</v>
      </c>
      <c r="E3255" s="565">
        <v>42244</v>
      </c>
      <c r="F3255" s="566">
        <v>4502</v>
      </c>
      <c r="G3255" s="564" t="s">
        <v>1424</v>
      </c>
      <c r="H3255" s="564" t="s">
        <v>1424</v>
      </c>
      <c r="I3255" s="564" t="s">
        <v>70</v>
      </c>
      <c r="J3255" s="564" t="s">
        <v>1069</v>
      </c>
      <c r="K3255" s="564" t="s">
        <v>1120</v>
      </c>
      <c r="L3255" s="564" t="s">
        <v>2098</v>
      </c>
      <c r="M3255" s="564" t="s">
        <v>2098</v>
      </c>
      <c r="N3255" s="564" t="s">
        <v>70</v>
      </c>
      <c r="O3255" s="564" t="s">
        <v>2099</v>
      </c>
      <c r="P3255" s="23"/>
      <c r="Q3255" s="23"/>
      <c r="R3255" s="23"/>
      <c r="S3255" s="23"/>
      <c r="T3255" s="23"/>
      <c r="U3255" s="23"/>
      <c r="V3255" s="23"/>
      <c r="W3255" s="23"/>
      <c r="X3255" s="23"/>
      <c r="Y3255" s="23"/>
      <c r="Z3255" s="23"/>
    </row>
    <row r="3256" spans="1:26" ht="13">
      <c r="A3256" s="562" t="s">
        <v>7475</v>
      </c>
      <c r="B3256" s="563" t="s">
        <v>7476</v>
      </c>
      <c r="C3256" s="564" t="s">
        <v>1612</v>
      </c>
      <c r="D3256" s="565">
        <v>42220</v>
      </c>
      <c r="E3256" s="565">
        <v>42251</v>
      </c>
      <c r="F3256" s="567">
        <v>873</v>
      </c>
      <c r="G3256" s="564" t="s">
        <v>1424</v>
      </c>
      <c r="H3256" s="564" t="s">
        <v>1424</v>
      </c>
      <c r="I3256" s="564" t="s">
        <v>121</v>
      </c>
      <c r="J3256" s="564" t="s">
        <v>1069</v>
      </c>
      <c r="K3256" s="564" t="s">
        <v>1105</v>
      </c>
      <c r="L3256" s="564" t="s">
        <v>2098</v>
      </c>
      <c r="M3256" s="564" t="s">
        <v>2098</v>
      </c>
      <c r="N3256" s="564" t="s">
        <v>1073</v>
      </c>
      <c r="O3256" s="564" t="s">
        <v>2099</v>
      </c>
      <c r="P3256" s="23"/>
      <c r="Q3256" s="23"/>
      <c r="R3256" s="23"/>
      <c r="S3256" s="23"/>
      <c r="T3256" s="23"/>
      <c r="U3256" s="23"/>
      <c r="V3256" s="23"/>
      <c r="W3256" s="23"/>
      <c r="X3256" s="23"/>
      <c r="Y3256" s="23"/>
      <c r="Z3256" s="23"/>
    </row>
    <row r="3257" spans="1:26" ht="13">
      <c r="A3257" s="562" t="s">
        <v>7477</v>
      </c>
      <c r="B3257" s="563" t="s">
        <v>7467</v>
      </c>
      <c r="C3257" s="564" t="s">
        <v>1612</v>
      </c>
      <c r="D3257" s="565">
        <v>42220</v>
      </c>
      <c r="E3257" s="565">
        <v>42247</v>
      </c>
      <c r="F3257" s="566">
        <v>7476</v>
      </c>
      <c r="G3257" s="564" t="s">
        <v>1424</v>
      </c>
      <c r="H3257" s="564" t="s">
        <v>1424</v>
      </c>
      <c r="I3257" s="564" t="s">
        <v>1837</v>
      </c>
      <c r="J3257" s="564" t="s">
        <v>1069</v>
      </c>
      <c r="K3257" s="564" t="s">
        <v>1090</v>
      </c>
      <c r="L3257" s="564" t="s">
        <v>2098</v>
      </c>
      <c r="M3257" s="564" t="s">
        <v>2098</v>
      </c>
      <c r="N3257" s="564" t="s">
        <v>1082</v>
      </c>
      <c r="O3257" s="564" t="s">
        <v>2099</v>
      </c>
      <c r="P3257" s="23"/>
      <c r="Q3257" s="23"/>
      <c r="R3257" s="23"/>
      <c r="S3257" s="23"/>
      <c r="T3257" s="23"/>
      <c r="U3257" s="23"/>
      <c r="V3257" s="23"/>
      <c r="W3257" s="23"/>
      <c r="X3257" s="23"/>
      <c r="Y3257" s="23"/>
      <c r="Z3257" s="23"/>
    </row>
    <row r="3258" spans="1:26" ht="13">
      <c r="A3258" s="562" t="s">
        <v>7478</v>
      </c>
      <c r="B3258" s="563" t="s">
        <v>7479</v>
      </c>
      <c r="C3258" s="564" t="s">
        <v>1612</v>
      </c>
      <c r="D3258" s="565">
        <v>42219</v>
      </c>
      <c r="E3258" s="565">
        <v>42243</v>
      </c>
      <c r="F3258" s="566">
        <v>2776</v>
      </c>
      <c r="G3258" s="564" t="s">
        <v>1424</v>
      </c>
      <c r="H3258" s="564" t="s">
        <v>1424</v>
      </c>
      <c r="I3258" s="564" t="s">
        <v>70</v>
      </c>
      <c r="J3258" s="564" t="s">
        <v>1069</v>
      </c>
      <c r="K3258" s="564" t="s">
        <v>1120</v>
      </c>
      <c r="L3258" s="564" t="s">
        <v>2098</v>
      </c>
      <c r="M3258" s="564" t="s">
        <v>2098</v>
      </c>
      <c r="N3258" s="564" t="s">
        <v>70</v>
      </c>
      <c r="O3258" s="564" t="s">
        <v>2099</v>
      </c>
      <c r="P3258" s="23"/>
      <c r="Q3258" s="23"/>
      <c r="R3258" s="23"/>
      <c r="S3258" s="23"/>
      <c r="T3258" s="23"/>
      <c r="U3258" s="23"/>
      <c r="V3258" s="23"/>
      <c r="W3258" s="23"/>
      <c r="X3258" s="23"/>
      <c r="Y3258" s="23"/>
      <c r="Z3258" s="23"/>
    </row>
    <row r="3259" spans="1:26" ht="13">
      <c r="A3259" s="562" t="s">
        <v>7480</v>
      </c>
      <c r="B3259" s="563" t="s">
        <v>7481</v>
      </c>
      <c r="C3259" s="564" t="s">
        <v>1612</v>
      </c>
      <c r="D3259" s="565">
        <v>42221</v>
      </c>
      <c r="E3259" s="565">
        <v>42236</v>
      </c>
      <c r="F3259" s="566">
        <v>9903300</v>
      </c>
      <c r="G3259" s="564" t="s">
        <v>297</v>
      </c>
      <c r="H3259" s="564" t="s">
        <v>297</v>
      </c>
      <c r="I3259" s="564" t="s">
        <v>1826</v>
      </c>
      <c r="J3259" s="564" t="s">
        <v>1069</v>
      </c>
      <c r="K3259" s="564" t="s">
        <v>1070</v>
      </c>
      <c r="L3259" s="564" t="s">
        <v>2098</v>
      </c>
      <c r="M3259" s="564" t="s">
        <v>2098</v>
      </c>
      <c r="N3259" s="564" t="s">
        <v>1082</v>
      </c>
      <c r="O3259" s="564" t="s">
        <v>2099</v>
      </c>
      <c r="P3259" s="23"/>
      <c r="Q3259" s="23"/>
      <c r="R3259" s="23"/>
      <c r="S3259" s="23"/>
      <c r="T3259" s="23"/>
      <c r="U3259" s="23"/>
      <c r="V3259" s="23"/>
      <c r="W3259" s="23"/>
      <c r="X3259" s="23"/>
      <c r="Y3259" s="23"/>
      <c r="Z3259" s="23"/>
    </row>
    <row r="3260" spans="1:26" ht="13">
      <c r="A3260" s="562" t="s">
        <v>7482</v>
      </c>
      <c r="B3260" s="563" t="s">
        <v>7190</v>
      </c>
      <c r="C3260" s="564" t="s">
        <v>1612</v>
      </c>
      <c r="D3260" s="565">
        <v>42217</v>
      </c>
      <c r="E3260" s="565">
        <v>42215</v>
      </c>
      <c r="F3260" s="566">
        <v>13200000</v>
      </c>
      <c r="G3260" s="564" t="s">
        <v>1128</v>
      </c>
      <c r="H3260" s="564" t="s">
        <v>1128</v>
      </c>
      <c r="I3260" s="564" t="s">
        <v>45</v>
      </c>
      <c r="J3260" s="564" t="s">
        <v>1069</v>
      </c>
      <c r="K3260" s="564" t="s">
        <v>1090</v>
      </c>
      <c r="L3260" s="564" t="s">
        <v>2098</v>
      </c>
      <c r="M3260" s="564" t="s">
        <v>2098</v>
      </c>
      <c r="N3260" s="564" t="s">
        <v>45</v>
      </c>
      <c r="O3260" s="564" t="s">
        <v>2099</v>
      </c>
      <c r="P3260" s="23"/>
      <c r="Q3260" s="23"/>
      <c r="R3260" s="23"/>
      <c r="S3260" s="23"/>
      <c r="T3260" s="23"/>
      <c r="U3260" s="23"/>
      <c r="V3260" s="23"/>
      <c r="W3260" s="23"/>
      <c r="X3260" s="23"/>
      <c r="Y3260" s="23"/>
      <c r="Z3260" s="23"/>
    </row>
    <row r="3261" spans="1:26" ht="13">
      <c r="A3261" s="562" t="s">
        <v>7483</v>
      </c>
      <c r="B3261" s="563" t="s">
        <v>6926</v>
      </c>
      <c r="C3261" s="564" t="s">
        <v>1612</v>
      </c>
      <c r="D3261" s="565">
        <v>42215</v>
      </c>
      <c r="E3261" s="565">
        <v>42247</v>
      </c>
      <c r="F3261" s="566">
        <v>40400000</v>
      </c>
      <c r="G3261" s="564" t="s">
        <v>5465</v>
      </c>
      <c r="H3261" s="564" t="s">
        <v>5465</v>
      </c>
      <c r="I3261" s="564" t="s">
        <v>45</v>
      </c>
      <c r="J3261" s="564" t="s">
        <v>1069</v>
      </c>
      <c r="K3261" s="564" t="s">
        <v>1090</v>
      </c>
      <c r="L3261" s="564" t="s">
        <v>2098</v>
      </c>
      <c r="M3261" s="564" t="s">
        <v>2098</v>
      </c>
      <c r="N3261" s="564" t="s">
        <v>45</v>
      </c>
      <c r="O3261" s="564" t="s">
        <v>2099</v>
      </c>
      <c r="P3261" s="23"/>
      <c r="Q3261" s="23"/>
      <c r="R3261" s="23"/>
      <c r="S3261" s="23"/>
      <c r="T3261" s="23"/>
      <c r="U3261" s="23"/>
      <c r="V3261" s="23"/>
      <c r="W3261" s="23"/>
      <c r="X3261" s="23"/>
      <c r="Y3261" s="23"/>
      <c r="Z3261" s="23"/>
    </row>
    <row r="3262" spans="1:26" ht="13">
      <c r="A3262" s="562" t="s">
        <v>7484</v>
      </c>
      <c r="B3262" s="563" t="s">
        <v>7485</v>
      </c>
      <c r="C3262" s="564" t="s">
        <v>1612</v>
      </c>
      <c r="D3262" s="565">
        <v>42214</v>
      </c>
      <c r="E3262" s="565">
        <v>42242</v>
      </c>
      <c r="F3262" s="566">
        <v>10863636</v>
      </c>
      <c r="G3262" s="564" t="s">
        <v>1623</v>
      </c>
      <c r="H3262" s="564" t="s">
        <v>1623</v>
      </c>
      <c r="I3262" s="564" t="s">
        <v>802</v>
      </c>
      <c r="J3262" s="564" t="s">
        <v>1069</v>
      </c>
      <c r="K3262" s="564" t="s">
        <v>1198</v>
      </c>
      <c r="L3262" s="564" t="s">
        <v>2098</v>
      </c>
      <c r="M3262" s="564" t="s">
        <v>2098</v>
      </c>
      <c r="N3262" s="564" t="s">
        <v>132</v>
      </c>
      <c r="O3262" s="564" t="s">
        <v>2099</v>
      </c>
      <c r="P3262" s="23"/>
      <c r="Q3262" s="23"/>
      <c r="R3262" s="23"/>
      <c r="S3262" s="23"/>
      <c r="T3262" s="23"/>
      <c r="U3262" s="23"/>
      <c r="V3262" s="23"/>
      <c r="W3262" s="23"/>
      <c r="X3262" s="23"/>
      <c r="Y3262" s="23"/>
      <c r="Z3262" s="23"/>
    </row>
    <row r="3263" spans="1:26" ht="13">
      <c r="A3263" s="562" t="s">
        <v>7486</v>
      </c>
      <c r="B3263" s="563" t="s">
        <v>6484</v>
      </c>
      <c r="C3263" s="564" t="s">
        <v>1612</v>
      </c>
      <c r="D3263" s="565">
        <v>42215</v>
      </c>
      <c r="E3263" s="565">
        <v>42247</v>
      </c>
      <c r="F3263" s="566">
        <v>1760000</v>
      </c>
      <c r="G3263" s="564" t="s">
        <v>5465</v>
      </c>
      <c r="H3263" s="564" t="s">
        <v>5465</v>
      </c>
      <c r="I3263" s="564" t="s">
        <v>45</v>
      </c>
      <c r="J3263" s="564" t="s">
        <v>1069</v>
      </c>
      <c r="K3263" s="564" t="s">
        <v>1090</v>
      </c>
      <c r="L3263" s="564" t="s">
        <v>2098</v>
      </c>
      <c r="M3263" s="564" t="s">
        <v>2098</v>
      </c>
      <c r="N3263" s="564" t="s">
        <v>45</v>
      </c>
      <c r="O3263" s="564" t="s">
        <v>2099</v>
      </c>
      <c r="P3263" s="23"/>
      <c r="Q3263" s="23"/>
      <c r="R3263" s="23"/>
      <c r="S3263" s="23"/>
      <c r="T3263" s="23"/>
      <c r="U3263" s="23"/>
      <c r="V3263" s="23"/>
      <c r="W3263" s="23"/>
      <c r="X3263" s="23"/>
      <c r="Y3263" s="23"/>
      <c r="Z3263" s="23"/>
    </row>
    <row r="3264" spans="1:26" ht="13">
      <c r="A3264" s="562" t="s">
        <v>7487</v>
      </c>
      <c r="B3264" s="563" t="s">
        <v>7488</v>
      </c>
      <c r="C3264" s="564" t="s">
        <v>1612</v>
      </c>
      <c r="D3264" s="565">
        <v>42215</v>
      </c>
      <c r="E3264" s="565">
        <v>42217</v>
      </c>
      <c r="F3264" s="566">
        <v>3193</v>
      </c>
      <c r="G3264" s="564" t="s">
        <v>1187</v>
      </c>
      <c r="H3264" s="564" t="s">
        <v>1187</v>
      </c>
      <c r="I3264" s="564" t="s">
        <v>70</v>
      </c>
      <c r="J3264" s="564" t="s">
        <v>1069</v>
      </c>
      <c r="K3264" s="564" t="s">
        <v>1120</v>
      </c>
      <c r="L3264" s="564" t="s">
        <v>2098</v>
      </c>
      <c r="M3264" s="564" t="s">
        <v>2098</v>
      </c>
      <c r="N3264" s="564" t="s">
        <v>70</v>
      </c>
      <c r="O3264" s="564" t="s">
        <v>2099</v>
      </c>
      <c r="P3264" s="23"/>
      <c r="Q3264" s="23"/>
      <c r="R3264" s="23"/>
      <c r="S3264" s="23"/>
      <c r="T3264" s="23"/>
      <c r="U3264" s="23"/>
      <c r="V3264" s="23"/>
      <c r="W3264" s="23"/>
      <c r="X3264" s="23"/>
      <c r="Y3264" s="23"/>
      <c r="Z3264" s="23"/>
    </row>
    <row r="3265" spans="1:26" ht="13">
      <c r="A3265" s="562" t="s">
        <v>7489</v>
      </c>
      <c r="B3265" s="563" t="s">
        <v>7490</v>
      </c>
      <c r="C3265" s="564" t="s">
        <v>1612</v>
      </c>
      <c r="D3265" s="565">
        <v>42213</v>
      </c>
      <c r="E3265" s="565">
        <v>42237</v>
      </c>
      <c r="F3265" s="566">
        <v>30582000</v>
      </c>
      <c r="G3265" s="564" t="s">
        <v>7208</v>
      </c>
      <c r="H3265" s="564" t="s">
        <v>7208</v>
      </c>
      <c r="I3265" s="564" t="s">
        <v>45</v>
      </c>
      <c r="J3265" s="564" t="s">
        <v>1069</v>
      </c>
      <c r="K3265" s="564" t="s">
        <v>1090</v>
      </c>
      <c r="L3265" s="564" t="s">
        <v>2098</v>
      </c>
      <c r="M3265" s="564" t="s">
        <v>2098</v>
      </c>
      <c r="N3265" s="564" t="s">
        <v>45</v>
      </c>
      <c r="O3265" s="564" t="s">
        <v>2099</v>
      </c>
      <c r="P3265" s="23"/>
      <c r="Q3265" s="23"/>
      <c r="R3265" s="23"/>
      <c r="S3265" s="23"/>
      <c r="T3265" s="23"/>
      <c r="U3265" s="23"/>
      <c r="V3265" s="23"/>
      <c r="W3265" s="23"/>
      <c r="X3265" s="23"/>
      <c r="Y3265" s="23"/>
      <c r="Z3265" s="23"/>
    </row>
    <row r="3266" spans="1:26" ht="13">
      <c r="A3266" s="562" t="s">
        <v>7491</v>
      </c>
      <c r="B3266" s="563" t="s">
        <v>7492</v>
      </c>
      <c r="C3266" s="564" t="s">
        <v>1612</v>
      </c>
      <c r="D3266" s="565">
        <v>42213</v>
      </c>
      <c r="E3266" s="565">
        <v>42230</v>
      </c>
      <c r="F3266" s="566">
        <v>530000</v>
      </c>
      <c r="G3266" s="564" t="s">
        <v>1623</v>
      </c>
      <c r="H3266" s="564" t="s">
        <v>1623</v>
      </c>
      <c r="I3266" s="564" t="s">
        <v>802</v>
      </c>
      <c r="J3266" s="564" t="s">
        <v>1069</v>
      </c>
      <c r="K3266" s="564" t="s">
        <v>1198</v>
      </c>
      <c r="L3266" s="564" t="s">
        <v>2098</v>
      </c>
      <c r="M3266" s="564" t="s">
        <v>2098</v>
      </c>
      <c r="N3266" s="564" t="s">
        <v>132</v>
      </c>
      <c r="O3266" s="564" t="s">
        <v>2099</v>
      </c>
      <c r="P3266" s="23"/>
      <c r="Q3266" s="23"/>
      <c r="R3266" s="23"/>
      <c r="S3266" s="23"/>
      <c r="T3266" s="23"/>
      <c r="U3266" s="23"/>
      <c r="V3266" s="23"/>
      <c r="W3266" s="23"/>
      <c r="X3266" s="23"/>
      <c r="Y3266" s="23"/>
      <c r="Z3266" s="23"/>
    </row>
    <row r="3267" spans="1:26" ht="13">
      <c r="A3267" s="562" t="s">
        <v>7493</v>
      </c>
      <c r="B3267" s="563" t="s">
        <v>7494</v>
      </c>
      <c r="C3267" s="564" t="s">
        <v>2191</v>
      </c>
      <c r="D3267" s="565">
        <v>42213</v>
      </c>
      <c r="E3267" s="565">
        <v>42246</v>
      </c>
      <c r="F3267" s="566">
        <v>26250000</v>
      </c>
      <c r="G3267" s="564" t="s">
        <v>1123</v>
      </c>
      <c r="H3267" s="564" t="s">
        <v>1123</v>
      </c>
      <c r="I3267" s="564" t="s">
        <v>140</v>
      </c>
      <c r="J3267" s="564" t="s">
        <v>1069</v>
      </c>
      <c r="K3267" s="564" t="s">
        <v>1205</v>
      </c>
      <c r="L3267" s="564" t="s">
        <v>2098</v>
      </c>
      <c r="M3267" s="564" t="s">
        <v>2098</v>
      </c>
      <c r="N3267" s="564" t="s">
        <v>1073</v>
      </c>
      <c r="O3267" s="564" t="s">
        <v>2099</v>
      </c>
      <c r="P3267" s="23"/>
      <c r="Q3267" s="23"/>
      <c r="R3267" s="23"/>
      <c r="S3267" s="23"/>
      <c r="T3267" s="23"/>
      <c r="U3267" s="23"/>
      <c r="V3267" s="23"/>
      <c r="W3267" s="23"/>
      <c r="X3267" s="23"/>
      <c r="Y3267" s="23"/>
      <c r="Z3267" s="23"/>
    </row>
    <row r="3268" spans="1:26" ht="13">
      <c r="A3268" s="562" t="s">
        <v>7495</v>
      </c>
      <c r="B3268" s="563" t="s">
        <v>7496</v>
      </c>
      <c r="C3268" s="564" t="s">
        <v>1612</v>
      </c>
      <c r="D3268" s="565">
        <v>42213</v>
      </c>
      <c r="E3268" s="565">
        <v>42216</v>
      </c>
      <c r="F3268" s="566">
        <v>12872727</v>
      </c>
      <c r="G3268" s="564" t="s">
        <v>1623</v>
      </c>
      <c r="H3268" s="564" t="s">
        <v>1623</v>
      </c>
      <c r="I3268" s="564" t="s">
        <v>802</v>
      </c>
      <c r="J3268" s="564" t="s">
        <v>1069</v>
      </c>
      <c r="K3268" s="564" t="s">
        <v>1198</v>
      </c>
      <c r="L3268" s="564" t="s">
        <v>2098</v>
      </c>
      <c r="M3268" s="564" t="s">
        <v>2098</v>
      </c>
      <c r="N3268" s="564" t="s">
        <v>132</v>
      </c>
      <c r="O3268" s="564" t="s">
        <v>2099</v>
      </c>
      <c r="P3268" s="23"/>
      <c r="Q3268" s="23"/>
      <c r="R3268" s="23"/>
      <c r="S3268" s="23"/>
      <c r="T3268" s="23"/>
      <c r="U3268" s="23"/>
      <c r="V3268" s="23"/>
      <c r="W3268" s="23"/>
      <c r="X3268" s="23"/>
      <c r="Y3268" s="23"/>
      <c r="Z3268" s="23"/>
    </row>
    <row r="3269" spans="1:26" ht="13">
      <c r="A3269" s="562" t="s">
        <v>7497</v>
      </c>
      <c r="B3269" s="563" t="s">
        <v>7476</v>
      </c>
      <c r="C3269" s="564" t="s">
        <v>1612</v>
      </c>
      <c r="D3269" s="565">
        <v>42212</v>
      </c>
      <c r="E3269" s="565">
        <v>42243</v>
      </c>
      <c r="F3269" s="567">
        <v>873</v>
      </c>
      <c r="G3269" s="564" t="s">
        <v>1424</v>
      </c>
      <c r="H3269" s="564" t="s">
        <v>1424</v>
      </c>
      <c r="I3269" s="564" t="s">
        <v>121</v>
      </c>
      <c r="J3269" s="564" t="s">
        <v>1069</v>
      </c>
      <c r="K3269" s="564" t="s">
        <v>1105</v>
      </c>
      <c r="L3269" s="564" t="s">
        <v>2098</v>
      </c>
      <c r="M3269" s="564" t="s">
        <v>2098</v>
      </c>
      <c r="N3269" s="564" t="s">
        <v>1073</v>
      </c>
      <c r="O3269" s="564" t="s">
        <v>2099</v>
      </c>
      <c r="P3269" s="23"/>
      <c r="Q3269" s="23"/>
      <c r="R3269" s="23"/>
      <c r="S3269" s="23"/>
      <c r="T3269" s="23"/>
      <c r="U3269" s="23"/>
      <c r="V3269" s="23"/>
      <c r="W3269" s="23"/>
      <c r="X3269" s="23"/>
      <c r="Y3269" s="23"/>
      <c r="Z3269" s="23"/>
    </row>
    <row r="3270" spans="1:26" ht="13">
      <c r="A3270" s="562" t="s">
        <v>7498</v>
      </c>
      <c r="B3270" s="563" t="s">
        <v>7499</v>
      </c>
      <c r="C3270" s="564" t="s">
        <v>1612</v>
      </c>
      <c r="D3270" s="565">
        <v>42212</v>
      </c>
      <c r="E3270" s="565">
        <v>42240</v>
      </c>
      <c r="F3270" s="566">
        <v>6118184</v>
      </c>
      <c r="G3270" s="564" t="s">
        <v>1623</v>
      </c>
      <c r="H3270" s="564" t="s">
        <v>1623</v>
      </c>
      <c r="I3270" s="564" t="s">
        <v>802</v>
      </c>
      <c r="J3270" s="564" t="s">
        <v>1069</v>
      </c>
      <c r="K3270" s="564" t="s">
        <v>1198</v>
      </c>
      <c r="L3270" s="564" t="s">
        <v>2098</v>
      </c>
      <c r="M3270" s="564" t="s">
        <v>2098</v>
      </c>
      <c r="N3270" s="564" t="s">
        <v>132</v>
      </c>
      <c r="O3270" s="564" t="s">
        <v>2099</v>
      </c>
      <c r="P3270" s="23"/>
      <c r="Q3270" s="23"/>
      <c r="R3270" s="23"/>
      <c r="S3270" s="23"/>
      <c r="T3270" s="23"/>
      <c r="U3270" s="23"/>
      <c r="V3270" s="23"/>
      <c r="W3270" s="23"/>
      <c r="X3270" s="23"/>
      <c r="Y3270" s="23"/>
      <c r="Z3270" s="23"/>
    </row>
    <row r="3271" spans="1:26" ht="13">
      <c r="A3271" s="562" t="s">
        <v>7500</v>
      </c>
      <c r="B3271" s="563" t="s">
        <v>7501</v>
      </c>
      <c r="C3271" s="564" t="s">
        <v>2191</v>
      </c>
      <c r="D3271" s="565">
        <v>42207</v>
      </c>
      <c r="E3271" s="565">
        <v>42247</v>
      </c>
      <c r="F3271" s="566">
        <v>135868</v>
      </c>
      <c r="G3271" s="564" t="s">
        <v>6844</v>
      </c>
      <c r="H3271" s="564" t="s">
        <v>6844</v>
      </c>
      <c r="I3271" s="564" t="s">
        <v>7502</v>
      </c>
      <c r="J3271" s="564" t="s">
        <v>1069</v>
      </c>
      <c r="K3271" s="564" t="s">
        <v>1070</v>
      </c>
      <c r="L3271" s="564" t="s">
        <v>2098</v>
      </c>
      <c r="M3271" s="564" t="s">
        <v>2098</v>
      </c>
      <c r="N3271" s="564" t="s">
        <v>1082</v>
      </c>
      <c r="O3271" s="564" t="s">
        <v>2099</v>
      </c>
      <c r="P3271" s="23"/>
      <c r="Q3271" s="23"/>
      <c r="R3271" s="23"/>
      <c r="S3271" s="23"/>
      <c r="T3271" s="23"/>
      <c r="U3271" s="23"/>
      <c r="V3271" s="23"/>
      <c r="W3271" s="23"/>
      <c r="X3271" s="23"/>
      <c r="Y3271" s="23"/>
      <c r="Z3271" s="23"/>
    </row>
    <row r="3272" spans="1:26" ht="13">
      <c r="A3272" s="562" t="s">
        <v>7503</v>
      </c>
      <c r="B3272" s="563" t="s">
        <v>7400</v>
      </c>
      <c r="C3272" s="564" t="s">
        <v>1612</v>
      </c>
      <c r="D3272" s="565">
        <v>42208</v>
      </c>
      <c r="E3272" s="565">
        <v>42219</v>
      </c>
      <c r="F3272" s="566">
        <v>2963</v>
      </c>
      <c r="G3272" s="564" t="s">
        <v>1424</v>
      </c>
      <c r="H3272" s="564" t="s">
        <v>1424</v>
      </c>
      <c r="I3272" s="564" t="s">
        <v>70</v>
      </c>
      <c r="J3272" s="564" t="s">
        <v>1069</v>
      </c>
      <c r="K3272" s="564" t="s">
        <v>1120</v>
      </c>
      <c r="L3272" s="564" t="s">
        <v>2098</v>
      </c>
      <c r="M3272" s="564" t="s">
        <v>2098</v>
      </c>
      <c r="N3272" s="564" t="s">
        <v>70</v>
      </c>
      <c r="O3272" s="564" t="s">
        <v>2099</v>
      </c>
      <c r="P3272" s="23"/>
      <c r="Q3272" s="23"/>
      <c r="R3272" s="23"/>
      <c r="S3272" s="23"/>
      <c r="T3272" s="23"/>
      <c r="U3272" s="23"/>
      <c r="V3272" s="23"/>
      <c r="W3272" s="23"/>
      <c r="X3272" s="23"/>
      <c r="Y3272" s="23"/>
      <c r="Z3272" s="23"/>
    </row>
    <row r="3273" spans="1:26" ht="13">
      <c r="A3273" s="562" t="s">
        <v>7504</v>
      </c>
      <c r="B3273" s="563" t="s">
        <v>5712</v>
      </c>
      <c r="C3273" s="564" t="s">
        <v>1612</v>
      </c>
      <c r="D3273" s="565">
        <v>42199</v>
      </c>
      <c r="E3273" s="565">
        <v>42230</v>
      </c>
      <c r="F3273" s="566">
        <v>1455000</v>
      </c>
      <c r="G3273" s="564" t="s">
        <v>1424</v>
      </c>
      <c r="H3273" s="564" t="s">
        <v>1424</v>
      </c>
      <c r="I3273" s="564" t="s">
        <v>121</v>
      </c>
      <c r="J3273" s="564" t="s">
        <v>1069</v>
      </c>
      <c r="K3273" s="564" t="s">
        <v>1105</v>
      </c>
      <c r="L3273" s="564" t="s">
        <v>2098</v>
      </c>
      <c r="M3273" s="564" t="s">
        <v>2098</v>
      </c>
      <c r="N3273" s="564" t="s">
        <v>1073</v>
      </c>
      <c r="O3273" s="564" t="s">
        <v>2099</v>
      </c>
      <c r="P3273" s="23"/>
      <c r="Q3273" s="23"/>
      <c r="R3273" s="23"/>
      <c r="S3273" s="23"/>
      <c r="T3273" s="23"/>
      <c r="U3273" s="23"/>
      <c r="V3273" s="23"/>
      <c r="W3273" s="23"/>
      <c r="X3273" s="23"/>
      <c r="Y3273" s="23"/>
      <c r="Z3273" s="23"/>
    </row>
    <row r="3274" spans="1:26" ht="13">
      <c r="A3274" s="562" t="s">
        <v>7505</v>
      </c>
      <c r="B3274" s="563" t="s">
        <v>7506</v>
      </c>
      <c r="C3274" s="564" t="s">
        <v>2191</v>
      </c>
      <c r="D3274" s="565">
        <v>42200</v>
      </c>
      <c r="E3274" s="565">
        <v>42305</v>
      </c>
      <c r="F3274" s="566">
        <v>2014584</v>
      </c>
      <c r="G3274" s="564" t="s">
        <v>337</v>
      </c>
      <c r="H3274" s="564" t="s">
        <v>337</v>
      </c>
      <c r="I3274" s="564" t="s">
        <v>7507</v>
      </c>
      <c r="J3274" s="564" t="s">
        <v>1069</v>
      </c>
      <c r="K3274" s="564" t="s">
        <v>1198</v>
      </c>
      <c r="L3274" s="564" t="s">
        <v>2098</v>
      </c>
      <c r="M3274" s="564" t="s">
        <v>2098</v>
      </c>
      <c r="N3274" s="564" t="s">
        <v>2439</v>
      </c>
      <c r="O3274" s="564" t="s">
        <v>2099</v>
      </c>
      <c r="P3274" s="23"/>
      <c r="Q3274" s="23"/>
      <c r="R3274" s="23"/>
      <c r="S3274" s="23"/>
      <c r="T3274" s="23"/>
      <c r="U3274" s="23"/>
      <c r="V3274" s="23"/>
      <c r="W3274" s="23"/>
      <c r="X3274" s="23"/>
      <c r="Y3274" s="23"/>
      <c r="Z3274" s="23"/>
    </row>
    <row r="3275" spans="1:26" ht="13">
      <c r="A3275" s="562" t="s">
        <v>7508</v>
      </c>
      <c r="B3275" s="563" t="s">
        <v>7509</v>
      </c>
      <c r="C3275" s="564" t="s">
        <v>1612</v>
      </c>
      <c r="D3275" s="565">
        <v>42195</v>
      </c>
      <c r="E3275" s="565">
        <v>42186</v>
      </c>
      <c r="F3275" s="566">
        <v>52078320</v>
      </c>
      <c r="G3275" s="564" t="s">
        <v>1424</v>
      </c>
      <c r="H3275" s="564" t="s">
        <v>1424</v>
      </c>
      <c r="I3275" s="564" t="s">
        <v>45</v>
      </c>
      <c r="J3275" s="564" t="s">
        <v>1069</v>
      </c>
      <c r="K3275" s="564" t="s">
        <v>1090</v>
      </c>
      <c r="L3275" s="564" t="s">
        <v>1071</v>
      </c>
      <c r="M3275" s="564" t="s">
        <v>1183</v>
      </c>
      <c r="N3275" s="564" t="s">
        <v>45</v>
      </c>
      <c r="O3275" s="564" t="s">
        <v>2099</v>
      </c>
      <c r="P3275" s="23"/>
      <c r="Q3275" s="23"/>
      <c r="R3275" s="23"/>
      <c r="S3275" s="23"/>
      <c r="T3275" s="23"/>
      <c r="U3275" s="23"/>
      <c r="V3275" s="23"/>
      <c r="W3275" s="23"/>
      <c r="X3275" s="23"/>
      <c r="Y3275" s="23"/>
      <c r="Z3275" s="23"/>
    </row>
    <row r="3276" spans="1:26" ht="13">
      <c r="A3276" s="562" t="s">
        <v>7510</v>
      </c>
      <c r="B3276" s="563" t="s">
        <v>7095</v>
      </c>
      <c r="C3276" s="564" t="s">
        <v>1612</v>
      </c>
      <c r="D3276" s="565">
        <v>42198</v>
      </c>
      <c r="E3276" s="565">
        <v>42229</v>
      </c>
      <c r="F3276" s="566">
        <v>4500</v>
      </c>
      <c r="G3276" s="564" t="s">
        <v>1424</v>
      </c>
      <c r="H3276" s="564" t="s">
        <v>1424</v>
      </c>
      <c r="I3276" s="564" t="s">
        <v>64</v>
      </c>
      <c r="J3276" s="564" t="s">
        <v>1069</v>
      </c>
      <c r="K3276" s="564" t="s">
        <v>1090</v>
      </c>
      <c r="L3276" s="564" t="s">
        <v>2098</v>
      </c>
      <c r="M3276" s="564" t="s">
        <v>2098</v>
      </c>
      <c r="N3276" s="564" t="s">
        <v>64</v>
      </c>
      <c r="O3276" s="564" t="s">
        <v>2099</v>
      </c>
      <c r="P3276" s="23"/>
      <c r="Q3276" s="23"/>
      <c r="R3276" s="23"/>
      <c r="S3276" s="23"/>
      <c r="T3276" s="23"/>
      <c r="U3276" s="23"/>
      <c r="V3276" s="23"/>
      <c r="W3276" s="23"/>
      <c r="X3276" s="23"/>
      <c r="Y3276" s="23"/>
      <c r="Z3276" s="23"/>
    </row>
    <row r="3277" spans="1:26" ht="13">
      <c r="A3277" s="562" t="s">
        <v>7511</v>
      </c>
      <c r="B3277" s="563" t="s">
        <v>7458</v>
      </c>
      <c r="C3277" s="564" t="s">
        <v>1612</v>
      </c>
      <c r="D3277" s="565">
        <v>42194</v>
      </c>
      <c r="E3277" s="565">
        <v>42223</v>
      </c>
      <c r="F3277" s="567">
        <v>920</v>
      </c>
      <c r="G3277" s="564" t="s">
        <v>1424</v>
      </c>
      <c r="H3277" s="564" t="s">
        <v>1424</v>
      </c>
      <c r="I3277" s="564" t="s">
        <v>70</v>
      </c>
      <c r="J3277" s="564" t="s">
        <v>1069</v>
      </c>
      <c r="K3277" s="564" t="s">
        <v>1120</v>
      </c>
      <c r="L3277" s="564" t="s">
        <v>2098</v>
      </c>
      <c r="M3277" s="564" t="s">
        <v>2098</v>
      </c>
      <c r="N3277" s="564" t="s">
        <v>70</v>
      </c>
      <c r="O3277" s="564" t="s">
        <v>2099</v>
      </c>
      <c r="P3277" s="23"/>
      <c r="Q3277" s="23"/>
      <c r="R3277" s="23"/>
      <c r="S3277" s="23"/>
      <c r="T3277" s="23"/>
      <c r="U3277" s="23"/>
      <c r="V3277" s="23"/>
      <c r="W3277" s="23"/>
      <c r="X3277" s="23"/>
      <c r="Y3277" s="23"/>
      <c r="Z3277" s="23"/>
    </row>
    <row r="3278" spans="1:26" ht="13">
      <c r="A3278" s="562" t="s">
        <v>7512</v>
      </c>
      <c r="B3278" s="563" t="s">
        <v>7467</v>
      </c>
      <c r="C3278" s="564" t="s">
        <v>1612</v>
      </c>
      <c r="D3278" s="565">
        <v>42195</v>
      </c>
      <c r="E3278" s="565">
        <v>42216</v>
      </c>
      <c r="F3278" s="566">
        <v>14639</v>
      </c>
      <c r="G3278" s="564" t="s">
        <v>1424</v>
      </c>
      <c r="H3278" s="564" t="s">
        <v>1424</v>
      </c>
      <c r="I3278" s="564" t="s">
        <v>1837</v>
      </c>
      <c r="J3278" s="564" t="s">
        <v>1069</v>
      </c>
      <c r="K3278" s="564" t="s">
        <v>1090</v>
      </c>
      <c r="L3278" s="564" t="s">
        <v>2098</v>
      </c>
      <c r="M3278" s="564" t="s">
        <v>2098</v>
      </c>
      <c r="N3278" s="564" t="s">
        <v>1082</v>
      </c>
      <c r="O3278" s="564" t="s">
        <v>2099</v>
      </c>
      <c r="P3278" s="23"/>
      <c r="Q3278" s="23"/>
      <c r="R3278" s="23"/>
      <c r="S3278" s="23"/>
      <c r="T3278" s="23"/>
      <c r="U3278" s="23"/>
      <c r="V3278" s="23"/>
      <c r="W3278" s="23"/>
      <c r="X3278" s="23"/>
      <c r="Y3278" s="23"/>
      <c r="Z3278" s="23"/>
    </row>
    <row r="3279" spans="1:26" ht="13">
      <c r="A3279" s="562" t="s">
        <v>7513</v>
      </c>
      <c r="B3279" s="563" t="s">
        <v>7428</v>
      </c>
      <c r="C3279" s="564" t="s">
        <v>1612</v>
      </c>
      <c r="D3279" s="565">
        <v>42194</v>
      </c>
      <c r="E3279" s="565">
        <v>42223</v>
      </c>
      <c r="F3279" s="566">
        <v>4315</v>
      </c>
      <c r="G3279" s="564" t="s">
        <v>1424</v>
      </c>
      <c r="H3279" s="564" t="s">
        <v>1424</v>
      </c>
      <c r="I3279" s="564" t="s">
        <v>70</v>
      </c>
      <c r="J3279" s="564" t="s">
        <v>1069</v>
      </c>
      <c r="K3279" s="564" t="s">
        <v>1120</v>
      </c>
      <c r="L3279" s="564" t="s">
        <v>2098</v>
      </c>
      <c r="M3279" s="564" t="s">
        <v>2098</v>
      </c>
      <c r="N3279" s="564" t="s">
        <v>70</v>
      </c>
      <c r="O3279" s="564" t="s">
        <v>2099</v>
      </c>
      <c r="P3279" s="23"/>
      <c r="Q3279" s="23"/>
      <c r="R3279" s="23"/>
      <c r="S3279" s="23"/>
      <c r="T3279" s="23"/>
      <c r="U3279" s="23"/>
      <c r="V3279" s="23"/>
      <c r="W3279" s="23"/>
      <c r="X3279" s="23"/>
      <c r="Y3279" s="23"/>
      <c r="Z3279" s="23"/>
    </row>
    <row r="3280" spans="1:26" ht="13">
      <c r="A3280" s="562" t="s">
        <v>7514</v>
      </c>
      <c r="B3280" s="563" t="s">
        <v>7515</v>
      </c>
      <c r="C3280" s="564" t="s">
        <v>1612</v>
      </c>
      <c r="D3280" s="565">
        <v>42192</v>
      </c>
      <c r="E3280" s="565">
        <v>42186</v>
      </c>
      <c r="F3280" s="566">
        <v>160080</v>
      </c>
      <c r="G3280" s="564" t="s">
        <v>1424</v>
      </c>
      <c r="H3280" s="564" t="s">
        <v>1424</v>
      </c>
      <c r="I3280" s="564" t="s">
        <v>146</v>
      </c>
      <c r="J3280" s="564" t="s">
        <v>1069</v>
      </c>
      <c r="K3280" s="564" t="s">
        <v>1070</v>
      </c>
      <c r="L3280" s="564" t="s">
        <v>1071</v>
      </c>
      <c r="M3280" s="564" t="s">
        <v>1183</v>
      </c>
      <c r="N3280" s="564" t="s">
        <v>1073</v>
      </c>
      <c r="O3280" s="564" t="s">
        <v>2099</v>
      </c>
      <c r="P3280" s="23"/>
      <c r="Q3280" s="23"/>
      <c r="R3280" s="23"/>
      <c r="S3280" s="23"/>
      <c r="T3280" s="23"/>
      <c r="U3280" s="23"/>
      <c r="V3280" s="23"/>
      <c r="W3280" s="23"/>
      <c r="X3280" s="23"/>
      <c r="Y3280" s="23"/>
      <c r="Z3280" s="23"/>
    </row>
    <row r="3281" spans="1:26" ht="13">
      <c r="A3281" s="562" t="s">
        <v>7516</v>
      </c>
      <c r="B3281" s="563" t="s">
        <v>7517</v>
      </c>
      <c r="C3281" s="564" t="s">
        <v>1612</v>
      </c>
      <c r="D3281" s="565">
        <v>42192</v>
      </c>
      <c r="E3281" s="565">
        <v>42186</v>
      </c>
      <c r="F3281" s="566">
        <v>11929560</v>
      </c>
      <c r="G3281" s="564" t="s">
        <v>1424</v>
      </c>
      <c r="H3281" s="564" t="s">
        <v>1424</v>
      </c>
      <c r="I3281" s="564" t="s">
        <v>45</v>
      </c>
      <c r="J3281" s="564" t="s">
        <v>1069</v>
      </c>
      <c r="K3281" s="564" t="s">
        <v>1090</v>
      </c>
      <c r="L3281" s="564" t="s">
        <v>1071</v>
      </c>
      <c r="M3281" s="564" t="s">
        <v>1183</v>
      </c>
      <c r="N3281" s="564" t="s">
        <v>45</v>
      </c>
      <c r="O3281" s="564" t="s">
        <v>2099</v>
      </c>
      <c r="P3281" s="23"/>
      <c r="Q3281" s="23"/>
      <c r="R3281" s="23"/>
      <c r="S3281" s="23"/>
      <c r="T3281" s="23"/>
      <c r="U3281" s="23"/>
      <c r="V3281" s="23"/>
      <c r="W3281" s="23"/>
      <c r="X3281" s="23"/>
      <c r="Y3281" s="23"/>
      <c r="Z3281" s="23"/>
    </row>
    <row r="3282" spans="1:26" ht="13">
      <c r="A3282" s="562" t="s">
        <v>7518</v>
      </c>
      <c r="B3282" s="563" t="s">
        <v>7519</v>
      </c>
      <c r="C3282" s="564" t="s">
        <v>1612</v>
      </c>
      <c r="D3282" s="565">
        <v>42193</v>
      </c>
      <c r="E3282" s="565">
        <v>42186</v>
      </c>
      <c r="F3282" s="566">
        <v>1742850</v>
      </c>
      <c r="G3282" s="564" t="s">
        <v>1424</v>
      </c>
      <c r="H3282" s="564" t="s">
        <v>1424</v>
      </c>
      <c r="I3282" s="564" t="s">
        <v>45</v>
      </c>
      <c r="J3282" s="564" t="s">
        <v>1069</v>
      </c>
      <c r="K3282" s="564" t="s">
        <v>1090</v>
      </c>
      <c r="L3282" s="564" t="s">
        <v>1071</v>
      </c>
      <c r="M3282" s="564" t="s">
        <v>1183</v>
      </c>
      <c r="N3282" s="564" t="s">
        <v>45</v>
      </c>
      <c r="O3282" s="564" t="s">
        <v>2099</v>
      </c>
      <c r="P3282" s="23"/>
      <c r="Q3282" s="23"/>
      <c r="R3282" s="23"/>
      <c r="S3282" s="23"/>
      <c r="T3282" s="23"/>
      <c r="U3282" s="23"/>
      <c r="V3282" s="23"/>
      <c r="W3282" s="23"/>
      <c r="X3282" s="23"/>
      <c r="Y3282" s="23"/>
      <c r="Z3282" s="23"/>
    </row>
    <row r="3283" spans="1:26" ht="13">
      <c r="A3283" s="562" t="s">
        <v>7520</v>
      </c>
      <c r="B3283" s="563" t="s">
        <v>7521</v>
      </c>
      <c r="C3283" s="564" t="s">
        <v>1612</v>
      </c>
      <c r="D3283" s="565">
        <v>42191</v>
      </c>
      <c r="E3283" s="565">
        <v>42205</v>
      </c>
      <c r="F3283" s="566">
        <v>750000</v>
      </c>
      <c r="G3283" s="564" t="s">
        <v>1123</v>
      </c>
      <c r="H3283" s="564" t="s">
        <v>1123</v>
      </c>
      <c r="I3283" s="564" t="s">
        <v>1247</v>
      </c>
      <c r="J3283" s="564" t="s">
        <v>1069</v>
      </c>
      <c r="K3283" s="564" t="s">
        <v>1070</v>
      </c>
      <c r="L3283" s="564" t="s">
        <v>2098</v>
      </c>
      <c r="M3283" s="564" t="s">
        <v>2098</v>
      </c>
      <c r="N3283" s="564" t="s">
        <v>1073</v>
      </c>
      <c r="O3283" s="564" t="s">
        <v>2099</v>
      </c>
      <c r="P3283" s="23"/>
      <c r="Q3283" s="23"/>
      <c r="R3283" s="23"/>
      <c r="S3283" s="23"/>
      <c r="T3283" s="23"/>
      <c r="U3283" s="23"/>
      <c r="V3283" s="23"/>
      <c r="W3283" s="23"/>
      <c r="X3283" s="23"/>
      <c r="Y3283" s="23"/>
      <c r="Z3283" s="23"/>
    </row>
    <row r="3284" spans="1:26" ht="13">
      <c r="A3284" s="562" t="s">
        <v>7522</v>
      </c>
      <c r="B3284" s="563" t="s">
        <v>7523</v>
      </c>
      <c r="C3284" s="564" t="s">
        <v>1612</v>
      </c>
      <c r="D3284" s="565">
        <v>42191</v>
      </c>
      <c r="E3284" s="565">
        <v>42205</v>
      </c>
      <c r="F3284" s="566">
        <v>1300000</v>
      </c>
      <c r="G3284" s="564" t="s">
        <v>1123</v>
      </c>
      <c r="H3284" s="564" t="s">
        <v>1123</v>
      </c>
      <c r="I3284" s="564" t="s">
        <v>1247</v>
      </c>
      <c r="J3284" s="564" t="s">
        <v>1069</v>
      </c>
      <c r="K3284" s="564" t="s">
        <v>1070</v>
      </c>
      <c r="L3284" s="564" t="s">
        <v>2098</v>
      </c>
      <c r="M3284" s="564" t="s">
        <v>2098</v>
      </c>
      <c r="N3284" s="564" t="s">
        <v>1073</v>
      </c>
      <c r="O3284" s="564" t="s">
        <v>2099</v>
      </c>
      <c r="P3284" s="23"/>
      <c r="Q3284" s="23"/>
      <c r="R3284" s="23"/>
      <c r="S3284" s="23"/>
      <c r="T3284" s="23"/>
      <c r="U3284" s="23"/>
      <c r="V3284" s="23"/>
      <c r="W3284" s="23"/>
      <c r="X3284" s="23"/>
      <c r="Y3284" s="23"/>
      <c r="Z3284" s="23"/>
    </row>
    <row r="3285" spans="1:26" ht="13">
      <c r="A3285" s="562" t="s">
        <v>7524</v>
      </c>
      <c r="B3285" s="563" t="s">
        <v>7525</v>
      </c>
      <c r="C3285" s="564" t="s">
        <v>1612</v>
      </c>
      <c r="D3285" s="565">
        <v>42192</v>
      </c>
      <c r="E3285" s="565">
        <v>42205</v>
      </c>
      <c r="F3285" s="566">
        <v>4017850</v>
      </c>
      <c r="G3285" s="564" t="s">
        <v>1623</v>
      </c>
      <c r="H3285" s="564" t="s">
        <v>1623</v>
      </c>
      <c r="I3285" s="564" t="s">
        <v>1746</v>
      </c>
      <c r="J3285" s="564" t="s">
        <v>1069</v>
      </c>
      <c r="K3285" s="564" t="s">
        <v>1198</v>
      </c>
      <c r="L3285" s="564" t="s">
        <v>2098</v>
      </c>
      <c r="M3285" s="564" t="s">
        <v>2098</v>
      </c>
      <c r="N3285" s="564" t="s">
        <v>1073</v>
      </c>
      <c r="O3285" s="564" t="s">
        <v>2099</v>
      </c>
      <c r="P3285" s="23"/>
      <c r="Q3285" s="23"/>
      <c r="R3285" s="23"/>
      <c r="S3285" s="23"/>
      <c r="T3285" s="23"/>
      <c r="U3285" s="23"/>
      <c r="V3285" s="23"/>
      <c r="W3285" s="23"/>
      <c r="X3285" s="23"/>
      <c r="Y3285" s="23"/>
      <c r="Z3285" s="23"/>
    </row>
    <row r="3286" spans="1:26" ht="13">
      <c r="A3286" s="562" t="s">
        <v>7526</v>
      </c>
      <c r="B3286" s="563" t="s">
        <v>7527</v>
      </c>
      <c r="C3286" s="564" t="s">
        <v>2191</v>
      </c>
      <c r="D3286" s="565">
        <v>42191</v>
      </c>
      <c r="E3286" s="565">
        <v>42185</v>
      </c>
      <c r="F3286" s="566">
        <v>112727272</v>
      </c>
      <c r="G3286" s="564" t="s">
        <v>1123</v>
      </c>
      <c r="H3286" s="564" t="s">
        <v>1123</v>
      </c>
      <c r="I3286" s="564" t="s">
        <v>140</v>
      </c>
      <c r="J3286" s="564" t="s">
        <v>1069</v>
      </c>
      <c r="K3286" s="564" t="s">
        <v>1205</v>
      </c>
      <c r="L3286" s="564" t="s">
        <v>2098</v>
      </c>
      <c r="M3286" s="564" t="s">
        <v>2098</v>
      </c>
      <c r="N3286" s="564" t="s">
        <v>1073</v>
      </c>
      <c r="O3286" s="564" t="s">
        <v>2099</v>
      </c>
      <c r="P3286" s="23"/>
      <c r="Q3286" s="23"/>
      <c r="R3286" s="23"/>
      <c r="S3286" s="23"/>
      <c r="T3286" s="23"/>
      <c r="U3286" s="23"/>
      <c r="V3286" s="23"/>
      <c r="W3286" s="23"/>
      <c r="X3286" s="23"/>
      <c r="Y3286" s="23"/>
      <c r="Z3286" s="23"/>
    </row>
    <row r="3287" spans="1:26" ht="13">
      <c r="A3287" s="562" t="s">
        <v>7528</v>
      </c>
      <c r="B3287" s="563" t="s">
        <v>7529</v>
      </c>
      <c r="C3287" s="564" t="s">
        <v>1612</v>
      </c>
      <c r="D3287" s="565">
        <v>42187</v>
      </c>
      <c r="E3287" s="565">
        <v>42216</v>
      </c>
      <c r="F3287" s="567">
        <v>863</v>
      </c>
      <c r="G3287" s="564" t="s">
        <v>1424</v>
      </c>
      <c r="H3287" s="564" t="s">
        <v>1424</v>
      </c>
      <c r="I3287" s="564" t="s">
        <v>1637</v>
      </c>
      <c r="J3287" s="564" t="s">
        <v>1069</v>
      </c>
      <c r="K3287" s="564" t="s">
        <v>1120</v>
      </c>
      <c r="L3287" s="564" t="s">
        <v>2098</v>
      </c>
      <c r="M3287" s="564" t="s">
        <v>2098</v>
      </c>
      <c r="N3287" s="564" t="s">
        <v>1073</v>
      </c>
      <c r="O3287" s="564" t="s">
        <v>2099</v>
      </c>
      <c r="P3287" s="23"/>
      <c r="Q3287" s="23"/>
      <c r="R3287" s="23"/>
      <c r="S3287" s="23"/>
      <c r="T3287" s="23"/>
      <c r="U3287" s="23"/>
      <c r="V3287" s="23"/>
      <c r="W3287" s="23"/>
      <c r="X3287" s="23"/>
      <c r="Y3287" s="23"/>
      <c r="Z3287" s="23"/>
    </row>
    <row r="3288" spans="1:26" ht="13">
      <c r="A3288" s="562" t="s">
        <v>7530</v>
      </c>
      <c r="B3288" s="563" t="s">
        <v>6481</v>
      </c>
      <c r="C3288" s="564" t="s">
        <v>1612</v>
      </c>
      <c r="D3288" s="565">
        <v>42188</v>
      </c>
      <c r="E3288" s="565">
        <v>42216</v>
      </c>
      <c r="F3288" s="566">
        <v>59275000</v>
      </c>
      <c r="G3288" s="564" t="s">
        <v>5465</v>
      </c>
      <c r="H3288" s="564" t="s">
        <v>5465</v>
      </c>
      <c r="I3288" s="564" t="s">
        <v>45</v>
      </c>
      <c r="J3288" s="564" t="s">
        <v>1069</v>
      </c>
      <c r="K3288" s="564" t="s">
        <v>1090</v>
      </c>
      <c r="L3288" s="564" t="s">
        <v>2098</v>
      </c>
      <c r="M3288" s="564" t="s">
        <v>2098</v>
      </c>
      <c r="N3288" s="564" t="s">
        <v>45</v>
      </c>
      <c r="O3288" s="564" t="s">
        <v>2099</v>
      </c>
      <c r="P3288" s="23"/>
      <c r="Q3288" s="23"/>
      <c r="R3288" s="23"/>
      <c r="S3288" s="23"/>
      <c r="T3288" s="23"/>
      <c r="U3288" s="23"/>
      <c r="V3288" s="23"/>
      <c r="W3288" s="23"/>
      <c r="X3288" s="23"/>
      <c r="Y3288" s="23"/>
      <c r="Z3288" s="23"/>
    </row>
    <row r="3289" spans="1:26" ht="13">
      <c r="A3289" s="562" t="s">
        <v>7531</v>
      </c>
      <c r="B3289" s="563" t="s">
        <v>7532</v>
      </c>
      <c r="C3289" s="564" t="s">
        <v>1612</v>
      </c>
      <c r="D3289" s="565">
        <v>42188</v>
      </c>
      <c r="E3289" s="565">
        <v>42216</v>
      </c>
      <c r="F3289" s="566">
        <v>99800000</v>
      </c>
      <c r="G3289" s="564" t="s">
        <v>5465</v>
      </c>
      <c r="H3289" s="564" t="s">
        <v>5465</v>
      </c>
      <c r="I3289" s="564" t="s">
        <v>45</v>
      </c>
      <c r="J3289" s="564" t="s">
        <v>1069</v>
      </c>
      <c r="K3289" s="564" t="s">
        <v>1090</v>
      </c>
      <c r="L3289" s="564" t="s">
        <v>2098</v>
      </c>
      <c r="M3289" s="564" t="s">
        <v>2098</v>
      </c>
      <c r="N3289" s="564" t="s">
        <v>45</v>
      </c>
      <c r="O3289" s="564" t="s">
        <v>2099</v>
      </c>
      <c r="P3289" s="23"/>
      <c r="Q3289" s="23"/>
      <c r="R3289" s="23"/>
      <c r="S3289" s="23"/>
      <c r="T3289" s="23"/>
      <c r="U3289" s="23"/>
      <c r="V3289" s="23"/>
      <c r="W3289" s="23"/>
      <c r="X3289" s="23"/>
      <c r="Y3289" s="23"/>
      <c r="Z3289" s="23"/>
    </row>
    <row r="3290" spans="1:26" ht="13">
      <c r="A3290" s="562" t="s">
        <v>7533</v>
      </c>
      <c r="B3290" s="563" t="s">
        <v>3819</v>
      </c>
      <c r="C3290" s="564" t="s">
        <v>1873</v>
      </c>
      <c r="D3290" s="565">
        <v>42184</v>
      </c>
      <c r="E3290" s="565">
        <v>42188</v>
      </c>
      <c r="F3290" s="566">
        <v>2940000</v>
      </c>
      <c r="G3290" s="564" t="s">
        <v>1157</v>
      </c>
      <c r="H3290" s="564" t="s">
        <v>1157</v>
      </c>
      <c r="I3290" s="564" t="s">
        <v>170</v>
      </c>
      <c r="J3290" s="564" t="s">
        <v>1069</v>
      </c>
      <c r="K3290" s="564" t="s">
        <v>1105</v>
      </c>
      <c r="L3290" s="564" t="s">
        <v>2098</v>
      </c>
      <c r="M3290" s="564" t="s">
        <v>2098</v>
      </c>
      <c r="N3290" s="564" t="s">
        <v>170</v>
      </c>
      <c r="O3290" s="564" t="s">
        <v>2099</v>
      </c>
      <c r="P3290" s="23"/>
      <c r="Q3290" s="23"/>
      <c r="R3290" s="23"/>
      <c r="S3290" s="23"/>
      <c r="T3290" s="23"/>
      <c r="U3290" s="23"/>
      <c r="V3290" s="23"/>
      <c r="W3290" s="23"/>
      <c r="X3290" s="23"/>
      <c r="Y3290" s="23"/>
      <c r="Z3290" s="23"/>
    </row>
    <row r="3291" spans="1:26" ht="13">
      <c r="A3291" s="562" t="s">
        <v>7534</v>
      </c>
      <c r="B3291" s="563" t="s">
        <v>7535</v>
      </c>
      <c r="C3291" s="564" t="s">
        <v>1612</v>
      </c>
      <c r="D3291" s="565">
        <v>42185</v>
      </c>
      <c r="E3291" s="565">
        <v>42169</v>
      </c>
      <c r="F3291" s="566">
        <v>115400</v>
      </c>
      <c r="G3291" s="564" t="s">
        <v>1187</v>
      </c>
      <c r="H3291" s="564" t="s">
        <v>1187</v>
      </c>
      <c r="I3291" s="564" t="s">
        <v>70</v>
      </c>
      <c r="J3291" s="564" t="s">
        <v>1069</v>
      </c>
      <c r="K3291" s="564" t="s">
        <v>1120</v>
      </c>
      <c r="L3291" s="564" t="s">
        <v>2098</v>
      </c>
      <c r="M3291" s="564" t="s">
        <v>2098</v>
      </c>
      <c r="N3291" s="564" t="s">
        <v>70</v>
      </c>
      <c r="O3291" s="564" t="s">
        <v>2099</v>
      </c>
      <c r="P3291" s="23"/>
      <c r="Q3291" s="23"/>
      <c r="R3291" s="23"/>
      <c r="S3291" s="23"/>
      <c r="T3291" s="23"/>
      <c r="U3291" s="23"/>
      <c r="V3291" s="23"/>
      <c r="W3291" s="23"/>
      <c r="X3291" s="23"/>
      <c r="Y3291" s="23"/>
      <c r="Z3291" s="23"/>
    </row>
    <row r="3292" spans="1:26" ht="13">
      <c r="A3292" s="562" t="s">
        <v>7536</v>
      </c>
      <c r="B3292" s="563" t="s">
        <v>7537</v>
      </c>
      <c r="C3292" s="564" t="s">
        <v>1612</v>
      </c>
      <c r="D3292" s="565">
        <v>42184</v>
      </c>
      <c r="E3292" s="565">
        <v>42216</v>
      </c>
      <c r="F3292" s="566">
        <v>4000000</v>
      </c>
      <c r="G3292" s="564" t="s">
        <v>7208</v>
      </c>
      <c r="H3292" s="564" t="s">
        <v>7208</v>
      </c>
      <c r="I3292" s="564" t="s">
        <v>45</v>
      </c>
      <c r="J3292" s="564" t="s">
        <v>1069</v>
      </c>
      <c r="K3292" s="564" t="s">
        <v>1090</v>
      </c>
      <c r="L3292" s="564" t="s">
        <v>2098</v>
      </c>
      <c r="M3292" s="564" t="s">
        <v>2098</v>
      </c>
      <c r="N3292" s="564" t="s">
        <v>45</v>
      </c>
      <c r="O3292" s="564" t="s">
        <v>2099</v>
      </c>
      <c r="P3292" s="23"/>
      <c r="Q3292" s="23"/>
      <c r="R3292" s="23"/>
      <c r="S3292" s="23"/>
      <c r="T3292" s="23"/>
      <c r="U3292" s="23"/>
      <c r="V3292" s="23"/>
      <c r="W3292" s="23"/>
      <c r="X3292" s="23"/>
      <c r="Y3292" s="23"/>
      <c r="Z3292" s="23"/>
    </row>
    <row r="3293" spans="1:26" ht="13">
      <c r="A3293" s="562" t="s">
        <v>7538</v>
      </c>
      <c r="B3293" s="563" t="s">
        <v>7539</v>
      </c>
      <c r="C3293" s="564" t="s">
        <v>1612</v>
      </c>
      <c r="D3293" s="565">
        <v>42186</v>
      </c>
      <c r="E3293" s="565">
        <v>42216</v>
      </c>
      <c r="F3293" s="566">
        <v>1980</v>
      </c>
      <c r="G3293" s="564" t="s">
        <v>1424</v>
      </c>
      <c r="H3293" s="564" t="s">
        <v>1424</v>
      </c>
      <c r="I3293" s="564" t="s">
        <v>45</v>
      </c>
      <c r="J3293" s="564" t="s">
        <v>1069</v>
      </c>
      <c r="K3293" s="564" t="s">
        <v>1090</v>
      </c>
      <c r="L3293" s="564" t="s">
        <v>2098</v>
      </c>
      <c r="M3293" s="564" t="s">
        <v>2098</v>
      </c>
      <c r="N3293" s="564" t="s">
        <v>45</v>
      </c>
      <c r="O3293" s="564" t="s">
        <v>2099</v>
      </c>
      <c r="P3293" s="23"/>
      <c r="Q3293" s="23"/>
      <c r="R3293" s="23"/>
      <c r="S3293" s="23"/>
      <c r="T3293" s="23"/>
      <c r="U3293" s="23"/>
      <c r="V3293" s="23"/>
      <c r="W3293" s="23"/>
      <c r="X3293" s="23"/>
      <c r="Y3293" s="23"/>
      <c r="Z3293" s="23"/>
    </row>
    <row r="3294" spans="1:26" ht="13">
      <c r="A3294" s="562" t="s">
        <v>7540</v>
      </c>
      <c r="B3294" s="563" t="s">
        <v>7541</v>
      </c>
      <c r="C3294" s="564" t="s">
        <v>353</v>
      </c>
      <c r="D3294" s="565">
        <v>42186</v>
      </c>
      <c r="E3294" s="565">
        <v>42192</v>
      </c>
      <c r="F3294" s="566">
        <v>247188000</v>
      </c>
      <c r="G3294" s="564" t="s">
        <v>1424</v>
      </c>
      <c r="H3294" s="564" t="s">
        <v>1424</v>
      </c>
      <c r="I3294" s="564" t="s">
        <v>45</v>
      </c>
      <c r="J3294" s="564" t="s">
        <v>1069</v>
      </c>
      <c r="K3294" s="564" t="s">
        <v>1090</v>
      </c>
      <c r="L3294" s="564" t="s">
        <v>2098</v>
      </c>
      <c r="M3294" s="564" t="s">
        <v>2098</v>
      </c>
      <c r="N3294" s="564" t="s">
        <v>45</v>
      </c>
      <c r="O3294" s="564" t="s">
        <v>2099</v>
      </c>
      <c r="P3294" s="23"/>
      <c r="Q3294" s="23"/>
      <c r="R3294" s="23"/>
      <c r="S3294" s="23"/>
      <c r="T3294" s="23"/>
      <c r="U3294" s="23"/>
      <c r="V3294" s="23"/>
      <c r="W3294" s="23"/>
      <c r="X3294" s="23"/>
      <c r="Y3294" s="23"/>
      <c r="Z3294" s="23"/>
    </row>
    <row r="3295" spans="1:26" ht="13">
      <c r="A3295" s="562" t="s">
        <v>7542</v>
      </c>
      <c r="B3295" s="563" t="s">
        <v>7467</v>
      </c>
      <c r="C3295" s="564" t="s">
        <v>1612</v>
      </c>
      <c r="D3295" s="565">
        <v>42180</v>
      </c>
      <c r="E3295" s="565">
        <v>42195</v>
      </c>
      <c r="F3295" s="566">
        <v>11246</v>
      </c>
      <c r="G3295" s="564" t="s">
        <v>1424</v>
      </c>
      <c r="H3295" s="564" t="s">
        <v>1424</v>
      </c>
      <c r="I3295" s="564" t="s">
        <v>1837</v>
      </c>
      <c r="J3295" s="564" t="s">
        <v>1069</v>
      </c>
      <c r="K3295" s="564" t="s">
        <v>1090</v>
      </c>
      <c r="L3295" s="564" t="s">
        <v>2098</v>
      </c>
      <c r="M3295" s="564" t="s">
        <v>2098</v>
      </c>
      <c r="N3295" s="564" t="s">
        <v>1082</v>
      </c>
      <c r="O3295" s="564" t="s">
        <v>2099</v>
      </c>
      <c r="P3295" s="23"/>
      <c r="Q3295" s="23"/>
      <c r="R3295" s="23"/>
      <c r="S3295" s="23"/>
      <c r="T3295" s="23"/>
      <c r="U3295" s="23"/>
      <c r="V3295" s="23"/>
      <c r="W3295" s="23"/>
      <c r="X3295" s="23"/>
      <c r="Y3295" s="23"/>
      <c r="Z3295" s="23"/>
    </row>
    <row r="3296" spans="1:26" ht="13">
      <c r="A3296" s="562" t="s">
        <v>7543</v>
      </c>
      <c r="B3296" s="563" t="s">
        <v>7436</v>
      </c>
      <c r="C3296" s="564" t="s">
        <v>1612</v>
      </c>
      <c r="D3296" s="565">
        <v>42184</v>
      </c>
      <c r="E3296" s="565">
        <v>42209</v>
      </c>
      <c r="F3296" s="566">
        <v>1050</v>
      </c>
      <c r="G3296" s="564" t="s">
        <v>1424</v>
      </c>
      <c r="H3296" s="564" t="s">
        <v>1424</v>
      </c>
      <c r="I3296" s="564" t="s">
        <v>70</v>
      </c>
      <c r="J3296" s="564" t="s">
        <v>1069</v>
      </c>
      <c r="K3296" s="564" t="s">
        <v>1120</v>
      </c>
      <c r="L3296" s="564" t="s">
        <v>2098</v>
      </c>
      <c r="M3296" s="564" t="s">
        <v>2098</v>
      </c>
      <c r="N3296" s="564" t="s">
        <v>70</v>
      </c>
      <c r="O3296" s="564" t="s">
        <v>2099</v>
      </c>
      <c r="P3296" s="23"/>
      <c r="Q3296" s="23"/>
      <c r="R3296" s="23"/>
      <c r="S3296" s="23"/>
      <c r="T3296" s="23"/>
      <c r="U3296" s="23"/>
      <c r="V3296" s="23"/>
      <c r="W3296" s="23"/>
      <c r="X3296" s="23"/>
      <c r="Y3296" s="23"/>
      <c r="Z3296" s="23"/>
    </row>
    <row r="3297" spans="1:26" ht="13">
      <c r="A3297" s="562" t="s">
        <v>7544</v>
      </c>
      <c r="B3297" s="563" t="s">
        <v>7545</v>
      </c>
      <c r="C3297" s="564" t="s">
        <v>1612</v>
      </c>
      <c r="D3297" s="565">
        <v>42179</v>
      </c>
      <c r="E3297" s="565">
        <v>42198</v>
      </c>
      <c r="F3297" s="566">
        <v>243000</v>
      </c>
      <c r="G3297" s="564" t="s">
        <v>1623</v>
      </c>
      <c r="H3297" s="564" t="s">
        <v>1623</v>
      </c>
      <c r="I3297" s="564" t="s">
        <v>802</v>
      </c>
      <c r="J3297" s="564" t="s">
        <v>1069</v>
      </c>
      <c r="K3297" s="564" t="s">
        <v>1198</v>
      </c>
      <c r="L3297" s="564" t="s">
        <v>2098</v>
      </c>
      <c r="M3297" s="564" t="s">
        <v>2098</v>
      </c>
      <c r="N3297" s="564" t="s">
        <v>132</v>
      </c>
      <c r="O3297" s="564" t="s">
        <v>2099</v>
      </c>
      <c r="P3297" s="23"/>
      <c r="Q3297" s="23"/>
      <c r="R3297" s="23"/>
      <c r="S3297" s="23"/>
      <c r="T3297" s="23"/>
      <c r="U3297" s="23"/>
      <c r="V3297" s="23"/>
      <c r="W3297" s="23"/>
      <c r="X3297" s="23"/>
      <c r="Y3297" s="23"/>
      <c r="Z3297" s="23"/>
    </row>
    <row r="3298" spans="1:26" ht="13">
      <c r="A3298" s="562" t="s">
        <v>7546</v>
      </c>
      <c r="B3298" s="563" t="s">
        <v>7547</v>
      </c>
      <c r="C3298" s="564" t="s">
        <v>1612</v>
      </c>
      <c r="D3298" s="565">
        <v>42178</v>
      </c>
      <c r="E3298" s="565">
        <v>42195</v>
      </c>
      <c r="F3298" s="566">
        <v>2970</v>
      </c>
      <c r="G3298" s="564" t="s">
        <v>1424</v>
      </c>
      <c r="H3298" s="564" t="s">
        <v>1424</v>
      </c>
      <c r="I3298" s="564" t="s">
        <v>45</v>
      </c>
      <c r="J3298" s="564" t="s">
        <v>1069</v>
      </c>
      <c r="K3298" s="564" t="s">
        <v>1090</v>
      </c>
      <c r="L3298" s="564" t="s">
        <v>2098</v>
      </c>
      <c r="M3298" s="564" t="s">
        <v>2098</v>
      </c>
      <c r="N3298" s="564" t="s">
        <v>45</v>
      </c>
      <c r="O3298" s="564" t="s">
        <v>2099</v>
      </c>
      <c r="P3298" s="23"/>
      <c r="Q3298" s="23"/>
      <c r="R3298" s="23"/>
      <c r="S3298" s="23"/>
      <c r="T3298" s="23"/>
      <c r="U3298" s="23"/>
      <c r="V3298" s="23"/>
      <c r="W3298" s="23"/>
      <c r="X3298" s="23"/>
      <c r="Y3298" s="23"/>
      <c r="Z3298" s="23"/>
    </row>
    <row r="3299" spans="1:26" ht="13">
      <c r="A3299" s="562" t="s">
        <v>7548</v>
      </c>
      <c r="B3299" s="563" t="s">
        <v>7549</v>
      </c>
      <c r="C3299" s="564" t="s">
        <v>1612</v>
      </c>
      <c r="D3299" s="565">
        <v>42180</v>
      </c>
      <c r="E3299" s="565">
        <v>42209</v>
      </c>
      <c r="F3299" s="567">
        <v>450</v>
      </c>
      <c r="G3299" s="564" t="s">
        <v>1424</v>
      </c>
      <c r="H3299" s="564" t="s">
        <v>1424</v>
      </c>
      <c r="I3299" s="564" t="s">
        <v>70</v>
      </c>
      <c r="J3299" s="564" t="s">
        <v>1069</v>
      </c>
      <c r="K3299" s="564" t="s">
        <v>1120</v>
      </c>
      <c r="L3299" s="564" t="s">
        <v>2098</v>
      </c>
      <c r="M3299" s="564" t="s">
        <v>2098</v>
      </c>
      <c r="N3299" s="564" t="s">
        <v>70</v>
      </c>
      <c r="O3299" s="564" t="s">
        <v>2099</v>
      </c>
      <c r="P3299" s="23"/>
      <c r="Q3299" s="23"/>
      <c r="R3299" s="23"/>
      <c r="S3299" s="23"/>
      <c r="T3299" s="23"/>
      <c r="U3299" s="23"/>
      <c r="V3299" s="23"/>
      <c r="W3299" s="23"/>
      <c r="X3299" s="23"/>
      <c r="Y3299" s="23"/>
      <c r="Z3299" s="23"/>
    </row>
    <row r="3300" spans="1:26" ht="13">
      <c r="A3300" s="562" t="s">
        <v>7550</v>
      </c>
      <c r="B3300" s="563" t="s">
        <v>7551</v>
      </c>
      <c r="C3300" s="564" t="s">
        <v>1612</v>
      </c>
      <c r="D3300" s="565">
        <v>42180</v>
      </c>
      <c r="E3300" s="565">
        <v>42216</v>
      </c>
      <c r="F3300" s="566">
        <v>180000</v>
      </c>
      <c r="G3300" s="564" t="s">
        <v>1116</v>
      </c>
      <c r="H3300" s="564" t="s">
        <v>1116</v>
      </c>
      <c r="I3300" s="564" t="s">
        <v>45</v>
      </c>
      <c r="J3300" s="564" t="s">
        <v>1069</v>
      </c>
      <c r="K3300" s="564" t="s">
        <v>1090</v>
      </c>
      <c r="L3300" s="564" t="s">
        <v>2098</v>
      </c>
      <c r="M3300" s="564" t="s">
        <v>2098</v>
      </c>
      <c r="N3300" s="564" t="s">
        <v>45</v>
      </c>
      <c r="O3300" s="564" t="s">
        <v>2099</v>
      </c>
      <c r="P3300" s="23"/>
      <c r="Q3300" s="23"/>
      <c r="R3300" s="23"/>
      <c r="S3300" s="23"/>
      <c r="T3300" s="23"/>
      <c r="U3300" s="23"/>
      <c r="V3300" s="23"/>
      <c r="W3300" s="23"/>
      <c r="X3300" s="23"/>
      <c r="Y3300" s="23"/>
      <c r="Z3300" s="23"/>
    </row>
    <row r="3301" spans="1:26" ht="13">
      <c r="A3301" s="562" t="s">
        <v>7552</v>
      </c>
      <c r="B3301" s="563" t="s">
        <v>7553</v>
      </c>
      <c r="C3301" s="564" t="s">
        <v>6860</v>
      </c>
      <c r="D3301" s="565">
        <v>42178</v>
      </c>
      <c r="E3301" s="565">
        <v>42490</v>
      </c>
      <c r="F3301" s="566">
        <v>58295</v>
      </c>
      <c r="G3301" s="564" t="s">
        <v>1116</v>
      </c>
      <c r="H3301" s="564" t="s">
        <v>1116</v>
      </c>
      <c r="I3301" s="564" t="s">
        <v>7554</v>
      </c>
      <c r="J3301" s="564" t="s">
        <v>1069</v>
      </c>
      <c r="K3301" s="564" t="s">
        <v>1070</v>
      </c>
      <c r="L3301" s="564" t="s">
        <v>2098</v>
      </c>
      <c r="M3301" s="564" t="s">
        <v>2098</v>
      </c>
      <c r="N3301" s="564" t="s">
        <v>1082</v>
      </c>
      <c r="O3301" s="564" t="s">
        <v>2099</v>
      </c>
      <c r="P3301" s="23"/>
      <c r="Q3301" s="23"/>
      <c r="R3301" s="23"/>
      <c r="S3301" s="23"/>
      <c r="T3301" s="23"/>
      <c r="U3301" s="23"/>
      <c r="V3301" s="23"/>
      <c r="W3301" s="23"/>
      <c r="X3301" s="23"/>
      <c r="Y3301" s="23"/>
      <c r="Z3301" s="23"/>
    </row>
    <row r="3302" spans="1:26" ht="13">
      <c r="A3302" s="562" t="s">
        <v>7555</v>
      </c>
      <c r="B3302" s="563" t="s">
        <v>5812</v>
      </c>
      <c r="C3302" s="564" t="s">
        <v>1612</v>
      </c>
      <c r="D3302" s="565">
        <v>42177</v>
      </c>
      <c r="E3302" s="565">
        <v>42216</v>
      </c>
      <c r="F3302" s="566">
        <v>2280</v>
      </c>
      <c r="G3302" s="564" t="s">
        <v>1424</v>
      </c>
      <c r="H3302" s="564" t="s">
        <v>1424</v>
      </c>
      <c r="I3302" s="564" t="s">
        <v>64</v>
      </c>
      <c r="J3302" s="564" t="s">
        <v>1069</v>
      </c>
      <c r="K3302" s="564" t="s">
        <v>1090</v>
      </c>
      <c r="L3302" s="564" t="s">
        <v>2098</v>
      </c>
      <c r="M3302" s="564" t="s">
        <v>2098</v>
      </c>
      <c r="N3302" s="564" t="s">
        <v>64</v>
      </c>
      <c r="O3302" s="564" t="s">
        <v>2099</v>
      </c>
      <c r="P3302" s="23"/>
      <c r="Q3302" s="23"/>
      <c r="R3302" s="23"/>
      <c r="S3302" s="23"/>
      <c r="T3302" s="23"/>
      <c r="U3302" s="23"/>
      <c r="V3302" s="23"/>
      <c r="W3302" s="23"/>
      <c r="X3302" s="23"/>
      <c r="Y3302" s="23"/>
      <c r="Z3302" s="23"/>
    </row>
    <row r="3303" spans="1:26" ht="13">
      <c r="A3303" s="562" t="s">
        <v>7556</v>
      </c>
      <c r="B3303" s="563" t="s">
        <v>7557</v>
      </c>
      <c r="C3303" s="564" t="s">
        <v>6860</v>
      </c>
      <c r="D3303" s="565">
        <v>42178</v>
      </c>
      <c r="E3303" s="565">
        <v>42490</v>
      </c>
      <c r="F3303" s="566">
        <v>30800</v>
      </c>
      <c r="G3303" s="564" t="s">
        <v>1116</v>
      </c>
      <c r="H3303" s="564" t="s">
        <v>1116</v>
      </c>
      <c r="I3303" s="564" t="s">
        <v>7554</v>
      </c>
      <c r="J3303" s="564" t="s">
        <v>1069</v>
      </c>
      <c r="K3303" s="564" t="s">
        <v>1070</v>
      </c>
      <c r="L3303" s="564" t="s">
        <v>2098</v>
      </c>
      <c r="M3303" s="564" t="s">
        <v>2098</v>
      </c>
      <c r="N3303" s="564" t="s">
        <v>1082</v>
      </c>
      <c r="O3303" s="564" t="s">
        <v>2099</v>
      </c>
      <c r="P3303" s="23"/>
      <c r="Q3303" s="23"/>
      <c r="R3303" s="23"/>
      <c r="S3303" s="23"/>
      <c r="T3303" s="23"/>
      <c r="U3303" s="23"/>
      <c r="V3303" s="23"/>
      <c r="W3303" s="23"/>
      <c r="X3303" s="23"/>
      <c r="Y3303" s="23"/>
      <c r="Z3303" s="23"/>
    </row>
    <row r="3304" spans="1:26" ht="13">
      <c r="A3304" s="562" t="s">
        <v>7558</v>
      </c>
      <c r="B3304" s="563" t="s">
        <v>7467</v>
      </c>
      <c r="C3304" s="564" t="s">
        <v>1612</v>
      </c>
      <c r="D3304" s="565">
        <v>42174</v>
      </c>
      <c r="E3304" s="565">
        <v>42185</v>
      </c>
      <c r="F3304" s="566">
        <v>1686</v>
      </c>
      <c r="G3304" s="564" t="s">
        <v>1424</v>
      </c>
      <c r="H3304" s="564" t="s">
        <v>1424</v>
      </c>
      <c r="I3304" s="564" t="s">
        <v>1837</v>
      </c>
      <c r="J3304" s="564" t="s">
        <v>1069</v>
      </c>
      <c r="K3304" s="564" t="s">
        <v>1090</v>
      </c>
      <c r="L3304" s="564" t="s">
        <v>2098</v>
      </c>
      <c r="M3304" s="564" t="s">
        <v>2098</v>
      </c>
      <c r="N3304" s="564" t="s">
        <v>1082</v>
      </c>
      <c r="O3304" s="564" t="s">
        <v>2099</v>
      </c>
      <c r="P3304" s="23"/>
      <c r="Q3304" s="23"/>
      <c r="R3304" s="23"/>
      <c r="S3304" s="23"/>
      <c r="T3304" s="23"/>
      <c r="U3304" s="23"/>
      <c r="V3304" s="23"/>
      <c r="W3304" s="23"/>
      <c r="X3304" s="23"/>
      <c r="Y3304" s="23"/>
      <c r="Z3304" s="23"/>
    </row>
    <row r="3305" spans="1:26" ht="13">
      <c r="A3305" s="562" t="s">
        <v>7559</v>
      </c>
      <c r="B3305" s="563" t="s">
        <v>7560</v>
      </c>
      <c r="C3305" s="564" t="s">
        <v>1612</v>
      </c>
      <c r="D3305" s="565">
        <v>42173</v>
      </c>
      <c r="E3305" s="565">
        <v>42202</v>
      </c>
      <c r="F3305" s="566">
        <v>2100</v>
      </c>
      <c r="G3305" s="564" t="s">
        <v>1424</v>
      </c>
      <c r="H3305" s="564" t="s">
        <v>1424</v>
      </c>
      <c r="I3305" s="564" t="s">
        <v>70</v>
      </c>
      <c r="J3305" s="564" t="s">
        <v>1069</v>
      </c>
      <c r="K3305" s="564" t="s">
        <v>1120</v>
      </c>
      <c r="L3305" s="564" t="s">
        <v>2098</v>
      </c>
      <c r="M3305" s="564" t="s">
        <v>2098</v>
      </c>
      <c r="N3305" s="564" t="s">
        <v>70</v>
      </c>
      <c r="O3305" s="564" t="s">
        <v>2099</v>
      </c>
      <c r="P3305" s="23"/>
      <c r="Q3305" s="23"/>
      <c r="R3305" s="23"/>
      <c r="S3305" s="23"/>
      <c r="T3305" s="23"/>
      <c r="U3305" s="23"/>
      <c r="V3305" s="23"/>
      <c r="W3305" s="23"/>
      <c r="X3305" s="23"/>
      <c r="Y3305" s="23"/>
      <c r="Z3305" s="23"/>
    </row>
    <row r="3306" spans="1:26" ht="13">
      <c r="A3306" s="562" t="s">
        <v>7561</v>
      </c>
      <c r="B3306" s="563" t="s">
        <v>7562</v>
      </c>
      <c r="C3306" s="564" t="s">
        <v>1612</v>
      </c>
      <c r="D3306" s="565">
        <v>42173</v>
      </c>
      <c r="E3306" s="565">
        <v>42185</v>
      </c>
      <c r="F3306" s="566">
        <v>801000</v>
      </c>
      <c r="G3306" s="564" t="s">
        <v>1424</v>
      </c>
      <c r="H3306" s="564" t="s">
        <v>1424</v>
      </c>
      <c r="I3306" s="564" t="s">
        <v>1586</v>
      </c>
      <c r="J3306" s="564" t="s">
        <v>1069</v>
      </c>
      <c r="K3306" s="564" t="s">
        <v>1090</v>
      </c>
      <c r="L3306" s="564" t="s">
        <v>1071</v>
      </c>
      <c r="M3306" s="564" t="s">
        <v>1183</v>
      </c>
      <c r="N3306" s="564" t="s">
        <v>1073</v>
      </c>
      <c r="O3306" s="564" t="s">
        <v>2099</v>
      </c>
      <c r="P3306" s="23"/>
      <c r="Q3306" s="23"/>
      <c r="R3306" s="23"/>
      <c r="S3306" s="23"/>
      <c r="T3306" s="23"/>
      <c r="U3306" s="23"/>
      <c r="V3306" s="23"/>
      <c r="W3306" s="23"/>
      <c r="X3306" s="23"/>
      <c r="Y3306" s="23"/>
      <c r="Z3306" s="23"/>
    </row>
    <row r="3307" spans="1:26" ht="13">
      <c r="A3307" s="562" t="s">
        <v>7563</v>
      </c>
      <c r="B3307" s="563" t="s">
        <v>7564</v>
      </c>
      <c r="C3307" s="564" t="s">
        <v>1612</v>
      </c>
      <c r="D3307" s="565">
        <v>42173</v>
      </c>
      <c r="E3307" s="565">
        <v>42156</v>
      </c>
      <c r="F3307" s="566">
        <v>1441800</v>
      </c>
      <c r="G3307" s="564" t="s">
        <v>1424</v>
      </c>
      <c r="H3307" s="564" t="s">
        <v>1424</v>
      </c>
      <c r="I3307" s="564" t="s">
        <v>146</v>
      </c>
      <c r="J3307" s="564" t="s">
        <v>1069</v>
      </c>
      <c r="K3307" s="564" t="s">
        <v>1070</v>
      </c>
      <c r="L3307" s="564" t="s">
        <v>1071</v>
      </c>
      <c r="M3307" s="564" t="s">
        <v>1183</v>
      </c>
      <c r="N3307" s="564" t="s">
        <v>1073</v>
      </c>
      <c r="O3307" s="564" t="s">
        <v>2099</v>
      </c>
      <c r="P3307" s="23"/>
      <c r="Q3307" s="23"/>
      <c r="R3307" s="23"/>
      <c r="S3307" s="23"/>
      <c r="T3307" s="23"/>
      <c r="U3307" s="23"/>
      <c r="V3307" s="23"/>
      <c r="W3307" s="23"/>
      <c r="X3307" s="23"/>
      <c r="Y3307" s="23"/>
      <c r="Z3307" s="23"/>
    </row>
    <row r="3308" spans="1:26" ht="13">
      <c r="A3308" s="562" t="s">
        <v>7565</v>
      </c>
      <c r="B3308" s="563" t="s">
        <v>7566</v>
      </c>
      <c r="C3308" s="564" t="s">
        <v>1612</v>
      </c>
      <c r="D3308" s="565">
        <v>42174</v>
      </c>
      <c r="E3308" s="565">
        <v>42210</v>
      </c>
      <c r="F3308" s="566">
        <v>31800000</v>
      </c>
      <c r="G3308" s="564" t="s">
        <v>1116</v>
      </c>
      <c r="H3308" s="564" t="s">
        <v>1116</v>
      </c>
      <c r="I3308" s="564" t="s">
        <v>45</v>
      </c>
      <c r="J3308" s="564" t="s">
        <v>1069</v>
      </c>
      <c r="K3308" s="564" t="s">
        <v>1090</v>
      </c>
      <c r="L3308" s="564" t="s">
        <v>2098</v>
      </c>
      <c r="M3308" s="564" t="s">
        <v>2098</v>
      </c>
      <c r="N3308" s="564" t="s">
        <v>45</v>
      </c>
      <c r="O3308" s="564" t="s">
        <v>2099</v>
      </c>
      <c r="P3308" s="23"/>
      <c r="Q3308" s="23"/>
      <c r="R3308" s="23"/>
      <c r="S3308" s="23"/>
      <c r="T3308" s="23"/>
      <c r="U3308" s="23"/>
      <c r="V3308" s="23"/>
      <c r="W3308" s="23"/>
      <c r="X3308" s="23"/>
      <c r="Y3308" s="23"/>
      <c r="Z3308" s="23"/>
    </row>
    <row r="3309" spans="1:26" ht="13">
      <c r="A3309" s="562" t="s">
        <v>7567</v>
      </c>
      <c r="B3309" s="563" t="s">
        <v>7568</v>
      </c>
      <c r="C3309" s="564" t="s">
        <v>1612</v>
      </c>
      <c r="D3309" s="565">
        <v>42172</v>
      </c>
      <c r="E3309" s="565">
        <v>42185</v>
      </c>
      <c r="F3309" s="566">
        <v>1374840</v>
      </c>
      <c r="G3309" s="564" t="s">
        <v>1424</v>
      </c>
      <c r="H3309" s="564" t="s">
        <v>1424</v>
      </c>
      <c r="I3309" s="564" t="s">
        <v>45</v>
      </c>
      <c r="J3309" s="564" t="s">
        <v>1069</v>
      </c>
      <c r="K3309" s="564" t="s">
        <v>1090</v>
      </c>
      <c r="L3309" s="564" t="s">
        <v>2098</v>
      </c>
      <c r="M3309" s="564" t="s">
        <v>2098</v>
      </c>
      <c r="N3309" s="564" t="s">
        <v>45</v>
      </c>
      <c r="O3309" s="564" t="s">
        <v>2099</v>
      </c>
      <c r="P3309" s="23"/>
      <c r="Q3309" s="23"/>
      <c r="R3309" s="23"/>
      <c r="S3309" s="23"/>
      <c r="T3309" s="23"/>
      <c r="U3309" s="23"/>
      <c r="V3309" s="23"/>
      <c r="W3309" s="23"/>
      <c r="X3309" s="23"/>
      <c r="Y3309" s="23"/>
      <c r="Z3309" s="23"/>
    </row>
    <row r="3310" spans="1:26" ht="13">
      <c r="A3310" s="562" t="s">
        <v>7569</v>
      </c>
      <c r="B3310" s="563" t="s">
        <v>7570</v>
      </c>
      <c r="C3310" s="564" t="s">
        <v>1612</v>
      </c>
      <c r="D3310" s="565">
        <v>42167</v>
      </c>
      <c r="E3310" s="565">
        <v>42156</v>
      </c>
      <c r="F3310" s="566">
        <v>10646160</v>
      </c>
      <c r="G3310" s="564" t="s">
        <v>1424</v>
      </c>
      <c r="H3310" s="564" t="s">
        <v>1424</v>
      </c>
      <c r="I3310" s="564" t="s">
        <v>45</v>
      </c>
      <c r="J3310" s="564" t="s">
        <v>1069</v>
      </c>
      <c r="K3310" s="564" t="s">
        <v>1090</v>
      </c>
      <c r="L3310" s="564" t="s">
        <v>1071</v>
      </c>
      <c r="M3310" s="564" t="s">
        <v>1183</v>
      </c>
      <c r="N3310" s="564" t="s">
        <v>45</v>
      </c>
      <c r="O3310" s="564" t="s">
        <v>2099</v>
      </c>
      <c r="P3310" s="23"/>
      <c r="Q3310" s="23"/>
      <c r="R3310" s="23"/>
      <c r="S3310" s="23"/>
      <c r="T3310" s="23"/>
      <c r="U3310" s="23"/>
      <c r="V3310" s="23"/>
      <c r="W3310" s="23"/>
      <c r="X3310" s="23"/>
      <c r="Y3310" s="23"/>
      <c r="Z3310" s="23"/>
    </row>
    <row r="3311" spans="1:26" ht="13">
      <c r="A3311" s="562" t="s">
        <v>7571</v>
      </c>
      <c r="B3311" s="563" t="s">
        <v>5765</v>
      </c>
      <c r="C3311" s="564" t="s">
        <v>1612</v>
      </c>
      <c r="D3311" s="565">
        <v>42170</v>
      </c>
      <c r="E3311" s="565">
        <v>42200</v>
      </c>
      <c r="F3311" s="566">
        <v>7982</v>
      </c>
      <c r="G3311" s="564" t="s">
        <v>1424</v>
      </c>
      <c r="H3311" s="564" t="s">
        <v>1424</v>
      </c>
      <c r="I3311" s="564" t="s">
        <v>70</v>
      </c>
      <c r="J3311" s="564" t="s">
        <v>1069</v>
      </c>
      <c r="K3311" s="564" t="s">
        <v>1120</v>
      </c>
      <c r="L3311" s="564" t="s">
        <v>2098</v>
      </c>
      <c r="M3311" s="564" t="s">
        <v>2098</v>
      </c>
      <c r="N3311" s="564" t="s">
        <v>70</v>
      </c>
      <c r="O3311" s="564" t="s">
        <v>2099</v>
      </c>
      <c r="P3311" s="23"/>
      <c r="Q3311" s="23"/>
      <c r="R3311" s="23"/>
      <c r="S3311" s="23"/>
      <c r="T3311" s="23"/>
      <c r="U3311" s="23"/>
      <c r="V3311" s="23"/>
      <c r="W3311" s="23"/>
      <c r="X3311" s="23"/>
      <c r="Y3311" s="23"/>
      <c r="Z3311" s="23"/>
    </row>
    <row r="3312" spans="1:26" ht="13">
      <c r="A3312" s="562" t="s">
        <v>7572</v>
      </c>
      <c r="B3312" s="563" t="s">
        <v>7573</v>
      </c>
      <c r="C3312" s="564" t="s">
        <v>1612</v>
      </c>
      <c r="D3312" s="565">
        <v>42125</v>
      </c>
      <c r="E3312" s="565">
        <v>42155</v>
      </c>
      <c r="F3312" s="566">
        <v>6702240</v>
      </c>
      <c r="G3312" s="564" t="s">
        <v>1424</v>
      </c>
      <c r="H3312" s="564" t="s">
        <v>1424</v>
      </c>
      <c r="I3312" s="564" t="s">
        <v>45</v>
      </c>
      <c r="J3312" s="564" t="s">
        <v>1069</v>
      </c>
      <c r="K3312" s="564" t="s">
        <v>1090</v>
      </c>
      <c r="L3312" s="564" t="s">
        <v>1071</v>
      </c>
      <c r="M3312" s="564" t="s">
        <v>1183</v>
      </c>
      <c r="N3312" s="564" t="s">
        <v>45</v>
      </c>
      <c r="O3312" s="564" t="s">
        <v>2099</v>
      </c>
      <c r="P3312" s="23"/>
      <c r="Q3312" s="23"/>
      <c r="R3312" s="23"/>
      <c r="S3312" s="23"/>
      <c r="T3312" s="23"/>
      <c r="U3312" s="23"/>
      <c r="V3312" s="23"/>
      <c r="W3312" s="23"/>
      <c r="X3312" s="23"/>
      <c r="Y3312" s="23"/>
      <c r="Z3312" s="23"/>
    </row>
    <row r="3313" spans="1:26" ht="13">
      <c r="A3313" s="562" t="s">
        <v>7574</v>
      </c>
      <c r="B3313" s="563" t="s">
        <v>7575</v>
      </c>
      <c r="C3313" s="564" t="s">
        <v>1612</v>
      </c>
      <c r="D3313" s="565">
        <v>42166</v>
      </c>
      <c r="E3313" s="565">
        <v>42195</v>
      </c>
      <c r="F3313" s="566">
        <v>2600</v>
      </c>
      <c r="G3313" s="564" t="s">
        <v>1424</v>
      </c>
      <c r="H3313" s="564" t="s">
        <v>1424</v>
      </c>
      <c r="I3313" s="564" t="s">
        <v>257</v>
      </c>
      <c r="J3313" s="564" t="s">
        <v>1069</v>
      </c>
      <c r="K3313" s="564" t="s">
        <v>1209</v>
      </c>
      <c r="L3313" s="564" t="s">
        <v>2098</v>
      </c>
      <c r="M3313" s="564" t="s">
        <v>2098</v>
      </c>
      <c r="N3313" s="564" t="s">
        <v>257</v>
      </c>
      <c r="O3313" s="564" t="s">
        <v>2099</v>
      </c>
      <c r="P3313" s="23"/>
      <c r="Q3313" s="23"/>
      <c r="R3313" s="23"/>
      <c r="S3313" s="23"/>
      <c r="T3313" s="23"/>
      <c r="U3313" s="23"/>
      <c r="V3313" s="23"/>
      <c r="W3313" s="23"/>
      <c r="X3313" s="23"/>
      <c r="Y3313" s="23"/>
      <c r="Z3313" s="23"/>
    </row>
    <row r="3314" spans="1:26" ht="13">
      <c r="A3314" s="562" t="s">
        <v>7576</v>
      </c>
      <c r="B3314" s="563" t="s">
        <v>7577</v>
      </c>
      <c r="C3314" s="564" t="s">
        <v>2191</v>
      </c>
      <c r="D3314" s="565">
        <v>42170</v>
      </c>
      <c r="E3314" s="565">
        <v>42255</v>
      </c>
      <c r="F3314" s="566">
        <v>435760818</v>
      </c>
      <c r="G3314" s="564" t="s">
        <v>6844</v>
      </c>
      <c r="H3314" s="564" t="s">
        <v>6844</v>
      </c>
      <c r="I3314" s="564" t="s">
        <v>7578</v>
      </c>
      <c r="J3314" s="564" t="s">
        <v>1069</v>
      </c>
      <c r="K3314" s="564" t="s">
        <v>1070</v>
      </c>
      <c r="L3314" s="564" t="s">
        <v>2098</v>
      </c>
      <c r="M3314" s="564" t="s">
        <v>2098</v>
      </c>
      <c r="N3314" s="564" t="s">
        <v>2439</v>
      </c>
      <c r="O3314" s="564" t="s">
        <v>2099</v>
      </c>
      <c r="P3314" s="23"/>
      <c r="Q3314" s="23"/>
      <c r="R3314" s="23"/>
      <c r="S3314" s="23"/>
      <c r="T3314" s="23"/>
      <c r="U3314" s="23"/>
      <c r="V3314" s="23"/>
      <c r="W3314" s="23"/>
      <c r="X3314" s="23"/>
      <c r="Y3314" s="23"/>
      <c r="Z3314" s="23"/>
    </row>
    <row r="3315" spans="1:26" ht="13">
      <c r="A3315" s="562" t="s">
        <v>7579</v>
      </c>
      <c r="B3315" s="563" t="s">
        <v>7580</v>
      </c>
      <c r="C3315" s="564" t="s">
        <v>1612</v>
      </c>
      <c r="D3315" s="565">
        <v>42163</v>
      </c>
      <c r="E3315" s="565">
        <v>42193</v>
      </c>
      <c r="F3315" s="566">
        <v>1050</v>
      </c>
      <c r="G3315" s="564" t="s">
        <v>1424</v>
      </c>
      <c r="H3315" s="564" t="s">
        <v>1424</v>
      </c>
      <c r="I3315" s="564" t="s">
        <v>1637</v>
      </c>
      <c r="J3315" s="564" t="s">
        <v>1069</v>
      </c>
      <c r="K3315" s="564" t="s">
        <v>1120</v>
      </c>
      <c r="L3315" s="564" t="s">
        <v>2098</v>
      </c>
      <c r="M3315" s="564" t="s">
        <v>2098</v>
      </c>
      <c r="N3315" s="564" t="s">
        <v>1073</v>
      </c>
      <c r="O3315" s="564" t="s">
        <v>2099</v>
      </c>
      <c r="P3315" s="23"/>
      <c r="Q3315" s="23"/>
      <c r="R3315" s="23"/>
      <c r="S3315" s="23"/>
      <c r="T3315" s="23"/>
      <c r="U3315" s="23"/>
      <c r="V3315" s="23"/>
      <c r="W3315" s="23"/>
      <c r="X3315" s="23"/>
      <c r="Y3315" s="23"/>
      <c r="Z3315" s="23"/>
    </row>
    <row r="3316" spans="1:26" ht="13">
      <c r="A3316" s="562" t="s">
        <v>7581</v>
      </c>
      <c r="B3316" s="563" t="s">
        <v>7467</v>
      </c>
      <c r="C3316" s="564" t="s">
        <v>1612</v>
      </c>
      <c r="D3316" s="565">
        <v>42164</v>
      </c>
      <c r="E3316" s="565">
        <v>42181</v>
      </c>
      <c r="F3316" s="566">
        <v>37866</v>
      </c>
      <c r="G3316" s="564" t="s">
        <v>337</v>
      </c>
      <c r="H3316" s="564" t="s">
        <v>337</v>
      </c>
      <c r="I3316" s="564" t="s">
        <v>1837</v>
      </c>
      <c r="J3316" s="564" t="s">
        <v>1069</v>
      </c>
      <c r="K3316" s="564" t="s">
        <v>1090</v>
      </c>
      <c r="L3316" s="564" t="s">
        <v>2098</v>
      </c>
      <c r="M3316" s="564" t="s">
        <v>2098</v>
      </c>
      <c r="N3316" s="564" t="s">
        <v>1082</v>
      </c>
      <c r="O3316" s="564" t="s">
        <v>2099</v>
      </c>
      <c r="P3316" s="23"/>
      <c r="Q3316" s="23"/>
      <c r="R3316" s="23"/>
      <c r="S3316" s="23"/>
      <c r="T3316" s="23"/>
      <c r="U3316" s="23"/>
      <c r="V3316" s="23"/>
      <c r="W3316" s="23"/>
      <c r="X3316" s="23"/>
      <c r="Y3316" s="23"/>
      <c r="Z3316" s="23"/>
    </row>
    <row r="3317" spans="1:26" ht="13">
      <c r="A3317" s="562" t="s">
        <v>7582</v>
      </c>
      <c r="B3317" s="563" t="s">
        <v>7583</v>
      </c>
      <c r="C3317" s="564" t="s">
        <v>1612</v>
      </c>
      <c r="D3317" s="565">
        <v>42164</v>
      </c>
      <c r="E3317" s="565">
        <v>42156</v>
      </c>
      <c r="F3317" s="566">
        <v>2883600</v>
      </c>
      <c r="G3317" s="564" t="s">
        <v>1424</v>
      </c>
      <c r="H3317" s="564" t="s">
        <v>1424</v>
      </c>
      <c r="I3317" s="564" t="s">
        <v>45</v>
      </c>
      <c r="J3317" s="564" t="s">
        <v>1069</v>
      </c>
      <c r="K3317" s="564" t="s">
        <v>1090</v>
      </c>
      <c r="L3317" s="564" t="s">
        <v>1071</v>
      </c>
      <c r="M3317" s="564" t="s">
        <v>1183</v>
      </c>
      <c r="N3317" s="564" t="s">
        <v>45</v>
      </c>
      <c r="O3317" s="564" t="s">
        <v>2099</v>
      </c>
      <c r="P3317" s="23"/>
      <c r="Q3317" s="23"/>
      <c r="R3317" s="23"/>
      <c r="S3317" s="23"/>
      <c r="T3317" s="23"/>
      <c r="U3317" s="23"/>
      <c r="V3317" s="23"/>
      <c r="W3317" s="23"/>
      <c r="X3317" s="23"/>
      <c r="Y3317" s="23"/>
      <c r="Z3317" s="23"/>
    </row>
    <row r="3318" spans="1:26" ht="13">
      <c r="A3318" s="562" t="s">
        <v>7584</v>
      </c>
      <c r="B3318" s="563" t="s">
        <v>7436</v>
      </c>
      <c r="C3318" s="564" t="s">
        <v>1612</v>
      </c>
      <c r="D3318" s="565">
        <v>42164</v>
      </c>
      <c r="E3318" s="565">
        <v>42193</v>
      </c>
      <c r="F3318" s="566">
        <v>1050</v>
      </c>
      <c r="G3318" s="564" t="s">
        <v>1424</v>
      </c>
      <c r="H3318" s="564" t="s">
        <v>1424</v>
      </c>
      <c r="I3318" s="564" t="s">
        <v>70</v>
      </c>
      <c r="J3318" s="564" t="s">
        <v>1069</v>
      </c>
      <c r="K3318" s="564" t="s">
        <v>1120</v>
      </c>
      <c r="L3318" s="564" t="s">
        <v>2098</v>
      </c>
      <c r="M3318" s="564" t="s">
        <v>2098</v>
      </c>
      <c r="N3318" s="564" t="s">
        <v>70</v>
      </c>
      <c r="O3318" s="564" t="s">
        <v>2099</v>
      </c>
      <c r="P3318" s="23"/>
      <c r="Q3318" s="23"/>
      <c r="R3318" s="23"/>
      <c r="S3318" s="23"/>
      <c r="T3318" s="23"/>
      <c r="U3318" s="23"/>
      <c r="V3318" s="23"/>
      <c r="W3318" s="23"/>
      <c r="X3318" s="23"/>
      <c r="Y3318" s="23"/>
      <c r="Z3318" s="23"/>
    </row>
    <row r="3319" spans="1:26" ht="13">
      <c r="A3319" s="562" t="s">
        <v>7585</v>
      </c>
      <c r="B3319" s="563" t="s">
        <v>7586</v>
      </c>
      <c r="C3319" s="564" t="s">
        <v>1612</v>
      </c>
      <c r="D3319" s="565">
        <v>42165</v>
      </c>
      <c r="E3319" s="565">
        <v>42184</v>
      </c>
      <c r="F3319" s="566">
        <v>3563362950</v>
      </c>
      <c r="G3319" s="564" t="s">
        <v>337</v>
      </c>
      <c r="H3319" s="564" t="s">
        <v>337</v>
      </c>
      <c r="I3319" s="564" t="s">
        <v>45</v>
      </c>
      <c r="J3319" s="564" t="s">
        <v>1069</v>
      </c>
      <c r="K3319" s="564" t="s">
        <v>1090</v>
      </c>
      <c r="L3319" s="564" t="s">
        <v>2098</v>
      </c>
      <c r="M3319" s="564" t="s">
        <v>2098</v>
      </c>
      <c r="N3319" s="564" t="s">
        <v>45</v>
      </c>
      <c r="O3319" s="564" t="s">
        <v>2099</v>
      </c>
      <c r="P3319" s="23"/>
      <c r="Q3319" s="23"/>
      <c r="R3319" s="23"/>
      <c r="S3319" s="23"/>
      <c r="T3319" s="23"/>
      <c r="U3319" s="23"/>
      <c r="V3319" s="23"/>
      <c r="W3319" s="23"/>
      <c r="X3319" s="23"/>
      <c r="Y3319" s="23"/>
      <c r="Z3319" s="23"/>
    </row>
    <row r="3320" spans="1:26" ht="13">
      <c r="A3320" s="562" t="s">
        <v>7587</v>
      </c>
      <c r="B3320" s="563" t="s">
        <v>5769</v>
      </c>
      <c r="C3320" s="564" t="s">
        <v>1612</v>
      </c>
      <c r="D3320" s="565">
        <v>42159</v>
      </c>
      <c r="E3320" s="565">
        <v>42188</v>
      </c>
      <c r="F3320" s="566">
        <v>1080000</v>
      </c>
      <c r="G3320" s="564" t="s">
        <v>1424</v>
      </c>
      <c r="H3320" s="564" t="s">
        <v>1424</v>
      </c>
      <c r="I3320" s="564" t="s">
        <v>1230</v>
      </c>
      <c r="J3320" s="564" t="s">
        <v>1069</v>
      </c>
      <c r="K3320" s="564" t="s">
        <v>1090</v>
      </c>
      <c r="L3320" s="564" t="s">
        <v>2098</v>
      </c>
      <c r="M3320" s="564" t="s">
        <v>2098</v>
      </c>
      <c r="N3320" s="564" t="s">
        <v>1073</v>
      </c>
      <c r="O3320" s="564" t="s">
        <v>2099</v>
      </c>
      <c r="P3320" s="23"/>
      <c r="Q3320" s="23"/>
      <c r="R3320" s="23"/>
      <c r="S3320" s="23"/>
      <c r="T3320" s="23"/>
      <c r="U3320" s="23"/>
      <c r="V3320" s="23"/>
      <c r="W3320" s="23"/>
      <c r="X3320" s="23"/>
      <c r="Y3320" s="23"/>
      <c r="Z3320" s="23"/>
    </row>
    <row r="3321" spans="1:26" ht="13">
      <c r="A3321" s="562" t="s">
        <v>7588</v>
      </c>
      <c r="B3321" s="563" t="s">
        <v>6527</v>
      </c>
      <c r="C3321" s="564" t="s">
        <v>1612</v>
      </c>
      <c r="D3321" s="565">
        <v>42159</v>
      </c>
      <c r="E3321" s="565">
        <v>42538</v>
      </c>
      <c r="F3321" s="566">
        <v>29129000</v>
      </c>
      <c r="G3321" s="564" t="s">
        <v>1128</v>
      </c>
      <c r="H3321" s="564" t="s">
        <v>1128</v>
      </c>
      <c r="I3321" s="564" t="s">
        <v>45</v>
      </c>
      <c r="J3321" s="564" t="s">
        <v>1069</v>
      </c>
      <c r="K3321" s="564" t="s">
        <v>1090</v>
      </c>
      <c r="L3321" s="564" t="s">
        <v>2098</v>
      </c>
      <c r="M3321" s="564" t="s">
        <v>2098</v>
      </c>
      <c r="N3321" s="564" t="s">
        <v>45</v>
      </c>
      <c r="O3321" s="564" t="s">
        <v>2099</v>
      </c>
      <c r="P3321" s="23"/>
      <c r="Q3321" s="23"/>
      <c r="R3321" s="23"/>
      <c r="S3321" s="23"/>
      <c r="T3321" s="23"/>
      <c r="U3321" s="23"/>
      <c r="V3321" s="23"/>
      <c r="W3321" s="23"/>
      <c r="X3321" s="23"/>
      <c r="Y3321" s="23"/>
      <c r="Z3321" s="23"/>
    </row>
    <row r="3322" spans="1:26" ht="13">
      <c r="A3322" s="562" t="s">
        <v>7589</v>
      </c>
      <c r="B3322" s="563" t="s">
        <v>7467</v>
      </c>
      <c r="C3322" s="564" t="s">
        <v>1612</v>
      </c>
      <c r="D3322" s="565">
        <v>42156</v>
      </c>
      <c r="E3322" s="565">
        <v>42181</v>
      </c>
      <c r="F3322" s="566">
        <v>17399</v>
      </c>
      <c r="G3322" s="564" t="s">
        <v>337</v>
      </c>
      <c r="H3322" s="564" t="s">
        <v>337</v>
      </c>
      <c r="I3322" s="564" t="s">
        <v>1837</v>
      </c>
      <c r="J3322" s="564" t="s">
        <v>1069</v>
      </c>
      <c r="K3322" s="564" t="s">
        <v>1090</v>
      </c>
      <c r="L3322" s="564" t="s">
        <v>2098</v>
      </c>
      <c r="M3322" s="564" t="s">
        <v>2098</v>
      </c>
      <c r="N3322" s="564" t="s">
        <v>1082</v>
      </c>
      <c r="O3322" s="564" t="s">
        <v>2099</v>
      </c>
      <c r="P3322" s="23"/>
      <c r="Q3322" s="23"/>
      <c r="R3322" s="23"/>
      <c r="S3322" s="23"/>
      <c r="T3322" s="23"/>
      <c r="U3322" s="23"/>
      <c r="V3322" s="23"/>
      <c r="W3322" s="23"/>
      <c r="X3322" s="23"/>
      <c r="Y3322" s="23"/>
      <c r="Z3322" s="23"/>
    </row>
    <row r="3323" spans="1:26" ht="13">
      <c r="A3323" s="562" t="s">
        <v>7590</v>
      </c>
      <c r="B3323" s="563" t="s">
        <v>7002</v>
      </c>
      <c r="C3323" s="564" t="s">
        <v>1612</v>
      </c>
      <c r="D3323" s="565">
        <v>42159</v>
      </c>
      <c r="E3323" s="565">
        <v>42186</v>
      </c>
      <c r="F3323" s="566">
        <v>2600</v>
      </c>
      <c r="G3323" s="564" t="s">
        <v>1424</v>
      </c>
      <c r="H3323" s="564" t="s">
        <v>1424</v>
      </c>
      <c r="I3323" s="564" t="s">
        <v>70</v>
      </c>
      <c r="J3323" s="564" t="s">
        <v>1069</v>
      </c>
      <c r="K3323" s="564" t="s">
        <v>1120</v>
      </c>
      <c r="L3323" s="564" t="s">
        <v>2098</v>
      </c>
      <c r="M3323" s="564" t="s">
        <v>2098</v>
      </c>
      <c r="N3323" s="564" t="s">
        <v>70</v>
      </c>
      <c r="O3323" s="564" t="s">
        <v>2099</v>
      </c>
      <c r="P3323" s="23"/>
      <c r="Q3323" s="23"/>
      <c r="R3323" s="23"/>
      <c r="S3323" s="23"/>
      <c r="T3323" s="23"/>
      <c r="U3323" s="23"/>
      <c r="V3323" s="23"/>
      <c r="W3323" s="23"/>
      <c r="X3323" s="23"/>
      <c r="Y3323" s="23"/>
      <c r="Z3323" s="23"/>
    </row>
    <row r="3324" spans="1:26" ht="13">
      <c r="A3324" s="562" t="s">
        <v>7591</v>
      </c>
      <c r="B3324" s="563" t="s">
        <v>5856</v>
      </c>
      <c r="C3324" s="564" t="s">
        <v>1612</v>
      </c>
      <c r="D3324" s="565">
        <v>42158</v>
      </c>
      <c r="E3324" s="565">
        <v>42185</v>
      </c>
      <c r="F3324" s="566">
        <v>19318000</v>
      </c>
      <c r="G3324" s="564" t="s">
        <v>5465</v>
      </c>
      <c r="H3324" s="564" t="s">
        <v>5465</v>
      </c>
      <c r="I3324" s="564" t="s">
        <v>45</v>
      </c>
      <c r="J3324" s="564" t="s">
        <v>1069</v>
      </c>
      <c r="K3324" s="564" t="s">
        <v>1090</v>
      </c>
      <c r="L3324" s="564" t="s">
        <v>2098</v>
      </c>
      <c r="M3324" s="564" t="s">
        <v>2098</v>
      </c>
      <c r="N3324" s="564" t="s">
        <v>45</v>
      </c>
      <c r="O3324" s="564" t="s">
        <v>2099</v>
      </c>
      <c r="P3324" s="23"/>
      <c r="Q3324" s="23"/>
      <c r="R3324" s="23"/>
      <c r="S3324" s="23"/>
      <c r="T3324" s="23"/>
      <c r="U3324" s="23"/>
      <c r="V3324" s="23"/>
      <c r="W3324" s="23"/>
      <c r="X3324" s="23"/>
      <c r="Y3324" s="23"/>
      <c r="Z3324" s="23"/>
    </row>
    <row r="3325" spans="1:26" ht="13">
      <c r="A3325" s="562" t="s">
        <v>7592</v>
      </c>
      <c r="B3325" s="563" t="s">
        <v>7580</v>
      </c>
      <c r="C3325" s="564" t="s">
        <v>1612</v>
      </c>
      <c r="D3325" s="565">
        <v>42152</v>
      </c>
      <c r="E3325" s="565">
        <v>42181</v>
      </c>
      <c r="F3325" s="566">
        <v>1050</v>
      </c>
      <c r="G3325" s="564" t="s">
        <v>1424</v>
      </c>
      <c r="H3325" s="564" t="s">
        <v>1424</v>
      </c>
      <c r="I3325" s="564" t="s">
        <v>1637</v>
      </c>
      <c r="J3325" s="564" t="s">
        <v>1069</v>
      </c>
      <c r="K3325" s="564" t="s">
        <v>1120</v>
      </c>
      <c r="L3325" s="564" t="s">
        <v>2098</v>
      </c>
      <c r="M3325" s="564" t="s">
        <v>2098</v>
      </c>
      <c r="N3325" s="564" t="s">
        <v>1073</v>
      </c>
      <c r="O3325" s="564" t="s">
        <v>2099</v>
      </c>
      <c r="P3325" s="23"/>
      <c r="Q3325" s="23"/>
      <c r="R3325" s="23"/>
      <c r="S3325" s="23"/>
      <c r="T3325" s="23"/>
      <c r="U3325" s="23"/>
      <c r="V3325" s="23"/>
      <c r="W3325" s="23"/>
      <c r="X3325" s="23"/>
      <c r="Y3325" s="23"/>
      <c r="Z3325" s="23"/>
    </row>
    <row r="3326" spans="1:26" ht="13">
      <c r="A3326" s="562" t="s">
        <v>7593</v>
      </c>
      <c r="B3326" s="563" t="s">
        <v>7594</v>
      </c>
      <c r="C3326" s="564" t="s">
        <v>1612</v>
      </c>
      <c r="D3326" s="565">
        <v>42152</v>
      </c>
      <c r="E3326" s="565">
        <v>42181</v>
      </c>
      <c r="F3326" s="566">
        <v>2589</v>
      </c>
      <c r="G3326" s="564" t="s">
        <v>1424</v>
      </c>
      <c r="H3326" s="564" t="s">
        <v>1424</v>
      </c>
      <c r="I3326" s="564" t="s">
        <v>70</v>
      </c>
      <c r="J3326" s="564" t="s">
        <v>1069</v>
      </c>
      <c r="K3326" s="564" t="s">
        <v>1120</v>
      </c>
      <c r="L3326" s="564" t="s">
        <v>2098</v>
      </c>
      <c r="M3326" s="564" t="s">
        <v>2098</v>
      </c>
      <c r="N3326" s="564" t="s">
        <v>70</v>
      </c>
      <c r="O3326" s="564" t="s">
        <v>2099</v>
      </c>
      <c r="P3326" s="23"/>
      <c r="Q3326" s="23"/>
      <c r="R3326" s="23"/>
      <c r="S3326" s="23"/>
      <c r="T3326" s="23"/>
      <c r="U3326" s="23"/>
      <c r="V3326" s="23"/>
      <c r="W3326" s="23"/>
      <c r="X3326" s="23"/>
      <c r="Y3326" s="23"/>
      <c r="Z3326" s="23"/>
    </row>
    <row r="3327" spans="1:26" ht="13">
      <c r="A3327" s="562" t="s">
        <v>7595</v>
      </c>
      <c r="B3327" s="563" t="s">
        <v>7596</v>
      </c>
      <c r="C3327" s="564" t="s">
        <v>1612</v>
      </c>
      <c r="D3327" s="565">
        <v>42151</v>
      </c>
      <c r="E3327" s="565">
        <v>42181</v>
      </c>
      <c r="F3327" s="566">
        <v>6904</v>
      </c>
      <c r="G3327" s="564" t="s">
        <v>1424</v>
      </c>
      <c r="H3327" s="564" t="s">
        <v>1424</v>
      </c>
      <c r="I3327" s="564" t="s">
        <v>70</v>
      </c>
      <c r="J3327" s="564" t="s">
        <v>1069</v>
      </c>
      <c r="K3327" s="564" t="s">
        <v>1120</v>
      </c>
      <c r="L3327" s="564" t="s">
        <v>2098</v>
      </c>
      <c r="M3327" s="564" t="s">
        <v>2098</v>
      </c>
      <c r="N3327" s="564" t="s">
        <v>70</v>
      </c>
      <c r="O3327" s="564" t="s">
        <v>2099</v>
      </c>
      <c r="P3327" s="23"/>
      <c r="Q3327" s="23"/>
      <c r="R3327" s="23"/>
      <c r="S3327" s="23"/>
      <c r="T3327" s="23"/>
      <c r="U3327" s="23"/>
      <c r="V3327" s="23"/>
      <c r="W3327" s="23"/>
      <c r="X3327" s="23"/>
      <c r="Y3327" s="23"/>
      <c r="Z3327" s="23"/>
    </row>
    <row r="3328" spans="1:26" ht="13">
      <c r="A3328" s="562" t="s">
        <v>7597</v>
      </c>
      <c r="B3328" s="563" t="s">
        <v>7598</v>
      </c>
      <c r="C3328" s="564" t="s">
        <v>1612</v>
      </c>
      <c r="D3328" s="565">
        <v>42145</v>
      </c>
      <c r="E3328" s="565">
        <v>42174</v>
      </c>
      <c r="F3328" s="566">
        <v>2570</v>
      </c>
      <c r="G3328" s="564" t="s">
        <v>1424</v>
      </c>
      <c r="H3328" s="564" t="s">
        <v>1424</v>
      </c>
      <c r="I3328" s="564" t="s">
        <v>45</v>
      </c>
      <c r="J3328" s="564" t="s">
        <v>1069</v>
      </c>
      <c r="K3328" s="564" t="s">
        <v>1090</v>
      </c>
      <c r="L3328" s="564" t="s">
        <v>2098</v>
      </c>
      <c r="M3328" s="564" t="s">
        <v>2098</v>
      </c>
      <c r="N3328" s="564" t="s">
        <v>45</v>
      </c>
      <c r="O3328" s="564" t="s">
        <v>2099</v>
      </c>
      <c r="P3328" s="23"/>
      <c r="Q3328" s="23"/>
      <c r="R3328" s="23"/>
      <c r="S3328" s="23"/>
      <c r="T3328" s="23"/>
      <c r="U3328" s="23"/>
      <c r="V3328" s="23"/>
      <c r="W3328" s="23"/>
      <c r="X3328" s="23"/>
      <c r="Y3328" s="23"/>
      <c r="Z3328" s="23"/>
    </row>
    <row r="3329" spans="1:26" ht="13">
      <c r="A3329" s="562" t="s">
        <v>7599</v>
      </c>
      <c r="B3329" s="563" t="s">
        <v>7600</v>
      </c>
      <c r="C3329" s="564" t="s">
        <v>2191</v>
      </c>
      <c r="D3329" s="565">
        <v>42146</v>
      </c>
      <c r="E3329" s="565">
        <v>42152</v>
      </c>
      <c r="F3329" s="566">
        <v>22000000</v>
      </c>
      <c r="G3329" s="564" t="s">
        <v>7208</v>
      </c>
      <c r="H3329" s="564" t="s">
        <v>7208</v>
      </c>
      <c r="I3329" s="564" t="s">
        <v>7209</v>
      </c>
      <c r="J3329" s="564" t="s">
        <v>1069</v>
      </c>
      <c r="K3329" s="564" t="s">
        <v>1070</v>
      </c>
      <c r="L3329" s="564" t="s">
        <v>2098</v>
      </c>
      <c r="M3329" s="564" t="s">
        <v>2098</v>
      </c>
      <c r="N3329" s="564" t="s">
        <v>1082</v>
      </c>
      <c r="O3329" s="564" t="s">
        <v>2099</v>
      </c>
      <c r="P3329" s="23"/>
      <c r="Q3329" s="23"/>
      <c r="R3329" s="23"/>
      <c r="S3329" s="23"/>
      <c r="T3329" s="23"/>
      <c r="U3329" s="23"/>
      <c r="V3329" s="23"/>
      <c r="W3329" s="23"/>
      <c r="X3329" s="23"/>
      <c r="Y3329" s="23"/>
      <c r="Z3329" s="23"/>
    </row>
    <row r="3330" spans="1:26" ht="13">
      <c r="A3330" s="562" t="s">
        <v>7601</v>
      </c>
      <c r="B3330" s="563" t="s">
        <v>7602</v>
      </c>
      <c r="C3330" s="564" t="s">
        <v>1612</v>
      </c>
      <c r="D3330" s="565">
        <v>42150</v>
      </c>
      <c r="E3330" s="565">
        <v>42175</v>
      </c>
      <c r="F3330" s="566">
        <v>6456200</v>
      </c>
      <c r="G3330" s="564" t="s">
        <v>1623</v>
      </c>
      <c r="H3330" s="564" t="s">
        <v>1623</v>
      </c>
      <c r="I3330" s="564" t="s">
        <v>802</v>
      </c>
      <c r="J3330" s="564" t="s">
        <v>1069</v>
      </c>
      <c r="K3330" s="564" t="s">
        <v>1198</v>
      </c>
      <c r="L3330" s="564" t="s">
        <v>2098</v>
      </c>
      <c r="M3330" s="564" t="s">
        <v>2098</v>
      </c>
      <c r="N3330" s="564" t="s">
        <v>132</v>
      </c>
      <c r="O3330" s="564" t="s">
        <v>2099</v>
      </c>
      <c r="P3330" s="23"/>
      <c r="Q3330" s="23"/>
      <c r="R3330" s="23"/>
      <c r="S3330" s="23"/>
      <c r="T3330" s="23"/>
      <c r="U3330" s="23"/>
      <c r="V3330" s="23"/>
      <c r="W3330" s="23"/>
      <c r="X3330" s="23"/>
      <c r="Y3330" s="23"/>
      <c r="Z3330" s="23"/>
    </row>
    <row r="3331" spans="1:26" ht="13">
      <c r="A3331" s="562" t="s">
        <v>7603</v>
      </c>
      <c r="B3331" s="563" t="s">
        <v>7604</v>
      </c>
      <c r="C3331" s="564" t="s">
        <v>1612</v>
      </c>
      <c r="D3331" s="565">
        <v>42143</v>
      </c>
      <c r="E3331" s="565">
        <v>42173</v>
      </c>
      <c r="F3331" s="566">
        <v>2130</v>
      </c>
      <c r="G3331" s="564" t="s">
        <v>1424</v>
      </c>
      <c r="H3331" s="564" t="s">
        <v>1424</v>
      </c>
      <c r="I3331" s="564" t="s">
        <v>64</v>
      </c>
      <c r="J3331" s="564" t="s">
        <v>1069</v>
      </c>
      <c r="K3331" s="564" t="s">
        <v>1090</v>
      </c>
      <c r="L3331" s="564" t="s">
        <v>2098</v>
      </c>
      <c r="M3331" s="564" t="s">
        <v>2098</v>
      </c>
      <c r="N3331" s="564" t="s">
        <v>64</v>
      </c>
      <c r="O3331" s="564" t="s">
        <v>2099</v>
      </c>
      <c r="P3331" s="23"/>
      <c r="Q3331" s="23"/>
      <c r="R3331" s="23"/>
      <c r="S3331" s="23"/>
      <c r="T3331" s="23"/>
      <c r="U3331" s="23"/>
      <c r="V3331" s="23"/>
      <c r="W3331" s="23"/>
      <c r="X3331" s="23"/>
      <c r="Y3331" s="23"/>
      <c r="Z3331" s="23"/>
    </row>
    <row r="3332" spans="1:26" ht="13">
      <c r="A3332" s="562" t="s">
        <v>7605</v>
      </c>
      <c r="B3332" s="563" t="s">
        <v>7606</v>
      </c>
      <c r="C3332" s="564" t="s">
        <v>1612</v>
      </c>
      <c r="D3332" s="565">
        <v>42144</v>
      </c>
      <c r="E3332" s="565">
        <v>42174</v>
      </c>
      <c r="F3332" s="567">
        <v>500</v>
      </c>
      <c r="G3332" s="564" t="s">
        <v>1424</v>
      </c>
      <c r="H3332" s="564" t="s">
        <v>1424</v>
      </c>
      <c r="I3332" s="564" t="s">
        <v>121</v>
      </c>
      <c r="J3332" s="564" t="s">
        <v>1069</v>
      </c>
      <c r="K3332" s="564" t="s">
        <v>1105</v>
      </c>
      <c r="L3332" s="564" t="s">
        <v>2098</v>
      </c>
      <c r="M3332" s="564" t="s">
        <v>2098</v>
      </c>
      <c r="N3332" s="564" t="s">
        <v>1073</v>
      </c>
      <c r="O3332" s="564" t="s">
        <v>2099</v>
      </c>
      <c r="P3332" s="23"/>
      <c r="Q3332" s="23"/>
      <c r="R3332" s="23"/>
      <c r="S3332" s="23"/>
      <c r="T3332" s="23"/>
      <c r="U3332" s="23"/>
      <c r="V3332" s="23"/>
      <c r="W3332" s="23"/>
      <c r="X3332" s="23"/>
      <c r="Y3332" s="23"/>
      <c r="Z3332" s="23"/>
    </row>
    <row r="3333" spans="1:26" ht="13">
      <c r="A3333" s="562" t="s">
        <v>7607</v>
      </c>
      <c r="B3333" s="563" t="s">
        <v>7608</v>
      </c>
      <c r="C3333" s="564" t="s">
        <v>1612</v>
      </c>
      <c r="D3333" s="565">
        <v>42138</v>
      </c>
      <c r="E3333" s="565">
        <v>42167</v>
      </c>
      <c r="F3333" s="566">
        <v>480000</v>
      </c>
      <c r="G3333" s="564" t="s">
        <v>1424</v>
      </c>
      <c r="H3333" s="564" t="s">
        <v>1424</v>
      </c>
      <c r="I3333" s="564" t="s">
        <v>1247</v>
      </c>
      <c r="J3333" s="564" t="s">
        <v>1069</v>
      </c>
      <c r="K3333" s="564" t="s">
        <v>1070</v>
      </c>
      <c r="L3333" s="564" t="s">
        <v>2098</v>
      </c>
      <c r="M3333" s="564" t="s">
        <v>2098</v>
      </c>
      <c r="N3333" s="564" t="s">
        <v>1073</v>
      </c>
      <c r="O3333" s="564" t="s">
        <v>2099</v>
      </c>
      <c r="P3333" s="23"/>
      <c r="Q3333" s="23"/>
      <c r="R3333" s="23"/>
      <c r="S3333" s="23"/>
      <c r="T3333" s="23"/>
      <c r="U3333" s="23"/>
      <c r="V3333" s="23"/>
      <c r="W3333" s="23"/>
      <c r="X3333" s="23"/>
      <c r="Y3333" s="23"/>
      <c r="Z3333" s="23"/>
    </row>
    <row r="3334" spans="1:26" ht="13">
      <c r="A3334" s="562" t="s">
        <v>7609</v>
      </c>
      <c r="B3334" s="563" t="s">
        <v>7610</v>
      </c>
      <c r="C3334" s="564" t="s">
        <v>1612</v>
      </c>
      <c r="D3334" s="565">
        <v>42138</v>
      </c>
      <c r="E3334" s="565">
        <v>42125</v>
      </c>
      <c r="F3334" s="566">
        <v>67354920</v>
      </c>
      <c r="G3334" s="564" t="s">
        <v>1424</v>
      </c>
      <c r="H3334" s="564" t="s">
        <v>1424</v>
      </c>
      <c r="I3334" s="564" t="s">
        <v>45</v>
      </c>
      <c r="J3334" s="564" t="s">
        <v>1069</v>
      </c>
      <c r="K3334" s="564" t="s">
        <v>1090</v>
      </c>
      <c r="L3334" s="564" t="s">
        <v>1071</v>
      </c>
      <c r="M3334" s="564" t="s">
        <v>1183</v>
      </c>
      <c r="N3334" s="564" t="s">
        <v>45</v>
      </c>
      <c r="O3334" s="564" t="s">
        <v>2099</v>
      </c>
      <c r="P3334" s="23"/>
      <c r="Q3334" s="23"/>
      <c r="R3334" s="23"/>
      <c r="S3334" s="23"/>
      <c r="T3334" s="23"/>
      <c r="U3334" s="23"/>
      <c r="V3334" s="23"/>
      <c r="W3334" s="23"/>
      <c r="X3334" s="23"/>
      <c r="Y3334" s="23"/>
      <c r="Z3334" s="23"/>
    </row>
    <row r="3335" spans="1:26" ht="13">
      <c r="A3335" s="562" t="s">
        <v>7611</v>
      </c>
      <c r="B3335" s="563" t="s">
        <v>7612</v>
      </c>
      <c r="C3335" s="564" t="s">
        <v>1612</v>
      </c>
      <c r="D3335" s="565">
        <v>42138</v>
      </c>
      <c r="E3335" s="565">
        <v>42167</v>
      </c>
      <c r="F3335" s="566">
        <v>9867</v>
      </c>
      <c r="G3335" s="564" t="s">
        <v>1424</v>
      </c>
      <c r="H3335" s="564" t="s">
        <v>1424</v>
      </c>
      <c r="I3335" s="564" t="s">
        <v>70</v>
      </c>
      <c r="J3335" s="564" t="s">
        <v>1069</v>
      </c>
      <c r="K3335" s="564" t="s">
        <v>1120</v>
      </c>
      <c r="L3335" s="564" t="s">
        <v>2098</v>
      </c>
      <c r="M3335" s="564" t="s">
        <v>2098</v>
      </c>
      <c r="N3335" s="564" t="s">
        <v>70</v>
      </c>
      <c r="O3335" s="564" t="s">
        <v>2099</v>
      </c>
      <c r="P3335" s="23"/>
      <c r="Q3335" s="23"/>
      <c r="R3335" s="23"/>
      <c r="S3335" s="23"/>
      <c r="T3335" s="23"/>
      <c r="U3335" s="23"/>
      <c r="V3335" s="23"/>
      <c r="W3335" s="23"/>
      <c r="X3335" s="23"/>
      <c r="Y3335" s="23"/>
      <c r="Z3335" s="23"/>
    </row>
    <row r="3336" spans="1:26" ht="13">
      <c r="A3336" s="562" t="s">
        <v>7613</v>
      </c>
      <c r="B3336" s="563" t="s">
        <v>5007</v>
      </c>
      <c r="C3336" s="564" t="s">
        <v>1612</v>
      </c>
      <c r="D3336" s="565">
        <v>42137</v>
      </c>
      <c r="E3336" s="565">
        <v>42153</v>
      </c>
      <c r="F3336" s="566">
        <v>16480000</v>
      </c>
      <c r="G3336" s="564" t="s">
        <v>5465</v>
      </c>
      <c r="H3336" s="564" t="s">
        <v>5465</v>
      </c>
      <c r="I3336" s="564" t="s">
        <v>45</v>
      </c>
      <c r="J3336" s="564" t="s">
        <v>1069</v>
      </c>
      <c r="K3336" s="564" t="s">
        <v>1090</v>
      </c>
      <c r="L3336" s="564" t="s">
        <v>2098</v>
      </c>
      <c r="M3336" s="564" t="s">
        <v>2098</v>
      </c>
      <c r="N3336" s="564" t="s">
        <v>45</v>
      </c>
      <c r="O3336" s="564" t="s">
        <v>2099</v>
      </c>
      <c r="P3336" s="23"/>
      <c r="Q3336" s="23"/>
      <c r="R3336" s="23"/>
      <c r="S3336" s="23"/>
      <c r="T3336" s="23"/>
      <c r="U3336" s="23"/>
      <c r="V3336" s="23"/>
      <c r="W3336" s="23"/>
      <c r="X3336" s="23"/>
      <c r="Y3336" s="23"/>
      <c r="Z3336" s="23"/>
    </row>
    <row r="3337" spans="1:26" ht="13">
      <c r="A3337" s="562" t="s">
        <v>7614</v>
      </c>
      <c r="B3337" s="563" t="s">
        <v>7615</v>
      </c>
      <c r="C3337" s="564" t="s">
        <v>1612</v>
      </c>
      <c r="D3337" s="565">
        <v>42136</v>
      </c>
      <c r="E3337" s="565">
        <v>42153</v>
      </c>
      <c r="F3337" s="566">
        <v>85795</v>
      </c>
      <c r="G3337" s="564" t="s">
        <v>297</v>
      </c>
      <c r="H3337" s="564" t="s">
        <v>297</v>
      </c>
      <c r="I3337" s="564" t="s">
        <v>7616</v>
      </c>
      <c r="J3337" s="564" t="s">
        <v>1069</v>
      </c>
      <c r="K3337" s="564" t="s">
        <v>1070</v>
      </c>
      <c r="L3337" s="564" t="s">
        <v>2098</v>
      </c>
      <c r="M3337" s="564" t="s">
        <v>2098</v>
      </c>
      <c r="N3337" s="564" t="s">
        <v>1082</v>
      </c>
      <c r="O3337" s="564" t="s">
        <v>2099</v>
      </c>
      <c r="P3337" s="23"/>
      <c r="Q3337" s="23"/>
      <c r="R3337" s="23"/>
      <c r="S3337" s="23"/>
      <c r="T3337" s="23"/>
      <c r="U3337" s="23"/>
      <c r="V3337" s="23"/>
      <c r="W3337" s="23"/>
      <c r="X3337" s="23"/>
      <c r="Y3337" s="23"/>
      <c r="Z3337" s="23"/>
    </row>
    <row r="3338" spans="1:26" ht="13">
      <c r="A3338" s="562" t="s">
        <v>7617</v>
      </c>
      <c r="B3338" s="563" t="s">
        <v>7618</v>
      </c>
      <c r="C3338" s="564" t="s">
        <v>1612</v>
      </c>
      <c r="D3338" s="565">
        <v>42132</v>
      </c>
      <c r="E3338" s="565">
        <v>42095</v>
      </c>
      <c r="F3338" s="566">
        <v>65646360</v>
      </c>
      <c r="G3338" s="564" t="s">
        <v>1424</v>
      </c>
      <c r="H3338" s="564" t="s">
        <v>1424</v>
      </c>
      <c r="I3338" s="564" t="s">
        <v>45</v>
      </c>
      <c r="J3338" s="564" t="s">
        <v>1069</v>
      </c>
      <c r="K3338" s="564" t="s">
        <v>1090</v>
      </c>
      <c r="L3338" s="564" t="s">
        <v>1071</v>
      </c>
      <c r="M3338" s="564" t="s">
        <v>1183</v>
      </c>
      <c r="N3338" s="564" t="s">
        <v>45</v>
      </c>
      <c r="O3338" s="564" t="s">
        <v>2099</v>
      </c>
      <c r="P3338" s="23"/>
      <c r="Q3338" s="23"/>
      <c r="R3338" s="23"/>
      <c r="S3338" s="23"/>
      <c r="T3338" s="23"/>
      <c r="U3338" s="23"/>
      <c r="V3338" s="23"/>
      <c r="W3338" s="23"/>
      <c r="X3338" s="23"/>
      <c r="Y3338" s="23"/>
      <c r="Z3338" s="23"/>
    </row>
    <row r="3339" spans="1:26" ht="13">
      <c r="A3339" s="562" t="s">
        <v>7619</v>
      </c>
      <c r="B3339" s="563" t="s">
        <v>7380</v>
      </c>
      <c r="C3339" s="564" t="s">
        <v>1612</v>
      </c>
      <c r="D3339" s="565">
        <v>42131</v>
      </c>
      <c r="E3339" s="565">
        <v>42163</v>
      </c>
      <c r="F3339" s="566">
        <v>1726</v>
      </c>
      <c r="G3339" s="564" t="s">
        <v>1424</v>
      </c>
      <c r="H3339" s="564" t="s">
        <v>1424</v>
      </c>
      <c r="I3339" s="564" t="s">
        <v>70</v>
      </c>
      <c r="J3339" s="564" t="s">
        <v>1069</v>
      </c>
      <c r="K3339" s="564" t="s">
        <v>1120</v>
      </c>
      <c r="L3339" s="564" t="s">
        <v>2098</v>
      </c>
      <c r="M3339" s="564" t="s">
        <v>2098</v>
      </c>
      <c r="N3339" s="564" t="s">
        <v>70</v>
      </c>
      <c r="O3339" s="564" t="s">
        <v>2099</v>
      </c>
      <c r="P3339" s="23"/>
      <c r="Q3339" s="23"/>
      <c r="R3339" s="23"/>
      <c r="S3339" s="23"/>
      <c r="T3339" s="23"/>
      <c r="U3339" s="23"/>
      <c r="V3339" s="23"/>
      <c r="W3339" s="23"/>
      <c r="X3339" s="23"/>
      <c r="Y3339" s="23"/>
      <c r="Z3339" s="23"/>
    </row>
    <row r="3340" spans="1:26" ht="13">
      <c r="A3340" s="562" t="s">
        <v>7620</v>
      </c>
      <c r="B3340" s="563" t="s">
        <v>7360</v>
      </c>
      <c r="C3340" s="564" t="s">
        <v>1612</v>
      </c>
      <c r="D3340" s="565">
        <v>42130</v>
      </c>
      <c r="E3340" s="565">
        <v>42160</v>
      </c>
      <c r="F3340" s="566">
        <v>3040</v>
      </c>
      <c r="G3340" s="564" t="s">
        <v>1424</v>
      </c>
      <c r="H3340" s="564" t="s">
        <v>1424</v>
      </c>
      <c r="I3340" s="564" t="s">
        <v>45</v>
      </c>
      <c r="J3340" s="564" t="s">
        <v>1069</v>
      </c>
      <c r="K3340" s="564" t="s">
        <v>1090</v>
      </c>
      <c r="L3340" s="564" t="s">
        <v>2098</v>
      </c>
      <c r="M3340" s="564" t="s">
        <v>2098</v>
      </c>
      <c r="N3340" s="564" t="s">
        <v>45</v>
      </c>
      <c r="O3340" s="564" t="s">
        <v>2099</v>
      </c>
      <c r="P3340" s="23"/>
      <c r="Q3340" s="23"/>
      <c r="R3340" s="23"/>
      <c r="S3340" s="23"/>
      <c r="T3340" s="23"/>
      <c r="U3340" s="23"/>
      <c r="V3340" s="23"/>
      <c r="W3340" s="23"/>
      <c r="X3340" s="23"/>
      <c r="Y3340" s="23"/>
      <c r="Z3340" s="23"/>
    </row>
    <row r="3341" spans="1:26" ht="13">
      <c r="A3341" s="562" t="s">
        <v>7621</v>
      </c>
      <c r="B3341" s="563" t="s">
        <v>7622</v>
      </c>
      <c r="C3341" s="564" t="s">
        <v>1612</v>
      </c>
      <c r="D3341" s="565">
        <v>42130</v>
      </c>
      <c r="E3341" s="565">
        <v>42160</v>
      </c>
      <c r="F3341" s="566">
        <v>441000</v>
      </c>
      <c r="G3341" s="564" t="s">
        <v>1424</v>
      </c>
      <c r="H3341" s="564" t="s">
        <v>1424</v>
      </c>
      <c r="I3341" s="564" t="s">
        <v>1586</v>
      </c>
      <c r="J3341" s="564" t="s">
        <v>1069</v>
      </c>
      <c r="K3341" s="564" t="s">
        <v>1090</v>
      </c>
      <c r="L3341" s="564" t="s">
        <v>2098</v>
      </c>
      <c r="M3341" s="564" t="s">
        <v>2098</v>
      </c>
      <c r="N3341" s="564" t="s">
        <v>1073</v>
      </c>
      <c r="O3341" s="564" t="s">
        <v>2099</v>
      </c>
      <c r="P3341" s="23"/>
      <c r="Q3341" s="23"/>
      <c r="R3341" s="23"/>
      <c r="S3341" s="23"/>
      <c r="T3341" s="23"/>
      <c r="U3341" s="23"/>
      <c r="V3341" s="23"/>
      <c r="W3341" s="23"/>
      <c r="X3341" s="23"/>
      <c r="Y3341" s="23"/>
      <c r="Z3341" s="23"/>
    </row>
    <row r="3342" spans="1:26" ht="13">
      <c r="A3342" s="562" t="s">
        <v>7623</v>
      </c>
      <c r="B3342" s="563" t="s">
        <v>5941</v>
      </c>
      <c r="C3342" s="564" t="s">
        <v>1612</v>
      </c>
      <c r="D3342" s="565">
        <v>42130</v>
      </c>
      <c r="E3342" s="565">
        <v>42153</v>
      </c>
      <c r="F3342" s="566">
        <v>387000000</v>
      </c>
      <c r="G3342" s="564" t="s">
        <v>5465</v>
      </c>
      <c r="H3342" s="564" t="s">
        <v>5465</v>
      </c>
      <c r="I3342" s="564" t="s">
        <v>45</v>
      </c>
      <c r="J3342" s="564" t="s">
        <v>1069</v>
      </c>
      <c r="K3342" s="564" t="s">
        <v>1090</v>
      </c>
      <c r="L3342" s="564" t="s">
        <v>2098</v>
      </c>
      <c r="M3342" s="564" t="s">
        <v>2098</v>
      </c>
      <c r="N3342" s="564" t="s">
        <v>45</v>
      </c>
      <c r="O3342" s="564" t="s">
        <v>2099</v>
      </c>
      <c r="P3342" s="23"/>
      <c r="Q3342" s="23"/>
      <c r="R3342" s="23"/>
      <c r="S3342" s="23"/>
      <c r="T3342" s="23"/>
      <c r="U3342" s="23"/>
      <c r="V3342" s="23"/>
      <c r="W3342" s="23"/>
      <c r="X3342" s="23"/>
      <c r="Y3342" s="23"/>
      <c r="Z3342" s="23"/>
    </row>
    <row r="3343" spans="1:26" ht="13">
      <c r="A3343" s="562" t="s">
        <v>7624</v>
      </c>
      <c r="B3343" s="563" t="s">
        <v>7625</v>
      </c>
      <c r="C3343" s="564" t="s">
        <v>1612</v>
      </c>
      <c r="D3343" s="565">
        <v>42122</v>
      </c>
      <c r="E3343" s="565">
        <v>42152</v>
      </c>
      <c r="F3343" s="566">
        <v>9493</v>
      </c>
      <c r="G3343" s="564" t="s">
        <v>1424</v>
      </c>
      <c r="H3343" s="564" t="s">
        <v>1424</v>
      </c>
      <c r="I3343" s="564" t="s">
        <v>70</v>
      </c>
      <c r="J3343" s="564" t="s">
        <v>1069</v>
      </c>
      <c r="K3343" s="564" t="s">
        <v>1120</v>
      </c>
      <c r="L3343" s="564" t="s">
        <v>2098</v>
      </c>
      <c r="M3343" s="564" t="s">
        <v>2098</v>
      </c>
      <c r="N3343" s="564" t="s">
        <v>70</v>
      </c>
      <c r="O3343" s="564" t="s">
        <v>2099</v>
      </c>
      <c r="P3343" s="23"/>
      <c r="Q3343" s="23"/>
      <c r="R3343" s="23"/>
      <c r="S3343" s="23"/>
      <c r="T3343" s="23"/>
      <c r="U3343" s="23"/>
      <c r="V3343" s="23"/>
      <c r="W3343" s="23"/>
      <c r="X3343" s="23"/>
      <c r="Y3343" s="23"/>
      <c r="Z3343" s="23"/>
    </row>
    <row r="3344" spans="1:26" ht="13">
      <c r="A3344" s="562" t="s">
        <v>7626</v>
      </c>
      <c r="B3344" s="563" t="s">
        <v>7627</v>
      </c>
      <c r="C3344" s="564" t="s">
        <v>1612</v>
      </c>
      <c r="D3344" s="565">
        <v>42122</v>
      </c>
      <c r="E3344" s="565">
        <v>42152</v>
      </c>
      <c r="F3344" s="566">
        <v>150700</v>
      </c>
      <c r="G3344" s="564" t="s">
        <v>1424</v>
      </c>
      <c r="H3344" s="564" t="s">
        <v>1424</v>
      </c>
      <c r="I3344" s="564" t="s">
        <v>1161</v>
      </c>
      <c r="J3344" s="564" t="s">
        <v>1069</v>
      </c>
      <c r="K3344" s="564" t="s">
        <v>1090</v>
      </c>
      <c r="L3344" s="564" t="s">
        <v>2098</v>
      </c>
      <c r="M3344" s="564" t="s">
        <v>2098</v>
      </c>
      <c r="N3344" s="564" t="s">
        <v>1073</v>
      </c>
      <c r="O3344" s="564" t="s">
        <v>2099</v>
      </c>
      <c r="P3344" s="23"/>
      <c r="Q3344" s="23"/>
      <c r="R3344" s="23"/>
      <c r="S3344" s="23"/>
      <c r="T3344" s="23"/>
      <c r="U3344" s="23"/>
      <c r="V3344" s="23"/>
      <c r="W3344" s="23"/>
      <c r="X3344" s="23"/>
      <c r="Y3344" s="23"/>
      <c r="Z3344" s="23"/>
    </row>
    <row r="3345" spans="1:26" ht="13">
      <c r="A3345" s="562" t="s">
        <v>7628</v>
      </c>
      <c r="B3345" s="563" t="s">
        <v>7071</v>
      </c>
      <c r="C3345" s="564" t="s">
        <v>1612</v>
      </c>
      <c r="D3345" s="565">
        <v>42122</v>
      </c>
      <c r="E3345" s="565">
        <v>42153</v>
      </c>
      <c r="F3345" s="566">
        <v>27000000</v>
      </c>
      <c r="G3345" s="564" t="s">
        <v>5465</v>
      </c>
      <c r="H3345" s="564" t="s">
        <v>5465</v>
      </c>
      <c r="I3345" s="564" t="s">
        <v>45</v>
      </c>
      <c r="J3345" s="564" t="s">
        <v>1069</v>
      </c>
      <c r="K3345" s="564" t="s">
        <v>1090</v>
      </c>
      <c r="L3345" s="564" t="s">
        <v>2098</v>
      </c>
      <c r="M3345" s="564" t="s">
        <v>2098</v>
      </c>
      <c r="N3345" s="564" t="s">
        <v>45</v>
      </c>
      <c r="O3345" s="564" t="s">
        <v>2099</v>
      </c>
      <c r="P3345" s="23"/>
      <c r="Q3345" s="23"/>
      <c r="R3345" s="23"/>
      <c r="S3345" s="23"/>
      <c r="T3345" s="23"/>
      <c r="U3345" s="23"/>
      <c r="V3345" s="23"/>
      <c r="W3345" s="23"/>
      <c r="X3345" s="23"/>
      <c r="Y3345" s="23"/>
      <c r="Z3345" s="23"/>
    </row>
    <row r="3346" spans="1:26" ht="13">
      <c r="A3346" s="562" t="s">
        <v>7629</v>
      </c>
      <c r="B3346" s="563" t="s">
        <v>6571</v>
      </c>
      <c r="C3346" s="564" t="s">
        <v>1612</v>
      </c>
      <c r="D3346" s="565">
        <v>42121</v>
      </c>
      <c r="E3346" s="565">
        <v>42153</v>
      </c>
      <c r="F3346" s="566">
        <v>1900000</v>
      </c>
      <c r="G3346" s="564" t="s">
        <v>5465</v>
      </c>
      <c r="H3346" s="564" t="s">
        <v>5465</v>
      </c>
      <c r="I3346" s="564" t="s">
        <v>45</v>
      </c>
      <c r="J3346" s="564" t="s">
        <v>1069</v>
      </c>
      <c r="K3346" s="564" t="s">
        <v>1090</v>
      </c>
      <c r="L3346" s="564" t="s">
        <v>2098</v>
      </c>
      <c r="M3346" s="564" t="s">
        <v>2098</v>
      </c>
      <c r="N3346" s="564" t="s">
        <v>45</v>
      </c>
      <c r="O3346" s="564" t="s">
        <v>2099</v>
      </c>
      <c r="P3346" s="23"/>
      <c r="Q3346" s="23"/>
      <c r="R3346" s="23"/>
      <c r="S3346" s="23"/>
      <c r="T3346" s="23"/>
      <c r="U3346" s="23"/>
      <c r="V3346" s="23"/>
      <c r="W3346" s="23"/>
      <c r="X3346" s="23"/>
      <c r="Y3346" s="23"/>
      <c r="Z3346" s="23"/>
    </row>
    <row r="3347" spans="1:26" ht="13">
      <c r="A3347" s="562" t="s">
        <v>7630</v>
      </c>
      <c r="B3347" s="563" t="s">
        <v>7467</v>
      </c>
      <c r="C3347" s="564" t="s">
        <v>1612</v>
      </c>
      <c r="D3347" s="565">
        <v>42118</v>
      </c>
      <c r="E3347" s="565">
        <v>42132</v>
      </c>
      <c r="F3347" s="566">
        <v>11879</v>
      </c>
      <c r="G3347" s="564" t="s">
        <v>337</v>
      </c>
      <c r="H3347" s="564" t="s">
        <v>337</v>
      </c>
      <c r="I3347" s="564" t="s">
        <v>1837</v>
      </c>
      <c r="J3347" s="564" t="s">
        <v>1069</v>
      </c>
      <c r="K3347" s="564" t="s">
        <v>1090</v>
      </c>
      <c r="L3347" s="564" t="s">
        <v>2098</v>
      </c>
      <c r="M3347" s="564" t="s">
        <v>2098</v>
      </c>
      <c r="N3347" s="564" t="s">
        <v>1082</v>
      </c>
      <c r="O3347" s="564" t="s">
        <v>2099</v>
      </c>
      <c r="P3347" s="23"/>
      <c r="Q3347" s="23"/>
      <c r="R3347" s="23"/>
      <c r="S3347" s="23"/>
      <c r="T3347" s="23"/>
      <c r="U3347" s="23"/>
      <c r="V3347" s="23"/>
      <c r="W3347" s="23"/>
      <c r="X3347" s="23"/>
      <c r="Y3347" s="23"/>
      <c r="Z3347" s="23"/>
    </row>
    <row r="3348" spans="1:26" ht="13">
      <c r="A3348" s="562" t="s">
        <v>7631</v>
      </c>
      <c r="B3348" s="563" t="s">
        <v>7632</v>
      </c>
      <c r="C3348" s="564" t="s">
        <v>1612</v>
      </c>
      <c r="D3348" s="565">
        <v>42117</v>
      </c>
      <c r="E3348" s="565">
        <v>42143</v>
      </c>
      <c r="F3348" s="566">
        <v>47565000</v>
      </c>
      <c r="G3348" s="564" t="s">
        <v>1623</v>
      </c>
      <c r="H3348" s="564" t="s">
        <v>1623</v>
      </c>
      <c r="I3348" s="564" t="s">
        <v>802</v>
      </c>
      <c r="J3348" s="564" t="s">
        <v>1069</v>
      </c>
      <c r="K3348" s="564" t="s">
        <v>1198</v>
      </c>
      <c r="L3348" s="564" t="s">
        <v>2098</v>
      </c>
      <c r="M3348" s="564" t="s">
        <v>2098</v>
      </c>
      <c r="N3348" s="564" t="s">
        <v>132</v>
      </c>
      <c r="O3348" s="564" t="s">
        <v>2099</v>
      </c>
      <c r="P3348" s="23"/>
      <c r="Q3348" s="23"/>
      <c r="R3348" s="23"/>
      <c r="S3348" s="23"/>
      <c r="T3348" s="23"/>
      <c r="U3348" s="23"/>
      <c r="V3348" s="23"/>
      <c r="W3348" s="23"/>
      <c r="X3348" s="23"/>
      <c r="Y3348" s="23"/>
      <c r="Z3348" s="23"/>
    </row>
    <row r="3349" spans="1:26" ht="13">
      <c r="A3349" s="562" t="s">
        <v>7633</v>
      </c>
      <c r="B3349" s="563" t="s">
        <v>7634</v>
      </c>
      <c r="C3349" s="564" t="s">
        <v>1612</v>
      </c>
      <c r="D3349" s="565">
        <v>42115</v>
      </c>
      <c r="E3349" s="565">
        <v>42132</v>
      </c>
      <c r="F3349" s="567">
        <v>990</v>
      </c>
      <c r="G3349" s="564" t="s">
        <v>1424</v>
      </c>
      <c r="H3349" s="564" t="s">
        <v>1424</v>
      </c>
      <c r="I3349" s="564" t="s">
        <v>45</v>
      </c>
      <c r="J3349" s="564" t="s">
        <v>1069</v>
      </c>
      <c r="K3349" s="564" t="s">
        <v>1090</v>
      </c>
      <c r="L3349" s="564" t="s">
        <v>2098</v>
      </c>
      <c r="M3349" s="564" t="s">
        <v>2098</v>
      </c>
      <c r="N3349" s="564" t="s">
        <v>45</v>
      </c>
      <c r="O3349" s="564" t="s">
        <v>2099</v>
      </c>
      <c r="P3349" s="23"/>
      <c r="Q3349" s="23"/>
      <c r="R3349" s="23"/>
      <c r="S3349" s="23"/>
      <c r="T3349" s="23"/>
      <c r="U3349" s="23"/>
      <c r="V3349" s="23"/>
      <c r="W3349" s="23"/>
      <c r="X3349" s="23"/>
      <c r="Y3349" s="23"/>
      <c r="Z3349" s="23"/>
    </row>
    <row r="3350" spans="1:26" ht="13">
      <c r="A3350" s="562" t="s">
        <v>7635</v>
      </c>
      <c r="B3350" s="563" t="s">
        <v>7636</v>
      </c>
      <c r="C3350" s="564" t="s">
        <v>1612</v>
      </c>
      <c r="D3350" s="565">
        <v>42115</v>
      </c>
      <c r="E3350" s="565">
        <v>42132</v>
      </c>
      <c r="F3350" s="567">
        <v>990</v>
      </c>
      <c r="G3350" s="564" t="s">
        <v>1424</v>
      </c>
      <c r="H3350" s="564" t="s">
        <v>1424</v>
      </c>
      <c r="I3350" s="564" t="s">
        <v>45</v>
      </c>
      <c r="J3350" s="564" t="s">
        <v>1069</v>
      </c>
      <c r="K3350" s="564" t="s">
        <v>1090</v>
      </c>
      <c r="L3350" s="564" t="s">
        <v>2098</v>
      </c>
      <c r="M3350" s="564" t="s">
        <v>2098</v>
      </c>
      <c r="N3350" s="564" t="s">
        <v>45</v>
      </c>
      <c r="O3350" s="564" t="s">
        <v>2099</v>
      </c>
      <c r="P3350" s="23"/>
      <c r="Q3350" s="23"/>
      <c r="R3350" s="23"/>
      <c r="S3350" s="23"/>
      <c r="T3350" s="23"/>
      <c r="U3350" s="23"/>
      <c r="V3350" s="23"/>
      <c r="W3350" s="23"/>
      <c r="X3350" s="23"/>
      <c r="Y3350" s="23"/>
      <c r="Z3350" s="23"/>
    </row>
    <row r="3351" spans="1:26" ht="13">
      <c r="A3351" s="562" t="s">
        <v>7637</v>
      </c>
      <c r="B3351" s="563" t="s">
        <v>7638</v>
      </c>
      <c r="C3351" s="564" t="s">
        <v>2191</v>
      </c>
      <c r="D3351" s="565">
        <v>42115</v>
      </c>
      <c r="E3351" s="565">
        <v>42122</v>
      </c>
      <c r="F3351" s="566">
        <v>20025000</v>
      </c>
      <c r="G3351" s="564" t="s">
        <v>7208</v>
      </c>
      <c r="H3351" s="564" t="s">
        <v>7208</v>
      </c>
      <c r="I3351" s="564" t="s">
        <v>7639</v>
      </c>
      <c r="J3351" s="564" t="s">
        <v>1069</v>
      </c>
      <c r="K3351" s="564" t="s">
        <v>1070</v>
      </c>
      <c r="L3351" s="564" t="s">
        <v>2098</v>
      </c>
      <c r="M3351" s="564" t="s">
        <v>2098</v>
      </c>
      <c r="N3351" s="564" t="s">
        <v>1082</v>
      </c>
      <c r="O3351" s="564" t="s">
        <v>2099</v>
      </c>
      <c r="P3351" s="23"/>
      <c r="Q3351" s="23"/>
      <c r="R3351" s="23"/>
      <c r="S3351" s="23"/>
      <c r="T3351" s="23"/>
      <c r="U3351" s="23"/>
      <c r="V3351" s="23"/>
      <c r="W3351" s="23"/>
      <c r="X3351" s="23"/>
      <c r="Y3351" s="23"/>
      <c r="Z3351" s="23"/>
    </row>
    <row r="3352" spans="1:26" ht="13">
      <c r="A3352" s="562" t="s">
        <v>7640</v>
      </c>
      <c r="B3352" s="563" t="s">
        <v>7641</v>
      </c>
      <c r="C3352" s="564" t="s">
        <v>1612</v>
      </c>
      <c r="D3352" s="565">
        <v>42107</v>
      </c>
      <c r="E3352" s="565">
        <v>42124</v>
      </c>
      <c r="F3352" s="566">
        <v>198531</v>
      </c>
      <c r="G3352" s="564" t="s">
        <v>7208</v>
      </c>
      <c r="H3352" s="564" t="s">
        <v>7208</v>
      </c>
      <c r="I3352" s="564" t="s">
        <v>45</v>
      </c>
      <c r="J3352" s="564" t="s">
        <v>1069</v>
      </c>
      <c r="K3352" s="564" t="s">
        <v>1090</v>
      </c>
      <c r="L3352" s="564" t="s">
        <v>2098</v>
      </c>
      <c r="M3352" s="564" t="s">
        <v>2098</v>
      </c>
      <c r="N3352" s="564" t="s">
        <v>45</v>
      </c>
      <c r="O3352" s="564" t="s">
        <v>2099</v>
      </c>
      <c r="P3352" s="23"/>
      <c r="Q3352" s="23"/>
      <c r="R3352" s="23"/>
      <c r="S3352" s="23"/>
      <c r="T3352" s="23"/>
      <c r="U3352" s="23"/>
      <c r="V3352" s="23"/>
      <c r="W3352" s="23"/>
      <c r="X3352" s="23"/>
      <c r="Y3352" s="23"/>
      <c r="Z3352" s="23"/>
    </row>
    <row r="3353" spans="1:26" ht="13">
      <c r="A3353" s="562" t="s">
        <v>7642</v>
      </c>
      <c r="B3353" s="563" t="s">
        <v>7467</v>
      </c>
      <c r="C3353" s="564" t="s">
        <v>1612</v>
      </c>
      <c r="D3353" s="565">
        <v>42114</v>
      </c>
      <c r="E3353" s="565">
        <v>42132</v>
      </c>
      <c r="F3353" s="566">
        <v>21630</v>
      </c>
      <c r="G3353" s="564" t="s">
        <v>337</v>
      </c>
      <c r="H3353" s="564" t="s">
        <v>337</v>
      </c>
      <c r="I3353" s="564" t="s">
        <v>1837</v>
      </c>
      <c r="J3353" s="564" t="s">
        <v>1069</v>
      </c>
      <c r="K3353" s="564" t="s">
        <v>1090</v>
      </c>
      <c r="L3353" s="564" t="s">
        <v>2098</v>
      </c>
      <c r="M3353" s="564" t="s">
        <v>2098</v>
      </c>
      <c r="N3353" s="564" t="s">
        <v>1082</v>
      </c>
      <c r="O3353" s="564" t="s">
        <v>2099</v>
      </c>
      <c r="P3353" s="23"/>
      <c r="Q3353" s="23"/>
      <c r="R3353" s="23"/>
      <c r="S3353" s="23"/>
      <c r="T3353" s="23"/>
      <c r="U3353" s="23"/>
      <c r="V3353" s="23"/>
      <c r="W3353" s="23"/>
      <c r="X3353" s="23"/>
      <c r="Y3353" s="23"/>
      <c r="Z3353" s="23"/>
    </row>
    <row r="3354" spans="1:26" ht="13">
      <c r="A3354" s="562" t="s">
        <v>7643</v>
      </c>
      <c r="B3354" s="563" t="s">
        <v>7171</v>
      </c>
      <c r="C3354" s="564" t="s">
        <v>1612</v>
      </c>
      <c r="D3354" s="565">
        <v>42111</v>
      </c>
      <c r="E3354" s="565">
        <v>42139</v>
      </c>
      <c r="F3354" s="566">
        <v>3639</v>
      </c>
      <c r="G3354" s="564" t="s">
        <v>1424</v>
      </c>
      <c r="H3354" s="564" t="s">
        <v>1424</v>
      </c>
      <c r="I3354" s="564" t="s">
        <v>70</v>
      </c>
      <c r="J3354" s="564" t="s">
        <v>1069</v>
      </c>
      <c r="K3354" s="564" t="s">
        <v>1120</v>
      </c>
      <c r="L3354" s="564" t="s">
        <v>2098</v>
      </c>
      <c r="M3354" s="564" t="s">
        <v>2098</v>
      </c>
      <c r="N3354" s="564" t="s">
        <v>70</v>
      </c>
      <c r="O3354" s="564" t="s">
        <v>2099</v>
      </c>
      <c r="P3354" s="23"/>
      <c r="Q3354" s="23"/>
      <c r="R3354" s="23"/>
      <c r="S3354" s="23"/>
      <c r="T3354" s="23"/>
      <c r="U3354" s="23"/>
      <c r="V3354" s="23"/>
      <c r="W3354" s="23"/>
      <c r="X3354" s="23"/>
      <c r="Y3354" s="23"/>
      <c r="Z3354" s="23"/>
    </row>
    <row r="3355" spans="1:26" ht="13">
      <c r="A3355" s="562" t="s">
        <v>7644</v>
      </c>
      <c r="B3355" s="563" t="s">
        <v>7645</v>
      </c>
      <c r="C3355" s="564" t="s">
        <v>1612</v>
      </c>
      <c r="D3355" s="565">
        <v>42116</v>
      </c>
      <c r="E3355" s="565">
        <v>42144</v>
      </c>
      <c r="F3355" s="566">
        <v>22009090</v>
      </c>
      <c r="G3355" s="564" t="s">
        <v>1623</v>
      </c>
      <c r="H3355" s="564" t="s">
        <v>1623</v>
      </c>
      <c r="I3355" s="564" t="s">
        <v>802</v>
      </c>
      <c r="J3355" s="564" t="s">
        <v>1069</v>
      </c>
      <c r="K3355" s="564" t="s">
        <v>1198</v>
      </c>
      <c r="L3355" s="564" t="s">
        <v>2098</v>
      </c>
      <c r="M3355" s="564" t="s">
        <v>2098</v>
      </c>
      <c r="N3355" s="564" t="s">
        <v>132</v>
      </c>
      <c r="O3355" s="564" t="s">
        <v>2099</v>
      </c>
      <c r="P3355" s="23"/>
      <c r="Q3355" s="23"/>
      <c r="R3355" s="23"/>
      <c r="S3355" s="23"/>
      <c r="T3355" s="23"/>
      <c r="U3355" s="23"/>
      <c r="V3355" s="23"/>
      <c r="W3355" s="23"/>
      <c r="X3355" s="23"/>
      <c r="Y3355" s="23"/>
      <c r="Z3355" s="23"/>
    </row>
    <row r="3356" spans="1:26" ht="13">
      <c r="A3356" s="562" t="s">
        <v>7646</v>
      </c>
      <c r="B3356" s="563" t="s">
        <v>7647</v>
      </c>
      <c r="C3356" s="564" t="s">
        <v>1612</v>
      </c>
      <c r="D3356" s="565">
        <v>42114</v>
      </c>
      <c r="E3356" s="565">
        <v>42136</v>
      </c>
      <c r="F3356" s="566">
        <v>877000</v>
      </c>
      <c r="G3356" s="564" t="s">
        <v>1128</v>
      </c>
      <c r="H3356" s="564" t="s">
        <v>1128</v>
      </c>
      <c r="I3356" s="564" t="s">
        <v>7648</v>
      </c>
      <c r="J3356" s="564" t="s">
        <v>1069</v>
      </c>
      <c r="K3356" s="564" t="s">
        <v>1070</v>
      </c>
      <c r="L3356" s="564" t="s">
        <v>2098</v>
      </c>
      <c r="M3356" s="564" t="s">
        <v>2098</v>
      </c>
      <c r="N3356" s="564" t="s">
        <v>1073</v>
      </c>
      <c r="O3356" s="564" t="s">
        <v>2099</v>
      </c>
      <c r="P3356" s="23"/>
      <c r="Q3356" s="23"/>
      <c r="R3356" s="23"/>
      <c r="S3356" s="23"/>
      <c r="T3356" s="23"/>
      <c r="U3356" s="23"/>
      <c r="V3356" s="23"/>
      <c r="W3356" s="23"/>
      <c r="X3356" s="23"/>
      <c r="Y3356" s="23"/>
      <c r="Z3356" s="23"/>
    </row>
    <row r="3357" spans="1:26" ht="13">
      <c r="A3357" s="562" t="s">
        <v>7649</v>
      </c>
      <c r="B3357" s="563" t="s">
        <v>7650</v>
      </c>
      <c r="C3357" s="564" t="s">
        <v>1612</v>
      </c>
      <c r="D3357" s="565">
        <v>42110</v>
      </c>
      <c r="E3357" s="565">
        <v>42139</v>
      </c>
      <c r="F3357" s="566">
        <v>6041</v>
      </c>
      <c r="G3357" s="564" t="s">
        <v>1424</v>
      </c>
      <c r="H3357" s="564" t="s">
        <v>1424</v>
      </c>
      <c r="I3357" s="564" t="s">
        <v>70</v>
      </c>
      <c r="J3357" s="564" t="s">
        <v>1069</v>
      </c>
      <c r="K3357" s="564" t="s">
        <v>1120</v>
      </c>
      <c r="L3357" s="564" t="s">
        <v>2098</v>
      </c>
      <c r="M3357" s="564" t="s">
        <v>2098</v>
      </c>
      <c r="N3357" s="564" t="s">
        <v>70</v>
      </c>
      <c r="O3357" s="564" t="s">
        <v>2099</v>
      </c>
      <c r="P3357" s="23"/>
      <c r="Q3357" s="23"/>
      <c r="R3357" s="23"/>
      <c r="S3357" s="23"/>
      <c r="T3357" s="23"/>
      <c r="U3357" s="23"/>
      <c r="V3357" s="23"/>
      <c r="W3357" s="23"/>
      <c r="X3357" s="23"/>
      <c r="Y3357" s="23"/>
      <c r="Z3357" s="23"/>
    </row>
    <row r="3358" spans="1:26" ht="13">
      <c r="A3358" s="562" t="s">
        <v>7651</v>
      </c>
      <c r="B3358" s="563" t="s">
        <v>7467</v>
      </c>
      <c r="C3358" s="564" t="s">
        <v>1612</v>
      </c>
      <c r="D3358" s="565">
        <v>42108</v>
      </c>
      <c r="E3358" s="565">
        <v>42124</v>
      </c>
      <c r="F3358" s="566">
        <v>4402</v>
      </c>
      <c r="G3358" s="564" t="s">
        <v>337</v>
      </c>
      <c r="H3358" s="564" t="s">
        <v>337</v>
      </c>
      <c r="I3358" s="564" t="s">
        <v>1837</v>
      </c>
      <c r="J3358" s="564" t="s">
        <v>1069</v>
      </c>
      <c r="K3358" s="564" t="s">
        <v>1090</v>
      </c>
      <c r="L3358" s="564" t="s">
        <v>2098</v>
      </c>
      <c r="M3358" s="564" t="s">
        <v>2098</v>
      </c>
      <c r="N3358" s="564" t="s">
        <v>1082</v>
      </c>
      <c r="O3358" s="564" t="s">
        <v>2099</v>
      </c>
      <c r="P3358" s="23"/>
      <c r="Q3358" s="23"/>
      <c r="R3358" s="23"/>
      <c r="S3358" s="23"/>
      <c r="T3358" s="23"/>
      <c r="U3358" s="23"/>
      <c r="V3358" s="23"/>
      <c r="W3358" s="23"/>
      <c r="X3358" s="23"/>
      <c r="Y3358" s="23"/>
      <c r="Z3358" s="23"/>
    </row>
    <row r="3359" spans="1:26" ht="13">
      <c r="A3359" s="562" t="s">
        <v>7652</v>
      </c>
      <c r="B3359" s="563" t="s">
        <v>7190</v>
      </c>
      <c r="C3359" s="564" t="s">
        <v>1612</v>
      </c>
      <c r="D3359" s="565">
        <v>42109</v>
      </c>
      <c r="E3359" s="565">
        <v>42116</v>
      </c>
      <c r="F3359" s="566">
        <v>14960000</v>
      </c>
      <c r="G3359" s="564" t="s">
        <v>1128</v>
      </c>
      <c r="H3359" s="564" t="s">
        <v>1128</v>
      </c>
      <c r="I3359" s="564" t="s">
        <v>45</v>
      </c>
      <c r="J3359" s="564" t="s">
        <v>1069</v>
      </c>
      <c r="K3359" s="564" t="s">
        <v>1090</v>
      </c>
      <c r="L3359" s="564" t="s">
        <v>2098</v>
      </c>
      <c r="M3359" s="564" t="s">
        <v>2098</v>
      </c>
      <c r="N3359" s="564" t="s">
        <v>45</v>
      </c>
      <c r="O3359" s="564" t="s">
        <v>2099</v>
      </c>
      <c r="P3359" s="23"/>
      <c r="Q3359" s="23"/>
      <c r="R3359" s="23"/>
      <c r="S3359" s="23"/>
      <c r="T3359" s="23"/>
      <c r="U3359" s="23"/>
      <c r="V3359" s="23"/>
      <c r="W3359" s="23"/>
      <c r="X3359" s="23"/>
      <c r="Y3359" s="23"/>
      <c r="Z3359" s="23"/>
    </row>
    <row r="3360" spans="1:26" ht="13">
      <c r="A3360" s="562" t="s">
        <v>7653</v>
      </c>
      <c r="B3360" s="563" t="s">
        <v>7654</v>
      </c>
      <c r="C3360" s="564" t="s">
        <v>1612</v>
      </c>
      <c r="D3360" s="565">
        <v>42108</v>
      </c>
      <c r="E3360" s="565">
        <v>42117</v>
      </c>
      <c r="F3360" s="566">
        <v>10680000</v>
      </c>
      <c r="G3360" s="564" t="s">
        <v>1128</v>
      </c>
      <c r="H3360" s="564" t="s">
        <v>1128</v>
      </c>
      <c r="I3360" s="564" t="s">
        <v>257</v>
      </c>
      <c r="J3360" s="564" t="s">
        <v>1069</v>
      </c>
      <c r="K3360" s="564" t="s">
        <v>1209</v>
      </c>
      <c r="L3360" s="564" t="s">
        <v>2098</v>
      </c>
      <c r="M3360" s="564" t="s">
        <v>2098</v>
      </c>
      <c r="N3360" s="564" t="s">
        <v>257</v>
      </c>
      <c r="O3360" s="564" t="s">
        <v>2099</v>
      </c>
      <c r="P3360" s="23"/>
      <c r="Q3360" s="23"/>
      <c r="R3360" s="23"/>
      <c r="S3360" s="23"/>
      <c r="T3360" s="23"/>
      <c r="U3360" s="23"/>
      <c r="V3360" s="23"/>
      <c r="W3360" s="23"/>
      <c r="X3360" s="23"/>
      <c r="Y3360" s="23"/>
      <c r="Z3360" s="23"/>
    </row>
    <row r="3361" spans="1:26" ht="13">
      <c r="A3361" s="562" t="s">
        <v>7655</v>
      </c>
      <c r="B3361" s="563" t="s">
        <v>7656</v>
      </c>
      <c r="C3361" s="564" t="s">
        <v>1612</v>
      </c>
      <c r="D3361" s="565">
        <v>42107</v>
      </c>
      <c r="E3361" s="565">
        <v>42137</v>
      </c>
      <c r="F3361" s="566">
        <v>3452</v>
      </c>
      <c r="G3361" s="564" t="s">
        <v>1424</v>
      </c>
      <c r="H3361" s="564" t="s">
        <v>1424</v>
      </c>
      <c r="I3361" s="564" t="s">
        <v>70</v>
      </c>
      <c r="J3361" s="564" t="s">
        <v>1069</v>
      </c>
      <c r="K3361" s="564" t="s">
        <v>1120</v>
      </c>
      <c r="L3361" s="564" t="s">
        <v>2098</v>
      </c>
      <c r="M3361" s="564" t="s">
        <v>2098</v>
      </c>
      <c r="N3361" s="564" t="s">
        <v>70</v>
      </c>
      <c r="O3361" s="564" t="s">
        <v>2099</v>
      </c>
      <c r="P3361" s="23"/>
      <c r="Q3361" s="23"/>
      <c r="R3361" s="23"/>
      <c r="S3361" s="23"/>
      <c r="T3361" s="23"/>
      <c r="U3361" s="23"/>
      <c r="V3361" s="23"/>
      <c r="W3361" s="23"/>
      <c r="X3361" s="23"/>
      <c r="Y3361" s="23"/>
      <c r="Z3361" s="23"/>
    </row>
    <row r="3362" spans="1:26" ht="13">
      <c r="A3362" s="562" t="s">
        <v>7657</v>
      </c>
      <c r="B3362" s="563" t="s">
        <v>5969</v>
      </c>
      <c r="C3362" s="564" t="s">
        <v>1612</v>
      </c>
      <c r="D3362" s="565">
        <v>42107</v>
      </c>
      <c r="E3362" s="565">
        <v>42124</v>
      </c>
      <c r="F3362" s="566">
        <v>57461000</v>
      </c>
      <c r="G3362" s="564" t="s">
        <v>5465</v>
      </c>
      <c r="H3362" s="564" t="s">
        <v>5465</v>
      </c>
      <c r="I3362" s="564" t="s">
        <v>45</v>
      </c>
      <c r="J3362" s="564" t="s">
        <v>1069</v>
      </c>
      <c r="K3362" s="564" t="s">
        <v>1090</v>
      </c>
      <c r="L3362" s="564" t="s">
        <v>2098</v>
      </c>
      <c r="M3362" s="564" t="s">
        <v>2098</v>
      </c>
      <c r="N3362" s="564" t="s">
        <v>45</v>
      </c>
      <c r="O3362" s="564" t="s">
        <v>2099</v>
      </c>
      <c r="P3362" s="23"/>
      <c r="Q3362" s="23"/>
      <c r="R3362" s="23"/>
      <c r="S3362" s="23"/>
      <c r="T3362" s="23"/>
      <c r="U3362" s="23"/>
      <c r="V3362" s="23"/>
      <c r="W3362" s="23"/>
      <c r="X3362" s="23"/>
      <c r="Y3362" s="23"/>
      <c r="Z3362" s="23"/>
    </row>
    <row r="3363" spans="1:26" ht="13">
      <c r="A3363" s="562" t="s">
        <v>7658</v>
      </c>
      <c r="B3363" s="563" t="s">
        <v>7467</v>
      </c>
      <c r="C3363" s="564" t="s">
        <v>1612</v>
      </c>
      <c r="D3363" s="565">
        <v>42103</v>
      </c>
      <c r="E3363" s="565">
        <v>42118</v>
      </c>
      <c r="F3363" s="566">
        <v>6114</v>
      </c>
      <c r="G3363" s="564" t="s">
        <v>337</v>
      </c>
      <c r="H3363" s="564" t="s">
        <v>337</v>
      </c>
      <c r="I3363" s="564" t="s">
        <v>1837</v>
      </c>
      <c r="J3363" s="564" t="s">
        <v>1069</v>
      </c>
      <c r="K3363" s="564" t="s">
        <v>1090</v>
      </c>
      <c r="L3363" s="564" t="s">
        <v>2098</v>
      </c>
      <c r="M3363" s="564" t="s">
        <v>2098</v>
      </c>
      <c r="N3363" s="564" t="s">
        <v>1082</v>
      </c>
      <c r="O3363" s="564" t="s">
        <v>2099</v>
      </c>
      <c r="P3363" s="23"/>
      <c r="Q3363" s="23"/>
      <c r="R3363" s="23"/>
      <c r="S3363" s="23"/>
      <c r="T3363" s="23"/>
      <c r="U3363" s="23"/>
      <c r="V3363" s="23"/>
      <c r="W3363" s="23"/>
      <c r="X3363" s="23"/>
      <c r="Y3363" s="23"/>
      <c r="Z3363" s="23"/>
    </row>
    <row r="3364" spans="1:26" ht="13">
      <c r="A3364" s="562" t="s">
        <v>7659</v>
      </c>
      <c r="B3364" s="563" t="s">
        <v>7660</v>
      </c>
      <c r="C3364" s="564" t="s">
        <v>2191</v>
      </c>
      <c r="D3364" s="565">
        <v>42103</v>
      </c>
      <c r="E3364" s="565">
        <v>42124</v>
      </c>
      <c r="F3364" s="566">
        <v>22000</v>
      </c>
      <c r="G3364" s="564" t="s">
        <v>1529</v>
      </c>
      <c r="H3364" s="564" t="s">
        <v>1529</v>
      </c>
      <c r="I3364" s="564" t="s">
        <v>1771</v>
      </c>
      <c r="J3364" s="564" t="s">
        <v>1069</v>
      </c>
      <c r="K3364" s="564" t="s">
        <v>1070</v>
      </c>
      <c r="L3364" s="564" t="s">
        <v>2098</v>
      </c>
      <c r="M3364" s="564" t="s">
        <v>2098</v>
      </c>
      <c r="N3364" s="564" t="s">
        <v>1082</v>
      </c>
      <c r="O3364" s="564" t="s">
        <v>2099</v>
      </c>
      <c r="P3364" s="23"/>
      <c r="Q3364" s="23"/>
      <c r="R3364" s="23"/>
      <c r="S3364" s="23"/>
      <c r="T3364" s="23"/>
      <c r="U3364" s="23"/>
      <c r="V3364" s="23"/>
      <c r="W3364" s="23"/>
      <c r="X3364" s="23"/>
      <c r="Y3364" s="23"/>
      <c r="Z3364" s="23"/>
    </row>
    <row r="3365" spans="1:26" ht="13">
      <c r="A3365" s="562" t="s">
        <v>7661</v>
      </c>
      <c r="B3365" s="563" t="s">
        <v>7662</v>
      </c>
      <c r="C3365" s="564" t="s">
        <v>1612</v>
      </c>
      <c r="D3365" s="565">
        <v>42102</v>
      </c>
      <c r="E3365" s="565">
        <v>42095</v>
      </c>
      <c r="F3365" s="566">
        <v>6401520</v>
      </c>
      <c r="G3365" s="564" t="s">
        <v>1424</v>
      </c>
      <c r="H3365" s="564" t="s">
        <v>1424</v>
      </c>
      <c r="I3365" s="564" t="s">
        <v>146</v>
      </c>
      <c r="J3365" s="564" t="s">
        <v>1069</v>
      </c>
      <c r="K3365" s="564" t="s">
        <v>1070</v>
      </c>
      <c r="L3365" s="564" t="s">
        <v>1071</v>
      </c>
      <c r="M3365" s="564" t="s">
        <v>1183</v>
      </c>
      <c r="N3365" s="564" t="s">
        <v>1073</v>
      </c>
      <c r="O3365" s="564" t="s">
        <v>2099</v>
      </c>
      <c r="P3365" s="23"/>
      <c r="Q3365" s="23"/>
      <c r="R3365" s="23"/>
      <c r="S3365" s="23"/>
      <c r="T3365" s="23"/>
      <c r="U3365" s="23"/>
      <c r="V3365" s="23"/>
      <c r="W3365" s="23"/>
      <c r="X3365" s="23"/>
      <c r="Y3365" s="23"/>
      <c r="Z3365" s="23"/>
    </row>
    <row r="3366" spans="1:26" ht="13">
      <c r="A3366" s="562" t="s">
        <v>7663</v>
      </c>
      <c r="B3366" s="563" t="s">
        <v>7664</v>
      </c>
      <c r="C3366" s="564" t="s">
        <v>1612</v>
      </c>
      <c r="D3366" s="565">
        <v>42101</v>
      </c>
      <c r="E3366" s="565">
        <v>42124</v>
      </c>
      <c r="F3366" s="566">
        <v>1528800</v>
      </c>
      <c r="G3366" s="564" t="s">
        <v>337</v>
      </c>
      <c r="H3366" s="564" t="s">
        <v>337</v>
      </c>
      <c r="I3366" s="564" t="s">
        <v>1781</v>
      </c>
      <c r="J3366" s="564" t="s">
        <v>1069</v>
      </c>
      <c r="K3366" s="564" t="s">
        <v>1070</v>
      </c>
      <c r="L3366" s="564" t="s">
        <v>2098</v>
      </c>
      <c r="M3366" s="564" t="s">
        <v>2098</v>
      </c>
      <c r="N3366" s="564" t="s">
        <v>1073</v>
      </c>
      <c r="O3366" s="564" t="s">
        <v>2099</v>
      </c>
      <c r="P3366" s="23"/>
      <c r="Q3366" s="23"/>
      <c r="R3366" s="23"/>
      <c r="S3366" s="23"/>
      <c r="T3366" s="23"/>
      <c r="U3366" s="23"/>
      <c r="V3366" s="23"/>
      <c r="W3366" s="23"/>
      <c r="X3366" s="23"/>
      <c r="Y3366" s="23"/>
      <c r="Z3366" s="23"/>
    </row>
    <row r="3367" spans="1:26" ht="13">
      <c r="A3367" s="562" t="s">
        <v>7665</v>
      </c>
      <c r="B3367" s="563" t="s">
        <v>6841</v>
      </c>
      <c r="C3367" s="564" t="s">
        <v>1612</v>
      </c>
      <c r="D3367" s="565">
        <v>42102</v>
      </c>
      <c r="E3367" s="565">
        <v>42107</v>
      </c>
      <c r="F3367" s="566">
        <v>795000</v>
      </c>
      <c r="G3367" s="564" t="s">
        <v>1187</v>
      </c>
      <c r="H3367" s="564" t="s">
        <v>1187</v>
      </c>
      <c r="I3367" s="564" t="s">
        <v>70</v>
      </c>
      <c r="J3367" s="564" t="s">
        <v>1069</v>
      </c>
      <c r="K3367" s="564" t="s">
        <v>1120</v>
      </c>
      <c r="L3367" s="564" t="s">
        <v>2098</v>
      </c>
      <c r="M3367" s="564" t="s">
        <v>2098</v>
      </c>
      <c r="N3367" s="564" t="s">
        <v>70</v>
      </c>
      <c r="O3367" s="564" t="s">
        <v>2099</v>
      </c>
      <c r="P3367" s="23"/>
      <c r="Q3367" s="23"/>
      <c r="R3367" s="23"/>
      <c r="S3367" s="23"/>
      <c r="T3367" s="23"/>
      <c r="U3367" s="23"/>
      <c r="V3367" s="23"/>
      <c r="W3367" s="23"/>
      <c r="X3367" s="23"/>
      <c r="Y3367" s="23"/>
      <c r="Z3367" s="23"/>
    </row>
    <row r="3368" spans="1:26" ht="13">
      <c r="A3368" s="562" t="s">
        <v>7666</v>
      </c>
      <c r="B3368" s="563" t="s">
        <v>7667</v>
      </c>
      <c r="C3368" s="564" t="s">
        <v>1612</v>
      </c>
      <c r="D3368" s="565">
        <v>42102</v>
      </c>
      <c r="E3368" s="565">
        <v>42095</v>
      </c>
      <c r="F3368" s="566">
        <v>2745840</v>
      </c>
      <c r="G3368" s="564" t="s">
        <v>1424</v>
      </c>
      <c r="H3368" s="564" t="s">
        <v>1424</v>
      </c>
      <c r="I3368" s="564" t="s">
        <v>1586</v>
      </c>
      <c r="J3368" s="564" t="s">
        <v>1069</v>
      </c>
      <c r="K3368" s="564" t="s">
        <v>1090</v>
      </c>
      <c r="L3368" s="564" t="s">
        <v>1071</v>
      </c>
      <c r="M3368" s="564" t="s">
        <v>1183</v>
      </c>
      <c r="N3368" s="564" t="s">
        <v>1073</v>
      </c>
      <c r="O3368" s="564" t="s">
        <v>2099</v>
      </c>
      <c r="P3368" s="23"/>
      <c r="Q3368" s="23"/>
      <c r="R3368" s="23"/>
      <c r="S3368" s="23"/>
      <c r="T3368" s="23"/>
      <c r="U3368" s="23"/>
      <c r="V3368" s="23"/>
      <c r="W3368" s="23"/>
      <c r="X3368" s="23"/>
      <c r="Y3368" s="23"/>
      <c r="Z3368" s="23"/>
    </row>
    <row r="3369" spans="1:26" ht="13">
      <c r="A3369" s="562" t="s">
        <v>7668</v>
      </c>
      <c r="B3369" s="563" t="s">
        <v>7669</v>
      </c>
      <c r="C3369" s="564" t="s">
        <v>1612</v>
      </c>
      <c r="D3369" s="565">
        <v>42101</v>
      </c>
      <c r="E3369" s="565">
        <v>42133</v>
      </c>
      <c r="F3369" s="566">
        <v>62000000</v>
      </c>
      <c r="G3369" s="564" t="s">
        <v>1116</v>
      </c>
      <c r="H3369" s="564" t="s">
        <v>1116</v>
      </c>
      <c r="I3369" s="564" t="s">
        <v>45</v>
      </c>
      <c r="J3369" s="564" t="s">
        <v>1069</v>
      </c>
      <c r="K3369" s="564" t="s">
        <v>1090</v>
      </c>
      <c r="L3369" s="564" t="s">
        <v>2098</v>
      </c>
      <c r="M3369" s="564" t="s">
        <v>2098</v>
      </c>
      <c r="N3369" s="564" t="s">
        <v>45</v>
      </c>
      <c r="O3369" s="564" t="s">
        <v>2099</v>
      </c>
      <c r="P3369" s="23"/>
      <c r="Q3369" s="23"/>
      <c r="R3369" s="23"/>
      <c r="S3369" s="23"/>
      <c r="T3369" s="23"/>
      <c r="U3369" s="23"/>
      <c r="V3369" s="23"/>
      <c r="W3369" s="23"/>
      <c r="X3369" s="23"/>
      <c r="Y3369" s="23"/>
      <c r="Z3369" s="23"/>
    </row>
    <row r="3370" spans="1:26" ht="13">
      <c r="A3370" s="562" t="s">
        <v>7670</v>
      </c>
      <c r="B3370" s="563" t="s">
        <v>7671</v>
      </c>
      <c r="C3370" s="564" t="s">
        <v>1612</v>
      </c>
      <c r="D3370" s="565">
        <v>42102</v>
      </c>
      <c r="E3370" s="565">
        <v>42095</v>
      </c>
      <c r="F3370" s="566">
        <v>828170880</v>
      </c>
      <c r="G3370" s="564" t="s">
        <v>1424</v>
      </c>
      <c r="H3370" s="564" t="s">
        <v>1424</v>
      </c>
      <c r="I3370" s="564" t="s">
        <v>45</v>
      </c>
      <c r="J3370" s="564" t="s">
        <v>1069</v>
      </c>
      <c r="K3370" s="564" t="s">
        <v>1090</v>
      </c>
      <c r="L3370" s="564" t="s">
        <v>1071</v>
      </c>
      <c r="M3370" s="564" t="s">
        <v>1183</v>
      </c>
      <c r="N3370" s="564" t="s">
        <v>45</v>
      </c>
      <c r="O3370" s="564" t="s">
        <v>2099</v>
      </c>
      <c r="P3370" s="23"/>
      <c r="Q3370" s="23"/>
      <c r="R3370" s="23"/>
      <c r="S3370" s="23"/>
      <c r="T3370" s="23"/>
      <c r="U3370" s="23"/>
      <c r="V3370" s="23"/>
      <c r="W3370" s="23"/>
      <c r="X3370" s="23"/>
      <c r="Y3370" s="23"/>
      <c r="Z3370" s="23"/>
    </row>
    <row r="3371" spans="1:26" ht="13">
      <c r="A3371" s="562" t="s">
        <v>7672</v>
      </c>
      <c r="B3371" s="563" t="s">
        <v>7673</v>
      </c>
      <c r="C3371" s="564" t="s">
        <v>1612</v>
      </c>
      <c r="D3371" s="565">
        <v>42095</v>
      </c>
      <c r="E3371" s="565">
        <v>42125</v>
      </c>
      <c r="F3371" s="566">
        <v>5250</v>
      </c>
      <c r="G3371" s="564" t="s">
        <v>1424</v>
      </c>
      <c r="H3371" s="564" t="s">
        <v>1424</v>
      </c>
      <c r="I3371" s="564" t="s">
        <v>70</v>
      </c>
      <c r="J3371" s="564" t="s">
        <v>1069</v>
      </c>
      <c r="K3371" s="564" t="s">
        <v>1120</v>
      </c>
      <c r="L3371" s="564" t="s">
        <v>2098</v>
      </c>
      <c r="M3371" s="564" t="s">
        <v>2098</v>
      </c>
      <c r="N3371" s="564" t="s">
        <v>70</v>
      </c>
      <c r="O3371" s="564" t="s">
        <v>2099</v>
      </c>
      <c r="P3371" s="23"/>
      <c r="Q3371" s="23"/>
      <c r="R3371" s="23"/>
      <c r="S3371" s="23"/>
      <c r="T3371" s="23"/>
      <c r="U3371" s="23"/>
      <c r="V3371" s="23"/>
      <c r="W3371" s="23"/>
      <c r="X3371" s="23"/>
      <c r="Y3371" s="23"/>
      <c r="Z3371" s="23"/>
    </row>
    <row r="3372" spans="1:26" ht="13">
      <c r="A3372" s="562" t="s">
        <v>7674</v>
      </c>
      <c r="B3372" s="563" t="s">
        <v>7675</v>
      </c>
      <c r="C3372" s="564" t="s">
        <v>1612</v>
      </c>
      <c r="D3372" s="565">
        <v>42100</v>
      </c>
      <c r="E3372" s="565">
        <v>42095</v>
      </c>
      <c r="F3372" s="566">
        <v>9052800</v>
      </c>
      <c r="G3372" s="564" t="s">
        <v>1424</v>
      </c>
      <c r="H3372" s="564" t="s">
        <v>1424</v>
      </c>
      <c r="I3372" s="564" t="s">
        <v>45</v>
      </c>
      <c r="J3372" s="564" t="s">
        <v>1069</v>
      </c>
      <c r="K3372" s="564" t="s">
        <v>1090</v>
      </c>
      <c r="L3372" s="564" t="s">
        <v>1071</v>
      </c>
      <c r="M3372" s="564" t="s">
        <v>1183</v>
      </c>
      <c r="N3372" s="564" t="s">
        <v>45</v>
      </c>
      <c r="O3372" s="564" t="s">
        <v>2099</v>
      </c>
      <c r="P3372" s="23"/>
      <c r="Q3372" s="23"/>
      <c r="R3372" s="23"/>
      <c r="S3372" s="23"/>
      <c r="T3372" s="23"/>
      <c r="U3372" s="23"/>
      <c r="V3372" s="23"/>
      <c r="W3372" s="23"/>
      <c r="X3372" s="23"/>
      <c r="Y3372" s="23"/>
      <c r="Z3372" s="23"/>
    </row>
    <row r="3373" spans="1:26" ht="13">
      <c r="A3373" s="562" t="s">
        <v>7676</v>
      </c>
      <c r="B3373" s="563" t="s">
        <v>7677</v>
      </c>
      <c r="C3373" s="564" t="s">
        <v>1612</v>
      </c>
      <c r="D3373" s="565">
        <v>42100</v>
      </c>
      <c r="E3373" s="565">
        <v>42111</v>
      </c>
      <c r="F3373" s="566">
        <v>545000</v>
      </c>
      <c r="G3373" s="564" t="s">
        <v>7208</v>
      </c>
      <c r="H3373" s="564" t="s">
        <v>7208</v>
      </c>
      <c r="I3373" s="564" t="s">
        <v>45</v>
      </c>
      <c r="J3373" s="564" t="s">
        <v>1069</v>
      </c>
      <c r="K3373" s="564" t="s">
        <v>1090</v>
      </c>
      <c r="L3373" s="564" t="s">
        <v>2098</v>
      </c>
      <c r="M3373" s="564" t="s">
        <v>2098</v>
      </c>
      <c r="N3373" s="564" t="s">
        <v>45</v>
      </c>
      <c r="O3373" s="564" t="s">
        <v>2099</v>
      </c>
      <c r="P3373" s="23"/>
      <c r="Q3373" s="23"/>
      <c r="R3373" s="23"/>
      <c r="S3373" s="23"/>
      <c r="T3373" s="23"/>
      <c r="U3373" s="23"/>
      <c r="V3373" s="23"/>
      <c r="W3373" s="23"/>
      <c r="X3373" s="23"/>
      <c r="Y3373" s="23"/>
      <c r="Z3373" s="23"/>
    </row>
    <row r="3374" spans="1:26" ht="13">
      <c r="A3374" s="562" t="s">
        <v>7678</v>
      </c>
      <c r="B3374" s="563" t="s">
        <v>7360</v>
      </c>
      <c r="C3374" s="564" t="s">
        <v>1612</v>
      </c>
      <c r="D3374" s="565">
        <v>42096</v>
      </c>
      <c r="E3374" s="565">
        <v>42125</v>
      </c>
      <c r="F3374" s="566">
        <v>1520</v>
      </c>
      <c r="G3374" s="564" t="s">
        <v>1424</v>
      </c>
      <c r="H3374" s="564" t="s">
        <v>1424</v>
      </c>
      <c r="I3374" s="564" t="s">
        <v>45</v>
      </c>
      <c r="J3374" s="564" t="s">
        <v>1069</v>
      </c>
      <c r="K3374" s="564" t="s">
        <v>1090</v>
      </c>
      <c r="L3374" s="564" t="s">
        <v>2098</v>
      </c>
      <c r="M3374" s="564" t="s">
        <v>2098</v>
      </c>
      <c r="N3374" s="564" t="s">
        <v>45</v>
      </c>
      <c r="O3374" s="564" t="s">
        <v>2099</v>
      </c>
      <c r="P3374" s="23"/>
      <c r="Q3374" s="23"/>
      <c r="R3374" s="23"/>
      <c r="S3374" s="23"/>
      <c r="T3374" s="23"/>
      <c r="U3374" s="23"/>
      <c r="V3374" s="23"/>
      <c r="W3374" s="23"/>
      <c r="X3374" s="23"/>
      <c r="Y3374" s="23"/>
      <c r="Z3374" s="23"/>
    </row>
    <row r="3375" spans="1:26" ht="13">
      <c r="A3375" s="562" t="s">
        <v>7679</v>
      </c>
      <c r="B3375" s="563" t="s">
        <v>7680</v>
      </c>
      <c r="C3375" s="564" t="s">
        <v>1612</v>
      </c>
      <c r="D3375" s="565">
        <v>42096</v>
      </c>
      <c r="E3375" s="565">
        <v>42101</v>
      </c>
      <c r="F3375" s="566">
        <v>9169000</v>
      </c>
      <c r="G3375" s="564" t="s">
        <v>337</v>
      </c>
      <c r="H3375" s="564" t="s">
        <v>337</v>
      </c>
      <c r="I3375" s="564" t="s">
        <v>7648</v>
      </c>
      <c r="J3375" s="564" t="s">
        <v>1069</v>
      </c>
      <c r="K3375" s="564" t="s">
        <v>1070</v>
      </c>
      <c r="L3375" s="564" t="s">
        <v>2098</v>
      </c>
      <c r="M3375" s="564" t="s">
        <v>2098</v>
      </c>
      <c r="N3375" s="564" t="s">
        <v>1073</v>
      </c>
      <c r="O3375" s="564" t="s">
        <v>2099</v>
      </c>
      <c r="P3375" s="23"/>
      <c r="Q3375" s="23"/>
      <c r="R3375" s="23"/>
      <c r="S3375" s="23"/>
      <c r="T3375" s="23"/>
      <c r="U3375" s="23"/>
      <c r="V3375" s="23"/>
      <c r="W3375" s="23"/>
      <c r="X3375" s="23"/>
      <c r="Y3375" s="23"/>
      <c r="Z3375" s="23"/>
    </row>
    <row r="3376" spans="1:26" ht="13">
      <c r="A3376" s="562" t="s">
        <v>7681</v>
      </c>
      <c r="B3376" s="563" t="s">
        <v>7682</v>
      </c>
      <c r="C3376" s="564" t="s">
        <v>1612</v>
      </c>
      <c r="D3376" s="565">
        <v>42097</v>
      </c>
      <c r="E3376" s="565">
        <v>42124</v>
      </c>
      <c r="F3376" s="566">
        <v>1754800</v>
      </c>
      <c r="G3376" s="564" t="s">
        <v>1623</v>
      </c>
      <c r="H3376" s="564" t="s">
        <v>1623</v>
      </c>
      <c r="I3376" s="564" t="s">
        <v>802</v>
      </c>
      <c r="J3376" s="564" t="s">
        <v>1069</v>
      </c>
      <c r="K3376" s="564" t="s">
        <v>1198</v>
      </c>
      <c r="L3376" s="564" t="s">
        <v>2098</v>
      </c>
      <c r="M3376" s="564" t="s">
        <v>2098</v>
      </c>
      <c r="N3376" s="564" t="s">
        <v>132</v>
      </c>
      <c r="O3376" s="564" t="s">
        <v>2099</v>
      </c>
      <c r="P3376" s="23"/>
      <c r="Q3376" s="23"/>
      <c r="R3376" s="23"/>
      <c r="S3376" s="23"/>
      <c r="T3376" s="23"/>
      <c r="U3376" s="23"/>
      <c r="V3376" s="23"/>
      <c r="W3376" s="23"/>
      <c r="X3376" s="23"/>
      <c r="Y3376" s="23"/>
      <c r="Z3376" s="23"/>
    </row>
    <row r="3377" spans="1:26" ht="13">
      <c r="A3377" s="562" t="s">
        <v>7683</v>
      </c>
      <c r="B3377" s="563" t="s">
        <v>7467</v>
      </c>
      <c r="C3377" s="564" t="s">
        <v>1612</v>
      </c>
      <c r="D3377" s="565">
        <v>42096</v>
      </c>
      <c r="E3377" s="565">
        <v>42111</v>
      </c>
      <c r="F3377" s="566">
        <v>1776</v>
      </c>
      <c r="G3377" s="564" t="s">
        <v>337</v>
      </c>
      <c r="H3377" s="564" t="s">
        <v>337</v>
      </c>
      <c r="I3377" s="564" t="s">
        <v>1837</v>
      </c>
      <c r="J3377" s="564" t="s">
        <v>1069</v>
      </c>
      <c r="K3377" s="564" t="s">
        <v>1090</v>
      </c>
      <c r="L3377" s="564" t="s">
        <v>2098</v>
      </c>
      <c r="M3377" s="564" t="s">
        <v>2098</v>
      </c>
      <c r="N3377" s="564" t="s">
        <v>1082</v>
      </c>
      <c r="O3377" s="564" t="s">
        <v>2099</v>
      </c>
      <c r="P3377" s="23"/>
      <c r="Q3377" s="23"/>
      <c r="R3377" s="23"/>
      <c r="S3377" s="23"/>
      <c r="T3377" s="23"/>
      <c r="U3377" s="23"/>
      <c r="V3377" s="23"/>
      <c r="W3377" s="23"/>
      <c r="X3377" s="23"/>
      <c r="Y3377" s="23"/>
      <c r="Z3377" s="23"/>
    </row>
    <row r="3378" spans="1:26" ht="13">
      <c r="A3378" s="562" t="s">
        <v>7684</v>
      </c>
      <c r="B3378" s="563" t="s">
        <v>7560</v>
      </c>
      <c r="C3378" s="564" t="s">
        <v>1612</v>
      </c>
      <c r="D3378" s="565">
        <v>42095</v>
      </c>
      <c r="E3378" s="565">
        <v>42121</v>
      </c>
      <c r="F3378" s="566">
        <v>2100</v>
      </c>
      <c r="G3378" s="564" t="s">
        <v>1424</v>
      </c>
      <c r="H3378" s="564" t="s">
        <v>1424</v>
      </c>
      <c r="I3378" s="564" t="s">
        <v>70</v>
      </c>
      <c r="J3378" s="564" t="s">
        <v>1069</v>
      </c>
      <c r="K3378" s="564" t="s">
        <v>1120</v>
      </c>
      <c r="L3378" s="564" t="s">
        <v>2098</v>
      </c>
      <c r="M3378" s="564" t="s">
        <v>2098</v>
      </c>
      <c r="N3378" s="564" t="s">
        <v>70</v>
      </c>
      <c r="O3378" s="564" t="s">
        <v>2099</v>
      </c>
      <c r="P3378" s="23"/>
      <c r="Q3378" s="23"/>
      <c r="R3378" s="23"/>
      <c r="S3378" s="23"/>
      <c r="T3378" s="23"/>
      <c r="U3378" s="23"/>
      <c r="V3378" s="23"/>
      <c r="W3378" s="23"/>
      <c r="X3378" s="23"/>
      <c r="Y3378" s="23"/>
      <c r="Z3378" s="23"/>
    </row>
    <row r="3379" spans="1:26" ht="13">
      <c r="A3379" s="562" t="s">
        <v>7685</v>
      </c>
      <c r="B3379" s="563" t="s">
        <v>7467</v>
      </c>
      <c r="C3379" s="564" t="s">
        <v>1612</v>
      </c>
      <c r="D3379" s="565">
        <v>42094</v>
      </c>
      <c r="E3379" s="565">
        <v>42104</v>
      </c>
      <c r="F3379" s="566">
        <v>4215</v>
      </c>
      <c r="G3379" s="564" t="s">
        <v>337</v>
      </c>
      <c r="H3379" s="564" t="s">
        <v>337</v>
      </c>
      <c r="I3379" s="564" t="s">
        <v>1837</v>
      </c>
      <c r="J3379" s="564" t="s">
        <v>1069</v>
      </c>
      <c r="K3379" s="564" t="s">
        <v>1090</v>
      </c>
      <c r="L3379" s="564" t="s">
        <v>2098</v>
      </c>
      <c r="M3379" s="564" t="s">
        <v>2098</v>
      </c>
      <c r="N3379" s="564" t="s">
        <v>1082</v>
      </c>
      <c r="O3379" s="564" t="s">
        <v>2099</v>
      </c>
      <c r="P3379" s="23"/>
      <c r="Q3379" s="23"/>
      <c r="R3379" s="23"/>
      <c r="S3379" s="23"/>
      <c r="T3379" s="23"/>
      <c r="U3379" s="23"/>
      <c r="V3379" s="23"/>
      <c r="W3379" s="23"/>
      <c r="X3379" s="23"/>
      <c r="Y3379" s="23"/>
      <c r="Z3379" s="23"/>
    </row>
    <row r="3380" spans="1:26" ht="13">
      <c r="A3380" s="562" t="s">
        <v>7686</v>
      </c>
      <c r="B3380" s="563" t="s">
        <v>7467</v>
      </c>
      <c r="C3380" s="564" t="s">
        <v>1612</v>
      </c>
      <c r="D3380" s="565">
        <v>42090</v>
      </c>
      <c r="E3380" s="565">
        <v>42104</v>
      </c>
      <c r="F3380" s="566">
        <v>15598</v>
      </c>
      <c r="G3380" s="564" t="s">
        <v>337</v>
      </c>
      <c r="H3380" s="564" t="s">
        <v>337</v>
      </c>
      <c r="I3380" s="564" t="s">
        <v>1837</v>
      </c>
      <c r="J3380" s="564" t="s">
        <v>1069</v>
      </c>
      <c r="K3380" s="564" t="s">
        <v>1090</v>
      </c>
      <c r="L3380" s="564" t="s">
        <v>2098</v>
      </c>
      <c r="M3380" s="564" t="s">
        <v>2098</v>
      </c>
      <c r="N3380" s="564" t="s">
        <v>1082</v>
      </c>
      <c r="O3380" s="564" t="s">
        <v>2099</v>
      </c>
      <c r="P3380" s="23"/>
      <c r="Q3380" s="23"/>
      <c r="R3380" s="23"/>
      <c r="S3380" s="23"/>
      <c r="T3380" s="23"/>
      <c r="U3380" s="23"/>
      <c r="V3380" s="23"/>
      <c r="W3380" s="23"/>
      <c r="X3380" s="23"/>
      <c r="Y3380" s="23"/>
      <c r="Z3380" s="23"/>
    </row>
    <row r="3381" spans="1:26" ht="13">
      <c r="A3381" s="562" t="s">
        <v>7687</v>
      </c>
      <c r="B3381" s="563" t="s">
        <v>7462</v>
      </c>
      <c r="C3381" s="564" t="s">
        <v>1612</v>
      </c>
      <c r="D3381" s="565">
        <v>42090</v>
      </c>
      <c r="E3381" s="565">
        <v>42121</v>
      </c>
      <c r="F3381" s="567">
        <v>863</v>
      </c>
      <c r="G3381" s="564" t="s">
        <v>1424</v>
      </c>
      <c r="H3381" s="564" t="s">
        <v>1424</v>
      </c>
      <c r="I3381" s="564" t="s">
        <v>70</v>
      </c>
      <c r="J3381" s="564" t="s">
        <v>1069</v>
      </c>
      <c r="K3381" s="564" t="s">
        <v>1120</v>
      </c>
      <c r="L3381" s="564" t="s">
        <v>2098</v>
      </c>
      <c r="M3381" s="564" t="s">
        <v>2098</v>
      </c>
      <c r="N3381" s="564" t="s">
        <v>70</v>
      </c>
      <c r="O3381" s="564" t="s">
        <v>2099</v>
      </c>
      <c r="P3381" s="23"/>
      <c r="Q3381" s="23"/>
      <c r="R3381" s="23"/>
      <c r="S3381" s="23"/>
      <c r="T3381" s="23"/>
      <c r="U3381" s="23"/>
      <c r="V3381" s="23"/>
      <c r="W3381" s="23"/>
      <c r="X3381" s="23"/>
      <c r="Y3381" s="23"/>
      <c r="Z3381" s="23"/>
    </row>
    <row r="3382" spans="1:26" ht="13">
      <c r="A3382" s="562" t="s">
        <v>7688</v>
      </c>
      <c r="B3382" s="563" t="s">
        <v>5810</v>
      </c>
      <c r="C3382" s="564" t="s">
        <v>1612</v>
      </c>
      <c r="D3382" s="565">
        <v>42090</v>
      </c>
      <c r="E3382" s="565">
        <v>42111</v>
      </c>
      <c r="F3382" s="566">
        <v>2963</v>
      </c>
      <c r="G3382" s="564" t="s">
        <v>1424</v>
      </c>
      <c r="H3382" s="564" t="s">
        <v>1424</v>
      </c>
      <c r="I3382" s="564" t="s">
        <v>70</v>
      </c>
      <c r="J3382" s="564" t="s">
        <v>1069</v>
      </c>
      <c r="K3382" s="564" t="s">
        <v>1120</v>
      </c>
      <c r="L3382" s="564" t="s">
        <v>2098</v>
      </c>
      <c r="M3382" s="564" t="s">
        <v>2098</v>
      </c>
      <c r="N3382" s="564" t="s">
        <v>70</v>
      </c>
      <c r="O3382" s="564" t="s">
        <v>2099</v>
      </c>
      <c r="P3382" s="23"/>
      <c r="Q3382" s="23"/>
      <c r="R3382" s="23"/>
      <c r="S3382" s="23"/>
      <c r="T3382" s="23"/>
      <c r="U3382" s="23"/>
      <c r="V3382" s="23"/>
      <c r="W3382" s="23"/>
      <c r="X3382" s="23"/>
      <c r="Y3382" s="23"/>
      <c r="Z3382" s="23"/>
    </row>
    <row r="3383" spans="1:26" ht="13">
      <c r="A3383" s="562" t="s">
        <v>7689</v>
      </c>
      <c r="B3383" s="563" t="s">
        <v>7690</v>
      </c>
      <c r="C3383" s="564" t="s">
        <v>1612</v>
      </c>
      <c r="D3383" s="565">
        <v>42088</v>
      </c>
      <c r="E3383" s="565">
        <v>42094</v>
      </c>
      <c r="F3383" s="566">
        <v>18150</v>
      </c>
      <c r="G3383" s="564" t="s">
        <v>337</v>
      </c>
      <c r="H3383" s="564" t="s">
        <v>337</v>
      </c>
      <c r="I3383" s="564" t="s">
        <v>45</v>
      </c>
      <c r="J3383" s="564" t="s">
        <v>1069</v>
      </c>
      <c r="K3383" s="564" t="s">
        <v>1090</v>
      </c>
      <c r="L3383" s="564" t="s">
        <v>2098</v>
      </c>
      <c r="M3383" s="564" t="s">
        <v>2098</v>
      </c>
      <c r="N3383" s="564" t="s">
        <v>45</v>
      </c>
      <c r="O3383" s="564" t="s">
        <v>2099</v>
      </c>
      <c r="P3383" s="23"/>
      <c r="Q3383" s="23"/>
      <c r="R3383" s="23"/>
      <c r="S3383" s="23"/>
      <c r="T3383" s="23"/>
      <c r="U3383" s="23"/>
      <c r="V3383" s="23"/>
      <c r="W3383" s="23"/>
      <c r="X3383" s="23"/>
      <c r="Y3383" s="23"/>
      <c r="Z3383" s="23"/>
    </row>
    <row r="3384" spans="1:26" ht="13">
      <c r="A3384" s="562" t="s">
        <v>7691</v>
      </c>
      <c r="B3384" s="563" t="s">
        <v>7692</v>
      </c>
      <c r="C3384" s="564" t="s">
        <v>1612</v>
      </c>
      <c r="D3384" s="565">
        <v>42087</v>
      </c>
      <c r="E3384" s="565">
        <v>42090</v>
      </c>
      <c r="F3384" s="566">
        <v>15900000</v>
      </c>
      <c r="G3384" s="564" t="s">
        <v>1187</v>
      </c>
      <c r="H3384" s="564" t="s">
        <v>1187</v>
      </c>
      <c r="I3384" s="564" t="s">
        <v>70</v>
      </c>
      <c r="J3384" s="564" t="s">
        <v>1069</v>
      </c>
      <c r="K3384" s="564" t="s">
        <v>1120</v>
      </c>
      <c r="L3384" s="564" t="s">
        <v>2098</v>
      </c>
      <c r="M3384" s="564" t="s">
        <v>2098</v>
      </c>
      <c r="N3384" s="564" t="s">
        <v>70</v>
      </c>
      <c r="O3384" s="564" t="s">
        <v>2099</v>
      </c>
      <c r="P3384" s="23"/>
      <c r="Q3384" s="23"/>
      <c r="R3384" s="23"/>
      <c r="S3384" s="23"/>
      <c r="T3384" s="23"/>
      <c r="U3384" s="23"/>
      <c r="V3384" s="23"/>
      <c r="W3384" s="23"/>
      <c r="X3384" s="23"/>
      <c r="Y3384" s="23"/>
      <c r="Z3384" s="23"/>
    </row>
    <row r="3385" spans="1:26" ht="13">
      <c r="A3385" s="562" t="s">
        <v>7693</v>
      </c>
      <c r="B3385" s="563" t="s">
        <v>7694</v>
      </c>
      <c r="C3385" s="564" t="s">
        <v>1612</v>
      </c>
      <c r="D3385" s="565">
        <v>42087</v>
      </c>
      <c r="E3385" s="565">
        <v>42117</v>
      </c>
      <c r="F3385" s="566">
        <v>5350</v>
      </c>
      <c r="G3385" s="564" t="s">
        <v>1424</v>
      </c>
      <c r="H3385" s="564" t="s">
        <v>1424</v>
      </c>
      <c r="I3385" s="564" t="s">
        <v>64</v>
      </c>
      <c r="J3385" s="564" t="s">
        <v>1069</v>
      </c>
      <c r="K3385" s="564" t="s">
        <v>1090</v>
      </c>
      <c r="L3385" s="564" t="s">
        <v>2098</v>
      </c>
      <c r="M3385" s="564" t="s">
        <v>2098</v>
      </c>
      <c r="N3385" s="564" t="s">
        <v>64</v>
      </c>
      <c r="O3385" s="564" t="s">
        <v>2099</v>
      </c>
      <c r="P3385" s="23"/>
      <c r="Q3385" s="23"/>
      <c r="R3385" s="23"/>
      <c r="S3385" s="23"/>
      <c r="T3385" s="23"/>
      <c r="U3385" s="23"/>
      <c r="V3385" s="23"/>
      <c r="W3385" s="23"/>
      <c r="X3385" s="23"/>
      <c r="Y3385" s="23"/>
      <c r="Z3385" s="23"/>
    </row>
    <row r="3386" spans="1:26" ht="13">
      <c r="A3386" s="562" t="s">
        <v>7695</v>
      </c>
      <c r="B3386" s="563" t="s">
        <v>7467</v>
      </c>
      <c r="C3386" s="564" t="s">
        <v>1612</v>
      </c>
      <c r="D3386" s="565">
        <v>42086</v>
      </c>
      <c r="E3386" s="565">
        <v>42090</v>
      </c>
      <c r="F3386" s="566">
        <v>5901</v>
      </c>
      <c r="G3386" s="564" t="s">
        <v>337</v>
      </c>
      <c r="H3386" s="564" t="s">
        <v>337</v>
      </c>
      <c r="I3386" s="564" t="s">
        <v>1837</v>
      </c>
      <c r="J3386" s="564" t="s">
        <v>1069</v>
      </c>
      <c r="K3386" s="564" t="s">
        <v>1090</v>
      </c>
      <c r="L3386" s="564" t="s">
        <v>2098</v>
      </c>
      <c r="M3386" s="564" t="s">
        <v>2098</v>
      </c>
      <c r="N3386" s="564" t="s">
        <v>1082</v>
      </c>
      <c r="O3386" s="564" t="s">
        <v>2099</v>
      </c>
      <c r="P3386" s="23"/>
      <c r="Q3386" s="23"/>
      <c r="R3386" s="23"/>
      <c r="S3386" s="23"/>
      <c r="T3386" s="23"/>
      <c r="U3386" s="23"/>
      <c r="V3386" s="23"/>
      <c r="W3386" s="23"/>
      <c r="X3386" s="23"/>
      <c r="Y3386" s="23"/>
      <c r="Z3386" s="23"/>
    </row>
    <row r="3387" spans="1:26" ht="13">
      <c r="A3387" s="562" t="s">
        <v>7696</v>
      </c>
      <c r="B3387" s="563" t="s">
        <v>7549</v>
      </c>
      <c r="C3387" s="564" t="s">
        <v>1612</v>
      </c>
      <c r="D3387" s="565">
        <v>42080</v>
      </c>
      <c r="E3387" s="565">
        <v>42111</v>
      </c>
      <c r="F3387" s="567">
        <v>900</v>
      </c>
      <c r="G3387" s="564" t="s">
        <v>1424</v>
      </c>
      <c r="H3387" s="564" t="s">
        <v>1424</v>
      </c>
      <c r="I3387" s="564" t="s">
        <v>70</v>
      </c>
      <c r="J3387" s="564" t="s">
        <v>1069</v>
      </c>
      <c r="K3387" s="564" t="s">
        <v>1120</v>
      </c>
      <c r="L3387" s="564" t="s">
        <v>2098</v>
      </c>
      <c r="M3387" s="564" t="s">
        <v>2098</v>
      </c>
      <c r="N3387" s="564" t="s">
        <v>70</v>
      </c>
      <c r="O3387" s="564" t="s">
        <v>2099</v>
      </c>
      <c r="P3387" s="23"/>
      <c r="Q3387" s="23"/>
      <c r="R3387" s="23"/>
      <c r="S3387" s="23"/>
      <c r="T3387" s="23"/>
      <c r="U3387" s="23"/>
      <c r="V3387" s="23"/>
      <c r="W3387" s="23"/>
      <c r="X3387" s="23"/>
      <c r="Y3387" s="23"/>
      <c r="Z3387" s="23"/>
    </row>
    <row r="3388" spans="1:26" ht="13">
      <c r="A3388" s="562" t="s">
        <v>7697</v>
      </c>
      <c r="B3388" s="563" t="s">
        <v>7698</v>
      </c>
      <c r="C3388" s="564" t="s">
        <v>2191</v>
      </c>
      <c r="D3388" s="565">
        <v>42082</v>
      </c>
      <c r="E3388" s="565">
        <v>42155</v>
      </c>
      <c r="F3388" s="566">
        <v>46000000</v>
      </c>
      <c r="G3388" s="564" t="s">
        <v>1123</v>
      </c>
      <c r="H3388" s="564" t="s">
        <v>1123</v>
      </c>
      <c r="I3388" s="564" t="s">
        <v>7231</v>
      </c>
      <c r="J3388" s="564" t="s">
        <v>1069</v>
      </c>
      <c r="K3388" s="564" t="s">
        <v>1070</v>
      </c>
      <c r="L3388" s="564" t="s">
        <v>2098</v>
      </c>
      <c r="M3388" s="564" t="s">
        <v>2098</v>
      </c>
      <c r="N3388" s="564" t="s">
        <v>1082</v>
      </c>
      <c r="O3388" s="564" t="s">
        <v>2099</v>
      </c>
      <c r="P3388" s="23"/>
      <c r="Q3388" s="23"/>
      <c r="R3388" s="23"/>
      <c r="S3388" s="23"/>
      <c r="T3388" s="23"/>
      <c r="U3388" s="23"/>
      <c r="V3388" s="23"/>
      <c r="W3388" s="23"/>
      <c r="X3388" s="23"/>
      <c r="Y3388" s="23"/>
      <c r="Z3388" s="23"/>
    </row>
    <row r="3389" spans="1:26" ht="13">
      <c r="A3389" s="562" t="s">
        <v>7699</v>
      </c>
      <c r="B3389" s="563" t="s">
        <v>5995</v>
      </c>
      <c r="C3389" s="564" t="s">
        <v>1612</v>
      </c>
      <c r="D3389" s="565">
        <v>42080</v>
      </c>
      <c r="E3389" s="565">
        <v>42111</v>
      </c>
      <c r="F3389" s="566">
        <v>2375000</v>
      </c>
      <c r="G3389" s="564" t="s">
        <v>1424</v>
      </c>
      <c r="H3389" s="564" t="s">
        <v>1424</v>
      </c>
      <c r="I3389" s="564" t="s">
        <v>225</v>
      </c>
      <c r="J3389" s="564" t="s">
        <v>1069</v>
      </c>
      <c r="K3389" s="564" t="s">
        <v>1105</v>
      </c>
      <c r="L3389" s="564" t="s">
        <v>2098</v>
      </c>
      <c r="M3389" s="564" t="s">
        <v>2098</v>
      </c>
      <c r="N3389" s="564" t="s">
        <v>225</v>
      </c>
      <c r="O3389" s="564" t="s">
        <v>2099</v>
      </c>
      <c r="P3389" s="23"/>
      <c r="Q3389" s="23"/>
      <c r="R3389" s="23"/>
      <c r="S3389" s="23"/>
      <c r="T3389" s="23"/>
      <c r="U3389" s="23"/>
      <c r="V3389" s="23"/>
      <c r="W3389" s="23"/>
      <c r="X3389" s="23"/>
      <c r="Y3389" s="23"/>
      <c r="Z3389" s="23"/>
    </row>
    <row r="3390" spans="1:26" ht="13">
      <c r="A3390" s="562" t="s">
        <v>7700</v>
      </c>
      <c r="B3390" s="563" t="s">
        <v>7701</v>
      </c>
      <c r="C3390" s="564" t="s">
        <v>1612</v>
      </c>
      <c r="D3390" s="565">
        <v>42086</v>
      </c>
      <c r="E3390" s="565">
        <v>42111</v>
      </c>
      <c r="F3390" s="566">
        <v>1050</v>
      </c>
      <c r="G3390" s="564" t="s">
        <v>1424</v>
      </c>
      <c r="H3390" s="564" t="s">
        <v>1424</v>
      </c>
      <c r="I3390" s="564" t="s">
        <v>1637</v>
      </c>
      <c r="J3390" s="564" t="s">
        <v>1069</v>
      </c>
      <c r="K3390" s="564" t="s">
        <v>1120</v>
      </c>
      <c r="L3390" s="564" t="s">
        <v>2098</v>
      </c>
      <c r="M3390" s="564" t="s">
        <v>2098</v>
      </c>
      <c r="N3390" s="564" t="s">
        <v>1073</v>
      </c>
      <c r="O3390" s="564" t="s">
        <v>2099</v>
      </c>
      <c r="P3390" s="23"/>
      <c r="Q3390" s="23"/>
      <c r="R3390" s="23"/>
      <c r="S3390" s="23"/>
      <c r="T3390" s="23"/>
      <c r="U3390" s="23"/>
      <c r="V3390" s="23"/>
      <c r="W3390" s="23"/>
      <c r="X3390" s="23"/>
      <c r="Y3390" s="23"/>
      <c r="Z3390" s="23"/>
    </row>
    <row r="3391" spans="1:26" ht="13">
      <c r="A3391" s="562" t="s">
        <v>7702</v>
      </c>
      <c r="B3391" s="563" t="s">
        <v>7703</v>
      </c>
      <c r="C3391" s="564" t="s">
        <v>1612</v>
      </c>
      <c r="D3391" s="565">
        <v>42082</v>
      </c>
      <c r="E3391" s="565">
        <v>42094</v>
      </c>
      <c r="F3391" s="566">
        <v>32414200</v>
      </c>
      <c r="G3391" s="564" t="s">
        <v>297</v>
      </c>
      <c r="H3391" s="564" t="s">
        <v>297</v>
      </c>
      <c r="I3391" s="564" t="s">
        <v>1826</v>
      </c>
      <c r="J3391" s="564" t="s">
        <v>1069</v>
      </c>
      <c r="K3391" s="564" t="s">
        <v>1070</v>
      </c>
      <c r="L3391" s="564" t="s">
        <v>2098</v>
      </c>
      <c r="M3391" s="564" t="s">
        <v>2098</v>
      </c>
      <c r="N3391" s="564" t="s">
        <v>1082</v>
      </c>
      <c r="O3391" s="564" t="s">
        <v>2099</v>
      </c>
      <c r="P3391" s="23"/>
      <c r="Q3391" s="23"/>
      <c r="R3391" s="23"/>
      <c r="S3391" s="23"/>
      <c r="T3391" s="23"/>
      <c r="U3391" s="23"/>
      <c r="V3391" s="23"/>
      <c r="W3391" s="23"/>
      <c r="X3391" s="23"/>
      <c r="Y3391" s="23"/>
      <c r="Z3391" s="23"/>
    </row>
    <row r="3392" spans="1:26" ht="13">
      <c r="A3392" s="562" t="s">
        <v>7704</v>
      </c>
      <c r="B3392" s="563" t="s">
        <v>7705</v>
      </c>
      <c r="C3392" s="564" t="s">
        <v>1612</v>
      </c>
      <c r="D3392" s="565">
        <v>42080</v>
      </c>
      <c r="E3392" s="565">
        <v>42089</v>
      </c>
      <c r="F3392" s="566">
        <v>31700</v>
      </c>
      <c r="G3392" s="564" t="s">
        <v>1623</v>
      </c>
      <c r="H3392" s="564" t="s">
        <v>1623</v>
      </c>
      <c r="I3392" s="564" t="s">
        <v>802</v>
      </c>
      <c r="J3392" s="564" t="s">
        <v>1069</v>
      </c>
      <c r="K3392" s="564" t="s">
        <v>1198</v>
      </c>
      <c r="L3392" s="564" t="s">
        <v>2098</v>
      </c>
      <c r="M3392" s="564" t="s">
        <v>2098</v>
      </c>
      <c r="N3392" s="564" t="s">
        <v>132</v>
      </c>
      <c r="O3392" s="564" t="s">
        <v>2099</v>
      </c>
      <c r="P3392" s="23"/>
      <c r="Q3392" s="23"/>
      <c r="R3392" s="23"/>
      <c r="S3392" s="23"/>
      <c r="T3392" s="23"/>
      <c r="U3392" s="23"/>
      <c r="V3392" s="23"/>
      <c r="W3392" s="23"/>
      <c r="X3392" s="23"/>
      <c r="Y3392" s="23"/>
      <c r="Z3392" s="23"/>
    </row>
    <row r="3393" spans="1:26" ht="13">
      <c r="A3393" s="562" t="s">
        <v>7706</v>
      </c>
      <c r="B3393" s="563" t="s">
        <v>7707</v>
      </c>
      <c r="C3393" s="564" t="s">
        <v>1612</v>
      </c>
      <c r="D3393" s="565">
        <v>42079</v>
      </c>
      <c r="E3393" s="565">
        <v>42110</v>
      </c>
      <c r="F3393" s="566">
        <v>8400</v>
      </c>
      <c r="G3393" s="564" t="s">
        <v>1424</v>
      </c>
      <c r="H3393" s="564" t="s">
        <v>1424</v>
      </c>
      <c r="I3393" s="564" t="s">
        <v>64</v>
      </c>
      <c r="J3393" s="564" t="s">
        <v>1069</v>
      </c>
      <c r="K3393" s="564" t="s">
        <v>1090</v>
      </c>
      <c r="L3393" s="564" t="s">
        <v>2098</v>
      </c>
      <c r="M3393" s="564" t="s">
        <v>2098</v>
      </c>
      <c r="N3393" s="564" t="s">
        <v>64</v>
      </c>
      <c r="O3393" s="564" t="s">
        <v>2099</v>
      </c>
      <c r="P3393" s="23"/>
      <c r="Q3393" s="23"/>
      <c r="R3393" s="23"/>
      <c r="S3393" s="23"/>
      <c r="T3393" s="23"/>
      <c r="U3393" s="23"/>
      <c r="V3393" s="23"/>
      <c r="W3393" s="23"/>
      <c r="X3393" s="23"/>
      <c r="Y3393" s="23"/>
      <c r="Z3393" s="23"/>
    </row>
    <row r="3394" spans="1:26" ht="13">
      <c r="A3394" s="562" t="s">
        <v>7708</v>
      </c>
      <c r="B3394" s="563" t="s">
        <v>7709</v>
      </c>
      <c r="C3394" s="564" t="s">
        <v>2191</v>
      </c>
      <c r="D3394" s="565">
        <v>42079</v>
      </c>
      <c r="E3394" s="565">
        <v>42094</v>
      </c>
      <c r="F3394" s="566">
        <v>1720000</v>
      </c>
      <c r="G3394" s="564" t="s">
        <v>1123</v>
      </c>
      <c r="H3394" s="564" t="s">
        <v>1123</v>
      </c>
      <c r="I3394" s="564" t="s">
        <v>141</v>
      </c>
      <c r="J3394" s="564" t="s">
        <v>1069</v>
      </c>
      <c r="K3394" s="564" t="s">
        <v>1205</v>
      </c>
      <c r="L3394" s="564" t="s">
        <v>2098</v>
      </c>
      <c r="M3394" s="564" t="s">
        <v>2098</v>
      </c>
      <c r="N3394" s="564" t="s">
        <v>1073</v>
      </c>
      <c r="O3394" s="564" t="s">
        <v>2099</v>
      </c>
      <c r="P3394" s="23"/>
      <c r="Q3394" s="23"/>
      <c r="R3394" s="23"/>
      <c r="S3394" s="23"/>
      <c r="T3394" s="23"/>
      <c r="U3394" s="23"/>
      <c r="V3394" s="23"/>
      <c r="W3394" s="23"/>
      <c r="X3394" s="23"/>
      <c r="Y3394" s="23"/>
      <c r="Z3394" s="23"/>
    </row>
    <row r="3395" spans="1:26" ht="13">
      <c r="A3395" s="562" t="s">
        <v>7710</v>
      </c>
      <c r="B3395" s="563" t="s">
        <v>7711</v>
      </c>
      <c r="C3395" s="564" t="s">
        <v>2191</v>
      </c>
      <c r="D3395" s="565">
        <v>42079</v>
      </c>
      <c r="E3395" s="565">
        <v>42155</v>
      </c>
      <c r="F3395" s="566">
        <v>272000000</v>
      </c>
      <c r="G3395" s="564" t="s">
        <v>1187</v>
      </c>
      <c r="H3395" s="564" t="s">
        <v>1187</v>
      </c>
      <c r="I3395" s="564" t="s">
        <v>7712</v>
      </c>
      <c r="J3395" s="564" t="s">
        <v>1069</v>
      </c>
      <c r="K3395" s="564" t="s">
        <v>1070</v>
      </c>
      <c r="L3395" s="564" t="s">
        <v>2098</v>
      </c>
      <c r="M3395" s="564" t="s">
        <v>2098</v>
      </c>
      <c r="N3395" s="564" t="s">
        <v>1082</v>
      </c>
      <c r="O3395" s="564" t="s">
        <v>2099</v>
      </c>
      <c r="P3395" s="23"/>
      <c r="Q3395" s="23"/>
      <c r="R3395" s="23"/>
      <c r="S3395" s="23"/>
      <c r="T3395" s="23"/>
      <c r="U3395" s="23"/>
      <c r="V3395" s="23"/>
      <c r="W3395" s="23"/>
      <c r="X3395" s="23"/>
      <c r="Y3395" s="23"/>
      <c r="Z3395" s="23"/>
    </row>
    <row r="3396" spans="1:26" ht="13">
      <c r="A3396" s="562" t="s">
        <v>7713</v>
      </c>
      <c r="B3396" s="563" t="s">
        <v>7714</v>
      </c>
      <c r="C3396" s="564" t="s">
        <v>1612</v>
      </c>
      <c r="D3396" s="565">
        <v>42076</v>
      </c>
      <c r="E3396" s="565">
        <v>42107</v>
      </c>
      <c r="F3396" s="566">
        <v>4450</v>
      </c>
      <c r="G3396" s="564" t="s">
        <v>1424</v>
      </c>
      <c r="H3396" s="564" t="s">
        <v>1424</v>
      </c>
      <c r="I3396" s="564" t="s">
        <v>121</v>
      </c>
      <c r="J3396" s="564" t="s">
        <v>1069</v>
      </c>
      <c r="K3396" s="564" t="s">
        <v>1105</v>
      </c>
      <c r="L3396" s="564" t="s">
        <v>2098</v>
      </c>
      <c r="M3396" s="564" t="s">
        <v>2098</v>
      </c>
      <c r="N3396" s="564" t="s">
        <v>1073</v>
      </c>
      <c r="O3396" s="564" t="s">
        <v>2099</v>
      </c>
      <c r="P3396" s="23"/>
      <c r="Q3396" s="23"/>
      <c r="R3396" s="23"/>
      <c r="S3396" s="23"/>
      <c r="T3396" s="23"/>
      <c r="U3396" s="23"/>
      <c r="V3396" s="23"/>
      <c r="W3396" s="23"/>
      <c r="X3396" s="23"/>
      <c r="Y3396" s="23"/>
      <c r="Z3396" s="23"/>
    </row>
    <row r="3397" spans="1:26" ht="13">
      <c r="A3397" s="562" t="s">
        <v>7715</v>
      </c>
      <c r="B3397" s="563" t="s">
        <v>7436</v>
      </c>
      <c r="C3397" s="564" t="s">
        <v>1612</v>
      </c>
      <c r="D3397" s="565">
        <v>42075</v>
      </c>
      <c r="E3397" s="565">
        <v>42104</v>
      </c>
      <c r="F3397" s="566">
        <v>1050</v>
      </c>
      <c r="G3397" s="564" t="s">
        <v>1424</v>
      </c>
      <c r="H3397" s="564" t="s">
        <v>1424</v>
      </c>
      <c r="I3397" s="564" t="s">
        <v>70</v>
      </c>
      <c r="J3397" s="564" t="s">
        <v>1069</v>
      </c>
      <c r="K3397" s="564" t="s">
        <v>1120</v>
      </c>
      <c r="L3397" s="564" t="s">
        <v>2098</v>
      </c>
      <c r="M3397" s="564" t="s">
        <v>2098</v>
      </c>
      <c r="N3397" s="564" t="s">
        <v>70</v>
      </c>
      <c r="O3397" s="564" t="s">
        <v>2099</v>
      </c>
      <c r="P3397" s="23"/>
      <c r="Q3397" s="23"/>
      <c r="R3397" s="23"/>
      <c r="S3397" s="23"/>
      <c r="T3397" s="23"/>
      <c r="U3397" s="23"/>
      <c r="V3397" s="23"/>
      <c r="W3397" s="23"/>
      <c r="X3397" s="23"/>
      <c r="Y3397" s="23"/>
      <c r="Z3397" s="23"/>
    </row>
    <row r="3398" spans="1:26" ht="13">
      <c r="A3398" s="562" t="s">
        <v>7716</v>
      </c>
      <c r="B3398" s="563" t="s">
        <v>7717</v>
      </c>
      <c r="C3398" s="564" t="s">
        <v>2191</v>
      </c>
      <c r="D3398" s="565">
        <v>42075</v>
      </c>
      <c r="E3398" s="565">
        <v>42083</v>
      </c>
      <c r="F3398" s="566">
        <v>9000000</v>
      </c>
      <c r="G3398" s="564" t="s">
        <v>1187</v>
      </c>
      <c r="H3398" s="564" t="s">
        <v>1187</v>
      </c>
      <c r="I3398" s="564" t="s">
        <v>7718</v>
      </c>
      <c r="J3398" s="564" t="s">
        <v>1069</v>
      </c>
      <c r="K3398" s="564" t="s">
        <v>1198</v>
      </c>
      <c r="L3398" s="564" t="s">
        <v>2098</v>
      </c>
      <c r="M3398" s="564" t="s">
        <v>2098</v>
      </c>
      <c r="N3398" s="564" t="s">
        <v>1082</v>
      </c>
      <c r="O3398" s="564" t="s">
        <v>2099</v>
      </c>
      <c r="P3398" s="23"/>
      <c r="Q3398" s="23"/>
      <c r="R3398" s="23"/>
      <c r="S3398" s="23"/>
      <c r="T3398" s="23"/>
      <c r="U3398" s="23"/>
      <c r="V3398" s="23"/>
      <c r="W3398" s="23"/>
      <c r="X3398" s="23"/>
      <c r="Y3398" s="23"/>
      <c r="Z3398" s="23"/>
    </row>
    <row r="3399" spans="1:26" ht="13">
      <c r="A3399" s="562" t="s">
        <v>7719</v>
      </c>
      <c r="B3399" s="563" t="s">
        <v>7720</v>
      </c>
      <c r="C3399" s="564" t="s">
        <v>2191</v>
      </c>
      <c r="D3399" s="565">
        <v>42072</v>
      </c>
      <c r="E3399" s="565">
        <v>42076</v>
      </c>
      <c r="F3399" s="566">
        <v>4648000</v>
      </c>
      <c r="G3399" s="564" t="s">
        <v>1529</v>
      </c>
      <c r="H3399" s="564" t="s">
        <v>1529</v>
      </c>
      <c r="I3399" s="564" t="s">
        <v>1417</v>
      </c>
      <c r="J3399" s="564" t="s">
        <v>1069</v>
      </c>
      <c r="K3399" s="564" t="s">
        <v>1070</v>
      </c>
      <c r="L3399" s="564" t="s">
        <v>2098</v>
      </c>
      <c r="M3399" s="564" t="s">
        <v>2098</v>
      </c>
      <c r="N3399" s="564" t="s">
        <v>1082</v>
      </c>
      <c r="O3399" s="564" t="s">
        <v>2099</v>
      </c>
      <c r="P3399" s="23"/>
      <c r="Q3399" s="23"/>
      <c r="R3399" s="23"/>
      <c r="S3399" s="23"/>
      <c r="T3399" s="23"/>
      <c r="U3399" s="23"/>
      <c r="V3399" s="23"/>
      <c r="W3399" s="23"/>
      <c r="X3399" s="23"/>
      <c r="Y3399" s="23"/>
      <c r="Z3399" s="23"/>
    </row>
    <row r="3400" spans="1:26" ht="13">
      <c r="A3400" s="562" t="s">
        <v>7721</v>
      </c>
      <c r="B3400" s="563" t="s">
        <v>7722</v>
      </c>
      <c r="C3400" s="564" t="s">
        <v>1612</v>
      </c>
      <c r="D3400" s="565">
        <v>42072</v>
      </c>
      <c r="E3400" s="565">
        <v>42103</v>
      </c>
      <c r="F3400" s="566">
        <v>3452</v>
      </c>
      <c r="G3400" s="564" t="s">
        <v>1424</v>
      </c>
      <c r="H3400" s="564" t="s">
        <v>1424</v>
      </c>
      <c r="I3400" s="564" t="s">
        <v>6146</v>
      </c>
      <c r="J3400" s="564" t="s">
        <v>1069</v>
      </c>
      <c r="K3400" s="564" t="s">
        <v>1090</v>
      </c>
      <c r="L3400" s="564" t="s">
        <v>2098</v>
      </c>
      <c r="M3400" s="564" t="s">
        <v>2098</v>
      </c>
      <c r="N3400" s="564" t="s">
        <v>1073</v>
      </c>
      <c r="O3400" s="564" t="s">
        <v>2099</v>
      </c>
      <c r="P3400" s="23"/>
      <c r="Q3400" s="23"/>
      <c r="R3400" s="23"/>
      <c r="S3400" s="23"/>
      <c r="T3400" s="23"/>
      <c r="U3400" s="23"/>
      <c r="V3400" s="23"/>
      <c r="W3400" s="23"/>
      <c r="X3400" s="23"/>
      <c r="Y3400" s="23"/>
      <c r="Z3400" s="23"/>
    </row>
    <row r="3401" spans="1:26" ht="13">
      <c r="A3401" s="562" t="s">
        <v>7723</v>
      </c>
      <c r="B3401" s="563" t="s">
        <v>6688</v>
      </c>
      <c r="C3401" s="564" t="s">
        <v>2191</v>
      </c>
      <c r="D3401" s="565">
        <v>42075</v>
      </c>
      <c r="E3401" s="565">
        <v>42093</v>
      </c>
      <c r="F3401" s="566">
        <v>735000000</v>
      </c>
      <c r="G3401" s="564" t="s">
        <v>1564</v>
      </c>
      <c r="H3401" s="564" t="s">
        <v>1564</v>
      </c>
      <c r="I3401" s="564" t="s">
        <v>7023</v>
      </c>
      <c r="J3401" s="564" t="s">
        <v>1069</v>
      </c>
      <c r="K3401" s="564" t="s">
        <v>1070</v>
      </c>
      <c r="L3401" s="564" t="s">
        <v>2098</v>
      </c>
      <c r="M3401" s="564" t="s">
        <v>2098</v>
      </c>
      <c r="N3401" s="564" t="s">
        <v>1082</v>
      </c>
      <c r="O3401" s="564" t="s">
        <v>2099</v>
      </c>
      <c r="P3401" s="23"/>
      <c r="Q3401" s="23"/>
      <c r="R3401" s="23"/>
      <c r="S3401" s="23"/>
      <c r="T3401" s="23"/>
      <c r="U3401" s="23"/>
      <c r="V3401" s="23"/>
      <c r="W3401" s="23"/>
      <c r="X3401" s="23"/>
      <c r="Y3401" s="23"/>
      <c r="Z3401" s="23"/>
    </row>
    <row r="3402" spans="1:26" ht="13">
      <c r="A3402" s="562" t="s">
        <v>7724</v>
      </c>
      <c r="B3402" s="563" t="s">
        <v>7725</v>
      </c>
      <c r="C3402" s="564" t="s">
        <v>1612</v>
      </c>
      <c r="D3402" s="565">
        <v>42073</v>
      </c>
      <c r="E3402" s="565">
        <v>42064</v>
      </c>
      <c r="F3402" s="566">
        <v>1704960</v>
      </c>
      <c r="G3402" s="564" t="s">
        <v>1424</v>
      </c>
      <c r="H3402" s="564" t="s">
        <v>1424</v>
      </c>
      <c r="I3402" s="564" t="s">
        <v>45</v>
      </c>
      <c r="J3402" s="564" t="s">
        <v>1069</v>
      </c>
      <c r="K3402" s="564" t="s">
        <v>1090</v>
      </c>
      <c r="L3402" s="564" t="s">
        <v>1071</v>
      </c>
      <c r="M3402" s="564" t="s">
        <v>1183</v>
      </c>
      <c r="N3402" s="564" t="s">
        <v>45</v>
      </c>
      <c r="O3402" s="564" t="s">
        <v>2099</v>
      </c>
      <c r="P3402" s="23"/>
      <c r="Q3402" s="23"/>
      <c r="R3402" s="23"/>
      <c r="S3402" s="23"/>
      <c r="T3402" s="23"/>
      <c r="U3402" s="23"/>
      <c r="V3402" s="23"/>
      <c r="W3402" s="23"/>
      <c r="X3402" s="23"/>
      <c r="Y3402" s="23"/>
      <c r="Z3402" s="23"/>
    </row>
    <row r="3403" spans="1:26" ht="13">
      <c r="A3403" s="562" t="s">
        <v>7726</v>
      </c>
      <c r="B3403" s="563" t="s">
        <v>7467</v>
      </c>
      <c r="C3403" s="564" t="s">
        <v>1612</v>
      </c>
      <c r="D3403" s="565">
        <v>42073</v>
      </c>
      <c r="E3403" s="565">
        <v>42090</v>
      </c>
      <c r="F3403" s="566">
        <v>6114</v>
      </c>
      <c r="G3403" s="564" t="s">
        <v>337</v>
      </c>
      <c r="H3403" s="564" t="s">
        <v>337</v>
      </c>
      <c r="I3403" s="564" t="s">
        <v>1837</v>
      </c>
      <c r="J3403" s="564" t="s">
        <v>1069</v>
      </c>
      <c r="K3403" s="564" t="s">
        <v>1090</v>
      </c>
      <c r="L3403" s="564" t="s">
        <v>2098</v>
      </c>
      <c r="M3403" s="564" t="s">
        <v>2098</v>
      </c>
      <c r="N3403" s="564" t="s">
        <v>1082</v>
      </c>
      <c r="O3403" s="564" t="s">
        <v>2099</v>
      </c>
      <c r="P3403" s="23"/>
      <c r="Q3403" s="23"/>
      <c r="R3403" s="23"/>
      <c r="S3403" s="23"/>
      <c r="T3403" s="23"/>
      <c r="U3403" s="23"/>
      <c r="V3403" s="23"/>
      <c r="W3403" s="23"/>
      <c r="X3403" s="23"/>
      <c r="Y3403" s="23"/>
      <c r="Z3403" s="23"/>
    </row>
    <row r="3404" spans="1:26" ht="13">
      <c r="A3404" s="562" t="s">
        <v>7727</v>
      </c>
      <c r="B3404" s="563" t="s">
        <v>7728</v>
      </c>
      <c r="C3404" s="564" t="s">
        <v>6860</v>
      </c>
      <c r="D3404" s="565">
        <v>42072</v>
      </c>
      <c r="E3404" s="565">
        <v>42368</v>
      </c>
      <c r="F3404" s="566">
        <v>123600</v>
      </c>
      <c r="G3404" s="564" t="s">
        <v>1640</v>
      </c>
      <c r="H3404" s="564" t="s">
        <v>1640</v>
      </c>
      <c r="I3404" s="564" t="s">
        <v>7729</v>
      </c>
      <c r="J3404" s="564" t="s">
        <v>1069</v>
      </c>
      <c r="K3404" s="564" t="s">
        <v>1070</v>
      </c>
      <c r="L3404" s="564" t="s">
        <v>2098</v>
      </c>
      <c r="M3404" s="564" t="s">
        <v>2098</v>
      </c>
      <c r="N3404" s="564" t="s">
        <v>1082</v>
      </c>
      <c r="O3404" s="564" t="s">
        <v>2099</v>
      </c>
      <c r="P3404" s="23"/>
      <c r="Q3404" s="23"/>
      <c r="R3404" s="23"/>
      <c r="S3404" s="23"/>
      <c r="T3404" s="23"/>
      <c r="U3404" s="23"/>
      <c r="V3404" s="23"/>
      <c r="W3404" s="23"/>
      <c r="X3404" s="23"/>
      <c r="Y3404" s="23"/>
      <c r="Z3404" s="23"/>
    </row>
    <row r="3405" spans="1:26" ht="13">
      <c r="A3405" s="562" t="s">
        <v>7730</v>
      </c>
      <c r="B3405" s="563" t="s">
        <v>7731</v>
      </c>
      <c r="C3405" s="564" t="s">
        <v>1612</v>
      </c>
      <c r="D3405" s="565">
        <v>42069</v>
      </c>
      <c r="E3405" s="565">
        <v>42064</v>
      </c>
      <c r="F3405" s="566">
        <v>27714600</v>
      </c>
      <c r="G3405" s="564" t="s">
        <v>1424</v>
      </c>
      <c r="H3405" s="564" t="s">
        <v>1424</v>
      </c>
      <c r="I3405" s="564" t="s">
        <v>45</v>
      </c>
      <c r="J3405" s="564" t="s">
        <v>1069</v>
      </c>
      <c r="K3405" s="564" t="s">
        <v>1090</v>
      </c>
      <c r="L3405" s="564" t="s">
        <v>1071</v>
      </c>
      <c r="M3405" s="564" t="s">
        <v>1183</v>
      </c>
      <c r="N3405" s="564" t="s">
        <v>45</v>
      </c>
      <c r="O3405" s="564" t="s">
        <v>2099</v>
      </c>
      <c r="P3405" s="23"/>
      <c r="Q3405" s="23"/>
      <c r="R3405" s="23"/>
      <c r="S3405" s="23"/>
      <c r="T3405" s="23"/>
      <c r="U3405" s="23"/>
      <c r="V3405" s="23"/>
      <c r="W3405" s="23"/>
      <c r="X3405" s="23"/>
      <c r="Y3405" s="23"/>
      <c r="Z3405" s="23"/>
    </row>
    <row r="3406" spans="1:26" ht="13">
      <c r="A3406" s="562" t="s">
        <v>7732</v>
      </c>
      <c r="B3406" s="563" t="s">
        <v>7467</v>
      </c>
      <c r="C3406" s="564" t="s">
        <v>1612</v>
      </c>
      <c r="D3406" s="565">
        <v>42066</v>
      </c>
      <c r="E3406" s="565">
        <v>42081</v>
      </c>
      <c r="F3406" s="566">
        <v>29505</v>
      </c>
      <c r="G3406" s="564" t="s">
        <v>1424</v>
      </c>
      <c r="H3406" s="564" t="s">
        <v>1424</v>
      </c>
      <c r="I3406" s="564" t="s">
        <v>1837</v>
      </c>
      <c r="J3406" s="564" t="s">
        <v>1069</v>
      </c>
      <c r="K3406" s="564" t="s">
        <v>1090</v>
      </c>
      <c r="L3406" s="564" t="s">
        <v>2098</v>
      </c>
      <c r="M3406" s="564" t="s">
        <v>2098</v>
      </c>
      <c r="N3406" s="564" t="s">
        <v>1082</v>
      </c>
      <c r="O3406" s="564" t="s">
        <v>2099</v>
      </c>
      <c r="P3406" s="23"/>
      <c r="Q3406" s="23"/>
      <c r="R3406" s="23"/>
      <c r="S3406" s="23"/>
      <c r="T3406" s="23"/>
      <c r="U3406" s="23"/>
      <c r="V3406" s="23"/>
      <c r="W3406" s="23"/>
      <c r="X3406" s="23"/>
      <c r="Y3406" s="23"/>
      <c r="Z3406" s="23"/>
    </row>
    <row r="3407" spans="1:26" ht="13">
      <c r="A3407" s="562" t="s">
        <v>7733</v>
      </c>
      <c r="B3407" s="563" t="s">
        <v>7734</v>
      </c>
      <c r="C3407" s="564" t="s">
        <v>1612</v>
      </c>
      <c r="D3407" s="565">
        <v>42067</v>
      </c>
      <c r="E3407" s="565">
        <v>42094</v>
      </c>
      <c r="F3407" s="566">
        <v>63100</v>
      </c>
      <c r="G3407" s="564" t="s">
        <v>1128</v>
      </c>
      <c r="H3407" s="564" t="s">
        <v>1128</v>
      </c>
      <c r="I3407" s="564" t="s">
        <v>1161</v>
      </c>
      <c r="J3407" s="564" t="s">
        <v>1069</v>
      </c>
      <c r="K3407" s="564" t="s">
        <v>1090</v>
      </c>
      <c r="L3407" s="564" t="s">
        <v>2098</v>
      </c>
      <c r="M3407" s="564" t="s">
        <v>2098</v>
      </c>
      <c r="N3407" s="564" t="s">
        <v>1073</v>
      </c>
      <c r="O3407" s="564" t="s">
        <v>2099</v>
      </c>
      <c r="P3407" s="23"/>
      <c r="Q3407" s="23"/>
      <c r="R3407" s="23"/>
      <c r="S3407" s="23"/>
      <c r="T3407" s="23"/>
      <c r="U3407" s="23"/>
      <c r="V3407" s="23"/>
      <c r="W3407" s="23"/>
      <c r="X3407" s="23"/>
      <c r="Y3407" s="23"/>
      <c r="Z3407" s="23"/>
    </row>
    <row r="3408" spans="1:26" ht="13">
      <c r="A3408" s="562" t="s">
        <v>7735</v>
      </c>
      <c r="B3408" s="563" t="s">
        <v>7736</v>
      </c>
      <c r="C3408" s="564" t="s">
        <v>2191</v>
      </c>
      <c r="D3408" s="565">
        <v>42067</v>
      </c>
      <c r="E3408" s="565">
        <v>42074</v>
      </c>
      <c r="F3408" s="566">
        <v>2000000</v>
      </c>
      <c r="G3408" s="564" t="s">
        <v>1529</v>
      </c>
      <c r="H3408" s="564" t="s">
        <v>1529</v>
      </c>
      <c r="I3408" s="564" t="s">
        <v>1417</v>
      </c>
      <c r="J3408" s="564" t="s">
        <v>1069</v>
      </c>
      <c r="K3408" s="564" t="s">
        <v>1070</v>
      </c>
      <c r="L3408" s="564" t="s">
        <v>2098</v>
      </c>
      <c r="M3408" s="564" t="s">
        <v>2098</v>
      </c>
      <c r="N3408" s="564" t="s">
        <v>1082</v>
      </c>
      <c r="O3408" s="564" t="s">
        <v>2099</v>
      </c>
      <c r="P3408" s="23"/>
      <c r="Q3408" s="23"/>
      <c r="R3408" s="23"/>
      <c r="S3408" s="23"/>
      <c r="T3408" s="23"/>
      <c r="U3408" s="23"/>
      <c r="V3408" s="23"/>
      <c r="W3408" s="23"/>
      <c r="X3408" s="23"/>
      <c r="Y3408" s="23"/>
      <c r="Z3408" s="23"/>
    </row>
    <row r="3409" spans="1:26" ht="13">
      <c r="A3409" s="562" t="s">
        <v>7737</v>
      </c>
      <c r="B3409" s="563" t="s">
        <v>6017</v>
      </c>
      <c r="C3409" s="564" t="s">
        <v>1612</v>
      </c>
      <c r="D3409" s="565">
        <v>42066</v>
      </c>
      <c r="E3409" s="565">
        <v>42094</v>
      </c>
      <c r="F3409" s="566">
        <v>6428000</v>
      </c>
      <c r="G3409" s="564" t="s">
        <v>5465</v>
      </c>
      <c r="H3409" s="564" t="s">
        <v>5465</v>
      </c>
      <c r="I3409" s="564" t="s">
        <v>45</v>
      </c>
      <c r="J3409" s="564" t="s">
        <v>1069</v>
      </c>
      <c r="K3409" s="564" t="s">
        <v>1090</v>
      </c>
      <c r="L3409" s="564" t="s">
        <v>2098</v>
      </c>
      <c r="M3409" s="564" t="s">
        <v>2098</v>
      </c>
      <c r="N3409" s="564" t="s">
        <v>45</v>
      </c>
      <c r="O3409" s="564" t="s">
        <v>2099</v>
      </c>
      <c r="P3409" s="23"/>
      <c r="Q3409" s="23"/>
      <c r="R3409" s="23"/>
      <c r="S3409" s="23"/>
      <c r="T3409" s="23"/>
      <c r="U3409" s="23"/>
      <c r="V3409" s="23"/>
      <c r="W3409" s="23"/>
      <c r="X3409" s="23"/>
      <c r="Y3409" s="23"/>
      <c r="Z3409" s="23"/>
    </row>
    <row r="3410" spans="1:26" ht="13">
      <c r="A3410" s="562" t="s">
        <v>7738</v>
      </c>
      <c r="B3410" s="563" t="s">
        <v>7467</v>
      </c>
      <c r="C3410" s="564" t="s">
        <v>1612</v>
      </c>
      <c r="D3410" s="565">
        <v>42065</v>
      </c>
      <c r="E3410" s="565">
        <v>42079</v>
      </c>
      <c r="F3410" s="566">
        <v>5058</v>
      </c>
      <c r="G3410" s="564" t="s">
        <v>1424</v>
      </c>
      <c r="H3410" s="564" t="s">
        <v>1424</v>
      </c>
      <c r="I3410" s="564" t="s">
        <v>1837</v>
      </c>
      <c r="J3410" s="564" t="s">
        <v>1069</v>
      </c>
      <c r="K3410" s="564" t="s">
        <v>1090</v>
      </c>
      <c r="L3410" s="564" t="s">
        <v>2098</v>
      </c>
      <c r="M3410" s="564" t="s">
        <v>2098</v>
      </c>
      <c r="N3410" s="564" t="s">
        <v>1082</v>
      </c>
      <c r="O3410" s="564" t="s">
        <v>2099</v>
      </c>
      <c r="P3410" s="23"/>
      <c r="Q3410" s="23"/>
      <c r="R3410" s="23"/>
      <c r="S3410" s="23"/>
      <c r="T3410" s="23"/>
      <c r="U3410" s="23"/>
      <c r="V3410" s="23"/>
      <c r="W3410" s="23"/>
      <c r="X3410" s="23"/>
      <c r="Y3410" s="23"/>
      <c r="Z3410" s="23"/>
    </row>
    <row r="3411" spans="1:26" ht="13">
      <c r="A3411" s="562" t="s">
        <v>7739</v>
      </c>
      <c r="B3411" s="563" t="s">
        <v>7740</v>
      </c>
      <c r="C3411" s="564" t="s">
        <v>1612</v>
      </c>
      <c r="D3411" s="565">
        <v>42062</v>
      </c>
      <c r="E3411" s="565">
        <v>42090</v>
      </c>
      <c r="F3411" s="566">
        <v>8700000</v>
      </c>
      <c r="G3411" s="564" t="s">
        <v>1424</v>
      </c>
      <c r="H3411" s="564" t="s">
        <v>1424</v>
      </c>
      <c r="I3411" s="564" t="s">
        <v>257</v>
      </c>
      <c r="J3411" s="564" t="s">
        <v>1069</v>
      </c>
      <c r="K3411" s="564" t="s">
        <v>1209</v>
      </c>
      <c r="L3411" s="564" t="s">
        <v>2098</v>
      </c>
      <c r="M3411" s="564" t="s">
        <v>2098</v>
      </c>
      <c r="N3411" s="564" t="s">
        <v>257</v>
      </c>
      <c r="O3411" s="564" t="s">
        <v>2099</v>
      </c>
      <c r="P3411" s="23"/>
      <c r="Q3411" s="23"/>
      <c r="R3411" s="23"/>
      <c r="S3411" s="23"/>
      <c r="T3411" s="23"/>
      <c r="U3411" s="23"/>
      <c r="V3411" s="23"/>
      <c r="W3411" s="23"/>
      <c r="X3411" s="23"/>
      <c r="Y3411" s="23"/>
      <c r="Z3411" s="23"/>
    </row>
    <row r="3412" spans="1:26" ht="13">
      <c r="A3412" s="562" t="s">
        <v>7741</v>
      </c>
      <c r="B3412" s="563" t="s">
        <v>7742</v>
      </c>
      <c r="C3412" s="564" t="s">
        <v>2191</v>
      </c>
      <c r="D3412" s="565">
        <v>42061</v>
      </c>
      <c r="E3412" s="565">
        <v>42155</v>
      </c>
      <c r="F3412" s="566">
        <v>74000000</v>
      </c>
      <c r="G3412" s="564" t="s">
        <v>1123</v>
      </c>
      <c r="H3412" s="564" t="s">
        <v>1123</v>
      </c>
      <c r="I3412" s="564" t="s">
        <v>7743</v>
      </c>
      <c r="J3412" s="564" t="s">
        <v>1069</v>
      </c>
      <c r="K3412" s="564" t="s">
        <v>1198</v>
      </c>
      <c r="L3412" s="564" t="s">
        <v>2098</v>
      </c>
      <c r="M3412" s="564" t="s">
        <v>2098</v>
      </c>
      <c r="N3412" s="564" t="s">
        <v>1082</v>
      </c>
      <c r="O3412" s="564" t="s">
        <v>2099</v>
      </c>
      <c r="P3412" s="23"/>
      <c r="Q3412" s="23"/>
      <c r="R3412" s="23"/>
      <c r="S3412" s="23"/>
      <c r="T3412" s="23"/>
      <c r="U3412" s="23"/>
      <c r="V3412" s="23"/>
      <c r="W3412" s="23"/>
      <c r="X3412" s="23"/>
      <c r="Y3412" s="23"/>
      <c r="Z3412" s="23"/>
    </row>
    <row r="3413" spans="1:26" ht="13">
      <c r="A3413" s="562" t="s">
        <v>7744</v>
      </c>
      <c r="B3413" s="563" t="s">
        <v>7745</v>
      </c>
      <c r="C3413" s="564" t="s">
        <v>1612</v>
      </c>
      <c r="D3413" s="565">
        <v>42062</v>
      </c>
      <c r="E3413" s="565">
        <v>42090</v>
      </c>
      <c r="F3413" s="566">
        <v>408736</v>
      </c>
      <c r="G3413" s="564" t="s">
        <v>7208</v>
      </c>
      <c r="H3413" s="564" t="s">
        <v>7208</v>
      </c>
      <c r="I3413" s="564" t="s">
        <v>45</v>
      </c>
      <c r="J3413" s="564" t="s">
        <v>1069</v>
      </c>
      <c r="K3413" s="564" t="s">
        <v>1090</v>
      </c>
      <c r="L3413" s="564" t="s">
        <v>2098</v>
      </c>
      <c r="M3413" s="564" t="s">
        <v>2098</v>
      </c>
      <c r="N3413" s="564" t="s">
        <v>45</v>
      </c>
      <c r="O3413" s="564" t="s">
        <v>2099</v>
      </c>
      <c r="P3413" s="23"/>
      <c r="Q3413" s="23"/>
      <c r="R3413" s="23"/>
      <c r="S3413" s="23"/>
      <c r="T3413" s="23"/>
      <c r="U3413" s="23"/>
      <c r="V3413" s="23"/>
      <c r="W3413" s="23"/>
      <c r="X3413" s="23"/>
      <c r="Y3413" s="23"/>
      <c r="Z3413" s="23"/>
    </row>
    <row r="3414" spans="1:26" ht="13">
      <c r="A3414" s="562" t="s">
        <v>7746</v>
      </c>
      <c r="B3414" s="563" t="s">
        <v>7467</v>
      </c>
      <c r="C3414" s="564" t="s">
        <v>1612</v>
      </c>
      <c r="D3414" s="565">
        <v>42060</v>
      </c>
      <c r="E3414" s="565">
        <v>42079</v>
      </c>
      <c r="F3414" s="566">
        <v>28976</v>
      </c>
      <c r="G3414" s="564" t="s">
        <v>1424</v>
      </c>
      <c r="H3414" s="564" t="s">
        <v>1424</v>
      </c>
      <c r="I3414" s="564" t="s">
        <v>1837</v>
      </c>
      <c r="J3414" s="564" t="s">
        <v>1069</v>
      </c>
      <c r="K3414" s="564" t="s">
        <v>1090</v>
      </c>
      <c r="L3414" s="564" t="s">
        <v>2098</v>
      </c>
      <c r="M3414" s="564" t="s">
        <v>2098</v>
      </c>
      <c r="N3414" s="564" t="s">
        <v>1082</v>
      </c>
      <c r="O3414" s="564" t="s">
        <v>2099</v>
      </c>
      <c r="P3414" s="23"/>
      <c r="Q3414" s="23"/>
      <c r="R3414" s="23"/>
      <c r="S3414" s="23"/>
      <c r="T3414" s="23"/>
      <c r="U3414" s="23"/>
      <c r="V3414" s="23"/>
      <c r="W3414" s="23"/>
      <c r="X3414" s="23"/>
      <c r="Y3414" s="23"/>
      <c r="Z3414" s="23"/>
    </row>
    <row r="3415" spans="1:26" ht="13">
      <c r="A3415" s="562" t="s">
        <v>7747</v>
      </c>
      <c r="B3415" s="563" t="s">
        <v>7748</v>
      </c>
      <c r="C3415" s="564" t="s">
        <v>1612</v>
      </c>
      <c r="D3415" s="565">
        <v>42061</v>
      </c>
      <c r="E3415" s="565">
        <v>42063</v>
      </c>
      <c r="F3415" s="566">
        <v>38700</v>
      </c>
      <c r="G3415" s="564" t="s">
        <v>1623</v>
      </c>
      <c r="H3415" s="564" t="s">
        <v>1623</v>
      </c>
      <c r="I3415" s="564" t="s">
        <v>802</v>
      </c>
      <c r="J3415" s="564" t="s">
        <v>1069</v>
      </c>
      <c r="K3415" s="564" t="s">
        <v>1198</v>
      </c>
      <c r="L3415" s="564" t="s">
        <v>2098</v>
      </c>
      <c r="M3415" s="564" t="s">
        <v>2098</v>
      </c>
      <c r="N3415" s="564" t="s">
        <v>132</v>
      </c>
      <c r="O3415" s="564" t="s">
        <v>2099</v>
      </c>
      <c r="P3415" s="23"/>
      <c r="Q3415" s="23"/>
      <c r="R3415" s="23"/>
      <c r="S3415" s="23"/>
      <c r="T3415" s="23"/>
      <c r="U3415" s="23"/>
      <c r="V3415" s="23"/>
      <c r="W3415" s="23"/>
      <c r="X3415" s="23"/>
      <c r="Y3415" s="23"/>
      <c r="Z3415" s="23"/>
    </row>
    <row r="3416" spans="1:26" ht="13">
      <c r="A3416" s="562" t="s">
        <v>7749</v>
      </c>
      <c r="B3416" s="563" t="s">
        <v>7750</v>
      </c>
      <c r="C3416" s="564" t="s">
        <v>1612</v>
      </c>
      <c r="D3416" s="565">
        <v>42060</v>
      </c>
      <c r="E3416" s="565">
        <v>42076</v>
      </c>
      <c r="F3416" s="566">
        <v>3090000</v>
      </c>
      <c r="G3416" s="564" t="s">
        <v>1123</v>
      </c>
      <c r="H3416" s="564" t="s">
        <v>1123</v>
      </c>
      <c r="I3416" s="564" t="s">
        <v>64</v>
      </c>
      <c r="J3416" s="564" t="s">
        <v>1069</v>
      </c>
      <c r="K3416" s="564" t="s">
        <v>1090</v>
      </c>
      <c r="L3416" s="564" t="s">
        <v>2098</v>
      </c>
      <c r="M3416" s="564" t="s">
        <v>2098</v>
      </c>
      <c r="N3416" s="564" t="s">
        <v>64</v>
      </c>
      <c r="O3416" s="564" t="s">
        <v>2099</v>
      </c>
      <c r="P3416" s="23"/>
      <c r="Q3416" s="23"/>
      <c r="R3416" s="23"/>
      <c r="S3416" s="23"/>
      <c r="T3416" s="23"/>
      <c r="U3416" s="23"/>
      <c r="V3416" s="23"/>
      <c r="W3416" s="23"/>
      <c r="X3416" s="23"/>
      <c r="Y3416" s="23"/>
      <c r="Z3416" s="23"/>
    </row>
    <row r="3417" spans="1:26" ht="13">
      <c r="A3417" s="562" t="s">
        <v>7751</v>
      </c>
      <c r="B3417" s="563" t="s">
        <v>7752</v>
      </c>
      <c r="C3417" s="564" t="s">
        <v>2191</v>
      </c>
      <c r="D3417" s="565">
        <v>42060</v>
      </c>
      <c r="E3417" s="565">
        <v>42062</v>
      </c>
      <c r="F3417" s="566">
        <v>39500000</v>
      </c>
      <c r="G3417" s="564" t="s">
        <v>1123</v>
      </c>
      <c r="H3417" s="564" t="s">
        <v>1123</v>
      </c>
      <c r="I3417" s="564" t="s">
        <v>140</v>
      </c>
      <c r="J3417" s="564" t="s">
        <v>1069</v>
      </c>
      <c r="K3417" s="564" t="s">
        <v>1205</v>
      </c>
      <c r="L3417" s="564" t="s">
        <v>2098</v>
      </c>
      <c r="M3417" s="564" t="s">
        <v>2098</v>
      </c>
      <c r="N3417" s="564" t="s">
        <v>1073</v>
      </c>
      <c r="O3417" s="564" t="s">
        <v>2099</v>
      </c>
      <c r="P3417" s="23"/>
      <c r="Q3417" s="23"/>
      <c r="R3417" s="23"/>
      <c r="S3417" s="23"/>
      <c r="T3417" s="23"/>
      <c r="U3417" s="23"/>
      <c r="V3417" s="23"/>
      <c r="W3417" s="23"/>
      <c r="X3417" s="23"/>
      <c r="Y3417" s="23"/>
      <c r="Z3417" s="23"/>
    </row>
    <row r="3418" spans="1:26" ht="13">
      <c r="A3418" s="562" t="s">
        <v>7753</v>
      </c>
      <c r="B3418" s="563" t="s">
        <v>7754</v>
      </c>
      <c r="C3418" s="564" t="s">
        <v>1612</v>
      </c>
      <c r="D3418" s="565">
        <v>42052</v>
      </c>
      <c r="E3418" s="565">
        <v>42094</v>
      </c>
      <c r="F3418" s="566">
        <v>103000000</v>
      </c>
      <c r="G3418" s="564" t="s">
        <v>5465</v>
      </c>
      <c r="H3418" s="564" t="s">
        <v>5465</v>
      </c>
      <c r="I3418" s="564" t="s">
        <v>45</v>
      </c>
      <c r="J3418" s="564" t="s">
        <v>1069</v>
      </c>
      <c r="K3418" s="564" t="s">
        <v>1090</v>
      </c>
      <c r="L3418" s="564" t="s">
        <v>2098</v>
      </c>
      <c r="M3418" s="564" t="s">
        <v>2098</v>
      </c>
      <c r="N3418" s="564" t="s">
        <v>45</v>
      </c>
      <c r="O3418" s="564" t="s">
        <v>2099</v>
      </c>
      <c r="P3418" s="23"/>
      <c r="Q3418" s="23"/>
      <c r="R3418" s="23"/>
      <c r="S3418" s="23"/>
      <c r="T3418" s="23"/>
      <c r="U3418" s="23"/>
      <c r="V3418" s="23"/>
      <c r="W3418" s="23"/>
      <c r="X3418" s="23"/>
      <c r="Y3418" s="23"/>
      <c r="Z3418" s="23"/>
    </row>
    <row r="3419" spans="1:26" ht="13">
      <c r="A3419" s="562" t="s">
        <v>7755</v>
      </c>
      <c r="B3419" s="563" t="s">
        <v>7756</v>
      </c>
      <c r="C3419" s="564" t="s">
        <v>2191</v>
      </c>
      <c r="D3419" s="565">
        <v>42051</v>
      </c>
      <c r="E3419" s="565">
        <v>42247</v>
      </c>
      <c r="F3419" s="566">
        <v>130000000</v>
      </c>
      <c r="G3419" s="564" t="s">
        <v>1123</v>
      </c>
      <c r="H3419" s="564" t="s">
        <v>1123</v>
      </c>
      <c r="I3419" s="564" t="s">
        <v>7757</v>
      </c>
      <c r="J3419" s="564" t="s">
        <v>1069</v>
      </c>
      <c r="K3419" s="564" t="s">
        <v>1070</v>
      </c>
      <c r="L3419" s="564" t="s">
        <v>2098</v>
      </c>
      <c r="M3419" s="564" t="s">
        <v>2098</v>
      </c>
      <c r="N3419" s="564" t="s">
        <v>1082</v>
      </c>
      <c r="O3419" s="564" t="s">
        <v>2099</v>
      </c>
      <c r="P3419" s="23"/>
      <c r="Q3419" s="23"/>
      <c r="R3419" s="23"/>
      <c r="S3419" s="23"/>
      <c r="T3419" s="23"/>
      <c r="U3419" s="23"/>
      <c r="V3419" s="23"/>
      <c r="W3419" s="23"/>
      <c r="X3419" s="23"/>
      <c r="Y3419" s="23"/>
      <c r="Z3419" s="23"/>
    </row>
    <row r="3420" spans="1:26" ht="13">
      <c r="A3420" s="562" t="s">
        <v>7758</v>
      </c>
      <c r="B3420" s="563" t="s">
        <v>6607</v>
      </c>
      <c r="C3420" s="564" t="s">
        <v>1873</v>
      </c>
      <c r="D3420" s="565">
        <v>42051</v>
      </c>
      <c r="E3420" s="565">
        <v>42079</v>
      </c>
      <c r="F3420" s="566">
        <v>2321400</v>
      </c>
      <c r="G3420" s="564" t="s">
        <v>1424</v>
      </c>
      <c r="H3420" s="564" t="s">
        <v>1424</v>
      </c>
      <c r="I3420" s="564" t="s">
        <v>170</v>
      </c>
      <c r="J3420" s="564" t="s">
        <v>1069</v>
      </c>
      <c r="K3420" s="564" t="s">
        <v>1105</v>
      </c>
      <c r="L3420" s="564" t="s">
        <v>2098</v>
      </c>
      <c r="M3420" s="564" t="s">
        <v>2098</v>
      </c>
      <c r="N3420" s="564" t="s">
        <v>170</v>
      </c>
      <c r="O3420" s="564" t="s">
        <v>2099</v>
      </c>
      <c r="P3420" s="23"/>
      <c r="Q3420" s="23"/>
      <c r="R3420" s="23"/>
      <c r="S3420" s="23"/>
      <c r="T3420" s="23"/>
      <c r="U3420" s="23"/>
      <c r="V3420" s="23"/>
      <c r="W3420" s="23"/>
      <c r="X3420" s="23"/>
      <c r="Y3420" s="23"/>
      <c r="Z3420" s="23"/>
    </row>
    <row r="3421" spans="1:26" ht="13">
      <c r="A3421" s="562" t="s">
        <v>7759</v>
      </c>
      <c r="B3421" s="563" t="s">
        <v>7760</v>
      </c>
      <c r="C3421" s="564" t="s">
        <v>1612</v>
      </c>
      <c r="D3421" s="565">
        <v>42051</v>
      </c>
      <c r="E3421" s="565">
        <v>42079</v>
      </c>
      <c r="F3421" s="566">
        <v>2776</v>
      </c>
      <c r="G3421" s="564" t="s">
        <v>1424</v>
      </c>
      <c r="H3421" s="564" t="s">
        <v>1424</v>
      </c>
      <c r="I3421" s="564" t="s">
        <v>70</v>
      </c>
      <c r="J3421" s="564" t="s">
        <v>1069</v>
      </c>
      <c r="K3421" s="564" t="s">
        <v>1120</v>
      </c>
      <c r="L3421" s="564" t="s">
        <v>2098</v>
      </c>
      <c r="M3421" s="564" t="s">
        <v>2098</v>
      </c>
      <c r="N3421" s="564" t="s">
        <v>70</v>
      </c>
      <c r="O3421" s="564" t="s">
        <v>2099</v>
      </c>
      <c r="P3421" s="23"/>
      <c r="Q3421" s="23"/>
      <c r="R3421" s="23"/>
      <c r="S3421" s="23"/>
      <c r="T3421" s="23"/>
      <c r="U3421" s="23"/>
      <c r="V3421" s="23"/>
      <c r="W3421" s="23"/>
      <c r="X3421" s="23"/>
      <c r="Y3421" s="23"/>
      <c r="Z3421" s="23"/>
    </row>
    <row r="3422" spans="1:26" ht="13">
      <c r="A3422" s="562" t="s">
        <v>7761</v>
      </c>
      <c r="B3422" s="563" t="s">
        <v>7762</v>
      </c>
      <c r="C3422" s="564" t="s">
        <v>1612</v>
      </c>
      <c r="D3422" s="565">
        <v>42051</v>
      </c>
      <c r="E3422" s="565">
        <v>42055</v>
      </c>
      <c r="F3422" s="566">
        <v>16422000</v>
      </c>
      <c r="G3422" s="564" t="s">
        <v>1623</v>
      </c>
      <c r="H3422" s="564" t="s">
        <v>1623</v>
      </c>
      <c r="I3422" s="564" t="s">
        <v>802</v>
      </c>
      <c r="J3422" s="564" t="s">
        <v>1069</v>
      </c>
      <c r="K3422" s="564" t="s">
        <v>1198</v>
      </c>
      <c r="L3422" s="564" t="s">
        <v>2098</v>
      </c>
      <c r="M3422" s="564" t="s">
        <v>2098</v>
      </c>
      <c r="N3422" s="564" t="s">
        <v>132</v>
      </c>
      <c r="O3422" s="564" t="s">
        <v>2099</v>
      </c>
      <c r="P3422" s="23"/>
      <c r="Q3422" s="23"/>
      <c r="R3422" s="23"/>
      <c r="S3422" s="23"/>
      <c r="T3422" s="23"/>
      <c r="U3422" s="23"/>
      <c r="V3422" s="23"/>
      <c r="W3422" s="23"/>
      <c r="X3422" s="23"/>
      <c r="Y3422" s="23"/>
      <c r="Z3422" s="23"/>
    </row>
    <row r="3423" spans="1:26" ht="13">
      <c r="A3423" s="562" t="s">
        <v>7763</v>
      </c>
      <c r="B3423" s="563" t="s">
        <v>7467</v>
      </c>
      <c r="C3423" s="564" t="s">
        <v>1612</v>
      </c>
      <c r="D3423" s="565">
        <v>42047</v>
      </c>
      <c r="E3423" s="565">
        <v>42059</v>
      </c>
      <c r="F3423" s="566">
        <v>22230</v>
      </c>
      <c r="G3423" s="564" t="s">
        <v>337</v>
      </c>
      <c r="H3423" s="564" t="s">
        <v>337</v>
      </c>
      <c r="I3423" s="564" t="s">
        <v>1837</v>
      </c>
      <c r="J3423" s="564" t="s">
        <v>1069</v>
      </c>
      <c r="K3423" s="564" t="s">
        <v>1090</v>
      </c>
      <c r="L3423" s="564" t="s">
        <v>2098</v>
      </c>
      <c r="M3423" s="564" t="s">
        <v>2098</v>
      </c>
      <c r="N3423" s="564" t="s">
        <v>1082</v>
      </c>
      <c r="O3423" s="564" t="s">
        <v>2099</v>
      </c>
      <c r="P3423" s="23"/>
      <c r="Q3423" s="23"/>
      <c r="R3423" s="23"/>
      <c r="S3423" s="23"/>
      <c r="T3423" s="23"/>
      <c r="U3423" s="23"/>
      <c r="V3423" s="23"/>
      <c r="W3423" s="23"/>
      <c r="X3423" s="23"/>
      <c r="Y3423" s="23"/>
      <c r="Z3423" s="23"/>
    </row>
    <row r="3424" spans="1:26" ht="13">
      <c r="A3424" s="562" t="s">
        <v>7764</v>
      </c>
      <c r="B3424" s="563" t="s">
        <v>7765</v>
      </c>
      <c r="C3424" s="564" t="s">
        <v>1612</v>
      </c>
      <c r="D3424" s="565">
        <v>42048</v>
      </c>
      <c r="E3424" s="565">
        <v>42075</v>
      </c>
      <c r="F3424" s="566">
        <v>7365</v>
      </c>
      <c r="G3424" s="564" t="s">
        <v>1424</v>
      </c>
      <c r="H3424" s="564" t="s">
        <v>1424</v>
      </c>
      <c r="I3424" s="564" t="s">
        <v>64</v>
      </c>
      <c r="J3424" s="564" t="s">
        <v>1069</v>
      </c>
      <c r="K3424" s="564" t="s">
        <v>1090</v>
      </c>
      <c r="L3424" s="564" t="s">
        <v>2098</v>
      </c>
      <c r="M3424" s="564" t="s">
        <v>2098</v>
      </c>
      <c r="N3424" s="564" t="s">
        <v>64</v>
      </c>
      <c r="O3424" s="564" t="s">
        <v>2099</v>
      </c>
      <c r="P3424" s="23"/>
      <c r="Q3424" s="23"/>
      <c r="R3424" s="23"/>
      <c r="S3424" s="23"/>
      <c r="T3424" s="23"/>
      <c r="U3424" s="23"/>
      <c r="V3424" s="23"/>
      <c r="W3424" s="23"/>
      <c r="X3424" s="23"/>
      <c r="Y3424" s="23"/>
      <c r="Z3424" s="23"/>
    </row>
    <row r="3425" spans="1:26" ht="13">
      <c r="A3425" s="562" t="s">
        <v>7766</v>
      </c>
      <c r="B3425" s="563" t="s">
        <v>7767</v>
      </c>
      <c r="C3425" s="564" t="s">
        <v>1612</v>
      </c>
      <c r="D3425" s="565">
        <v>42046</v>
      </c>
      <c r="E3425" s="565">
        <v>42055</v>
      </c>
      <c r="F3425" s="566">
        <v>93009000</v>
      </c>
      <c r="G3425" s="564" t="s">
        <v>1623</v>
      </c>
      <c r="H3425" s="564" t="s">
        <v>1623</v>
      </c>
      <c r="I3425" s="564" t="s">
        <v>7768</v>
      </c>
      <c r="J3425" s="564" t="s">
        <v>1069</v>
      </c>
      <c r="K3425" s="564" t="s">
        <v>1198</v>
      </c>
      <c r="L3425" s="564" t="s">
        <v>2098</v>
      </c>
      <c r="M3425" s="564" t="s">
        <v>2098</v>
      </c>
      <c r="N3425" s="564" t="s">
        <v>1073</v>
      </c>
      <c r="O3425" s="564" t="s">
        <v>2099</v>
      </c>
      <c r="P3425" s="23"/>
      <c r="Q3425" s="23"/>
      <c r="R3425" s="23"/>
      <c r="S3425" s="23"/>
      <c r="T3425" s="23"/>
      <c r="U3425" s="23"/>
      <c r="V3425" s="23"/>
      <c r="W3425" s="23"/>
      <c r="X3425" s="23"/>
      <c r="Y3425" s="23"/>
      <c r="Z3425" s="23"/>
    </row>
    <row r="3426" spans="1:26" ht="13">
      <c r="A3426" s="562" t="s">
        <v>7769</v>
      </c>
      <c r="B3426" s="563" t="s">
        <v>7467</v>
      </c>
      <c r="C3426" s="564" t="s">
        <v>1612</v>
      </c>
      <c r="D3426" s="565">
        <v>42041</v>
      </c>
      <c r="E3426" s="565">
        <v>42048</v>
      </c>
      <c r="F3426" s="566">
        <v>7052</v>
      </c>
      <c r="G3426" s="564" t="s">
        <v>337</v>
      </c>
      <c r="H3426" s="564" t="s">
        <v>337</v>
      </c>
      <c r="I3426" s="564" t="s">
        <v>1837</v>
      </c>
      <c r="J3426" s="564" t="s">
        <v>1069</v>
      </c>
      <c r="K3426" s="564" t="s">
        <v>1090</v>
      </c>
      <c r="L3426" s="564" t="s">
        <v>2098</v>
      </c>
      <c r="M3426" s="564" t="s">
        <v>2098</v>
      </c>
      <c r="N3426" s="564" t="s">
        <v>1082</v>
      </c>
      <c r="O3426" s="564" t="s">
        <v>2099</v>
      </c>
      <c r="P3426" s="23"/>
      <c r="Q3426" s="23"/>
      <c r="R3426" s="23"/>
      <c r="S3426" s="23"/>
      <c r="T3426" s="23"/>
      <c r="U3426" s="23"/>
      <c r="V3426" s="23"/>
      <c r="W3426" s="23"/>
      <c r="X3426" s="23"/>
      <c r="Y3426" s="23"/>
      <c r="Z3426" s="23"/>
    </row>
    <row r="3427" spans="1:26" ht="13">
      <c r="A3427" s="562" t="s">
        <v>7770</v>
      </c>
      <c r="B3427" s="563" t="s">
        <v>7771</v>
      </c>
      <c r="C3427" s="564" t="s">
        <v>1612</v>
      </c>
      <c r="D3427" s="565">
        <v>42041</v>
      </c>
      <c r="E3427" s="565">
        <v>42036</v>
      </c>
      <c r="F3427" s="566">
        <v>66766680</v>
      </c>
      <c r="G3427" s="564" t="s">
        <v>337</v>
      </c>
      <c r="H3427" s="564" t="s">
        <v>337</v>
      </c>
      <c r="I3427" s="564" t="s">
        <v>45</v>
      </c>
      <c r="J3427" s="564" t="s">
        <v>1069</v>
      </c>
      <c r="K3427" s="564" t="s">
        <v>1090</v>
      </c>
      <c r="L3427" s="564" t="s">
        <v>1071</v>
      </c>
      <c r="M3427" s="564" t="s">
        <v>1183</v>
      </c>
      <c r="N3427" s="564" t="s">
        <v>45</v>
      </c>
      <c r="O3427" s="564" t="s">
        <v>2099</v>
      </c>
      <c r="P3427" s="23"/>
      <c r="Q3427" s="23"/>
      <c r="R3427" s="23"/>
      <c r="S3427" s="23"/>
      <c r="T3427" s="23"/>
      <c r="U3427" s="23"/>
      <c r="V3427" s="23"/>
      <c r="W3427" s="23"/>
      <c r="X3427" s="23"/>
      <c r="Y3427" s="23"/>
      <c r="Z3427" s="23"/>
    </row>
    <row r="3428" spans="1:26" ht="13">
      <c r="A3428" s="562" t="s">
        <v>7772</v>
      </c>
      <c r="B3428" s="563" t="s">
        <v>7773</v>
      </c>
      <c r="C3428" s="564" t="s">
        <v>1204</v>
      </c>
      <c r="D3428" s="565">
        <v>42041</v>
      </c>
      <c r="E3428" s="565">
        <v>42069</v>
      </c>
      <c r="F3428" s="566">
        <v>10789200</v>
      </c>
      <c r="G3428" s="564" t="s">
        <v>1424</v>
      </c>
      <c r="H3428" s="564" t="s">
        <v>1424</v>
      </c>
      <c r="I3428" s="564" t="s">
        <v>1471</v>
      </c>
      <c r="J3428" s="564" t="s">
        <v>1069</v>
      </c>
      <c r="K3428" s="564" t="s">
        <v>1070</v>
      </c>
      <c r="L3428" s="564" t="s">
        <v>1071</v>
      </c>
      <c r="M3428" s="564" t="s">
        <v>1183</v>
      </c>
      <c r="N3428" s="564" t="s">
        <v>1082</v>
      </c>
      <c r="O3428" s="564" t="s">
        <v>1472</v>
      </c>
      <c r="P3428" s="23"/>
      <c r="Q3428" s="23"/>
      <c r="R3428" s="23"/>
      <c r="S3428" s="23"/>
      <c r="T3428" s="23"/>
      <c r="U3428" s="23"/>
      <c r="V3428" s="23"/>
      <c r="W3428" s="23"/>
      <c r="X3428" s="23"/>
      <c r="Y3428" s="23"/>
      <c r="Z3428" s="23"/>
    </row>
    <row r="3429" spans="1:26" ht="13">
      <c r="A3429" s="562" t="s">
        <v>7774</v>
      </c>
      <c r="B3429" s="563" t="s">
        <v>7775</v>
      </c>
      <c r="C3429" s="564" t="s">
        <v>1612</v>
      </c>
      <c r="D3429" s="565">
        <v>42041</v>
      </c>
      <c r="E3429" s="565">
        <v>42055</v>
      </c>
      <c r="F3429" s="566">
        <v>11378880</v>
      </c>
      <c r="G3429" s="564" t="s">
        <v>337</v>
      </c>
      <c r="H3429" s="564" t="s">
        <v>337</v>
      </c>
      <c r="I3429" s="564" t="s">
        <v>45</v>
      </c>
      <c r="J3429" s="564" t="s">
        <v>1069</v>
      </c>
      <c r="K3429" s="564" t="s">
        <v>1090</v>
      </c>
      <c r="L3429" s="564" t="s">
        <v>2098</v>
      </c>
      <c r="M3429" s="564" t="s">
        <v>2098</v>
      </c>
      <c r="N3429" s="564" t="s">
        <v>45</v>
      </c>
      <c r="O3429" s="564" t="s">
        <v>2099</v>
      </c>
      <c r="P3429" s="23"/>
      <c r="Q3429" s="23"/>
      <c r="R3429" s="23"/>
      <c r="S3429" s="23"/>
      <c r="T3429" s="23"/>
      <c r="U3429" s="23"/>
      <c r="V3429" s="23"/>
      <c r="W3429" s="23"/>
      <c r="X3429" s="23"/>
      <c r="Y3429" s="23"/>
      <c r="Z3429" s="23"/>
    </row>
    <row r="3430" spans="1:26" ht="13">
      <c r="A3430" s="562" t="s">
        <v>7776</v>
      </c>
      <c r="B3430" s="563" t="s">
        <v>6669</v>
      </c>
      <c r="C3430" s="564" t="s">
        <v>1612</v>
      </c>
      <c r="D3430" s="565">
        <v>42040</v>
      </c>
      <c r="E3430" s="565">
        <v>42062</v>
      </c>
      <c r="F3430" s="566">
        <v>2200000</v>
      </c>
      <c r="G3430" s="564" t="s">
        <v>5465</v>
      </c>
      <c r="H3430" s="564" t="s">
        <v>5465</v>
      </c>
      <c r="I3430" s="564" t="s">
        <v>45</v>
      </c>
      <c r="J3430" s="564" t="s">
        <v>1069</v>
      </c>
      <c r="K3430" s="564" t="s">
        <v>1090</v>
      </c>
      <c r="L3430" s="564" t="s">
        <v>2098</v>
      </c>
      <c r="M3430" s="564" t="s">
        <v>2098</v>
      </c>
      <c r="N3430" s="564" t="s">
        <v>45</v>
      </c>
      <c r="O3430" s="564" t="s">
        <v>2099</v>
      </c>
      <c r="P3430" s="23"/>
      <c r="Q3430" s="23"/>
      <c r="R3430" s="23"/>
      <c r="S3430" s="23"/>
      <c r="T3430" s="23"/>
      <c r="U3430" s="23"/>
      <c r="V3430" s="23"/>
      <c r="W3430" s="23"/>
      <c r="X3430" s="23"/>
      <c r="Y3430" s="23"/>
      <c r="Z3430" s="23"/>
    </row>
    <row r="3431" spans="1:26" ht="13">
      <c r="A3431" s="562" t="s">
        <v>7777</v>
      </c>
      <c r="B3431" s="563" t="s">
        <v>7095</v>
      </c>
      <c r="C3431" s="564" t="s">
        <v>1612</v>
      </c>
      <c r="D3431" s="565">
        <v>42040</v>
      </c>
      <c r="E3431" s="565">
        <v>42067</v>
      </c>
      <c r="F3431" s="566">
        <v>4600</v>
      </c>
      <c r="G3431" s="564" t="s">
        <v>1424</v>
      </c>
      <c r="H3431" s="564" t="s">
        <v>1424</v>
      </c>
      <c r="I3431" s="564" t="s">
        <v>64</v>
      </c>
      <c r="J3431" s="564" t="s">
        <v>1069</v>
      </c>
      <c r="K3431" s="564" t="s">
        <v>1090</v>
      </c>
      <c r="L3431" s="564" t="s">
        <v>2098</v>
      </c>
      <c r="M3431" s="564" t="s">
        <v>2098</v>
      </c>
      <c r="N3431" s="564" t="s">
        <v>64</v>
      </c>
      <c r="O3431" s="564" t="s">
        <v>2099</v>
      </c>
      <c r="P3431" s="23"/>
      <c r="Q3431" s="23"/>
      <c r="R3431" s="23"/>
      <c r="S3431" s="23"/>
      <c r="T3431" s="23"/>
      <c r="U3431" s="23"/>
      <c r="V3431" s="23"/>
      <c r="W3431" s="23"/>
      <c r="X3431" s="23"/>
      <c r="Y3431" s="23"/>
      <c r="Z3431" s="23"/>
    </row>
    <row r="3432" spans="1:26" ht="13">
      <c r="A3432" s="562" t="s">
        <v>7778</v>
      </c>
      <c r="B3432" s="563" t="s">
        <v>7779</v>
      </c>
      <c r="C3432" s="564" t="s">
        <v>1612</v>
      </c>
      <c r="D3432" s="565">
        <v>42039</v>
      </c>
      <c r="E3432" s="565">
        <v>42055</v>
      </c>
      <c r="F3432" s="566">
        <v>1230</v>
      </c>
      <c r="G3432" s="564" t="s">
        <v>1623</v>
      </c>
      <c r="H3432" s="564" t="s">
        <v>1623</v>
      </c>
      <c r="I3432" s="564" t="s">
        <v>802</v>
      </c>
      <c r="J3432" s="564" t="s">
        <v>1069</v>
      </c>
      <c r="K3432" s="564" t="s">
        <v>1198</v>
      </c>
      <c r="L3432" s="564" t="s">
        <v>2098</v>
      </c>
      <c r="M3432" s="564" t="s">
        <v>2098</v>
      </c>
      <c r="N3432" s="564" t="s">
        <v>132</v>
      </c>
      <c r="O3432" s="564" t="s">
        <v>2099</v>
      </c>
      <c r="P3432" s="23"/>
      <c r="Q3432" s="23"/>
      <c r="R3432" s="23"/>
      <c r="S3432" s="23"/>
      <c r="T3432" s="23"/>
      <c r="U3432" s="23"/>
      <c r="V3432" s="23"/>
      <c r="W3432" s="23"/>
      <c r="X3432" s="23"/>
      <c r="Y3432" s="23"/>
      <c r="Z3432" s="23"/>
    </row>
    <row r="3433" spans="1:26" ht="13">
      <c r="A3433" s="562" t="s">
        <v>7780</v>
      </c>
      <c r="B3433" s="563" t="s">
        <v>7781</v>
      </c>
      <c r="C3433" s="564" t="s">
        <v>1612</v>
      </c>
      <c r="D3433" s="565">
        <v>42038</v>
      </c>
      <c r="E3433" s="565">
        <v>42066</v>
      </c>
      <c r="F3433" s="566">
        <v>10350</v>
      </c>
      <c r="G3433" s="564" t="s">
        <v>1424</v>
      </c>
      <c r="H3433" s="564" t="s">
        <v>1424</v>
      </c>
      <c r="I3433" s="564" t="s">
        <v>1837</v>
      </c>
      <c r="J3433" s="564" t="s">
        <v>1069</v>
      </c>
      <c r="K3433" s="564" t="s">
        <v>1070</v>
      </c>
      <c r="L3433" s="564" t="s">
        <v>2098</v>
      </c>
      <c r="M3433" s="564" t="s">
        <v>2098</v>
      </c>
      <c r="N3433" s="564" t="s">
        <v>1082</v>
      </c>
      <c r="O3433" s="564" t="s">
        <v>2099</v>
      </c>
      <c r="P3433" s="23"/>
      <c r="Q3433" s="23"/>
      <c r="R3433" s="23"/>
      <c r="S3433" s="23"/>
      <c r="T3433" s="23"/>
      <c r="U3433" s="23"/>
      <c r="V3433" s="23"/>
      <c r="W3433" s="23"/>
      <c r="X3433" s="23"/>
      <c r="Y3433" s="23"/>
      <c r="Z3433" s="23"/>
    </row>
    <row r="3434" spans="1:26" ht="13">
      <c r="A3434" s="562" t="s">
        <v>7782</v>
      </c>
      <c r="B3434" s="563" t="s">
        <v>7783</v>
      </c>
      <c r="C3434" s="564" t="s">
        <v>1612</v>
      </c>
      <c r="D3434" s="565">
        <v>42038</v>
      </c>
      <c r="E3434" s="565">
        <v>42060</v>
      </c>
      <c r="F3434" s="566">
        <v>32421000</v>
      </c>
      <c r="G3434" s="564" t="s">
        <v>297</v>
      </c>
      <c r="H3434" s="564" t="s">
        <v>297</v>
      </c>
      <c r="I3434" s="564" t="s">
        <v>1826</v>
      </c>
      <c r="J3434" s="564" t="s">
        <v>1069</v>
      </c>
      <c r="K3434" s="564" t="s">
        <v>1070</v>
      </c>
      <c r="L3434" s="564" t="s">
        <v>2098</v>
      </c>
      <c r="M3434" s="564" t="s">
        <v>2098</v>
      </c>
      <c r="N3434" s="564" t="s">
        <v>1082</v>
      </c>
      <c r="O3434" s="564" t="s">
        <v>2099</v>
      </c>
      <c r="P3434" s="23"/>
      <c r="Q3434" s="23"/>
      <c r="R3434" s="23"/>
      <c r="S3434" s="23"/>
      <c r="T3434" s="23"/>
      <c r="U3434" s="23"/>
      <c r="V3434" s="23"/>
      <c r="W3434" s="23"/>
      <c r="X3434" s="23"/>
      <c r="Y3434" s="23"/>
      <c r="Z3434" s="23"/>
    </row>
    <row r="3435" spans="1:26" ht="13">
      <c r="A3435" s="562" t="s">
        <v>7784</v>
      </c>
      <c r="B3435" s="563" t="s">
        <v>7736</v>
      </c>
      <c r="C3435" s="564" t="s">
        <v>2191</v>
      </c>
      <c r="D3435" s="565">
        <v>42039</v>
      </c>
      <c r="E3435" s="565">
        <v>42048</v>
      </c>
      <c r="F3435" s="566">
        <v>4400000</v>
      </c>
      <c r="G3435" s="564" t="s">
        <v>1529</v>
      </c>
      <c r="H3435" s="564" t="s">
        <v>1529</v>
      </c>
      <c r="I3435" s="564" t="s">
        <v>1417</v>
      </c>
      <c r="J3435" s="564" t="s">
        <v>1069</v>
      </c>
      <c r="K3435" s="564" t="s">
        <v>1070</v>
      </c>
      <c r="L3435" s="564" t="s">
        <v>2098</v>
      </c>
      <c r="M3435" s="564" t="s">
        <v>2098</v>
      </c>
      <c r="N3435" s="564" t="s">
        <v>1082</v>
      </c>
      <c r="O3435" s="564" t="s">
        <v>2099</v>
      </c>
      <c r="P3435" s="23"/>
      <c r="Q3435" s="23"/>
      <c r="R3435" s="23"/>
      <c r="S3435" s="23"/>
      <c r="T3435" s="23"/>
      <c r="U3435" s="23"/>
      <c r="V3435" s="23"/>
      <c r="W3435" s="23"/>
      <c r="X3435" s="23"/>
      <c r="Y3435" s="23"/>
      <c r="Z3435" s="23"/>
    </row>
    <row r="3436" spans="1:26" ht="13">
      <c r="A3436" s="562" t="s">
        <v>7785</v>
      </c>
      <c r="B3436" s="563" t="s">
        <v>7786</v>
      </c>
      <c r="C3436" s="564" t="s">
        <v>1612</v>
      </c>
      <c r="D3436" s="565">
        <v>42037</v>
      </c>
      <c r="E3436" s="565">
        <v>42062</v>
      </c>
      <c r="F3436" s="567">
        <v>830</v>
      </c>
      <c r="G3436" s="564" t="s">
        <v>1424</v>
      </c>
      <c r="H3436" s="564" t="s">
        <v>1424</v>
      </c>
      <c r="I3436" s="564" t="s">
        <v>3824</v>
      </c>
      <c r="J3436" s="564" t="s">
        <v>1069</v>
      </c>
      <c r="K3436" s="564" t="s">
        <v>1070</v>
      </c>
      <c r="L3436" s="564" t="s">
        <v>2098</v>
      </c>
      <c r="M3436" s="564" t="s">
        <v>2098</v>
      </c>
      <c r="N3436" s="564" t="s">
        <v>1073</v>
      </c>
      <c r="O3436" s="564" t="s">
        <v>2099</v>
      </c>
      <c r="P3436" s="23"/>
      <c r="Q3436" s="23"/>
      <c r="R3436" s="23"/>
      <c r="S3436" s="23"/>
      <c r="T3436" s="23"/>
      <c r="U3436" s="23"/>
      <c r="V3436" s="23"/>
      <c r="W3436" s="23"/>
      <c r="X3436" s="23"/>
      <c r="Y3436" s="23"/>
      <c r="Z3436" s="23"/>
    </row>
    <row r="3437" spans="1:26" ht="13">
      <c r="A3437" s="562" t="s">
        <v>7787</v>
      </c>
      <c r="B3437" s="563" t="s">
        <v>7788</v>
      </c>
      <c r="C3437" s="564" t="s">
        <v>1612</v>
      </c>
      <c r="D3437" s="565">
        <v>42037</v>
      </c>
      <c r="E3437" s="565">
        <v>42062</v>
      </c>
      <c r="F3437" s="567">
        <v>830</v>
      </c>
      <c r="G3437" s="564" t="s">
        <v>1424</v>
      </c>
      <c r="H3437" s="564" t="s">
        <v>1424</v>
      </c>
      <c r="I3437" s="564" t="s">
        <v>2586</v>
      </c>
      <c r="J3437" s="564" t="s">
        <v>1069</v>
      </c>
      <c r="K3437" s="564" t="s">
        <v>1070</v>
      </c>
      <c r="L3437" s="564" t="s">
        <v>2098</v>
      </c>
      <c r="M3437" s="564" t="s">
        <v>2098</v>
      </c>
      <c r="N3437" s="564" t="s">
        <v>1073</v>
      </c>
      <c r="O3437" s="564" t="s">
        <v>2099</v>
      </c>
      <c r="P3437" s="23"/>
      <c r="Q3437" s="23"/>
      <c r="R3437" s="23"/>
      <c r="S3437" s="23"/>
      <c r="T3437" s="23"/>
      <c r="U3437" s="23"/>
      <c r="V3437" s="23"/>
      <c r="W3437" s="23"/>
      <c r="X3437" s="23"/>
      <c r="Y3437" s="23"/>
      <c r="Z3437" s="23"/>
    </row>
    <row r="3438" spans="1:26" ht="13">
      <c r="A3438" s="562" t="s">
        <v>7789</v>
      </c>
      <c r="B3438" s="563" t="s">
        <v>5537</v>
      </c>
      <c r="C3438" s="564" t="s">
        <v>1612</v>
      </c>
      <c r="D3438" s="565">
        <v>42037</v>
      </c>
      <c r="E3438" s="565">
        <v>42065</v>
      </c>
      <c r="F3438" s="567">
        <v>690</v>
      </c>
      <c r="G3438" s="564" t="s">
        <v>1424</v>
      </c>
      <c r="H3438" s="564" t="s">
        <v>1424</v>
      </c>
      <c r="I3438" s="564" t="s">
        <v>70</v>
      </c>
      <c r="J3438" s="564" t="s">
        <v>1069</v>
      </c>
      <c r="K3438" s="564" t="s">
        <v>1120</v>
      </c>
      <c r="L3438" s="564" t="s">
        <v>2098</v>
      </c>
      <c r="M3438" s="564" t="s">
        <v>2098</v>
      </c>
      <c r="N3438" s="564" t="s">
        <v>70</v>
      </c>
      <c r="O3438" s="564" t="s">
        <v>2099</v>
      </c>
      <c r="P3438" s="23"/>
      <c r="Q3438" s="23"/>
      <c r="R3438" s="23"/>
      <c r="S3438" s="23"/>
      <c r="T3438" s="23"/>
      <c r="U3438" s="23"/>
      <c r="V3438" s="23"/>
      <c r="W3438" s="23"/>
      <c r="X3438" s="23"/>
      <c r="Y3438" s="23"/>
      <c r="Z3438" s="23"/>
    </row>
    <row r="3439" spans="1:26" ht="13">
      <c r="A3439" s="562" t="s">
        <v>7790</v>
      </c>
      <c r="B3439" s="563" t="s">
        <v>7791</v>
      </c>
      <c r="C3439" s="564" t="s">
        <v>2191</v>
      </c>
      <c r="D3439" s="565">
        <v>42033</v>
      </c>
      <c r="E3439" s="565">
        <v>42039</v>
      </c>
      <c r="F3439" s="566">
        <v>1480</v>
      </c>
      <c r="G3439" s="564" t="s">
        <v>337</v>
      </c>
      <c r="H3439" s="564" t="s">
        <v>337</v>
      </c>
      <c r="I3439" s="564" t="s">
        <v>7792</v>
      </c>
      <c r="J3439" s="564" t="s">
        <v>1069</v>
      </c>
      <c r="K3439" s="564" t="s">
        <v>1070</v>
      </c>
      <c r="L3439" s="564" t="s">
        <v>2098</v>
      </c>
      <c r="M3439" s="564" t="s">
        <v>2098</v>
      </c>
      <c r="N3439" s="564" t="s">
        <v>1082</v>
      </c>
      <c r="O3439" s="564" t="s">
        <v>2099</v>
      </c>
      <c r="P3439" s="23"/>
      <c r="Q3439" s="23"/>
      <c r="R3439" s="23"/>
      <c r="S3439" s="23"/>
      <c r="T3439" s="23"/>
      <c r="U3439" s="23"/>
      <c r="V3439" s="23"/>
      <c r="W3439" s="23"/>
      <c r="X3439" s="23"/>
      <c r="Y3439" s="23"/>
      <c r="Z3439" s="23"/>
    </row>
    <row r="3440" spans="1:26" ht="13">
      <c r="A3440" s="562" t="s">
        <v>7793</v>
      </c>
      <c r="B3440" s="563" t="s">
        <v>6068</v>
      </c>
      <c r="C3440" s="564" t="s">
        <v>1612</v>
      </c>
      <c r="D3440" s="565">
        <v>42031</v>
      </c>
      <c r="E3440" s="565">
        <v>42062</v>
      </c>
      <c r="F3440" s="566">
        <v>1400</v>
      </c>
      <c r="G3440" s="564" t="s">
        <v>1424</v>
      </c>
      <c r="H3440" s="564" t="s">
        <v>1424</v>
      </c>
      <c r="I3440" s="564" t="s">
        <v>70</v>
      </c>
      <c r="J3440" s="564" t="s">
        <v>1069</v>
      </c>
      <c r="K3440" s="564" t="s">
        <v>1120</v>
      </c>
      <c r="L3440" s="564" t="s">
        <v>2098</v>
      </c>
      <c r="M3440" s="564" t="s">
        <v>2098</v>
      </c>
      <c r="N3440" s="564" t="s">
        <v>70</v>
      </c>
      <c r="O3440" s="564" t="s">
        <v>2099</v>
      </c>
      <c r="P3440" s="23"/>
      <c r="Q3440" s="23"/>
      <c r="R3440" s="23"/>
      <c r="S3440" s="23"/>
      <c r="T3440" s="23"/>
      <c r="U3440" s="23"/>
      <c r="V3440" s="23"/>
      <c r="W3440" s="23"/>
      <c r="X3440" s="23"/>
      <c r="Y3440" s="23"/>
      <c r="Z3440" s="23"/>
    </row>
    <row r="3441" spans="1:26" ht="13">
      <c r="A3441" s="562" t="s">
        <v>7794</v>
      </c>
      <c r="B3441" s="563" t="s">
        <v>7594</v>
      </c>
      <c r="C3441" s="564" t="s">
        <v>1612</v>
      </c>
      <c r="D3441" s="565">
        <v>42031</v>
      </c>
      <c r="E3441" s="565">
        <v>42062</v>
      </c>
      <c r="F3441" s="566">
        <v>2589</v>
      </c>
      <c r="G3441" s="564" t="s">
        <v>1424</v>
      </c>
      <c r="H3441" s="564" t="s">
        <v>1424</v>
      </c>
      <c r="I3441" s="564" t="s">
        <v>70</v>
      </c>
      <c r="J3441" s="564" t="s">
        <v>1069</v>
      </c>
      <c r="K3441" s="564" t="s">
        <v>1120</v>
      </c>
      <c r="L3441" s="564" t="s">
        <v>2098</v>
      </c>
      <c r="M3441" s="564" t="s">
        <v>2098</v>
      </c>
      <c r="N3441" s="564" t="s">
        <v>70</v>
      </c>
      <c r="O3441" s="564" t="s">
        <v>2099</v>
      </c>
      <c r="P3441" s="23"/>
      <c r="Q3441" s="23"/>
      <c r="R3441" s="23"/>
      <c r="S3441" s="23"/>
      <c r="T3441" s="23"/>
      <c r="U3441" s="23"/>
      <c r="V3441" s="23"/>
      <c r="W3441" s="23"/>
      <c r="X3441" s="23"/>
      <c r="Y3441" s="23"/>
      <c r="Z3441" s="23"/>
    </row>
    <row r="3442" spans="1:26" ht="13">
      <c r="A3442" s="562" t="s">
        <v>7795</v>
      </c>
      <c r="B3442" s="563" t="s">
        <v>7796</v>
      </c>
      <c r="C3442" s="564" t="s">
        <v>1612</v>
      </c>
      <c r="D3442" s="565">
        <v>42037</v>
      </c>
      <c r="E3442" s="565">
        <v>42055</v>
      </c>
      <c r="F3442" s="566">
        <v>27024840</v>
      </c>
      <c r="G3442" s="564" t="s">
        <v>337</v>
      </c>
      <c r="H3442" s="564" t="s">
        <v>337</v>
      </c>
      <c r="I3442" s="564" t="s">
        <v>45</v>
      </c>
      <c r="J3442" s="564" t="s">
        <v>1069</v>
      </c>
      <c r="K3442" s="564" t="s">
        <v>1090</v>
      </c>
      <c r="L3442" s="564" t="s">
        <v>2098</v>
      </c>
      <c r="M3442" s="564" t="s">
        <v>2098</v>
      </c>
      <c r="N3442" s="564" t="s">
        <v>45</v>
      </c>
      <c r="O3442" s="564" t="s">
        <v>2099</v>
      </c>
      <c r="P3442" s="23"/>
      <c r="Q3442" s="23"/>
      <c r="R3442" s="23"/>
      <c r="S3442" s="23"/>
      <c r="T3442" s="23"/>
      <c r="U3442" s="23"/>
      <c r="V3442" s="23"/>
      <c r="W3442" s="23"/>
      <c r="X3442" s="23"/>
      <c r="Y3442" s="23"/>
      <c r="Z3442" s="23"/>
    </row>
    <row r="3443" spans="1:26" ht="13">
      <c r="A3443" s="562" t="s">
        <v>7797</v>
      </c>
      <c r="B3443" s="563" t="s">
        <v>7798</v>
      </c>
      <c r="C3443" s="564" t="s">
        <v>1612</v>
      </c>
      <c r="D3443" s="565">
        <v>42030</v>
      </c>
      <c r="E3443" s="565">
        <v>42058</v>
      </c>
      <c r="F3443" s="566">
        <v>17260</v>
      </c>
      <c r="G3443" s="564" t="s">
        <v>1424</v>
      </c>
      <c r="H3443" s="564" t="s">
        <v>1424</v>
      </c>
      <c r="I3443" s="564" t="s">
        <v>70</v>
      </c>
      <c r="J3443" s="564" t="s">
        <v>1069</v>
      </c>
      <c r="K3443" s="564" t="s">
        <v>1120</v>
      </c>
      <c r="L3443" s="564" t="s">
        <v>2098</v>
      </c>
      <c r="M3443" s="564" t="s">
        <v>2098</v>
      </c>
      <c r="N3443" s="564" t="s">
        <v>70</v>
      </c>
      <c r="O3443" s="564" t="s">
        <v>2099</v>
      </c>
      <c r="P3443" s="23"/>
      <c r="Q3443" s="23"/>
      <c r="R3443" s="23"/>
      <c r="S3443" s="23"/>
      <c r="T3443" s="23"/>
      <c r="U3443" s="23"/>
      <c r="V3443" s="23"/>
      <c r="W3443" s="23"/>
      <c r="X3443" s="23"/>
      <c r="Y3443" s="23"/>
      <c r="Z3443" s="23"/>
    </row>
    <row r="3444" spans="1:26" ht="13">
      <c r="A3444" s="562" t="s">
        <v>7799</v>
      </c>
      <c r="B3444" s="563" t="s">
        <v>7190</v>
      </c>
      <c r="C3444" s="564" t="s">
        <v>1612</v>
      </c>
      <c r="D3444" s="565">
        <v>42030</v>
      </c>
      <c r="E3444" s="565">
        <v>42034</v>
      </c>
      <c r="F3444" s="566">
        <v>11440000</v>
      </c>
      <c r="G3444" s="564" t="s">
        <v>1128</v>
      </c>
      <c r="H3444" s="564" t="s">
        <v>1128</v>
      </c>
      <c r="I3444" s="564" t="s">
        <v>45</v>
      </c>
      <c r="J3444" s="564" t="s">
        <v>1069</v>
      </c>
      <c r="K3444" s="564" t="s">
        <v>1090</v>
      </c>
      <c r="L3444" s="564" t="s">
        <v>2098</v>
      </c>
      <c r="M3444" s="564" t="s">
        <v>2098</v>
      </c>
      <c r="N3444" s="564" t="s">
        <v>45</v>
      </c>
      <c r="O3444" s="564" t="s">
        <v>2099</v>
      </c>
      <c r="P3444" s="23"/>
      <c r="Q3444" s="23"/>
      <c r="R3444" s="23"/>
      <c r="S3444" s="23"/>
      <c r="T3444" s="23"/>
      <c r="U3444" s="23"/>
      <c r="V3444" s="23"/>
      <c r="W3444" s="23"/>
      <c r="X3444" s="23"/>
      <c r="Y3444" s="23"/>
      <c r="Z3444" s="23"/>
    </row>
    <row r="3445" spans="1:26" ht="13">
      <c r="A3445" s="562" t="s">
        <v>7800</v>
      </c>
      <c r="B3445" s="563" t="s">
        <v>7801</v>
      </c>
      <c r="C3445" s="564" t="s">
        <v>1612</v>
      </c>
      <c r="D3445" s="565">
        <v>42027</v>
      </c>
      <c r="E3445" s="565">
        <v>42058</v>
      </c>
      <c r="F3445" s="566">
        <v>464000</v>
      </c>
      <c r="G3445" s="564" t="s">
        <v>1424</v>
      </c>
      <c r="H3445" s="564" t="s">
        <v>1424</v>
      </c>
      <c r="I3445" s="564" t="s">
        <v>125</v>
      </c>
      <c r="J3445" s="564" t="s">
        <v>1069</v>
      </c>
      <c r="K3445" s="564" t="s">
        <v>1070</v>
      </c>
      <c r="L3445" s="564" t="s">
        <v>2098</v>
      </c>
      <c r="M3445" s="564" t="s">
        <v>2098</v>
      </c>
      <c r="N3445" s="564" t="s">
        <v>1073</v>
      </c>
      <c r="O3445" s="564" t="s">
        <v>2099</v>
      </c>
      <c r="P3445" s="23"/>
      <c r="Q3445" s="23"/>
      <c r="R3445" s="23"/>
      <c r="S3445" s="23"/>
      <c r="T3445" s="23"/>
      <c r="U3445" s="23"/>
      <c r="V3445" s="23"/>
      <c r="W3445" s="23"/>
      <c r="X3445" s="23"/>
      <c r="Y3445" s="23"/>
      <c r="Z3445" s="23"/>
    </row>
    <row r="3446" spans="1:26" ht="13">
      <c r="A3446" s="562" t="s">
        <v>7802</v>
      </c>
      <c r="B3446" s="563" t="s">
        <v>7380</v>
      </c>
      <c r="C3446" s="564" t="s">
        <v>1612</v>
      </c>
      <c r="D3446" s="565">
        <v>42025</v>
      </c>
      <c r="E3446" s="565">
        <v>42055</v>
      </c>
      <c r="F3446" s="566">
        <v>2776</v>
      </c>
      <c r="G3446" s="564" t="s">
        <v>1424</v>
      </c>
      <c r="H3446" s="564" t="s">
        <v>1424</v>
      </c>
      <c r="I3446" s="564" t="s">
        <v>70</v>
      </c>
      <c r="J3446" s="564" t="s">
        <v>1069</v>
      </c>
      <c r="K3446" s="564" t="s">
        <v>1120</v>
      </c>
      <c r="L3446" s="564" t="s">
        <v>2098</v>
      </c>
      <c r="M3446" s="564" t="s">
        <v>2098</v>
      </c>
      <c r="N3446" s="564" t="s">
        <v>70</v>
      </c>
      <c r="O3446" s="564" t="s">
        <v>2099</v>
      </c>
      <c r="P3446" s="23"/>
      <c r="Q3446" s="23"/>
      <c r="R3446" s="23"/>
      <c r="S3446" s="23"/>
      <c r="T3446" s="23"/>
      <c r="U3446" s="23"/>
      <c r="V3446" s="23"/>
      <c r="W3446" s="23"/>
      <c r="X3446" s="23"/>
      <c r="Y3446" s="23"/>
      <c r="Z3446" s="23"/>
    </row>
    <row r="3447" spans="1:26" ht="13">
      <c r="A3447" s="562" t="s">
        <v>7803</v>
      </c>
      <c r="B3447" s="563" t="s">
        <v>7436</v>
      </c>
      <c r="C3447" s="564" t="s">
        <v>1612</v>
      </c>
      <c r="D3447" s="565">
        <v>42026</v>
      </c>
      <c r="E3447" s="565">
        <v>42055</v>
      </c>
      <c r="F3447" s="566">
        <v>1050</v>
      </c>
      <c r="G3447" s="564" t="s">
        <v>1424</v>
      </c>
      <c r="H3447" s="564" t="s">
        <v>1424</v>
      </c>
      <c r="I3447" s="564" t="s">
        <v>70</v>
      </c>
      <c r="J3447" s="564" t="s">
        <v>1069</v>
      </c>
      <c r="K3447" s="564" t="s">
        <v>1120</v>
      </c>
      <c r="L3447" s="564" t="s">
        <v>2098</v>
      </c>
      <c r="M3447" s="564" t="s">
        <v>2098</v>
      </c>
      <c r="N3447" s="564" t="s">
        <v>70</v>
      </c>
      <c r="O3447" s="564" t="s">
        <v>2099</v>
      </c>
      <c r="P3447" s="23"/>
      <c r="Q3447" s="23"/>
      <c r="R3447" s="23"/>
      <c r="S3447" s="23"/>
      <c r="T3447" s="23"/>
      <c r="U3447" s="23"/>
      <c r="V3447" s="23"/>
      <c r="W3447" s="23"/>
      <c r="X3447" s="23"/>
      <c r="Y3447" s="23"/>
      <c r="Z3447" s="23"/>
    </row>
    <row r="3448" spans="1:26" ht="13">
      <c r="A3448" s="562" t="s">
        <v>7804</v>
      </c>
      <c r="B3448" s="563" t="s">
        <v>7805</v>
      </c>
      <c r="C3448" s="564" t="s">
        <v>1612</v>
      </c>
      <c r="D3448" s="565">
        <v>42023</v>
      </c>
      <c r="E3448" s="565">
        <v>42041</v>
      </c>
      <c r="F3448" s="566">
        <v>649846900</v>
      </c>
      <c r="G3448" s="564" t="s">
        <v>297</v>
      </c>
      <c r="H3448" s="564" t="s">
        <v>297</v>
      </c>
      <c r="I3448" s="564" t="s">
        <v>1826</v>
      </c>
      <c r="J3448" s="564" t="s">
        <v>1069</v>
      </c>
      <c r="K3448" s="564" t="s">
        <v>1070</v>
      </c>
      <c r="L3448" s="564" t="s">
        <v>2098</v>
      </c>
      <c r="M3448" s="564" t="s">
        <v>2098</v>
      </c>
      <c r="N3448" s="564" t="s">
        <v>1082</v>
      </c>
      <c r="O3448" s="564" t="s">
        <v>2099</v>
      </c>
      <c r="P3448" s="23"/>
      <c r="Q3448" s="23"/>
      <c r="R3448" s="23"/>
      <c r="S3448" s="23"/>
      <c r="T3448" s="23"/>
      <c r="U3448" s="23"/>
      <c r="V3448" s="23"/>
      <c r="W3448" s="23"/>
      <c r="X3448" s="23"/>
      <c r="Y3448" s="23"/>
      <c r="Z3448" s="23"/>
    </row>
    <row r="3449" spans="1:26" ht="13">
      <c r="A3449" s="562" t="s">
        <v>7806</v>
      </c>
      <c r="B3449" s="563" t="s">
        <v>7807</v>
      </c>
      <c r="C3449" s="564" t="s">
        <v>1612</v>
      </c>
      <c r="D3449" s="565">
        <v>42024</v>
      </c>
      <c r="E3449" s="565">
        <v>42027</v>
      </c>
      <c r="F3449" s="566">
        <v>7245000</v>
      </c>
      <c r="G3449" s="564" t="s">
        <v>1623</v>
      </c>
      <c r="H3449" s="564" t="s">
        <v>1623</v>
      </c>
      <c r="I3449" s="564" t="s">
        <v>802</v>
      </c>
      <c r="J3449" s="564" t="s">
        <v>1069</v>
      </c>
      <c r="K3449" s="564" t="s">
        <v>1198</v>
      </c>
      <c r="L3449" s="564" t="s">
        <v>2098</v>
      </c>
      <c r="M3449" s="564" t="s">
        <v>2098</v>
      </c>
      <c r="N3449" s="564" t="s">
        <v>132</v>
      </c>
      <c r="O3449" s="564" t="s">
        <v>2099</v>
      </c>
      <c r="P3449" s="23"/>
      <c r="Q3449" s="23"/>
      <c r="R3449" s="23"/>
      <c r="S3449" s="23"/>
      <c r="T3449" s="23"/>
      <c r="U3449" s="23"/>
      <c r="V3449" s="23"/>
      <c r="W3449" s="23"/>
      <c r="X3449" s="23"/>
      <c r="Y3449" s="23"/>
      <c r="Z3449" s="23"/>
    </row>
    <row r="3450" spans="1:26" ht="13">
      <c r="A3450" s="562" t="s">
        <v>7808</v>
      </c>
      <c r="B3450" s="563" t="s">
        <v>7809</v>
      </c>
      <c r="C3450" s="564" t="s">
        <v>1612</v>
      </c>
      <c r="D3450" s="565">
        <v>42024</v>
      </c>
      <c r="E3450" s="565">
        <v>42054</v>
      </c>
      <c r="F3450" s="566">
        <v>8012</v>
      </c>
      <c r="G3450" s="564" t="s">
        <v>1424</v>
      </c>
      <c r="H3450" s="564" t="s">
        <v>1424</v>
      </c>
      <c r="I3450" s="564" t="s">
        <v>64</v>
      </c>
      <c r="J3450" s="564" t="s">
        <v>1069</v>
      </c>
      <c r="K3450" s="564" t="s">
        <v>1090</v>
      </c>
      <c r="L3450" s="564" t="s">
        <v>2098</v>
      </c>
      <c r="M3450" s="564" t="s">
        <v>2098</v>
      </c>
      <c r="N3450" s="564" t="s">
        <v>64</v>
      </c>
      <c r="O3450" s="564" t="s">
        <v>2099</v>
      </c>
      <c r="P3450" s="23"/>
      <c r="Q3450" s="23"/>
      <c r="R3450" s="23"/>
      <c r="S3450" s="23"/>
      <c r="T3450" s="23"/>
      <c r="U3450" s="23"/>
      <c r="V3450" s="23"/>
      <c r="W3450" s="23"/>
      <c r="X3450" s="23"/>
      <c r="Y3450" s="23"/>
      <c r="Z3450" s="23"/>
    </row>
    <row r="3451" spans="1:26" ht="13">
      <c r="A3451" s="562" t="s">
        <v>7810</v>
      </c>
      <c r="B3451" s="563" t="s">
        <v>7811</v>
      </c>
      <c r="C3451" s="564" t="s">
        <v>2191</v>
      </c>
      <c r="D3451" s="565">
        <v>42003</v>
      </c>
      <c r="E3451" s="565">
        <v>42013</v>
      </c>
      <c r="F3451" s="566">
        <v>-1116000</v>
      </c>
      <c r="G3451" s="564" t="s">
        <v>1123</v>
      </c>
      <c r="H3451" s="564" t="s">
        <v>1123</v>
      </c>
      <c r="I3451" s="564" t="s">
        <v>140</v>
      </c>
      <c r="J3451" s="564" t="s">
        <v>1069</v>
      </c>
      <c r="K3451" s="564" t="s">
        <v>1205</v>
      </c>
      <c r="L3451" s="564" t="s">
        <v>2098</v>
      </c>
      <c r="M3451" s="564" t="s">
        <v>2098</v>
      </c>
      <c r="N3451" s="564" t="s">
        <v>1073</v>
      </c>
      <c r="O3451" s="564" t="s">
        <v>2099</v>
      </c>
      <c r="P3451" s="23"/>
      <c r="Q3451" s="23"/>
      <c r="R3451" s="23"/>
      <c r="S3451" s="23"/>
      <c r="T3451" s="23"/>
      <c r="U3451" s="23"/>
      <c r="V3451" s="23"/>
      <c r="W3451" s="23"/>
      <c r="X3451" s="23"/>
      <c r="Y3451" s="23"/>
      <c r="Z3451" s="23"/>
    </row>
    <row r="3452" spans="1:26" ht="13">
      <c r="A3452" s="562" t="s">
        <v>7812</v>
      </c>
      <c r="B3452" s="563" t="s">
        <v>7813</v>
      </c>
      <c r="C3452" s="564" t="s">
        <v>2191</v>
      </c>
      <c r="D3452" s="565">
        <v>42023</v>
      </c>
      <c r="E3452" s="565">
        <v>42429</v>
      </c>
      <c r="F3452" s="566">
        <v>866000000</v>
      </c>
      <c r="G3452" s="564" t="s">
        <v>1123</v>
      </c>
      <c r="H3452" s="564" t="s">
        <v>1123</v>
      </c>
      <c r="I3452" s="564" t="s">
        <v>7231</v>
      </c>
      <c r="J3452" s="564" t="s">
        <v>1069</v>
      </c>
      <c r="K3452" s="564" t="s">
        <v>1205</v>
      </c>
      <c r="L3452" s="564" t="s">
        <v>2098</v>
      </c>
      <c r="M3452" s="564" t="s">
        <v>2098</v>
      </c>
      <c r="N3452" s="564" t="s">
        <v>1082</v>
      </c>
      <c r="O3452" s="564" t="s">
        <v>2099</v>
      </c>
      <c r="P3452" s="23"/>
      <c r="Q3452" s="23"/>
      <c r="R3452" s="23"/>
      <c r="S3452" s="23"/>
      <c r="T3452" s="23"/>
      <c r="U3452" s="23"/>
      <c r="V3452" s="23"/>
      <c r="W3452" s="23"/>
      <c r="X3452" s="23"/>
      <c r="Y3452" s="23"/>
      <c r="Z3452" s="23"/>
    </row>
    <row r="3453" spans="1:26" ht="13">
      <c r="A3453" s="562" t="s">
        <v>7814</v>
      </c>
      <c r="B3453" s="563" t="s">
        <v>7815</v>
      </c>
      <c r="C3453" s="564" t="s">
        <v>1612</v>
      </c>
      <c r="D3453" s="565">
        <v>42016</v>
      </c>
      <c r="E3453" s="565">
        <v>42005</v>
      </c>
      <c r="F3453" s="566">
        <v>9118800</v>
      </c>
      <c r="G3453" s="564" t="s">
        <v>337</v>
      </c>
      <c r="H3453" s="564" t="s">
        <v>337</v>
      </c>
      <c r="I3453" s="564" t="s">
        <v>45</v>
      </c>
      <c r="J3453" s="564" t="s">
        <v>1069</v>
      </c>
      <c r="K3453" s="564" t="s">
        <v>1090</v>
      </c>
      <c r="L3453" s="564" t="s">
        <v>1071</v>
      </c>
      <c r="M3453" s="564" t="s">
        <v>1183</v>
      </c>
      <c r="N3453" s="564" t="s">
        <v>45</v>
      </c>
      <c r="O3453" s="564" t="s">
        <v>2099</v>
      </c>
      <c r="P3453" s="23"/>
      <c r="Q3453" s="23"/>
      <c r="R3453" s="23"/>
      <c r="S3453" s="23"/>
      <c r="T3453" s="23"/>
      <c r="U3453" s="23"/>
      <c r="V3453" s="23"/>
      <c r="W3453" s="23"/>
      <c r="X3453" s="23"/>
      <c r="Y3453" s="23"/>
      <c r="Z3453" s="23"/>
    </row>
    <row r="3454" spans="1:26" ht="13">
      <c r="A3454" s="562" t="s">
        <v>7816</v>
      </c>
      <c r="B3454" s="563" t="s">
        <v>7467</v>
      </c>
      <c r="C3454" s="564" t="s">
        <v>1612</v>
      </c>
      <c r="D3454" s="565">
        <v>42018</v>
      </c>
      <c r="E3454" s="565">
        <v>42018</v>
      </c>
      <c r="F3454" s="566">
        <v>10830</v>
      </c>
      <c r="G3454" s="564" t="s">
        <v>337</v>
      </c>
      <c r="H3454" s="564" t="s">
        <v>337</v>
      </c>
      <c r="I3454" s="564" t="s">
        <v>1837</v>
      </c>
      <c r="J3454" s="564" t="s">
        <v>1069</v>
      </c>
      <c r="K3454" s="564" t="s">
        <v>1090</v>
      </c>
      <c r="L3454" s="564" t="s">
        <v>2098</v>
      </c>
      <c r="M3454" s="564" t="s">
        <v>2098</v>
      </c>
      <c r="N3454" s="564" t="s">
        <v>1082</v>
      </c>
      <c r="O3454" s="564" t="s">
        <v>2099</v>
      </c>
      <c r="P3454" s="23"/>
      <c r="Q3454" s="23"/>
      <c r="R3454" s="23"/>
      <c r="S3454" s="23"/>
      <c r="T3454" s="23"/>
      <c r="U3454" s="23"/>
      <c r="V3454" s="23"/>
      <c r="W3454" s="23"/>
      <c r="X3454" s="23"/>
      <c r="Y3454" s="23"/>
      <c r="Z3454" s="23"/>
    </row>
    <row r="3455" spans="1:26" ht="13">
      <c r="A3455" s="562" t="s">
        <v>7817</v>
      </c>
      <c r="B3455" s="563" t="s">
        <v>7818</v>
      </c>
      <c r="C3455" s="564" t="s">
        <v>1612</v>
      </c>
      <c r="D3455" s="565">
        <v>42020</v>
      </c>
      <c r="E3455" s="565">
        <v>42034</v>
      </c>
      <c r="F3455" s="566">
        <v>71100000</v>
      </c>
      <c r="G3455" s="564" t="s">
        <v>7208</v>
      </c>
      <c r="H3455" s="564" t="s">
        <v>7208</v>
      </c>
      <c r="I3455" s="564" t="s">
        <v>45</v>
      </c>
      <c r="J3455" s="564" t="s">
        <v>1069</v>
      </c>
      <c r="K3455" s="564" t="s">
        <v>1090</v>
      </c>
      <c r="L3455" s="564" t="s">
        <v>2098</v>
      </c>
      <c r="M3455" s="564" t="s">
        <v>2098</v>
      </c>
      <c r="N3455" s="564" t="s">
        <v>45</v>
      </c>
      <c r="O3455" s="564" t="s">
        <v>2099</v>
      </c>
      <c r="P3455" s="23"/>
      <c r="Q3455" s="23"/>
      <c r="R3455" s="23"/>
      <c r="S3455" s="23"/>
      <c r="T3455" s="23"/>
      <c r="U3455" s="23"/>
      <c r="V3455" s="23"/>
      <c r="W3455" s="23"/>
      <c r="X3455" s="23"/>
      <c r="Y3455" s="23"/>
      <c r="Z3455" s="23"/>
    </row>
    <row r="3456" spans="1:26" ht="13">
      <c r="A3456" s="562" t="s">
        <v>7819</v>
      </c>
      <c r="B3456" s="563" t="s">
        <v>7820</v>
      </c>
      <c r="C3456" s="564" t="s">
        <v>2191</v>
      </c>
      <c r="D3456" s="565">
        <v>42020</v>
      </c>
      <c r="E3456" s="565">
        <v>42035</v>
      </c>
      <c r="F3456" s="566">
        <v>244420</v>
      </c>
      <c r="G3456" s="564" t="s">
        <v>1636</v>
      </c>
      <c r="H3456" s="564" t="s">
        <v>1636</v>
      </c>
      <c r="I3456" s="564" t="s">
        <v>7175</v>
      </c>
      <c r="J3456" s="564" t="s">
        <v>1069</v>
      </c>
      <c r="K3456" s="564" t="s">
        <v>1070</v>
      </c>
      <c r="L3456" s="564" t="s">
        <v>2098</v>
      </c>
      <c r="M3456" s="564" t="s">
        <v>2098</v>
      </c>
      <c r="N3456" s="564" t="s">
        <v>1082</v>
      </c>
      <c r="O3456" s="564" t="s">
        <v>2099</v>
      </c>
      <c r="P3456" s="23"/>
      <c r="Q3456" s="23"/>
      <c r="R3456" s="23"/>
      <c r="S3456" s="23"/>
      <c r="T3456" s="23"/>
      <c r="U3456" s="23"/>
      <c r="V3456" s="23"/>
      <c r="W3456" s="23"/>
      <c r="X3456" s="23"/>
      <c r="Y3456" s="23"/>
      <c r="Z3456" s="23"/>
    </row>
    <row r="3457" spans="1:26" ht="13">
      <c r="A3457" s="562" t="s">
        <v>7821</v>
      </c>
      <c r="B3457" s="563" t="s">
        <v>7822</v>
      </c>
      <c r="C3457" s="564" t="s">
        <v>1612</v>
      </c>
      <c r="D3457" s="565">
        <v>42019</v>
      </c>
      <c r="E3457" s="565">
        <v>42027</v>
      </c>
      <c r="F3457" s="566">
        <v>5682600</v>
      </c>
      <c r="G3457" s="564" t="s">
        <v>1623</v>
      </c>
      <c r="H3457" s="564" t="s">
        <v>1623</v>
      </c>
      <c r="I3457" s="564" t="s">
        <v>802</v>
      </c>
      <c r="J3457" s="564" t="s">
        <v>1069</v>
      </c>
      <c r="K3457" s="564" t="s">
        <v>1198</v>
      </c>
      <c r="L3457" s="564" t="s">
        <v>2098</v>
      </c>
      <c r="M3457" s="564" t="s">
        <v>2098</v>
      </c>
      <c r="N3457" s="564" t="s">
        <v>132</v>
      </c>
      <c r="O3457" s="564" t="s">
        <v>2099</v>
      </c>
      <c r="P3457" s="23"/>
      <c r="Q3457" s="23"/>
      <c r="R3457" s="23"/>
      <c r="S3457" s="23"/>
      <c r="T3457" s="23"/>
      <c r="U3457" s="23"/>
      <c r="V3457" s="23"/>
      <c r="W3457" s="23"/>
      <c r="X3457" s="23"/>
      <c r="Y3457" s="23"/>
      <c r="Z3457" s="23"/>
    </row>
    <row r="3458" spans="1:26" ht="13">
      <c r="A3458" s="562" t="s">
        <v>7823</v>
      </c>
      <c r="B3458" s="563" t="s">
        <v>6926</v>
      </c>
      <c r="C3458" s="564" t="s">
        <v>1612</v>
      </c>
      <c r="D3458" s="565">
        <v>42018</v>
      </c>
      <c r="E3458" s="565">
        <v>42034</v>
      </c>
      <c r="F3458" s="566">
        <v>14300000</v>
      </c>
      <c r="G3458" s="564" t="s">
        <v>5465</v>
      </c>
      <c r="H3458" s="564" t="s">
        <v>5465</v>
      </c>
      <c r="I3458" s="564" t="s">
        <v>45</v>
      </c>
      <c r="J3458" s="564" t="s">
        <v>1069</v>
      </c>
      <c r="K3458" s="564" t="s">
        <v>1090</v>
      </c>
      <c r="L3458" s="564" t="s">
        <v>2098</v>
      </c>
      <c r="M3458" s="564" t="s">
        <v>2098</v>
      </c>
      <c r="N3458" s="564" t="s">
        <v>45</v>
      </c>
      <c r="O3458" s="564" t="s">
        <v>2099</v>
      </c>
      <c r="P3458" s="23"/>
      <c r="Q3458" s="23"/>
      <c r="R3458" s="23"/>
      <c r="S3458" s="23"/>
      <c r="T3458" s="23"/>
      <c r="U3458" s="23"/>
      <c r="V3458" s="23"/>
      <c r="W3458" s="23"/>
      <c r="X3458" s="23"/>
      <c r="Y3458" s="23"/>
      <c r="Z3458" s="23"/>
    </row>
    <row r="3459" spans="1:26" ht="13">
      <c r="A3459" s="562" t="s">
        <v>7824</v>
      </c>
      <c r="B3459" s="563" t="s">
        <v>7467</v>
      </c>
      <c r="C3459" s="564" t="s">
        <v>1612</v>
      </c>
      <c r="D3459" s="565">
        <v>42009</v>
      </c>
      <c r="E3459" s="565">
        <v>42027</v>
      </c>
      <c r="F3459" s="566">
        <v>33660</v>
      </c>
      <c r="G3459" s="564" t="s">
        <v>337</v>
      </c>
      <c r="H3459" s="564" t="s">
        <v>337</v>
      </c>
      <c r="I3459" s="564" t="s">
        <v>1837</v>
      </c>
      <c r="J3459" s="564" t="s">
        <v>1069</v>
      </c>
      <c r="K3459" s="564" t="s">
        <v>1090</v>
      </c>
      <c r="L3459" s="564" t="s">
        <v>2098</v>
      </c>
      <c r="M3459" s="564" t="s">
        <v>2098</v>
      </c>
      <c r="N3459" s="564" t="s">
        <v>1082</v>
      </c>
      <c r="O3459" s="564" t="s">
        <v>2099</v>
      </c>
      <c r="P3459" s="23"/>
      <c r="Q3459" s="23"/>
      <c r="R3459" s="23"/>
      <c r="S3459" s="23"/>
      <c r="T3459" s="23"/>
      <c r="U3459" s="23"/>
      <c r="V3459" s="23"/>
      <c r="W3459" s="23"/>
      <c r="X3459" s="23"/>
      <c r="Y3459" s="23"/>
      <c r="Z3459" s="23"/>
    </row>
    <row r="3460" spans="1:26" ht="13">
      <c r="A3460" s="562" t="s">
        <v>7825</v>
      </c>
      <c r="B3460" s="563" t="s">
        <v>7826</v>
      </c>
      <c r="C3460" s="564" t="s">
        <v>1612</v>
      </c>
      <c r="D3460" s="565">
        <v>42009</v>
      </c>
      <c r="E3460" s="565">
        <v>42014</v>
      </c>
      <c r="F3460" s="566">
        <v>430000</v>
      </c>
      <c r="G3460" s="564" t="s">
        <v>1157</v>
      </c>
      <c r="H3460" s="564" t="s">
        <v>1157</v>
      </c>
      <c r="I3460" s="564" t="s">
        <v>225</v>
      </c>
      <c r="J3460" s="564" t="s">
        <v>1069</v>
      </c>
      <c r="K3460" s="564" t="s">
        <v>1105</v>
      </c>
      <c r="L3460" s="564" t="s">
        <v>2098</v>
      </c>
      <c r="M3460" s="564" t="s">
        <v>2098</v>
      </c>
      <c r="N3460" s="564" t="s">
        <v>225</v>
      </c>
      <c r="O3460" s="564" t="s">
        <v>2099</v>
      </c>
      <c r="P3460" s="23"/>
      <c r="Q3460" s="23"/>
      <c r="R3460" s="23"/>
      <c r="S3460" s="23"/>
      <c r="T3460" s="23"/>
      <c r="U3460" s="23"/>
      <c r="V3460" s="23"/>
      <c r="W3460" s="23"/>
      <c r="X3460" s="23"/>
      <c r="Y3460" s="23"/>
      <c r="Z3460" s="23"/>
    </row>
    <row r="3461" spans="1:26" ht="13">
      <c r="A3461" s="562" t="s">
        <v>7827</v>
      </c>
      <c r="B3461" s="563" t="s">
        <v>7828</v>
      </c>
      <c r="C3461" s="564" t="s">
        <v>2191</v>
      </c>
      <c r="D3461" s="565">
        <v>42007</v>
      </c>
      <c r="E3461" s="565">
        <v>42009</v>
      </c>
      <c r="F3461" s="566">
        <v>1975</v>
      </c>
      <c r="G3461" s="564" t="s">
        <v>337</v>
      </c>
      <c r="H3461" s="564" t="s">
        <v>337</v>
      </c>
      <c r="I3461" s="564" t="s">
        <v>7829</v>
      </c>
      <c r="J3461" s="564" t="s">
        <v>1069</v>
      </c>
      <c r="K3461" s="564" t="s">
        <v>1070</v>
      </c>
      <c r="L3461" s="564" t="s">
        <v>2098</v>
      </c>
      <c r="M3461" s="564" t="s">
        <v>2098</v>
      </c>
      <c r="N3461" s="564" t="s">
        <v>1082</v>
      </c>
      <c r="O3461" s="564" t="s">
        <v>2099</v>
      </c>
      <c r="P3461" s="23"/>
      <c r="Q3461" s="23"/>
      <c r="R3461" s="23"/>
      <c r="S3461" s="23"/>
      <c r="T3461" s="23"/>
      <c r="U3461" s="23"/>
      <c r="V3461" s="23"/>
      <c r="W3461" s="23"/>
      <c r="X3461" s="23"/>
      <c r="Y3461" s="23"/>
      <c r="Z3461" s="23"/>
    </row>
    <row r="3462" spans="1:26" ht="13">
      <c r="A3462" s="562" t="s">
        <v>7830</v>
      </c>
      <c r="B3462" s="563" t="s">
        <v>7831</v>
      </c>
      <c r="C3462" s="564" t="s">
        <v>2191</v>
      </c>
      <c r="D3462" s="565">
        <v>42004</v>
      </c>
      <c r="E3462" s="565">
        <v>42017</v>
      </c>
      <c r="F3462" s="566">
        <v>58280000</v>
      </c>
      <c r="G3462" s="564" t="s">
        <v>7208</v>
      </c>
      <c r="H3462" s="564" t="s">
        <v>7208</v>
      </c>
      <c r="I3462" s="564" t="s">
        <v>1826</v>
      </c>
      <c r="J3462" s="564" t="s">
        <v>1069</v>
      </c>
      <c r="K3462" s="564" t="s">
        <v>1070</v>
      </c>
      <c r="L3462" s="564" t="s">
        <v>2098</v>
      </c>
      <c r="M3462" s="564" t="s">
        <v>2098</v>
      </c>
      <c r="N3462" s="564" t="s">
        <v>1082</v>
      </c>
      <c r="O3462" s="564" t="s">
        <v>2099</v>
      </c>
      <c r="P3462" s="23"/>
      <c r="Q3462" s="23"/>
      <c r="R3462" s="23"/>
      <c r="S3462" s="23"/>
      <c r="T3462" s="23"/>
      <c r="U3462" s="23"/>
      <c r="V3462" s="23"/>
      <c r="W3462" s="23"/>
      <c r="X3462" s="23"/>
      <c r="Y3462" s="23"/>
      <c r="Z3462" s="23"/>
    </row>
    <row r="3463" spans="1:26" ht="13">
      <c r="A3463" s="562" t="s">
        <v>7832</v>
      </c>
      <c r="B3463" s="563" t="s">
        <v>7833</v>
      </c>
      <c r="C3463" s="564" t="s">
        <v>1612</v>
      </c>
      <c r="D3463" s="565">
        <v>42004</v>
      </c>
      <c r="E3463" s="565">
        <v>42034</v>
      </c>
      <c r="F3463" s="566">
        <v>125406000</v>
      </c>
      <c r="G3463" s="564" t="s">
        <v>5465</v>
      </c>
      <c r="H3463" s="564" t="s">
        <v>5465</v>
      </c>
      <c r="I3463" s="564" t="s">
        <v>45</v>
      </c>
      <c r="J3463" s="564" t="s">
        <v>1069</v>
      </c>
      <c r="K3463" s="564" t="s">
        <v>1090</v>
      </c>
      <c r="L3463" s="564" t="s">
        <v>2098</v>
      </c>
      <c r="M3463" s="564" t="s">
        <v>2098</v>
      </c>
      <c r="N3463" s="564" t="s">
        <v>45</v>
      </c>
      <c r="O3463" s="564" t="s">
        <v>2099</v>
      </c>
      <c r="P3463" s="23"/>
      <c r="Q3463" s="23"/>
      <c r="R3463" s="23"/>
      <c r="S3463" s="23"/>
      <c r="T3463" s="23"/>
      <c r="U3463" s="23"/>
      <c r="V3463" s="23"/>
      <c r="W3463" s="23"/>
      <c r="X3463" s="23"/>
      <c r="Y3463" s="23"/>
      <c r="Z3463" s="23"/>
    </row>
    <row r="3464" spans="1:26" ht="13">
      <c r="A3464" s="562" t="s">
        <v>7834</v>
      </c>
      <c r="B3464" s="563" t="s">
        <v>7436</v>
      </c>
      <c r="C3464" s="564" t="s">
        <v>1612</v>
      </c>
      <c r="D3464" s="565">
        <v>42004</v>
      </c>
      <c r="E3464" s="565">
        <v>42034</v>
      </c>
      <c r="F3464" s="566">
        <v>1050</v>
      </c>
      <c r="G3464" s="564" t="s">
        <v>1424</v>
      </c>
      <c r="H3464" s="564" t="s">
        <v>1424</v>
      </c>
      <c r="I3464" s="564" t="s">
        <v>70</v>
      </c>
      <c r="J3464" s="564" t="s">
        <v>1069</v>
      </c>
      <c r="K3464" s="564" t="s">
        <v>1120</v>
      </c>
      <c r="L3464" s="564" t="s">
        <v>2098</v>
      </c>
      <c r="M3464" s="564" t="s">
        <v>2098</v>
      </c>
      <c r="N3464" s="564" t="s">
        <v>70</v>
      </c>
      <c r="O3464" s="564" t="s">
        <v>2099</v>
      </c>
      <c r="P3464" s="23"/>
      <c r="Q3464" s="23"/>
      <c r="R3464" s="23"/>
      <c r="S3464" s="23"/>
      <c r="T3464" s="23"/>
      <c r="U3464" s="23"/>
      <c r="V3464" s="23"/>
      <c r="W3464" s="23"/>
      <c r="X3464" s="23"/>
      <c r="Y3464" s="23"/>
      <c r="Z3464" s="23"/>
    </row>
    <row r="3465" spans="1:26" ht="13">
      <c r="A3465" s="562" t="s">
        <v>7835</v>
      </c>
      <c r="B3465" s="563" t="s">
        <v>7836</v>
      </c>
      <c r="C3465" s="564" t="s">
        <v>1612</v>
      </c>
      <c r="D3465" s="565">
        <v>41997</v>
      </c>
      <c r="E3465" s="565">
        <v>42019</v>
      </c>
      <c r="F3465" s="566">
        <v>1442000</v>
      </c>
      <c r="G3465" s="564" t="s">
        <v>1123</v>
      </c>
      <c r="H3465" s="564" t="s">
        <v>1123</v>
      </c>
      <c r="I3465" s="564" t="s">
        <v>64</v>
      </c>
      <c r="J3465" s="564" t="s">
        <v>1069</v>
      </c>
      <c r="K3465" s="564" t="s">
        <v>1090</v>
      </c>
      <c r="L3465" s="564" t="s">
        <v>2098</v>
      </c>
      <c r="M3465" s="564" t="s">
        <v>2098</v>
      </c>
      <c r="N3465" s="564" t="s">
        <v>64</v>
      </c>
      <c r="O3465" s="564" t="s">
        <v>2099</v>
      </c>
      <c r="P3465" s="23"/>
      <c r="Q3465" s="23"/>
      <c r="R3465" s="23"/>
      <c r="S3465" s="23"/>
      <c r="T3465" s="23"/>
      <c r="U3465" s="23"/>
      <c r="V3465" s="23"/>
      <c r="W3465" s="23"/>
      <c r="X3465" s="23"/>
      <c r="Y3465" s="23"/>
      <c r="Z3465" s="23"/>
    </row>
    <row r="3466" spans="1:26" ht="13">
      <c r="A3466" s="562" t="s">
        <v>7837</v>
      </c>
      <c r="B3466" s="563" t="s">
        <v>7798</v>
      </c>
      <c r="C3466" s="564" t="s">
        <v>1612</v>
      </c>
      <c r="D3466" s="565">
        <v>42003</v>
      </c>
      <c r="E3466" s="565">
        <v>42034</v>
      </c>
      <c r="F3466" s="566">
        <v>17260</v>
      </c>
      <c r="G3466" s="564" t="s">
        <v>1424</v>
      </c>
      <c r="H3466" s="564" t="s">
        <v>1424</v>
      </c>
      <c r="I3466" s="564" t="s">
        <v>70</v>
      </c>
      <c r="J3466" s="564" t="s">
        <v>1069</v>
      </c>
      <c r="K3466" s="564" t="s">
        <v>1120</v>
      </c>
      <c r="L3466" s="564" t="s">
        <v>2098</v>
      </c>
      <c r="M3466" s="564" t="s">
        <v>2098</v>
      </c>
      <c r="N3466" s="564" t="s">
        <v>70</v>
      </c>
      <c r="O3466" s="564" t="s">
        <v>2099</v>
      </c>
      <c r="P3466" s="23"/>
      <c r="Q3466" s="23"/>
      <c r="R3466" s="23"/>
      <c r="S3466" s="23"/>
      <c r="T3466" s="23"/>
      <c r="U3466" s="23"/>
      <c r="V3466" s="23"/>
      <c r="W3466" s="23"/>
      <c r="X3466" s="23"/>
      <c r="Y3466" s="23"/>
      <c r="Z3466" s="23"/>
    </row>
    <row r="3467" spans="1:26" ht="13">
      <c r="A3467" s="562" t="s">
        <v>7838</v>
      </c>
      <c r="B3467" s="563" t="s">
        <v>7839</v>
      </c>
      <c r="C3467" s="564" t="s">
        <v>1612</v>
      </c>
      <c r="D3467" s="565">
        <v>41997</v>
      </c>
      <c r="E3467" s="565">
        <v>42027</v>
      </c>
      <c r="F3467" s="566">
        <v>6320</v>
      </c>
      <c r="G3467" s="564" t="s">
        <v>1424</v>
      </c>
      <c r="H3467" s="564" t="s">
        <v>1424</v>
      </c>
      <c r="I3467" s="564" t="s">
        <v>121</v>
      </c>
      <c r="J3467" s="564" t="s">
        <v>1069</v>
      </c>
      <c r="K3467" s="564" t="s">
        <v>1105</v>
      </c>
      <c r="L3467" s="564" t="s">
        <v>2098</v>
      </c>
      <c r="M3467" s="564" t="s">
        <v>2098</v>
      </c>
      <c r="N3467" s="564" t="s">
        <v>1073</v>
      </c>
      <c r="O3467" s="564" t="s">
        <v>2099</v>
      </c>
      <c r="P3467" s="23"/>
      <c r="Q3467" s="23"/>
      <c r="R3467" s="23"/>
      <c r="S3467" s="23"/>
      <c r="T3467" s="23"/>
      <c r="U3467" s="23"/>
      <c r="V3467" s="23"/>
      <c r="W3467" s="23"/>
      <c r="X3467" s="23"/>
      <c r="Y3467" s="23"/>
      <c r="Z3467" s="23"/>
    </row>
    <row r="3468" spans="1:26" ht="13">
      <c r="A3468" s="562" t="s">
        <v>7840</v>
      </c>
      <c r="B3468" s="563" t="s">
        <v>7841</v>
      </c>
      <c r="C3468" s="564" t="s">
        <v>2191</v>
      </c>
      <c r="D3468" s="565">
        <v>42003</v>
      </c>
      <c r="E3468" s="565">
        <v>42013</v>
      </c>
      <c r="F3468" s="566">
        <v>1116000</v>
      </c>
      <c r="G3468" s="564" t="s">
        <v>1123</v>
      </c>
      <c r="H3468" s="564" t="s">
        <v>1123</v>
      </c>
      <c r="I3468" s="564" t="s">
        <v>140</v>
      </c>
      <c r="J3468" s="564" t="s">
        <v>1069</v>
      </c>
      <c r="K3468" s="564" t="s">
        <v>1205</v>
      </c>
      <c r="L3468" s="564" t="s">
        <v>2098</v>
      </c>
      <c r="M3468" s="564" t="s">
        <v>2098</v>
      </c>
      <c r="N3468" s="564" t="s">
        <v>1073</v>
      </c>
      <c r="O3468" s="564" t="s">
        <v>2099</v>
      </c>
      <c r="P3468" s="23"/>
      <c r="Q3468" s="23"/>
      <c r="R3468" s="23"/>
      <c r="S3468" s="23"/>
      <c r="T3468" s="23"/>
      <c r="U3468" s="23"/>
      <c r="V3468" s="23"/>
      <c r="W3468" s="23"/>
      <c r="X3468" s="23"/>
      <c r="Y3468" s="23"/>
      <c r="Z3468" s="23"/>
    </row>
    <row r="3469" spans="1:26" ht="13">
      <c r="A3469" s="562" t="s">
        <v>7842</v>
      </c>
      <c r="B3469" s="563" t="s">
        <v>7843</v>
      </c>
      <c r="C3469" s="564" t="s">
        <v>1612</v>
      </c>
      <c r="D3469" s="565">
        <v>41997</v>
      </c>
      <c r="E3469" s="565">
        <v>42002</v>
      </c>
      <c r="F3469" s="567">
        <v>474</v>
      </c>
      <c r="G3469" s="564" t="s">
        <v>337</v>
      </c>
      <c r="H3469" s="564" t="s">
        <v>337</v>
      </c>
      <c r="I3469" s="564" t="s">
        <v>45</v>
      </c>
      <c r="J3469" s="564" t="s">
        <v>1069</v>
      </c>
      <c r="K3469" s="564" t="s">
        <v>1090</v>
      </c>
      <c r="L3469" s="564" t="s">
        <v>2098</v>
      </c>
      <c r="M3469" s="564" t="s">
        <v>2098</v>
      </c>
      <c r="N3469" s="564" t="s">
        <v>45</v>
      </c>
      <c r="O3469" s="564" t="s">
        <v>2099</v>
      </c>
      <c r="P3469" s="23"/>
      <c r="Q3469" s="23"/>
      <c r="R3469" s="23"/>
      <c r="S3469" s="23"/>
      <c r="T3469" s="23"/>
      <c r="U3469" s="23"/>
      <c r="V3469" s="23"/>
      <c r="W3469" s="23"/>
      <c r="X3469" s="23"/>
      <c r="Y3469" s="23"/>
      <c r="Z3469" s="23"/>
    </row>
    <row r="3470" spans="1:26" ht="13">
      <c r="A3470" s="562" t="s">
        <v>7844</v>
      </c>
      <c r="B3470" s="563" t="s">
        <v>7845</v>
      </c>
      <c r="C3470" s="564" t="s">
        <v>1612</v>
      </c>
      <c r="D3470" s="565">
        <v>41997</v>
      </c>
      <c r="E3470" s="565">
        <v>42002</v>
      </c>
      <c r="F3470" s="567">
        <v>990</v>
      </c>
      <c r="G3470" s="564" t="s">
        <v>337</v>
      </c>
      <c r="H3470" s="564" t="s">
        <v>337</v>
      </c>
      <c r="I3470" s="564" t="s">
        <v>45</v>
      </c>
      <c r="J3470" s="564" t="s">
        <v>1069</v>
      </c>
      <c r="K3470" s="564" t="s">
        <v>1090</v>
      </c>
      <c r="L3470" s="564" t="s">
        <v>2098</v>
      </c>
      <c r="M3470" s="564" t="s">
        <v>2098</v>
      </c>
      <c r="N3470" s="564" t="s">
        <v>45</v>
      </c>
      <c r="O3470" s="564" t="s">
        <v>2099</v>
      </c>
      <c r="P3470" s="23"/>
      <c r="Q3470" s="23"/>
      <c r="R3470" s="23"/>
      <c r="S3470" s="23"/>
      <c r="T3470" s="23"/>
      <c r="U3470" s="23"/>
      <c r="V3470" s="23"/>
      <c r="W3470" s="23"/>
      <c r="X3470" s="23"/>
      <c r="Y3470" s="23"/>
      <c r="Z3470" s="23"/>
    </row>
    <row r="3471" spans="1:26" ht="13">
      <c r="A3471" s="562" t="s">
        <v>7846</v>
      </c>
      <c r="B3471" s="563" t="s">
        <v>7467</v>
      </c>
      <c r="C3471" s="564" t="s">
        <v>1612</v>
      </c>
      <c r="D3471" s="565">
        <v>41997</v>
      </c>
      <c r="E3471" s="565">
        <v>42020</v>
      </c>
      <c r="F3471" s="566">
        <v>26072</v>
      </c>
      <c r="G3471" s="564" t="s">
        <v>337</v>
      </c>
      <c r="H3471" s="564" t="s">
        <v>337</v>
      </c>
      <c r="I3471" s="564" t="s">
        <v>1837</v>
      </c>
      <c r="J3471" s="564" t="s">
        <v>1069</v>
      </c>
      <c r="K3471" s="564" t="s">
        <v>1090</v>
      </c>
      <c r="L3471" s="564" t="s">
        <v>2098</v>
      </c>
      <c r="M3471" s="564" t="s">
        <v>2098</v>
      </c>
      <c r="N3471" s="564" t="s">
        <v>1082</v>
      </c>
      <c r="O3471" s="564" t="s">
        <v>2099</v>
      </c>
      <c r="P3471" s="23"/>
      <c r="Q3471" s="23"/>
      <c r="R3471" s="23"/>
      <c r="S3471" s="23"/>
      <c r="T3471" s="23"/>
      <c r="U3471" s="23"/>
      <c r="V3471" s="23"/>
      <c r="W3471" s="23"/>
      <c r="X3471" s="23"/>
      <c r="Y3471" s="23"/>
      <c r="Z3471" s="23"/>
    </row>
    <row r="3472" spans="1:26" ht="13">
      <c r="A3472" s="562" t="s">
        <v>7847</v>
      </c>
      <c r="B3472" s="563" t="s">
        <v>7848</v>
      </c>
      <c r="C3472" s="564" t="s">
        <v>1612</v>
      </c>
      <c r="D3472" s="565">
        <v>41997</v>
      </c>
      <c r="E3472" s="565">
        <v>42003</v>
      </c>
      <c r="F3472" s="566">
        <v>46119000</v>
      </c>
      <c r="G3472" s="564" t="s">
        <v>1128</v>
      </c>
      <c r="H3472" s="564" t="s">
        <v>1128</v>
      </c>
      <c r="I3472" s="564" t="s">
        <v>45</v>
      </c>
      <c r="J3472" s="564" t="s">
        <v>1069</v>
      </c>
      <c r="K3472" s="564" t="s">
        <v>1090</v>
      </c>
      <c r="L3472" s="564" t="s">
        <v>2098</v>
      </c>
      <c r="M3472" s="564" t="s">
        <v>2098</v>
      </c>
      <c r="N3472" s="564" t="s">
        <v>45</v>
      </c>
      <c r="O3472" s="564" t="s">
        <v>2099</v>
      </c>
      <c r="P3472" s="23"/>
      <c r="Q3472" s="23"/>
      <c r="R3472" s="23"/>
      <c r="S3472" s="23"/>
      <c r="T3472" s="23"/>
      <c r="U3472" s="23"/>
      <c r="V3472" s="23"/>
      <c r="W3472" s="23"/>
      <c r="X3472" s="23"/>
      <c r="Y3472" s="23"/>
      <c r="Z3472" s="23"/>
    </row>
    <row r="3473" spans="1:26" ht="13">
      <c r="A3473" s="562" t="s">
        <v>7849</v>
      </c>
      <c r="B3473" s="563" t="s">
        <v>7850</v>
      </c>
      <c r="C3473" s="564" t="s">
        <v>1612</v>
      </c>
      <c r="D3473" s="565">
        <v>41996</v>
      </c>
      <c r="E3473" s="565">
        <v>42007</v>
      </c>
      <c r="F3473" s="566">
        <v>3160000</v>
      </c>
      <c r="G3473" s="564" t="s">
        <v>1623</v>
      </c>
      <c r="H3473" s="564" t="s">
        <v>1623</v>
      </c>
      <c r="I3473" s="564" t="s">
        <v>802</v>
      </c>
      <c r="J3473" s="564" t="s">
        <v>1069</v>
      </c>
      <c r="K3473" s="564" t="s">
        <v>1198</v>
      </c>
      <c r="L3473" s="564" t="s">
        <v>2098</v>
      </c>
      <c r="M3473" s="564" t="s">
        <v>2098</v>
      </c>
      <c r="N3473" s="564" t="s">
        <v>132</v>
      </c>
      <c r="O3473" s="564" t="s">
        <v>2099</v>
      </c>
      <c r="P3473" s="23"/>
      <c r="Q3473" s="23"/>
      <c r="R3473" s="23"/>
      <c r="S3473" s="23"/>
      <c r="T3473" s="23"/>
      <c r="U3473" s="23"/>
      <c r="V3473" s="23"/>
      <c r="W3473" s="23"/>
      <c r="X3473" s="23"/>
      <c r="Y3473" s="23"/>
      <c r="Z3473" s="23"/>
    </row>
    <row r="3474" spans="1:26" ht="13">
      <c r="A3474" s="562" t="s">
        <v>7851</v>
      </c>
      <c r="B3474" s="563" t="s">
        <v>7852</v>
      </c>
      <c r="C3474" s="564" t="s">
        <v>6860</v>
      </c>
      <c r="D3474" s="565">
        <v>41996</v>
      </c>
      <c r="E3474" s="565">
        <v>42003</v>
      </c>
      <c r="F3474" s="566">
        <v>129500000</v>
      </c>
      <c r="G3474" s="564" t="s">
        <v>1128</v>
      </c>
      <c r="H3474" s="564" t="s">
        <v>1128</v>
      </c>
      <c r="I3474" s="564" t="s">
        <v>7303</v>
      </c>
      <c r="J3474" s="564" t="s">
        <v>1069</v>
      </c>
      <c r="K3474" s="564" t="s">
        <v>1070</v>
      </c>
      <c r="L3474" s="564" t="s">
        <v>2098</v>
      </c>
      <c r="M3474" s="564" t="s">
        <v>2098</v>
      </c>
      <c r="N3474" s="564" t="s">
        <v>2325</v>
      </c>
      <c r="O3474" s="564" t="s">
        <v>2099</v>
      </c>
      <c r="P3474" s="23"/>
      <c r="Q3474" s="23"/>
      <c r="R3474" s="23"/>
      <c r="S3474" s="23"/>
      <c r="T3474" s="23"/>
      <c r="U3474" s="23"/>
      <c r="V3474" s="23"/>
      <c r="W3474" s="23"/>
      <c r="X3474" s="23"/>
      <c r="Y3474" s="23"/>
      <c r="Z3474" s="23"/>
    </row>
    <row r="3475" spans="1:26" ht="13">
      <c r="A3475" s="562" t="s">
        <v>7853</v>
      </c>
      <c r="B3475" s="563" t="s">
        <v>7854</v>
      </c>
      <c r="C3475" s="564" t="s">
        <v>1612</v>
      </c>
      <c r="D3475" s="565">
        <v>41991</v>
      </c>
      <c r="E3475" s="565">
        <v>42016</v>
      </c>
      <c r="F3475" s="566">
        <v>22432000</v>
      </c>
      <c r="G3475" s="564" t="s">
        <v>7208</v>
      </c>
      <c r="H3475" s="564" t="s">
        <v>7208</v>
      </c>
      <c r="I3475" s="564" t="s">
        <v>45</v>
      </c>
      <c r="J3475" s="564" t="s">
        <v>1069</v>
      </c>
      <c r="K3475" s="564" t="s">
        <v>1090</v>
      </c>
      <c r="L3475" s="564" t="s">
        <v>2098</v>
      </c>
      <c r="M3475" s="564" t="s">
        <v>2098</v>
      </c>
      <c r="N3475" s="564" t="s">
        <v>45</v>
      </c>
      <c r="O3475" s="564" t="s">
        <v>2099</v>
      </c>
      <c r="P3475" s="23"/>
      <c r="Q3475" s="23"/>
      <c r="R3475" s="23"/>
      <c r="S3475" s="23"/>
      <c r="T3475" s="23"/>
      <c r="U3475" s="23"/>
      <c r="V3475" s="23"/>
      <c r="W3475" s="23"/>
      <c r="X3475" s="23"/>
      <c r="Y3475" s="23"/>
      <c r="Z3475" s="23"/>
    </row>
    <row r="3476" spans="1:26" ht="13">
      <c r="A3476" s="562" t="s">
        <v>7855</v>
      </c>
      <c r="B3476" s="563" t="s">
        <v>7856</v>
      </c>
      <c r="C3476" s="564" t="s">
        <v>2191</v>
      </c>
      <c r="D3476" s="565">
        <v>41983</v>
      </c>
      <c r="E3476" s="565">
        <v>42155</v>
      </c>
      <c r="F3476" s="566">
        <v>46000000</v>
      </c>
      <c r="G3476" s="564" t="s">
        <v>1123</v>
      </c>
      <c r="H3476" s="564" t="s">
        <v>1123</v>
      </c>
      <c r="I3476" s="564" t="s">
        <v>7231</v>
      </c>
      <c r="J3476" s="564" t="s">
        <v>1069</v>
      </c>
      <c r="K3476" s="564" t="s">
        <v>1198</v>
      </c>
      <c r="L3476" s="564" t="s">
        <v>2098</v>
      </c>
      <c r="M3476" s="564" t="s">
        <v>2098</v>
      </c>
      <c r="N3476" s="564" t="s">
        <v>1082</v>
      </c>
      <c r="O3476" s="564" t="s">
        <v>2099</v>
      </c>
      <c r="P3476" s="23"/>
      <c r="Q3476" s="23"/>
      <c r="R3476" s="23"/>
      <c r="S3476" s="23"/>
      <c r="T3476" s="23"/>
      <c r="U3476" s="23"/>
      <c r="V3476" s="23"/>
      <c r="W3476" s="23"/>
      <c r="X3476" s="23"/>
      <c r="Y3476" s="23"/>
      <c r="Z3476" s="23"/>
    </row>
    <row r="3477" spans="1:26" ht="13">
      <c r="A3477" s="562" t="s">
        <v>7857</v>
      </c>
      <c r="B3477" s="563" t="s">
        <v>7858</v>
      </c>
      <c r="C3477" s="564" t="s">
        <v>2191</v>
      </c>
      <c r="D3477" s="565">
        <v>41982</v>
      </c>
      <c r="E3477" s="565">
        <v>41985</v>
      </c>
      <c r="F3477" s="567">
        <v>320</v>
      </c>
      <c r="G3477" s="564" t="s">
        <v>337</v>
      </c>
      <c r="H3477" s="564" t="s">
        <v>337</v>
      </c>
      <c r="I3477" s="564" t="s">
        <v>7859</v>
      </c>
      <c r="J3477" s="564" t="s">
        <v>1069</v>
      </c>
      <c r="K3477" s="564" t="s">
        <v>1070</v>
      </c>
      <c r="L3477" s="564" t="s">
        <v>2098</v>
      </c>
      <c r="M3477" s="564" t="s">
        <v>2098</v>
      </c>
      <c r="N3477" s="564" t="s">
        <v>1082</v>
      </c>
      <c r="O3477" s="564" t="s">
        <v>2099</v>
      </c>
      <c r="P3477" s="23"/>
      <c r="Q3477" s="23"/>
      <c r="R3477" s="23"/>
      <c r="S3477" s="23"/>
      <c r="T3477" s="23"/>
      <c r="U3477" s="23"/>
      <c r="V3477" s="23"/>
      <c r="W3477" s="23"/>
      <c r="X3477" s="23"/>
      <c r="Y3477" s="23"/>
      <c r="Z3477" s="23"/>
    </row>
    <row r="3478" spans="1:26" ht="13">
      <c r="A3478" s="562" t="s">
        <v>7860</v>
      </c>
      <c r="B3478" s="563" t="s">
        <v>6649</v>
      </c>
      <c r="C3478" s="564" t="s">
        <v>1612</v>
      </c>
      <c r="D3478" s="565">
        <v>41982</v>
      </c>
      <c r="E3478" s="565">
        <v>42012</v>
      </c>
      <c r="F3478" s="566">
        <v>2130</v>
      </c>
      <c r="G3478" s="564" t="s">
        <v>1424</v>
      </c>
      <c r="H3478" s="564" t="s">
        <v>1424</v>
      </c>
      <c r="I3478" s="564" t="s">
        <v>70</v>
      </c>
      <c r="J3478" s="564" t="s">
        <v>1069</v>
      </c>
      <c r="K3478" s="564" t="s">
        <v>1120</v>
      </c>
      <c r="L3478" s="564" t="s">
        <v>2098</v>
      </c>
      <c r="M3478" s="564" t="s">
        <v>2098</v>
      </c>
      <c r="N3478" s="564" t="s">
        <v>70</v>
      </c>
      <c r="O3478" s="564" t="s">
        <v>2099</v>
      </c>
      <c r="P3478" s="23"/>
      <c r="Q3478" s="23"/>
      <c r="R3478" s="23"/>
      <c r="S3478" s="23"/>
      <c r="T3478" s="23"/>
      <c r="U3478" s="23"/>
      <c r="V3478" s="23"/>
      <c r="W3478" s="23"/>
      <c r="X3478" s="23"/>
      <c r="Y3478" s="23"/>
      <c r="Z3478" s="23"/>
    </row>
    <row r="3479" spans="1:26" ht="13">
      <c r="A3479" s="562" t="s">
        <v>7861</v>
      </c>
      <c r="B3479" s="563" t="s">
        <v>7862</v>
      </c>
      <c r="C3479" s="564" t="s">
        <v>1612</v>
      </c>
      <c r="D3479" s="565">
        <v>41981</v>
      </c>
      <c r="E3479" s="565">
        <v>42004</v>
      </c>
      <c r="F3479" s="566">
        <v>12045000</v>
      </c>
      <c r="G3479" s="564" t="s">
        <v>5465</v>
      </c>
      <c r="H3479" s="564" t="s">
        <v>5465</v>
      </c>
      <c r="I3479" s="564" t="s">
        <v>45</v>
      </c>
      <c r="J3479" s="564" t="s">
        <v>1069</v>
      </c>
      <c r="K3479" s="564" t="s">
        <v>1090</v>
      </c>
      <c r="L3479" s="564" t="s">
        <v>2098</v>
      </c>
      <c r="M3479" s="564" t="s">
        <v>2098</v>
      </c>
      <c r="N3479" s="564" t="s">
        <v>45</v>
      </c>
      <c r="O3479" s="564" t="s">
        <v>2099</v>
      </c>
      <c r="P3479" s="23"/>
      <c r="Q3479" s="23"/>
      <c r="R3479" s="23"/>
      <c r="S3479" s="23"/>
      <c r="T3479" s="23"/>
      <c r="U3479" s="23"/>
      <c r="V3479" s="23"/>
      <c r="W3479" s="23"/>
      <c r="X3479" s="23"/>
      <c r="Y3479" s="23"/>
      <c r="Z3479" s="23"/>
    </row>
    <row r="3480" spans="1:26" ht="13">
      <c r="A3480" s="562" t="s">
        <v>7863</v>
      </c>
      <c r="B3480" s="563" t="s">
        <v>7864</v>
      </c>
      <c r="C3480" s="564" t="s">
        <v>1612</v>
      </c>
      <c r="D3480" s="565">
        <v>41977</v>
      </c>
      <c r="E3480" s="565">
        <v>41974</v>
      </c>
      <c r="F3480" s="566">
        <v>145989720</v>
      </c>
      <c r="G3480" s="564" t="s">
        <v>337</v>
      </c>
      <c r="H3480" s="564" t="s">
        <v>337</v>
      </c>
      <c r="I3480" s="564" t="s">
        <v>45</v>
      </c>
      <c r="J3480" s="564" t="s">
        <v>1069</v>
      </c>
      <c r="K3480" s="564" t="s">
        <v>1090</v>
      </c>
      <c r="L3480" s="564" t="s">
        <v>1071</v>
      </c>
      <c r="M3480" s="564" t="s">
        <v>1183</v>
      </c>
      <c r="N3480" s="564" t="s">
        <v>45</v>
      </c>
      <c r="O3480" s="564" t="s">
        <v>2099</v>
      </c>
      <c r="P3480" s="23"/>
      <c r="Q3480" s="23"/>
      <c r="R3480" s="23"/>
      <c r="S3480" s="23"/>
      <c r="T3480" s="23"/>
      <c r="U3480" s="23"/>
      <c r="V3480" s="23"/>
      <c r="W3480" s="23"/>
      <c r="X3480" s="23"/>
      <c r="Y3480" s="23"/>
      <c r="Z3480" s="23"/>
    </row>
    <row r="3481" spans="1:26" ht="13">
      <c r="A3481" s="562" t="s">
        <v>7865</v>
      </c>
      <c r="B3481" s="563" t="s">
        <v>7866</v>
      </c>
      <c r="C3481" s="564" t="s">
        <v>1612</v>
      </c>
      <c r="D3481" s="565">
        <v>41977</v>
      </c>
      <c r="E3481" s="565">
        <v>41999</v>
      </c>
      <c r="F3481" s="566">
        <v>12000000</v>
      </c>
      <c r="G3481" s="564" t="s">
        <v>7208</v>
      </c>
      <c r="H3481" s="564" t="s">
        <v>7208</v>
      </c>
      <c r="I3481" s="564" t="s">
        <v>45</v>
      </c>
      <c r="J3481" s="564" t="s">
        <v>1069</v>
      </c>
      <c r="K3481" s="564" t="s">
        <v>1090</v>
      </c>
      <c r="L3481" s="564" t="s">
        <v>2098</v>
      </c>
      <c r="M3481" s="564" t="s">
        <v>2098</v>
      </c>
      <c r="N3481" s="564" t="s">
        <v>45</v>
      </c>
      <c r="O3481" s="564" t="s">
        <v>2099</v>
      </c>
      <c r="P3481" s="23"/>
      <c r="Q3481" s="23"/>
      <c r="R3481" s="23"/>
      <c r="S3481" s="23"/>
      <c r="T3481" s="23"/>
      <c r="U3481" s="23"/>
      <c r="V3481" s="23"/>
      <c r="W3481" s="23"/>
      <c r="X3481" s="23"/>
      <c r="Y3481" s="23"/>
      <c r="Z3481" s="23"/>
    </row>
    <row r="3482" spans="1:26" ht="13">
      <c r="A3482" s="562" t="s">
        <v>7867</v>
      </c>
      <c r="B3482" s="563" t="s">
        <v>7467</v>
      </c>
      <c r="C3482" s="564" t="s">
        <v>1612</v>
      </c>
      <c r="D3482" s="565">
        <v>41971</v>
      </c>
      <c r="E3482" s="565">
        <v>41985</v>
      </c>
      <c r="F3482" s="566">
        <v>9605</v>
      </c>
      <c r="G3482" s="564" t="s">
        <v>337</v>
      </c>
      <c r="H3482" s="564" t="s">
        <v>337</v>
      </c>
      <c r="I3482" s="564" t="s">
        <v>1837</v>
      </c>
      <c r="J3482" s="564" t="s">
        <v>1069</v>
      </c>
      <c r="K3482" s="564" t="s">
        <v>1090</v>
      </c>
      <c r="L3482" s="564" t="s">
        <v>2098</v>
      </c>
      <c r="M3482" s="564" t="s">
        <v>2098</v>
      </c>
      <c r="N3482" s="564" t="s">
        <v>1082</v>
      </c>
      <c r="O3482" s="564" t="s">
        <v>2099</v>
      </c>
      <c r="P3482" s="23"/>
      <c r="Q3482" s="23"/>
      <c r="R3482" s="23"/>
      <c r="S3482" s="23"/>
      <c r="T3482" s="23"/>
      <c r="U3482" s="23"/>
      <c r="V3482" s="23"/>
      <c r="W3482" s="23"/>
      <c r="X3482" s="23"/>
      <c r="Y3482" s="23"/>
      <c r="Z3482" s="23"/>
    </row>
    <row r="3483" spans="1:26" ht="13">
      <c r="A3483" s="562" t="s">
        <v>7868</v>
      </c>
      <c r="B3483" s="563" t="s">
        <v>5501</v>
      </c>
      <c r="C3483" s="564" t="s">
        <v>1612</v>
      </c>
      <c r="D3483" s="565">
        <v>41971</v>
      </c>
      <c r="E3483" s="565">
        <v>41999</v>
      </c>
      <c r="F3483" s="566">
        <v>1102400</v>
      </c>
      <c r="G3483" s="564" t="s">
        <v>1424</v>
      </c>
      <c r="H3483" s="564" t="s">
        <v>1424</v>
      </c>
      <c r="I3483" s="564" t="s">
        <v>3824</v>
      </c>
      <c r="J3483" s="564" t="s">
        <v>1069</v>
      </c>
      <c r="K3483" s="564" t="s">
        <v>1070</v>
      </c>
      <c r="L3483" s="564" t="s">
        <v>2098</v>
      </c>
      <c r="M3483" s="564" t="s">
        <v>2098</v>
      </c>
      <c r="N3483" s="564" t="s">
        <v>1073</v>
      </c>
      <c r="O3483" s="564" t="s">
        <v>2099</v>
      </c>
      <c r="P3483" s="23"/>
      <c r="Q3483" s="23"/>
      <c r="R3483" s="23"/>
      <c r="S3483" s="23"/>
      <c r="T3483" s="23"/>
      <c r="U3483" s="23"/>
      <c r="V3483" s="23"/>
      <c r="W3483" s="23"/>
      <c r="X3483" s="23"/>
      <c r="Y3483" s="23"/>
      <c r="Z3483" s="23"/>
    </row>
    <row r="3484" spans="1:26" ht="13">
      <c r="A3484" s="562" t="s">
        <v>7869</v>
      </c>
      <c r="B3484" s="563" t="s">
        <v>5497</v>
      </c>
      <c r="C3484" s="564" t="s">
        <v>1612</v>
      </c>
      <c r="D3484" s="565">
        <v>41971</v>
      </c>
      <c r="E3484" s="565">
        <v>41999</v>
      </c>
      <c r="F3484" s="566">
        <v>455800</v>
      </c>
      <c r="G3484" s="564" t="s">
        <v>1424</v>
      </c>
      <c r="H3484" s="564" t="s">
        <v>1424</v>
      </c>
      <c r="I3484" s="564" t="s">
        <v>2586</v>
      </c>
      <c r="J3484" s="564" t="s">
        <v>1069</v>
      </c>
      <c r="K3484" s="564" t="s">
        <v>1070</v>
      </c>
      <c r="L3484" s="564" t="s">
        <v>2098</v>
      </c>
      <c r="M3484" s="564" t="s">
        <v>2098</v>
      </c>
      <c r="N3484" s="564" t="s">
        <v>1073</v>
      </c>
      <c r="O3484" s="564" t="s">
        <v>2099</v>
      </c>
      <c r="P3484" s="23"/>
      <c r="Q3484" s="23"/>
      <c r="R3484" s="23"/>
      <c r="S3484" s="23"/>
      <c r="T3484" s="23"/>
      <c r="U3484" s="23"/>
      <c r="V3484" s="23"/>
      <c r="W3484" s="23"/>
      <c r="X3484" s="23"/>
      <c r="Y3484" s="23"/>
      <c r="Z3484" s="23"/>
    </row>
    <row r="3485" spans="1:26" ht="13">
      <c r="A3485" s="562" t="s">
        <v>7870</v>
      </c>
      <c r="B3485" s="563" t="s">
        <v>7871</v>
      </c>
      <c r="C3485" s="564" t="s">
        <v>1612</v>
      </c>
      <c r="D3485" s="565">
        <v>41970</v>
      </c>
      <c r="E3485" s="565">
        <v>42036</v>
      </c>
      <c r="F3485" s="566">
        <v>21055560</v>
      </c>
      <c r="G3485" s="564" t="s">
        <v>337</v>
      </c>
      <c r="H3485" s="564" t="s">
        <v>337</v>
      </c>
      <c r="I3485" s="564" t="s">
        <v>45</v>
      </c>
      <c r="J3485" s="564" t="s">
        <v>1069</v>
      </c>
      <c r="K3485" s="564" t="s">
        <v>1090</v>
      </c>
      <c r="L3485" s="564" t="s">
        <v>1071</v>
      </c>
      <c r="M3485" s="564" t="s">
        <v>1183</v>
      </c>
      <c r="N3485" s="564" t="s">
        <v>45</v>
      </c>
      <c r="O3485" s="564" t="s">
        <v>2099</v>
      </c>
      <c r="P3485" s="23"/>
      <c r="Q3485" s="23"/>
      <c r="R3485" s="23"/>
      <c r="S3485" s="23"/>
      <c r="T3485" s="23"/>
      <c r="U3485" s="23"/>
      <c r="V3485" s="23"/>
      <c r="W3485" s="23"/>
      <c r="X3485" s="23"/>
      <c r="Y3485" s="23"/>
      <c r="Z3485" s="23"/>
    </row>
    <row r="3486" spans="1:26" ht="13">
      <c r="A3486" s="562" t="s">
        <v>7872</v>
      </c>
      <c r="B3486" s="563" t="s">
        <v>7436</v>
      </c>
      <c r="C3486" s="564" t="s">
        <v>1612</v>
      </c>
      <c r="D3486" s="565">
        <v>41970</v>
      </c>
      <c r="E3486" s="565">
        <v>41999</v>
      </c>
      <c r="F3486" s="566">
        <v>1050</v>
      </c>
      <c r="G3486" s="564" t="s">
        <v>1424</v>
      </c>
      <c r="H3486" s="564" t="s">
        <v>1424</v>
      </c>
      <c r="I3486" s="564" t="s">
        <v>70</v>
      </c>
      <c r="J3486" s="564" t="s">
        <v>1069</v>
      </c>
      <c r="K3486" s="564" t="s">
        <v>1120</v>
      </c>
      <c r="L3486" s="564" t="s">
        <v>2098</v>
      </c>
      <c r="M3486" s="564" t="s">
        <v>2098</v>
      </c>
      <c r="N3486" s="564" t="s">
        <v>70</v>
      </c>
      <c r="O3486" s="564" t="s">
        <v>2099</v>
      </c>
      <c r="P3486" s="23"/>
      <c r="Q3486" s="23"/>
      <c r="R3486" s="23"/>
      <c r="S3486" s="23"/>
      <c r="T3486" s="23"/>
      <c r="U3486" s="23"/>
      <c r="V3486" s="23"/>
      <c r="W3486" s="23"/>
      <c r="X3486" s="23"/>
      <c r="Y3486" s="23"/>
      <c r="Z3486" s="23"/>
    </row>
    <row r="3487" spans="1:26" ht="13">
      <c r="A3487" s="562" t="s">
        <v>7873</v>
      </c>
      <c r="B3487" s="563" t="s">
        <v>7874</v>
      </c>
      <c r="C3487" s="564" t="s">
        <v>1612</v>
      </c>
      <c r="D3487" s="565">
        <v>41970</v>
      </c>
      <c r="E3487" s="565">
        <v>41988</v>
      </c>
      <c r="F3487" s="566">
        <v>2312727</v>
      </c>
      <c r="G3487" s="564" t="s">
        <v>1623</v>
      </c>
      <c r="H3487" s="564" t="s">
        <v>1623</v>
      </c>
      <c r="I3487" s="564" t="s">
        <v>802</v>
      </c>
      <c r="J3487" s="564" t="s">
        <v>1069</v>
      </c>
      <c r="K3487" s="564" t="s">
        <v>1198</v>
      </c>
      <c r="L3487" s="564" t="s">
        <v>2098</v>
      </c>
      <c r="M3487" s="564" t="s">
        <v>2098</v>
      </c>
      <c r="N3487" s="564" t="s">
        <v>132</v>
      </c>
      <c r="O3487" s="564" t="s">
        <v>2099</v>
      </c>
      <c r="P3487" s="23"/>
      <c r="Q3487" s="23"/>
      <c r="R3487" s="23"/>
      <c r="S3487" s="23"/>
      <c r="T3487" s="23"/>
      <c r="U3487" s="23"/>
      <c r="V3487" s="23"/>
      <c r="W3487" s="23"/>
      <c r="X3487" s="23"/>
      <c r="Y3487" s="23"/>
      <c r="Z3487" s="23"/>
    </row>
    <row r="3488" spans="1:26" ht="13">
      <c r="A3488" s="562" t="s">
        <v>7875</v>
      </c>
      <c r="B3488" s="563" t="s">
        <v>7876</v>
      </c>
      <c r="C3488" s="564" t="s">
        <v>1612</v>
      </c>
      <c r="D3488" s="565">
        <v>41968</v>
      </c>
      <c r="E3488" s="565">
        <v>41997</v>
      </c>
      <c r="F3488" s="567">
        <v>425</v>
      </c>
      <c r="G3488" s="564" t="s">
        <v>1424</v>
      </c>
      <c r="H3488" s="564" t="s">
        <v>1424</v>
      </c>
      <c r="I3488" s="564" t="s">
        <v>2586</v>
      </c>
      <c r="J3488" s="564" t="s">
        <v>1069</v>
      </c>
      <c r="K3488" s="564" t="s">
        <v>1070</v>
      </c>
      <c r="L3488" s="564" t="s">
        <v>2098</v>
      </c>
      <c r="M3488" s="564" t="s">
        <v>2098</v>
      </c>
      <c r="N3488" s="564" t="s">
        <v>1073</v>
      </c>
      <c r="O3488" s="564" t="s">
        <v>2099</v>
      </c>
      <c r="P3488" s="23"/>
      <c r="Q3488" s="23"/>
      <c r="R3488" s="23"/>
      <c r="S3488" s="23"/>
      <c r="T3488" s="23"/>
      <c r="U3488" s="23"/>
      <c r="V3488" s="23"/>
      <c r="W3488" s="23"/>
      <c r="X3488" s="23"/>
      <c r="Y3488" s="23"/>
      <c r="Z3488" s="23"/>
    </row>
    <row r="3489" spans="1:26" ht="13">
      <c r="A3489" s="562" t="s">
        <v>7877</v>
      </c>
      <c r="B3489" s="563" t="s">
        <v>7878</v>
      </c>
      <c r="C3489" s="564" t="s">
        <v>1612</v>
      </c>
      <c r="D3489" s="565">
        <v>41968</v>
      </c>
      <c r="E3489" s="565">
        <v>41997</v>
      </c>
      <c r="F3489" s="567">
        <v>510</v>
      </c>
      <c r="G3489" s="564" t="s">
        <v>1424</v>
      </c>
      <c r="H3489" s="564" t="s">
        <v>1424</v>
      </c>
      <c r="I3489" s="564" t="s">
        <v>3824</v>
      </c>
      <c r="J3489" s="564" t="s">
        <v>1069</v>
      </c>
      <c r="K3489" s="564" t="s">
        <v>1070</v>
      </c>
      <c r="L3489" s="564" t="s">
        <v>2098</v>
      </c>
      <c r="M3489" s="564" t="s">
        <v>2098</v>
      </c>
      <c r="N3489" s="564" t="s">
        <v>1073</v>
      </c>
      <c r="O3489" s="564" t="s">
        <v>2099</v>
      </c>
      <c r="P3489" s="23"/>
      <c r="Q3489" s="23"/>
      <c r="R3489" s="23"/>
      <c r="S3489" s="23"/>
      <c r="T3489" s="23"/>
      <c r="U3489" s="23"/>
      <c r="V3489" s="23"/>
      <c r="W3489" s="23"/>
      <c r="X3489" s="23"/>
      <c r="Y3489" s="23"/>
      <c r="Z3489" s="23"/>
    </row>
    <row r="3490" spans="1:26" ht="13">
      <c r="A3490" s="562" t="s">
        <v>7879</v>
      </c>
      <c r="B3490" s="563" t="s">
        <v>7880</v>
      </c>
      <c r="C3490" s="564" t="s">
        <v>1612</v>
      </c>
      <c r="D3490" s="565">
        <v>41969</v>
      </c>
      <c r="E3490" s="565">
        <v>41978</v>
      </c>
      <c r="F3490" s="566">
        <v>12460000</v>
      </c>
      <c r="G3490" s="564" t="s">
        <v>1128</v>
      </c>
      <c r="H3490" s="564" t="s">
        <v>1128</v>
      </c>
      <c r="I3490" s="564" t="s">
        <v>257</v>
      </c>
      <c r="J3490" s="564" t="s">
        <v>1069</v>
      </c>
      <c r="K3490" s="564" t="s">
        <v>1209</v>
      </c>
      <c r="L3490" s="564" t="s">
        <v>2098</v>
      </c>
      <c r="M3490" s="564" t="s">
        <v>2098</v>
      </c>
      <c r="N3490" s="564" t="s">
        <v>257</v>
      </c>
      <c r="O3490" s="564" t="s">
        <v>2099</v>
      </c>
      <c r="P3490" s="23"/>
      <c r="Q3490" s="23"/>
      <c r="R3490" s="23"/>
      <c r="S3490" s="23"/>
      <c r="T3490" s="23"/>
      <c r="U3490" s="23"/>
      <c r="V3490" s="23"/>
      <c r="W3490" s="23"/>
      <c r="X3490" s="23"/>
      <c r="Y3490" s="23"/>
      <c r="Z3490" s="23"/>
    </row>
    <row r="3491" spans="1:26" ht="13">
      <c r="A3491" s="562" t="s">
        <v>7881</v>
      </c>
      <c r="B3491" s="563" t="s">
        <v>7882</v>
      </c>
      <c r="C3491" s="564" t="s">
        <v>1612</v>
      </c>
      <c r="D3491" s="565">
        <v>41967</v>
      </c>
      <c r="E3491" s="565">
        <v>41973</v>
      </c>
      <c r="F3491" s="566">
        <v>39500000</v>
      </c>
      <c r="G3491" s="564" t="s">
        <v>7208</v>
      </c>
      <c r="H3491" s="564" t="s">
        <v>7208</v>
      </c>
      <c r="I3491" s="564" t="s">
        <v>45</v>
      </c>
      <c r="J3491" s="564" t="s">
        <v>1069</v>
      </c>
      <c r="K3491" s="564" t="s">
        <v>1090</v>
      </c>
      <c r="L3491" s="564" t="s">
        <v>2098</v>
      </c>
      <c r="M3491" s="564" t="s">
        <v>2098</v>
      </c>
      <c r="N3491" s="564" t="s">
        <v>45</v>
      </c>
      <c r="O3491" s="564" t="s">
        <v>2099</v>
      </c>
      <c r="P3491" s="23"/>
      <c r="Q3491" s="23"/>
      <c r="R3491" s="23"/>
      <c r="S3491" s="23"/>
      <c r="T3491" s="23"/>
      <c r="U3491" s="23"/>
      <c r="V3491" s="23"/>
      <c r="W3491" s="23"/>
      <c r="X3491" s="23"/>
      <c r="Y3491" s="23"/>
      <c r="Z3491" s="23"/>
    </row>
    <row r="3492" spans="1:26" ht="13">
      <c r="A3492" s="562" t="s">
        <v>7883</v>
      </c>
      <c r="B3492" s="563" t="s">
        <v>7884</v>
      </c>
      <c r="C3492" s="564" t="s">
        <v>1612</v>
      </c>
      <c r="D3492" s="565">
        <v>41961</v>
      </c>
      <c r="E3492" s="565">
        <v>41978</v>
      </c>
      <c r="F3492" s="566">
        <v>18400</v>
      </c>
      <c r="G3492" s="564" t="s">
        <v>337</v>
      </c>
      <c r="H3492" s="564" t="s">
        <v>337</v>
      </c>
      <c r="I3492" s="564" t="s">
        <v>1837</v>
      </c>
      <c r="J3492" s="564" t="s">
        <v>1069</v>
      </c>
      <c r="K3492" s="564" t="s">
        <v>1090</v>
      </c>
      <c r="L3492" s="564" t="s">
        <v>2098</v>
      </c>
      <c r="M3492" s="564" t="s">
        <v>2098</v>
      </c>
      <c r="N3492" s="564" t="s">
        <v>1082</v>
      </c>
      <c r="O3492" s="564" t="s">
        <v>2099</v>
      </c>
      <c r="P3492" s="23"/>
      <c r="Q3492" s="23"/>
      <c r="R3492" s="23"/>
      <c r="S3492" s="23"/>
      <c r="T3492" s="23"/>
      <c r="U3492" s="23"/>
      <c r="V3492" s="23"/>
      <c r="W3492" s="23"/>
      <c r="X3492" s="23"/>
      <c r="Y3492" s="23"/>
      <c r="Z3492" s="23"/>
    </row>
    <row r="3493" spans="1:26" ht="13">
      <c r="A3493" s="562" t="s">
        <v>7885</v>
      </c>
      <c r="B3493" s="563" t="s">
        <v>7886</v>
      </c>
      <c r="C3493" s="564" t="s">
        <v>1612</v>
      </c>
      <c r="D3493" s="565">
        <v>41960</v>
      </c>
      <c r="E3493" s="565">
        <v>41983</v>
      </c>
      <c r="F3493" s="566">
        <v>18920000</v>
      </c>
      <c r="G3493" s="564" t="s">
        <v>1116</v>
      </c>
      <c r="H3493" s="564" t="s">
        <v>1116</v>
      </c>
      <c r="I3493" s="564" t="s">
        <v>45</v>
      </c>
      <c r="J3493" s="564" t="s">
        <v>1069</v>
      </c>
      <c r="K3493" s="564" t="s">
        <v>1090</v>
      </c>
      <c r="L3493" s="564" t="s">
        <v>2098</v>
      </c>
      <c r="M3493" s="564" t="s">
        <v>2098</v>
      </c>
      <c r="N3493" s="564" t="s">
        <v>45</v>
      </c>
      <c r="O3493" s="564" t="s">
        <v>2099</v>
      </c>
      <c r="P3493" s="23"/>
      <c r="Q3493" s="23"/>
      <c r="R3493" s="23"/>
      <c r="S3493" s="23"/>
      <c r="T3493" s="23"/>
      <c r="U3493" s="23"/>
      <c r="V3493" s="23"/>
      <c r="W3493" s="23"/>
      <c r="X3493" s="23"/>
      <c r="Y3493" s="23"/>
      <c r="Z3493" s="23"/>
    </row>
    <row r="3494" spans="1:26" ht="13">
      <c r="A3494" s="562" t="s">
        <v>7887</v>
      </c>
      <c r="B3494" s="563" t="s">
        <v>7888</v>
      </c>
      <c r="C3494" s="564" t="s">
        <v>1612</v>
      </c>
      <c r="D3494" s="565">
        <v>41960</v>
      </c>
      <c r="E3494" s="565">
        <v>41963</v>
      </c>
      <c r="F3494" s="566">
        <v>863636</v>
      </c>
      <c r="G3494" s="564" t="s">
        <v>1623</v>
      </c>
      <c r="H3494" s="564" t="s">
        <v>1623</v>
      </c>
      <c r="I3494" s="564" t="s">
        <v>802</v>
      </c>
      <c r="J3494" s="564" t="s">
        <v>1069</v>
      </c>
      <c r="K3494" s="564" t="s">
        <v>1198</v>
      </c>
      <c r="L3494" s="564" t="s">
        <v>2098</v>
      </c>
      <c r="M3494" s="564" t="s">
        <v>2098</v>
      </c>
      <c r="N3494" s="564" t="s">
        <v>132</v>
      </c>
      <c r="O3494" s="564" t="s">
        <v>2099</v>
      </c>
      <c r="P3494" s="23"/>
      <c r="Q3494" s="23"/>
      <c r="R3494" s="23"/>
      <c r="S3494" s="23"/>
      <c r="T3494" s="23"/>
      <c r="U3494" s="23"/>
      <c r="V3494" s="23"/>
      <c r="W3494" s="23"/>
      <c r="X3494" s="23"/>
      <c r="Y3494" s="23"/>
      <c r="Z3494" s="23"/>
    </row>
    <row r="3495" spans="1:26" ht="13">
      <c r="A3495" s="562" t="s">
        <v>7889</v>
      </c>
      <c r="B3495" s="563" t="s">
        <v>6279</v>
      </c>
      <c r="C3495" s="564" t="s">
        <v>1612</v>
      </c>
      <c r="D3495" s="565">
        <v>41957</v>
      </c>
      <c r="E3495" s="565">
        <v>41985</v>
      </c>
      <c r="F3495" s="567">
        <v>900</v>
      </c>
      <c r="G3495" s="564" t="s">
        <v>1424</v>
      </c>
      <c r="H3495" s="564" t="s">
        <v>1424</v>
      </c>
      <c r="I3495" s="564" t="s">
        <v>225</v>
      </c>
      <c r="J3495" s="564" t="s">
        <v>1069</v>
      </c>
      <c r="K3495" s="564" t="s">
        <v>1105</v>
      </c>
      <c r="L3495" s="564" t="s">
        <v>2098</v>
      </c>
      <c r="M3495" s="564" t="s">
        <v>2098</v>
      </c>
      <c r="N3495" s="564" t="s">
        <v>225</v>
      </c>
      <c r="O3495" s="564" t="s">
        <v>2099</v>
      </c>
      <c r="P3495" s="23"/>
      <c r="Q3495" s="23"/>
      <c r="R3495" s="23"/>
      <c r="S3495" s="23"/>
      <c r="T3495" s="23"/>
      <c r="U3495" s="23"/>
      <c r="V3495" s="23"/>
      <c r="W3495" s="23"/>
      <c r="X3495" s="23"/>
      <c r="Y3495" s="23"/>
      <c r="Z3495" s="23"/>
    </row>
    <row r="3496" spans="1:26" ht="13">
      <c r="A3496" s="562" t="s">
        <v>7890</v>
      </c>
      <c r="B3496" s="563" t="s">
        <v>7891</v>
      </c>
      <c r="C3496" s="564" t="s">
        <v>1612</v>
      </c>
      <c r="D3496" s="565">
        <v>41954</v>
      </c>
      <c r="E3496" s="565">
        <v>41984</v>
      </c>
      <c r="F3496" s="567">
        <v>560</v>
      </c>
      <c r="G3496" s="564" t="s">
        <v>1424</v>
      </c>
      <c r="H3496" s="564" t="s">
        <v>1424</v>
      </c>
      <c r="I3496" s="564" t="s">
        <v>121</v>
      </c>
      <c r="J3496" s="564" t="s">
        <v>1069</v>
      </c>
      <c r="K3496" s="564" t="s">
        <v>1105</v>
      </c>
      <c r="L3496" s="564" t="s">
        <v>2098</v>
      </c>
      <c r="M3496" s="564" t="s">
        <v>2098</v>
      </c>
      <c r="N3496" s="564" t="s">
        <v>1073</v>
      </c>
      <c r="O3496" s="564" t="s">
        <v>2099</v>
      </c>
      <c r="P3496" s="23"/>
      <c r="Q3496" s="23"/>
      <c r="R3496" s="23"/>
      <c r="S3496" s="23"/>
      <c r="T3496" s="23"/>
      <c r="U3496" s="23"/>
      <c r="V3496" s="23"/>
      <c r="W3496" s="23"/>
      <c r="X3496" s="23"/>
      <c r="Y3496" s="23"/>
      <c r="Z3496" s="23"/>
    </row>
    <row r="3497" spans="1:26" ht="13">
      <c r="A3497" s="562" t="s">
        <v>7892</v>
      </c>
      <c r="B3497" s="563" t="s">
        <v>7884</v>
      </c>
      <c r="C3497" s="564" t="s">
        <v>1612</v>
      </c>
      <c r="D3497" s="565">
        <v>41954</v>
      </c>
      <c r="E3497" s="565">
        <v>41978</v>
      </c>
      <c r="F3497" s="566">
        <v>5520</v>
      </c>
      <c r="G3497" s="564" t="s">
        <v>337</v>
      </c>
      <c r="H3497" s="564" t="s">
        <v>337</v>
      </c>
      <c r="I3497" s="564" t="s">
        <v>1837</v>
      </c>
      <c r="J3497" s="564" t="s">
        <v>1069</v>
      </c>
      <c r="K3497" s="564" t="s">
        <v>1090</v>
      </c>
      <c r="L3497" s="564" t="s">
        <v>2098</v>
      </c>
      <c r="M3497" s="564" t="s">
        <v>2098</v>
      </c>
      <c r="N3497" s="564" t="s">
        <v>1082</v>
      </c>
      <c r="O3497" s="564" t="s">
        <v>2099</v>
      </c>
      <c r="P3497" s="23"/>
      <c r="Q3497" s="23"/>
      <c r="R3497" s="23"/>
      <c r="S3497" s="23"/>
      <c r="T3497" s="23"/>
      <c r="U3497" s="23"/>
      <c r="V3497" s="23"/>
      <c r="W3497" s="23"/>
      <c r="X3497" s="23"/>
      <c r="Y3497" s="23"/>
      <c r="Z3497" s="23"/>
    </row>
    <row r="3498" spans="1:26" ht="13">
      <c r="A3498" s="562" t="s">
        <v>7893</v>
      </c>
      <c r="B3498" s="563" t="s">
        <v>6802</v>
      </c>
      <c r="C3498" s="564" t="s">
        <v>1612</v>
      </c>
      <c r="D3498" s="565">
        <v>41956</v>
      </c>
      <c r="E3498" s="565">
        <v>41971</v>
      </c>
      <c r="F3498" s="566">
        <v>16500000</v>
      </c>
      <c r="G3498" s="564" t="s">
        <v>5465</v>
      </c>
      <c r="H3498" s="564" t="s">
        <v>5465</v>
      </c>
      <c r="I3498" s="564" t="s">
        <v>45</v>
      </c>
      <c r="J3498" s="564" t="s">
        <v>1069</v>
      </c>
      <c r="K3498" s="564" t="s">
        <v>1090</v>
      </c>
      <c r="L3498" s="564" t="s">
        <v>2098</v>
      </c>
      <c r="M3498" s="564" t="s">
        <v>2098</v>
      </c>
      <c r="N3498" s="564" t="s">
        <v>45</v>
      </c>
      <c r="O3498" s="564" t="s">
        <v>2099</v>
      </c>
      <c r="P3498" s="23"/>
      <c r="Q3498" s="23"/>
      <c r="R3498" s="23"/>
      <c r="S3498" s="23"/>
      <c r="T3498" s="23"/>
      <c r="U3498" s="23"/>
      <c r="V3498" s="23"/>
      <c r="W3498" s="23"/>
      <c r="X3498" s="23"/>
      <c r="Y3498" s="23"/>
      <c r="Z3498" s="23"/>
    </row>
    <row r="3499" spans="1:26" ht="13">
      <c r="A3499" s="562" t="s">
        <v>7894</v>
      </c>
      <c r="B3499" s="563" t="s">
        <v>7560</v>
      </c>
      <c r="C3499" s="564" t="s">
        <v>1612</v>
      </c>
      <c r="D3499" s="565">
        <v>41953</v>
      </c>
      <c r="E3499" s="565">
        <v>41983</v>
      </c>
      <c r="F3499" s="566">
        <v>2100</v>
      </c>
      <c r="G3499" s="564" t="s">
        <v>1424</v>
      </c>
      <c r="H3499" s="564" t="s">
        <v>1424</v>
      </c>
      <c r="I3499" s="564" t="s">
        <v>70</v>
      </c>
      <c r="J3499" s="564" t="s">
        <v>1069</v>
      </c>
      <c r="K3499" s="564" t="s">
        <v>1120</v>
      </c>
      <c r="L3499" s="564" t="s">
        <v>2098</v>
      </c>
      <c r="M3499" s="564" t="s">
        <v>2098</v>
      </c>
      <c r="N3499" s="564" t="s">
        <v>70</v>
      </c>
      <c r="O3499" s="564" t="s">
        <v>2099</v>
      </c>
      <c r="P3499" s="23"/>
      <c r="Q3499" s="23"/>
      <c r="R3499" s="23"/>
      <c r="S3499" s="23"/>
      <c r="T3499" s="23"/>
      <c r="U3499" s="23"/>
      <c r="V3499" s="23"/>
      <c r="W3499" s="23"/>
      <c r="X3499" s="23"/>
      <c r="Y3499" s="23"/>
      <c r="Z3499" s="23"/>
    </row>
    <row r="3500" spans="1:26" ht="13">
      <c r="A3500" s="562" t="s">
        <v>7895</v>
      </c>
      <c r="B3500" s="563" t="s">
        <v>7884</v>
      </c>
      <c r="C3500" s="564" t="s">
        <v>1612</v>
      </c>
      <c r="D3500" s="565">
        <v>41950</v>
      </c>
      <c r="E3500" s="565">
        <v>41964</v>
      </c>
      <c r="F3500" s="566">
        <v>6660</v>
      </c>
      <c r="G3500" s="564" t="s">
        <v>337</v>
      </c>
      <c r="H3500" s="564" t="s">
        <v>337</v>
      </c>
      <c r="I3500" s="564" t="s">
        <v>1837</v>
      </c>
      <c r="J3500" s="564" t="s">
        <v>1069</v>
      </c>
      <c r="K3500" s="564" t="s">
        <v>1090</v>
      </c>
      <c r="L3500" s="564" t="s">
        <v>2098</v>
      </c>
      <c r="M3500" s="564" t="s">
        <v>2098</v>
      </c>
      <c r="N3500" s="564" t="s">
        <v>1082</v>
      </c>
      <c r="O3500" s="564" t="s">
        <v>2099</v>
      </c>
      <c r="P3500" s="23"/>
      <c r="Q3500" s="23"/>
      <c r="R3500" s="23"/>
      <c r="S3500" s="23"/>
      <c r="T3500" s="23"/>
      <c r="U3500" s="23"/>
      <c r="V3500" s="23"/>
      <c r="W3500" s="23"/>
      <c r="X3500" s="23"/>
      <c r="Y3500" s="23"/>
      <c r="Z3500" s="23"/>
    </row>
    <row r="3501" spans="1:26" ht="13">
      <c r="A3501" s="562" t="s">
        <v>7896</v>
      </c>
      <c r="B3501" s="563" t="s">
        <v>6804</v>
      </c>
      <c r="C3501" s="564" t="s">
        <v>1612</v>
      </c>
      <c r="D3501" s="565">
        <v>41953</v>
      </c>
      <c r="E3501" s="565">
        <v>41971</v>
      </c>
      <c r="F3501" s="566">
        <v>5510000</v>
      </c>
      <c r="G3501" s="564" t="s">
        <v>5465</v>
      </c>
      <c r="H3501" s="564" t="s">
        <v>5465</v>
      </c>
      <c r="I3501" s="564" t="s">
        <v>45</v>
      </c>
      <c r="J3501" s="564" t="s">
        <v>1069</v>
      </c>
      <c r="K3501" s="564" t="s">
        <v>1090</v>
      </c>
      <c r="L3501" s="564" t="s">
        <v>2098</v>
      </c>
      <c r="M3501" s="564" t="s">
        <v>2098</v>
      </c>
      <c r="N3501" s="564" t="s">
        <v>45</v>
      </c>
      <c r="O3501" s="564" t="s">
        <v>2099</v>
      </c>
      <c r="P3501" s="23"/>
      <c r="Q3501" s="23"/>
      <c r="R3501" s="23"/>
      <c r="S3501" s="23"/>
      <c r="T3501" s="23"/>
      <c r="U3501" s="23"/>
      <c r="V3501" s="23"/>
      <c r="W3501" s="23"/>
      <c r="X3501" s="23"/>
      <c r="Y3501" s="23"/>
      <c r="Z3501" s="23"/>
    </row>
    <row r="3502" spans="1:26" ht="13">
      <c r="A3502" s="562" t="s">
        <v>7897</v>
      </c>
      <c r="B3502" s="563" t="s">
        <v>7898</v>
      </c>
      <c r="C3502" s="564" t="s">
        <v>1612</v>
      </c>
      <c r="D3502" s="565">
        <v>41950</v>
      </c>
      <c r="E3502" s="565">
        <v>41974</v>
      </c>
      <c r="F3502" s="566">
        <v>12661920</v>
      </c>
      <c r="G3502" s="564" t="s">
        <v>337</v>
      </c>
      <c r="H3502" s="564" t="s">
        <v>337</v>
      </c>
      <c r="I3502" s="564" t="s">
        <v>45</v>
      </c>
      <c r="J3502" s="564" t="s">
        <v>1069</v>
      </c>
      <c r="K3502" s="564" t="s">
        <v>1090</v>
      </c>
      <c r="L3502" s="564" t="s">
        <v>1071</v>
      </c>
      <c r="M3502" s="564" t="s">
        <v>1183</v>
      </c>
      <c r="N3502" s="564" t="s">
        <v>45</v>
      </c>
      <c r="O3502" s="564" t="s">
        <v>2099</v>
      </c>
      <c r="P3502" s="23"/>
      <c r="Q3502" s="23"/>
      <c r="R3502" s="23"/>
      <c r="S3502" s="23"/>
      <c r="T3502" s="23"/>
      <c r="U3502" s="23"/>
      <c r="V3502" s="23"/>
      <c r="W3502" s="23"/>
      <c r="X3502" s="23"/>
      <c r="Y3502" s="23"/>
      <c r="Z3502" s="23"/>
    </row>
    <row r="3503" spans="1:26" ht="13">
      <c r="A3503" s="562" t="s">
        <v>7899</v>
      </c>
      <c r="B3503" s="563" t="s">
        <v>7900</v>
      </c>
      <c r="C3503" s="564" t="s">
        <v>1612</v>
      </c>
      <c r="D3503" s="565">
        <v>41949</v>
      </c>
      <c r="E3503" s="565">
        <v>41982</v>
      </c>
      <c r="F3503" s="566">
        <v>31363632</v>
      </c>
      <c r="G3503" s="564" t="s">
        <v>1623</v>
      </c>
      <c r="H3503" s="564" t="s">
        <v>1623</v>
      </c>
      <c r="I3503" s="564" t="s">
        <v>802</v>
      </c>
      <c r="J3503" s="564" t="s">
        <v>1069</v>
      </c>
      <c r="K3503" s="564" t="s">
        <v>1198</v>
      </c>
      <c r="L3503" s="564" t="s">
        <v>2098</v>
      </c>
      <c r="M3503" s="564" t="s">
        <v>2098</v>
      </c>
      <c r="N3503" s="564" t="s">
        <v>132</v>
      </c>
      <c r="O3503" s="564" t="s">
        <v>2099</v>
      </c>
      <c r="P3503" s="23"/>
      <c r="Q3503" s="23"/>
      <c r="R3503" s="23"/>
      <c r="S3503" s="23"/>
      <c r="T3503" s="23"/>
      <c r="U3503" s="23"/>
      <c r="V3503" s="23"/>
      <c r="W3503" s="23"/>
      <c r="X3503" s="23"/>
      <c r="Y3503" s="23"/>
      <c r="Z3503" s="23"/>
    </row>
    <row r="3504" spans="1:26" ht="13">
      <c r="A3504" s="562" t="s">
        <v>7901</v>
      </c>
      <c r="B3504" s="563" t="s">
        <v>7902</v>
      </c>
      <c r="C3504" s="564" t="s">
        <v>1612</v>
      </c>
      <c r="D3504" s="565">
        <v>41948</v>
      </c>
      <c r="E3504" s="565">
        <v>41944</v>
      </c>
      <c r="F3504" s="566">
        <v>56053080</v>
      </c>
      <c r="G3504" s="564" t="s">
        <v>337</v>
      </c>
      <c r="H3504" s="564" t="s">
        <v>337</v>
      </c>
      <c r="I3504" s="564" t="s">
        <v>45</v>
      </c>
      <c r="J3504" s="564" t="s">
        <v>1069</v>
      </c>
      <c r="K3504" s="564" t="s">
        <v>1090</v>
      </c>
      <c r="L3504" s="564" t="s">
        <v>1071</v>
      </c>
      <c r="M3504" s="564" t="s">
        <v>1183</v>
      </c>
      <c r="N3504" s="564" t="s">
        <v>45</v>
      </c>
      <c r="O3504" s="564" t="s">
        <v>2099</v>
      </c>
      <c r="P3504" s="23"/>
      <c r="Q3504" s="23"/>
      <c r="R3504" s="23"/>
      <c r="S3504" s="23"/>
      <c r="T3504" s="23"/>
      <c r="U3504" s="23"/>
      <c r="V3504" s="23"/>
      <c r="W3504" s="23"/>
      <c r="X3504" s="23"/>
      <c r="Y3504" s="23"/>
      <c r="Z3504" s="23"/>
    </row>
    <row r="3505" spans="1:26" ht="13">
      <c r="A3505" s="562" t="s">
        <v>7903</v>
      </c>
      <c r="B3505" s="563" t="s">
        <v>7904</v>
      </c>
      <c r="C3505" s="564" t="s">
        <v>1612</v>
      </c>
      <c r="D3505" s="565">
        <v>41946</v>
      </c>
      <c r="E3505" s="565">
        <v>41976</v>
      </c>
      <c r="F3505" s="566">
        <v>5901</v>
      </c>
      <c r="G3505" s="564" t="s">
        <v>1424</v>
      </c>
      <c r="H3505" s="564" t="s">
        <v>1424</v>
      </c>
      <c r="I3505" s="564" t="s">
        <v>2586</v>
      </c>
      <c r="J3505" s="564" t="s">
        <v>1069</v>
      </c>
      <c r="K3505" s="564" t="s">
        <v>1070</v>
      </c>
      <c r="L3505" s="564" t="s">
        <v>2098</v>
      </c>
      <c r="M3505" s="564" t="s">
        <v>2098</v>
      </c>
      <c r="N3505" s="564" t="s">
        <v>1073</v>
      </c>
      <c r="O3505" s="564" t="s">
        <v>2099</v>
      </c>
      <c r="P3505" s="23"/>
      <c r="Q3505" s="23"/>
      <c r="R3505" s="23"/>
      <c r="S3505" s="23"/>
      <c r="T3505" s="23"/>
      <c r="U3505" s="23"/>
      <c r="V3505" s="23"/>
      <c r="W3505" s="23"/>
      <c r="X3505" s="23"/>
      <c r="Y3505" s="23"/>
      <c r="Z3505" s="23"/>
    </row>
    <row r="3506" spans="1:26" ht="13">
      <c r="A3506" s="562" t="s">
        <v>7905</v>
      </c>
      <c r="B3506" s="563" t="s">
        <v>7906</v>
      </c>
      <c r="C3506" s="564" t="s">
        <v>1612</v>
      </c>
      <c r="D3506" s="565">
        <v>41946</v>
      </c>
      <c r="E3506" s="565">
        <v>41976</v>
      </c>
      <c r="F3506" s="566">
        <v>14331</v>
      </c>
      <c r="G3506" s="564" t="s">
        <v>1424</v>
      </c>
      <c r="H3506" s="564" t="s">
        <v>1424</v>
      </c>
      <c r="I3506" s="564" t="s">
        <v>3824</v>
      </c>
      <c r="J3506" s="564" t="s">
        <v>1069</v>
      </c>
      <c r="K3506" s="564" t="s">
        <v>1070</v>
      </c>
      <c r="L3506" s="564" t="s">
        <v>2098</v>
      </c>
      <c r="M3506" s="564" t="s">
        <v>2098</v>
      </c>
      <c r="N3506" s="564" t="s">
        <v>1073</v>
      </c>
      <c r="O3506" s="564" t="s">
        <v>2099</v>
      </c>
      <c r="P3506" s="23"/>
      <c r="Q3506" s="23"/>
      <c r="R3506" s="23"/>
      <c r="S3506" s="23"/>
      <c r="T3506" s="23"/>
      <c r="U3506" s="23"/>
      <c r="V3506" s="23"/>
      <c r="W3506" s="23"/>
      <c r="X3506" s="23"/>
      <c r="Y3506" s="23"/>
      <c r="Z3506" s="23"/>
    </row>
    <row r="3507" spans="1:26" ht="13">
      <c r="A3507" s="562" t="s">
        <v>7907</v>
      </c>
      <c r="B3507" s="563" t="s">
        <v>7908</v>
      </c>
      <c r="C3507" s="564" t="s">
        <v>1612</v>
      </c>
      <c r="D3507" s="565">
        <v>41946</v>
      </c>
      <c r="E3507" s="565">
        <v>41971</v>
      </c>
      <c r="F3507" s="566">
        <v>24400</v>
      </c>
      <c r="G3507" s="564" t="s">
        <v>1623</v>
      </c>
      <c r="H3507" s="564" t="s">
        <v>1623</v>
      </c>
      <c r="I3507" s="564" t="s">
        <v>802</v>
      </c>
      <c r="J3507" s="564" t="s">
        <v>1069</v>
      </c>
      <c r="K3507" s="564" t="s">
        <v>1198</v>
      </c>
      <c r="L3507" s="564" t="s">
        <v>2098</v>
      </c>
      <c r="M3507" s="564" t="s">
        <v>2098</v>
      </c>
      <c r="N3507" s="564" t="s">
        <v>132</v>
      </c>
      <c r="O3507" s="564" t="s">
        <v>2099</v>
      </c>
      <c r="P3507" s="23"/>
      <c r="Q3507" s="23"/>
      <c r="R3507" s="23"/>
      <c r="S3507" s="23"/>
      <c r="T3507" s="23"/>
      <c r="U3507" s="23"/>
      <c r="V3507" s="23"/>
      <c r="W3507" s="23"/>
      <c r="X3507" s="23"/>
      <c r="Y3507" s="23"/>
      <c r="Z3507" s="23"/>
    </row>
    <row r="3508" spans="1:26" ht="13">
      <c r="A3508" s="562" t="s">
        <v>7909</v>
      </c>
      <c r="B3508" s="563" t="s">
        <v>7910</v>
      </c>
      <c r="C3508" s="564" t="s">
        <v>1612</v>
      </c>
      <c r="D3508" s="565">
        <v>41946</v>
      </c>
      <c r="E3508" s="565">
        <v>41949</v>
      </c>
      <c r="F3508" s="567">
        <v>820</v>
      </c>
      <c r="G3508" s="564" t="s">
        <v>1623</v>
      </c>
      <c r="H3508" s="564" t="s">
        <v>1623</v>
      </c>
      <c r="I3508" s="564" t="s">
        <v>802</v>
      </c>
      <c r="J3508" s="564" t="s">
        <v>1069</v>
      </c>
      <c r="K3508" s="564" t="s">
        <v>1198</v>
      </c>
      <c r="L3508" s="564" t="s">
        <v>2098</v>
      </c>
      <c r="M3508" s="564" t="s">
        <v>2098</v>
      </c>
      <c r="N3508" s="564" t="s">
        <v>132</v>
      </c>
      <c r="O3508" s="564" t="s">
        <v>2099</v>
      </c>
      <c r="P3508" s="23"/>
      <c r="Q3508" s="23"/>
      <c r="R3508" s="23"/>
      <c r="S3508" s="23"/>
      <c r="T3508" s="23"/>
      <c r="U3508" s="23"/>
      <c r="V3508" s="23"/>
      <c r="W3508" s="23"/>
      <c r="X3508" s="23"/>
      <c r="Y3508" s="23"/>
      <c r="Z3508" s="23"/>
    </row>
    <row r="3509" spans="1:26" ht="13">
      <c r="A3509" s="562" t="s">
        <v>7911</v>
      </c>
      <c r="B3509" s="563" t="s">
        <v>7560</v>
      </c>
      <c r="C3509" s="564" t="s">
        <v>1612</v>
      </c>
      <c r="D3509" s="565">
        <v>41943</v>
      </c>
      <c r="E3509" s="565">
        <v>41971</v>
      </c>
      <c r="F3509" s="566">
        <v>2100</v>
      </c>
      <c r="G3509" s="564" t="s">
        <v>1424</v>
      </c>
      <c r="H3509" s="564" t="s">
        <v>1424</v>
      </c>
      <c r="I3509" s="564" t="s">
        <v>70</v>
      </c>
      <c r="J3509" s="564" t="s">
        <v>1069</v>
      </c>
      <c r="K3509" s="564" t="s">
        <v>1120</v>
      </c>
      <c r="L3509" s="564" t="s">
        <v>2098</v>
      </c>
      <c r="M3509" s="564" t="s">
        <v>2098</v>
      </c>
      <c r="N3509" s="564" t="s">
        <v>70</v>
      </c>
      <c r="O3509" s="564" t="s">
        <v>2099</v>
      </c>
      <c r="P3509" s="23"/>
      <c r="Q3509" s="23"/>
      <c r="R3509" s="23"/>
      <c r="S3509" s="23"/>
      <c r="T3509" s="23"/>
      <c r="U3509" s="23"/>
      <c r="V3509" s="23"/>
      <c r="W3509" s="23"/>
      <c r="X3509" s="23"/>
      <c r="Y3509" s="23"/>
      <c r="Z3509" s="23"/>
    </row>
    <row r="3510" spans="1:26" ht="13">
      <c r="A3510" s="562" t="s">
        <v>7912</v>
      </c>
      <c r="B3510" s="563" t="s">
        <v>7913</v>
      </c>
      <c r="C3510" s="564" t="s">
        <v>1612</v>
      </c>
      <c r="D3510" s="565">
        <v>41943</v>
      </c>
      <c r="E3510" s="565">
        <v>41971</v>
      </c>
      <c r="F3510" s="566">
        <v>14605</v>
      </c>
      <c r="G3510" s="564" t="s">
        <v>1424</v>
      </c>
      <c r="H3510" s="564" t="s">
        <v>1424</v>
      </c>
      <c r="I3510" s="564" t="s">
        <v>64</v>
      </c>
      <c r="J3510" s="564" t="s">
        <v>1069</v>
      </c>
      <c r="K3510" s="564" t="s">
        <v>1090</v>
      </c>
      <c r="L3510" s="564" t="s">
        <v>2098</v>
      </c>
      <c r="M3510" s="564" t="s">
        <v>2098</v>
      </c>
      <c r="N3510" s="564" t="s">
        <v>64</v>
      </c>
      <c r="O3510" s="564" t="s">
        <v>2099</v>
      </c>
      <c r="P3510" s="23"/>
      <c r="Q3510" s="23"/>
      <c r="R3510" s="23"/>
      <c r="S3510" s="23"/>
      <c r="T3510" s="23"/>
      <c r="U3510" s="23"/>
      <c r="V3510" s="23"/>
      <c r="W3510" s="23"/>
      <c r="X3510" s="23"/>
      <c r="Y3510" s="23"/>
      <c r="Z3510" s="23"/>
    </row>
    <row r="3511" spans="1:26" ht="13">
      <c r="A3511" s="562" t="s">
        <v>7914</v>
      </c>
      <c r="B3511" s="563" t="s">
        <v>7915</v>
      </c>
      <c r="C3511" s="564" t="s">
        <v>1612</v>
      </c>
      <c r="D3511" s="565">
        <v>41942</v>
      </c>
      <c r="E3511" s="565">
        <v>41957</v>
      </c>
      <c r="F3511" s="566">
        <v>47031960</v>
      </c>
      <c r="G3511" s="564" t="s">
        <v>337</v>
      </c>
      <c r="H3511" s="564" t="s">
        <v>337</v>
      </c>
      <c r="I3511" s="564" t="s">
        <v>45</v>
      </c>
      <c r="J3511" s="564" t="s">
        <v>1069</v>
      </c>
      <c r="K3511" s="564" t="s">
        <v>1090</v>
      </c>
      <c r="L3511" s="564" t="s">
        <v>2098</v>
      </c>
      <c r="M3511" s="564" t="s">
        <v>2098</v>
      </c>
      <c r="N3511" s="564" t="s">
        <v>45</v>
      </c>
      <c r="O3511" s="564" t="s">
        <v>2099</v>
      </c>
      <c r="P3511" s="23"/>
      <c r="Q3511" s="23"/>
      <c r="R3511" s="23"/>
      <c r="S3511" s="23"/>
      <c r="T3511" s="23"/>
      <c r="U3511" s="23"/>
      <c r="V3511" s="23"/>
      <c r="W3511" s="23"/>
      <c r="X3511" s="23"/>
      <c r="Y3511" s="23"/>
      <c r="Z3511" s="23"/>
    </row>
    <row r="3512" spans="1:26" ht="13">
      <c r="A3512" s="562" t="s">
        <v>7916</v>
      </c>
      <c r="B3512" s="563" t="s">
        <v>7884</v>
      </c>
      <c r="C3512" s="564" t="s">
        <v>1612</v>
      </c>
      <c r="D3512" s="565">
        <v>41941</v>
      </c>
      <c r="E3512" s="565">
        <v>41957</v>
      </c>
      <c r="F3512" s="566">
        <v>123358</v>
      </c>
      <c r="G3512" s="564" t="s">
        <v>337</v>
      </c>
      <c r="H3512" s="564" t="s">
        <v>337</v>
      </c>
      <c r="I3512" s="564" t="s">
        <v>1837</v>
      </c>
      <c r="J3512" s="564" t="s">
        <v>1069</v>
      </c>
      <c r="K3512" s="564" t="s">
        <v>1090</v>
      </c>
      <c r="L3512" s="564" t="s">
        <v>2098</v>
      </c>
      <c r="M3512" s="564" t="s">
        <v>2098</v>
      </c>
      <c r="N3512" s="564" t="s">
        <v>1082</v>
      </c>
      <c r="O3512" s="564" t="s">
        <v>2099</v>
      </c>
      <c r="P3512" s="23"/>
      <c r="Q3512" s="23"/>
      <c r="R3512" s="23"/>
      <c r="S3512" s="23"/>
      <c r="T3512" s="23"/>
      <c r="U3512" s="23"/>
      <c r="V3512" s="23"/>
      <c r="W3512" s="23"/>
      <c r="X3512" s="23"/>
      <c r="Y3512" s="23"/>
      <c r="Z3512" s="23"/>
    </row>
    <row r="3513" spans="1:26" ht="13">
      <c r="A3513" s="562" t="s">
        <v>7917</v>
      </c>
      <c r="B3513" s="563" t="s">
        <v>7918</v>
      </c>
      <c r="C3513" s="564" t="s">
        <v>1612</v>
      </c>
      <c r="D3513" s="565">
        <v>41940</v>
      </c>
      <c r="E3513" s="565">
        <v>41944</v>
      </c>
      <c r="F3513" s="566">
        <v>863520</v>
      </c>
      <c r="G3513" s="564" t="s">
        <v>337</v>
      </c>
      <c r="H3513" s="564" t="s">
        <v>337</v>
      </c>
      <c r="I3513" s="564" t="s">
        <v>1586</v>
      </c>
      <c r="J3513" s="564" t="s">
        <v>1069</v>
      </c>
      <c r="K3513" s="564" t="s">
        <v>1090</v>
      </c>
      <c r="L3513" s="564" t="s">
        <v>1071</v>
      </c>
      <c r="M3513" s="564" t="s">
        <v>1183</v>
      </c>
      <c r="N3513" s="564" t="s">
        <v>1073</v>
      </c>
      <c r="O3513" s="564" t="s">
        <v>2099</v>
      </c>
      <c r="P3513" s="23"/>
      <c r="Q3513" s="23"/>
      <c r="R3513" s="23"/>
      <c r="S3513" s="23"/>
      <c r="T3513" s="23"/>
      <c r="U3513" s="23"/>
      <c r="V3513" s="23"/>
      <c r="W3513" s="23"/>
      <c r="X3513" s="23"/>
      <c r="Y3513" s="23"/>
      <c r="Z3513" s="23"/>
    </row>
    <row r="3514" spans="1:26" ht="13">
      <c r="A3514" s="562" t="s">
        <v>7919</v>
      </c>
      <c r="B3514" s="563" t="s">
        <v>7920</v>
      </c>
      <c r="C3514" s="564" t="s">
        <v>1612</v>
      </c>
      <c r="D3514" s="565">
        <v>41940</v>
      </c>
      <c r="E3514" s="565">
        <v>41944</v>
      </c>
      <c r="F3514" s="566">
        <v>545508600</v>
      </c>
      <c r="G3514" s="564" t="s">
        <v>337</v>
      </c>
      <c r="H3514" s="564" t="s">
        <v>337</v>
      </c>
      <c r="I3514" s="564" t="s">
        <v>45</v>
      </c>
      <c r="J3514" s="564" t="s">
        <v>1069</v>
      </c>
      <c r="K3514" s="564" t="s">
        <v>1090</v>
      </c>
      <c r="L3514" s="564" t="s">
        <v>1071</v>
      </c>
      <c r="M3514" s="564" t="s">
        <v>1183</v>
      </c>
      <c r="N3514" s="564" t="s">
        <v>45</v>
      </c>
      <c r="O3514" s="564" t="s">
        <v>2099</v>
      </c>
      <c r="P3514" s="23"/>
      <c r="Q3514" s="23"/>
      <c r="R3514" s="23"/>
      <c r="S3514" s="23"/>
      <c r="T3514" s="23"/>
      <c r="U3514" s="23"/>
      <c r="V3514" s="23"/>
      <c r="W3514" s="23"/>
      <c r="X3514" s="23"/>
      <c r="Y3514" s="23"/>
      <c r="Z3514" s="23"/>
    </row>
    <row r="3515" spans="1:26" ht="13">
      <c r="A3515" s="562" t="s">
        <v>7921</v>
      </c>
      <c r="B3515" s="563" t="s">
        <v>7922</v>
      </c>
      <c r="C3515" s="564" t="s">
        <v>1612</v>
      </c>
      <c r="D3515" s="565">
        <v>41940</v>
      </c>
      <c r="E3515" s="565">
        <v>41944</v>
      </c>
      <c r="F3515" s="566">
        <v>6661440</v>
      </c>
      <c r="G3515" s="564" t="s">
        <v>337</v>
      </c>
      <c r="H3515" s="564" t="s">
        <v>337</v>
      </c>
      <c r="I3515" s="564" t="s">
        <v>146</v>
      </c>
      <c r="J3515" s="564" t="s">
        <v>1069</v>
      </c>
      <c r="K3515" s="564" t="s">
        <v>1070</v>
      </c>
      <c r="L3515" s="564" t="s">
        <v>1071</v>
      </c>
      <c r="M3515" s="564" t="s">
        <v>1183</v>
      </c>
      <c r="N3515" s="564" t="s">
        <v>1073</v>
      </c>
      <c r="O3515" s="564" t="s">
        <v>2099</v>
      </c>
      <c r="P3515" s="23"/>
      <c r="Q3515" s="23"/>
      <c r="R3515" s="23"/>
      <c r="S3515" s="23"/>
      <c r="T3515" s="23"/>
      <c r="U3515" s="23"/>
      <c r="V3515" s="23"/>
      <c r="W3515" s="23"/>
      <c r="X3515" s="23"/>
      <c r="Y3515" s="23"/>
      <c r="Z3515" s="23"/>
    </row>
    <row r="3516" spans="1:26" ht="13">
      <c r="A3516" s="562" t="s">
        <v>7923</v>
      </c>
      <c r="B3516" s="563" t="s">
        <v>7924</v>
      </c>
      <c r="C3516" s="564" t="s">
        <v>1612</v>
      </c>
      <c r="D3516" s="565">
        <v>41939</v>
      </c>
      <c r="E3516" s="565">
        <v>41957</v>
      </c>
      <c r="F3516" s="566">
        <v>5250</v>
      </c>
      <c r="G3516" s="564" t="s">
        <v>297</v>
      </c>
      <c r="H3516" s="564" t="s">
        <v>297</v>
      </c>
      <c r="I3516" s="564" t="s">
        <v>1837</v>
      </c>
      <c r="J3516" s="564" t="s">
        <v>1069</v>
      </c>
      <c r="K3516" s="564" t="s">
        <v>1070</v>
      </c>
      <c r="L3516" s="564" t="s">
        <v>2098</v>
      </c>
      <c r="M3516" s="564" t="s">
        <v>2098</v>
      </c>
      <c r="N3516" s="564" t="s">
        <v>1082</v>
      </c>
      <c r="O3516" s="564" t="s">
        <v>2099</v>
      </c>
      <c r="P3516" s="23"/>
      <c r="Q3516" s="23"/>
      <c r="R3516" s="23"/>
      <c r="S3516" s="23"/>
      <c r="T3516" s="23"/>
      <c r="U3516" s="23"/>
      <c r="V3516" s="23"/>
      <c r="W3516" s="23"/>
      <c r="X3516" s="23"/>
      <c r="Y3516" s="23"/>
      <c r="Z3516" s="23"/>
    </row>
    <row r="3517" spans="1:26" ht="13">
      <c r="A3517" s="562" t="s">
        <v>7925</v>
      </c>
      <c r="B3517" s="563" t="s">
        <v>7926</v>
      </c>
      <c r="C3517" s="564" t="s">
        <v>1612</v>
      </c>
      <c r="D3517" s="565">
        <v>41939</v>
      </c>
      <c r="E3517" s="565">
        <v>41943</v>
      </c>
      <c r="F3517" s="566">
        <v>180000000</v>
      </c>
      <c r="G3517" s="564" t="s">
        <v>7208</v>
      </c>
      <c r="H3517" s="564" t="s">
        <v>7208</v>
      </c>
      <c r="I3517" s="564" t="s">
        <v>45</v>
      </c>
      <c r="J3517" s="564" t="s">
        <v>1069</v>
      </c>
      <c r="K3517" s="564" t="s">
        <v>1090</v>
      </c>
      <c r="L3517" s="564" t="s">
        <v>2098</v>
      </c>
      <c r="M3517" s="564" t="s">
        <v>2098</v>
      </c>
      <c r="N3517" s="564" t="s">
        <v>45</v>
      </c>
      <c r="O3517" s="564" t="s">
        <v>2099</v>
      </c>
      <c r="P3517" s="23"/>
      <c r="Q3517" s="23"/>
      <c r="R3517" s="23"/>
      <c r="S3517" s="23"/>
      <c r="T3517" s="23"/>
      <c r="U3517" s="23"/>
      <c r="V3517" s="23"/>
      <c r="W3517" s="23"/>
      <c r="X3517" s="23"/>
      <c r="Y3517" s="23"/>
      <c r="Z3517" s="23"/>
    </row>
    <row r="3518" spans="1:26" ht="13">
      <c r="A3518" s="562" t="s">
        <v>7927</v>
      </c>
      <c r="B3518" s="563" t="s">
        <v>7560</v>
      </c>
      <c r="C3518" s="564" t="s">
        <v>1612</v>
      </c>
      <c r="D3518" s="565">
        <v>41936</v>
      </c>
      <c r="E3518" s="565">
        <v>41964</v>
      </c>
      <c r="F3518" s="566">
        <v>1180</v>
      </c>
      <c r="G3518" s="564" t="s">
        <v>1424</v>
      </c>
      <c r="H3518" s="564" t="s">
        <v>1424</v>
      </c>
      <c r="I3518" s="564" t="s">
        <v>70</v>
      </c>
      <c r="J3518" s="564" t="s">
        <v>1069</v>
      </c>
      <c r="K3518" s="564" t="s">
        <v>1120</v>
      </c>
      <c r="L3518" s="564" t="s">
        <v>2098</v>
      </c>
      <c r="M3518" s="564" t="s">
        <v>2098</v>
      </c>
      <c r="N3518" s="564" t="s">
        <v>70</v>
      </c>
      <c r="O3518" s="564" t="s">
        <v>2099</v>
      </c>
      <c r="P3518" s="23"/>
      <c r="Q3518" s="23"/>
      <c r="R3518" s="23"/>
      <c r="S3518" s="23"/>
      <c r="T3518" s="23"/>
      <c r="U3518" s="23"/>
      <c r="V3518" s="23"/>
      <c r="W3518" s="23"/>
      <c r="X3518" s="23"/>
      <c r="Y3518" s="23"/>
      <c r="Z3518" s="23"/>
    </row>
    <row r="3519" spans="1:26" ht="13">
      <c r="A3519" s="562" t="s">
        <v>7928</v>
      </c>
      <c r="B3519" s="563" t="s">
        <v>7929</v>
      </c>
      <c r="C3519" s="564" t="s">
        <v>2191</v>
      </c>
      <c r="D3519" s="565">
        <v>41935</v>
      </c>
      <c r="E3519" s="565">
        <v>41950</v>
      </c>
      <c r="F3519" s="566">
        <v>48180000</v>
      </c>
      <c r="G3519" s="564" t="s">
        <v>1529</v>
      </c>
      <c r="H3519" s="564" t="s">
        <v>1529</v>
      </c>
      <c r="I3519" s="564" t="s">
        <v>1771</v>
      </c>
      <c r="J3519" s="564" t="s">
        <v>1069</v>
      </c>
      <c r="K3519" s="564" t="s">
        <v>1070</v>
      </c>
      <c r="L3519" s="564" t="s">
        <v>2098</v>
      </c>
      <c r="M3519" s="564" t="s">
        <v>2098</v>
      </c>
      <c r="N3519" s="564" t="s">
        <v>1082</v>
      </c>
      <c r="O3519" s="564" t="s">
        <v>2099</v>
      </c>
      <c r="P3519" s="23"/>
      <c r="Q3519" s="23"/>
      <c r="R3519" s="23"/>
      <c r="S3519" s="23"/>
      <c r="T3519" s="23"/>
      <c r="U3519" s="23"/>
      <c r="V3519" s="23"/>
      <c r="W3519" s="23"/>
      <c r="X3519" s="23"/>
      <c r="Y3519" s="23"/>
      <c r="Z3519" s="23"/>
    </row>
    <row r="3520" spans="1:26" ht="13">
      <c r="A3520" s="562" t="s">
        <v>7930</v>
      </c>
      <c r="B3520" s="563" t="s">
        <v>7190</v>
      </c>
      <c r="C3520" s="564" t="s">
        <v>1612</v>
      </c>
      <c r="D3520" s="565">
        <v>41929</v>
      </c>
      <c r="E3520" s="565">
        <v>41936</v>
      </c>
      <c r="F3520" s="566">
        <v>12320000</v>
      </c>
      <c r="G3520" s="564" t="s">
        <v>1128</v>
      </c>
      <c r="H3520" s="564" t="s">
        <v>1128</v>
      </c>
      <c r="I3520" s="564" t="s">
        <v>45</v>
      </c>
      <c r="J3520" s="564" t="s">
        <v>1069</v>
      </c>
      <c r="K3520" s="564" t="s">
        <v>1090</v>
      </c>
      <c r="L3520" s="564" t="s">
        <v>2098</v>
      </c>
      <c r="M3520" s="564" t="s">
        <v>2098</v>
      </c>
      <c r="N3520" s="564" t="s">
        <v>45</v>
      </c>
      <c r="O3520" s="564" t="s">
        <v>2099</v>
      </c>
      <c r="P3520" s="23"/>
      <c r="Q3520" s="23"/>
      <c r="R3520" s="23"/>
      <c r="S3520" s="23"/>
      <c r="T3520" s="23"/>
      <c r="U3520" s="23"/>
      <c r="V3520" s="23"/>
      <c r="W3520" s="23"/>
      <c r="X3520" s="23"/>
      <c r="Y3520" s="23"/>
      <c r="Z3520" s="23"/>
    </row>
    <row r="3521" spans="1:26" ht="13">
      <c r="A3521" s="562" t="s">
        <v>7931</v>
      </c>
      <c r="B3521" s="563" t="s">
        <v>5888</v>
      </c>
      <c r="C3521" s="564" t="s">
        <v>1612</v>
      </c>
      <c r="D3521" s="565">
        <v>41927</v>
      </c>
      <c r="E3521" s="565">
        <v>41957</v>
      </c>
      <c r="F3521" s="566">
        <v>1392</v>
      </c>
      <c r="G3521" s="564" t="s">
        <v>1424</v>
      </c>
      <c r="H3521" s="564" t="s">
        <v>1424</v>
      </c>
      <c r="I3521" s="564" t="s">
        <v>64</v>
      </c>
      <c r="J3521" s="564" t="s">
        <v>1069</v>
      </c>
      <c r="K3521" s="564" t="s">
        <v>1090</v>
      </c>
      <c r="L3521" s="564" t="s">
        <v>2098</v>
      </c>
      <c r="M3521" s="564" t="s">
        <v>2098</v>
      </c>
      <c r="N3521" s="564" t="s">
        <v>64</v>
      </c>
      <c r="O3521" s="564" t="s">
        <v>2099</v>
      </c>
      <c r="P3521" s="23"/>
      <c r="Q3521" s="23"/>
      <c r="R3521" s="23"/>
      <c r="S3521" s="23"/>
      <c r="T3521" s="23"/>
      <c r="U3521" s="23"/>
      <c r="V3521" s="23"/>
      <c r="W3521" s="23"/>
      <c r="X3521" s="23"/>
      <c r="Y3521" s="23"/>
      <c r="Z3521" s="23"/>
    </row>
    <row r="3522" spans="1:26" ht="13">
      <c r="A3522" s="562" t="s">
        <v>7932</v>
      </c>
      <c r="B3522" s="563" t="s">
        <v>7884</v>
      </c>
      <c r="C3522" s="564" t="s">
        <v>1612</v>
      </c>
      <c r="D3522" s="565">
        <v>41928</v>
      </c>
      <c r="E3522" s="565">
        <v>41943</v>
      </c>
      <c r="F3522" s="566">
        <v>10675</v>
      </c>
      <c r="G3522" s="564" t="s">
        <v>337</v>
      </c>
      <c r="H3522" s="564" t="s">
        <v>337</v>
      </c>
      <c r="I3522" s="564" t="s">
        <v>1837</v>
      </c>
      <c r="J3522" s="564" t="s">
        <v>1069</v>
      </c>
      <c r="K3522" s="564" t="s">
        <v>1090</v>
      </c>
      <c r="L3522" s="564" t="s">
        <v>2098</v>
      </c>
      <c r="M3522" s="564" t="s">
        <v>2098</v>
      </c>
      <c r="N3522" s="564" t="s">
        <v>1082</v>
      </c>
      <c r="O3522" s="564" t="s">
        <v>2099</v>
      </c>
      <c r="P3522" s="23"/>
      <c r="Q3522" s="23"/>
      <c r="R3522" s="23"/>
      <c r="S3522" s="23"/>
      <c r="T3522" s="23"/>
      <c r="U3522" s="23"/>
      <c r="V3522" s="23"/>
      <c r="W3522" s="23"/>
      <c r="X3522" s="23"/>
      <c r="Y3522" s="23"/>
      <c r="Z3522" s="23"/>
    </row>
    <row r="3523" spans="1:26" ht="13">
      <c r="A3523" s="562" t="s">
        <v>7933</v>
      </c>
      <c r="B3523" s="563" t="s">
        <v>7673</v>
      </c>
      <c r="C3523" s="564" t="s">
        <v>1612</v>
      </c>
      <c r="D3523" s="565">
        <v>41925</v>
      </c>
      <c r="E3523" s="565">
        <v>41956</v>
      </c>
      <c r="F3523" s="566">
        <v>5250</v>
      </c>
      <c r="G3523" s="564" t="s">
        <v>1424</v>
      </c>
      <c r="H3523" s="564" t="s">
        <v>1424</v>
      </c>
      <c r="I3523" s="564" t="s">
        <v>70</v>
      </c>
      <c r="J3523" s="564" t="s">
        <v>1069</v>
      </c>
      <c r="K3523" s="564" t="s">
        <v>1120</v>
      </c>
      <c r="L3523" s="564" t="s">
        <v>2098</v>
      </c>
      <c r="M3523" s="564" t="s">
        <v>2098</v>
      </c>
      <c r="N3523" s="564" t="s">
        <v>70</v>
      </c>
      <c r="O3523" s="564" t="s">
        <v>2099</v>
      </c>
      <c r="P3523" s="23"/>
      <c r="Q3523" s="23"/>
      <c r="R3523" s="23"/>
      <c r="S3523" s="23"/>
      <c r="T3523" s="23"/>
      <c r="U3523" s="23"/>
      <c r="V3523" s="23"/>
      <c r="W3523" s="23"/>
      <c r="X3523" s="23"/>
      <c r="Y3523" s="23"/>
      <c r="Z3523" s="23"/>
    </row>
    <row r="3524" spans="1:26" ht="13">
      <c r="A3524" s="562" t="s">
        <v>7934</v>
      </c>
      <c r="B3524" s="563" t="s">
        <v>7884</v>
      </c>
      <c r="C3524" s="564" t="s">
        <v>1612</v>
      </c>
      <c r="D3524" s="565">
        <v>41920</v>
      </c>
      <c r="E3524" s="565">
        <v>41936</v>
      </c>
      <c r="F3524" s="566">
        <v>6310</v>
      </c>
      <c r="G3524" s="564" t="s">
        <v>337</v>
      </c>
      <c r="H3524" s="564" t="s">
        <v>337</v>
      </c>
      <c r="I3524" s="564" t="s">
        <v>1837</v>
      </c>
      <c r="J3524" s="564" t="s">
        <v>1069</v>
      </c>
      <c r="K3524" s="564" t="s">
        <v>1090</v>
      </c>
      <c r="L3524" s="564" t="s">
        <v>2098</v>
      </c>
      <c r="M3524" s="564" t="s">
        <v>2098</v>
      </c>
      <c r="N3524" s="564" t="s">
        <v>1082</v>
      </c>
      <c r="O3524" s="564" t="s">
        <v>2099</v>
      </c>
      <c r="P3524" s="23"/>
      <c r="Q3524" s="23"/>
      <c r="R3524" s="23"/>
      <c r="S3524" s="23"/>
      <c r="T3524" s="23"/>
      <c r="U3524" s="23"/>
      <c r="V3524" s="23"/>
      <c r="W3524" s="23"/>
      <c r="X3524" s="23"/>
      <c r="Y3524" s="23"/>
      <c r="Z3524" s="23"/>
    </row>
    <row r="3525" spans="1:26" ht="13">
      <c r="A3525" s="562" t="s">
        <v>7935</v>
      </c>
      <c r="B3525" s="563" t="s">
        <v>7936</v>
      </c>
      <c r="C3525" s="564" t="s">
        <v>1612</v>
      </c>
      <c r="D3525" s="565">
        <v>41919</v>
      </c>
      <c r="E3525" s="565">
        <v>41913</v>
      </c>
      <c r="F3525" s="566">
        <v>54457560</v>
      </c>
      <c r="G3525" s="564" t="s">
        <v>337</v>
      </c>
      <c r="H3525" s="564" t="s">
        <v>337</v>
      </c>
      <c r="I3525" s="564" t="s">
        <v>45</v>
      </c>
      <c r="J3525" s="564" t="s">
        <v>1069</v>
      </c>
      <c r="K3525" s="564" t="s">
        <v>1090</v>
      </c>
      <c r="L3525" s="564" t="s">
        <v>1071</v>
      </c>
      <c r="M3525" s="564" t="s">
        <v>1183</v>
      </c>
      <c r="N3525" s="564" t="s">
        <v>45</v>
      </c>
      <c r="O3525" s="564" t="s">
        <v>2099</v>
      </c>
      <c r="P3525" s="23"/>
      <c r="Q3525" s="23"/>
      <c r="R3525" s="23"/>
      <c r="S3525" s="23"/>
      <c r="T3525" s="23"/>
      <c r="U3525" s="23"/>
      <c r="V3525" s="23"/>
      <c r="W3525" s="23"/>
      <c r="X3525" s="23"/>
      <c r="Y3525" s="23"/>
      <c r="Z3525" s="23"/>
    </row>
    <row r="3526" spans="1:26" ht="13">
      <c r="A3526" s="562" t="s">
        <v>7937</v>
      </c>
      <c r="B3526" s="563" t="s">
        <v>7938</v>
      </c>
      <c r="C3526" s="564" t="s">
        <v>1204</v>
      </c>
      <c r="D3526" s="565">
        <v>41912</v>
      </c>
      <c r="E3526" s="565">
        <v>41912</v>
      </c>
      <c r="F3526" s="566">
        <v>7192800</v>
      </c>
      <c r="G3526" s="564" t="s">
        <v>297</v>
      </c>
      <c r="H3526" s="564" t="s">
        <v>297</v>
      </c>
      <c r="I3526" s="564" t="s">
        <v>1471</v>
      </c>
      <c r="J3526" s="564" t="s">
        <v>1069</v>
      </c>
      <c r="K3526" s="564" t="s">
        <v>1070</v>
      </c>
      <c r="L3526" s="564" t="s">
        <v>1071</v>
      </c>
      <c r="M3526" s="564" t="s">
        <v>1183</v>
      </c>
      <c r="N3526" s="564" t="s">
        <v>1082</v>
      </c>
      <c r="O3526" s="564" t="s">
        <v>1472</v>
      </c>
      <c r="P3526" s="23"/>
      <c r="Q3526" s="23"/>
      <c r="R3526" s="23"/>
      <c r="S3526" s="23"/>
      <c r="T3526" s="23"/>
      <c r="U3526" s="23"/>
      <c r="V3526" s="23"/>
      <c r="W3526" s="23"/>
      <c r="X3526" s="23"/>
      <c r="Y3526" s="23"/>
      <c r="Z3526" s="23"/>
    </row>
    <row r="3527" spans="1:26" ht="13">
      <c r="A3527" s="562" t="s">
        <v>7939</v>
      </c>
      <c r="B3527" s="563" t="s">
        <v>7400</v>
      </c>
      <c r="C3527" s="564" t="s">
        <v>1612</v>
      </c>
      <c r="D3527" s="565">
        <v>41914</v>
      </c>
      <c r="E3527" s="565">
        <v>41941</v>
      </c>
      <c r="F3527" s="566">
        <v>2873</v>
      </c>
      <c r="G3527" s="564" t="s">
        <v>1424</v>
      </c>
      <c r="H3527" s="564" t="s">
        <v>1424</v>
      </c>
      <c r="I3527" s="564" t="s">
        <v>70</v>
      </c>
      <c r="J3527" s="564" t="s">
        <v>1069</v>
      </c>
      <c r="K3527" s="564" t="s">
        <v>1120</v>
      </c>
      <c r="L3527" s="564" t="s">
        <v>2098</v>
      </c>
      <c r="M3527" s="564" t="s">
        <v>2098</v>
      </c>
      <c r="N3527" s="564" t="s">
        <v>70</v>
      </c>
      <c r="O3527" s="564" t="s">
        <v>2099</v>
      </c>
      <c r="P3527" s="23"/>
      <c r="Q3527" s="23"/>
      <c r="R3527" s="23"/>
      <c r="S3527" s="23"/>
      <c r="T3527" s="23"/>
      <c r="U3527" s="23"/>
      <c r="V3527" s="23"/>
      <c r="W3527" s="23"/>
      <c r="X3527" s="23"/>
      <c r="Y3527" s="23"/>
      <c r="Z3527" s="23"/>
    </row>
    <row r="3528" spans="1:26" ht="13">
      <c r="A3528" s="562" t="s">
        <v>7940</v>
      </c>
      <c r="B3528" s="563" t="s">
        <v>7941</v>
      </c>
      <c r="C3528" s="564" t="s">
        <v>1873</v>
      </c>
      <c r="D3528" s="565">
        <v>41912</v>
      </c>
      <c r="E3528" s="565">
        <v>41942</v>
      </c>
      <c r="F3528" s="566">
        <v>1160</v>
      </c>
      <c r="G3528" s="564" t="s">
        <v>1424</v>
      </c>
      <c r="H3528" s="564" t="s">
        <v>1424</v>
      </c>
      <c r="I3528" s="564" t="s">
        <v>170</v>
      </c>
      <c r="J3528" s="564" t="s">
        <v>1069</v>
      </c>
      <c r="K3528" s="564" t="s">
        <v>1105</v>
      </c>
      <c r="L3528" s="564" t="s">
        <v>2098</v>
      </c>
      <c r="M3528" s="564" t="s">
        <v>2098</v>
      </c>
      <c r="N3528" s="564" t="s">
        <v>170</v>
      </c>
      <c r="O3528" s="564" t="s">
        <v>2099</v>
      </c>
      <c r="P3528" s="23"/>
      <c r="Q3528" s="23"/>
      <c r="R3528" s="23"/>
      <c r="S3528" s="23"/>
      <c r="T3528" s="23"/>
      <c r="U3528" s="23"/>
      <c r="V3528" s="23"/>
      <c r="W3528" s="23"/>
      <c r="X3528" s="23"/>
      <c r="Y3528" s="23"/>
      <c r="Z3528" s="23"/>
    </row>
    <row r="3529" spans="1:26" ht="13">
      <c r="A3529" s="562" t="s">
        <v>7942</v>
      </c>
      <c r="B3529" s="563" t="s">
        <v>7943</v>
      </c>
      <c r="C3529" s="564" t="s">
        <v>1612</v>
      </c>
      <c r="D3529" s="565">
        <v>41911</v>
      </c>
      <c r="E3529" s="565">
        <v>41918</v>
      </c>
      <c r="F3529" s="566">
        <v>6758400</v>
      </c>
      <c r="G3529" s="564" t="s">
        <v>7944</v>
      </c>
      <c r="H3529" s="564" t="s">
        <v>7944</v>
      </c>
      <c r="I3529" s="564" t="s">
        <v>1746</v>
      </c>
      <c r="J3529" s="564" t="s">
        <v>1069</v>
      </c>
      <c r="K3529" s="564" t="s">
        <v>1198</v>
      </c>
      <c r="L3529" s="564" t="s">
        <v>2098</v>
      </c>
      <c r="M3529" s="564" t="s">
        <v>2098</v>
      </c>
      <c r="N3529" s="564" t="s">
        <v>1073</v>
      </c>
      <c r="O3529" s="564" t="s">
        <v>2099</v>
      </c>
      <c r="P3529" s="23"/>
      <c r="Q3529" s="23"/>
      <c r="R3529" s="23"/>
      <c r="S3529" s="23"/>
      <c r="T3529" s="23"/>
      <c r="U3529" s="23"/>
      <c r="V3529" s="23"/>
      <c r="W3529" s="23"/>
      <c r="X3529" s="23"/>
      <c r="Y3529" s="23"/>
      <c r="Z3529" s="23"/>
    </row>
    <row r="3530" spans="1:26" ht="13">
      <c r="A3530" s="562" t="s">
        <v>7945</v>
      </c>
      <c r="B3530" s="563" t="s">
        <v>7884</v>
      </c>
      <c r="C3530" s="564" t="s">
        <v>1612</v>
      </c>
      <c r="D3530" s="565">
        <v>41906</v>
      </c>
      <c r="E3530" s="565">
        <v>41922</v>
      </c>
      <c r="F3530" s="566">
        <v>12576</v>
      </c>
      <c r="G3530" s="564" t="s">
        <v>337</v>
      </c>
      <c r="H3530" s="564" t="s">
        <v>337</v>
      </c>
      <c r="I3530" s="564" t="s">
        <v>1837</v>
      </c>
      <c r="J3530" s="564" t="s">
        <v>1069</v>
      </c>
      <c r="K3530" s="564" t="s">
        <v>1090</v>
      </c>
      <c r="L3530" s="564" t="s">
        <v>2098</v>
      </c>
      <c r="M3530" s="564" t="s">
        <v>2098</v>
      </c>
      <c r="N3530" s="564" t="s">
        <v>1082</v>
      </c>
      <c r="O3530" s="564" t="s">
        <v>2099</v>
      </c>
      <c r="P3530" s="23"/>
      <c r="Q3530" s="23"/>
      <c r="R3530" s="23"/>
      <c r="S3530" s="23"/>
      <c r="T3530" s="23"/>
      <c r="U3530" s="23"/>
      <c r="V3530" s="23"/>
      <c r="W3530" s="23"/>
      <c r="X3530" s="23"/>
      <c r="Y3530" s="23"/>
      <c r="Z3530" s="23"/>
    </row>
    <row r="3531" spans="1:26" ht="13">
      <c r="A3531" s="562" t="s">
        <v>7946</v>
      </c>
      <c r="B3531" s="563" t="s">
        <v>7947</v>
      </c>
      <c r="C3531" s="564" t="s">
        <v>1612</v>
      </c>
      <c r="D3531" s="565">
        <v>41908</v>
      </c>
      <c r="E3531" s="565">
        <v>41944</v>
      </c>
      <c r="F3531" s="566">
        <v>3745320</v>
      </c>
      <c r="G3531" s="564" t="s">
        <v>337</v>
      </c>
      <c r="H3531" s="564" t="s">
        <v>337</v>
      </c>
      <c r="I3531" s="564" t="s">
        <v>45</v>
      </c>
      <c r="J3531" s="564" t="s">
        <v>1069</v>
      </c>
      <c r="K3531" s="564" t="s">
        <v>1090</v>
      </c>
      <c r="L3531" s="564" t="s">
        <v>1071</v>
      </c>
      <c r="M3531" s="564" t="s">
        <v>1183</v>
      </c>
      <c r="N3531" s="564" t="s">
        <v>45</v>
      </c>
      <c r="O3531" s="564" t="s">
        <v>2099</v>
      </c>
      <c r="P3531" s="23"/>
      <c r="Q3531" s="23"/>
      <c r="R3531" s="23"/>
      <c r="S3531" s="23"/>
      <c r="T3531" s="23"/>
      <c r="U3531" s="23"/>
      <c r="V3531" s="23"/>
      <c r="W3531" s="23"/>
      <c r="X3531" s="23"/>
      <c r="Y3531" s="23"/>
      <c r="Z3531" s="23"/>
    </row>
    <row r="3532" spans="1:26" ht="13">
      <c r="A3532" s="562" t="s">
        <v>7948</v>
      </c>
      <c r="B3532" s="563" t="s">
        <v>7949</v>
      </c>
      <c r="C3532" s="564" t="s">
        <v>1612</v>
      </c>
      <c r="D3532" s="565">
        <v>41904</v>
      </c>
      <c r="E3532" s="565">
        <v>41908</v>
      </c>
      <c r="F3532" s="566">
        <v>5138000</v>
      </c>
      <c r="G3532" s="564" t="s">
        <v>1187</v>
      </c>
      <c r="H3532" s="564" t="s">
        <v>1187</v>
      </c>
      <c r="I3532" s="564" t="s">
        <v>1821</v>
      </c>
      <c r="J3532" s="564" t="s">
        <v>1069</v>
      </c>
      <c r="K3532" s="564" t="s">
        <v>1120</v>
      </c>
      <c r="L3532" s="564" t="s">
        <v>2098</v>
      </c>
      <c r="M3532" s="564" t="s">
        <v>2098</v>
      </c>
      <c r="N3532" s="564" t="s">
        <v>1073</v>
      </c>
      <c r="O3532" s="564" t="s">
        <v>2099</v>
      </c>
      <c r="P3532" s="23"/>
      <c r="Q3532" s="23"/>
      <c r="R3532" s="23"/>
      <c r="S3532" s="23"/>
      <c r="T3532" s="23"/>
      <c r="U3532" s="23"/>
      <c r="V3532" s="23"/>
      <c r="W3532" s="23"/>
      <c r="X3532" s="23"/>
      <c r="Y3532" s="23"/>
      <c r="Z3532" s="23"/>
    </row>
    <row r="3533" spans="1:26" ht="13">
      <c r="A3533" s="562" t="s">
        <v>7950</v>
      </c>
      <c r="B3533" s="563" t="s">
        <v>7951</v>
      </c>
      <c r="C3533" s="564" t="s">
        <v>1612</v>
      </c>
      <c r="D3533" s="565">
        <v>41900</v>
      </c>
      <c r="E3533" s="565">
        <v>41912</v>
      </c>
      <c r="F3533" s="566">
        <v>1150</v>
      </c>
      <c r="G3533" s="564" t="s">
        <v>297</v>
      </c>
      <c r="H3533" s="564" t="s">
        <v>297</v>
      </c>
      <c r="I3533" s="564" t="s">
        <v>1471</v>
      </c>
      <c r="J3533" s="564" t="s">
        <v>1069</v>
      </c>
      <c r="K3533" s="564" t="s">
        <v>1070</v>
      </c>
      <c r="L3533" s="564" t="s">
        <v>2098</v>
      </c>
      <c r="M3533" s="564" t="s">
        <v>2098</v>
      </c>
      <c r="N3533" s="564" t="s">
        <v>1082</v>
      </c>
      <c r="O3533" s="564" t="s">
        <v>2099</v>
      </c>
      <c r="P3533" s="23"/>
      <c r="Q3533" s="23"/>
      <c r="R3533" s="23"/>
      <c r="S3533" s="23"/>
      <c r="T3533" s="23"/>
      <c r="U3533" s="23"/>
      <c r="V3533" s="23"/>
      <c r="W3533" s="23"/>
      <c r="X3533" s="23"/>
      <c r="Y3533" s="23"/>
      <c r="Z3533" s="23"/>
    </row>
    <row r="3534" spans="1:26" ht="13">
      <c r="A3534" s="562" t="s">
        <v>7952</v>
      </c>
      <c r="B3534" s="563" t="s">
        <v>7953</v>
      </c>
      <c r="C3534" s="564" t="s">
        <v>2191</v>
      </c>
      <c r="D3534" s="565">
        <v>41899</v>
      </c>
      <c r="E3534" s="565">
        <v>41922</v>
      </c>
      <c r="F3534" s="566">
        <v>26500000</v>
      </c>
      <c r="G3534" s="564" t="s">
        <v>1123</v>
      </c>
      <c r="H3534" s="564" t="s">
        <v>1123</v>
      </c>
      <c r="I3534" s="564" t="s">
        <v>140</v>
      </c>
      <c r="J3534" s="564" t="s">
        <v>1069</v>
      </c>
      <c r="K3534" s="564" t="s">
        <v>1205</v>
      </c>
      <c r="L3534" s="564" t="s">
        <v>2098</v>
      </c>
      <c r="M3534" s="564" t="s">
        <v>2098</v>
      </c>
      <c r="N3534" s="564" t="s">
        <v>1073</v>
      </c>
      <c r="O3534" s="564" t="s">
        <v>2099</v>
      </c>
      <c r="P3534" s="23"/>
      <c r="Q3534" s="23"/>
      <c r="R3534" s="23"/>
      <c r="S3534" s="23"/>
      <c r="T3534" s="23"/>
      <c r="U3534" s="23"/>
      <c r="V3534" s="23"/>
      <c r="W3534" s="23"/>
      <c r="X3534" s="23"/>
      <c r="Y3534" s="23"/>
      <c r="Z3534" s="23"/>
    </row>
    <row r="3535" spans="1:26" ht="13">
      <c r="A3535" s="562" t="s">
        <v>7954</v>
      </c>
      <c r="B3535" s="563" t="s">
        <v>7955</v>
      </c>
      <c r="C3535" s="564" t="s">
        <v>1612</v>
      </c>
      <c r="D3535" s="565">
        <v>41898</v>
      </c>
      <c r="E3535" s="565">
        <v>41912</v>
      </c>
      <c r="F3535" s="566">
        <v>275399000</v>
      </c>
      <c r="G3535" s="564" t="s">
        <v>5465</v>
      </c>
      <c r="H3535" s="564" t="s">
        <v>5465</v>
      </c>
      <c r="I3535" s="564" t="s">
        <v>45</v>
      </c>
      <c r="J3535" s="564" t="s">
        <v>1069</v>
      </c>
      <c r="K3535" s="564" t="s">
        <v>1090</v>
      </c>
      <c r="L3535" s="564" t="s">
        <v>2098</v>
      </c>
      <c r="M3535" s="564" t="s">
        <v>2098</v>
      </c>
      <c r="N3535" s="564" t="s">
        <v>45</v>
      </c>
      <c r="O3535" s="564" t="s">
        <v>2099</v>
      </c>
      <c r="P3535" s="23"/>
      <c r="Q3535" s="23"/>
      <c r="R3535" s="23"/>
      <c r="S3535" s="23"/>
      <c r="T3535" s="23"/>
      <c r="U3535" s="23"/>
      <c r="V3535" s="23"/>
      <c r="W3535" s="23"/>
      <c r="X3535" s="23"/>
      <c r="Y3535" s="23"/>
      <c r="Z3535" s="23"/>
    </row>
    <row r="3536" spans="1:26" ht="13">
      <c r="A3536" s="562" t="s">
        <v>7956</v>
      </c>
      <c r="B3536" s="563" t="s">
        <v>7957</v>
      </c>
      <c r="C3536" s="564" t="s">
        <v>1612</v>
      </c>
      <c r="D3536" s="565">
        <v>41897</v>
      </c>
      <c r="E3536" s="565">
        <v>41912</v>
      </c>
      <c r="F3536" s="566">
        <v>66794000</v>
      </c>
      <c r="G3536" s="564" t="s">
        <v>5465</v>
      </c>
      <c r="H3536" s="564" t="s">
        <v>5465</v>
      </c>
      <c r="I3536" s="564" t="s">
        <v>45</v>
      </c>
      <c r="J3536" s="564" t="s">
        <v>1069</v>
      </c>
      <c r="K3536" s="564" t="s">
        <v>1090</v>
      </c>
      <c r="L3536" s="564" t="s">
        <v>2098</v>
      </c>
      <c r="M3536" s="564" t="s">
        <v>2098</v>
      </c>
      <c r="N3536" s="564" t="s">
        <v>45</v>
      </c>
      <c r="O3536" s="564" t="s">
        <v>2099</v>
      </c>
      <c r="P3536" s="23"/>
      <c r="Q3536" s="23"/>
      <c r="R3536" s="23"/>
      <c r="S3536" s="23"/>
      <c r="T3536" s="23"/>
      <c r="U3536" s="23"/>
      <c r="V3536" s="23"/>
      <c r="W3536" s="23"/>
      <c r="X3536" s="23"/>
      <c r="Y3536" s="23"/>
      <c r="Z3536" s="23"/>
    </row>
    <row r="3537" spans="1:26" ht="13">
      <c r="A3537" s="562" t="s">
        <v>7958</v>
      </c>
      <c r="B3537" s="563" t="s">
        <v>7959</v>
      </c>
      <c r="C3537" s="564" t="s">
        <v>1612</v>
      </c>
      <c r="D3537" s="565">
        <v>41897</v>
      </c>
      <c r="E3537" s="565">
        <v>41912</v>
      </c>
      <c r="F3537" s="566">
        <v>62540000</v>
      </c>
      <c r="G3537" s="564" t="s">
        <v>5465</v>
      </c>
      <c r="H3537" s="564" t="s">
        <v>5465</v>
      </c>
      <c r="I3537" s="564" t="s">
        <v>45</v>
      </c>
      <c r="J3537" s="564" t="s">
        <v>1069</v>
      </c>
      <c r="K3537" s="564" t="s">
        <v>1090</v>
      </c>
      <c r="L3537" s="564" t="s">
        <v>2098</v>
      </c>
      <c r="M3537" s="564" t="s">
        <v>2098</v>
      </c>
      <c r="N3537" s="564" t="s">
        <v>45</v>
      </c>
      <c r="O3537" s="564" t="s">
        <v>2099</v>
      </c>
      <c r="P3537" s="23"/>
      <c r="Q3537" s="23"/>
      <c r="R3537" s="23"/>
      <c r="S3537" s="23"/>
      <c r="T3537" s="23"/>
      <c r="U3537" s="23"/>
      <c r="V3537" s="23"/>
      <c r="W3537" s="23"/>
      <c r="X3537" s="23"/>
      <c r="Y3537" s="23"/>
      <c r="Z3537" s="23"/>
    </row>
    <row r="3538" spans="1:26" ht="13">
      <c r="A3538" s="562" t="s">
        <v>7960</v>
      </c>
      <c r="B3538" s="563" t="s">
        <v>7961</v>
      </c>
      <c r="C3538" s="564" t="s">
        <v>2191</v>
      </c>
      <c r="D3538" s="565">
        <v>41894</v>
      </c>
      <c r="E3538" s="565">
        <v>41905</v>
      </c>
      <c r="F3538" s="566">
        <v>216235</v>
      </c>
      <c r="G3538" s="564" t="s">
        <v>1187</v>
      </c>
      <c r="H3538" s="564" t="s">
        <v>1187</v>
      </c>
      <c r="I3538" s="564" t="s">
        <v>4449</v>
      </c>
      <c r="J3538" s="564" t="s">
        <v>1069</v>
      </c>
      <c r="K3538" s="564" t="s">
        <v>1070</v>
      </c>
      <c r="L3538" s="564" t="s">
        <v>2098</v>
      </c>
      <c r="M3538" s="564" t="s">
        <v>2098</v>
      </c>
      <c r="N3538" s="564" t="s">
        <v>1082</v>
      </c>
      <c r="O3538" s="564" t="s">
        <v>2099</v>
      </c>
      <c r="P3538" s="23"/>
      <c r="Q3538" s="23"/>
      <c r="R3538" s="23"/>
      <c r="S3538" s="23"/>
      <c r="T3538" s="23"/>
      <c r="U3538" s="23"/>
      <c r="V3538" s="23"/>
      <c r="W3538" s="23"/>
      <c r="X3538" s="23"/>
      <c r="Y3538" s="23"/>
      <c r="Z3538" s="23"/>
    </row>
    <row r="3539" spans="1:26" ht="13">
      <c r="A3539" s="562" t="s">
        <v>7962</v>
      </c>
      <c r="B3539" s="563" t="s">
        <v>7963</v>
      </c>
      <c r="C3539" s="564" t="s">
        <v>1612</v>
      </c>
      <c r="D3539" s="565">
        <v>41887</v>
      </c>
      <c r="E3539" s="565">
        <v>41914</v>
      </c>
      <c r="F3539" s="566">
        <v>15875</v>
      </c>
      <c r="G3539" s="564" t="s">
        <v>1424</v>
      </c>
      <c r="H3539" s="564" t="s">
        <v>1424</v>
      </c>
      <c r="I3539" s="564" t="s">
        <v>64</v>
      </c>
      <c r="J3539" s="564" t="s">
        <v>1069</v>
      </c>
      <c r="K3539" s="564" t="s">
        <v>1090</v>
      </c>
      <c r="L3539" s="564" t="s">
        <v>2098</v>
      </c>
      <c r="M3539" s="564" t="s">
        <v>2098</v>
      </c>
      <c r="N3539" s="564" t="s">
        <v>64</v>
      </c>
      <c r="O3539" s="564" t="s">
        <v>2099</v>
      </c>
      <c r="P3539" s="23"/>
      <c r="Q3539" s="23"/>
      <c r="R3539" s="23"/>
      <c r="S3539" s="23"/>
      <c r="T3539" s="23"/>
      <c r="U3539" s="23"/>
      <c r="V3539" s="23"/>
      <c r="W3539" s="23"/>
      <c r="X3539" s="23"/>
      <c r="Y3539" s="23"/>
      <c r="Z3539" s="23"/>
    </row>
    <row r="3540" spans="1:26" ht="13">
      <c r="A3540" s="562" t="s">
        <v>7964</v>
      </c>
      <c r="B3540" s="563" t="s">
        <v>7965</v>
      </c>
      <c r="C3540" s="564" t="s">
        <v>1612</v>
      </c>
      <c r="D3540" s="565">
        <v>41883</v>
      </c>
      <c r="E3540" s="565">
        <v>41901</v>
      </c>
      <c r="F3540" s="566">
        <v>4600</v>
      </c>
      <c r="G3540" s="564" t="s">
        <v>297</v>
      </c>
      <c r="H3540" s="564" t="s">
        <v>297</v>
      </c>
      <c r="I3540" s="564" t="s">
        <v>1837</v>
      </c>
      <c r="J3540" s="564" t="s">
        <v>1069</v>
      </c>
      <c r="K3540" s="564" t="s">
        <v>1070</v>
      </c>
      <c r="L3540" s="564" t="s">
        <v>2098</v>
      </c>
      <c r="M3540" s="564" t="s">
        <v>2098</v>
      </c>
      <c r="N3540" s="564" t="s">
        <v>1082</v>
      </c>
      <c r="O3540" s="564" t="s">
        <v>2099</v>
      </c>
      <c r="P3540" s="23"/>
      <c r="Q3540" s="23"/>
      <c r="R3540" s="23"/>
      <c r="S3540" s="23"/>
      <c r="T3540" s="23"/>
      <c r="U3540" s="23"/>
      <c r="V3540" s="23"/>
      <c r="W3540" s="23"/>
      <c r="X3540" s="23"/>
      <c r="Y3540" s="23"/>
      <c r="Z3540" s="23"/>
    </row>
    <row r="3541" spans="1:26" ht="13">
      <c r="A3541" s="562" t="s">
        <v>7966</v>
      </c>
      <c r="B3541" s="563" t="s">
        <v>7967</v>
      </c>
      <c r="C3541" s="564" t="s">
        <v>6860</v>
      </c>
      <c r="D3541" s="565">
        <v>41885</v>
      </c>
      <c r="E3541" s="565">
        <v>41912</v>
      </c>
      <c r="F3541" s="566">
        <v>56100000</v>
      </c>
      <c r="G3541" s="564" t="s">
        <v>1128</v>
      </c>
      <c r="H3541" s="564" t="s">
        <v>1128</v>
      </c>
      <c r="I3541" s="564" t="s">
        <v>2038</v>
      </c>
      <c r="J3541" s="564" t="s">
        <v>1069</v>
      </c>
      <c r="K3541" s="564" t="s">
        <v>1070</v>
      </c>
      <c r="L3541" s="564" t="s">
        <v>2098</v>
      </c>
      <c r="M3541" s="564" t="s">
        <v>2098</v>
      </c>
      <c r="N3541" s="564" t="s">
        <v>1082</v>
      </c>
      <c r="O3541" s="564" t="s">
        <v>2099</v>
      </c>
      <c r="P3541" s="23"/>
      <c r="Q3541" s="23"/>
      <c r="R3541" s="23"/>
      <c r="S3541" s="23"/>
      <c r="T3541" s="23"/>
      <c r="U3541" s="23"/>
      <c r="V3541" s="23"/>
      <c r="W3541" s="23"/>
      <c r="X3541" s="23"/>
      <c r="Y3541" s="23"/>
      <c r="Z3541" s="23"/>
    </row>
    <row r="3542" spans="1:26" ht="13">
      <c r="A3542" s="562" t="s">
        <v>7968</v>
      </c>
      <c r="B3542" s="563" t="s">
        <v>7969</v>
      </c>
      <c r="C3542" s="564" t="s">
        <v>1612</v>
      </c>
      <c r="D3542" s="565">
        <v>41884</v>
      </c>
      <c r="E3542" s="565">
        <v>41883</v>
      </c>
      <c r="F3542" s="566">
        <v>5847840</v>
      </c>
      <c r="G3542" s="564" t="s">
        <v>337</v>
      </c>
      <c r="H3542" s="564" t="s">
        <v>337</v>
      </c>
      <c r="I3542" s="564" t="s">
        <v>45</v>
      </c>
      <c r="J3542" s="564" t="s">
        <v>1069</v>
      </c>
      <c r="K3542" s="564" t="s">
        <v>1090</v>
      </c>
      <c r="L3542" s="564" t="s">
        <v>1071</v>
      </c>
      <c r="M3542" s="564" t="s">
        <v>1183</v>
      </c>
      <c r="N3542" s="564" t="s">
        <v>45</v>
      </c>
      <c r="O3542" s="564" t="s">
        <v>2099</v>
      </c>
      <c r="P3542" s="23"/>
      <c r="Q3542" s="23"/>
      <c r="R3542" s="23"/>
      <c r="S3542" s="23"/>
      <c r="T3542" s="23"/>
      <c r="U3542" s="23"/>
      <c r="V3542" s="23"/>
      <c r="W3542" s="23"/>
      <c r="X3542" s="23"/>
      <c r="Y3542" s="23"/>
      <c r="Z3542" s="23"/>
    </row>
    <row r="3543" spans="1:26" ht="13">
      <c r="A3543" s="562" t="s">
        <v>7970</v>
      </c>
      <c r="B3543" s="563" t="s">
        <v>7884</v>
      </c>
      <c r="C3543" s="564" t="s">
        <v>1612</v>
      </c>
      <c r="D3543" s="565">
        <v>41879</v>
      </c>
      <c r="E3543" s="565">
        <v>41912</v>
      </c>
      <c r="F3543" s="566">
        <v>29440</v>
      </c>
      <c r="G3543" s="564" t="s">
        <v>337</v>
      </c>
      <c r="H3543" s="564" t="s">
        <v>337</v>
      </c>
      <c r="I3543" s="564" t="s">
        <v>1837</v>
      </c>
      <c r="J3543" s="564" t="s">
        <v>1069</v>
      </c>
      <c r="K3543" s="564" t="s">
        <v>1090</v>
      </c>
      <c r="L3543" s="564" t="s">
        <v>2098</v>
      </c>
      <c r="M3543" s="564" t="s">
        <v>2098</v>
      </c>
      <c r="N3543" s="564" t="s">
        <v>1082</v>
      </c>
      <c r="O3543" s="564" t="s">
        <v>2099</v>
      </c>
      <c r="P3543" s="23"/>
      <c r="Q3543" s="23"/>
      <c r="R3543" s="23"/>
      <c r="S3543" s="23"/>
      <c r="T3543" s="23"/>
      <c r="U3543" s="23"/>
      <c r="V3543" s="23"/>
      <c r="W3543" s="23"/>
      <c r="X3543" s="23"/>
      <c r="Y3543" s="23"/>
      <c r="Z3543" s="23"/>
    </row>
    <row r="3544" spans="1:26" ht="13">
      <c r="A3544" s="562" t="s">
        <v>7971</v>
      </c>
      <c r="B3544" s="563" t="s">
        <v>7380</v>
      </c>
      <c r="C3544" s="564" t="s">
        <v>1612</v>
      </c>
      <c r="D3544" s="565">
        <v>41879</v>
      </c>
      <c r="E3544" s="565">
        <v>41908</v>
      </c>
      <c r="F3544" s="566">
        <v>1546</v>
      </c>
      <c r="G3544" s="564" t="s">
        <v>1424</v>
      </c>
      <c r="H3544" s="564" t="s">
        <v>1424</v>
      </c>
      <c r="I3544" s="564" t="s">
        <v>70</v>
      </c>
      <c r="J3544" s="564" t="s">
        <v>1069</v>
      </c>
      <c r="K3544" s="564" t="s">
        <v>1120</v>
      </c>
      <c r="L3544" s="564" t="s">
        <v>2098</v>
      </c>
      <c r="M3544" s="564" t="s">
        <v>2098</v>
      </c>
      <c r="N3544" s="564" t="s">
        <v>70</v>
      </c>
      <c r="O3544" s="564" t="s">
        <v>2099</v>
      </c>
      <c r="P3544" s="23"/>
      <c r="Q3544" s="23"/>
      <c r="R3544" s="23"/>
      <c r="S3544" s="23"/>
      <c r="T3544" s="23"/>
      <c r="U3544" s="23"/>
      <c r="V3544" s="23"/>
      <c r="W3544" s="23"/>
      <c r="X3544" s="23"/>
      <c r="Y3544" s="23"/>
      <c r="Z3544" s="23"/>
    </row>
    <row r="3545" spans="1:26" ht="13">
      <c r="A3545" s="562" t="s">
        <v>7972</v>
      </c>
      <c r="B3545" s="563" t="s">
        <v>7884</v>
      </c>
      <c r="C3545" s="564" t="s">
        <v>1612</v>
      </c>
      <c r="D3545" s="565">
        <v>41876</v>
      </c>
      <c r="E3545" s="565">
        <v>41887</v>
      </c>
      <c r="F3545" s="566">
        <v>57178</v>
      </c>
      <c r="G3545" s="564" t="s">
        <v>337</v>
      </c>
      <c r="H3545" s="564" t="s">
        <v>337</v>
      </c>
      <c r="I3545" s="564" t="s">
        <v>1837</v>
      </c>
      <c r="J3545" s="564" t="s">
        <v>1069</v>
      </c>
      <c r="K3545" s="564" t="s">
        <v>1090</v>
      </c>
      <c r="L3545" s="564" t="s">
        <v>2098</v>
      </c>
      <c r="M3545" s="564" t="s">
        <v>2098</v>
      </c>
      <c r="N3545" s="564" t="s">
        <v>1082</v>
      </c>
      <c r="O3545" s="564" t="s">
        <v>2099</v>
      </c>
      <c r="P3545" s="23"/>
      <c r="Q3545" s="23"/>
      <c r="R3545" s="23"/>
      <c r="S3545" s="23"/>
      <c r="T3545" s="23"/>
      <c r="U3545" s="23"/>
      <c r="V3545" s="23"/>
      <c r="W3545" s="23"/>
      <c r="X3545" s="23"/>
      <c r="Y3545" s="23"/>
      <c r="Z3545" s="23"/>
    </row>
    <row r="3546" spans="1:26" ht="13">
      <c r="A3546" s="562" t="s">
        <v>7973</v>
      </c>
      <c r="B3546" s="563" t="s">
        <v>7974</v>
      </c>
      <c r="C3546" s="564" t="s">
        <v>1612</v>
      </c>
      <c r="D3546" s="565">
        <v>41876</v>
      </c>
      <c r="E3546" s="565">
        <v>41912</v>
      </c>
      <c r="F3546" s="566">
        <v>845000000</v>
      </c>
      <c r="G3546" s="564" t="s">
        <v>5465</v>
      </c>
      <c r="H3546" s="564" t="s">
        <v>5465</v>
      </c>
      <c r="I3546" s="564" t="s">
        <v>45</v>
      </c>
      <c r="J3546" s="564" t="s">
        <v>1069</v>
      </c>
      <c r="K3546" s="564" t="s">
        <v>1090</v>
      </c>
      <c r="L3546" s="564" t="s">
        <v>2098</v>
      </c>
      <c r="M3546" s="564" t="s">
        <v>2098</v>
      </c>
      <c r="N3546" s="564" t="s">
        <v>45</v>
      </c>
      <c r="O3546" s="564" t="s">
        <v>2099</v>
      </c>
      <c r="P3546" s="23"/>
      <c r="Q3546" s="23"/>
      <c r="R3546" s="23"/>
      <c r="S3546" s="23"/>
      <c r="T3546" s="23"/>
      <c r="U3546" s="23"/>
      <c r="V3546" s="23"/>
      <c r="W3546" s="23"/>
      <c r="X3546" s="23"/>
      <c r="Y3546" s="23"/>
      <c r="Z3546" s="23"/>
    </row>
    <row r="3547" spans="1:26" ht="13">
      <c r="A3547" s="562" t="s">
        <v>7975</v>
      </c>
      <c r="B3547" s="563" t="s">
        <v>7462</v>
      </c>
      <c r="C3547" s="564" t="s">
        <v>1612</v>
      </c>
      <c r="D3547" s="565">
        <v>41872</v>
      </c>
      <c r="E3547" s="565">
        <v>41901</v>
      </c>
      <c r="F3547" s="567">
        <v>773</v>
      </c>
      <c r="G3547" s="564" t="s">
        <v>1424</v>
      </c>
      <c r="H3547" s="564" t="s">
        <v>1424</v>
      </c>
      <c r="I3547" s="564" t="s">
        <v>70</v>
      </c>
      <c r="J3547" s="564" t="s">
        <v>1069</v>
      </c>
      <c r="K3547" s="564" t="s">
        <v>1120</v>
      </c>
      <c r="L3547" s="564" t="s">
        <v>2098</v>
      </c>
      <c r="M3547" s="564" t="s">
        <v>2098</v>
      </c>
      <c r="N3547" s="564" t="s">
        <v>70</v>
      </c>
      <c r="O3547" s="564" t="s">
        <v>2099</v>
      </c>
      <c r="P3547" s="23"/>
      <c r="Q3547" s="23"/>
      <c r="R3547" s="23"/>
      <c r="S3547" s="23"/>
      <c r="T3547" s="23"/>
      <c r="U3547" s="23"/>
      <c r="V3547" s="23"/>
      <c r="W3547" s="23"/>
      <c r="X3547" s="23"/>
      <c r="Y3547" s="23"/>
      <c r="Z3547" s="23"/>
    </row>
    <row r="3548" spans="1:26" ht="13">
      <c r="A3548" s="562" t="s">
        <v>7976</v>
      </c>
      <c r="B3548" s="563" t="s">
        <v>7977</v>
      </c>
      <c r="C3548" s="564" t="s">
        <v>1612</v>
      </c>
      <c r="D3548" s="565">
        <v>41870</v>
      </c>
      <c r="E3548" s="565">
        <v>41901</v>
      </c>
      <c r="F3548" s="566">
        <v>6776</v>
      </c>
      <c r="G3548" s="564" t="s">
        <v>1424</v>
      </c>
      <c r="H3548" s="564" t="s">
        <v>1424</v>
      </c>
      <c r="I3548" s="564" t="s">
        <v>70</v>
      </c>
      <c r="J3548" s="564" t="s">
        <v>1069</v>
      </c>
      <c r="K3548" s="564" t="s">
        <v>1120</v>
      </c>
      <c r="L3548" s="564" t="s">
        <v>2098</v>
      </c>
      <c r="M3548" s="564" t="s">
        <v>2098</v>
      </c>
      <c r="N3548" s="564" t="s">
        <v>70</v>
      </c>
      <c r="O3548" s="564" t="s">
        <v>2099</v>
      </c>
      <c r="P3548" s="23"/>
      <c r="Q3548" s="23"/>
      <c r="R3548" s="23"/>
      <c r="S3548" s="23"/>
      <c r="T3548" s="23"/>
      <c r="U3548" s="23"/>
      <c r="V3548" s="23"/>
      <c r="W3548" s="23"/>
      <c r="X3548" s="23"/>
      <c r="Y3548" s="23"/>
      <c r="Z3548" s="23"/>
    </row>
    <row r="3549" spans="1:26" ht="13">
      <c r="A3549" s="562" t="s">
        <v>7978</v>
      </c>
      <c r="B3549" s="563" t="s">
        <v>7951</v>
      </c>
      <c r="C3549" s="564" t="s">
        <v>1612</v>
      </c>
      <c r="D3549" s="565">
        <v>41870</v>
      </c>
      <c r="E3549" s="565">
        <v>41883</v>
      </c>
      <c r="F3549" s="566">
        <v>1150</v>
      </c>
      <c r="G3549" s="564" t="s">
        <v>297</v>
      </c>
      <c r="H3549" s="564" t="s">
        <v>297</v>
      </c>
      <c r="I3549" s="564" t="s">
        <v>1837</v>
      </c>
      <c r="J3549" s="564" t="s">
        <v>1069</v>
      </c>
      <c r="K3549" s="564" t="s">
        <v>1070</v>
      </c>
      <c r="L3549" s="564" t="s">
        <v>2098</v>
      </c>
      <c r="M3549" s="564" t="s">
        <v>2098</v>
      </c>
      <c r="N3549" s="564" t="s">
        <v>1082</v>
      </c>
      <c r="O3549" s="564" t="s">
        <v>2099</v>
      </c>
      <c r="P3549" s="23"/>
      <c r="Q3549" s="23"/>
      <c r="R3549" s="23"/>
      <c r="S3549" s="23"/>
      <c r="T3549" s="23"/>
      <c r="U3549" s="23"/>
      <c r="V3549" s="23"/>
      <c r="W3549" s="23"/>
      <c r="X3549" s="23"/>
      <c r="Y3549" s="23"/>
      <c r="Z3549" s="23"/>
    </row>
    <row r="3550" spans="1:26" ht="13">
      <c r="A3550" s="562" t="s">
        <v>7979</v>
      </c>
      <c r="B3550" s="563" t="s">
        <v>7980</v>
      </c>
      <c r="C3550" s="564" t="s">
        <v>1612</v>
      </c>
      <c r="D3550" s="565">
        <v>41864</v>
      </c>
      <c r="E3550" s="565">
        <v>41894</v>
      </c>
      <c r="F3550" s="566">
        <v>1060</v>
      </c>
      <c r="G3550" s="564" t="s">
        <v>1424</v>
      </c>
      <c r="H3550" s="564" t="s">
        <v>1424</v>
      </c>
      <c r="I3550" s="564" t="s">
        <v>121</v>
      </c>
      <c r="J3550" s="564" t="s">
        <v>1069</v>
      </c>
      <c r="K3550" s="564" t="s">
        <v>1105</v>
      </c>
      <c r="L3550" s="564" t="s">
        <v>2098</v>
      </c>
      <c r="M3550" s="564" t="s">
        <v>2098</v>
      </c>
      <c r="N3550" s="564" t="s">
        <v>1073</v>
      </c>
      <c r="O3550" s="564" t="s">
        <v>2099</v>
      </c>
      <c r="P3550" s="23"/>
      <c r="Q3550" s="23"/>
      <c r="R3550" s="23"/>
      <c r="S3550" s="23"/>
      <c r="T3550" s="23"/>
      <c r="U3550" s="23"/>
      <c r="V3550" s="23"/>
      <c r="W3550" s="23"/>
      <c r="X3550" s="23"/>
      <c r="Y3550" s="23"/>
      <c r="Z3550" s="23"/>
    </row>
    <row r="3551" spans="1:26" ht="13">
      <c r="A3551" s="562" t="s">
        <v>7981</v>
      </c>
      <c r="B3551" s="563" t="s">
        <v>7982</v>
      </c>
      <c r="C3551" s="564" t="s">
        <v>1612</v>
      </c>
      <c r="D3551" s="565">
        <v>41865</v>
      </c>
      <c r="E3551" s="565">
        <v>41871</v>
      </c>
      <c r="F3551" s="567">
        <v>720</v>
      </c>
      <c r="G3551" s="564" t="s">
        <v>337</v>
      </c>
      <c r="H3551" s="564" t="s">
        <v>337</v>
      </c>
      <c r="I3551" s="564" t="s">
        <v>146</v>
      </c>
      <c r="J3551" s="564" t="s">
        <v>1069</v>
      </c>
      <c r="K3551" s="564" t="s">
        <v>1070</v>
      </c>
      <c r="L3551" s="564" t="s">
        <v>2098</v>
      </c>
      <c r="M3551" s="564" t="s">
        <v>2098</v>
      </c>
      <c r="N3551" s="564" t="s">
        <v>1073</v>
      </c>
      <c r="O3551" s="564" t="s">
        <v>2099</v>
      </c>
      <c r="P3551" s="23"/>
      <c r="Q3551" s="23"/>
      <c r="R3551" s="23"/>
      <c r="S3551" s="23"/>
      <c r="T3551" s="23"/>
      <c r="U3551" s="23"/>
      <c r="V3551" s="23"/>
      <c r="W3551" s="23"/>
      <c r="X3551" s="23"/>
      <c r="Y3551" s="23"/>
      <c r="Z3551" s="23"/>
    </row>
    <row r="3552" spans="1:26" ht="13">
      <c r="A3552" s="562" t="s">
        <v>7983</v>
      </c>
      <c r="B3552" s="563" t="s">
        <v>7392</v>
      </c>
      <c r="C3552" s="564" t="s">
        <v>1612</v>
      </c>
      <c r="D3552" s="565">
        <v>41864</v>
      </c>
      <c r="E3552" s="565">
        <v>41880</v>
      </c>
      <c r="F3552" s="567">
        <v>456</v>
      </c>
      <c r="G3552" s="564" t="s">
        <v>1424</v>
      </c>
      <c r="H3552" s="564" t="s">
        <v>1424</v>
      </c>
      <c r="I3552" s="564" t="s">
        <v>2586</v>
      </c>
      <c r="J3552" s="564" t="s">
        <v>1069</v>
      </c>
      <c r="K3552" s="564" t="s">
        <v>1070</v>
      </c>
      <c r="L3552" s="564" t="s">
        <v>2098</v>
      </c>
      <c r="M3552" s="564" t="s">
        <v>2098</v>
      </c>
      <c r="N3552" s="564" t="s">
        <v>1073</v>
      </c>
      <c r="O3552" s="564" t="s">
        <v>2099</v>
      </c>
      <c r="P3552" s="23"/>
      <c r="Q3552" s="23"/>
      <c r="R3552" s="23"/>
      <c r="S3552" s="23"/>
      <c r="T3552" s="23"/>
      <c r="U3552" s="23"/>
      <c r="V3552" s="23"/>
      <c r="W3552" s="23"/>
      <c r="X3552" s="23"/>
      <c r="Y3552" s="23"/>
      <c r="Z3552" s="23"/>
    </row>
    <row r="3553" spans="1:26" ht="13">
      <c r="A3553" s="562" t="s">
        <v>7984</v>
      </c>
      <c r="B3553" s="563" t="s">
        <v>7985</v>
      </c>
      <c r="C3553" s="564" t="s">
        <v>1612</v>
      </c>
      <c r="D3553" s="565">
        <v>41864</v>
      </c>
      <c r="E3553" s="565">
        <v>41880</v>
      </c>
      <c r="F3553" s="567">
        <v>456</v>
      </c>
      <c r="G3553" s="564" t="s">
        <v>1424</v>
      </c>
      <c r="H3553" s="564" t="s">
        <v>1424</v>
      </c>
      <c r="I3553" s="564" t="s">
        <v>3824</v>
      </c>
      <c r="J3553" s="564" t="s">
        <v>1069</v>
      </c>
      <c r="K3553" s="564" t="s">
        <v>1070</v>
      </c>
      <c r="L3553" s="564" t="s">
        <v>2098</v>
      </c>
      <c r="M3553" s="564" t="s">
        <v>2098</v>
      </c>
      <c r="N3553" s="564" t="s">
        <v>1073</v>
      </c>
      <c r="O3553" s="564" t="s">
        <v>2099</v>
      </c>
      <c r="P3553" s="23"/>
      <c r="Q3553" s="23"/>
      <c r="R3553" s="23"/>
      <c r="S3553" s="23"/>
      <c r="T3553" s="23"/>
      <c r="U3553" s="23"/>
      <c r="V3553" s="23"/>
      <c r="W3553" s="23"/>
      <c r="X3553" s="23"/>
      <c r="Y3553" s="23"/>
      <c r="Z3553" s="23"/>
    </row>
    <row r="3554" spans="1:26" ht="13">
      <c r="A3554" s="562" t="s">
        <v>7986</v>
      </c>
      <c r="B3554" s="563" t="s">
        <v>7987</v>
      </c>
      <c r="C3554" s="564" t="s">
        <v>1612</v>
      </c>
      <c r="D3554" s="565">
        <v>41864</v>
      </c>
      <c r="E3554" s="565">
        <v>41880</v>
      </c>
      <c r="F3554" s="566">
        <v>119200000</v>
      </c>
      <c r="G3554" s="564" t="s">
        <v>5465</v>
      </c>
      <c r="H3554" s="564" t="s">
        <v>5465</v>
      </c>
      <c r="I3554" s="564" t="s">
        <v>45</v>
      </c>
      <c r="J3554" s="564" t="s">
        <v>1069</v>
      </c>
      <c r="K3554" s="564" t="s">
        <v>1090</v>
      </c>
      <c r="L3554" s="564" t="s">
        <v>2098</v>
      </c>
      <c r="M3554" s="564" t="s">
        <v>2098</v>
      </c>
      <c r="N3554" s="564" t="s">
        <v>45</v>
      </c>
      <c r="O3554" s="564" t="s">
        <v>2099</v>
      </c>
      <c r="P3554" s="23"/>
      <c r="Q3554" s="23"/>
      <c r="R3554" s="23"/>
      <c r="S3554" s="23"/>
      <c r="T3554" s="23"/>
      <c r="U3554" s="23"/>
      <c r="V3554" s="23"/>
      <c r="W3554" s="23"/>
      <c r="X3554" s="23"/>
      <c r="Y3554" s="23"/>
      <c r="Z3554" s="23"/>
    </row>
    <row r="3555" spans="1:26" ht="13">
      <c r="A3555" s="562" t="s">
        <v>7988</v>
      </c>
      <c r="B3555" s="563" t="s">
        <v>7989</v>
      </c>
      <c r="C3555" s="564" t="s">
        <v>1612</v>
      </c>
      <c r="D3555" s="565">
        <v>41859</v>
      </c>
      <c r="E3555" s="565">
        <v>41901</v>
      </c>
      <c r="F3555" s="566">
        <v>10905</v>
      </c>
      <c r="G3555" s="564" t="s">
        <v>1424</v>
      </c>
      <c r="H3555" s="564" t="s">
        <v>1424</v>
      </c>
      <c r="I3555" s="564" t="s">
        <v>802</v>
      </c>
      <c r="J3555" s="564" t="s">
        <v>1069</v>
      </c>
      <c r="K3555" s="564" t="s">
        <v>1198</v>
      </c>
      <c r="L3555" s="564" t="s">
        <v>2098</v>
      </c>
      <c r="M3555" s="564" t="s">
        <v>2098</v>
      </c>
      <c r="N3555" s="564" t="s">
        <v>132</v>
      </c>
      <c r="O3555" s="564" t="s">
        <v>2099</v>
      </c>
      <c r="P3555" s="23"/>
      <c r="Q3555" s="23"/>
      <c r="R3555" s="23"/>
      <c r="S3555" s="23"/>
      <c r="T3555" s="23"/>
      <c r="U3555" s="23"/>
      <c r="V3555" s="23"/>
      <c r="W3555" s="23"/>
      <c r="X3555" s="23"/>
      <c r="Y3555" s="23"/>
      <c r="Z3555" s="23"/>
    </row>
    <row r="3556" spans="1:26" ht="13">
      <c r="A3556" s="562" t="s">
        <v>7990</v>
      </c>
      <c r="B3556" s="563" t="s">
        <v>7991</v>
      </c>
      <c r="C3556" s="564" t="s">
        <v>1612</v>
      </c>
      <c r="D3556" s="565">
        <v>41858</v>
      </c>
      <c r="E3556" s="565">
        <v>41852</v>
      </c>
      <c r="F3556" s="566">
        <v>26035920</v>
      </c>
      <c r="G3556" s="564" t="s">
        <v>337</v>
      </c>
      <c r="H3556" s="564" t="s">
        <v>337</v>
      </c>
      <c r="I3556" s="564" t="s">
        <v>45</v>
      </c>
      <c r="J3556" s="564" t="s">
        <v>1069</v>
      </c>
      <c r="K3556" s="564" t="s">
        <v>1090</v>
      </c>
      <c r="L3556" s="564" t="s">
        <v>1071</v>
      </c>
      <c r="M3556" s="564" t="s">
        <v>1183</v>
      </c>
      <c r="N3556" s="564" t="s">
        <v>45</v>
      </c>
      <c r="O3556" s="564" t="s">
        <v>2099</v>
      </c>
      <c r="P3556" s="23"/>
      <c r="Q3556" s="23"/>
      <c r="R3556" s="23"/>
      <c r="S3556" s="23"/>
      <c r="T3556" s="23"/>
      <c r="U3556" s="23"/>
      <c r="V3556" s="23"/>
      <c r="W3556" s="23"/>
      <c r="X3556" s="23"/>
      <c r="Y3556" s="23"/>
      <c r="Z3556" s="23"/>
    </row>
    <row r="3557" spans="1:26" ht="13">
      <c r="A3557" s="562" t="s">
        <v>7992</v>
      </c>
      <c r="B3557" s="563" t="s">
        <v>7993</v>
      </c>
      <c r="C3557" s="564" t="s">
        <v>1612</v>
      </c>
      <c r="D3557" s="565">
        <v>41858</v>
      </c>
      <c r="E3557" s="565">
        <v>41882</v>
      </c>
      <c r="F3557" s="566">
        <v>1760000</v>
      </c>
      <c r="G3557" s="564" t="s">
        <v>5465</v>
      </c>
      <c r="H3557" s="564" t="s">
        <v>5465</v>
      </c>
      <c r="I3557" s="564" t="s">
        <v>45</v>
      </c>
      <c r="J3557" s="564" t="s">
        <v>1069</v>
      </c>
      <c r="K3557" s="564" t="s">
        <v>1090</v>
      </c>
      <c r="L3557" s="564" t="s">
        <v>2098</v>
      </c>
      <c r="M3557" s="564" t="s">
        <v>2098</v>
      </c>
      <c r="N3557" s="564" t="s">
        <v>45</v>
      </c>
      <c r="O3557" s="564" t="s">
        <v>2099</v>
      </c>
      <c r="P3557" s="23"/>
      <c r="Q3557" s="23"/>
      <c r="R3557" s="23"/>
      <c r="S3557" s="23"/>
      <c r="T3557" s="23"/>
      <c r="U3557" s="23"/>
      <c r="V3557" s="23"/>
      <c r="W3557" s="23"/>
      <c r="X3557" s="23"/>
      <c r="Y3557" s="23"/>
      <c r="Z3557" s="23"/>
    </row>
    <row r="3558" spans="1:26" ht="13">
      <c r="A3558" s="562" t="s">
        <v>7994</v>
      </c>
      <c r="B3558" s="563" t="s">
        <v>7190</v>
      </c>
      <c r="C3558" s="564" t="s">
        <v>1612</v>
      </c>
      <c r="D3558" s="565">
        <v>41855</v>
      </c>
      <c r="E3558" s="565">
        <v>41866</v>
      </c>
      <c r="F3558" s="566">
        <v>8800000</v>
      </c>
      <c r="G3558" s="564" t="s">
        <v>1128</v>
      </c>
      <c r="H3558" s="564" t="s">
        <v>1128</v>
      </c>
      <c r="I3558" s="564" t="s">
        <v>45</v>
      </c>
      <c r="J3558" s="564" t="s">
        <v>1069</v>
      </c>
      <c r="K3558" s="564" t="s">
        <v>1090</v>
      </c>
      <c r="L3558" s="564" t="s">
        <v>2098</v>
      </c>
      <c r="M3558" s="564" t="s">
        <v>2098</v>
      </c>
      <c r="N3558" s="564" t="s">
        <v>45</v>
      </c>
      <c r="O3558" s="564" t="s">
        <v>2099</v>
      </c>
      <c r="P3558" s="23"/>
      <c r="Q3558" s="23"/>
      <c r="R3558" s="23"/>
      <c r="S3558" s="23"/>
      <c r="T3558" s="23"/>
      <c r="U3558" s="23"/>
      <c r="V3558" s="23"/>
      <c r="W3558" s="23"/>
      <c r="X3558" s="23"/>
      <c r="Y3558" s="23"/>
      <c r="Z3558" s="23"/>
    </row>
    <row r="3559" spans="1:26" ht="13">
      <c r="A3559" s="562" t="s">
        <v>7995</v>
      </c>
      <c r="B3559" s="563" t="s">
        <v>7996</v>
      </c>
      <c r="C3559" s="564" t="s">
        <v>1612</v>
      </c>
      <c r="D3559" s="565">
        <v>41856</v>
      </c>
      <c r="E3559" s="565">
        <v>41913</v>
      </c>
      <c r="F3559" s="566">
        <v>6966720</v>
      </c>
      <c r="G3559" s="564" t="s">
        <v>337</v>
      </c>
      <c r="H3559" s="564" t="s">
        <v>337</v>
      </c>
      <c r="I3559" s="564" t="s">
        <v>45</v>
      </c>
      <c r="J3559" s="564" t="s">
        <v>1069</v>
      </c>
      <c r="K3559" s="564" t="s">
        <v>1090</v>
      </c>
      <c r="L3559" s="564" t="s">
        <v>1071</v>
      </c>
      <c r="M3559" s="564" t="s">
        <v>1183</v>
      </c>
      <c r="N3559" s="564" t="s">
        <v>45</v>
      </c>
      <c r="O3559" s="564" t="s">
        <v>2099</v>
      </c>
      <c r="P3559" s="23"/>
      <c r="Q3559" s="23"/>
      <c r="R3559" s="23"/>
      <c r="S3559" s="23"/>
      <c r="T3559" s="23"/>
      <c r="U3559" s="23"/>
      <c r="V3559" s="23"/>
      <c r="W3559" s="23"/>
      <c r="X3559" s="23"/>
      <c r="Y3559" s="23"/>
      <c r="Z3559" s="23"/>
    </row>
    <row r="3560" spans="1:26" ht="13">
      <c r="A3560" s="562" t="s">
        <v>7997</v>
      </c>
      <c r="B3560" s="563" t="s">
        <v>7884</v>
      </c>
      <c r="C3560" s="564" t="s">
        <v>1612</v>
      </c>
      <c r="D3560" s="565">
        <v>41855</v>
      </c>
      <c r="E3560" s="565">
        <v>41873</v>
      </c>
      <c r="F3560" s="566">
        <v>2970000</v>
      </c>
      <c r="G3560" s="564" t="s">
        <v>337</v>
      </c>
      <c r="H3560" s="564" t="s">
        <v>337</v>
      </c>
      <c r="I3560" s="564" t="s">
        <v>1837</v>
      </c>
      <c r="J3560" s="564" t="s">
        <v>1069</v>
      </c>
      <c r="K3560" s="564" t="s">
        <v>1090</v>
      </c>
      <c r="L3560" s="564" t="s">
        <v>2098</v>
      </c>
      <c r="M3560" s="564" t="s">
        <v>2098</v>
      </c>
      <c r="N3560" s="564" t="s">
        <v>1082</v>
      </c>
      <c r="O3560" s="564" t="s">
        <v>2099</v>
      </c>
      <c r="P3560" s="23"/>
      <c r="Q3560" s="23"/>
      <c r="R3560" s="23"/>
      <c r="S3560" s="23"/>
      <c r="T3560" s="23"/>
      <c r="U3560" s="23"/>
      <c r="V3560" s="23"/>
      <c r="W3560" s="23"/>
      <c r="X3560" s="23"/>
      <c r="Y3560" s="23"/>
      <c r="Z3560" s="23"/>
    </row>
    <row r="3561" spans="1:26" ht="13">
      <c r="A3561" s="562" t="s">
        <v>7998</v>
      </c>
      <c r="B3561" s="563" t="s">
        <v>7999</v>
      </c>
      <c r="C3561" s="564" t="s">
        <v>1612</v>
      </c>
      <c r="D3561" s="565">
        <v>41852</v>
      </c>
      <c r="E3561" s="565">
        <v>41894</v>
      </c>
      <c r="F3561" s="566">
        <v>30268</v>
      </c>
      <c r="G3561" s="564" t="s">
        <v>1424</v>
      </c>
      <c r="H3561" s="564" t="s">
        <v>1424</v>
      </c>
      <c r="I3561" s="564" t="s">
        <v>802</v>
      </c>
      <c r="J3561" s="564" t="s">
        <v>1069</v>
      </c>
      <c r="K3561" s="564" t="s">
        <v>1198</v>
      </c>
      <c r="L3561" s="564" t="s">
        <v>2098</v>
      </c>
      <c r="M3561" s="564" t="s">
        <v>2098</v>
      </c>
      <c r="N3561" s="564" t="s">
        <v>132</v>
      </c>
      <c r="O3561" s="564" t="s">
        <v>2099</v>
      </c>
      <c r="P3561" s="23"/>
      <c r="Q3561" s="23"/>
      <c r="R3561" s="23"/>
      <c r="S3561" s="23"/>
      <c r="T3561" s="23"/>
      <c r="U3561" s="23"/>
      <c r="V3561" s="23"/>
      <c r="W3561" s="23"/>
      <c r="X3561" s="23"/>
      <c r="Y3561" s="23"/>
      <c r="Z3561" s="23"/>
    </row>
    <row r="3562" spans="1:26" ht="13">
      <c r="A3562" s="562" t="s">
        <v>8000</v>
      </c>
      <c r="B3562" s="563" t="s">
        <v>7884</v>
      </c>
      <c r="C3562" s="564" t="s">
        <v>1612</v>
      </c>
      <c r="D3562" s="565">
        <v>41852</v>
      </c>
      <c r="E3562" s="565">
        <v>41866</v>
      </c>
      <c r="F3562" s="566">
        <v>3146</v>
      </c>
      <c r="G3562" s="564" t="s">
        <v>337</v>
      </c>
      <c r="H3562" s="564" t="s">
        <v>337</v>
      </c>
      <c r="I3562" s="564" t="s">
        <v>1837</v>
      </c>
      <c r="J3562" s="564" t="s">
        <v>1069</v>
      </c>
      <c r="K3562" s="564" t="s">
        <v>1090</v>
      </c>
      <c r="L3562" s="564" t="s">
        <v>2098</v>
      </c>
      <c r="M3562" s="564" t="s">
        <v>2098</v>
      </c>
      <c r="N3562" s="564" t="s">
        <v>1082</v>
      </c>
      <c r="O3562" s="564" t="s">
        <v>2099</v>
      </c>
      <c r="P3562" s="23"/>
      <c r="Q3562" s="23"/>
      <c r="R3562" s="23"/>
      <c r="S3562" s="23"/>
      <c r="T3562" s="23"/>
      <c r="U3562" s="23"/>
      <c r="V3562" s="23"/>
      <c r="W3562" s="23"/>
      <c r="X3562" s="23"/>
      <c r="Y3562" s="23"/>
      <c r="Z3562" s="23"/>
    </row>
    <row r="3563" spans="1:26" ht="13">
      <c r="A3563" s="562" t="s">
        <v>8001</v>
      </c>
      <c r="B3563" s="563" t="s">
        <v>8002</v>
      </c>
      <c r="C3563" s="564" t="s">
        <v>1612</v>
      </c>
      <c r="D3563" s="565">
        <v>41850</v>
      </c>
      <c r="E3563" s="565">
        <v>41880</v>
      </c>
      <c r="F3563" s="566">
        <v>43800</v>
      </c>
      <c r="G3563" s="564" t="s">
        <v>1424</v>
      </c>
      <c r="H3563" s="564" t="s">
        <v>1424</v>
      </c>
      <c r="I3563" s="564" t="s">
        <v>802</v>
      </c>
      <c r="J3563" s="564" t="s">
        <v>1069</v>
      </c>
      <c r="K3563" s="564" t="s">
        <v>1198</v>
      </c>
      <c r="L3563" s="564" t="s">
        <v>2098</v>
      </c>
      <c r="M3563" s="564" t="s">
        <v>2098</v>
      </c>
      <c r="N3563" s="564" t="s">
        <v>132</v>
      </c>
      <c r="O3563" s="564" t="s">
        <v>2099</v>
      </c>
      <c r="P3563" s="23"/>
      <c r="Q3563" s="23"/>
      <c r="R3563" s="23"/>
      <c r="S3563" s="23"/>
      <c r="T3563" s="23"/>
      <c r="U3563" s="23"/>
      <c r="V3563" s="23"/>
      <c r="W3563" s="23"/>
      <c r="X3563" s="23"/>
      <c r="Y3563" s="23"/>
      <c r="Z3563" s="23"/>
    </row>
    <row r="3564" spans="1:26" ht="13">
      <c r="A3564" s="562" t="s">
        <v>8003</v>
      </c>
      <c r="B3564" s="563" t="s">
        <v>7064</v>
      </c>
      <c r="C3564" s="564" t="s">
        <v>1612</v>
      </c>
      <c r="D3564" s="565">
        <v>41850</v>
      </c>
      <c r="E3564" s="565">
        <v>41879</v>
      </c>
      <c r="F3564" s="566">
        <v>24450</v>
      </c>
      <c r="G3564" s="564" t="s">
        <v>1424</v>
      </c>
      <c r="H3564" s="564" t="s">
        <v>1424</v>
      </c>
      <c r="I3564" s="564" t="s">
        <v>64</v>
      </c>
      <c r="J3564" s="564" t="s">
        <v>1069</v>
      </c>
      <c r="K3564" s="564" t="s">
        <v>1090</v>
      </c>
      <c r="L3564" s="564" t="s">
        <v>2098</v>
      </c>
      <c r="M3564" s="564" t="s">
        <v>2098</v>
      </c>
      <c r="N3564" s="564" t="s">
        <v>64</v>
      </c>
      <c r="O3564" s="564" t="s">
        <v>2099</v>
      </c>
      <c r="P3564" s="23"/>
      <c r="Q3564" s="23"/>
      <c r="R3564" s="23"/>
      <c r="S3564" s="23"/>
      <c r="T3564" s="23"/>
      <c r="U3564" s="23"/>
      <c r="V3564" s="23"/>
      <c r="W3564" s="23"/>
      <c r="X3564" s="23"/>
      <c r="Y3564" s="23"/>
      <c r="Z3564" s="23"/>
    </row>
    <row r="3565" spans="1:26" ht="13">
      <c r="A3565" s="562" t="s">
        <v>8004</v>
      </c>
      <c r="B3565" s="563" t="s">
        <v>8005</v>
      </c>
      <c r="C3565" s="564" t="s">
        <v>1612</v>
      </c>
      <c r="D3565" s="565">
        <v>41849</v>
      </c>
      <c r="E3565" s="565">
        <v>41879</v>
      </c>
      <c r="F3565" s="567">
        <v>690</v>
      </c>
      <c r="G3565" s="564" t="s">
        <v>1424</v>
      </c>
      <c r="H3565" s="564" t="s">
        <v>1424</v>
      </c>
      <c r="I3565" s="564" t="s">
        <v>70</v>
      </c>
      <c r="J3565" s="564" t="s">
        <v>1069</v>
      </c>
      <c r="K3565" s="564" t="s">
        <v>1120</v>
      </c>
      <c r="L3565" s="564" t="s">
        <v>2098</v>
      </c>
      <c r="M3565" s="564" t="s">
        <v>2098</v>
      </c>
      <c r="N3565" s="564" t="s">
        <v>70</v>
      </c>
      <c r="O3565" s="564" t="s">
        <v>2099</v>
      </c>
      <c r="P3565" s="23"/>
      <c r="Q3565" s="23"/>
      <c r="R3565" s="23"/>
      <c r="S3565" s="23"/>
      <c r="T3565" s="23"/>
      <c r="U3565" s="23"/>
      <c r="V3565" s="23"/>
      <c r="W3565" s="23"/>
      <c r="X3565" s="23"/>
      <c r="Y3565" s="23"/>
      <c r="Z3565" s="23"/>
    </row>
    <row r="3566" spans="1:26" ht="13">
      <c r="A3566" s="562" t="s">
        <v>8006</v>
      </c>
      <c r="B3566" s="563" t="s">
        <v>8007</v>
      </c>
      <c r="C3566" s="564" t="s">
        <v>1612</v>
      </c>
      <c r="D3566" s="565">
        <v>41843</v>
      </c>
      <c r="E3566" s="565">
        <v>41851</v>
      </c>
      <c r="F3566" s="566">
        <v>13000000</v>
      </c>
      <c r="G3566" s="564" t="s">
        <v>1157</v>
      </c>
      <c r="H3566" s="564" t="s">
        <v>1157</v>
      </c>
      <c r="I3566" s="564" t="s">
        <v>70</v>
      </c>
      <c r="J3566" s="564" t="s">
        <v>1069</v>
      </c>
      <c r="K3566" s="564" t="s">
        <v>1120</v>
      </c>
      <c r="L3566" s="564" t="s">
        <v>2098</v>
      </c>
      <c r="M3566" s="564" t="s">
        <v>2098</v>
      </c>
      <c r="N3566" s="564" t="s">
        <v>70</v>
      </c>
      <c r="O3566" s="564" t="s">
        <v>2099</v>
      </c>
      <c r="P3566" s="23"/>
      <c r="Q3566" s="23"/>
      <c r="R3566" s="23"/>
      <c r="S3566" s="23"/>
      <c r="T3566" s="23"/>
      <c r="U3566" s="23"/>
      <c r="V3566" s="23"/>
      <c r="W3566" s="23"/>
      <c r="X3566" s="23"/>
      <c r="Y3566" s="23"/>
      <c r="Z3566" s="23"/>
    </row>
    <row r="3567" spans="1:26" ht="13">
      <c r="A3567" s="562" t="s">
        <v>8008</v>
      </c>
      <c r="B3567" s="563" t="s">
        <v>8009</v>
      </c>
      <c r="C3567" s="564" t="s">
        <v>1612</v>
      </c>
      <c r="D3567" s="565">
        <v>41842</v>
      </c>
      <c r="E3567" s="565">
        <v>41851</v>
      </c>
      <c r="F3567" s="566">
        <v>40400000</v>
      </c>
      <c r="G3567" s="564" t="s">
        <v>5465</v>
      </c>
      <c r="H3567" s="564" t="s">
        <v>5465</v>
      </c>
      <c r="I3567" s="564" t="s">
        <v>45</v>
      </c>
      <c r="J3567" s="564" t="s">
        <v>1069</v>
      </c>
      <c r="K3567" s="564" t="s">
        <v>1090</v>
      </c>
      <c r="L3567" s="564" t="s">
        <v>2098</v>
      </c>
      <c r="M3567" s="564" t="s">
        <v>2098</v>
      </c>
      <c r="N3567" s="564" t="s">
        <v>45</v>
      </c>
      <c r="O3567" s="564" t="s">
        <v>2099</v>
      </c>
      <c r="P3567" s="23"/>
      <c r="Q3567" s="23"/>
      <c r="R3567" s="23"/>
      <c r="S3567" s="23"/>
      <c r="T3567" s="23"/>
      <c r="U3567" s="23"/>
      <c r="V3567" s="23"/>
      <c r="W3567" s="23"/>
      <c r="X3567" s="23"/>
      <c r="Y3567" s="23"/>
      <c r="Z3567" s="23"/>
    </row>
    <row r="3568" spans="1:26" ht="13">
      <c r="A3568" s="562" t="s">
        <v>8010</v>
      </c>
      <c r="B3568" s="563" t="s">
        <v>7436</v>
      </c>
      <c r="C3568" s="564" t="s">
        <v>1612</v>
      </c>
      <c r="D3568" s="565">
        <v>41842</v>
      </c>
      <c r="E3568" s="565">
        <v>41869</v>
      </c>
      <c r="F3568" s="566">
        <v>1050</v>
      </c>
      <c r="G3568" s="564" t="s">
        <v>1424</v>
      </c>
      <c r="H3568" s="564" t="s">
        <v>1424</v>
      </c>
      <c r="I3568" s="564" t="s">
        <v>70</v>
      </c>
      <c r="J3568" s="564" t="s">
        <v>1069</v>
      </c>
      <c r="K3568" s="564" t="s">
        <v>1120</v>
      </c>
      <c r="L3568" s="564" t="s">
        <v>2098</v>
      </c>
      <c r="M3568" s="564" t="s">
        <v>2098</v>
      </c>
      <c r="N3568" s="564" t="s">
        <v>70</v>
      </c>
      <c r="O3568" s="564" t="s">
        <v>2099</v>
      </c>
      <c r="P3568" s="23"/>
      <c r="Q3568" s="23"/>
      <c r="R3568" s="23"/>
      <c r="S3568" s="23"/>
      <c r="T3568" s="23"/>
      <c r="U3568" s="23"/>
      <c r="V3568" s="23"/>
      <c r="W3568" s="23"/>
      <c r="X3568" s="23"/>
      <c r="Y3568" s="23"/>
      <c r="Z3568" s="23"/>
    </row>
    <row r="3569" spans="1:26" ht="13">
      <c r="A3569" s="562" t="s">
        <v>8011</v>
      </c>
      <c r="B3569" s="563" t="s">
        <v>8012</v>
      </c>
      <c r="C3569" s="564" t="s">
        <v>1612</v>
      </c>
      <c r="D3569" s="565">
        <v>41837</v>
      </c>
      <c r="E3569" s="565">
        <v>41883</v>
      </c>
      <c r="F3569" s="566">
        <v>15893280</v>
      </c>
      <c r="G3569" s="564" t="s">
        <v>337</v>
      </c>
      <c r="H3569" s="564" t="s">
        <v>337</v>
      </c>
      <c r="I3569" s="564" t="s">
        <v>45</v>
      </c>
      <c r="J3569" s="564" t="s">
        <v>1069</v>
      </c>
      <c r="K3569" s="564" t="s">
        <v>1090</v>
      </c>
      <c r="L3569" s="564" t="s">
        <v>1071</v>
      </c>
      <c r="M3569" s="564" t="s">
        <v>1183</v>
      </c>
      <c r="N3569" s="564" t="s">
        <v>45</v>
      </c>
      <c r="O3569" s="564" t="s">
        <v>2099</v>
      </c>
      <c r="P3569" s="23"/>
      <c r="Q3569" s="23"/>
      <c r="R3569" s="23"/>
      <c r="S3569" s="23"/>
      <c r="T3569" s="23"/>
      <c r="U3569" s="23"/>
      <c r="V3569" s="23"/>
      <c r="W3569" s="23"/>
      <c r="X3569" s="23"/>
      <c r="Y3569" s="23"/>
      <c r="Z3569" s="23"/>
    </row>
    <row r="3570" spans="1:26" ht="13">
      <c r="A3570" s="562" t="s">
        <v>8013</v>
      </c>
      <c r="B3570" s="563" t="s">
        <v>8014</v>
      </c>
      <c r="C3570" s="564" t="s">
        <v>1612</v>
      </c>
      <c r="D3570" s="565">
        <v>41837</v>
      </c>
      <c r="E3570" s="565">
        <v>41859</v>
      </c>
      <c r="F3570" s="566">
        <v>12460000</v>
      </c>
      <c r="G3570" s="564" t="s">
        <v>1128</v>
      </c>
      <c r="H3570" s="564" t="s">
        <v>1128</v>
      </c>
      <c r="I3570" s="564" t="s">
        <v>257</v>
      </c>
      <c r="J3570" s="564" t="s">
        <v>1069</v>
      </c>
      <c r="K3570" s="564" t="s">
        <v>1209</v>
      </c>
      <c r="L3570" s="564" t="s">
        <v>2098</v>
      </c>
      <c r="M3570" s="564" t="s">
        <v>2098</v>
      </c>
      <c r="N3570" s="564" t="s">
        <v>257</v>
      </c>
      <c r="O3570" s="564" t="s">
        <v>2099</v>
      </c>
      <c r="P3570" s="23"/>
      <c r="Q3570" s="23"/>
      <c r="R3570" s="23"/>
      <c r="S3570" s="23"/>
      <c r="T3570" s="23"/>
      <c r="U3570" s="23"/>
      <c r="V3570" s="23"/>
      <c r="W3570" s="23"/>
      <c r="X3570" s="23"/>
      <c r="Y3570" s="23"/>
      <c r="Z3570" s="23"/>
    </row>
    <row r="3571" spans="1:26" ht="13">
      <c r="A3571" s="562" t="s">
        <v>8015</v>
      </c>
      <c r="B3571" s="563" t="s">
        <v>8016</v>
      </c>
      <c r="C3571" s="564" t="s">
        <v>1612</v>
      </c>
      <c r="D3571" s="565">
        <v>41836</v>
      </c>
      <c r="E3571" s="565">
        <v>41851</v>
      </c>
      <c r="F3571" s="566">
        <v>99800000</v>
      </c>
      <c r="G3571" s="564" t="s">
        <v>5465</v>
      </c>
      <c r="H3571" s="564" t="s">
        <v>5465</v>
      </c>
      <c r="I3571" s="564" t="s">
        <v>45</v>
      </c>
      <c r="J3571" s="564" t="s">
        <v>1069</v>
      </c>
      <c r="K3571" s="564" t="s">
        <v>1090</v>
      </c>
      <c r="L3571" s="564" t="s">
        <v>2098</v>
      </c>
      <c r="M3571" s="564" t="s">
        <v>2098</v>
      </c>
      <c r="N3571" s="564" t="s">
        <v>45</v>
      </c>
      <c r="O3571" s="564" t="s">
        <v>2099</v>
      </c>
      <c r="P3571" s="23"/>
      <c r="Q3571" s="23"/>
      <c r="R3571" s="23"/>
      <c r="S3571" s="23"/>
      <c r="T3571" s="23"/>
      <c r="U3571" s="23"/>
      <c r="V3571" s="23"/>
      <c r="W3571" s="23"/>
      <c r="X3571" s="23"/>
      <c r="Y3571" s="23"/>
      <c r="Z3571" s="23"/>
    </row>
    <row r="3572" spans="1:26" ht="13">
      <c r="A3572" s="562" t="s">
        <v>8017</v>
      </c>
      <c r="B3572" s="563" t="s">
        <v>8018</v>
      </c>
      <c r="C3572" s="564" t="s">
        <v>1612</v>
      </c>
      <c r="D3572" s="565">
        <v>41836</v>
      </c>
      <c r="E3572" s="565">
        <v>41851</v>
      </c>
      <c r="F3572" s="566">
        <v>59275000</v>
      </c>
      <c r="G3572" s="564" t="s">
        <v>5465</v>
      </c>
      <c r="H3572" s="564" t="s">
        <v>5465</v>
      </c>
      <c r="I3572" s="564" t="s">
        <v>45</v>
      </c>
      <c r="J3572" s="564" t="s">
        <v>1069</v>
      </c>
      <c r="K3572" s="564" t="s">
        <v>1090</v>
      </c>
      <c r="L3572" s="564" t="s">
        <v>2098</v>
      </c>
      <c r="M3572" s="564" t="s">
        <v>2098</v>
      </c>
      <c r="N3572" s="564" t="s">
        <v>45</v>
      </c>
      <c r="O3572" s="564" t="s">
        <v>2099</v>
      </c>
      <c r="P3572" s="23"/>
      <c r="Q3572" s="23"/>
      <c r="R3572" s="23"/>
      <c r="S3572" s="23"/>
      <c r="T3572" s="23"/>
      <c r="U3572" s="23"/>
      <c r="V3572" s="23"/>
      <c r="W3572" s="23"/>
      <c r="X3572" s="23"/>
      <c r="Y3572" s="23"/>
      <c r="Z3572" s="23"/>
    </row>
    <row r="3573" spans="1:26" ht="13">
      <c r="A3573" s="562" t="s">
        <v>8019</v>
      </c>
      <c r="B3573" s="563" t="s">
        <v>7476</v>
      </c>
      <c r="C3573" s="564" t="s">
        <v>1612</v>
      </c>
      <c r="D3573" s="565">
        <v>41836</v>
      </c>
      <c r="E3573" s="565">
        <v>41865</v>
      </c>
      <c r="F3573" s="566">
        <v>1345</v>
      </c>
      <c r="G3573" s="564" t="s">
        <v>1424</v>
      </c>
      <c r="H3573" s="564" t="s">
        <v>1424</v>
      </c>
      <c r="I3573" s="564" t="s">
        <v>121</v>
      </c>
      <c r="J3573" s="564" t="s">
        <v>1069</v>
      </c>
      <c r="K3573" s="564" t="s">
        <v>1105</v>
      </c>
      <c r="L3573" s="564" t="s">
        <v>2098</v>
      </c>
      <c r="M3573" s="564" t="s">
        <v>2098</v>
      </c>
      <c r="N3573" s="564" t="s">
        <v>1073</v>
      </c>
      <c r="O3573" s="564" t="s">
        <v>2099</v>
      </c>
      <c r="P3573" s="23"/>
      <c r="Q3573" s="23"/>
      <c r="R3573" s="23"/>
      <c r="S3573" s="23"/>
      <c r="T3573" s="23"/>
      <c r="U3573" s="23"/>
      <c r="V3573" s="23"/>
      <c r="W3573" s="23"/>
      <c r="X3573" s="23"/>
      <c r="Y3573" s="23"/>
      <c r="Z3573" s="23"/>
    </row>
    <row r="3574" spans="1:26" ht="13">
      <c r="A3574" s="562" t="s">
        <v>8020</v>
      </c>
      <c r="B3574" s="563" t="s">
        <v>8021</v>
      </c>
      <c r="C3574" s="564" t="s">
        <v>1612</v>
      </c>
      <c r="D3574" s="565">
        <v>41836</v>
      </c>
      <c r="E3574" s="565">
        <v>41859</v>
      </c>
      <c r="F3574" s="566">
        <v>5250</v>
      </c>
      <c r="G3574" s="564" t="s">
        <v>297</v>
      </c>
      <c r="H3574" s="564" t="s">
        <v>297</v>
      </c>
      <c r="I3574" s="564" t="s">
        <v>1837</v>
      </c>
      <c r="J3574" s="564" t="s">
        <v>1069</v>
      </c>
      <c r="K3574" s="564" t="s">
        <v>1070</v>
      </c>
      <c r="L3574" s="564" t="s">
        <v>2098</v>
      </c>
      <c r="M3574" s="564" t="s">
        <v>2098</v>
      </c>
      <c r="N3574" s="564" t="s">
        <v>1082</v>
      </c>
      <c r="O3574" s="564" t="s">
        <v>2099</v>
      </c>
      <c r="P3574" s="23"/>
      <c r="Q3574" s="23"/>
      <c r="R3574" s="23"/>
      <c r="S3574" s="23"/>
      <c r="T3574" s="23"/>
      <c r="U3574" s="23"/>
      <c r="V3574" s="23"/>
      <c r="W3574" s="23"/>
      <c r="X3574" s="23"/>
      <c r="Y3574" s="23"/>
      <c r="Z3574" s="23"/>
    </row>
    <row r="3575" spans="1:26" ht="13">
      <c r="A3575" s="562" t="s">
        <v>8022</v>
      </c>
      <c r="B3575" s="563" t="s">
        <v>7884</v>
      </c>
      <c r="C3575" s="564" t="s">
        <v>1612</v>
      </c>
      <c r="D3575" s="565">
        <v>41834</v>
      </c>
      <c r="E3575" s="565">
        <v>41845</v>
      </c>
      <c r="F3575" s="566">
        <v>5520</v>
      </c>
      <c r="G3575" s="564" t="s">
        <v>337</v>
      </c>
      <c r="H3575" s="564" t="s">
        <v>337</v>
      </c>
      <c r="I3575" s="564" t="s">
        <v>1837</v>
      </c>
      <c r="J3575" s="564" t="s">
        <v>1069</v>
      </c>
      <c r="K3575" s="564" t="s">
        <v>1090</v>
      </c>
      <c r="L3575" s="564" t="s">
        <v>2098</v>
      </c>
      <c r="M3575" s="564" t="s">
        <v>2098</v>
      </c>
      <c r="N3575" s="564" t="s">
        <v>1082</v>
      </c>
      <c r="O3575" s="564" t="s">
        <v>2099</v>
      </c>
      <c r="P3575" s="23"/>
      <c r="Q3575" s="23"/>
      <c r="R3575" s="23"/>
      <c r="S3575" s="23"/>
      <c r="T3575" s="23"/>
      <c r="U3575" s="23"/>
      <c r="V3575" s="23"/>
      <c r="W3575" s="23"/>
      <c r="X3575" s="23"/>
      <c r="Y3575" s="23"/>
      <c r="Z3575" s="23"/>
    </row>
    <row r="3576" spans="1:26" ht="13">
      <c r="A3576" s="562" t="s">
        <v>8023</v>
      </c>
      <c r="B3576" s="563" t="s">
        <v>8024</v>
      </c>
      <c r="C3576" s="564" t="s">
        <v>1612</v>
      </c>
      <c r="D3576" s="565">
        <v>41834</v>
      </c>
      <c r="E3576" s="565">
        <v>41862</v>
      </c>
      <c r="F3576" s="566">
        <v>6350</v>
      </c>
      <c r="G3576" s="564" t="s">
        <v>1424</v>
      </c>
      <c r="H3576" s="564" t="s">
        <v>1424</v>
      </c>
      <c r="I3576" s="564" t="s">
        <v>64</v>
      </c>
      <c r="J3576" s="564" t="s">
        <v>1069</v>
      </c>
      <c r="K3576" s="564" t="s">
        <v>1090</v>
      </c>
      <c r="L3576" s="564" t="s">
        <v>2098</v>
      </c>
      <c r="M3576" s="564" t="s">
        <v>2098</v>
      </c>
      <c r="N3576" s="564" t="s">
        <v>64</v>
      </c>
      <c r="O3576" s="564" t="s">
        <v>2099</v>
      </c>
      <c r="P3576" s="23"/>
      <c r="Q3576" s="23"/>
      <c r="R3576" s="23"/>
      <c r="S3576" s="23"/>
      <c r="T3576" s="23"/>
      <c r="U3576" s="23"/>
      <c r="V3576" s="23"/>
      <c r="W3576" s="23"/>
      <c r="X3576" s="23"/>
      <c r="Y3576" s="23"/>
      <c r="Z3576" s="23"/>
    </row>
    <row r="3577" spans="1:26" ht="13">
      <c r="A3577" s="562" t="s">
        <v>8025</v>
      </c>
      <c r="B3577" s="563" t="s">
        <v>8026</v>
      </c>
      <c r="C3577" s="564" t="s">
        <v>1612</v>
      </c>
      <c r="D3577" s="565">
        <v>41834</v>
      </c>
      <c r="E3577" s="565">
        <v>41821</v>
      </c>
      <c r="F3577" s="566">
        <v>28580400</v>
      </c>
      <c r="G3577" s="564" t="s">
        <v>337</v>
      </c>
      <c r="H3577" s="564" t="s">
        <v>337</v>
      </c>
      <c r="I3577" s="564" t="s">
        <v>45</v>
      </c>
      <c r="J3577" s="564" t="s">
        <v>1069</v>
      </c>
      <c r="K3577" s="564" t="s">
        <v>1090</v>
      </c>
      <c r="L3577" s="564" t="s">
        <v>1071</v>
      </c>
      <c r="M3577" s="564" t="s">
        <v>1183</v>
      </c>
      <c r="N3577" s="564" t="s">
        <v>45</v>
      </c>
      <c r="O3577" s="564" t="s">
        <v>2099</v>
      </c>
      <c r="P3577" s="23"/>
      <c r="Q3577" s="23"/>
      <c r="R3577" s="23"/>
      <c r="S3577" s="23"/>
      <c r="T3577" s="23"/>
      <c r="U3577" s="23"/>
      <c r="V3577" s="23"/>
      <c r="W3577" s="23"/>
      <c r="X3577" s="23"/>
      <c r="Y3577" s="23"/>
      <c r="Z3577" s="23"/>
    </row>
    <row r="3578" spans="1:26" ht="13">
      <c r="A3578" s="562" t="s">
        <v>8027</v>
      </c>
      <c r="B3578" s="563" t="s">
        <v>8028</v>
      </c>
      <c r="C3578" s="564" t="s">
        <v>1612</v>
      </c>
      <c r="D3578" s="565">
        <v>41830</v>
      </c>
      <c r="E3578" s="565">
        <v>41859</v>
      </c>
      <c r="F3578" s="566">
        <v>8050</v>
      </c>
      <c r="G3578" s="564" t="s">
        <v>1424</v>
      </c>
      <c r="H3578" s="564" t="s">
        <v>1424</v>
      </c>
      <c r="I3578" s="564" t="s">
        <v>64</v>
      </c>
      <c r="J3578" s="564" t="s">
        <v>1069</v>
      </c>
      <c r="K3578" s="564" t="s">
        <v>1090</v>
      </c>
      <c r="L3578" s="564" t="s">
        <v>2098</v>
      </c>
      <c r="M3578" s="564" t="s">
        <v>2098</v>
      </c>
      <c r="N3578" s="564" t="s">
        <v>64</v>
      </c>
      <c r="O3578" s="564" t="s">
        <v>2099</v>
      </c>
      <c r="P3578" s="23"/>
      <c r="Q3578" s="23"/>
      <c r="R3578" s="23"/>
      <c r="S3578" s="23"/>
      <c r="T3578" s="23"/>
      <c r="U3578" s="23"/>
      <c r="V3578" s="23"/>
      <c r="W3578" s="23"/>
      <c r="X3578" s="23"/>
      <c r="Y3578" s="23"/>
      <c r="Z3578" s="23"/>
    </row>
    <row r="3579" spans="1:26" ht="13">
      <c r="A3579" s="562" t="s">
        <v>8029</v>
      </c>
      <c r="B3579" s="563" t="s">
        <v>7884</v>
      </c>
      <c r="C3579" s="564" t="s">
        <v>1612</v>
      </c>
      <c r="D3579" s="565">
        <v>41824</v>
      </c>
      <c r="E3579" s="565">
        <v>41845</v>
      </c>
      <c r="F3579" s="566">
        <v>15775</v>
      </c>
      <c r="G3579" s="564" t="s">
        <v>337</v>
      </c>
      <c r="H3579" s="564" t="s">
        <v>337</v>
      </c>
      <c r="I3579" s="564" t="s">
        <v>1837</v>
      </c>
      <c r="J3579" s="564" t="s">
        <v>1069</v>
      </c>
      <c r="K3579" s="564" t="s">
        <v>1090</v>
      </c>
      <c r="L3579" s="564" t="s">
        <v>2098</v>
      </c>
      <c r="M3579" s="564" t="s">
        <v>2098</v>
      </c>
      <c r="N3579" s="564" t="s">
        <v>1082</v>
      </c>
      <c r="O3579" s="564" t="s">
        <v>2099</v>
      </c>
      <c r="P3579" s="23"/>
      <c r="Q3579" s="23"/>
      <c r="R3579" s="23"/>
      <c r="S3579" s="23"/>
      <c r="T3579" s="23"/>
      <c r="U3579" s="23"/>
      <c r="V3579" s="23"/>
      <c r="W3579" s="23"/>
      <c r="X3579" s="23"/>
      <c r="Y3579" s="23"/>
      <c r="Z3579" s="23"/>
    </row>
    <row r="3580" spans="1:26" ht="13">
      <c r="A3580" s="562" t="s">
        <v>8030</v>
      </c>
      <c r="B3580" s="563" t="s">
        <v>7884</v>
      </c>
      <c r="C3580" s="564" t="s">
        <v>1612</v>
      </c>
      <c r="D3580" s="565">
        <v>41823</v>
      </c>
      <c r="E3580" s="565">
        <v>41831</v>
      </c>
      <c r="F3580" s="566">
        <v>5960</v>
      </c>
      <c r="G3580" s="564" t="s">
        <v>337</v>
      </c>
      <c r="H3580" s="564" t="s">
        <v>337</v>
      </c>
      <c r="I3580" s="564" t="s">
        <v>1837</v>
      </c>
      <c r="J3580" s="564" t="s">
        <v>1069</v>
      </c>
      <c r="K3580" s="564" t="s">
        <v>1090</v>
      </c>
      <c r="L3580" s="564" t="s">
        <v>2098</v>
      </c>
      <c r="M3580" s="564" t="s">
        <v>2098</v>
      </c>
      <c r="N3580" s="564" t="s">
        <v>1082</v>
      </c>
      <c r="O3580" s="564" t="s">
        <v>2099</v>
      </c>
      <c r="P3580" s="23"/>
      <c r="Q3580" s="23"/>
      <c r="R3580" s="23"/>
      <c r="S3580" s="23"/>
      <c r="T3580" s="23"/>
      <c r="U3580" s="23"/>
      <c r="V3580" s="23"/>
      <c r="W3580" s="23"/>
      <c r="X3580" s="23"/>
      <c r="Y3580" s="23"/>
      <c r="Z3580" s="23"/>
    </row>
    <row r="3581" spans="1:26" ht="13">
      <c r="A3581" s="562" t="s">
        <v>8031</v>
      </c>
      <c r="B3581" s="563" t="s">
        <v>5712</v>
      </c>
      <c r="C3581" s="564" t="s">
        <v>1612</v>
      </c>
      <c r="D3581" s="565">
        <v>41821</v>
      </c>
      <c r="E3581" s="565">
        <v>41851</v>
      </c>
      <c r="F3581" s="566">
        <v>1455000</v>
      </c>
      <c r="G3581" s="564" t="s">
        <v>1424</v>
      </c>
      <c r="H3581" s="564" t="s">
        <v>1424</v>
      </c>
      <c r="I3581" s="564" t="s">
        <v>121</v>
      </c>
      <c r="J3581" s="564" t="s">
        <v>1069</v>
      </c>
      <c r="K3581" s="564" t="s">
        <v>1105</v>
      </c>
      <c r="L3581" s="564" t="s">
        <v>2098</v>
      </c>
      <c r="M3581" s="564" t="s">
        <v>2098</v>
      </c>
      <c r="N3581" s="564" t="s">
        <v>1073</v>
      </c>
      <c r="O3581" s="564" t="s">
        <v>2099</v>
      </c>
      <c r="P3581" s="23"/>
      <c r="Q3581" s="23"/>
      <c r="R3581" s="23"/>
      <c r="S3581" s="23"/>
      <c r="T3581" s="23"/>
      <c r="U3581" s="23"/>
      <c r="V3581" s="23"/>
      <c r="W3581" s="23"/>
      <c r="X3581" s="23"/>
      <c r="Y3581" s="23"/>
      <c r="Z3581" s="23"/>
    </row>
    <row r="3582" spans="1:26" ht="13">
      <c r="A3582" s="562" t="s">
        <v>8032</v>
      </c>
      <c r="B3582" s="563" t="s">
        <v>8033</v>
      </c>
      <c r="C3582" s="564" t="s">
        <v>1612</v>
      </c>
      <c r="D3582" s="565">
        <v>41822</v>
      </c>
      <c r="E3582" s="565">
        <v>41850</v>
      </c>
      <c r="F3582" s="566">
        <v>9900000</v>
      </c>
      <c r="G3582" s="564" t="s">
        <v>1157</v>
      </c>
      <c r="H3582" s="564" t="s">
        <v>1157</v>
      </c>
      <c r="I3582" s="564" t="s">
        <v>1781</v>
      </c>
      <c r="J3582" s="564" t="s">
        <v>1069</v>
      </c>
      <c r="K3582" s="564" t="s">
        <v>1070</v>
      </c>
      <c r="L3582" s="564" t="s">
        <v>2098</v>
      </c>
      <c r="M3582" s="564" t="s">
        <v>2098</v>
      </c>
      <c r="N3582" s="564" t="s">
        <v>1073</v>
      </c>
      <c r="O3582" s="564" t="s">
        <v>2099</v>
      </c>
      <c r="P3582" s="23"/>
      <c r="Q3582" s="23"/>
      <c r="R3582" s="23"/>
      <c r="S3582" s="23"/>
      <c r="T3582" s="23"/>
      <c r="U3582" s="23"/>
      <c r="V3582" s="23"/>
      <c r="W3582" s="23"/>
      <c r="X3582" s="23"/>
      <c r="Y3582" s="23"/>
      <c r="Z3582" s="23"/>
    </row>
    <row r="3583" spans="1:26" ht="13">
      <c r="A3583" s="562" t="s">
        <v>8034</v>
      </c>
      <c r="B3583" s="563" t="s">
        <v>8035</v>
      </c>
      <c r="C3583" s="564" t="s">
        <v>1612</v>
      </c>
      <c r="D3583" s="565">
        <v>41820</v>
      </c>
      <c r="E3583" s="565">
        <v>41850</v>
      </c>
      <c r="F3583" s="566">
        <v>2509092</v>
      </c>
      <c r="G3583" s="564" t="s">
        <v>1424</v>
      </c>
      <c r="H3583" s="564" t="s">
        <v>1424</v>
      </c>
      <c r="I3583" s="564" t="s">
        <v>802</v>
      </c>
      <c r="J3583" s="564" t="s">
        <v>1069</v>
      </c>
      <c r="K3583" s="564" t="s">
        <v>1198</v>
      </c>
      <c r="L3583" s="564" t="s">
        <v>2098</v>
      </c>
      <c r="M3583" s="564" t="s">
        <v>2098</v>
      </c>
      <c r="N3583" s="564" t="s">
        <v>132</v>
      </c>
      <c r="O3583" s="564" t="s">
        <v>2099</v>
      </c>
      <c r="P3583" s="23"/>
      <c r="Q3583" s="23"/>
      <c r="R3583" s="23"/>
      <c r="S3583" s="23"/>
      <c r="T3583" s="23"/>
      <c r="U3583" s="23"/>
      <c r="V3583" s="23"/>
      <c r="W3583" s="23"/>
      <c r="X3583" s="23"/>
      <c r="Y3583" s="23"/>
      <c r="Z3583" s="23"/>
    </row>
    <row r="3584" spans="1:26" ht="13">
      <c r="A3584" s="562" t="s">
        <v>8036</v>
      </c>
      <c r="B3584" s="563" t="s">
        <v>8037</v>
      </c>
      <c r="C3584" s="564" t="s">
        <v>2191</v>
      </c>
      <c r="D3584" s="565">
        <v>41820</v>
      </c>
      <c r="E3584" s="565">
        <v>42004</v>
      </c>
      <c r="F3584" s="566">
        <v>133200</v>
      </c>
      <c r="G3584" s="564" t="s">
        <v>1636</v>
      </c>
      <c r="H3584" s="564" t="s">
        <v>1636</v>
      </c>
      <c r="I3584" s="564" t="s">
        <v>7175</v>
      </c>
      <c r="J3584" s="564" t="s">
        <v>1069</v>
      </c>
      <c r="K3584" s="564" t="s">
        <v>1070</v>
      </c>
      <c r="L3584" s="564" t="s">
        <v>2098</v>
      </c>
      <c r="M3584" s="564" t="s">
        <v>2098</v>
      </c>
      <c r="N3584" s="564" t="s">
        <v>1082</v>
      </c>
      <c r="O3584" s="564" t="s">
        <v>2099</v>
      </c>
      <c r="P3584" s="23"/>
      <c r="Q3584" s="23"/>
      <c r="R3584" s="23"/>
      <c r="S3584" s="23"/>
      <c r="T3584" s="23"/>
      <c r="U3584" s="23"/>
      <c r="V3584" s="23"/>
      <c r="W3584" s="23"/>
      <c r="X3584" s="23"/>
      <c r="Y3584" s="23"/>
      <c r="Z3584" s="23"/>
    </row>
    <row r="3585" spans="1:26" ht="13">
      <c r="A3585" s="562" t="s">
        <v>8038</v>
      </c>
      <c r="B3585" s="563" t="s">
        <v>8039</v>
      </c>
      <c r="C3585" s="564" t="s">
        <v>1612</v>
      </c>
      <c r="D3585" s="565">
        <v>41820</v>
      </c>
      <c r="E3585" s="565">
        <v>41850</v>
      </c>
      <c r="F3585" s="566">
        <v>8421</v>
      </c>
      <c r="G3585" s="564" t="s">
        <v>1424</v>
      </c>
      <c r="H3585" s="564" t="s">
        <v>1424</v>
      </c>
      <c r="I3585" s="564" t="s">
        <v>1821</v>
      </c>
      <c r="J3585" s="564" t="s">
        <v>1069</v>
      </c>
      <c r="K3585" s="564" t="s">
        <v>1120</v>
      </c>
      <c r="L3585" s="564" t="s">
        <v>2098</v>
      </c>
      <c r="M3585" s="564" t="s">
        <v>2098</v>
      </c>
      <c r="N3585" s="564" t="s">
        <v>1073</v>
      </c>
      <c r="O3585" s="564" t="s">
        <v>2099</v>
      </c>
      <c r="P3585" s="23"/>
      <c r="Q3585" s="23"/>
      <c r="R3585" s="23"/>
      <c r="S3585" s="23"/>
      <c r="T3585" s="23"/>
      <c r="U3585" s="23"/>
      <c r="V3585" s="23"/>
      <c r="W3585" s="23"/>
      <c r="X3585" s="23"/>
      <c r="Y3585" s="23"/>
      <c r="Z3585" s="23"/>
    </row>
    <row r="3586" spans="1:26" ht="13">
      <c r="A3586" s="562" t="s">
        <v>8040</v>
      </c>
      <c r="B3586" s="563" t="s">
        <v>8041</v>
      </c>
      <c r="C3586" s="564" t="s">
        <v>1873</v>
      </c>
      <c r="D3586" s="565">
        <v>41821</v>
      </c>
      <c r="E3586" s="565">
        <v>41851</v>
      </c>
      <c r="F3586" s="566">
        <v>2650</v>
      </c>
      <c r="G3586" s="564" t="s">
        <v>1424</v>
      </c>
      <c r="H3586" s="564" t="s">
        <v>1424</v>
      </c>
      <c r="I3586" s="564" t="s">
        <v>170</v>
      </c>
      <c r="J3586" s="564" t="s">
        <v>1069</v>
      </c>
      <c r="K3586" s="564" t="s">
        <v>1105</v>
      </c>
      <c r="L3586" s="564" t="s">
        <v>2098</v>
      </c>
      <c r="M3586" s="564" t="s">
        <v>2098</v>
      </c>
      <c r="N3586" s="564" t="s">
        <v>170</v>
      </c>
      <c r="O3586" s="564" t="s">
        <v>2099</v>
      </c>
      <c r="P3586" s="23"/>
      <c r="Q3586" s="23"/>
      <c r="R3586" s="23"/>
      <c r="S3586" s="23"/>
      <c r="T3586" s="23"/>
      <c r="U3586" s="23"/>
      <c r="V3586" s="23"/>
      <c r="W3586" s="23"/>
      <c r="X3586" s="23"/>
      <c r="Y3586" s="23"/>
      <c r="Z3586" s="23"/>
    </row>
    <row r="3587" spans="1:26" ht="13">
      <c r="A3587" s="562" t="s">
        <v>8042</v>
      </c>
      <c r="B3587" s="563" t="s">
        <v>8043</v>
      </c>
      <c r="C3587" s="564" t="s">
        <v>1612</v>
      </c>
      <c r="D3587" s="565">
        <v>41820</v>
      </c>
      <c r="E3587" s="565">
        <v>41831</v>
      </c>
      <c r="F3587" s="566">
        <v>2145455</v>
      </c>
      <c r="G3587" s="564" t="s">
        <v>1623</v>
      </c>
      <c r="H3587" s="564" t="s">
        <v>1623</v>
      </c>
      <c r="I3587" s="564" t="s">
        <v>802</v>
      </c>
      <c r="J3587" s="564" t="s">
        <v>1069</v>
      </c>
      <c r="K3587" s="564" t="s">
        <v>1198</v>
      </c>
      <c r="L3587" s="564" t="s">
        <v>2098</v>
      </c>
      <c r="M3587" s="564" t="s">
        <v>2098</v>
      </c>
      <c r="N3587" s="564" t="s">
        <v>132</v>
      </c>
      <c r="O3587" s="564" t="s">
        <v>2099</v>
      </c>
      <c r="P3587" s="23"/>
      <c r="Q3587" s="23"/>
      <c r="R3587" s="23"/>
      <c r="S3587" s="23"/>
      <c r="T3587" s="23"/>
      <c r="U3587" s="23"/>
      <c r="V3587" s="23"/>
      <c r="W3587" s="23"/>
      <c r="X3587" s="23"/>
      <c r="Y3587" s="23"/>
      <c r="Z3587" s="23"/>
    </row>
    <row r="3588" spans="1:26" ht="13">
      <c r="A3588" s="562" t="s">
        <v>8044</v>
      </c>
      <c r="B3588" s="563" t="s">
        <v>8045</v>
      </c>
      <c r="C3588" s="564" t="s">
        <v>1612</v>
      </c>
      <c r="D3588" s="565">
        <v>41815</v>
      </c>
      <c r="E3588" s="565">
        <v>41820</v>
      </c>
      <c r="F3588" s="566">
        <v>3531605</v>
      </c>
      <c r="G3588" s="564" t="s">
        <v>337</v>
      </c>
      <c r="H3588" s="564" t="s">
        <v>337</v>
      </c>
      <c r="I3588" s="564" t="s">
        <v>45</v>
      </c>
      <c r="J3588" s="564" t="s">
        <v>1069</v>
      </c>
      <c r="K3588" s="564" t="s">
        <v>1090</v>
      </c>
      <c r="L3588" s="564" t="s">
        <v>2098</v>
      </c>
      <c r="M3588" s="564" t="s">
        <v>2098</v>
      </c>
      <c r="N3588" s="564" t="s">
        <v>45</v>
      </c>
      <c r="O3588" s="564" t="s">
        <v>2099</v>
      </c>
      <c r="P3588" s="23"/>
      <c r="Q3588" s="23"/>
      <c r="R3588" s="23"/>
      <c r="S3588" s="23"/>
      <c r="T3588" s="23"/>
      <c r="U3588" s="23"/>
      <c r="V3588" s="23"/>
      <c r="W3588" s="23"/>
      <c r="X3588" s="23"/>
      <c r="Y3588" s="23"/>
      <c r="Z3588" s="23"/>
    </row>
    <row r="3589" spans="1:26" ht="13">
      <c r="A3589" s="562" t="s">
        <v>8046</v>
      </c>
      <c r="B3589" s="563" t="s">
        <v>8047</v>
      </c>
      <c r="C3589" s="564" t="s">
        <v>1612</v>
      </c>
      <c r="D3589" s="565">
        <v>41820</v>
      </c>
      <c r="E3589" s="565">
        <v>41851</v>
      </c>
      <c r="F3589" s="566">
        <v>11181500</v>
      </c>
      <c r="G3589" s="564" t="s">
        <v>5465</v>
      </c>
      <c r="H3589" s="564" t="s">
        <v>5465</v>
      </c>
      <c r="I3589" s="564" t="s">
        <v>45</v>
      </c>
      <c r="J3589" s="564" t="s">
        <v>1069</v>
      </c>
      <c r="K3589" s="564" t="s">
        <v>1090</v>
      </c>
      <c r="L3589" s="564" t="s">
        <v>2098</v>
      </c>
      <c r="M3589" s="564" t="s">
        <v>2098</v>
      </c>
      <c r="N3589" s="564" t="s">
        <v>45</v>
      </c>
      <c r="O3589" s="564" t="s">
        <v>2099</v>
      </c>
      <c r="P3589" s="23"/>
      <c r="Q3589" s="23"/>
      <c r="R3589" s="23"/>
      <c r="S3589" s="23"/>
      <c r="T3589" s="23"/>
      <c r="U3589" s="23"/>
      <c r="V3589" s="23"/>
      <c r="W3589" s="23"/>
      <c r="X3589" s="23"/>
      <c r="Y3589" s="23"/>
      <c r="Z3589" s="23"/>
    </row>
    <row r="3590" spans="1:26" ht="13">
      <c r="A3590" s="562" t="s">
        <v>8048</v>
      </c>
      <c r="B3590" s="563" t="s">
        <v>8049</v>
      </c>
      <c r="C3590" s="564" t="s">
        <v>1612</v>
      </c>
      <c r="D3590" s="565">
        <v>41816</v>
      </c>
      <c r="E3590" s="565">
        <v>41831</v>
      </c>
      <c r="F3590" s="566">
        <v>7110</v>
      </c>
      <c r="G3590" s="564" t="s">
        <v>337</v>
      </c>
      <c r="H3590" s="564" t="s">
        <v>337</v>
      </c>
      <c r="I3590" s="564" t="s">
        <v>146</v>
      </c>
      <c r="J3590" s="564" t="s">
        <v>1069</v>
      </c>
      <c r="K3590" s="564" t="s">
        <v>1070</v>
      </c>
      <c r="L3590" s="564" t="s">
        <v>2098</v>
      </c>
      <c r="M3590" s="564" t="s">
        <v>2098</v>
      </c>
      <c r="N3590" s="564" t="s">
        <v>1073</v>
      </c>
      <c r="O3590" s="564" t="s">
        <v>2099</v>
      </c>
      <c r="P3590" s="23"/>
      <c r="Q3590" s="23"/>
      <c r="R3590" s="23"/>
      <c r="S3590" s="23"/>
      <c r="T3590" s="23"/>
      <c r="U3590" s="23"/>
      <c r="V3590" s="23"/>
      <c r="W3590" s="23"/>
      <c r="X3590" s="23"/>
      <c r="Y3590" s="23"/>
      <c r="Z3590" s="23"/>
    </row>
    <row r="3591" spans="1:26" ht="13">
      <c r="A3591" s="562" t="s">
        <v>8050</v>
      </c>
      <c r="B3591" s="563" t="s">
        <v>8051</v>
      </c>
      <c r="C3591" s="564" t="s">
        <v>1612</v>
      </c>
      <c r="D3591" s="565">
        <v>41817</v>
      </c>
      <c r="E3591" s="565">
        <v>41830</v>
      </c>
      <c r="F3591" s="566">
        <v>3000000</v>
      </c>
      <c r="G3591" s="564" t="s">
        <v>1123</v>
      </c>
      <c r="H3591" s="564" t="s">
        <v>1123</v>
      </c>
      <c r="I3591" s="564" t="s">
        <v>802</v>
      </c>
      <c r="J3591" s="564" t="s">
        <v>1069</v>
      </c>
      <c r="K3591" s="564" t="s">
        <v>1198</v>
      </c>
      <c r="L3591" s="564" t="s">
        <v>2098</v>
      </c>
      <c r="M3591" s="564" t="s">
        <v>2098</v>
      </c>
      <c r="N3591" s="564" t="s">
        <v>132</v>
      </c>
      <c r="O3591" s="564" t="s">
        <v>2099</v>
      </c>
      <c r="P3591" s="23"/>
      <c r="Q3591" s="23"/>
      <c r="R3591" s="23"/>
      <c r="S3591" s="23"/>
      <c r="T3591" s="23"/>
      <c r="U3591" s="23"/>
      <c r="V3591" s="23"/>
      <c r="W3591" s="23"/>
      <c r="X3591" s="23"/>
      <c r="Y3591" s="23"/>
      <c r="Z3591" s="23"/>
    </row>
    <row r="3592" spans="1:26" ht="13">
      <c r="A3592" s="562" t="s">
        <v>8052</v>
      </c>
      <c r="B3592" s="563" t="s">
        <v>8053</v>
      </c>
      <c r="C3592" s="564" t="s">
        <v>1612</v>
      </c>
      <c r="D3592" s="565">
        <v>41817</v>
      </c>
      <c r="E3592" s="565">
        <v>41882</v>
      </c>
      <c r="F3592" s="566">
        <v>322877000</v>
      </c>
      <c r="G3592" s="564" t="s">
        <v>1128</v>
      </c>
      <c r="H3592" s="564" t="s">
        <v>1128</v>
      </c>
      <c r="I3592" s="564" t="s">
        <v>45</v>
      </c>
      <c r="J3592" s="564" t="s">
        <v>1069</v>
      </c>
      <c r="K3592" s="564" t="s">
        <v>1090</v>
      </c>
      <c r="L3592" s="564" t="s">
        <v>2098</v>
      </c>
      <c r="M3592" s="564" t="s">
        <v>2098</v>
      </c>
      <c r="N3592" s="564" t="s">
        <v>45</v>
      </c>
      <c r="O3592" s="564" t="s">
        <v>2099</v>
      </c>
      <c r="P3592" s="23"/>
      <c r="Q3592" s="23"/>
      <c r="R3592" s="23"/>
      <c r="S3592" s="23"/>
      <c r="T3592" s="23"/>
      <c r="U3592" s="23"/>
      <c r="V3592" s="23"/>
      <c r="W3592" s="23"/>
      <c r="X3592" s="23"/>
      <c r="Y3592" s="23"/>
      <c r="Z3592" s="23"/>
    </row>
    <row r="3593" spans="1:26" ht="13">
      <c r="A3593" s="562" t="s">
        <v>8054</v>
      </c>
      <c r="B3593" s="563" t="s">
        <v>8055</v>
      </c>
      <c r="C3593" s="564" t="s">
        <v>1612</v>
      </c>
      <c r="D3593" s="565">
        <v>41815</v>
      </c>
      <c r="E3593" s="565">
        <v>41831</v>
      </c>
      <c r="F3593" s="566">
        <v>52251</v>
      </c>
      <c r="G3593" s="564" t="s">
        <v>337</v>
      </c>
      <c r="H3593" s="564" t="s">
        <v>337</v>
      </c>
      <c r="I3593" s="564" t="s">
        <v>146</v>
      </c>
      <c r="J3593" s="564" t="s">
        <v>1069</v>
      </c>
      <c r="K3593" s="564" t="s">
        <v>1070</v>
      </c>
      <c r="L3593" s="564" t="s">
        <v>2098</v>
      </c>
      <c r="M3593" s="564" t="s">
        <v>2098</v>
      </c>
      <c r="N3593" s="564" t="s">
        <v>1073</v>
      </c>
      <c r="O3593" s="564" t="s">
        <v>2099</v>
      </c>
      <c r="P3593" s="23"/>
      <c r="Q3593" s="23"/>
      <c r="R3593" s="23"/>
      <c r="S3593" s="23"/>
      <c r="T3593" s="23"/>
      <c r="U3593" s="23"/>
      <c r="V3593" s="23"/>
      <c r="W3593" s="23"/>
      <c r="X3593" s="23"/>
      <c r="Y3593" s="23"/>
      <c r="Z3593" s="23"/>
    </row>
    <row r="3594" spans="1:26" ht="13">
      <c r="A3594" s="562" t="s">
        <v>8056</v>
      </c>
      <c r="B3594" s="563" t="s">
        <v>8057</v>
      </c>
      <c r="C3594" s="564" t="s">
        <v>1612</v>
      </c>
      <c r="D3594" s="565">
        <v>41815</v>
      </c>
      <c r="E3594" s="565">
        <v>41821</v>
      </c>
      <c r="F3594" s="566">
        <v>73298</v>
      </c>
      <c r="G3594" s="564" t="s">
        <v>337</v>
      </c>
      <c r="H3594" s="564" t="s">
        <v>337</v>
      </c>
      <c r="I3594" s="564" t="s">
        <v>146</v>
      </c>
      <c r="J3594" s="564" t="s">
        <v>1069</v>
      </c>
      <c r="K3594" s="564" t="s">
        <v>1070</v>
      </c>
      <c r="L3594" s="564" t="s">
        <v>2098</v>
      </c>
      <c r="M3594" s="564" t="s">
        <v>2098</v>
      </c>
      <c r="N3594" s="564" t="s">
        <v>1073</v>
      </c>
      <c r="O3594" s="564" t="s">
        <v>2099</v>
      </c>
      <c r="P3594" s="23"/>
      <c r="Q3594" s="23"/>
      <c r="R3594" s="23"/>
      <c r="S3594" s="23"/>
      <c r="T3594" s="23"/>
      <c r="U3594" s="23"/>
      <c r="V3594" s="23"/>
      <c r="W3594" s="23"/>
      <c r="X3594" s="23"/>
      <c r="Y3594" s="23"/>
      <c r="Z3594" s="23"/>
    </row>
    <row r="3595" spans="1:26" ht="13">
      <c r="A3595" s="562" t="s">
        <v>8058</v>
      </c>
      <c r="B3595" s="563" t="s">
        <v>8059</v>
      </c>
      <c r="C3595" s="564" t="s">
        <v>1612</v>
      </c>
      <c r="D3595" s="565">
        <v>41814</v>
      </c>
      <c r="E3595" s="565">
        <v>41838</v>
      </c>
      <c r="F3595" s="566">
        <v>5250</v>
      </c>
      <c r="G3595" s="564" t="s">
        <v>297</v>
      </c>
      <c r="H3595" s="564" t="s">
        <v>297</v>
      </c>
      <c r="I3595" s="564" t="s">
        <v>1837</v>
      </c>
      <c r="J3595" s="564" t="s">
        <v>1069</v>
      </c>
      <c r="K3595" s="564" t="s">
        <v>1070</v>
      </c>
      <c r="L3595" s="564" t="s">
        <v>2098</v>
      </c>
      <c r="M3595" s="564" t="s">
        <v>2098</v>
      </c>
      <c r="N3595" s="564" t="s">
        <v>1082</v>
      </c>
      <c r="O3595" s="564" t="s">
        <v>2099</v>
      </c>
      <c r="P3595" s="23"/>
      <c r="Q3595" s="23"/>
      <c r="R3595" s="23"/>
      <c r="S3595" s="23"/>
      <c r="T3595" s="23"/>
      <c r="U3595" s="23"/>
      <c r="V3595" s="23"/>
      <c r="W3595" s="23"/>
      <c r="X3595" s="23"/>
      <c r="Y3595" s="23"/>
      <c r="Z3595" s="23"/>
    </row>
    <row r="3596" spans="1:26" ht="13">
      <c r="A3596" s="562" t="s">
        <v>8060</v>
      </c>
      <c r="B3596" s="563" t="s">
        <v>8061</v>
      </c>
      <c r="C3596" s="564" t="s">
        <v>1612</v>
      </c>
      <c r="D3596" s="565">
        <v>41814</v>
      </c>
      <c r="E3596" s="565">
        <v>41844</v>
      </c>
      <c r="F3596" s="566">
        <v>4100</v>
      </c>
      <c r="G3596" s="564" t="s">
        <v>1424</v>
      </c>
      <c r="H3596" s="564" t="s">
        <v>1424</v>
      </c>
      <c r="I3596" s="564" t="s">
        <v>1247</v>
      </c>
      <c r="J3596" s="564" t="s">
        <v>1069</v>
      </c>
      <c r="K3596" s="564" t="s">
        <v>1070</v>
      </c>
      <c r="L3596" s="564" t="s">
        <v>2098</v>
      </c>
      <c r="M3596" s="564" t="s">
        <v>2098</v>
      </c>
      <c r="N3596" s="564" t="s">
        <v>1073</v>
      </c>
      <c r="O3596" s="564" t="s">
        <v>2099</v>
      </c>
      <c r="P3596" s="23"/>
      <c r="Q3596" s="23"/>
      <c r="R3596" s="23"/>
      <c r="S3596" s="23"/>
      <c r="T3596" s="23"/>
      <c r="U3596" s="23"/>
      <c r="V3596" s="23"/>
      <c r="W3596" s="23"/>
      <c r="X3596" s="23"/>
      <c r="Y3596" s="23"/>
      <c r="Z3596" s="23"/>
    </row>
    <row r="3597" spans="1:26" ht="13">
      <c r="A3597" s="562" t="s">
        <v>8062</v>
      </c>
      <c r="B3597" s="563" t="s">
        <v>8063</v>
      </c>
      <c r="C3597" s="564" t="s">
        <v>1612</v>
      </c>
      <c r="D3597" s="565">
        <v>41814</v>
      </c>
      <c r="E3597" s="565">
        <v>41845</v>
      </c>
      <c r="F3597" s="566">
        <v>458275840</v>
      </c>
      <c r="G3597" s="564" t="s">
        <v>1123</v>
      </c>
      <c r="H3597" s="564" t="s">
        <v>1123</v>
      </c>
      <c r="I3597" s="564" t="s">
        <v>1781</v>
      </c>
      <c r="J3597" s="564" t="s">
        <v>1069</v>
      </c>
      <c r="K3597" s="564" t="s">
        <v>1070</v>
      </c>
      <c r="L3597" s="564" t="s">
        <v>2098</v>
      </c>
      <c r="M3597" s="564" t="s">
        <v>2098</v>
      </c>
      <c r="N3597" s="564" t="s">
        <v>1073</v>
      </c>
      <c r="O3597" s="564" t="s">
        <v>2099</v>
      </c>
      <c r="P3597" s="23"/>
      <c r="Q3597" s="23"/>
      <c r="R3597" s="23"/>
      <c r="S3597" s="23"/>
      <c r="T3597" s="23"/>
      <c r="U3597" s="23"/>
      <c r="V3597" s="23"/>
      <c r="W3597" s="23"/>
      <c r="X3597" s="23"/>
      <c r="Y3597" s="23"/>
      <c r="Z3597" s="23"/>
    </row>
    <row r="3598" spans="1:26" ht="13">
      <c r="A3598" s="562" t="s">
        <v>8064</v>
      </c>
      <c r="B3598" s="563" t="s">
        <v>6176</v>
      </c>
      <c r="C3598" s="564" t="s">
        <v>1612</v>
      </c>
      <c r="D3598" s="565">
        <v>41813</v>
      </c>
      <c r="E3598" s="565">
        <v>41820</v>
      </c>
      <c r="F3598" s="566">
        <v>7585800</v>
      </c>
      <c r="G3598" s="564" t="s">
        <v>337</v>
      </c>
      <c r="H3598" s="564" t="s">
        <v>337</v>
      </c>
      <c r="I3598" s="564" t="s">
        <v>45</v>
      </c>
      <c r="J3598" s="564" t="s">
        <v>1069</v>
      </c>
      <c r="K3598" s="564" t="s">
        <v>1090</v>
      </c>
      <c r="L3598" s="564" t="s">
        <v>2098</v>
      </c>
      <c r="M3598" s="564" t="s">
        <v>2098</v>
      </c>
      <c r="N3598" s="564" t="s">
        <v>45</v>
      </c>
      <c r="O3598" s="564" t="s">
        <v>2099</v>
      </c>
      <c r="P3598" s="23"/>
      <c r="Q3598" s="23"/>
      <c r="R3598" s="23"/>
      <c r="S3598" s="23"/>
      <c r="T3598" s="23"/>
      <c r="U3598" s="23"/>
      <c r="V3598" s="23"/>
      <c r="W3598" s="23"/>
      <c r="X3598" s="23"/>
      <c r="Y3598" s="23"/>
      <c r="Z3598" s="23"/>
    </row>
    <row r="3599" spans="1:26" ht="13">
      <c r="A3599" s="562" t="s">
        <v>8065</v>
      </c>
      <c r="B3599" s="563" t="s">
        <v>8066</v>
      </c>
      <c r="C3599" s="564" t="s">
        <v>1612</v>
      </c>
      <c r="D3599" s="565">
        <v>41810</v>
      </c>
      <c r="E3599" s="565">
        <v>41838</v>
      </c>
      <c r="F3599" s="566">
        <v>4727273</v>
      </c>
      <c r="G3599" s="564" t="s">
        <v>1424</v>
      </c>
      <c r="H3599" s="564" t="s">
        <v>1424</v>
      </c>
      <c r="I3599" s="564" t="s">
        <v>802</v>
      </c>
      <c r="J3599" s="564" t="s">
        <v>1069</v>
      </c>
      <c r="K3599" s="564" t="s">
        <v>1198</v>
      </c>
      <c r="L3599" s="564" t="s">
        <v>2098</v>
      </c>
      <c r="M3599" s="564" t="s">
        <v>2098</v>
      </c>
      <c r="N3599" s="564" t="s">
        <v>132</v>
      </c>
      <c r="O3599" s="564" t="s">
        <v>2099</v>
      </c>
      <c r="P3599" s="23"/>
      <c r="Q3599" s="23"/>
      <c r="R3599" s="23"/>
      <c r="S3599" s="23"/>
      <c r="T3599" s="23"/>
      <c r="U3599" s="23"/>
      <c r="V3599" s="23"/>
      <c r="W3599" s="23"/>
      <c r="X3599" s="23"/>
      <c r="Y3599" s="23"/>
      <c r="Z3599" s="23"/>
    </row>
    <row r="3600" spans="1:26" ht="13">
      <c r="A3600" s="562" t="s">
        <v>8067</v>
      </c>
      <c r="B3600" s="563" t="s">
        <v>5765</v>
      </c>
      <c r="C3600" s="564" t="s">
        <v>1612</v>
      </c>
      <c r="D3600" s="565">
        <v>41809</v>
      </c>
      <c r="E3600" s="565">
        <v>41837</v>
      </c>
      <c r="F3600" s="566">
        <v>7986</v>
      </c>
      <c r="G3600" s="564" t="s">
        <v>1424</v>
      </c>
      <c r="H3600" s="564" t="s">
        <v>1424</v>
      </c>
      <c r="I3600" s="564" t="s">
        <v>70</v>
      </c>
      <c r="J3600" s="564" t="s">
        <v>1069</v>
      </c>
      <c r="K3600" s="564" t="s">
        <v>1120</v>
      </c>
      <c r="L3600" s="564" t="s">
        <v>2098</v>
      </c>
      <c r="M3600" s="564" t="s">
        <v>2098</v>
      </c>
      <c r="N3600" s="564" t="s">
        <v>70</v>
      </c>
      <c r="O3600" s="564" t="s">
        <v>2099</v>
      </c>
      <c r="P3600" s="23"/>
      <c r="Q3600" s="23"/>
      <c r="R3600" s="23"/>
      <c r="S3600" s="23"/>
      <c r="T3600" s="23"/>
      <c r="U3600" s="23"/>
      <c r="V3600" s="23"/>
      <c r="W3600" s="23"/>
      <c r="X3600" s="23"/>
      <c r="Y3600" s="23"/>
      <c r="Z3600" s="23"/>
    </row>
    <row r="3601" spans="1:26" ht="13">
      <c r="A3601" s="562" t="s">
        <v>8068</v>
      </c>
      <c r="B3601" s="563" t="s">
        <v>8069</v>
      </c>
      <c r="C3601" s="564" t="s">
        <v>1612</v>
      </c>
      <c r="D3601" s="565">
        <v>41809</v>
      </c>
      <c r="E3601" s="565">
        <v>41817</v>
      </c>
      <c r="F3601" s="566">
        <v>18500000</v>
      </c>
      <c r="G3601" s="564" t="s">
        <v>1157</v>
      </c>
      <c r="H3601" s="564" t="s">
        <v>1157</v>
      </c>
      <c r="I3601" s="564" t="s">
        <v>146</v>
      </c>
      <c r="J3601" s="564" t="s">
        <v>1069</v>
      </c>
      <c r="K3601" s="564" t="s">
        <v>1070</v>
      </c>
      <c r="L3601" s="564" t="s">
        <v>2098</v>
      </c>
      <c r="M3601" s="564" t="s">
        <v>2098</v>
      </c>
      <c r="N3601" s="564" t="s">
        <v>1073</v>
      </c>
      <c r="O3601" s="564" t="s">
        <v>2099</v>
      </c>
      <c r="P3601" s="23"/>
      <c r="Q3601" s="23"/>
      <c r="R3601" s="23"/>
      <c r="S3601" s="23"/>
      <c r="T3601" s="23"/>
      <c r="U3601" s="23"/>
      <c r="V3601" s="23"/>
      <c r="W3601" s="23"/>
      <c r="X3601" s="23"/>
      <c r="Y3601" s="23"/>
      <c r="Z3601" s="23"/>
    </row>
    <row r="3602" spans="1:26" ht="13">
      <c r="A3602" s="562" t="s">
        <v>8070</v>
      </c>
      <c r="B3602" s="563" t="s">
        <v>8071</v>
      </c>
      <c r="C3602" s="564" t="s">
        <v>1612</v>
      </c>
      <c r="D3602" s="565">
        <v>41809</v>
      </c>
      <c r="E3602" s="565">
        <v>41805</v>
      </c>
      <c r="F3602" s="566">
        <v>101600</v>
      </c>
      <c r="G3602" s="564" t="s">
        <v>1187</v>
      </c>
      <c r="H3602" s="564" t="s">
        <v>1187</v>
      </c>
      <c r="I3602" s="564" t="s">
        <v>70</v>
      </c>
      <c r="J3602" s="564" t="s">
        <v>1069</v>
      </c>
      <c r="K3602" s="564" t="s">
        <v>1120</v>
      </c>
      <c r="L3602" s="564" t="s">
        <v>2098</v>
      </c>
      <c r="M3602" s="564" t="s">
        <v>2098</v>
      </c>
      <c r="N3602" s="564" t="s">
        <v>70</v>
      </c>
      <c r="O3602" s="564" t="s">
        <v>2099</v>
      </c>
      <c r="P3602" s="23"/>
      <c r="Q3602" s="23"/>
      <c r="R3602" s="23"/>
      <c r="S3602" s="23"/>
      <c r="T3602" s="23"/>
      <c r="U3602" s="23"/>
      <c r="V3602" s="23"/>
      <c r="W3602" s="23"/>
      <c r="X3602" s="23"/>
      <c r="Y3602" s="23"/>
      <c r="Z3602" s="23"/>
    </row>
    <row r="3603" spans="1:26" ht="13">
      <c r="A3603" s="562" t="s">
        <v>8072</v>
      </c>
      <c r="B3603" s="563" t="s">
        <v>5537</v>
      </c>
      <c r="C3603" s="564" t="s">
        <v>1612</v>
      </c>
      <c r="D3603" s="565">
        <v>41808</v>
      </c>
      <c r="E3603" s="565">
        <v>41836</v>
      </c>
      <c r="F3603" s="567">
        <v>690</v>
      </c>
      <c r="G3603" s="564" t="s">
        <v>1424</v>
      </c>
      <c r="H3603" s="564" t="s">
        <v>1424</v>
      </c>
      <c r="I3603" s="564" t="s">
        <v>70</v>
      </c>
      <c r="J3603" s="564" t="s">
        <v>1069</v>
      </c>
      <c r="K3603" s="564" t="s">
        <v>1120</v>
      </c>
      <c r="L3603" s="564" t="s">
        <v>2098</v>
      </c>
      <c r="M3603" s="564" t="s">
        <v>2098</v>
      </c>
      <c r="N3603" s="564" t="s">
        <v>70</v>
      </c>
      <c r="O3603" s="564" t="s">
        <v>2099</v>
      </c>
      <c r="P3603" s="23"/>
      <c r="Q3603" s="23"/>
      <c r="R3603" s="23"/>
      <c r="S3603" s="23"/>
      <c r="T3603" s="23"/>
      <c r="U3603" s="23"/>
      <c r="V3603" s="23"/>
      <c r="W3603" s="23"/>
      <c r="X3603" s="23"/>
      <c r="Y3603" s="23"/>
      <c r="Z3603" s="23"/>
    </row>
    <row r="3604" spans="1:26" ht="13">
      <c r="A3604" s="562" t="s">
        <v>8073</v>
      </c>
      <c r="B3604" s="563" t="s">
        <v>8074</v>
      </c>
      <c r="C3604" s="564" t="s">
        <v>1612</v>
      </c>
      <c r="D3604" s="565">
        <v>41806</v>
      </c>
      <c r="E3604" s="565">
        <v>41838</v>
      </c>
      <c r="F3604" s="566">
        <v>1008000</v>
      </c>
      <c r="G3604" s="564" t="s">
        <v>1424</v>
      </c>
      <c r="H3604" s="564" t="s">
        <v>1424</v>
      </c>
      <c r="I3604" s="564" t="s">
        <v>1230</v>
      </c>
      <c r="J3604" s="564" t="s">
        <v>1069</v>
      </c>
      <c r="K3604" s="564" t="s">
        <v>1090</v>
      </c>
      <c r="L3604" s="564" t="s">
        <v>2098</v>
      </c>
      <c r="M3604" s="564" t="s">
        <v>2098</v>
      </c>
      <c r="N3604" s="564" t="s">
        <v>1073</v>
      </c>
      <c r="O3604" s="564" t="s">
        <v>2099</v>
      </c>
      <c r="P3604" s="23"/>
      <c r="Q3604" s="23"/>
      <c r="R3604" s="23"/>
      <c r="S3604" s="23"/>
      <c r="T3604" s="23"/>
      <c r="U3604" s="23"/>
      <c r="V3604" s="23"/>
      <c r="W3604" s="23"/>
      <c r="X3604" s="23"/>
      <c r="Y3604" s="23"/>
      <c r="Z3604" s="23"/>
    </row>
    <row r="3605" spans="1:26" ht="13">
      <c r="A3605" s="562" t="s">
        <v>8075</v>
      </c>
      <c r="B3605" s="563" t="s">
        <v>8076</v>
      </c>
      <c r="C3605" s="564" t="s">
        <v>1612</v>
      </c>
      <c r="D3605" s="565">
        <v>41803</v>
      </c>
      <c r="E3605" s="565">
        <v>41820</v>
      </c>
      <c r="F3605" s="566">
        <v>19318000</v>
      </c>
      <c r="G3605" s="564" t="s">
        <v>5465</v>
      </c>
      <c r="H3605" s="564" t="s">
        <v>5465</v>
      </c>
      <c r="I3605" s="564" t="s">
        <v>45</v>
      </c>
      <c r="J3605" s="564" t="s">
        <v>1069</v>
      </c>
      <c r="K3605" s="564" t="s">
        <v>1090</v>
      </c>
      <c r="L3605" s="564" t="s">
        <v>2098</v>
      </c>
      <c r="M3605" s="564" t="s">
        <v>2098</v>
      </c>
      <c r="N3605" s="564" t="s">
        <v>45</v>
      </c>
      <c r="O3605" s="564" t="s">
        <v>2099</v>
      </c>
      <c r="P3605" s="23"/>
      <c r="Q3605" s="23"/>
      <c r="R3605" s="23"/>
      <c r="S3605" s="23"/>
      <c r="T3605" s="23"/>
      <c r="U3605" s="23"/>
      <c r="V3605" s="23"/>
      <c r="W3605" s="23"/>
      <c r="X3605" s="23"/>
      <c r="Y3605" s="23"/>
      <c r="Z3605" s="23"/>
    </row>
    <row r="3606" spans="1:26" ht="13">
      <c r="A3606" s="562" t="s">
        <v>8077</v>
      </c>
      <c r="B3606" s="563" t="s">
        <v>8078</v>
      </c>
      <c r="C3606" s="564" t="s">
        <v>1612</v>
      </c>
      <c r="D3606" s="565">
        <v>41802</v>
      </c>
      <c r="E3606" s="565">
        <v>41791</v>
      </c>
      <c r="F3606" s="566">
        <v>129290040</v>
      </c>
      <c r="G3606" s="564" t="s">
        <v>337</v>
      </c>
      <c r="H3606" s="564" t="s">
        <v>337</v>
      </c>
      <c r="I3606" s="564" t="s">
        <v>45</v>
      </c>
      <c r="J3606" s="564" t="s">
        <v>1069</v>
      </c>
      <c r="K3606" s="564" t="s">
        <v>1090</v>
      </c>
      <c r="L3606" s="564" t="s">
        <v>1071</v>
      </c>
      <c r="M3606" s="564" t="s">
        <v>1183</v>
      </c>
      <c r="N3606" s="564" t="s">
        <v>45</v>
      </c>
      <c r="O3606" s="564" t="s">
        <v>2099</v>
      </c>
      <c r="P3606" s="23"/>
      <c r="Q3606" s="23"/>
      <c r="R3606" s="23"/>
      <c r="S3606" s="23"/>
      <c r="T3606" s="23"/>
      <c r="U3606" s="23"/>
      <c r="V3606" s="23"/>
      <c r="W3606" s="23"/>
      <c r="X3606" s="23"/>
      <c r="Y3606" s="23"/>
      <c r="Z3606" s="23"/>
    </row>
    <row r="3607" spans="1:26" ht="13">
      <c r="A3607" s="562" t="s">
        <v>8079</v>
      </c>
      <c r="B3607" s="563" t="s">
        <v>7884</v>
      </c>
      <c r="C3607" s="564" t="s">
        <v>1612</v>
      </c>
      <c r="D3607" s="565">
        <v>41802</v>
      </c>
      <c r="E3607" s="565">
        <v>41814</v>
      </c>
      <c r="F3607" s="566">
        <v>7308</v>
      </c>
      <c r="G3607" s="564" t="s">
        <v>337</v>
      </c>
      <c r="H3607" s="564" t="s">
        <v>337</v>
      </c>
      <c r="I3607" s="564" t="s">
        <v>1837</v>
      </c>
      <c r="J3607" s="564" t="s">
        <v>1069</v>
      </c>
      <c r="K3607" s="564" t="s">
        <v>1090</v>
      </c>
      <c r="L3607" s="564" t="s">
        <v>2098</v>
      </c>
      <c r="M3607" s="564" t="s">
        <v>2098</v>
      </c>
      <c r="N3607" s="564" t="s">
        <v>1082</v>
      </c>
      <c r="O3607" s="564" t="s">
        <v>2099</v>
      </c>
      <c r="P3607" s="23"/>
      <c r="Q3607" s="23"/>
      <c r="R3607" s="23"/>
      <c r="S3607" s="23"/>
      <c r="T3607" s="23"/>
      <c r="U3607" s="23"/>
      <c r="V3607" s="23"/>
      <c r="W3607" s="23"/>
      <c r="X3607" s="23"/>
      <c r="Y3607" s="23"/>
      <c r="Z3607" s="23"/>
    </row>
    <row r="3608" spans="1:26" ht="13">
      <c r="A3608" s="562" t="s">
        <v>8080</v>
      </c>
      <c r="B3608" s="563" t="s">
        <v>7884</v>
      </c>
      <c r="C3608" s="564" t="s">
        <v>1612</v>
      </c>
      <c r="D3608" s="565">
        <v>41795</v>
      </c>
      <c r="E3608" s="565">
        <v>41810</v>
      </c>
      <c r="F3608" s="566">
        <v>11480</v>
      </c>
      <c r="G3608" s="564" t="s">
        <v>337</v>
      </c>
      <c r="H3608" s="564" t="s">
        <v>337</v>
      </c>
      <c r="I3608" s="564" t="s">
        <v>1837</v>
      </c>
      <c r="J3608" s="564" t="s">
        <v>1069</v>
      </c>
      <c r="K3608" s="564" t="s">
        <v>1090</v>
      </c>
      <c r="L3608" s="564" t="s">
        <v>2098</v>
      </c>
      <c r="M3608" s="564" t="s">
        <v>2098</v>
      </c>
      <c r="N3608" s="564" t="s">
        <v>1082</v>
      </c>
      <c r="O3608" s="564" t="s">
        <v>2099</v>
      </c>
      <c r="P3608" s="23"/>
      <c r="Q3608" s="23"/>
      <c r="R3608" s="23"/>
      <c r="S3608" s="23"/>
      <c r="T3608" s="23"/>
      <c r="U3608" s="23"/>
      <c r="V3608" s="23"/>
      <c r="W3608" s="23"/>
      <c r="X3608" s="23"/>
      <c r="Y3608" s="23"/>
      <c r="Z3608" s="23"/>
    </row>
    <row r="3609" spans="1:26" ht="13">
      <c r="A3609" s="562" t="s">
        <v>8081</v>
      </c>
      <c r="B3609" s="563" t="s">
        <v>8082</v>
      </c>
      <c r="C3609" s="564" t="s">
        <v>1612</v>
      </c>
      <c r="D3609" s="565">
        <v>41795</v>
      </c>
      <c r="E3609" s="565">
        <v>41820</v>
      </c>
      <c r="F3609" s="566">
        <v>7959600</v>
      </c>
      <c r="G3609" s="564" t="s">
        <v>337</v>
      </c>
      <c r="H3609" s="564" t="s">
        <v>337</v>
      </c>
      <c r="I3609" s="564" t="s">
        <v>45</v>
      </c>
      <c r="J3609" s="564" t="s">
        <v>1069</v>
      </c>
      <c r="K3609" s="564" t="s">
        <v>1090</v>
      </c>
      <c r="L3609" s="564" t="s">
        <v>1071</v>
      </c>
      <c r="M3609" s="564" t="s">
        <v>1183</v>
      </c>
      <c r="N3609" s="564" t="s">
        <v>45</v>
      </c>
      <c r="O3609" s="564" t="s">
        <v>2099</v>
      </c>
      <c r="P3609" s="23"/>
      <c r="Q3609" s="23"/>
      <c r="R3609" s="23"/>
      <c r="S3609" s="23"/>
      <c r="T3609" s="23"/>
      <c r="U3609" s="23"/>
      <c r="V3609" s="23"/>
      <c r="W3609" s="23"/>
      <c r="X3609" s="23"/>
      <c r="Y3609" s="23"/>
      <c r="Z3609" s="23"/>
    </row>
    <row r="3610" spans="1:26" ht="13">
      <c r="A3610" s="562" t="s">
        <v>8083</v>
      </c>
      <c r="B3610" s="563" t="s">
        <v>8084</v>
      </c>
      <c r="C3610" s="564" t="s">
        <v>6860</v>
      </c>
      <c r="D3610" s="565">
        <v>41792</v>
      </c>
      <c r="E3610" s="565">
        <v>41820</v>
      </c>
      <c r="F3610" s="566">
        <v>236000</v>
      </c>
      <c r="G3610" s="564" t="s">
        <v>1116</v>
      </c>
      <c r="H3610" s="564" t="s">
        <v>1116</v>
      </c>
      <c r="I3610" s="564" t="s">
        <v>7231</v>
      </c>
      <c r="J3610" s="564" t="s">
        <v>1069</v>
      </c>
      <c r="K3610" s="564" t="s">
        <v>1070</v>
      </c>
      <c r="L3610" s="564" t="s">
        <v>2098</v>
      </c>
      <c r="M3610" s="564" t="s">
        <v>2098</v>
      </c>
      <c r="N3610" s="564" t="s">
        <v>1082</v>
      </c>
      <c r="O3610" s="564" t="s">
        <v>2099</v>
      </c>
      <c r="P3610" s="23"/>
      <c r="Q3610" s="23"/>
      <c r="R3610" s="23"/>
      <c r="S3610" s="23"/>
      <c r="T3610" s="23"/>
      <c r="U3610" s="23"/>
      <c r="V3610" s="23"/>
      <c r="W3610" s="23"/>
      <c r="X3610" s="23"/>
      <c r="Y3610" s="23"/>
      <c r="Z3610" s="23"/>
    </row>
    <row r="3611" spans="1:26" ht="13">
      <c r="A3611" s="562" t="s">
        <v>8085</v>
      </c>
      <c r="B3611" s="563" t="s">
        <v>8086</v>
      </c>
      <c r="C3611" s="564" t="s">
        <v>1612</v>
      </c>
      <c r="D3611" s="565">
        <v>41799</v>
      </c>
      <c r="E3611" s="565">
        <v>41943</v>
      </c>
      <c r="F3611" s="566">
        <v>272690000</v>
      </c>
      <c r="G3611" s="564" t="s">
        <v>1157</v>
      </c>
      <c r="H3611" s="564" t="s">
        <v>1157</v>
      </c>
      <c r="I3611" s="564" t="s">
        <v>70</v>
      </c>
      <c r="J3611" s="564" t="s">
        <v>1069</v>
      </c>
      <c r="K3611" s="564" t="s">
        <v>1120</v>
      </c>
      <c r="L3611" s="564" t="s">
        <v>2098</v>
      </c>
      <c r="M3611" s="564" t="s">
        <v>2098</v>
      </c>
      <c r="N3611" s="564" t="s">
        <v>70</v>
      </c>
      <c r="O3611" s="564" t="s">
        <v>2099</v>
      </c>
      <c r="P3611" s="23"/>
      <c r="Q3611" s="23"/>
      <c r="R3611" s="23"/>
      <c r="S3611" s="23"/>
      <c r="T3611" s="23"/>
      <c r="U3611" s="23"/>
      <c r="V3611" s="23"/>
      <c r="W3611" s="23"/>
      <c r="X3611" s="23"/>
      <c r="Y3611" s="23"/>
      <c r="Z3611" s="23"/>
    </row>
    <row r="3612" spans="1:26" ht="13">
      <c r="A3612" s="562" t="s">
        <v>8087</v>
      </c>
      <c r="B3612" s="563" t="s">
        <v>7458</v>
      </c>
      <c r="C3612" s="564" t="s">
        <v>1612</v>
      </c>
      <c r="D3612" s="565">
        <v>41799</v>
      </c>
      <c r="E3612" s="565">
        <v>41820</v>
      </c>
      <c r="F3612" s="566">
        <v>1170</v>
      </c>
      <c r="G3612" s="564" t="s">
        <v>1424</v>
      </c>
      <c r="H3612" s="564" t="s">
        <v>1424</v>
      </c>
      <c r="I3612" s="564" t="s">
        <v>70</v>
      </c>
      <c r="J3612" s="564" t="s">
        <v>1069</v>
      </c>
      <c r="K3612" s="564" t="s">
        <v>1120</v>
      </c>
      <c r="L3612" s="564" t="s">
        <v>2098</v>
      </c>
      <c r="M3612" s="564" t="s">
        <v>2098</v>
      </c>
      <c r="N3612" s="564" t="s">
        <v>70</v>
      </c>
      <c r="O3612" s="564" t="s">
        <v>2099</v>
      </c>
      <c r="P3612" s="23"/>
      <c r="Q3612" s="23"/>
      <c r="R3612" s="23"/>
      <c r="S3612" s="23"/>
      <c r="T3612" s="23"/>
      <c r="U3612" s="23"/>
      <c r="V3612" s="23"/>
      <c r="W3612" s="23"/>
      <c r="X3612" s="23"/>
      <c r="Y3612" s="23"/>
      <c r="Z3612" s="23"/>
    </row>
    <row r="3613" spans="1:26" ht="13">
      <c r="A3613" s="562" t="s">
        <v>8088</v>
      </c>
      <c r="B3613" s="563" t="s">
        <v>8024</v>
      </c>
      <c r="C3613" s="564" t="s">
        <v>1612</v>
      </c>
      <c r="D3613" s="565">
        <v>41793</v>
      </c>
      <c r="E3613" s="565">
        <v>41817</v>
      </c>
      <c r="F3613" s="566">
        <v>6350</v>
      </c>
      <c r="G3613" s="564" t="s">
        <v>1424</v>
      </c>
      <c r="H3613" s="564" t="s">
        <v>1424</v>
      </c>
      <c r="I3613" s="564" t="s">
        <v>64</v>
      </c>
      <c r="J3613" s="564" t="s">
        <v>1069</v>
      </c>
      <c r="K3613" s="564" t="s">
        <v>1090</v>
      </c>
      <c r="L3613" s="564" t="s">
        <v>2098</v>
      </c>
      <c r="M3613" s="564" t="s">
        <v>2098</v>
      </c>
      <c r="N3613" s="564" t="s">
        <v>64</v>
      </c>
      <c r="O3613" s="564" t="s">
        <v>2099</v>
      </c>
      <c r="P3613" s="23"/>
      <c r="Q3613" s="23"/>
      <c r="R3613" s="23"/>
      <c r="S3613" s="23"/>
      <c r="T3613" s="23"/>
      <c r="U3613" s="23"/>
      <c r="V3613" s="23"/>
      <c r="W3613" s="23"/>
      <c r="X3613" s="23"/>
      <c r="Y3613" s="23"/>
      <c r="Z3613" s="23"/>
    </row>
    <row r="3614" spans="1:26" ht="13">
      <c r="A3614" s="562" t="s">
        <v>8089</v>
      </c>
      <c r="B3614" s="563" t="s">
        <v>8090</v>
      </c>
      <c r="C3614" s="564" t="s">
        <v>1612</v>
      </c>
      <c r="D3614" s="565">
        <v>41793</v>
      </c>
      <c r="E3614" s="565">
        <v>41817</v>
      </c>
      <c r="F3614" s="566">
        <v>2549000</v>
      </c>
      <c r="G3614" s="564" t="s">
        <v>1424</v>
      </c>
      <c r="H3614" s="564" t="s">
        <v>1424</v>
      </c>
      <c r="I3614" s="564" t="s">
        <v>64</v>
      </c>
      <c r="J3614" s="564" t="s">
        <v>1069</v>
      </c>
      <c r="K3614" s="564" t="s">
        <v>1090</v>
      </c>
      <c r="L3614" s="564" t="s">
        <v>2098</v>
      </c>
      <c r="M3614" s="564" t="s">
        <v>2098</v>
      </c>
      <c r="N3614" s="564" t="s">
        <v>64</v>
      </c>
      <c r="O3614" s="564" t="s">
        <v>2099</v>
      </c>
      <c r="P3614" s="23"/>
      <c r="Q3614" s="23"/>
      <c r="R3614" s="23"/>
      <c r="S3614" s="23"/>
      <c r="T3614" s="23"/>
      <c r="U3614" s="23"/>
      <c r="V3614" s="23"/>
      <c r="W3614" s="23"/>
      <c r="X3614" s="23"/>
      <c r="Y3614" s="23"/>
      <c r="Z3614" s="23"/>
    </row>
    <row r="3615" spans="1:26" ht="13">
      <c r="A3615" s="562" t="s">
        <v>8091</v>
      </c>
      <c r="B3615" s="563" t="s">
        <v>8092</v>
      </c>
      <c r="C3615" s="564" t="s">
        <v>1612</v>
      </c>
      <c r="D3615" s="565">
        <v>41792</v>
      </c>
      <c r="E3615" s="565">
        <v>41802</v>
      </c>
      <c r="F3615" s="566">
        <v>18552</v>
      </c>
      <c r="G3615" s="564" t="s">
        <v>1424</v>
      </c>
      <c r="H3615" s="564" t="s">
        <v>1424</v>
      </c>
      <c r="I3615" s="564" t="s">
        <v>70</v>
      </c>
      <c r="J3615" s="564" t="s">
        <v>1069</v>
      </c>
      <c r="K3615" s="564" t="s">
        <v>1120</v>
      </c>
      <c r="L3615" s="564" t="s">
        <v>2098</v>
      </c>
      <c r="M3615" s="564" t="s">
        <v>2098</v>
      </c>
      <c r="N3615" s="564" t="s">
        <v>70</v>
      </c>
      <c r="O3615" s="564" t="s">
        <v>2099</v>
      </c>
      <c r="P3615" s="23"/>
      <c r="Q3615" s="23"/>
      <c r="R3615" s="23"/>
      <c r="S3615" s="23"/>
      <c r="T3615" s="23"/>
      <c r="U3615" s="23"/>
      <c r="V3615" s="23"/>
      <c r="W3615" s="23"/>
      <c r="X3615" s="23"/>
      <c r="Y3615" s="23"/>
      <c r="Z3615" s="23"/>
    </row>
    <row r="3616" spans="1:26" ht="13">
      <c r="A3616" s="562" t="s">
        <v>8093</v>
      </c>
      <c r="B3616" s="563" t="s">
        <v>8094</v>
      </c>
      <c r="C3616" s="564" t="s">
        <v>1612</v>
      </c>
      <c r="D3616" s="565">
        <v>41789</v>
      </c>
      <c r="E3616" s="565">
        <v>41791</v>
      </c>
      <c r="F3616" s="566">
        <v>2960640</v>
      </c>
      <c r="G3616" s="564" t="s">
        <v>337</v>
      </c>
      <c r="H3616" s="564" t="s">
        <v>337</v>
      </c>
      <c r="I3616" s="564" t="s">
        <v>146</v>
      </c>
      <c r="J3616" s="564" t="s">
        <v>1069</v>
      </c>
      <c r="K3616" s="564" t="s">
        <v>1070</v>
      </c>
      <c r="L3616" s="564" t="s">
        <v>1071</v>
      </c>
      <c r="M3616" s="564" t="s">
        <v>1183</v>
      </c>
      <c r="N3616" s="564" t="s">
        <v>1073</v>
      </c>
      <c r="O3616" s="564" t="s">
        <v>2099</v>
      </c>
      <c r="P3616" s="23"/>
      <c r="Q3616" s="23"/>
      <c r="R3616" s="23"/>
      <c r="S3616" s="23"/>
      <c r="T3616" s="23"/>
      <c r="U3616" s="23"/>
      <c r="V3616" s="23"/>
      <c r="W3616" s="23"/>
      <c r="X3616" s="23"/>
      <c r="Y3616" s="23"/>
      <c r="Z3616" s="23"/>
    </row>
    <row r="3617" spans="1:26" ht="13">
      <c r="A3617" s="562" t="s">
        <v>8095</v>
      </c>
      <c r="B3617" s="563" t="s">
        <v>8096</v>
      </c>
      <c r="C3617" s="564" t="s">
        <v>1612</v>
      </c>
      <c r="D3617" s="565">
        <v>41789</v>
      </c>
      <c r="E3617" s="565">
        <v>41817</v>
      </c>
      <c r="F3617" s="566">
        <v>43240</v>
      </c>
      <c r="G3617" s="564" t="s">
        <v>1424</v>
      </c>
      <c r="H3617" s="564" t="s">
        <v>1424</v>
      </c>
      <c r="I3617" s="564" t="s">
        <v>802</v>
      </c>
      <c r="J3617" s="564" t="s">
        <v>1069</v>
      </c>
      <c r="K3617" s="564" t="s">
        <v>1198</v>
      </c>
      <c r="L3617" s="564" t="s">
        <v>2098</v>
      </c>
      <c r="M3617" s="564" t="s">
        <v>2098</v>
      </c>
      <c r="N3617" s="564" t="s">
        <v>132</v>
      </c>
      <c r="O3617" s="564" t="s">
        <v>2099</v>
      </c>
      <c r="P3617" s="23"/>
      <c r="Q3617" s="23"/>
      <c r="R3617" s="23"/>
      <c r="S3617" s="23"/>
      <c r="T3617" s="23"/>
      <c r="U3617" s="23"/>
      <c r="V3617" s="23"/>
      <c r="W3617" s="23"/>
      <c r="X3617" s="23"/>
      <c r="Y3617" s="23"/>
      <c r="Z3617" s="23"/>
    </row>
    <row r="3618" spans="1:26" ht="13">
      <c r="A3618" s="562" t="s">
        <v>8097</v>
      </c>
      <c r="B3618" s="563" t="s">
        <v>7884</v>
      </c>
      <c r="C3618" s="564" t="s">
        <v>1612</v>
      </c>
      <c r="D3618" s="565">
        <v>41792</v>
      </c>
      <c r="E3618" s="565">
        <v>41803</v>
      </c>
      <c r="F3618" s="566">
        <v>3725</v>
      </c>
      <c r="G3618" s="564" t="s">
        <v>337</v>
      </c>
      <c r="H3618" s="564" t="s">
        <v>337</v>
      </c>
      <c r="I3618" s="564" t="s">
        <v>1837</v>
      </c>
      <c r="J3618" s="564" t="s">
        <v>1069</v>
      </c>
      <c r="K3618" s="564" t="s">
        <v>1090</v>
      </c>
      <c r="L3618" s="564" t="s">
        <v>2098</v>
      </c>
      <c r="M3618" s="564" t="s">
        <v>2098</v>
      </c>
      <c r="N3618" s="564" t="s">
        <v>1082</v>
      </c>
      <c r="O3618" s="564" t="s">
        <v>2099</v>
      </c>
      <c r="P3618" s="23"/>
      <c r="Q3618" s="23"/>
      <c r="R3618" s="23"/>
      <c r="S3618" s="23"/>
      <c r="T3618" s="23"/>
      <c r="U3618" s="23"/>
      <c r="V3618" s="23"/>
      <c r="W3618" s="23"/>
      <c r="X3618" s="23"/>
      <c r="Y3618" s="23"/>
      <c r="Z3618" s="23"/>
    </row>
    <row r="3619" spans="1:26" ht="13">
      <c r="A3619" s="562" t="s">
        <v>8098</v>
      </c>
      <c r="B3619" s="563" t="s">
        <v>8099</v>
      </c>
      <c r="C3619" s="564" t="s">
        <v>1612</v>
      </c>
      <c r="D3619" s="565">
        <v>41788</v>
      </c>
      <c r="E3619" s="565">
        <v>41817</v>
      </c>
      <c r="F3619" s="566">
        <v>13832</v>
      </c>
      <c r="G3619" s="564" t="s">
        <v>1424</v>
      </c>
      <c r="H3619" s="564" t="s">
        <v>1424</v>
      </c>
      <c r="I3619" s="564" t="s">
        <v>802</v>
      </c>
      <c r="J3619" s="564" t="s">
        <v>1069</v>
      </c>
      <c r="K3619" s="564" t="s">
        <v>1198</v>
      </c>
      <c r="L3619" s="564" t="s">
        <v>2098</v>
      </c>
      <c r="M3619" s="564" t="s">
        <v>2098</v>
      </c>
      <c r="N3619" s="564" t="s">
        <v>132</v>
      </c>
      <c r="O3619" s="564" t="s">
        <v>2099</v>
      </c>
      <c r="P3619" s="23"/>
      <c r="Q3619" s="23"/>
      <c r="R3619" s="23"/>
      <c r="S3619" s="23"/>
      <c r="T3619" s="23"/>
      <c r="U3619" s="23"/>
      <c r="V3619" s="23"/>
      <c r="W3619" s="23"/>
      <c r="X3619" s="23"/>
      <c r="Y3619" s="23"/>
      <c r="Z3619" s="23"/>
    </row>
    <row r="3620" spans="1:26" ht="13">
      <c r="A3620" s="562" t="s">
        <v>8100</v>
      </c>
      <c r="B3620" s="563" t="s">
        <v>8101</v>
      </c>
      <c r="C3620" s="564" t="s">
        <v>1612</v>
      </c>
      <c r="D3620" s="565">
        <v>41788</v>
      </c>
      <c r="E3620" s="565">
        <v>41817</v>
      </c>
      <c r="F3620" s="566">
        <v>42250</v>
      </c>
      <c r="G3620" s="564" t="s">
        <v>1424</v>
      </c>
      <c r="H3620" s="564" t="s">
        <v>1424</v>
      </c>
      <c r="I3620" s="564" t="s">
        <v>802</v>
      </c>
      <c r="J3620" s="564" t="s">
        <v>1069</v>
      </c>
      <c r="K3620" s="564" t="s">
        <v>1198</v>
      </c>
      <c r="L3620" s="564" t="s">
        <v>2098</v>
      </c>
      <c r="M3620" s="564" t="s">
        <v>2098</v>
      </c>
      <c r="N3620" s="564" t="s">
        <v>132</v>
      </c>
      <c r="O3620" s="564" t="s">
        <v>2099</v>
      </c>
      <c r="P3620" s="23"/>
      <c r="Q3620" s="23"/>
      <c r="R3620" s="23"/>
      <c r="S3620" s="23"/>
      <c r="T3620" s="23"/>
      <c r="U3620" s="23"/>
      <c r="V3620" s="23"/>
      <c r="W3620" s="23"/>
      <c r="X3620" s="23"/>
      <c r="Y3620" s="23"/>
      <c r="Z3620" s="23"/>
    </row>
    <row r="3621" spans="1:26" ht="13">
      <c r="A3621" s="562" t="s">
        <v>8102</v>
      </c>
      <c r="B3621" s="563" t="s">
        <v>8103</v>
      </c>
      <c r="C3621" s="564" t="s">
        <v>1612</v>
      </c>
      <c r="D3621" s="565">
        <v>41789</v>
      </c>
      <c r="E3621" s="565">
        <v>41817</v>
      </c>
      <c r="F3621" s="566">
        <v>174000</v>
      </c>
      <c r="G3621" s="564" t="s">
        <v>1424</v>
      </c>
      <c r="H3621" s="564" t="s">
        <v>1424</v>
      </c>
      <c r="I3621" s="564" t="s">
        <v>1586</v>
      </c>
      <c r="J3621" s="564" t="s">
        <v>1069</v>
      </c>
      <c r="K3621" s="564" t="s">
        <v>1090</v>
      </c>
      <c r="L3621" s="564" t="s">
        <v>2098</v>
      </c>
      <c r="M3621" s="564" t="s">
        <v>2098</v>
      </c>
      <c r="N3621" s="564" t="s">
        <v>1073</v>
      </c>
      <c r="O3621" s="564" t="s">
        <v>2099</v>
      </c>
      <c r="P3621" s="23"/>
      <c r="Q3621" s="23"/>
      <c r="R3621" s="23"/>
      <c r="S3621" s="23"/>
      <c r="T3621" s="23"/>
      <c r="U3621" s="23"/>
      <c r="V3621" s="23"/>
      <c r="W3621" s="23"/>
      <c r="X3621" s="23"/>
      <c r="Y3621" s="23"/>
      <c r="Z3621" s="23"/>
    </row>
    <row r="3622" spans="1:26" ht="13">
      <c r="A3622" s="562" t="s">
        <v>8104</v>
      </c>
      <c r="B3622" s="563" t="s">
        <v>8105</v>
      </c>
      <c r="C3622" s="564" t="s">
        <v>1612</v>
      </c>
      <c r="D3622" s="565">
        <v>41789</v>
      </c>
      <c r="E3622" s="565">
        <v>41796</v>
      </c>
      <c r="F3622" s="566">
        <v>38000</v>
      </c>
      <c r="G3622" s="564" t="s">
        <v>1157</v>
      </c>
      <c r="H3622" s="564" t="s">
        <v>1157</v>
      </c>
      <c r="I3622" s="564" t="s">
        <v>70</v>
      </c>
      <c r="J3622" s="564" t="s">
        <v>1069</v>
      </c>
      <c r="K3622" s="564" t="s">
        <v>1120</v>
      </c>
      <c r="L3622" s="564" t="s">
        <v>2098</v>
      </c>
      <c r="M3622" s="564" t="s">
        <v>2098</v>
      </c>
      <c r="N3622" s="564" t="s">
        <v>70</v>
      </c>
      <c r="O3622" s="564" t="s">
        <v>2099</v>
      </c>
      <c r="P3622" s="23"/>
      <c r="Q3622" s="23"/>
      <c r="R3622" s="23"/>
      <c r="S3622" s="23"/>
      <c r="T3622" s="23"/>
      <c r="U3622" s="23"/>
      <c r="V3622" s="23"/>
      <c r="W3622" s="23"/>
      <c r="X3622" s="23"/>
      <c r="Y3622" s="23"/>
      <c r="Z3622" s="23"/>
    </row>
    <row r="3623" spans="1:26" ht="13">
      <c r="A3623" s="562" t="s">
        <v>8106</v>
      </c>
      <c r="B3623" s="563" t="s">
        <v>7884</v>
      </c>
      <c r="C3623" s="564" t="s">
        <v>1612</v>
      </c>
      <c r="D3623" s="565">
        <v>41781</v>
      </c>
      <c r="E3623" s="565">
        <v>41781</v>
      </c>
      <c r="F3623" s="566">
        <v>102120</v>
      </c>
      <c r="G3623" s="564" t="s">
        <v>337</v>
      </c>
      <c r="H3623" s="564" t="s">
        <v>337</v>
      </c>
      <c r="I3623" s="564" t="s">
        <v>1837</v>
      </c>
      <c r="J3623" s="564" t="s">
        <v>1069</v>
      </c>
      <c r="K3623" s="564" t="s">
        <v>1090</v>
      </c>
      <c r="L3623" s="564" t="s">
        <v>2098</v>
      </c>
      <c r="M3623" s="564" t="s">
        <v>2098</v>
      </c>
      <c r="N3623" s="564" t="s">
        <v>1082</v>
      </c>
      <c r="O3623" s="564" t="s">
        <v>2099</v>
      </c>
      <c r="P3623" s="23"/>
      <c r="Q3623" s="23"/>
      <c r="R3623" s="23"/>
      <c r="S3623" s="23"/>
      <c r="T3623" s="23"/>
      <c r="U3623" s="23"/>
      <c r="V3623" s="23"/>
      <c r="W3623" s="23"/>
      <c r="X3623" s="23"/>
      <c r="Y3623" s="23"/>
      <c r="Z3623" s="23"/>
    </row>
    <row r="3624" spans="1:26" ht="13">
      <c r="A3624" s="562" t="s">
        <v>8107</v>
      </c>
      <c r="B3624" s="563" t="s">
        <v>8108</v>
      </c>
      <c r="C3624" s="564" t="s">
        <v>1612</v>
      </c>
      <c r="D3624" s="565">
        <v>41785</v>
      </c>
      <c r="E3624" s="565">
        <v>41813</v>
      </c>
      <c r="F3624" s="566">
        <v>2319</v>
      </c>
      <c r="G3624" s="564" t="s">
        <v>1424</v>
      </c>
      <c r="H3624" s="564" t="s">
        <v>1424</v>
      </c>
      <c r="I3624" s="564" t="s">
        <v>1586</v>
      </c>
      <c r="J3624" s="564" t="s">
        <v>1069</v>
      </c>
      <c r="K3624" s="564" t="s">
        <v>1090</v>
      </c>
      <c r="L3624" s="564" t="s">
        <v>2098</v>
      </c>
      <c r="M3624" s="564" t="s">
        <v>2098</v>
      </c>
      <c r="N3624" s="564" t="s">
        <v>1073</v>
      </c>
      <c r="O3624" s="564" t="s">
        <v>2099</v>
      </c>
      <c r="P3624" s="23"/>
      <c r="Q3624" s="23"/>
      <c r="R3624" s="23"/>
      <c r="S3624" s="23"/>
      <c r="T3624" s="23"/>
      <c r="U3624" s="23"/>
      <c r="V3624" s="23"/>
      <c r="W3624" s="23"/>
      <c r="X3624" s="23"/>
      <c r="Y3624" s="23"/>
      <c r="Z3624" s="23"/>
    </row>
    <row r="3625" spans="1:26" ht="13">
      <c r="A3625" s="562" t="s">
        <v>8109</v>
      </c>
      <c r="B3625" s="563" t="s">
        <v>8110</v>
      </c>
      <c r="C3625" s="564" t="s">
        <v>1612</v>
      </c>
      <c r="D3625" s="565">
        <v>41779</v>
      </c>
      <c r="E3625" s="565">
        <v>41791</v>
      </c>
      <c r="F3625" s="566">
        <v>19089000</v>
      </c>
      <c r="G3625" s="564" t="s">
        <v>337</v>
      </c>
      <c r="H3625" s="564" t="s">
        <v>337</v>
      </c>
      <c r="I3625" s="564" t="s">
        <v>45</v>
      </c>
      <c r="J3625" s="564" t="s">
        <v>1069</v>
      </c>
      <c r="K3625" s="564" t="s">
        <v>1090</v>
      </c>
      <c r="L3625" s="564" t="s">
        <v>1071</v>
      </c>
      <c r="M3625" s="564" t="s">
        <v>1183</v>
      </c>
      <c r="N3625" s="564" t="s">
        <v>45</v>
      </c>
      <c r="O3625" s="564" t="s">
        <v>2099</v>
      </c>
      <c r="P3625" s="23"/>
      <c r="Q3625" s="23"/>
      <c r="R3625" s="23"/>
      <c r="S3625" s="23"/>
      <c r="T3625" s="23"/>
      <c r="U3625" s="23"/>
      <c r="V3625" s="23"/>
      <c r="W3625" s="23"/>
      <c r="X3625" s="23"/>
      <c r="Y3625" s="23"/>
      <c r="Z3625" s="23"/>
    </row>
    <row r="3626" spans="1:26" ht="13">
      <c r="A3626" s="562" t="s">
        <v>8111</v>
      </c>
      <c r="B3626" s="563" t="s">
        <v>7884</v>
      </c>
      <c r="C3626" s="564" t="s">
        <v>1612</v>
      </c>
      <c r="D3626" s="565">
        <v>41778</v>
      </c>
      <c r="E3626" s="565">
        <v>41789</v>
      </c>
      <c r="F3626" s="566">
        <v>11920</v>
      </c>
      <c r="G3626" s="564" t="s">
        <v>337</v>
      </c>
      <c r="H3626" s="564" t="s">
        <v>337</v>
      </c>
      <c r="I3626" s="564" t="s">
        <v>1837</v>
      </c>
      <c r="J3626" s="564" t="s">
        <v>1069</v>
      </c>
      <c r="K3626" s="564" t="s">
        <v>1090</v>
      </c>
      <c r="L3626" s="564" t="s">
        <v>2098</v>
      </c>
      <c r="M3626" s="564" t="s">
        <v>2098</v>
      </c>
      <c r="N3626" s="564" t="s">
        <v>1082</v>
      </c>
      <c r="O3626" s="564" t="s">
        <v>2099</v>
      </c>
      <c r="P3626" s="23"/>
      <c r="Q3626" s="23"/>
      <c r="R3626" s="23"/>
      <c r="S3626" s="23"/>
      <c r="T3626" s="23"/>
      <c r="U3626" s="23"/>
      <c r="V3626" s="23"/>
      <c r="W3626" s="23"/>
      <c r="X3626" s="23"/>
      <c r="Y3626" s="23"/>
      <c r="Z3626" s="23"/>
    </row>
    <row r="3627" spans="1:26" ht="13">
      <c r="A3627" s="562" t="s">
        <v>8112</v>
      </c>
      <c r="B3627" s="563" t="s">
        <v>8113</v>
      </c>
      <c r="C3627" s="564" t="s">
        <v>1612</v>
      </c>
      <c r="D3627" s="565">
        <v>41780</v>
      </c>
      <c r="E3627" s="565">
        <v>41789</v>
      </c>
      <c r="F3627" s="566">
        <v>125610000</v>
      </c>
      <c r="G3627" s="564" t="s">
        <v>337</v>
      </c>
      <c r="H3627" s="564" t="s">
        <v>337</v>
      </c>
      <c r="I3627" s="564" t="s">
        <v>45</v>
      </c>
      <c r="J3627" s="564" t="s">
        <v>1069</v>
      </c>
      <c r="K3627" s="564" t="s">
        <v>1090</v>
      </c>
      <c r="L3627" s="564" t="s">
        <v>2098</v>
      </c>
      <c r="M3627" s="564" t="s">
        <v>2098</v>
      </c>
      <c r="N3627" s="564" t="s">
        <v>45</v>
      </c>
      <c r="O3627" s="564" t="s">
        <v>2099</v>
      </c>
      <c r="P3627" s="23"/>
      <c r="Q3627" s="23"/>
      <c r="R3627" s="23"/>
      <c r="S3627" s="23"/>
      <c r="T3627" s="23"/>
      <c r="U3627" s="23"/>
      <c r="V3627" s="23"/>
      <c r="W3627" s="23"/>
      <c r="X3627" s="23"/>
      <c r="Y3627" s="23"/>
      <c r="Z3627" s="23"/>
    </row>
    <row r="3628" spans="1:26" ht="13">
      <c r="A3628" s="562" t="s">
        <v>8114</v>
      </c>
      <c r="B3628" s="563" t="s">
        <v>8115</v>
      </c>
      <c r="C3628" s="564" t="s">
        <v>1612</v>
      </c>
      <c r="D3628" s="565">
        <v>41781</v>
      </c>
      <c r="E3628" s="565">
        <v>41810</v>
      </c>
      <c r="F3628" s="566">
        <v>50180000</v>
      </c>
      <c r="G3628" s="564" t="s">
        <v>5465</v>
      </c>
      <c r="H3628" s="564" t="s">
        <v>5465</v>
      </c>
      <c r="I3628" s="564" t="s">
        <v>45</v>
      </c>
      <c r="J3628" s="564" t="s">
        <v>1069</v>
      </c>
      <c r="K3628" s="564" t="s">
        <v>1090</v>
      </c>
      <c r="L3628" s="564" t="s">
        <v>2098</v>
      </c>
      <c r="M3628" s="564" t="s">
        <v>2098</v>
      </c>
      <c r="N3628" s="564" t="s">
        <v>45</v>
      </c>
      <c r="O3628" s="564" t="s">
        <v>2099</v>
      </c>
      <c r="P3628" s="23"/>
      <c r="Q3628" s="23"/>
      <c r="R3628" s="23"/>
      <c r="S3628" s="23"/>
      <c r="T3628" s="23"/>
      <c r="U3628" s="23"/>
      <c r="V3628" s="23"/>
      <c r="W3628" s="23"/>
      <c r="X3628" s="23"/>
      <c r="Y3628" s="23"/>
      <c r="Z3628" s="23"/>
    </row>
    <row r="3629" spans="1:26" ht="13">
      <c r="A3629" s="562" t="s">
        <v>8116</v>
      </c>
      <c r="B3629" s="563" t="s">
        <v>8117</v>
      </c>
      <c r="C3629" s="564" t="s">
        <v>1612</v>
      </c>
      <c r="D3629" s="565">
        <v>41781</v>
      </c>
      <c r="E3629" s="565">
        <v>41810</v>
      </c>
      <c r="F3629" s="566">
        <v>2073500</v>
      </c>
      <c r="G3629" s="564" t="s">
        <v>1424</v>
      </c>
      <c r="H3629" s="564" t="s">
        <v>1424</v>
      </c>
      <c r="I3629" s="564" t="s">
        <v>1821</v>
      </c>
      <c r="J3629" s="564" t="s">
        <v>1069</v>
      </c>
      <c r="K3629" s="564" t="s">
        <v>1120</v>
      </c>
      <c r="L3629" s="564" t="s">
        <v>2098</v>
      </c>
      <c r="M3629" s="564" t="s">
        <v>2098</v>
      </c>
      <c r="N3629" s="564" t="s">
        <v>1073</v>
      </c>
      <c r="O3629" s="564" t="s">
        <v>2099</v>
      </c>
      <c r="P3629" s="23"/>
      <c r="Q3629" s="23"/>
      <c r="R3629" s="23"/>
      <c r="S3629" s="23"/>
      <c r="T3629" s="23"/>
      <c r="U3629" s="23"/>
      <c r="V3629" s="23"/>
      <c r="W3629" s="23"/>
      <c r="X3629" s="23"/>
      <c r="Y3629" s="23"/>
      <c r="Z3629" s="23"/>
    </row>
    <row r="3630" spans="1:26" ht="13">
      <c r="A3630" s="562" t="s">
        <v>8118</v>
      </c>
      <c r="B3630" s="563" t="s">
        <v>8119</v>
      </c>
      <c r="C3630" s="564" t="s">
        <v>1612</v>
      </c>
      <c r="D3630" s="565">
        <v>41778</v>
      </c>
      <c r="E3630" s="565">
        <v>41760</v>
      </c>
      <c r="F3630" s="566">
        <v>105834240</v>
      </c>
      <c r="G3630" s="564" t="s">
        <v>337</v>
      </c>
      <c r="H3630" s="564" t="s">
        <v>337</v>
      </c>
      <c r="I3630" s="564" t="s">
        <v>45</v>
      </c>
      <c r="J3630" s="564" t="s">
        <v>1069</v>
      </c>
      <c r="K3630" s="564" t="s">
        <v>1090</v>
      </c>
      <c r="L3630" s="564" t="s">
        <v>1071</v>
      </c>
      <c r="M3630" s="564" t="s">
        <v>1183</v>
      </c>
      <c r="N3630" s="564" t="s">
        <v>45</v>
      </c>
      <c r="O3630" s="564" t="s">
        <v>2099</v>
      </c>
      <c r="P3630" s="23"/>
      <c r="Q3630" s="23"/>
      <c r="R3630" s="23"/>
      <c r="S3630" s="23"/>
      <c r="T3630" s="23"/>
      <c r="U3630" s="23"/>
      <c r="V3630" s="23"/>
      <c r="W3630" s="23"/>
      <c r="X3630" s="23"/>
      <c r="Y3630" s="23"/>
      <c r="Z3630" s="23"/>
    </row>
    <row r="3631" spans="1:26" ht="13">
      <c r="A3631" s="562" t="s">
        <v>8120</v>
      </c>
      <c r="B3631" s="563" t="s">
        <v>8121</v>
      </c>
      <c r="C3631" s="564" t="s">
        <v>1612</v>
      </c>
      <c r="D3631" s="565">
        <v>41781</v>
      </c>
      <c r="E3631" s="565">
        <v>41801</v>
      </c>
      <c r="F3631" s="566">
        <v>25230</v>
      </c>
      <c r="G3631" s="564" t="s">
        <v>1424</v>
      </c>
      <c r="H3631" s="564" t="s">
        <v>1424</v>
      </c>
      <c r="I3631" s="564" t="s">
        <v>70</v>
      </c>
      <c r="J3631" s="564" t="s">
        <v>1069</v>
      </c>
      <c r="K3631" s="564" t="s">
        <v>1120</v>
      </c>
      <c r="L3631" s="564" t="s">
        <v>2098</v>
      </c>
      <c r="M3631" s="564" t="s">
        <v>2098</v>
      </c>
      <c r="N3631" s="564" t="s">
        <v>70</v>
      </c>
      <c r="O3631" s="564" t="s">
        <v>2099</v>
      </c>
      <c r="P3631" s="23"/>
      <c r="Q3631" s="23"/>
      <c r="R3631" s="23"/>
      <c r="S3631" s="23"/>
      <c r="T3631" s="23"/>
      <c r="U3631" s="23"/>
      <c r="V3631" s="23"/>
      <c r="W3631" s="23"/>
      <c r="X3631" s="23"/>
      <c r="Y3631" s="23"/>
      <c r="Z3631" s="23"/>
    </row>
    <row r="3632" spans="1:26" ht="13">
      <c r="A3632" s="562" t="s">
        <v>8122</v>
      </c>
      <c r="B3632" s="563" t="s">
        <v>8123</v>
      </c>
      <c r="C3632" s="564" t="s">
        <v>1612</v>
      </c>
      <c r="D3632" s="565">
        <v>41780</v>
      </c>
      <c r="E3632" s="565">
        <v>41802</v>
      </c>
      <c r="F3632" s="566">
        <v>27055</v>
      </c>
      <c r="G3632" s="564" t="s">
        <v>1424</v>
      </c>
      <c r="H3632" s="564" t="s">
        <v>1424</v>
      </c>
      <c r="I3632" s="564" t="s">
        <v>70</v>
      </c>
      <c r="J3632" s="564" t="s">
        <v>1069</v>
      </c>
      <c r="K3632" s="564" t="s">
        <v>1120</v>
      </c>
      <c r="L3632" s="564" t="s">
        <v>2098</v>
      </c>
      <c r="M3632" s="564" t="s">
        <v>2098</v>
      </c>
      <c r="N3632" s="564" t="s">
        <v>70</v>
      </c>
      <c r="O3632" s="564" t="s">
        <v>2099</v>
      </c>
      <c r="P3632" s="23"/>
      <c r="Q3632" s="23"/>
      <c r="R3632" s="23"/>
      <c r="S3632" s="23"/>
      <c r="T3632" s="23"/>
      <c r="U3632" s="23"/>
      <c r="V3632" s="23"/>
      <c r="W3632" s="23"/>
      <c r="X3632" s="23"/>
      <c r="Y3632" s="23"/>
      <c r="Z3632" s="23"/>
    </row>
    <row r="3633" spans="1:26" ht="13">
      <c r="A3633" s="562" t="s">
        <v>8124</v>
      </c>
      <c r="B3633" s="563" t="s">
        <v>8125</v>
      </c>
      <c r="C3633" s="564" t="s">
        <v>1612</v>
      </c>
      <c r="D3633" s="565">
        <v>41778</v>
      </c>
      <c r="E3633" s="565">
        <v>41809</v>
      </c>
      <c r="F3633" s="566">
        <v>22000000</v>
      </c>
      <c r="G3633" s="564" t="s">
        <v>1123</v>
      </c>
      <c r="H3633" s="564" t="s">
        <v>1123</v>
      </c>
      <c r="I3633" s="564" t="s">
        <v>802</v>
      </c>
      <c r="J3633" s="564" t="s">
        <v>1069</v>
      </c>
      <c r="K3633" s="564" t="s">
        <v>1198</v>
      </c>
      <c r="L3633" s="564" t="s">
        <v>2098</v>
      </c>
      <c r="M3633" s="564" t="s">
        <v>2098</v>
      </c>
      <c r="N3633" s="564" t="s">
        <v>132</v>
      </c>
      <c r="O3633" s="564" t="s">
        <v>2099</v>
      </c>
      <c r="P3633" s="23"/>
      <c r="Q3633" s="23"/>
      <c r="R3633" s="23"/>
      <c r="S3633" s="23"/>
      <c r="T3633" s="23"/>
      <c r="U3633" s="23"/>
      <c r="V3633" s="23"/>
      <c r="W3633" s="23"/>
      <c r="X3633" s="23"/>
      <c r="Y3633" s="23"/>
      <c r="Z3633" s="23"/>
    </row>
    <row r="3634" spans="1:26" ht="13">
      <c r="A3634" s="562" t="s">
        <v>8126</v>
      </c>
      <c r="B3634" s="563" t="s">
        <v>7608</v>
      </c>
      <c r="C3634" s="564" t="s">
        <v>1612</v>
      </c>
      <c r="D3634" s="565">
        <v>41778</v>
      </c>
      <c r="E3634" s="565">
        <v>41806</v>
      </c>
      <c r="F3634" s="566">
        <v>440000</v>
      </c>
      <c r="G3634" s="564" t="s">
        <v>1424</v>
      </c>
      <c r="H3634" s="564" t="s">
        <v>1424</v>
      </c>
      <c r="I3634" s="564" t="s">
        <v>1247</v>
      </c>
      <c r="J3634" s="564" t="s">
        <v>1069</v>
      </c>
      <c r="K3634" s="564" t="s">
        <v>1070</v>
      </c>
      <c r="L3634" s="564" t="s">
        <v>2098</v>
      </c>
      <c r="M3634" s="564" t="s">
        <v>2098</v>
      </c>
      <c r="N3634" s="564" t="s">
        <v>1073</v>
      </c>
      <c r="O3634" s="564" t="s">
        <v>2099</v>
      </c>
      <c r="P3634" s="23"/>
      <c r="Q3634" s="23"/>
      <c r="R3634" s="23"/>
      <c r="S3634" s="23"/>
      <c r="T3634" s="23"/>
      <c r="U3634" s="23"/>
      <c r="V3634" s="23"/>
      <c r="W3634" s="23"/>
      <c r="X3634" s="23"/>
      <c r="Y3634" s="23"/>
      <c r="Z3634" s="23"/>
    </row>
    <row r="3635" spans="1:26" ht="13">
      <c r="A3635" s="562" t="s">
        <v>8127</v>
      </c>
      <c r="B3635" s="563" t="s">
        <v>7884</v>
      </c>
      <c r="C3635" s="564" t="s">
        <v>1612</v>
      </c>
      <c r="D3635" s="565">
        <v>41773</v>
      </c>
      <c r="E3635" s="565">
        <v>41789</v>
      </c>
      <c r="F3635" s="566">
        <v>7313</v>
      </c>
      <c r="G3635" s="564" t="s">
        <v>337</v>
      </c>
      <c r="H3635" s="564" t="s">
        <v>337</v>
      </c>
      <c r="I3635" s="564" t="s">
        <v>1837</v>
      </c>
      <c r="J3635" s="564" t="s">
        <v>1069</v>
      </c>
      <c r="K3635" s="564" t="s">
        <v>1090</v>
      </c>
      <c r="L3635" s="564" t="s">
        <v>2098</v>
      </c>
      <c r="M3635" s="564" t="s">
        <v>2098</v>
      </c>
      <c r="N3635" s="564" t="s">
        <v>1082</v>
      </c>
      <c r="O3635" s="564" t="s">
        <v>2099</v>
      </c>
      <c r="P3635" s="23"/>
      <c r="Q3635" s="23"/>
      <c r="R3635" s="23"/>
      <c r="S3635" s="23"/>
      <c r="T3635" s="23"/>
      <c r="U3635" s="23"/>
      <c r="V3635" s="23"/>
      <c r="W3635" s="23"/>
      <c r="X3635" s="23"/>
      <c r="Y3635" s="23"/>
      <c r="Z3635" s="23"/>
    </row>
    <row r="3636" spans="1:26" ht="13">
      <c r="A3636" s="562" t="s">
        <v>8128</v>
      </c>
      <c r="B3636" s="563" t="s">
        <v>7436</v>
      </c>
      <c r="C3636" s="564" t="s">
        <v>1612</v>
      </c>
      <c r="D3636" s="565">
        <v>41774</v>
      </c>
      <c r="E3636" s="565">
        <v>41806</v>
      </c>
      <c r="F3636" s="566">
        <v>1050</v>
      </c>
      <c r="G3636" s="564" t="s">
        <v>1424</v>
      </c>
      <c r="H3636" s="564" t="s">
        <v>1424</v>
      </c>
      <c r="I3636" s="564" t="s">
        <v>70</v>
      </c>
      <c r="J3636" s="564" t="s">
        <v>1069</v>
      </c>
      <c r="K3636" s="564" t="s">
        <v>1120</v>
      </c>
      <c r="L3636" s="564" t="s">
        <v>2098</v>
      </c>
      <c r="M3636" s="564" t="s">
        <v>2098</v>
      </c>
      <c r="N3636" s="564" t="s">
        <v>70</v>
      </c>
      <c r="O3636" s="564" t="s">
        <v>2099</v>
      </c>
      <c r="P3636" s="23"/>
      <c r="Q3636" s="23"/>
      <c r="R3636" s="23"/>
      <c r="S3636" s="23"/>
      <c r="T3636" s="23"/>
      <c r="U3636" s="23"/>
      <c r="V3636" s="23"/>
      <c r="W3636" s="23"/>
      <c r="X3636" s="23"/>
      <c r="Y3636" s="23"/>
      <c r="Z3636" s="23"/>
    </row>
    <row r="3637" spans="1:26" ht="13">
      <c r="A3637" s="562" t="s">
        <v>8129</v>
      </c>
      <c r="B3637" s="563" t="s">
        <v>8130</v>
      </c>
      <c r="C3637" s="564" t="s">
        <v>1612</v>
      </c>
      <c r="D3637" s="565">
        <v>41772</v>
      </c>
      <c r="E3637" s="565">
        <v>41782</v>
      </c>
      <c r="F3637" s="566">
        <v>2980</v>
      </c>
      <c r="G3637" s="564" t="s">
        <v>337</v>
      </c>
      <c r="H3637" s="564" t="s">
        <v>337</v>
      </c>
      <c r="I3637" s="564" t="s">
        <v>1837</v>
      </c>
      <c r="J3637" s="564" t="s">
        <v>1069</v>
      </c>
      <c r="K3637" s="564" t="s">
        <v>1070</v>
      </c>
      <c r="L3637" s="564" t="s">
        <v>2098</v>
      </c>
      <c r="M3637" s="564" t="s">
        <v>2098</v>
      </c>
      <c r="N3637" s="564" t="s">
        <v>1082</v>
      </c>
      <c r="O3637" s="564" t="s">
        <v>2099</v>
      </c>
      <c r="P3637" s="23"/>
      <c r="Q3637" s="23"/>
      <c r="R3637" s="23"/>
      <c r="S3637" s="23"/>
      <c r="T3637" s="23"/>
      <c r="U3637" s="23"/>
      <c r="V3637" s="23"/>
      <c r="W3637" s="23"/>
      <c r="X3637" s="23"/>
      <c r="Y3637" s="23"/>
      <c r="Z3637" s="23"/>
    </row>
    <row r="3638" spans="1:26" ht="13">
      <c r="A3638" s="562" t="s">
        <v>8131</v>
      </c>
      <c r="B3638" s="563" t="s">
        <v>8132</v>
      </c>
      <c r="C3638" s="564" t="s">
        <v>1612</v>
      </c>
      <c r="D3638" s="565">
        <v>41772</v>
      </c>
      <c r="E3638" s="565">
        <v>41802</v>
      </c>
      <c r="F3638" s="566">
        <v>7514</v>
      </c>
      <c r="G3638" s="564" t="s">
        <v>1424</v>
      </c>
      <c r="H3638" s="564" t="s">
        <v>1424</v>
      </c>
      <c r="I3638" s="564" t="s">
        <v>64</v>
      </c>
      <c r="J3638" s="564" t="s">
        <v>1069</v>
      </c>
      <c r="K3638" s="564" t="s">
        <v>1090</v>
      </c>
      <c r="L3638" s="564" t="s">
        <v>2098</v>
      </c>
      <c r="M3638" s="564" t="s">
        <v>2098</v>
      </c>
      <c r="N3638" s="564" t="s">
        <v>64</v>
      </c>
      <c r="O3638" s="564" t="s">
        <v>2099</v>
      </c>
      <c r="P3638" s="23"/>
      <c r="Q3638" s="23"/>
      <c r="R3638" s="23"/>
      <c r="S3638" s="23"/>
      <c r="T3638" s="23"/>
      <c r="U3638" s="23"/>
      <c r="V3638" s="23"/>
      <c r="W3638" s="23"/>
      <c r="X3638" s="23"/>
      <c r="Y3638" s="23"/>
      <c r="Z3638" s="23"/>
    </row>
    <row r="3639" spans="1:26" ht="13">
      <c r="A3639" s="562" t="s">
        <v>8133</v>
      </c>
      <c r="B3639" s="563" t="s">
        <v>8134</v>
      </c>
      <c r="C3639" s="564" t="s">
        <v>1612</v>
      </c>
      <c r="D3639" s="565">
        <v>41771</v>
      </c>
      <c r="E3639" s="565">
        <v>41802</v>
      </c>
      <c r="F3639" s="566">
        <v>5850</v>
      </c>
      <c r="G3639" s="564" t="s">
        <v>1424</v>
      </c>
      <c r="H3639" s="564" t="s">
        <v>1424</v>
      </c>
      <c r="I3639" s="564" t="s">
        <v>70</v>
      </c>
      <c r="J3639" s="564" t="s">
        <v>1069</v>
      </c>
      <c r="K3639" s="564" t="s">
        <v>1120</v>
      </c>
      <c r="L3639" s="564" t="s">
        <v>2098</v>
      </c>
      <c r="M3639" s="564" t="s">
        <v>2098</v>
      </c>
      <c r="N3639" s="564" t="s">
        <v>70</v>
      </c>
      <c r="O3639" s="564" t="s">
        <v>2099</v>
      </c>
      <c r="P3639" s="23"/>
      <c r="Q3639" s="23"/>
      <c r="R3639" s="23"/>
      <c r="S3639" s="23"/>
      <c r="T3639" s="23"/>
      <c r="U3639" s="23"/>
      <c r="V3639" s="23"/>
      <c r="W3639" s="23"/>
      <c r="X3639" s="23"/>
      <c r="Y3639" s="23"/>
      <c r="Z3639" s="23"/>
    </row>
    <row r="3640" spans="1:26" ht="13">
      <c r="A3640" s="562" t="s">
        <v>8135</v>
      </c>
      <c r="B3640" s="563" t="s">
        <v>8136</v>
      </c>
      <c r="C3640" s="564" t="s">
        <v>1204</v>
      </c>
      <c r="D3640" s="565">
        <v>41771</v>
      </c>
      <c r="E3640" s="565">
        <v>41789</v>
      </c>
      <c r="F3640" s="566">
        <v>2434824</v>
      </c>
      <c r="G3640" s="564" t="s">
        <v>297</v>
      </c>
      <c r="H3640" s="564" t="s">
        <v>297</v>
      </c>
      <c r="I3640" s="564" t="s">
        <v>1471</v>
      </c>
      <c r="J3640" s="564" t="s">
        <v>1069</v>
      </c>
      <c r="K3640" s="564" t="s">
        <v>1070</v>
      </c>
      <c r="L3640" s="564" t="s">
        <v>1071</v>
      </c>
      <c r="M3640" s="564" t="s">
        <v>1183</v>
      </c>
      <c r="N3640" s="564" t="s">
        <v>1082</v>
      </c>
      <c r="O3640" s="564" t="s">
        <v>1472</v>
      </c>
      <c r="P3640" s="23"/>
      <c r="Q3640" s="23"/>
      <c r="R3640" s="23"/>
      <c r="S3640" s="23"/>
      <c r="T3640" s="23"/>
      <c r="U3640" s="23"/>
      <c r="V3640" s="23"/>
      <c r="W3640" s="23"/>
      <c r="X3640" s="23"/>
      <c r="Y3640" s="23"/>
      <c r="Z3640" s="23"/>
    </row>
    <row r="3641" spans="1:26" ht="13">
      <c r="A3641" s="562" t="s">
        <v>8137</v>
      </c>
      <c r="B3641" s="563" t="s">
        <v>8014</v>
      </c>
      <c r="C3641" s="564" t="s">
        <v>1612</v>
      </c>
      <c r="D3641" s="565">
        <v>41772</v>
      </c>
      <c r="E3641" s="565">
        <v>41789</v>
      </c>
      <c r="F3641" s="566">
        <v>10680000</v>
      </c>
      <c r="G3641" s="564" t="s">
        <v>1128</v>
      </c>
      <c r="H3641" s="564" t="s">
        <v>1128</v>
      </c>
      <c r="I3641" s="564" t="s">
        <v>257</v>
      </c>
      <c r="J3641" s="564" t="s">
        <v>1069</v>
      </c>
      <c r="K3641" s="564" t="s">
        <v>1209</v>
      </c>
      <c r="L3641" s="564" t="s">
        <v>2098</v>
      </c>
      <c r="M3641" s="564" t="s">
        <v>2098</v>
      </c>
      <c r="N3641" s="564" t="s">
        <v>257</v>
      </c>
      <c r="O3641" s="564" t="s">
        <v>2099</v>
      </c>
      <c r="P3641" s="23"/>
      <c r="Q3641" s="23"/>
      <c r="R3641" s="23"/>
      <c r="S3641" s="23"/>
      <c r="T3641" s="23"/>
      <c r="U3641" s="23"/>
      <c r="V3641" s="23"/>
      <c r="W3641" s="23"/>
      <c r="X3641" s="23"/>
      <c r="Y3641" s="23"/>
      <c r="Z3641" s="23"/>
    </row>
    <row r="3642" spans="1:26" ht="13">
      <c r="A3642" s="562" t="s">
        <v>8138</v>
      </c>
      <c r="B3642" s="563" t="s">
        <v>3819</v>
      </c>
      <c r="C3642" s="564" t="s">
        <v>1873</v>
      </c>
      <c r="D3642" s="565">
        <v>41772</v>
      </c>
      <c r="E3642" s="565">
        <v>41782</v>
      </c>
      <c r="F3642" s="566">
        <v>6388200</v>
      </c>
      <c r="G3642" s="564" t="s">
        <v>1157</v>
      </c>
      <c r="H3642" s="564" t="s">
        <v>1157</v>
      </c>
      <c r="I3642" s="564" t="s">
        <v>170</v>
      </c>
      <c r="J3642" s="564" t="s">
        <v>1069</v>
      </c>
      <c r="K3642" s="564" t="s">
        <v>1105</v>
      </c>
      <c r="L3642" s="564" t="s">
        <v>2098</v>
      </c>
      <c r="M3642" s="564" t="s">
        <v>2098</v>
      </c>
      <c r="N3642" s="564" t="s">
        <v>170</v>
      </c>
      <c r="O3642" s="564" t="s">
        <v>2099</v>
      </c>
      <c r="P3642" s="23"/>
      <c r="Q3642" s="23"/>
      <c r="R3642" s="23"/>
      <c r="S3642" s="23"/>
      <c r="T3642" s="23"/>
      <c r="U3642" s="23"/>
      <c r="V3642" s="23"/>
      <c r="W3642" s="23"/>
      <c r="X3642" s="23"/>
      <c r="Y3642" s="23"/>
      <c r="Z3642" s="23"/>
    </row>
    <row r="3643" spans="1:26" ht="13">
      <c r="A3643" s="562" t="s">
        <v>8139</v>
      </c>
      <c r="B3643" s="563" t="s">
        <v>8140</v>
      </c>
      <c r="C3643" s="564" t="s">
        <v>1612</v>
      </c>
      <c r="D3643" s="565">
        <v>41768</v>
      </c>
      <c r="E3643" s="565">
        <v>41789</v>
      </c>
      <c r="F3643" s="566">
        <v>30650000</v>
      </c>
      <c r="G3643" s="564" t="s">
        <v>5465</v>
      </c>
      <c r="H3643" s="564" t="s">
        <v>5465</v>
      </c>
      <c r="I3643" s="564" t="s">
        <v>45</v>
      </c>
      <c r="J3643" s="564" t="s">
        <v>1069</v>
      </c>
      <c r="K3643" s="564" t="s">
        <v>1090</v>
      </c>
      <c r="L3643" s="564" t="s">
        <v>2098</v>
      </c>
      <c r="M3643" s="564" t="s">
        <v>2098</v>
      </c>
      <c r="N3643" s="564" t="s">
        <v>45</v>
      </c>
      <c r="O3643" s="564" t="s">
        <v>2099</v>
      </c>
      <c r="P3643" s="23"/>
      <c r="Q3643" s="23"/>
      <c r="R3643" s="23"/>
      <c r="S3643" s="23"/>
      <c r="T3643" s="23"/>
      <c r="U3643" s="23"/>
      <c r="V3643" s="23"/>
      <c r="W3643" s="23"/>
      <c r="X3643" s="23"/>
      <c r="Y3643" s="23"/>
      <c r="Z3643" s="23"/>
    </row>
    <row r="3644" spans="1:26" ht="13">
      <c r="A3644" s="562" t="s">
        <v>8141</v>
      </c>
      <c r="B3644" s="563" t="s">
        <v>8142</v>
      </c>
      <c r="C3644" s="564" t="s">
        <v>1612</v>
      </c>
      <c r="D3644" s="565">
        <v>41768</v>
      </c>
      <c r="E3644" s="565">
        <v>41789</v>
      </c>
      <c r="F3644" s="566">
        <v>1540000</v>
      </c>
      <c r="G3644" s="564" t="s">
        <v>5465</v>
      </c>
      <c r="H3644" s="564" t="s">
        <v>5465</v>
      </c>
      <c r="I3644" s="564" t="s">
        <v>45</v>
      </c>
      <c r="J3644" s="564" t="s">
        <v>1069</v>
      </c>
      <c r="K3644" s="564" t="s">
        <v>1090</v>
      </c>
      <c r="L3644" s="564" t="s">
        <v>2098</v>
      </c>
      <c r="M3644" s="564" t="s">
        <v>2098</v>
      </c>
      <c r="N3644" s="564" t="s">
        <v>45</v>
      </c>
      <c r="O3644" s="564" t="s">
        <v>2099</v>
      </c>
      <c r="P3644" s="23"/>
      <c r="Q3644" s="23"/>
      <c r="R3644" s="23"/>
      <c r="S3644" s="23"/>
      <c r="T3644" s="23"/>
      <c r="U3644" s="23"/>
      <c r="V3644" s="23"/>
      <c r="W3644" s="23"/>
      <c r="X3644" s="23"/>
      <c r="Y3644" s="23"/>
      <c r="Z3644" s="23"/>
    </row>
    <row r="3645" spans="1:26" ht="13">
      <c r="A3645" s="562" t="s">
        <v>8143</v>
      </c>
      <c r="B3645" s="563" t="s">
        <v>8144</v>
      </c>
      <c r="C3645" s="564" t="s">
        <v>1204</v>
      </c>
      <c r="D3645" s="565">
        <v>41767</v>
      </c>
      <c r="E3645" s="565">
        <v>41782</v>
      </c>
      <c r="F3645" s="566">
        <v>22070916</v>
      </c>
      <c r="G3645" s="564" t="s">
        <v>297</v>
      </c>
      <c r="H3645" s="564" t="s">
        <v>297</v>
      </c>
      <c r="I3645" s="564" t="s">
        <v>1471</v>
      </c>
      <c r="J3645" s="564" t="s">
        <v>1069</v>
      </c>
      <c r="K3645" s="564" t="s">
        <v>1070</v>
      </c>
      <c r="L3645" s="564" t="s">
        <v>1071</v>
      </c>
      <c r="M3645" s="564" t="s">
        <v>1183</v>
      </c>
      <c r="N3645" s="564" t="s">
        <v>1082</v>
      </c>
      <c r="O3645" s="564" t="s">
        <v>1472</v>
      </c>
      <c r="P3645" s="23"/>
      <c r="Q3645" s="23"/>
      <c r="R3645" s="23"/>
      <c r="S3645" s="23"/>
      <c r="T3645" s="23"/>
      <c r="U3645" s="23"/>
      <c r="V3645" s="23"/>
      <c r="W3645" s="23"/>
      <c r="X3645" s="23"/>
      <c r="Y3645" s="23"/>
      <c r="Z3645" s="23"/>
    </row>
    <row r="3646" spans="1:26" ht="13">
      <c r="A3646" s="562" t="s">
        <v>8145</v>
      </c>
      <c r="B3646" s="563" t="s">
        <v>8146</v>
      </c>
      <c r="C3646" s="564" t="s">
        <v>6860</v>
      </c>
      <c r="D3646" s="565">
        <v>41758</v>
      </c>
      <c r="E3646" s="565">
        <v>41901</v>
      </c>
      <c r="F3646" s="566">
        <v>109000</v>
      </c>
      <c r="G3646" s="564" t="s">
        <v>1116</v>
      </c>
      <c r="H3646" s="564" t="s">
        <v>1116</v>
      </c>
      <c r="I3646" s="564" t="s">
        <v>7439</v>
      </c>
      <c r="J3646" s="564" t="s">
        <v>1069</v>
      </c>
      <c r="K3646" s="564" t="s">
        <v>2430</v>
      </c>
      <c r="L3646" s="564" t="s">
        <v>2098</v>
      </c>
      <c r="M3646" s="564" t="s">
        <v>2098</v>
      </c>
      <c r="N3646" s="564" t="s">
        <v>1082</v>
      </c>
      <c r="O3646" s="564" t="s">
        <v>2099</v>
      </c>
      <c r="P3646" s="23"/>
      <c r="Q3646" s="23"/>
      <c r="R3646" s="23"/>
      <c r="S3646" s="23"/>
      <c r="T3646" s="23"/>
      <c r="U3646" s="23"/>
      <c r="V3646" s="23"/>
      <c r="W3646" s="23"/>
      <c r="X3646" s="23"/>
      <c r="Y3646" s="23"/>
      <c r="Z3646" s="23"/>
    </row>
    <row r="3647" spans="1:26" ht="13">
      <c r="A3647" s="562" t="s">
        <v>8147</v>
      </c>
      <c r="B3647" s="563" t="s">
        <v>8148</v>
      </c>
      <c r="C3647" s="564" t="s">
        <v>1612</v>
      </c>
      <c r="D3647" s="565">
        <v>41766</v>
      </c>
      <c r="E3647" s="565">
        <v>41699</v>
      </c>
      <c r="F3647" s="566">
        <v>12272727</v>
      </c>
      <c r="G3647" s="564" t="s">
        <v>1623</v>
      </c>
      <c r="H3647" s="564" t="s">
        <v>1623</v>
      </c>
      <c r="I3647" s="564" t="s">
        <v>802</v>
      </c>
      <c r="J3647" s="564" t="s">
        <v>1069</v>
      </c>
      <c r="K3647" s="564" t="s">
        <v>1198</v>
      </c>
      <c r="L3647" s="564" t="s">
        <v>2098</v>
      </c>
      <c r="M3647" s="564" t="s">
        <v>2098</v>
      </c>
      <c r="N3647" s="564" t="s">
        <v>132</v>
      </c>
      <c r="O3647" s="564" t="s">
        <v>2099</v>
      </c>
      <c r="P3647" s="23"/>
      <c r="Q3647" s="23"/>
      <c r="R3647" s="23"/>
      <c r="S3647" s="23"/>
      <c r="T3647" s="23"/>
      <c r="U3647" s="23"/>
      <c r="V3647" s="23"/>
      <c r="W3647" s="23"/>
      <c r="X3647" s="23"/>
      <c r="Y3647" s="23"/>
      <c r="Z3647" s="23"/>
    </row>
    <row r="3648" spans="1:26" ht="13">
      <c r="A3648" s="562" t="s">
        <v>8149</v>
      </c>
      <c r="B3648" s="563" t="s">
        <v>8150</v>
      </c>
      <c r="C3648" s="564" t="s">
        <v>1612</v>
      </c>
      <c r="D3648" s="565">
        <v>41766</v>
      </c>
      <c r="E3648" s="565">
        <v>41799</v>
      </c>
      <c r="F3648" s="567">
        <v>755</v>
      </c>
      <c r="G3648" s="564" t="s">
        <v>1424</v>
      </c>
      <c r="H3648" s="564" t="s">
        <v>1424</v>
      </c>
      <c r="I3648" s="564" t="s">
        <v>121</v>
      </c>
      <c r="J3648" s="564" t="s">
        <v>1069</v>
      </c>
      <c r="K3648" s="564" t="s">
        <v>1105</v>
      </c>
      <c r="L3648" s="564" t="s">
        <v>2098</v>
      </c>
      <c r="M3648" s="564" t="s">
        <v>2098</v>
      </c>
      <c r="N3648" s="564" t="s">
        <v>1073</v>
      </c>
      <c r="O3648" s="564" t="s">
        <v>2099</v>
      </c>
      <c r="P3648" s="23"/>
      <c r="Q3648" s="23"/>
      <c r="R3648" s="23"/>
      <c r="S3648" s="23"/>
      <c r="T3648" s="23"/>
      <c r="U3648" s="23"/>
      <c r="V3648" s="23"/>
      <c r="W3648" s="23"/>
      <c r="X3648" s="23"/>
      <c r="Y3648" s="23"/>
      <c r="Z3648" s="23"/>
    </row>
    <row r="3649" spans="1:26" ht="13">
      <c r="A3649" s="562" t="s">
        <v>8151</v>
      </c>
      <c r="B3649" s="563" t="s">
        <v>7622</v>
      </c>
      <c r="C3649" s="564" t="s">
        <v>1612</v>
      </c>
      <c r="D3649" s="565">
        <v>41766</v>
      </c>
      <c r="E3649" s="565">
        <v>41789</v>
      </c>
      <c r="F3649" s="566">
        <v>232000</v>
      </c>
      <c r="G3649" s="564" t="s">
        <v>1424</v>
      </c>
      <c r="H3649" s="564" t="s">
        <v>1424</v>
      </c>
      <c r="I3649" s="564" t="s">
        <v>1586</v>
      </c>
      <c r="J3649" s="564" t="s">
        <v>1069</v>
      </c>
      <c r="K3649" s="564" t="s">
        <v>1090</v>
      </c>
      <c r="L3649" s="564" t="s">
        <v>2098</v>
      </c>
      <c r="M3649" s="564" t="s">
        <v>2098</v>
      </c>
      <c r="N3649" s="564" t="s">
        <v>1073</v>
      </c>
      <c r="O3649" s="564" t="s">
        <v>2099</v>
      </c>
      <c r="P3649" s="23"/>
      <c r="Q3649" s="23"/>
      <c r="R3649" s="23"/>
      <c r="S3649" s="23"/>
      <c r="T3649" s="23"/>
      <c r="U3649" s="23"/>
      <c r="V3649" s="23"/>
      <c r="W3649" s="23"/>
      <c r="X3649" s="23"/>
      <c r="Y3649" s="23"/>
      <c r="Z3649" s="23"/>
    </row>
    <row r="3650" spans="1:26" ht="13">
      <c r="A3650" s="562" t="s">
        <v>8152</v>
      </c>
      <c r="B3650" s="563" t="s">
        <v>7641</v>
      </c>
      <c r="C3650" s="564" t="s">
        <v>1612</v>
      </c>
      <c r="D3650" s="565">
        <v>41766</v>
      </c>
      <c r="E3650" s="565">
        <v>41789</v>
      </c>
      <c r="F3650" s="566">
        <v>212379000</v>
      </c>
      <c r="G3650" s="564" t="s">
        <v>5465</v>
      </c>
      <c r="H3650" s="564" t="s">
        <v>5465</v>
      </c>
      <c r="I3650" s="564" t="s">
        <v>45</v>
      </c>
      <c r="J3650" s="564" t="s">
        <v>1069</v>
      </c>
      <c r="K3650" s="564" t="s">
        <v>1090</v>
      </c>
      <c r="L3650" s="564" t="s">
        <v>2098</v>
      </c>
      <c r="M3650" s="564" t="s">
        <v>2098</v>
      </c>
      <c r="N3650" s="564" t="s">
        <v>45</v>
      </c>
      <c r="O3650" s="564" t="s">
        <v>2099</v>
      </c>
      <c r="P3650" s="23"/>
      <c r="Q3650" s="23"/>
      <c r="R3650" s="23"/>
      <c r="S3650" s="23"/>
      <c r="T3650" s="23"/>
      <c r="U3650" s="23"/>
      <c r="V3650" s="23"/>
      <c r="W3650" s="23"/>
      <c r="X3650" s="23"/>
      <c r="Y3650" s="23"/>
      <c r="Z3650" s="23"/>
    </row>
    <row r="3651" spans="1:26" ht="13">
      <c r="A3651" s="562" t="s">
        <v>8153</v>
      </c>
      <c r="B3651" s="563" t="s">
        <v>8154</v>
      </c>
      <c r="C3651" s="564" t="s">
        <v>6860</v>
      </c>
      <c r="D3651" s="565">
        <v>41767</v>
      </c>
      <c r="E3651" s="565">
        <v>41774</v>
      </c>
      <c r="F3651" s="566">
        <v>20348000</v>
      </c>
      <c r="G3651" s="564" t="s">
        <v>1128</v>
      </c>
      <c r="H3651" s="564" t="s">
        <v>1128</v>
      </c>
      <c r="I3651" s="564" t="s">
        <v>8155</v>
      </c>
      <c r="J3651" s="564" t="s">
        <v>1069</v>
      </c>
      <c r="K3651" s="564" t="s">
        <v>1070</v>
      </c>
      <c r="L3651" s="564" t="s">
        <v>2098</v>
      </c>
      <c r="M3651" s="564" t="s">
        <v>2098</v>
      </c>
      <c r="N3651" s="564" t="s">
        <v>1082</v>
      </c>
      <c r="O3651" s="564" t="s">
        <v>2099</v>
      </c>
      <c r="P3651" s="23"/>
      <c r="Q3651" s="23"/>
      <c r="R3651" s="23"/>
      <c r="S3651" s="23"/>
      <c r="T3651" s="23"/>
      <c r="U3651" s="23"/>
      <c r="V3651" s="23"/>
      <c r="W3651" s="23"/>
      <c r="X3651" s="23"/>
      <c r="Y3651" s="23"/>
      <c r="Z3651" s="23"/>
    </row>
    <row r="3652" spans="1:26" ht="13">
      <c r="A3652" s="562" t="s">
        <v>8156</v>
      </c>
      <c r="B3652" s="563" t="s">
        <v>8157</v>
      </c>
      <c r="C3652" s="564" t="s">
        <v>1612</v>
      </c>
      <c r="D3652" s="565">
        <v>41766</v>
      </c>
      <c r="E3652" s="565">
        <v>41789</v>
      </c>
      <c r="F3652" s="566">
        <v>387000000</v>
      </c>
      <c r="G3652" s="564" t="s">
        <v>5465</v>
      </c>
      <c r="H3652" s="564" t="s">
        <v>5465</v>
      </c>
      <c r="I3652" s="564" t="s">
        <v>45</v>
      </c>
      <c r="J3652" s="564" t="s">
        <v>1069</v>
      </c>
      <c r="K3652" s="564" t="s">
        <v>1090</v>
      </c>
      <c r="L3652" s="564" t="s">
        <v>2098</v>
      </c>
      <c r="M3652" s="564" t="s">
        <v>2098</v>
      </c>
      <c r="N3652" s="564" t="s">
        <v>45</v>
      </c>
      <c r="O3652" s="564" t="s">
        <v>2099</v>
      </c>
      <c r="P3652" s="23"/>
      <c r="Q3652" s="23"/>
      <c r="R3652" s="23"/>
      <c r="S3652" s="23"/>
      <c r="T3652" s="23"/>
      <c r="U3652" s="23"/>
      <c r="V3652" s="23"/>
      <c r="W3652" s="23"/>
      <c r="X3652" s="23"/>
      <c r="Y3652" s="23"/>
      <c r="Z3652" s="23"/>
    </row>
    <row r="3653" spans="1:26" ht="13">
      <c r="A3653" s="562" t="s">
        <v>8158</v>
      </c>
      <c r="B3653" s="563" t="s">
        <v>8159</v>
      </c>
      <c r="C3653" s="564" t="s">
        <v>1612</v>
      </c>
      <c r="D3653" s="565">
        <v>41766</v>
      </c>
      <c r="E3653" s="565">
        <v>41789</v>
      </c>
      <c r="F3653" s="566">
        <v>55270000</v>
      </c>
      <c r="G3653" s="564" t="s">
        <v>5465</v>
      </c>
      <c r="H3653" s="564" t="s">
        <v>5465</v>
      </c>
      <c r="I3653" s="564" t="s">
        <v>45</v>
      </c>
      <c r="J3653" s="564" t="s">
        <v>1069</v>
      </c>
      <c r="K3653" s="564" t="s">
        <v>1090</v>
      </c>
      <c r="L3653" s="564" t="s">
        <v>2098</v>
      </c>
      <c r="M3653" s="564" t="s">
        <v>2098</v>
      </c>
      <c r="N3653" s="564" t="s">
        <v>45</v>
      </c>
      <c r="O3653" s="564" t="s">
        <v>2099</v>
      </c>
      <c r="P3653" s="23"/>
      <c r="Q3653" s="23"/>
      <c r="R3653" s="23"/>
      <c r="S3653" s="23"/>
      <c r="T3653" s="23"/>
      <c r="U3653" s="23"/>
      <c r="V3653" s="23"/>
      <c r="W3653" s="23"/>
      <c r="X3653" s="23"/>
      <c r="Y3653" s="23"/>
      <c r="Z3653" s="23"/>
    </row>
    <row r="3654" spans="1:26" ht="13">
      <c r="A3654" s="562" t="s">
        <v>8160</v>
      </c>
      <c r="B3654" s="563" t="s">
        <v>7884</v>
      </c>
      <c r="C3654" s="564" t="s">
        <v>1612</v>
      </c>
      <c r="D3654" s="565">
        <v>41758</v>
      </c>
      <c r="E3654" s="565">
        <v>41803</v>
      </c>
      <c r="F3654" s="566">
        <v>4338</v>
      </c>
      <c r="G3654" s="564" t="s">
        <v>337</v>
      </c>
      <c r="H3654" s="564" t="s">
        <v>337</v>
      </c>
      <c r="I3654" s="564" t="s">
        <v>1837</v>
      </c>
      <c r="J3654" s="564" t="s">
        <v>1069</v>
      </c>
      <c r="K3654" s="564" t="s">
        <v>1090</v>
      </c>
      <c r="L3654" s="564" t="s">
        <v>2098</v>
      </c>
      <c r="M3654" s="564" t="s">
        <v>2098</v>
      </c>
      <c r="N3654" s="564" t="s">
        <v>1082</v>
      </c>
      <c r="O3654" s="564" t="s">
        <v>2099</v>
      </c>
      <c r="P3654" s="23"/>
      <c r="Q3654" s="23"/>
      <c r="R3654" s="23"/>
      <c r="S3654" s="23"/>
      <c r="T3654" s="23"/>
      <c r="U3654" s="23"/>
      <c r="V3654" s="23"/>
      <c r="W3654" s="23"/>
      <c r="X3654" s="23"/>
      <c r="Y3654" s="23"/>
      <c r="Z3654" s="23"/>
    </row>
    <row r="3655" spans="1:26" ht="13">
      <c r="A3655" s="562" t="s">
        <v>8161</v>
      </c>
      <c r="B3655" s="563" t="s">
        <v>8162</v>
      </c>
      <c r="C3655" s="564" t="s">
        <v>2191</v>
      </c>
      <c r="D3655" s="565">
        <v>41758</v>
      </c>
      <c r="E3655" s="565">
        <v>41973</v>
      </c>
      <c r="F3655" s="566">
        <v>51500</v>
      </c>
      <c r="G3655" s="564" t="s">
        <v>1636</v>
      </c>
      <c r="H3655" s="564" t="s">
        <v>1636</v>
      </c>
      <c r="I3655" s="564" t="s">
        <v>7175</v>
      </c>
      <c r="J3655" s="564" t="s">
        <v>1069</v>
      </c>
      <c r="K3655" s="564" t="s">
        <v>1070</v>
      </c>
      <c r="L3655" s="564" t="s">
        <v>2098</v>
      </c>
      <c r="M3655" s="564" t="s">
        <v>2098</v>
      </c>
      <c r="N3655" s="564" t="s">
        <v>1082</v>
      </c>
      <c r="O3655" s="564" t="s">
        <v>2099</v>
      </c>
      <c r="P3655" s="23"/>
      <c r="Q3655" s="23"/>
      <c r="R3655" s="23"/>
      <c r="S3655" s="23"/>
      <c r="T3655" s="23"/>
      <c r="U3655" s="23"/>
      <c r="V3655" s="23"/>
      <c r="W3655" s="23"/>
      <c r="X3655" s="23"/>
      <c r="Y3655" s="23"/>
      <c r="Z3655" s="23"/>
    </row>
    <row r="3656" spans="1:26" ht="13">
      <c r="A3656" s="562" t="s">
        <v>8163</v>
      </c>
      <c r="B3656" s="563" t="s">
        <v>8164</v>
      </c>
      <c r="C3656" s="564" t="s">
        <v>1612</v>
      </c>
      <c r="D3656" s="565">
        <v>41758</v>
      </c>
      <c r="E3656" s="565">
        <v>41775</v>
      </c>
      <c r="F3656" s="566">
        <v>172669</v>
      </c>
      <c r="G3656" s="564" t="s">
        <v>1424</v>
      </c>
      <c r="H3656" s="564" t="s">
        <v>1424</v>
      </c>
      <c r="I3656" s="564" t="s">
        <v>70</v>
      </c>
      <c r="J3656" s="564" t="s">
        <v>1069</v>
      </c>
      <c r="K3656" s="564" t="s">
        <v>1120</v>
      </c>
      <c r="L3656" s="564" t="s">
        <v>2098</v>
      </c>
      <c r="M3656" s="564" t="s">
        <v>2098</v>
      </c>
      <c r="N3656" s="564" t="s">
        <v>70</v>
      </c>
      <c r="O3656" s="564" t="s">
        <v>2099</v>
      </c>
      <c r="P3656" s="23"/>
      <c r="Q3656" s="23"/>
      <c r="R3656" s="23"/>
      <c r="S3656" s="23"/>
      <c r="T3656" s="23"/>
      <c r="U3656" s="23"/>
      <c r="V3656" s="23"/>
      <c r="W3656" s="23"/>
      <c r="X3656" s="23"/>
      <c r="Y3656" s="23"/>
      <c r="Z3656" s="23"/>
    </row>
    <row r="3657" spans="1:26" ht="13">
      <c r="A3657" s="562" t="s">
        <v>8165</v>
      </c>
      <c r="B3657" s="563" t="s">
        <v>7673</v>
      </c>
      <c r="C3657" s="564" t="s">
        <v>1612</v>
      </c>
      <c r="D3657" s="565">
        <v>41758</v>
      </c>
      <c r="E3657" s="565">
        <v>41788</v>
      </c>
      <c r="F3657" s="566">
        <v>5250</v>
      </c>
      <c r="G3657" s="564" t="s">
        <v>1424</v>
      </c>
      <c r="H3657" s="564" t="s">
        <v>1424</v>
      </c>
      <c r="I3657" s="564" t="s">
        <v>70</v>
      </c>
      <c r="J3657" s="564" t="s">
        <v>1069</v>
      </c>
      <c r="K3657" s="564" t="s">
        <v>1120</v>
      </c>
      <c r="L3657" s="564" t="s">
        <v>2098</v>
      </c>
      <c r="M3657" s="564" t="s">
        <v>2098</v>
      </c>
      <c r="N3657" s="564" t="s">
        <v>70</v>
      </c>
      <c r="O3657" s="564" t="s">
        <v>2099</v>
      </c>
      <c r="P3657" s="23"/>
      <c r="Q3657" s="23"/>
      <c r="R3657" s="23"/>
      <c r="S3657" s="23"/>
      <c r="T3657" s="23"/>
      <c r="U3657" s="23"/>
      <c r="V3657" s="23"/>
      <c r="W3657" s="23"/>
      <c r="X3657" s="23"/>
      <c r="Y3657" s="23"/>
      <c r="Z3657" s="23"/>
    </row>
    <row r="3658" spans="1:26" ht="13">
      <c r="A3658" s="562" t="s">
        <v>8166</v>
      </c>
      <c r="B3658" s="563" t="s">
        <v>8162</v>
      </c>
      <c r="C3658" s="564" t="s">
        <v>2191</v>
      </c>
      <c r="D3658" s="565">
        <v>41757</v>
      </c>
      <c r="E3658" s="565">
        <v>41973</v>
      </c>
      <c r="F3658" s="566">
        <v>51500</v>
      </c>
      <c r="G3658" s="564" t="s">
        <v>1636</v>
      </c>
      <c r="H3658" s="564" t="s">
        <v>1636</v>
      </c>
      <c r="I3658" s="564" t="s">
        <v>7175</v>
      </c>
      <c r="J3658" s="564" t="s">
        <v>1069</v>
      </c>
      <c r="K3658" s="564" t="s">
        <v>1070</v>
      </c>
      <c r="L3658" s="564" t="s">
        <v>2098</v>
      </c>
      <c r="M3658" s="564" t="s">
        <v>2098</v>
      </c>
      <c r="N3658" s="564" t="s">
        <v>1082</v>
      </c>
      <c r="O3658" s="564" t="s">
        <v>2099</v>
      </c>
      <c r="P3658" s="23"/>
      <c r="Q3658" s="23"/>
      <c r="R3658" s="23"/>
      <c r="S3658" s="23"/>
      <c r="T3658" s="23"/>
      <c r="U3658" s="23"/>
      <c r="V3658" s="23"/>
      <c r="W3658" s="23"/>
      <c r="X3658" s="23"/>
      <c r="Y3658" s="23"/>
      <c r="Z3658" s="23"/>
    </row>
    <row r="3659" spans="1:26" ht="13">
      <c r="A3659" s="562" t="s">
        <v>8167</v>
      </c>
      <c r="B3659" s="563" t="s">
        <v>8146</v>
      </c>
      <c r="C3659" s="564" t="s">
        <v>6860</v>
      </c>
      <c r="D3659" s="565">
        <v>41757</v>
      </c>
      <c r="E3659" s="565">
        <v>41901</v>
      </c>
      <c r="F3659" s="566">
        <v>109000</v>
      </c>
      <c r="G3659" s="564" t="s">
        <v>1116</v>
      </c>
      <c r="H3659" s="564" t="s">
        <v>1116</v>
      </c>
      <c r="I3659" s="564" t="s">
        <v>7439</v>
      </c>
      <c r="J3659" s="564" t="s">
        <v>1069</v>
      </c>
      <c r="K3659" s="564" t="s">
        <v>2430</v>
      </c>
      <c r="L3659" s="564" t="s">
        <v>2098</v>
      </c>
      <c r="M3659" s="564" t="s">
        <v>2098</v>
      </c>
      <c r="N3659" s="564" t="s">
        <v>1082</v>
      </c>
      <c r="O3659" s="564" t="s">
        <v>2099</v>
      </c>
      <c r="P3659" s="23"/>
      <c r="Q3659" s="23"/>
      <c r="R3659" s="23"/>
      <c r="S3659" s="23"/>
      <c r="T3659" s="23"/>
      <c r="U3659" s="23"/>
      <c r="V3659" s="23"/>
      <c r="W3659" s="23"/>
      <c r="X3659" s="23"/>
      <c r="Y3659" s="23"/>
      <c r="Z3659" s="23"/>
    </row>
    <row r="3660" spans="1:26" ht="13">
      <c r="A3660" s="562" t="s">
        <v>8168</v>
      </c>
      <c r="B3660" s="563" t="s">
        <v>8169</v>
      </c>
      <c r="C3660" s="564" t="s">
        <v>1612</v>
      </c>
      <c r="D3660" s="565">
        <v>41752</v>
      </c>
      <c r="E3660" s="565">
        <v>41781</v>
      </c>
      <c r="F3660" s="566">
        <v>2340</v>
      </c>
      <c r="G3660" s="564" t="s">
        <v>297</v>
      </c>
      <c r="H3660" s="564" t="s">
        <v>297</v>
      </c>
      <c r="I3660" s="564" t="s">
        <v>1837</v>
      </c>
      <c r="J3660" s="564" t="s">
        <v>1069</v>
      </c>
      <c r="K3660" s="564" t="s">
        <v>1070</v>
      </c>
      <c r="L3660" s="564" t="s">
        <v>2098</v>
      </c>
      <c r="M3660" s="564" t="s">
        <v>2098</v>
      </c>
      <c r="N3660" s="564" t="s">
        <v>1082</v>
      </c>
      <c r="O3660" s="564" t="s">
        <v>2099</v>
      </c>
      <c r="P3660" s="23"/>
      <c r="Q3660" s="23"/>
      <c r="R3660" s="23"/>
      <c r="S3660" s="23"/>
      <c r="T3660" s="23"/>
      <c r="U3660" s="23"/>
      <c r="V3660" s="23"/>
      <c r="W3660" s="23"/>
      <c r="X3660" s="23"/>
      <c r="Y3660" s="23"/>
      <c r="Z3660" s="23"/>
    </row>
    <row r="3661" spans="1:26" ht="13">
      <c r="A3661" s="562" t="s">
        <v>8170</v>
      </c>
      <c r="B3661" s="563" t="s">
        <v>8171</v>
      </c>
      <c r="C3661" s="564" t="s">
        <v>1612</v>
      </c>
      <c r="D3661" s="565">
        <v>41752</v>
      </c>
      <c r="E3661" s="565">
        <v>41764</v>
      </c>
      <c r="F3661" s="566">
        <v>10110000</v>
      </c>
      <c r="G3661" s="564" t="s">
        <v>1636</v>
      </c>
      <c r="H3661" s="564" t="s">
        <v>1636</v>
      </c>
      <c r="I3661" s="564" t="s">
        <v>45</v>
      </c>
      <c r="J3661" s="564" t="s">
        <v>1069</v>
      </c>
      <c r="K3661" s="564" t="s">
        <v>1090</v>
      </c>
      <c r="L3661" s="564" t="s">
        <v>2098</v>
      </c>
      <c r="M3661" s="564" t="s">
        <v>2098</v>
      </c>
      <c r="N3661" s="564" t="s">
        <v>45</v>
      </c>
      <c r="O3661" s="564" t="s">
        <v>2099</v>
      </c>
      <c r="P3661" s="23"/>
      <c r="Q3661" s="23"/>
      <c r="R3661" s="23"/>
      <c r="S3661" s="23"/>
      <c r="T3661" s="23"/>
      <c r="U3661" s="23"/>
      <c r="V3661" s="23"/>
      <c r="W3661" s="23"/>
      <c r="X3661" s="23"/>
      <c r="Y3661" s="23"/>
      <c r="Z3661" s="23"/>
    </row>
    <row r="3662" spans="1:26" ht="13">
      <c r="A3662" s="562" t="s">
        <v>8172</v>
      </c>
      <c r="B3662" s="563" t="s">
        <v>8164</v>
      </c>
      <c r="C3662" s="564" t="s">
        <v>1612</v>
      </c>
      <c r="D3662" s="565">
        <v>41751</v>
      </c>
      <c r="E3662" s="565">
        <v>41775</v>
      </c>
      <c r="F3662" s="566">
        <v>174988</v>
      </c>
      <c r="G3662" s="564" t="s">
        <v>1424</v>
      </c>
      <c r="H3662" s="564" t="s">
        <v>1424</v>
      </c>
      <c r="I3662" s="564" t="s">
        <v>70</v>
      </c>
      <c r="J3662" s="564" t="s">
        <v>1069</v>
      </c>
      <c r="K3662" s="564" t="s">
        <v>1120</v>
      </c>
      <c r="L3662" s="564" t="s">
        <v>2098</v>
      </c>
      <c r="M3662" s="564" t="s">
        <v>2098</v>
      </c>
      <c r="N3662" s="564" t="s">
        <v>70</v>
      </c>
      <c r="O3662" s="564" t="s">
        <v>2099</v>
      </c>
      <c r="P3662" s="23"/>
      <c r="Q3662" s="23"/>
      <c r="R3662" s="23"/>
      <c r="S3662" s="23"/>
      <c r="T3662" s="23"/>
      <c r="U3662" s="23"/>
      <c r="V3662" s="23"/>
      <c r="W3662" s="23"/>
      <c r="X3662" s="23"/>
      <c r="Y3662" s="23"/>
      <c r="Z3662" s="23"/>
    </row>
    <row r="3663" spans="1:26" ht="13">
      <c r="A3663" s="562" t="s">
        <v>8173</v>
      </c>
      <c r="B3663" s="563" t="s">
        <v>8174</v>
      </c>
      <c r="C3663" s="564" t="s">
        <v>1612</v>
      </c>
      <c r="D3663" s="565">
        <v>41750</v>
      </c>
      <c r="E3663" s="565">
        <v>41760</v>
      </c>
      <c r="F3663" s="566">
        <v>20073360</v>
      </c>
      <c r="G3663" s="564" t="s">
        <v>337</v>
      </c>
      <c r="H3663" s="564" t="s">
        <v>337</v>
      </c>
      <c r="I3663" s="564" t="s">
        <v>45</v>
      </c>
      <c r="J3663" s="564" t="s">
        <v>1069</v>
      </c>
      <c r="K3663" s="564" t="s">
        <v>1090</v>
      </c>
      <c r="L3663" s="564" t="s">
        <v>1071</v>
      </c>
      <c r="M3663" s="564" t="s">
        <v>1183</v>
      </c>
      <c r="N3663" s="564" t="s">
        <v>45</v>
      </c>
      <c r="O3663" s="564" t="s">
        <v>2099</v>
      </c>
      <c r="P3663" s="23"/>
      <c r="Q3663" s="23"/>
      <c r="R3663" s="23"/>
      <c r="S3663" s="23"/>
      <c r="T3663" s="23"/>
      <c r="U3663" s="23"/>
      <c r="V3663" s="23"/>
      <c r="W3663" s="23"/>
      <c r="X3663" s="23"/>
      <c r="Y3663" s="23"/>
      <c r="Z3663" s="23"/>
    </row>
    <row r="3664" spans="1:26" ht="13">
      <c r="A3664" s="562" t="s">
        <v>8175</v>
      </c>
      <c r="B3664" s="563" t="s">
        <v>7884</v>
      </c>
      <c r="C3664" s="564" t="s">
        <v>1612</v>
      </c>
      <c r="D3664" s="565">
        <v>41747</v>
      </c>
      <c r="E3664" s="565">
        <v>41768</v>
      </c>
      <c r="F3664" s="566">
        <v>16255</v>
      </c>
      <c r="G3664" s="564" t="s">
        <v>337</v>
      </c>
      <c r="H3664" s="564" t="s">
        <v>337</v>
      </c>
      <c r="I3664" s="564" t="s">
        <v>1837</v>
      </c>
      <c r="J3664" s="564" t="s">
        <v>1069</v>
      </c>
      <c r="K3664" s="564" t="s">
        <v>1090</v>
      </c>
      <c r="L3664" s="564" t="s">
        <v>2098</v>
      </c>
      <c r="M3664" s="564" t="s">
        <v>2098</v>
      </c>
      <c r="N3664" s="564" t="s">
        <v>1082</v>
      </c>
      <c r="O3664" s="564" t="s">
        <v>2099</v>
      </c>
      <c r="P3664" s="23"/>
      <c r="Q3664" s="23"/>
      <c r="R3664" s="23"/>
      <c r="S3664" s="23"/>
      <c r="T3664" s="23"/>
      <c r="U3664" s="23"/>
      <c r="V3664" s="23"/>
      <c r="W3664" s="23"/>
      <c r="X3664" s="23"/>
      <c r="Y3664" s="23"/>
      <c r="Z3664" s="23"/>
    </row>
    <row r="3665" spans="1:26" ht="13">
      <c r="A3665" s="562" t="s">
        <v>8176</v>
      </c>
      <c r="B3665" s="563" t="s">
        <v>8177</v>
      </c>
      <c r="C3665" s="564" t="s">
        <v>1612</v>
      </c>
      <c r="D3665" s="565">
        <v>41747</v>
      </c>
      <c r="E3665" s="565">
        <v>41730</v>
      </c>
      <c r="F3665" s="566">
        <v>218681280</v>
      </c>
      <c r="G3665" s="564" t="s">
        <v>337</v>
      </c>
      <c r="H3665" s="564" t="s">
        <v>337</v>
      </c>
      <c r="I3665" s="564" t="s">
        <v>45</v>
      </c>
      <c r="J3665" s="564" t="s">
        <v>1069</v>
      </c>
      <c r="K3665" s="564" t="s">
        <v>1090</v>
      </c>
      <c r="L3665" s="564" t="s">
        <v>1071</v>
      </c>
      <c r="M3665" s="564" t="s">
        <v>1183</v>
      </c>
      <c r="N3665" s="564" t="s">
        <v>45</v>
      </c>
      <c r="O3665" s="564" t="s">
        <v>2099</v>
      </c>
      <c r="P3665" s="23"/>
      <c r="Q3665" s="23"/>
      <c r="R3665" s="23"/>
      <c r="S3665" s="23"/>
      <c r="T3665" s="23"/>
      <c r="U3665" s="23"/>
      <c r="V3665" s="23"/>
      <c r="W3665" s="23"/>
      <c r="X3665" s="23"/>
      <c r="Y3665" s="23"/>
      <c r="Z3665" s="23"/>
    </row>
    <row r="3666" spans="1:26" ht="13">
      <c r="A3666" s="562" t="s">
        <v>8178</v>
      </c>
      <c r="B3666" s="563" t="s">
        <v>8179</v>
      </c>
      <c r="C3666" s="564" t="s">
        <v>1612</v>
      </c>
      <c r="D3666" s="565">
        <v>41745</v>
      </c>
      <c r="E3666" s="565">
        <v>41775</v>
      </c>
      <c r="F3666" s="566">
        <v>127000</v>
      </c>
      <c r="G3666" s="564" t="s">
        <v>1424</v>
      </c>
      <c r="H3666" s="564" t="s">
        <v>1424</v>
      </c>
      <c r="I3666" s="564" t="s">
        <v>1161</v>
      </c>
      <c r="J3666" s="564" t="s">
        <v>1069</v>
      </c>
      <c r="K3666" s="564" t="s">
        <v>1090</v>
      </c>
      <c r="L3666" s="564" t="s">
        <v>2098</v>
      </c>
      <c r="M3666" s="564" t="s">
        <v>2098</v>
      </c>
      <c r="N3666" s="564" t="s">
        <v>1073</v>
      </c>
      <c r="O3666" s="564" t="s">
        <v>2099</v>
      </c>
      <c r="P3666" s="23"/>
      <c r="Q3666" s="23"/>
      <c r="R3666" s="23"/>
      <c r="S3666" s="23"/>
      <c r="T3666" s="23"/>
      <c r="U3666" s="23"/>
      <c r="V3666" s="23"/>
      <c r="W3666" s="23"/>
      <c r="X3666" s="23"/>
      <c r="Y3666" s="23"/>
      <c r="Z3666" s="23"/>
    </row>
    <row r="3667" spans="1:26" ht="13">
      <c r="A3667" s="562" t="s">
        <v>8180</v>
      </c>
      <c r="B3667" s="563" t="s">
        <v>7190</v>
      </c>
      <c r="C3667" s="564" t="s">
        <v>1612</v>
      </c>
      <c r="D3667" s="565">
        <v>41746</v>
      </c>
      <c r="E3667" s="565">
        <v>41759</v>
      </c>
      <c r="F3667" s="566">
        <v>9152000</v>
      </c>
      <c r="G3667" s="564" t="s">
        <v>1128</v>
      </c>
      <c r="H3667" s="564" t="s">
        <v>1128</v>
      </c>
      <c r="I3667" s="564" t="s">
        <v>45</v>
      </c>
      <c r="J3667" s="564" t="s">
        <v>1069</v>
      </c>
      <c r="K3667" s="564" t="s">
        <v>1090</v>
      </c>
      <c r="L3667" s="564" t="s">
        <v>2098</v>
      </c>
      <c r="M3667" s="564" t="s">
        <v>2098</v>
      </c>
      <c r="N3667" s="564" t="s">
        <v>45</v>
      </c>
      <c r="O3667" s="564" t="s">
        <v>2099</v>
      </c>
      <c r="P3667" s="23"/>
      <c r="Q3667" s="23"/>
      <c r="R3667" s="23"/>
      <c r="S3667" s="23"/>
      <c r="T3667" s="23"/>
      <c r="U3667" s="23"/>
      <c r="V3667" s="23"/>
      <c r="W3667" s="23"/>
      <c r="X3667" s="23"/>
      <c r="Y3667" s="23"/>
      <c r="Z3667" s="23"/>
    </row>
    <row r="3668" spans="1:26" ht="13">
      <c r="A3668" s="562" t="s">
        <v>8181</v>
      </c>
      <c r="B3668" s="563" t="s">
        <v>8182</v>
      </c>
      <c r="C3668" s="564" t="s">
        <v>1612</v>
      </c>
      <c r="D3668" s="565">
        <v>41744</v>
      </c>
      <c r="E3668" s="565">
        <v>41773</v>
      </c>
      <c r="F3668" s="566">
        <v>1050</v>
      </c>
      <c r="G3668" s="564" t="s">
        <v>1424</v>
      </c>
      <c r="H3668" s="564" t="s">
        <v>1424</v>
      </c>
      <c r="I3668" s="564" t="s">
        <v>121</v>
      </c>
      <c r="J3668" s="564" t="s">
        <v>1069</v>
      </c>
      <c r="K3668" s="564" t="s">
        <v>1105</v>
      </c>
      <c r="L3668" s="564" t="s">
        <v>2098</v>
      </c>
      <c r="M3668" s="564" t="s">
        <v>2098</v>
      </c>
      <c r="N3668" s="564" t="s">
        <v>1073</v>
      </c>
      <c r="O3668" s="564" t="s">
        <v>2099</v>
      </c>
      <c r="P3668" s="23"/>
      <c r="Q3668" s="23"/>
      <c r="R3668" s="23"/>
      <c r="S3668" s="23"/>
      <c r="T3668" s="23"/>
      <c r="U3668" s="23"/>
      <c r="V3668" s="23"/>
      <c r="W3668" s="23"/>
      <c r="X3668" s="23"/>
      <c r="Y3668" s="23"/>
      <c r="Z3668" s="23"/>
    </row>
    <row r="3669" spans="1:26" ht="13">
      <c r="A3669" s="562" t="s">
        <v>8183</v>
      </c>
      <c r="B3669" s="563" t="s">
        <v>8184</v>
      </c>
      <c r="C3669" s="564" t="s">
        <v>1612</v>
      </c>
      <c r="D3669" s="565">
        <v>41743</v>
      </c>
      <c r="E3669" s="565">
        <v>41759</v>
      </c>
      <c r="F3669" s="566">
        <v>60045000</v>
      </c>
      <c r="G3669" s="564" t="s">
        <v>1157</v>
      </c>
      <c r="H3669" s="564" t="s">
        <v>1157</v>
      </c>
      <c r="I3669" s="564" t="s">
        <v>70</v>
      </c>
      <c r="J3669" s="564" t="s">
        <v>1069</v>
      </c>
      <c r="K3669" s="564" t="s">
        <v>1120</v>
      </c>
      <c r="L3669" s="564" t="s">
        <v>2098</v>
      </c>
      <c r="M3669" s="564" t="s">
        <v>2098</v>
      </c>
      <c r="N3669" s="564" t="s">
        <v>70</v>
      </c>
      <c r="O3669" s="564" t="s">
        <v>2099</v>
      </c>
      <c r="P3669" s="23"/>
      <c r="Q3669" s="23"/>
      <c r="R3669" s="23"/>
      <c r="S3669" s="23"/>
      <c r="T3669" s="23"/>
      <c r="U3669" s="23"/>
      <c r="V3669" s="23"/>
      <c r="W3669" s="23"/>
      <c r="X3669" s="23"/>
      <c r="Y3669" s="23"/>
      <c r="Z3669" s="23"/>
    </row>
    <row r="3670" spans="1:26" ht="13">
      <c r="A3670" s="562" t="s">
        <v>8185</v>
      </c>
      <c r="B3670" s="563" t="s">
        <v>7820</v>
      </c>
      <c r="C3670" s="564" t="s">
        <v>2191</v>
      </c>
      <c r="D3670" s="565">
        <v>41744</v>
      </c>
      <c r="E3670" s="565">
        <v>41881</v>
      </c>
      <c r="F3670" s="566">
        <v>154500</v>
      </c>
      <c r="G3670" s="564" t="s">
        <v>1636</v>
      </c>
      <c r="H3670" s="564" t="s">
        <v>1636</v>
      </c>
      <c r="I3670" s="564" t="s">
        <v>7175</v>
      </c>
      <c r="J3670" s="564" t="s">
        <v>1069</v>
      </c>
      <c r="K3670" s="564" t="s">
        <v>1070</v>
      </c>
      <c r="L3670" s="564" t="s">
        <v>2098</v>
      </c>
      <c r="M3670" s="564" t="s">
        <v>2098</v>
      </c>
      <c r="N3670" s="564" t="s">
        <v>1082</v>
      </c>
      <c r="O3670" s="564" t="s">
        <v>2099</v>
      </c>
      <c r="P3670" s="23"/>
      <c r="Q3670" s="23"/>
      <c r="R3670" s="23"/>
      <c r="S3670" s="23"/>
      <c r="T3670" s="23"/>
      <c r="U3670" s="23"/>
      <c r="V3670" s="23"/>
      <c r="W3670" s="23"/>
      <c r="X3670" s="23"/>
      <c r="Y3670" s="23"/>
      <c r="Z3670" s="23"/>
    </row>
    <row r="3671" spans="1:26" ht="13">
      <c r="A3671" s="562" t="s">
        <v>8186</v>
      </c>
      <c r="B3671" s="563" t="s">
        <v>7884</v>
      </c>
      <c r="C3671" s="564" t="s">
        <v>1612</v>
      </c>
      <c r="D3671" s="565">
        <v>41743</v>
      </c>
      <c r="E3671" s="565">
        <v>41759</v>
      </c>
      <c r="F3671" s="566">
        <v>25810</v>
      </c>
      <c r="G3671" s="564" t="s">
        <v>337</v>
      </c>
      <c r="H3671" s="564" t="s">
        <v>337</v>
      </c>
      <c r="I3671" s="564" t="s">
        <v>1837</v>
      </c>
      <c r="J3671" s="564" t="s">
        <v>1069</v>
      </c>
      <c r="K3671" s="564" t="s">
        <v>1090</v>
      </c>
      <c r="L3671" s="564" t="s">
        <v>2098</v>
      </c>
      <c r="M3671" s="564" t="s">
        <v>2098</v>
      </c>
      <c r="N3671" s="564" t="s">
        <v>1082</v>
      </c>
      <c r="O3671" s="564" t="s">
        <v>2099</v>
      </c>
      <c r="P3671" s="23"/>
      <c r="Q3671" s="23"/>
      <c r="R3671" s="23"/>
      <c r="S3671" s="23"/>
      <c r="T3671" s="23"/>
      <c r="U3671" s="23"/>
      <c r="V3671" s="23"/>
      <c r="W3671" s="23"/>
      <c r="X3671" s="23"/>
      <c r="Y3671" s="23"/>
      <c r="Z3671" s="23"/>
    </row>
    <row r="3672" spans="1:26" ht="13">
      <c r="A3672" s="562" t="s">
        <v>8187</v>
      </c>
      <c r="B3672" s="563" t="s">
        <v>8188</v>
      </c>
      <c r="C3672" s="564" t="s">
        <v>1612</v>
      </c>
      <c r="D3672" s="565">
        <v>41740</v>
      </c>
      <c r="E3672" s="565">
        <v>41754</v>
      </c>
      <c r="F3672" s="566">
        <v>42700</v>
      </c>
      <c r="G3672" s="564" t="s">
        <v>337</v>
      </c>
      <c r="H3672" s="564" t="s">
        <v>337</v>
      </c>
      <c r="I3672" s="564" t="s">
        <v>802</v>
      </c>
      <c r="J3672" s="564" t="s">
        <v>1069</v>
      </c>
      <c r="K3672" s="564" t="s">
        <v>1198</v>
      </c>
      <c r="L3672" s="564" t="s">
        <v>2098</v>
      </c>
      <c r="M3672" s="564" t="s">
        <v>2098</v>
      </c>
      <c r="N3672" s="564" t="s">
        <v>132</v>
      </c>
      <c r="O3672" s="564" t="s">
        <v>2099</v>
      </c>
      <c r="P3672" s="23"/>
      <c r="Q3672" s="23"/>
      <c r="R3672" s="23"/>
      <c r="S3672" s="23"/>
      <c r="T3672" s="23"/>
      <c r="U3672" s="23"/>
      <c r="V3672" s="23"/>
      <c r="W3672" s="23"/>
      <c r="X3672" s="23"/>
      <c r="Y3672" s="23"/>
      <c r="Z3672" s="23"/>
    </row>
    <row r="3673" spans="1:26" ht="13">
      <c r="A3673" s="562" t="s">
        <v>8189</v>
      </c>
      <c r="B3673" s="563" t="s">
        <v>7884</v>
      </c>
      <c r="C3673" s="564" t="s">
        <v>1612</v>
      </c>
      <c r="D3673" s="565">
        <v>41738</v>
      </c>
      <c r="E3673" s="565">
        <v>41754</v>
      </c>
      <c r="F3673" s="566">
        <v>10430</v>
      </c>
      <c r="G3673" s="564" t="s">
        <v>337</v>
      </c>
      <c r="H3673" s="564" t="s">
        <v>337</v>
      </c>
      <c r="I3673" s="564" t="s">
        <v>1837</v>
      </c>
      <c r="J3673" s="564" t="s">
        <v>1069</v>
      </c>
      <c r="K3673" s="564" t="s">
        <v>1090</v>
      </c>
      <c r="L3673" s="564" t="s">
        <v>2098</v>
      </c>
      <c r="M3673" s="564" t="s">
        <v>2098</v>
      </c>
      <c r="N3673" s="564" t="s">
        <v>1082</v>
      </c>
      <c r="O3673" s="564" t="s">
        <v>2099</v>
      </c>
      <c r="P3673" s="23"/>
      <c r="Q3673" s="23"/>
      <c r="R3673" s="23"/>
      <c r="S3673" s="23"/>
      <c r="T3673" s="23"/>
      <c r="U3673" s="23"/>
      <c r="V3673" s="23"/>
      <c r="W3673" s="23"/>
      <c r="X3673" s="23"/>
      <c r="Y3673" s="23"/>
      <c r="Z3673" s="23"/>
    </row>
    <row r="3674" spans="1:26" ht="13">
      <c r="A3674" s="562" t="s">
        <v>8190</v>
      </c>
      <c r="B3674" s="563" t="s">
        <v>8191</v>
      </c>
      <c r="C3674" s="564" t="s">
        <v>1873</v>
      </c>
      <c r="D3674" s="565">
        <v>41738</v>
      </c>
      <c r="E3674" s="565">
        <v>41759</v>
      </c>
      <c r="F3674" s="567">
        <v>550</v>
      </c>
      <c r="G3674" s="564" t="s">
        <v>1424</v>
      </c>
      <c r="H3674" s="564" t="s">
        <v>1424</v>
      </c>
      <c r="I3674" s="564" t="s">
        <v>170</v>
      </c>
      <c r="J3674" s="564" t="s">
        <v>1069</v>
      </c>
      <c r="K3674" s="564" t="s">
        <v>1105</v>
      </c>
      <c r="L3674" s="564" t="s">
        <v>2098</v>
      </c>
      <c r="M3674" s="564" t="s">
        <v>2098</v>
      </c>
      <c r="N3674" s="564" t="s">
        <v>170</v>
      </c>
      <c r="O3674" s="564" t="s">
        <v>2099</v>
      </c>
      <c r="P3674" s="23"/>
      <c r="Q3674" s="23"/>
      <c r="R3674" s="23"/>
      <c r="S3674" s="23"/>
      <c r="T3674" s="23"/>
      <c r="U3674" s="23"/>
      <c r="V3674" s="23"/>
      <c r="W3674" s="23"/>
      <c r="X3674" s="23"/>
      <c r="Y3674" s="23"/>
      <c r="Z3674" s="23"/>
    </row>
    <row r="3675" spans="1:26" ht="13">
      <c r="A3675" s="562" t="s">
        <v>8192</v>
      </c>
      <c r="B3675" s="563" t="s">
        <v>8193</v>
      </c>
      <c r="C3675" s="564" t="s">
        <v>1612</v>
      </c>
      <c r="D3675" s="565">
        <v>41737</v>
      </c>
      <c r="E3675" s="565">
        <v>41759</v>
      </c>
      <c r="F3675" s="566">
        <v>408736000</v>
      </c>
      <c r="G3675" s="564" t="s">
        <v>5465</v>
      </c>
      <c r="H3675" s="564" t="s">
        <v>5465</v>
      </c>
      <c r="I3675" s="564" t="s">
        <v>45</v>
      </c>
      <c r="J3675" s="564" t="s">
        <v>1069</v>
      </c>
      <c r="K3675" s="564" t="s">
        <v>1090</v>
      </c>
      <c r="L3675" s="564" t="s">
        <v>2098</v>
      </c>
      <c r="M3675" s="564" t="s">
        <v>2098</v>
      </c>
      <c r="N3675" s="564" t="s">
        <v>45</v>
      </c>
      <c r="O3675" s="564" t="s">
        <v>2099</v>
      </c>
      <c r="P3675" s="23"/>
      <c r="Q3675" s="23"/>
      <c r="R3675" s="23"/>
      <c r="S3675" s="23"/>
      <c r="T3675" s="23"/>
      <c r="U3675" s="23"/>
      <c r="V3675" s="23"/>
      <c r="W3675" s="23"/>
      <c r="X3675" s="23"/>
      <c r="Y3675" s="23"/>
      <c r="Z3675" s="23"/>
    </row>
    <row r="3676" spans="1:26" ht="13">
      <c r="A3676" s="562" t="s">
        <v>8194</v>
      </c>
      <c r="B3676" s="563" t="s">
        <v>8195</v>
      </c>
      <c r="C3676" s="564" t="s">
        <v>1612</v>
      </c>
      <c r="D3676" s="565">
        <v>41736</v>
      </c>
      <c r="E3676" s="565">
        <v>41759</v>
      </c>
      <c r="F3676" s="566">
        <v>57461000</v>
      </c>
      <c r="G3676" s="564" t="s">
        <v>5465</v>
      </c>
      <c r="H3676" s="564" t="s">
        <v>5465</v>
      </c>
      <c r="I3676" s="564" t="s">
        <v>45</v>
      </c>
      <c r="J3676" s="564" t="s">
        <v>1069</v>
      </c>
      <c r="K3676" s="564" t="s">
        <v>1090</v>
      </c>
      <c r="L3676" s="564" t="s">
        <v>2098</v>
      </c>
      <c r="M3676" s="564" t="s">
        <v>2098</v>
      </c>
      <c r="N3676" s="564" t="s">
        <v>45</v>
      </c>
      <c r="O3676" s="564" t="s">
        <v>2099</v>
      </c>
      <c r="P3676" s="23"/>
      <c r="Q3676" s="23"/>
      <c r="R3676" s="23"/>
      <c r="S3676" s="23"/>
      <c r="T3676" s="23"/>
      <c r="U3676" s="23"/>
      <c r="V3676" s="23"/>
      <c r="W3676" s="23"/>
      <c r="X3676" s="23"/>
      <c r="Y3676" s="23"/>
      <c r="Z3676" s="23"/>
    </row>
    <row r="3677" spans="1:26" ht="13">
      <c r="A3677" s="562" t="s">
        <v>8196</v>
      </c>
      <c r="B3677" s="563" t="s">
        <v>8197</v>
      </c>
      <c r="C3677" s="564" t="s">
        <v>1612</v>
      </c>
      <c r="D3677" s="565">
        <v>41731</v>
      </c>
      <c r="E3677" s="565">
        <v>41754</v>
      </c>
      <c r="F3677" s="566">
        <v>21210</v>
      </c>
      <c r="G3677" s="564" t="s">
        <v>297</v>
      </c>
      <c r="H3677" s="564" t="s">
        <v>297</v>
      </c>
      <c r="I3677" s="564" t="s">
        <v>1837</v>
      </c>
      <c r="J3677" s="564" t="s">
        <v>1069</v>
      </c>
      <c r="K3677" s="564" t="s">
        <v>1070</v>
      </c>
      <c r="L3677" s="564" t="s">
        <v>2098</v>
      </c>
      <c r="M3677" s="564" t="s">
        <v>2098</v>
      </c>
      <c r="N3677" s="564" t="s">
        <v>1082</v>
      </c>
      <c r="O3677" s="564" t="s">
        <v>2099</v>
      </c>
      <c r="P3677" s="23"/>
      <c r="Q3677" s="23"/>
      <c r="R3677" s="23"/>
      <c r="S3677" s="23"/>
      <c r="T3677" s="23"/>
      <c r="U3677" s="23"/>
      <c r="V3677" s="23"/>
      <c r="W3677" s="23"/>
      <c r="X3677" s="23"/>
      <c r="Y3677" s="23"/>
      <c r="Z3677" s="23"/>
    </row>
    <row r="3678" spans="1:26" ht="13">
      <c r="A3678" s="562" t="s">
        <v>8198</v>
      </c>
      <c r="B3678" s="563" t="s">
        <v>8199</v>
      </c>
      <c r="C3678" s="564" t="s">
        <v>1612</v>
      </c>
      <c r="D3678" s="565">
        <v>41730</v>
      </c>
      <c r="E3678" s="565">
        <v>41738</v>
      </c>
      <c r="F3678" s="566">
        <v>21060</v>
      </c>
      <c r="G3678" s="564" t="s">
        <v>1424</v>
      </c>
      <c r="H3678" s="564" t="s">
        <v>1424</v>
      </c>
      <c r="I3678" s="564" t="s">
        <v>70</v>
      </c>
      <c r="J3678" s="564" t="s">
        <v>1069</v>
      </c>
      <c r="K3678" s="564" t="s">
        <v>1120</v>
      </c>
      <c r="L3678" s="564" t="s">
        <v>2098</v>
      </c>
      <c r="M3678" s="564" t="s">
        <v>2098</v>
      </c>
      <c r="N3678" s="564" t="s">
        <v>70</v>
      </c>
      <c r="O3678" s="564" t="s">
        <v>2099</v>
      </c>
      <c r="P3678" s="23"/>
      <c r="Q3678" s="23"/>
      <c r="R3678" s="23"/>
      <c r="S3678" s="23"/>
      <c r="T3678" s="23"/>
      <c r="U3678" s="23"/>
      <c r="V3678" s="23"/>
      <c r="W3678" s="23"/>
      <c r="X3678" s="23"/>
      <c r="Y3678" s="23"/>
      <c r="Z3678" s="23"/>
    </row>
    <row r="3679" spans="1:26" ht="13">
      <c r="A3679" s="562" t="s">
        <v>8200</v>
      </c>
      <c r="B3679" s="563" t="s">
        <v>8201</v>
      </c>
      <c r="C3679" s="564" t="s">
        <v>1612</v>
      </c>
      <c r="D3679" s="565">
        <v>41726</v>
      </c>
      <c r="E3679" s="565">
        <v>41730</v>
      </c>
      <c r="F3679" s="566">
        <v>14169600</v>
      </c>
      <c r="G3679" s="564" t="s">
        <v>337</v>
      </c>
      <c r="H3679" s="564" t="s">
        <v>337</v>
      </c>
      <c r="I3679" s="564" t="s">
        <v>45</v>
      </c>
      <c r="J3679" s="564" t="s">
        <v>1069</v>
      </c>
      <c r="K3679" s="564" t="s">
        <v>1090</v>
      </c>
      <c r="L3679" s="564" t="s">
        <v>1071</v>
      </c>
      <c r="M3679" s="564" t="s">
        <v>1183</v>
      </c>
      <c r="N3679" s="564" t="s">
        <v>45</v>
      </c>
      <c r="O3679" s="564" t="s">
        <v>2099</v>
      </c>
      <c r="P3679" s="23"/>
      <c r="Q3679" s="23"/>
      <c r="R3679" s="23"/>
      <c r="S3679" s="23"/>
      <c r="T3679" s="23"/>
      <c r="U3679" s="23"/>
      <c r="V3679" s="23"/>
      <c r="W3679" s="23"/>
      <c r="X3679" s="23"/>
      <c r="Y3679" s="23"/>
      <c r="Z3679" s="23"/>
    </row>
    <row r="3680" spans="1:26" ht="13">
      <c r="A3680" s="562" t="s">
        <v>8202</v>
      </c>
      <c r="B3680" s="563" t="s">
        <v>7884</v>
      </c>
      <c r="C3680" s="564" t="s">
        <v>1612</v>
      </c>
      <c r="D3680" s="565">
        <v>41725</v>
      </c>
      <c r="E3680" s="565">
        <v>41740</v>
      </c>
      <c r="F3680" s="566">
        <v>45051</v>
      </c>
      <c r="G3680" s="564" t="s">
        <v>337</v>
      </c>
      <c r="H3680" s="564" t="s">
        <v>337</v>
      </c>
      <c r="I3680" s="564" t="s">
        <v>1837</v>
      </c>
      <c r="J3680" s="564" t="s">
        <v>1069</v>
      </c>
      <c r="K3680" s="564" t="s">
        <v>1090</v>
      </c>
      <c r="L3680" s="564" t="s">
        <v>2098</v>
      </c>
      <c r="M3680" s="564" t="s">
        <v>2098</v>
      </c>
      <c r="N3680" s="564" t="s">
        <v>1082</v>
      </c>
      <c r="O3680" s="564" t="s">
        <v>2099</v>
      </c>
      <c r="P3680" s="23"/>
      <c r="Q3680" s="23"/>
      <c r="R3680" s="23"/>
      <c r="S3680" s="23"/>
      <c r="T3680" s="23"/>
      <c r="U3680" s="23"/>
      <c r="V3680" s="23"/>
      <c r="W3680" s="23"/>
      <c r="X3680" s="23"/>
      <c r="Y3680" s="23"/>
      <c r="Z3680" s="23"/>
    </row>
    <row r="3681" spans="1:26" ht="13">
      <c r="A3681" s="562" t="s">
        <v>8203</v>
      </c>
      <c r="B3681" s="563" t="s">
        <v>8204</v>
      </c>
      <c r="C3681" s="564" t="s">
        <v>1612</v>
      </c>
      <c r="D3681" s="565">
        <v>41723</v>
      </c>
      <c r="E3681" s="565">
        <v>41729</v>
      </c>
      <c r="F3681" s="566">
        <v>2100</v>
      </c>
      <c r="G3681" s="564" t="s">
        <v>297</v>
      </c>
      <c r="H3681" s="564" t="s">
        <v>297</v>
      </c>
      <c r="I3681" s="564" t="s">
        <v>1837</v>
      </c>
      <c r="J3681" s="564" t="s">
        <v>1069</v>
      </c>
      <c r="K3681" s="564" t="s">
        <v>1070</v>
      </c>
      <c r="L3681" s="564" t="s">
        <v>2098</v>
      </c>
      <c r="M3681" s="564" t="s">
        <v>2098</v>
      </c>
      <c r="N3681" s="564" t="s">
        <v>1082</v>
      </c>
      <c r="O3681" s="564" t="s">
        <v>2099</v>
      </c>
      <c r="P3681" s="23"/>
      <c r="Q3681" s="23"/>
      <c r="R3681" s="23"/>
      <c r="S3681" s="23"/>
      <c r="T3681" s="23"/>
      <c r="U3681" s="23"/>
      <c r="V3681" s="23"/>
      <c r="W3681" s="23"/>
      <c r="X3681" s="23"/>
      <c r="Y3681" s="23"/>
      <c r="Z3681" s="23"/>
    </row>
    <row r="3682" spans="1:26" ht="13">
      <c r="A3682" s="562" t="s">
        <v>8205</v>
      </c>
      <c r="B3682" s="563" t="s">
        <v>8206</v>
      </c>
      <c r="C3682" s="564" t="s">
        <v>1612</v>
      </c>
      <c r="D3682" s="565">
        <v>41717</v>
      </c>
      <c r="E3682" s="565">
        <v>41729</v>
      </c>
      <c r="F3682" s="566">
        <v>1900000</v>
      </c>
      <c r="G3682" s="564" t="s">
        <v>1424</v>
      </c>
      <c r="H3682" s="564" t="s">
        <v>1424</v>
      </c>
      <c r="I3682" s="564" t="s">
        <v>225</v>
      </c>
      <c r="J3682" s="564" t="s">
        <v>1069</v>
      </c>
      <c r="K3682" s="564" t="s">
        <v>1105</v>
      </c>
      <c r="L3682" s="564" t="s">
        <v>2098</v>
      </c>
      <c r="M3682" s="564" t="s">
        <v>2098</v>
      </c>
      <c r="N3682" s="564" t="s">
        <v>225</v>
      </c>
      <c r="O3682" s="564" t="s">
        <v>2099</v>
      </c>
      <c r="P3682" s="23"/>
      <c r="Q3682" s="23"/>
      <c r="R3682" s="23"/>
      <c r="S3682" s="23"/>
      <c r="T3682" s="23"/>
      <c r="U3682" s="23"/>
      <c r="V3682" s="23"/>
      <c r="W3682" s="23"/>
      <c r="X3682" s="23"/>
      <c r="Y3682" s="23"/>
      <c r="Z3682" s="23"/>
    </row>
    <row r="3683" spans="1:26" ht="13">
      <c r="A3683" s="562" t="s">
        <v>8207</v>
      </c>
      <c r="B3683" s="563" t="s">
        <v>7884</v>
      </c>
      <c r="C3683" s="564" t="s">
        <v>1612</v>
      </c>
      <c r="D3683" s="565">
        <v>41722</v>
      </c>
      <c r="E3683" s="565">
        <v>41730</v>
      </c>
      <c r="F3683" s="566">
        <v>28790</v>
      </c>
      <c r="G3683" s="564" t="s">
        <v>337</v>
      </c>
      <c r="H3683" s="564" t="s">
        <v>337</v>
      </c>
      <c r="I3683" s="564" t="s">
        <v>1837</v>
      </c>
      <c r="J3683" s="564" t="s">
        <v>1069</v>
      </c>
      <c r="K3683" s="564" t="s">
        <v>1090</v>
      </c>
      <c r="L3683" s="564" t="s">
        <v>2098</v>
      </c>
      <c r="M3683" s="564" t="s">
        <v>2098</v>
      </c>
      <c r="N3683" s="564" t="s">
        <v>1082</v>
      </c>
      <c r="O3683" s="564" t="s">
        <v>2099</v>
      </c>
      <c r="P3683" s="23"/>
      <c r="Q3683" s="23"/>
      <c r="R3683" s="23"/>
      <c r="S3683" s="23"/>
      <c r="T3683" s="23"/>
      <c r="U3683" s="23"/>
      <c r="V3683" s="23"/>
      <c r="W3683" s="23"/>
      <c r="X3683" s="23"/>
      <c r="Y3683" s="23"/>
      <c r="Z3683" s="23"/>
    </row>
    <row r="3684" spans="1:26" ht="13">
      <c r="A3684" s="562" t="s">
        <v>8208</v>
      </c>
      <c r="B3684" s="563" t="s">
        <v>8209</v>
      </c>
      <c r="C3684" s="564" t="s">
        <v>1612</v>
      </c>
      <c r="D3684" s="565">
        <v>41722</v>
      </c>
      <c r="E3684" s="565">
        <v>41733</v>
      </c>
      <c r="F3684" s="566">
        <v>10982</v>
      </c>
      <c r="G3684" s="564" t="s">
        <v>1424</v>
      </c>
      <c r="H3684" s="564" t="s">
        <v>1424</v>
      </c>
      <c r="I3684" s="564" t="s">
        <v>64</v>
      </c>
      <c r="J3684" s="564" t="s">
        <v>1069</v>
      </c>
      <c r="K3684" s="564" t="s">
        <v>1090</v>
      </c>
      <c r="L3684" s="564" t="s">
        <v>2098</v>
      </c>
      <c r="M3684" s="564" t="s">
        <v>2098</v>
      </c>
      <c r="N3684" s="564" t="s">
        <v>64</v>
      </c>
      <c r="O3684" s="564" t="s">
        <v>2099</v>
      </c>
      <c r="P3684" s="23"/>
      <c r="Q3684" s="23"/>
      <c r="R3684" s="23"/>
      <c r="S3684" s="23"/>
      <c r="T3684" s="23"/>
      <c r="U3684" s="23"/>
      <c r="V3684" s="23"/>
      <c r="W3684" s="23"/>
      <c r="X3684" s="23"/>
      <c r="Y3684" s="23"/>
      <c r="Z3684" s="23"/>
    </row>
    <row r="3685" spans="1:26" ht="13">
      <c r="A3685" s="562" t="s">
        <v>8210</v>
      </c>
      <c r="B3685" s="563" t="s">
        <v>8211</v>
      </c>
      <c r="C3685" s="564" t="s">
        <v>1612</v>
      </c>
      <c r="D3685" s="565">
        <v>41715</v>
      </c>
      <c r="E3685" s="565">
        <v>41729</v>
      </c>
      <c r="F3685" s="566">
        <v>6428000</v>
      </c>
      <c r="G3685" s="564" t="s">
        <v>5465</v>
      </c>
      <c r="H3685" s="564" t="s">
        <v>5465</v>
      </c>
      <c r="I3685" s="564" t="s">
        <v>45</v>
      </c>
      <c r="J3685" s="564" t="s">
        <v>1069</v>
      </c>
      <c r="K3685" s="564" t="s">
        <v>1090</v>
      </c>
      <c r="L3685" s="564" t="s">
        <v>2098</v>
      </c>
      <c r="M3685" s="564" t="s">
        <v>2098</v>
      </c>
      <c r="N3685" s="564" t="s">
        <v>45</v>
      </c>
      <c r="O3685" s="564" t="s">
        <v>2099</v>
      </c>
      <c r="P3685" s="23"/>
      <c r="Q3685" s="23"/>
      <c r="R3685" s="23"/>
      <c r="S3685" s="23"/>
      <c r="T3685" s="23"/>
      <c r="U3685" s="23"/>
      <c r="V3685" s="23"/>
      <c r="W3685" s="23"/>
      <c r="X3685" s="23"/>
      <c r="Y3685" s="23"/>
      <c r="Z3685" s="23"/>
    </row>
    <row r="3686" spans="1:26" ht="13">
      <c r="A3686" s="562" t="s">
        <v>8212</v>
      </c>
      <c r="B3686" s="563" t="s">
        <v>8213</v>
      </c>
      <c r="C3686" s="564" t="s">
        <v>1612</v>
      </c>
      <c r="D3686" s="565">
        <v>41711</v>
      </c>
      <c r="E3686" s="565">
        <v>41734</v>
      </c>
      <c r="F3686" s="566">
        <v>181500</v>
      </c>
      <c r="G3686" s="564" t="s">
        <v>337</v>
      </c>
      <c r="H3686" s="564" t="s">
        <v>337</v>
      </c>
      <c r="I3686" s="564" t="s">
        <v>45</v>
      </c>
      <c r="J3686" s="564" t="s">
        <v>1069</v>
      </c>
      <c r="K3686" s="564" t="s">
        <v>1090</v>
      </c>
      <c r="L3686" s="564" t="s">
        <v>2098</v>
      </c>
      <c r="M3686" s="564" t="s">
        <v>2098</v>
      </c>
      <c r="N3686" s="564" t="s">
        <v>45</v>
      </c>
      <c r="O3686" s="564" t="s">
        <v>2099</v>
      </c>
      <c r="P3686" s="23"/>
      <c r="Q3686" s="23"/>
      <c r="R3686" s="23"/>
      <c r="S3686" s="23"/>
      <c r="T3686" s="23"/>
      <c r="U3686" s="23"/>
      <c r="V3686" s="23"/>
      <c r="W3686" s="23"/>
      <c r="X3686" s="23"/>
      <c r="Y3686" s="23"/>
      <c r="Z3686" s="23"/>
    </row>
    <row r="3687" spans="1:26" ht="13">
      <c r="A3687" s="562" t="s">
        <v>8214</v>
      </c>
      <c r="B3687" s="563" t="s">
        <v>7458</v>
      </c>
      <c r="C3687" s="564" t="s">
        <v>1612</v>
      </c>
      <c r="D3687" s="565">
        <v>41709</v>
      </c>
      <c r="E3687" s="565">
        <v>41726</v>
      </c>
      <c r="F3687" s="566">
        <v>1200</v>
      </c>
      <c r="G3687" s="564" t="s">
        <v>1424</v>
      </c>
      <c r="H3687" s="564" t="s">
        <v>1424</v>
      </c>
      <c r="I3687" s="564" t="s">
        <v>70</v>
      </c>
      <c r="J3687" s="564" t="s">
        <v>1069</v>
      </c>
      <c r="K3687" s="564" t="s">
        <v>1120</v>
      </c>
      <c r="L3687" s="564" t="s">
        <v>2098</v>
      </c>
      <c r="M3687" s="564" t="s">
        <v>2098</v>
      </c>
      <c r="N3687" s="564" t="s">
        <v>70</v>
      </c>
      <c r="O3687" s="564" t="s">
        <v>2099</v>
      </c>
      <c r="P3687" s="23"/>
      <c r="Q3687" s="23"/>
      <c r="R3687" s="23"/>
      <c r="S3687" s="23"/>
      <c r="T3687" s="23"/>
      <c r="U3687" s="23"/>
      <c r="V3687" s="23"/>
      <c r="W3687" s="23"/>
      <c r="X3687" s="23"/>
      <c r="Y3687" s="23"/>
      <c r="Z3687" s="23"/>
    </row>
    <row r="3688" spans="1:26" ht="13">
      <c r="A3688" s="562" t="s">
        <v>8215</v>
      </c>
      <c r="B3688" s="563" t="s">
        <v>7884</v>
      </c>
      <c r="C3688" s="564" t="s">
        <v>1612</v>
      </c>
      <c r="D3688" s="565">
        <v>41703</v>
      </c>
      <c r="E3688" s="565">
        <v>41726</v>
      </c>
      <c r="F3688" s="566">
        <v>93377</v>
      </c>
      <c r="G3688" s="564" t="s">
        <v>337</v>
      </c>
      <c r="H3688" s="564" t="s">
        <v>337</v>
      </c>
      <c r="I3688" s="564" t="s">
        <v>1837</v>
      </c>
      <c r="J3688" s="564" t="s">
        <v>1069</v>
      </c>
      <c r="K3688" s="564" t="s">
        <v>1090</v>
      </c>
      <c r="L3688" s="564" t="s">
        <v>2098</v>
      </c>
      <c r="M3688" s="564" t="s">
        <v>2098</v>
      </c>
      <c r="N3688" s="564" t="s">
        <v>1082</v>
      </c>
      <c r="O3688" s="564" t="s">
        <v>2099</v>
      </c>
      <c r="P3688" s="23"/>
      <c r="Q3688" s="23"/>
      <c r="R3688" s="23"/>
      <c r="S3688" s="23"/>
      <c r="T3688" s="23"/>
      <c r="U3688" s="23"/>
      <c r="V3688" s="23"/>
      <c r="W3688" s="23"/>
      <c r="X3688" s="23"/>
      <c r="Y3688" s="23"/>
      <c r="Z3688" s="23"/>
    </row>
    <row r="3689" spans="1:26" ht="13">
      <c r="A3689" s="562" t="s">
        <v>8216</v>
      </c>
      <c r="B3689" s="563" t="s">
        <v>7884</v>
      </c>
      <c r="C3689" s="564" t="s">
        <v>1612</v>
      </c>
      <c r="D3689" s="565">
        <v>41702</v>
      </c>
      <c r="E3689" s="565">
        <v>41719</v>
      </c>
      <c r="F3689" s="566">
        <v>64930</v>
      </c>
      <c r="G3689" s="564" t="s">
        <v>337</v>
      </c>
      <c r="H3689" s="564" t="s">
        <v>337</v>
      </c>
      <c r="I3689" s="564" t="s">
        <v>1837</v>
      </c>
      <c r="J3689" s="564" t="s">
        <v>1069</v>
      </c>
      <c r="K3689" s="564" t="s">
        <v>1090</v>
      </c>
      <c r="L3689" s="564" t="s">
        <v>2098</v>
      </c>
      <c r="M3689" s="564" t="s">
        <v>2098</v>
      </c>
      <c r="N3689" s="564" t="s">
        <v>1082</v>
      </c>
      <c r="O3689" s="564" t="s">
        <v>2099</v>
      </c>
      <c r="P3689" s="23"/>
      <c r="Q3689" s="23"/>
      <c r="R3689" s="23"/>
      <c r="S3689" s="23"/>
      <c r="T3689" s="23"/>
      <c r="U3689" s="23"/>
      <c r="V3689" s="23"/>
      <c r="W3689" s="23"/>
      <c r="X3689" s="23"/>
      <c r="Y3689" s="23"/>
      <c r="Z3689" s="23"/>
    </row>
    <row r="3690" spans="1:26" ht="13">
      <c r="A3690" s="562" t="s">
        <v>8217</v>
      </c>
      <c r="B3690" s="563" t="s">
        <v>8218</v>
      </c>
      <c r="C3690" s="564" t="s">
        <v>1612</v>
      </c>
      <c r="D3690" s="565">
        <v>41707</v>
      </c>
      <c r="E3690" s="565">
        <v>41729</v>
      </c>
      <c r="F3690" s="566">
        <v>37000</v>
      </c>
      <c r="G3690" s="564" t="s">
        <v>297</v>
      </c>
      <c r="H3690" s="564" t="s">
        <v>297</v>
      </c>
      <c r="I3690" s="564" t="s">
        <v>1837</v>
      </c>
      <c r="J3690" s="564" t="s">
        <v>1069</v>
      </c>
      <c r="K3690" s="564" t="s">
        <v>1070</v>
      </c>
      <c r="L3690" s="564" t="s">
        <v>2098</v>
      </c>
      <c r="M3690" s="564" t="s">
        <v>2098</v>
      </c>
      <c r="N3690" s="564" t="s">
        <v>1082</v>
      </c>
      <c r="O3690" s="564" t="s">
        <v>2099</v>
      </c>
      <c r="P3690" s="23"/>
      <c r="Q3690" s="23"/>
      <c r="R3690" s="23"/>
      <c r="S3690" s="23"/>
      <c r="T3690" s="23"/>
      <c r="U3690" s="23"/>
      <c r="V3690" s="23"/>
      <c r="W3690" s="23"/>
      <c r="X3690" s="23"/>
      <c r="Y3690" s="23"/>
      <c r="Z3690" s="23"/>
    </row>
    <row r="3691" spans="1:26" ht="13">
      <c r="A3691" s="562" t="s">
        <v>8219</v>
      </c>
      <c r="B3691" s="563" t="s">
        <v>8220</v>
      </c>
      <c r="C3691" s="564" t="s">
        <v>1612</v>
      </c>
      <c r="D3691" s="565">
        <v>41705</v>
      </c>
      <c r="E3691" s="565">
        <v>41712</v>
      </c>
      <c r="F3691" s="567">
        <v>285</v>
      </c>
      <c r="G3691" s="564" t="s">
        <v>1424</v>
      </c>
      <c r="H3691" s="564" t="s">
        <v>1424</v>
      </c>
      <c r="I3691" s="564" t="s">
        <v>121</v>
      </c>
      <c r="J3691" s="564" t="s">
        <v>1069</v>
      </c>
      <c r="K3691" s="564" t="s">
        <v>1105</v>
      </c>
      <c r="L3691" s="564" t="s">
        <v>2098</v>
      </c>
      <c r="M3691" s="564" t="s">
        <v>2098</v>
      </c>
      <c r="N3691" s="564" t="s">
        <v>1073</v>
      </c>
      <c r="O3691" s="564" t="s">
        <v>2099</v>
      </c>
      <c r="P3691" s="23"/>
      <c r="Q3691" s="23"/>
      <c r="R3691" s="23"/>
      <c r="S3691" s="23"/>
      <c r="T3691" s="23"/>
      <c r="U3691" s="23"/>
      <c r="V3691" s="23"/>
      <c r="W3691" s="23"/>
      <c r="X3691" s="23"/>
      <c r="Y3691" s="23"/>
      <c r="Z3691" s="23"/>
    </row>
    <row r="3692" spans="1:26" ht="13">
      <c r="A3692" s="562" t="s">
        <v>8221</v>
      </c>
      <c r="B3692" s="563" t="s">
        <v>8222</v>
      </c>
      <c r="C3692" s="564" t="s">
        <v>1873</v>
      </c>
      <c r="D3692" s="565">
        <v>41704</v>
      </c>
      <c r="E3692" s="565">
        <v>41726</v>
      </c>
      <c r="F3692" s="566">
        <v>2321400</v>
      </c>
      <c r="G3692" s="564" t="s">
        <v>1424</v>
      </c>
      <c r="H3692" s="564" t="s">
        <v>1424</v>
      </c>
      <c r="I3692" s="564" t="s">
        <v>170</v>
      </c>
      <c r="J3692" s="564" t="s">
        <v>1069</v>
      </c>
      <c r="K3692" s="564" t="s">
        <v>1105</v>
      </c>
      <c r="L3692" s="564" t="s">
        <v>2098</v>
      </c>
      <c r="M3692" s="564" t="s">
        <v>2098</v>
      </c>
      <c r="N3692" s="564" t="s">
        <v>170</v>
      </c>
      <c r="O3692" s="564" t="s">
        <v>2099</v>
      </c>
      <c r="P3692" s="23"/>
      <c r="Q3692" s="23"/>
      <c r="R3692" s="23"/>
      <c r="S3692" s="23"/>
      <c r="T3692" s="23"/>
      <c r="U3692" s="23"/>
      <c r="V3692" s="23"/>
      <c r="W3692" s="23"/>
      <c r="X3692" s="23"/>
      <c r="Y3692" s="23"/>
      <c r="Z3692" s="23"/>
    </row>
    <row r="3693" spans="1:26" ht="13">
      <c r="A3693" s="562" t="s">
        <v>8223</v>
      </c>
      <c r="B3693" s="563" t="s">
        <v>8224</v>
      </c>
      <c r="C3693" s="564" t="s">
        <v>1612</v>
      </c>
      <c r="D3693" s="565">
        <v>41702</v>
      </c>
      <c r="E3693" s="565">
        <v>41719</v>
      </c>
      <c r="F3693" s="566">
        <v>6355500</v>
      </c>
      <c r="G3693" s="564" t="s">
        <v>1424</v>
      </c>
      <c r="H3693" s="564" t="s">
        <v>1424</v>
      </c>
      <c r="I3693" s="564" t="s">
        <v>802</v>
      </c>
      <c r="J3693" s="564" t="s">
        <v>1069</v>
      </c>
      <c r="K3693" s="564" t="s">
        <v>1198</v>
      </c>
      <c r="L3693" s="564" t="s">
        <v>2098</v>
      </c>
      <c r="M3693" s="564" t="s">
        <v>2098</v>
      </c>
      <c r="N3693" s="564" t="s">
        <v>132</v>
      </c>
      <c r="O3693" s="564" t="s">
        <v>2099</v>
      </c>
      <c r="P3693" s="23"/>
      <c r="Q3693" s="23"/>
      <c r="R3693" s="23"/>
      <c r="S3693" s="23"/>
      <c r="T3693" s="23"/>
      <c r="U3693" s="23"/>
      <c r="V3693" s="23"/>
      <c r="W3693" s="23"/>
      <c r="X3693" s="23"/>
      <c r="Y3693" s="23"/>
      <c r="Z3693" s="23"/>
    </row>
    <row r="3694" spans="1:26" ht="13">
      <c r="A3694" s="562" t="s">
        <v>8225</v>
      </c>
      <c r="B3694" s="563" t="s">
        <v>8226</v>
      </c>
      <c r="C3694" s="564" t="s">
        <v>1612</v>
      </c>
      <c r="D3694" s="565">
        <v>41703</v>
      </c>
      <c r="E3694" s="565">
        <v>41699</v>
      </c>
      <c r="F3694" s="566">
        <v>2439360</v>
      </c>
      <c r="G3694" s="564" t="s">
        <v>337</v>
      </c>
      <c r="H3694" s="564" t="s">
        <v>337</v>
      </c>
      <c r="I3694" s="564" t="s">
        <v>45</v>
      </c>
      <c r="J3694" s="564" t="s">
        <v>1069</v>
      </c>
      <c r="K3694" s="564" t="s">
        <v>1090</v>
      </c>
      <c r="L3694" s="564" t="s">
        <v>1071</v>
      </c>
      <c r="M3694" s="564" t="s">
        <v>1183</v>
      </c>
      <c r="N3694" s="564" t="s">
        <v>45</v>
      </c>
      <c r="O3694" s="564" t="s">
        <v>2099</v>
      </c>
      <c r="P3694" s="23"/>
      <c r="Q3694" s="23"/>
      <c r="R3694" s="23"/>
      <c r="S3694" s="23"/>
      <c r="T3694" s="23"/>
      <c r="U3694" s="23"/>
      <c r="V3694" s="23"/>
      <c r="W3694" s="23"/>
      <c r="X3694" s="23"/>
      <c r="Y3694" s="23"/>
      <c r="Z3694" s="23"/>
    </row>
    <row r="3695" spans="1:26" ht="13">
      <c r="A3695" s="562" t="s">
        <v>8227</v>
      </c>
      <c r="B3695" s="563" t="s">
        <v>8228</v>
      </c>
      <c r="C3695" s="564" t="s">
        <v>1612</v>
      </c>
      <c r="D3695" s="565">
        <v>41701</v>
      </c>
      <c r="E3695" s="565">
        <v>41719</v>
      </c>
      <c r="F3695" s="566">
        <v>80050</v>
      </c>
      <c r="G3695" s="564" t="s">
        <v>297</v>
      </c>
      <c r="H3695" s="564" t="s">
        <v>297</v>
      </c>
      <c r="I3695" s="564" t="s">
        <v>1837</v>
      </c>
      <c r="J3695" s="564" t="s">
        <v>1069</v>
      </c>
      <c r="K3695" s="564" t="s">
        <v>1070</v>
      </c>
      <c r="L3695" s="564" t="s">
        <v>2098</v>
      </c>
      <c r="M3695" s="564" t="s">
        <v>2098</v>
      </c>
      <c r="N3695" s="564" t="s">
        <v>1082</v>
      </c>
      <c r="O3695" s="564" t="s">
        <v>2099</v>
      </c>
      <c r="P3695" s="23"/>
      <c r="Q3695" s="23"/>
      <c r="R3695" s="23"/>
      <c r="S3695" s="23"/>
      <c r="T3695" s="23"/>
      <c r="U3695" s="23"/>
      <c r="V3695" s="23"/>
      <c r="W3695" s="23"/>
      <c r="X3695" s="23"/>
      <c r="Y3695" s="23"/>
      <c r="Z3695" s="23"/>
    </row>
    <row r="3696" spans="1:26" ht="13">
      <c r="A3696" s="562" t="s">
        <v>8229</v>
      </c>
      <c r="B3696" s="563" t="s">
        <v>8230</v>
      </c>
      <c r="C3696" s="564" t="s">
        <v>1612</v>
      </c>
      <c r="D3696" s="565">
        <v>41698</v>
      </c>
      <c r="E3696" s="565">
        <v>41712</v>
      </c>
      <c r="F3696" s="566">
        <v>1040</v>
      </c>
      <c r="G3696" s="564" t="s">
        <v>1424</v>
      </c>
      <c r="H3696" s="564" t="s">
        <v>1424</v>
      </c>
      <c r="I3696" s="564" t="s">
        <v>70</v>
      </c>
      <c r="J3696" s="564" t="s">
        <v>1069</v>
      </c>
      <c r="K3696" s="564" t="s">
        <v>1120</v>
      </c>
      <c r="L3696" s="564" t="s">
        <v>2098</v>
      </c>
      <c r="M3696" s="564" t="s">
        <v>2098</v>
      </c>
      <c r="N3696" s="564" t="s">
        <v>70</v>
      </c>
      <c r="O3696" s="564" t="s">
        <v>2099</v>
      </c>
      <c r="P3696" s="23"/>
      <c r="Q3696" s="23"/>
      <c r="R3696" s="23"/>
      <c r="S3696" s="23"/>
      <c r="T3696" s="23"/>
      <c r="U3696" s="23"/>
      <c r="V3696" s="23"/>
      <c r="W3696" s="23"/>
      <c r="X3696" s="23"/>
      <c r="Y3696" s="23"/>
      <c r="Z3696" s="23"/>
    </row>
    <row r="3697" spans="1:26" ht="13">
      <c r="A3697" s="562" t="s">
        <v>8231</v>
      </c>
      <c r="B3697" s="563" t="s">
        <v>8232</v>
      </c>
      <c r="C3697" s="564" t="s">
        <v>2191</v>
      </c>
      <c r="D3697" s="565">
        <v>41701</v>
      </c>
      <c r="E3697" s="565">
        <v>41715</v>
      </c>
      <c r="F3697" s="566">
        <v>135000000</v>
      </c>
      <c r="G3697" s="564" t="s">
        <v>1123</v>
      </c>
      <c r="H3697" s="564" t="s">
        <v>1123</v>
      </c>
      <c r="I3697" s="564" t="s">
        <v>143</v>
      </c>
      <c r="J3697" s="564" t="s">
        <v>1069</v>
      </c>
      <c r="K3697" s="564" t="s">
        <v>1205</v>
      </c>
      <c r="L3697" s="564" t="s">
        <v>2098</v>
      </c>
      <c r="M3697" s="564" t="s">
        <v>2098</v>
      </c>
      <c r="N3697" s="564" t="s">
        <v>1073</v>
      </c>
      <c r="O3697" s="564" t="s">
        <v>2099</v>
      </c>
      <c r="P3697" s="23"/>
      <c r="Q3697" s="23"/>
      <c r="R3697" s="23"/>
      <c r="S3697" s="23"/>
      <c r="T3697" s="23"/>
      <c r="U3697" s="23"/>
      <c r="V3697" s="23"/>
      <c r="W3697" s="23"/>
      <c r="X3697" s="23"/>
      <c r="Y3697" s="23"/>
      <c r="Z3697" s="23"/>
    </row>
    <row r="3698" spans="1:26" ht="13">
      <c r="A3698" s="562" t="s">
        <v>8233</v>
      </c>
      <c r="B3698" s="563" t="s">
        <v>8234</v>
      </c>
      <c r="C3698" s="564" t="s">
        <v>1612</v>
      </c>
      <c r="D3698" s="565">
        <v>41696</v>
      </c>
      <c r="E3698" s="565">
        <v>41696</v>
      </c>
      <c r="F3698" s="566">
        <v>9000000</v>
      </c>
      <c r="G3698" s="564" t="s">
        <v>1623</v>
      </c>
      <c r="H3698" s="564" t="s">
        <v>1623</v>
      </c>
      <c r="I3698" s="564" t="s">
        <v>1746</v>
      </c>
      <c r="J3698" s="564" t="s">
        <v>1069</v>
      </c>
      <c r="K3698" s="564" t="s">
        <v>1198</v>
      </c>
      <c r="L3698" s="564" t="s">
        <v>2098</v>
      </c>
      <c r="M3698" s="564" t="s">
        <v>2098</v>
      </c>
      <c r="N3698" s="564" t="s">
        <v>1073</v>
      </c>
      <c r="O3698" s="564" t="s">
        <v>2099</v>
      </c>
      <c r="P3698" s="23"/>
      <c r="Q3698" s="23"/>
      <c r="R3698" s="23"/>
      <c r="S3698" s="23"/>
      <c r="T3698" s="23"/>
      <c r="U3698" s="23"/>
      <c r="V3698" s="23"/>
      <c r="W3698" s="23"/>
      <c r="X3698" s="23"/>
      <c r="Y3698" s="23"/>
      <c r="Z3698" s="23"/>
    </row>
    <row r="3699" spans="1:26" ht="13">
      <c r="A3699" s="562" t="s">
        <v>8235</v>
      </c>
      <c r="B3699" s="563" t="s">
        <v>8236</v>
      </c>
      <c r="C3699" s="564" t="s">
        <v>1612</v>
      </c>
      <c r="D3699" s="565">
        <v>41696</v>
      </c>
      <c r="E3699" s="565">
        <v>41698</v>
      </c>
      <c r="F3699" s="566">
        <v>43000000</v>
      </c>
      <c r="G3699" s="564" t="s">
        <v>1123</v>
      </c>
      <c r="H3699" s="564" t="s">
        <v>1123</v>
      </c>
      <c r="I3699" s="564" t="s">
        <v>802</v>
      </c>
      <c r="J3699" s="564" t="s">
        <v>1069</v>
      </c>
      <c r="K3699" s="564" t="s">
        <v>1198</v>
      </c>
      <c r="L3699" s="564" t="s">
        <v>2098</v>
      </c>
      <c r="M3699" s="564" t="s">
        <v>2098</v>
      </c>
      <c r="N3699" s="564" t="s">
        <v>132</v>
      </c>
      <c r="O3699" s="564" t="s">
        <v>2099</v>
      </c>
      <c r="P3699" s="23"/>
      <c r="Q3699" s="23"/>
      <c r="R3699" s="23"/>
      <c r="S3699" s="23"/>
      <c r="T3699" s="23"/>
      <c r="U3699" s="23"/>
      <c r="V3699" s="23"/>
      <c r="W3699" s="23"/>
      <c r="X3699" s="23"/>
      <c r="Y3699" s="23"/>
      <c r="Z3699" s="23"/>
    </row>
    <row r="3700" spans="1:26" ht="13">
      <c r="A3700" s="562" t="s">
        <v>8237</v>
      </c>
      <c r="B3700" s="563" t="s">
        <v>8238</v>
      </c>
      <c r="C3700" s="564" t="s">
        <v>1612</v>
      </c>
      <c r="D3700" s="565">
        <v>41697</v>
      </c>
      <c r="E3700" s="565">
        <v>41705</v>
      </c>
      <c r="F3700" s="566">
        <v>1546</v>
      </c>
      <c r="G3700" s="564" t="s">
        <v>1424</v>
      </c>
      <c r="H3700" s="564" t="s">
        <v>1424</v>
      </c>
      <c r="I3700" s="564" t="s">
        <v>70</v>
      </c>
      <c r="J3700" s="564" t="s">
        <v>1069</v>
      </c>
      <c r="K3700" s="564" t="s">
        <v>1120</v>
      </c>
      <c r="L3700" s="564" t="s">
        <v>2098</v>
      </c>
      <c r="M3700" s="564" t="s">
        <v>2098</v>
      </c>
      <c r="N3700" s="564" t="s">
        <v>70</v>
      </c>
      <c r="O3700" s="564" t="s">
        <v>2099</v>
      </c>
      <c r="P3700" s="23"/>
      <c r="Q3700" s="23"/>
      <c r="R3700" s="23"/>
      <c r="S3700" s="23"/>
      <c r="T3700" s="23"/>
      <c r="U3700" s="23"/>
      <c r="V3700" s="23"/>
      <c r="W3700" s="23"/>
      <c r="X3700" s="23"/>
      <c r="Y3700" s="23"/>
      <c r="Z3700" s="23"/>
    </row>
    <row r="3701" spans="1:26" ht="13">
      <c r="A3701" s="562" t="s">
        <v>8239</v>
      </c>
      <c r="B3701" s="563" t="s">
        <v>8240</v>
      </c>
      <c r="C3701" s="564" t="s">
        <v>1612</v>
      </c>
      <c r="D3701" s="565">
        <v>41694</v>
      </c>
      <c r="E3701" s="565">
        <v>41712</v>
      </c>
      <c r="F3701" s="566">
        <v>165600</v>
      </c>
      <c r="G3701" s="564" t="s">
        <v>297</v>
      </c>
      <c r="H3701" s="564" t="s">
        <v>297</v>
      </c>
      <c r="I3701" s="564" t="s">
        <v>7259</v>
      </c>
      <c r="J3701" s="564" t="s">
        <v>1069</v>
      </c>
      <c r="K3701" s="564" t="s">
        <v>1070</v>
      </c>
      <c r="L3701" s="564" t="s">
        <v>2098</v>
      </c>
      <c r="M3701" s="564" t="s">
        <v>2098</v>
      </c>
      <c r="N3701" s="564" t="s">
        <v>1082</v>
      </c>
      <c r="O3701" s="564" t="s">
        <v>2099</v>
      </c>
      <c r="P3701" s="23"/>
      <c r="Q3701" s="23"/>
      <c r="R3701" s="23"/>
      <c r="S3701" s="23"/>
      <c r="T3701" s="23"/>
      <c r="U3701" s="23"/>
      <c r="V3701" s="23"/>
      <c r="W3701" s="23"/>
      <c r="X3701" s="23"/>
      <c r="Y3701" s="23"/>
      <c r="Z3701" s="23"/>
    </row>
    <row r="3702" spans="1:26" ht="13">
      <c r="A3702" s="562" t="s">
        <v>8241</v>
      </c>
      <c r="B3702" s="563" t="s">
        <v>8242</v>
      </c>
      <c r="C3702" s="564" t="s">
        <v>2191</v>
      </c>
      <c r="D3702" s="565">
        <v>41695</v>
      </c>
      <c r="E3702" s="565">
        <v>41705</v>
      </c>
      <c r="F3702" s="566">
        <v>15225900</v>
      </c>
      <c r="G3702" s="564" t="s">
        <v>1157</v>
      </c>
      <c r="H3702" s="564" t="s">
        <v>1157</v>
      </c>
      <c r="I3702" s="564" t="s">
        <v>8243</v>
      </c>
      <c r="J3702" s="564" t="s">
        <v>1069</v>
      </c>
      <c r="K3702" s="564" t="s">
        <v>1070</v>
      </c>
      <c r="L3702" s="564" t="s">
        <v>2098</v>
      </c>
      <c r="M3702" s="564" t="s">
        <v>2098</v>
      </c>
      <c r="N3702" s="564" t="s">
        <v>1082</v>
      </c>
      <c r="O3702" s="564" t="s">
        <v>2099</v>
      </c>
      <c r="P3702" s="23"/>
      <c r="Q3702" s="23"/>
      <c r="R3702" s="23"/>
      <c r="S3702" s="23"/>
      <c r="T3702" s="23"/>
      <c r="U3702" s="23"/>
      <c r="V3702" s="23"/>
      <c r="W3702" s="23"/>
      <c r="X3702" s="23"/>
      <c r="Y3702" s="23"/>
      <c r="Z3702" s="23"/>
    </row>
    <row r="3703" spans="1:26" ht="13">
      <c r="A3703" s="562" t="s">
        <v>8244</v>
      </c>
      <c r="B3703" s="563" t="s">
        <v>8245</v>
      </c>
      <c r="C3703" s="564" t="s">
        <v>1612</v>
      </c>
      <c r="D3703" s="565">
        <v>41694</v>
      </c>
      <c r="E3703" s="565">
        <v>41696</v>
      </c>
      <c r="F3703" s="566">
        <v>2100</v>
      </c>
      <c r="G3703" s="564" t="s">
        <v>1424</v>
      </c>
      <c r="H3703" s="564" t="s">
        <v>1424</v>
      </c>
      <c r="I3703" s="564" t="s">
        <v>70</v>
      </c>
      <c r="J3703" s="564" t="s">
        <v>1069</v>
      </c>
      <c r="K3703" s="564" t="s">
        <v>1120</v>
      </c>
      <c r="L3703" s="564" t="s">
        <v>2098</v>
      </c>
      <c r="M3703" s="564" t="s">
        <v>2098</v>
      </c>
      <c r="N3703" s="564" t="s">
        <v>70</v>
      </c>
      <c r="O3703" s="564" t="s">
        <v>2099</v>
      </c>
      <c r="P3703" s="23"/>
      <c r="Q3703" s="23"/>
      <c r="R3703" s="23"/>
      <c r="S3703" s="23"/>
      <c r="T3703" s="23"/>
      <c r="U3703" s="23"/>
      <c r="V3703" s="23"/>
      <c r="W3703" s="23"/>
      <c r="X3703" s="23"/>
      <c r="Y3703" s="23"/>
      <c r="Z3703" s="23"/>
    </row>
    <row r="3704" spans="1:26" ht="13">
      <c r="A3704" s="562" t="s">
        <v>8246</v>
      </c>
      <c r="B3704" s="563" t="s">
        <v>7884</v>
      </c>
      <c r="C3704" s="564" t="s">
        <v>1612</v>
      </c>
      <c r="D3704" s="565">
        <v>41691</v>
      </c>
      <c r="E3704" s="565">
        <v>41705</v>
      </c>
      <c r="F3704" s="566">
        <v>8676</v>
      </c>
      <c r="G3704" s="564" t="s">
        <v>337</v>
      </c>
      <c r="H3704" s="564" t="s">
        <v>337</v>
      </c>
      <c r="I3704" s="564" t="s">
        <v>1837</v>
      </c>
      <c r="J3704" s="564" t="s">
        <v>1069</v>
      </c>
      <c r="K3704" s="564" t="s">
        <v>1090</v>
      </c>
      <c r="L3704" s="564" t="s">
        <v>2098</v>
      </c>
      <c r="M3704" s="564" t="s">
        <v>2098</v>
      </c>
      <c r="N3704" s="564" t="s">
        <v>1082</v>
      </c>
      <c r="O3704" s="564" t="s">
        <v>2099</v>
      </c>
      <c r="P3704" s="23"/>
      <c r="Q3704" s="23"/>
      <c r="R3704" s="23"/>
      <c r="S3704" s="23"/>
      <c r="T3704" s="23"/>
      <c r="U3704" s="23"/>
      <c r="V3704" s="23"/>
      <c r="W3704" s="23"/>
      <c r="X3704" s="23"/>
      <c r="Y3704" s="23"/>
      <c r="Z3704" s="23"/>
    </row>
    <row r="3705" spans="1:26" ht="13">
      <c r="A3705" s="562" t="s">
        <v>8247</v>
      </c>
      <c r="B3705" s="563" t="s">
        <v>8248</v>
      </c>
      <c r="C3705" s="564" t="s">
        <v>1612</v>
      </c>
      <c r="D3705" s="565">
        <v>41688</v>
      </c>
      <c r="E3705" s="565">
        <v>41712</v>
      </c>
      <c r="F3705" s="566">
        <v>1600</v>
      </c>
      <c r="G3705" s="564" t="s">
        <v>337</v>
      </c>
      <c r="H3705" s="564" t="s">
        <v>337</v>
      </c>
      <c r="I3705" s="564" t="s">
        <v>257</v>
      </c>
      <c r="J3705" s="564" t="s">
        <v>1069</v>
      </c>
      <c r="K3705" s="564" t="s">
        <v>1209</v>
      </c>
      <c r="L3705" s="564" t="s">
        <v>2098</v>
      </c>
      <c r="M3705" s="564" t="s">
        <v>2098</v>
      </c>
      <c r="N3705" s="564" t="s">
        <v>257</v>
      </c>
      <c r="O3705" s="564" t="s">
        <v>2099</v>
      </c>
      <c r="P3705" s="23"/>
      <c r="Q3705" s="23"/>
      <c r="R3705" s="23"/>
      <c r="S3705" s="23"/>
      <c r="T3705" s="23"/>
      <c r="U3705" s="23"/>
      <c r="V3705" s="23"/>
      <c r="W3705" s="23"/>
      <c r="X3705" s="23"/>
      <c r="Y3705" s="23"/>
      <c r="Z3705" s="23"/>
    </row>
    <row r="3706" spans="1:26" ht="13">
      <c r="A3706" s="562" t="s">
        <v>8249</v>
      </c>
      <c r="B3706" s="563" t="s">
        <v>8250</v>
      </c>
      <c r="C3706" s="564" t="s">
        <v>2191</v>
      </c>
      <c r="D3706" s="565">
        <v>41682</v>
      </c>
      <c r="E3706" s="565">
        <v>41694</v>
      </c>
      <c r="F3706" s="566">
        <v>395000000</v>
      </c>
      <c r="G3706" s="564" t="s">
        <v>1123</v>
      </c>
      <c r="H3706" s="564" t="s">
        <v>1123</v>
      </c>
      <c r="I3706" s="564" t="s">
        <v>143</v>
      </c>
      <c r="J3706" s="564" t="s">
        <v>1069</v>
      </c>
      <c r="K3706" s="564" t="s">
        <v>1205</v>
      </c>
      <c r="L3706" s="564" t="s">
        <v>2098</v>
      </c>
      <c r="M3706" s="564" t="s">
        <v>2098</v>
      </c>
      <c r="N3706" s="564" t="s">
        <v>1073</v>
      </c>
      <c r="O3706" s="564" t="s">
        <v>2099</v>
      </c>
      <c r="P3706" s="23"/>
      <c r="Q3706" s="23"/>
      <c r="R3706" s="23"/>
      <c r="S3706" s="23"/>
      <c r="T3706" s="23"/>
      <c r="U3706" s="23"/>
      <c r="V3706" s="23"/>
      <c r="W3706" s="23"/>
      <c r="X3706" s="23"/>
      <c r="Y3706" s="23"/>
      <c r="Z3706" s="23"/>
    </row>
    <row r="3707" spans="1:26" ht="13">
      <c r="A3707" s="562" t="s">
        <v>8251</v>
      </c>
      <c r="B3707" s="563" t="s">
        <v>7884</v>
      </c>
      <c r="C3707" s="564" t="s">
        <v>1612</v>
      </c>
      <c r="D3707" s="565">
        <v>41684</v>
      </c>
      <c r="E3707" s="565">
        <v>41704</v>
      </c>
      <c r="F3707" s="566">
        <v>9115000</v>
      </c>
      <c r="G3707" s="564" t="s">
        <v>337</v>
      </c>
      <c r="H3707" s="564" t="s">
        <v>337</v>
      </c>
      <c r="I3707" s="564" t="s">
        <v>1837</v>
      </c>
      <c r="J3707" s="564" t="s">
        <v>1069</v>
      </c>
      <c r="K3707" s="564" t="s">
        <v>1090</v>
      </c>
      <c r="L3707" s="564" t="s">
        <v>2098</v>
      </c>
      <c r="M3707" s="564" t="s">
        <v>2098</v>
      </c>
      <c r="N3707" s="564" t="s">
        <v>1082</v>
      </c>
      <c r="O3707" s="564" t="s">
        <v>2099</v>
      </c>
      <c r="P3707" s="23"/>
      <c r="Q3707" s="23"/>
      <c r="R3707" s="23"/>
      <c r="S3707" s="23"/>
      <c r="T3707" s="23"/>
      <c r="U3707" s="23"/>
      <c r="V3707" s="23"/>
      <c r="W3707" s="23"/>
      <c r="X3707" s="23"/>
      <c r="Y3707" s="23"/>
      <c r="Z3707" s="23"/>
    </row>
    <row r="3708" spans="1:26" ht="13">
      <c r="A3708" s="562" t="s">
        <v>8252</v>
      </c>
      <c r="B3708" s="563" t="s">
        <v>8253</v>
      </c>
      <c r="C3708" s="564" t="s">
        <v>1612</v>
      </c>
      <c r="D3708" s="565">
        <v>41682</v>
      </c>
      <c r="E3708" s="565">
        <v>41698</v>
      </c>
      <c r="F3708" s="566">
        <v>4326</v>
      </c>
      <c r="G3708" s="564" t="s">
        <v>337</v>
      </c>
      <c r="H3708" s="564" t="s">
        <v>337</v>
      </c>
      <c r="I3708" s="564" t="s">
        <v>802</v>
      </c>
      <c r="J3708" s="564" t="s">
        <v>1069</v>
      </c>
      <c r="K3708" s="564" t="s">
        <v>1198</v>
      </c>
      <c r="L3708" s="564" t="s">
        <v>2098</v>
      </c>
      <c r="M3708" s="564" t="s">
        <v>2098</v>
      </c>
      <c r="N3708" s="564" t="s">
        <v>132</v>
      </c>
      <c r="O3708" s="564" t="s">
        <v>2099</v>
      </c>
      <c r="P3708" s="23"/>
      <c r="Q3708" s="23"/>
      <c r="R3708" s="23"/>
      <c r="S3708" s="23"/>
      <c r="T3708" s="23"/>
      <c r="U3708" s="23"/>
      <c r="V3708" s="23"/>
      <c r="W3708" s="23"/>
      <c r="X3708" s="23"/>
      <c r="Y3708" s="23"/>
      <c r="Z3708" s="23"/>
    </row>
    <row r="3709" spans="1:26" ht="13">
      <c r="A3709" s="562" t="s">
        <v>8254</v>
      </c>
      <c r="B3709" s="563" t="s">
        <v>7884</v>
      </c>
      <c r="C3709" s="564" t="s">
        <v>1612</v>
      </c>
      <c r="D3709" s="565">
        <v>41680</v>
      </c>
      <c r="E3709" s="565">
        <v>41704</v>
      </c>
      <c r="F3709" s="566">
        <v>51405000</v>
      </c>
      <c r="G3709" s="564" t="s">
        <v>337</v>
      </c>
      <c r="H3709" s="564" t="s">
        <v>337</v>
      </c>
      <c r="I3709" s="564" t="s">
        <v>1837</v>
      </c>
      <c r="J3709" s="564" t="s">
        <v>1069</v>
      </c>
      <c r="K3709" s="564" t="s">
        <v>1090</v>
      </c>
      <c r="L3709" s="564" t="s">
        <v>2098</v>
      </c>
      <c r="M3709" s="564" t="s">
        <v>2098</v>
      </c>
      <c r="N3709" s="564" t="s">
        <v>1082</v>
      </c>
      <c r="O3709" s="564" t="s">
        <v>2099</v>
      </c>
      <c r="P3709" s="23"/>
      <c r="Q3709" s="23"/>
      <c r="R3709" s="23"/>
      <c r="S3709" s="23"/>
      <c r="T3709" s="23"/>
      <c r="U3709" s="23"/>
      <c r="V3709" s="23"/>
      <c r="W3709" s="23"/>
      <c r="X3709" s="23"/>
      <c r="Y3709" s="23"/>
      <c r="Z3709" s="23"/>
    </row>
    <row r="3710" spans="1:26" ht="13">
      <c r="A3710" s="562" t="s">
        <v>8255</v>
      </c>
      <c r="B3710" s="563" t="s">
        <v>8256</v>
      </c>
      <c r="C3710" s="564" t="s">
        <v>1612</v>
      </c>
      <c r="D3710" s="565">
        <v>41676</v>
      </c>
      <c r="E3710" s="565">
        <v>41690</v>
      </c>
      <c r="F3710" s="566">
        <v>14300000</v>
      </c>
      <c r="G3710" s="564" t="s">
        <v>5465</v>
      </c>
      <c r="H3710" s="564" t="s">
        <v>5465</v>
      </c>
      <c r="I3710" s="564" t="s">
        <v>45</v>
      </c>
      <c r="J3710" s="564" t="s">
        <v>1069</v>
      </c>
      <c r="K3710" s="564" t="s">
        <v>1090</v>
      </c>
      <c r="L3710" s="564" t="s">
        <v>2098</v>
      </c>
      <c r="M3710" s="564" t="s">
        <v>2098</v>
      </c>
      <c r="N3710" s="564" t="s">
        <v>45</v>
      </c>
      <c r="O3710" s="564" t="s">
        <v>2099</v>
      </c>
      <c r="P3710" s="23"/>
      <c r="Q3710" s="23"/>
      <c r="R3710" s="23"/>
      <c r="S3710" s="23"/>
      <c r="T3710" s="23"/>
      <c r="U3710" s="23"/>
      <c r="V3710" s="23"/>
      <c r="W3710" s="23"/>
      <c r="X3710" s="23"/>
      <c r="Y3710" s="23"/>
      <c r="Z3710" s="23"/>
    </row>
    <row r="3711" spans="1:26" ht="13">
      <c r="A3711" s="562" t="s">
        <v>8257</v>
      </c>
      <c r="B3711" s="563" t="s">
        <v>8258</v>
      </c>
      <c r="C3711" s="564" t="s">
        <v>1612</v>
      </c>
      <c r="D3711" s="565">
        <v>41680</v>
      </c>
      <c r="E3711" s="565">
        <v>41671</v>
      </c>
      <c r="F3711" s="566">
        <v>12383280</v>
      </c>
      <c r="G3711" s="564" t="s">
        <v>337</v>
      </c>
      <c r="H3711" s="564" t="s">
        <v>337</v>
      </c>
      <c r="I3711" s="564" t="s">
        <v>45</v>
      </c>
      <c r="J3711" s="564" t="s">
        <v>1069</v>
      </c>
      <c r="K3711" s="564" t="s">
        <v>1090</v>
      </c>
      <c r="L3711" s="564" t="s">
        <v>1071</v>
      </c>
      <c r="M3711" s="564" t="s">
        <v>1183</v>
      </c>
      <c r="N3711" s="564" t="s">
        <v>45</v>
      </c>
      <c r="O3711" s="564" t="s">
        <v>2099</v>
      </c>
      <c r="P3711" s="23"/>
      <c r="Q3711" s="23"/>
      <c r="R3711" s="23"/>
      <c r="S3711" s="23"/>
      <c r="T3711" s="23"/>
      <c r="U3711" s="23"/>
      <c r="V3711" s="23"/>
      <c r="W3711" s="23"/>
      <c r="X3711" s="23"/>
      <c r="Y3711" s="23"/>
      <c r="Z3711" s="23"/>
    </row>
    <row r="3712" spans="1:26" ht="13">
      <c r="A3712" s="562" t="s">
        <v>8259</v>
      </c>
      <c r="B3712" s="563" t="s">
        <v>8260</v>
      </c>
      <c r="C3712" s="564" t="s">
        <v>1612</v>
      </c>
      <c r="D3712" s="565">
        <v>41675</v>
      </c>
      <c r="E3712" s="565">
        <v>41683</v>
      </c>
      <c r="F3712" s="567">
        <v>690</v>
      </c>
      <c r="G3712" s="564" t="s">
        <v>1424</v>
      </c>
      <c r="H3712" s="564" t="s">
        <v>1424</v>
      </c>
      <c r="I3712" s="564" t="s">
        <v>64</v>
      </c>
      <c r="J3712" s="564" t="s">
        <v>1069</v>
      </c>
      <c r="K3712" s="564" t="s">
        <v>1090</v>
      </c>
      <c r="L3712" s="564" t="s">
        <v>2098</v>
      </c>
      <c r="M3712" s="564" t="s">
        <v>2098</v>
      </c>
      <c r="N3712" s="564" t="s">
        <v>64</v>
      </c>
      <c r="O3712" s="564" t="s">
        <v>2099</v>
      </c>
      <c r="P3712" s="23"/>
      <c r="Q3712" s="23"/>
      <c r="R3712" s="23"/>
      <c r="S3712" s="23"/>
      <c r="T3712" s="23"/>
      <c r="U3712" s="23"/>
      <c r="V3712" s="23"/>
      <c r="W3712" s="23"/>
      <c r="X3712" s="23"/>
      <c r="Y3712" s="23"/>
      <c r="Z3712" s="23"/>
    </row>
    <row r="3713" spans="1:26" ht="13">
      <c r="A3713" s="562" t="s">
        <v>8261</v>
      </c>
      <c r="B3713" s="563" t="s">
        <v>8262</v>
      </c>
      <c r="C3713" s="564" t="s">
        <v>2191</v>
      </c>
      <c r="D3713" s="565">
        <v>41673</v>
      </c>
      <c r="E3713" s="565">
        <v>41691</v>
      </c>
      <c r="F3713" s="566">
        <v>42000000</v>
      </c>
      <c r="G3713" s="564" t="s">
        <v>1123</v>
      </c>
      <c r="H3713" s="564" t="s">
        <v>1123</v>
      </c>
      <c r="I3713" s="564" t="s">
        <v>140</v>
      </c>
      <c r="J3713" s="564" t="s">
        <v>1069</v>
      </c>
      <c r="K3713" s="564" t="s">
        <v>1205</v>
      </c>
      <c r="L3713" s="564" t="s">
        <v>2098</v>
      </c>
      <c r="M3713" s="564" t="s">
        <v>2098</v>
      </c>
      <c r="N3713" s="564" t="s">
        <v>1073</v>
      </c>
      <c r="O3713" s="564" t="s">
        <v>2099</v>
      </c>
      <c r="P3713" s="23"/>
      <c r="Q3713" s="23"/>
      <c r="R3713" s="23"/>
      <c r="S3713" s="23"/>
      <c r="T3713" s="23"/>
      <c r="U3713" s="23"/>
      <c r="V3713" s="23"/>
      <c r="W3713" s="23"/>
      <c r="X3713" s="23"/>
      <c r="Y3713" s="23"/>
      <c r="Z3713" s="23"/>
    </row>
    <row r="3714" spans="1:26" ht="13">
      <c r="A3714" s="562" t="s">
        <v>8263</v>
      </c>
      <c r="B3714" s="563" t="s">
        <v>8264</v>
      </c>
      <c r="C3714" s="564" t="s">
        <v>1612</v>
      </c>
      <c r="D3714" s="565">
        <v>41667</v>
      </c>
      <c r="E3714" s="565">
        <v>41687</v>
      </c>
      <c r="F3714" s="566">
        <v>8316</v>
      </c>
      <c r="G3714" s="564" t="s">
        <v>297</v>
      </c>
      <c r="H3714" s="564" t="s">
        <v>297</v>
      </c>
      <c r="I3714" s="564" t="s">
        <v>1837</v>
      </c>
      <c r="J3714" s="564" t="s">
        <v>1069</v>
      </c>
      <c r="K3714" s="564" t="s">
        <v>1070</v>
      </c>
      <c r="L3714" s="564" t="s">
        <v>2098</v>
      </c>
      <c r="M3714" s="564" t="s">
        <v>2098</v>
      </c>
      <c r="N3714" s="564" t="s">
        <v>1082</v>
      </c>
      <c r="O3714" s="564" t="s">
        <v>2099</v>
      </c>
      <c r="P3714" s="23"/>
      <c r="Q3714" s="23"/>
      <c r="R3714" s="23"/>
      <c r="S3714" s="23"/>
      <c r="T3714" s="23"/>
      <c r="U3714" s="23"/>
      <c r="V3714" s="23"/>
      <c r="W3714" s="23"/>
      <c r="X3714" s="23"/>
      <c r="Y3714" s="23"/>
      <c r="Z3714" s="23"/>
    </row>
    <row r="3715" spans="1:26" ht="13">
      <c r="A3715" s="562" t="s">
        <v>8265</v>
      </c>
      <c r="B3715" s="563" t="s">
        <v>8266</v>
      </c>
      <c r="C3715" s="564" t="s">
        <v>1612</v>
      </c>
      <c r="D3715" s="565">
        <v>41667</v>
      </c>
      <c r="E3715" s="565">
        <v>41684</v>
      </c>
      <c r="F3715" s="566">
        <v>3363636</v>
      </c>
      <c r="G3715" s="564" t="s">
        <v>337</v>
      </c>
      <c r="H3715" s="564" t="s">
        <v>337</v>
      </c>
      <c r="I3715" s="564" t="s">
        <v>802</v>
      </c>
      <c r="J3715" s="564" t="s">
        <v>1069</v>
      </c>
      <c r="K3715" s="564" t="s">
        <v>1198</v>
      </c>
      <c r="L3715" s="564" t="s">
        <v>2098</v>
      </c>
      <c r="M3715" s="564" t="s">
        <v>2098</v>
      </c>
      <c r="N3715" s="564" t="s">
        <v>132</v>
      </c>
      <c r="O3715" s="564" t="s">
        <v>2099</v>
      </c>
      <c r="P3715" s="23"/>
      <c r="Q3715" s="23"/>
      <c r="R3715" s="23"/>
      <c r="S3715" s="23"/>
      <c r="T3715" s="23"/>
      <c r="U3715" s="23"/>
      <c r="V3715" s="23"/>
      <c r="W3715" s="23"/>
      <c r="X3715" s="23"/>
      <c r="Y3715" s="23"/>
      <c r="Z3715" s="23"/>
    </row>
    <row r="3716" spans="1:26" ht="13">
      <c r="A3716" s="562" t="s">
        <v>8267</v>
      </c>
      <c r="B3716" s="563" t="s">
        <v>8268</v>
      </c>
      <c r="C3716" s="564" t="s">
        <v>1612</v>
      </c>
      <c r="D3716" s="565">
        <v>41663</v>
      </c>
      <c r="E3716" s="565">
        <v>41670</v>
      </c>
      <c r="F3716" s="566">
        <v>2200000</v>
      </c>
      <c r="G3716" s="564" t="s">
        <v>5465</v>
      </c>
      <c r="H3716" s="564" t="s">
        <v>5465</v>
      </c>
      <c r="I3716" s="564" t="s">
        <v>45</v>
      </c>
      <c r="J3716" s="564" t="s">
        <v>1069</v>
      </c>
      <c r="K3716" s="564" t="s">
        <v>1090</v>
      </c>
      <c r="L3716" s="564" t="s">
        <v>2098</v>
      </c>
      <c r="M3716" s="564" t="s">
        <v>2098</v>
      </c>
      <c r="N3716" s="564" t="s">
        <v>45</v>
      </c>
      <c r="O3716" s="564" t="s">
        <v>2099</v>
      </c>
      <c r="P3716" s="23"/>
      <c r="Q3716" s="23"/>
      <c r="R3716" s="23"/>
      <c r="S3716" s="23"/>
      <c r="T3716" s="23"/>
      <c r="U3716" s="23"/>
      <c r="V3716" s="23"/>
      <c r="W3716" s="23"/>
      <c r="X3716" s="23"/>
      <c r="Y3716" s="23"/>
      <c r="Z3716" s="23"/>
    </row>
    <row r="3717" spans="1:26" ht="13">
      <c r="A3717" s="562" t="s">
        <v>8269</v>
      </c>
      <c r="B3717" s="563" t="s">
        <v>8270</v>
      </c>
      <c r="C3717" s="564" t="s">
        <v>1612</v>
      </c>
      <c r="D3717" s="565">
        <v>41659</v>
      </c>
      <c r="E3717" s="565">
        <v>41670</v>
      </c>
      <c r="F3717" s="566">
        <v>134418000</v>
      </c>
      <c r="G3717" s="564" t="s">
        <v>5465</v>
      </c>
      <c r="H3717" s="564" t="s">
        <v>5465</v>
      </c>
      <c r="I3717" s="564" t="s">
        <v>45</v>
      </c>
      <c r="J3717" s="564" t="s">
        <v>1069</v>
      </c>
      <c r="K3717" s="564" t="s">
        <v>1090</v>
      </c>
      <c r="L3717" s="564" t="s">
        <v>2098</v>
      </c>
      <c r="M3717" s="564" t="s">
        <v>2098</v>
      </c>
      <c r="N3717" s="564" t="s">
        <v>45</v>
      </c>
      <c r="O3717" s="564" t="s">
        <v>2099</v>
      </c>
      <c r="P3717" s="23"/>
      <c r="Q3717" s="23"/>
      <c r="R3717" s="23"/>
      <c r="S3717" s="23"/>
      <c r="T3717" s="23"/>
      <c r="U3717" s="23"/>
      <c r="V3717" s="23"/>
      <c r="W3717" s="23"/>
      <c r="X3717" s="23"/>
      <c r="Y3717" s="23"/>
      <c r="Z3717" s="23"/>
    </row>
    <row r="3718" spans="1:26" ht="13">
      <c r="A3718" s="562" t="s">
        <v>8271</v>
      </c>
      <c r="B3718" s="563" t="s">
        <v>8014</v>
      </c>
      <c r="C3718" s="564" t="s">
        <v>1612</v>
      </c>
      <c r="D3718" s="565">
        <v>41660</v>
      </c>
      <c r="E3718" s="565">
        <v>41667</v>
      </c>
      <c r="F3718" s="566">
        <v>10680000</v>
      </c>
      <c r="G3718" s="564" t="s">
        <v>1128</v>
      </c>
      <c r="H3718" s="564" t="s">
        <v>1128</v>
      </c>
      <c r="I3718" s="564" t="s">
        <v>257</v>
      </c>
      <c r="J3718" s="564" t="s">
        <v>1069</v>
      </c>
      <c r="K3718" s="564" t="s">
        <v>1209</v>
      </c>
      <c r="L3718" s="564" t="s">
        <v>2098</v>
      </c>
      <c r="M3718" s="564" t="s">
        <v>2098</v>
      </c>
      <c r="N3718" s="564" t="s">
        <v>257</v>
      </c>
      <c r="O3718" s="564" t="s">
        <v>2099</v>
      </c>
      <c r="P3718" s="23"/>
      <c r="Q3718" s="23"/>
      <c r="R3718" s="23"/>
      <c r="S3718" s="23"/>
      <c r="T3718" s="23"/>
      <c r="U3718" s="23"/>
      <c r="V3718" s="23"/>
      <c r="W3718" s="23"/>
      <c r="X3718" s="23"/>
      <c r="Y3718" s="23"/>
      <c r="Z3718" s="23"/>
    </row>
    <row r="3719" spans="1:26" ht="13">
      <c r="A3719" s="562" t="s">
        <v>8272</v>
      </c>
      <c r="B3719" s="563" t="s">
        <v>8273</v>
      </c>
      <c r="C3719" s="564" t="s">
        <v>1612</v>
      </c>
      <c r="D3719" s="565">
        <v>41660</v>
      </c>
      <c r="E3719" s="565">
        <v>41667</v>
      </c>
      <c r="F3719" s="566">
        <v>10795</v>
      </c>
      <c r="G3719" s="564" t="s">
        <v>1424</v>
      </c>
      <c r="H3719" s="564" t="s">
        <v>1424</v>
      </c>
      <c r="I3719" s="564" t="s">
        <v>64</v>
      </c>
      <c r="J3719" s="564" t="s">
        <v>1069</v>
      </c>
      <c r="K3719" s="564" t="s">
        <v>1090</v>
      </c>
      <c r="L3719" s="564" t="s">
        <v>2098</v>
      </c>
      <c r="M3719" s="564" t="s">
        <v>2098</v>
      </c>
      <c r="N3719" s="564" t="s">
        <v>64</v>
      </c>
      <c r="O3719" s="564" t="s">
        <v>2099</v>
      </c>
      <c r="P3719" s="23"/>
      <c r="Q3719" s="23"/>
      <c r="R3719" s="23"/>
      <c r="S3719" s="23"/>
      <c r="T3719" s="23"/>
      <c r="U3719" s="23"/>
      <c r="V3719" s="23"/>
      <c r="W3719" s="23"/>
      <c r="X3719" s="23"/>
      <c r="Y3719" s="23"/>
      <c r="Z3719" s="23"/>
    </row>
    <row r="3720" spans="1:26" ht="13">
      <c r="A3720" s="562" t="s">
        <v>8274</v>
      </c>
      <c r="B3720" s="563" t="s">
        <v>7826</v>
      </c>
      <c r="C3720" s="564" t="s">
        <v>1612</v>
      </c>
      <c r="D3720" s="565">
        <v>41656</v>
      </c>
      <c r="E3720" s="565">
        <v>41663</v>
      </c>
      <c r="F3720" s="566">
        <v>430000</v>
      </c>
      <c r="G3720" s="564" t="s">
        <v>1157</v>
      </c>
      <c r="H3720" s="564" t="s">
        <v>1157</v>
      </c>
      <c r="I3720" s="564" t="s">
        <v>225</v>
      </c>
      <c r="J3720" s="564" t="s">
        <v>1069</v>
      </c>
      <c r="K3720" s="564" t="s">
        <v>1105</v>
      </c>
      <c r="L3720" s="564" t="s">
        <v>2098</v>
      </c>
      <c r="M3720" s="564" t="s">
        <v>2098</v>
      </c>
      <c r="N3720" s="564" t="s">
        <v>225</v>
      </c>
      <c r="O3720" s="564" t="s">
        <v>2099</v>
      </c>
      <c r="P3720" s="23"/>
      <c r="Q3720" s="23"/>
      <c r="R3720" s="23"/>
      <c r="S3720" s="23"/>
      <c r="T3720" s="23"/>
      <c r="U3720" s="23"/>
      <c r="V3720" s="23"/>
      <c r="W3720" s="23"/>
      <c r="X3720" s="23"/>
      <c r="Y3720" s="23"/>
      <c r="Z3720" s="23"/>
    </row>
    <row r="3721" spans="1:26" ht="13">
      <c r="A3721" s="562" t="s">
        <v>8275</v>
      </c>
      <c r="B3721" s="563" t="s">
        <v>8276</v>
      </c>
      <c r="C3721" s="564" t="s">
        <v>1612</v>
      </c>
      <c r="D3721" s="565">
        <v>41656</v>
      </c>
      <c r="E3721" s="565">
        <v>41663</v>
      </c>
      <c r="F3721" s="566">
        <v>3280</v>
      </c>
      <c r="G3721" s="564" t="s">
        <v>337</v>
      </c>
      <c r="H3721" s="564" t="s">
        <v>337</v>
      </c>
      <c r="I3721" s="564" t="s">
        <v>802</v>
      </c>
      <c r="J3721" s="564" t="s">
        <v>1069</v>
      </c>
      <c r="K3721" s="564" t="s">
        <v>1198</v>
      </c>
      <c r="L3721" s="564" t="s">
        <v>2098</v>
      </c>
      <c r="M3721" s="564" t="s">
        <v>2098</v>
      </c>
      <c r="N3721" s="564" t="s">
        <v>132</v>
      </c>
      <c r="O3721" s="564" t="s">
        <v>2099</v>
      </c>
      <c r="P3721" s="23"/>
      <c r="Q3721" s="23"/>
      <c r="R3721" s="23"/>
      <c r="S3721" s="23"/>
      <c r="T3721" s="23"/>
      <c r="U3721" s="23"/>
      <c r="V3721" s="23"/>
      <c r="W3721" s="23"/>
      <c r="X3721" s="23"/>
      <c r="Y3721" s="23"/>
      <c r="Z3721" s="23"/>
    </row>
    <row r="3722" spans="1:26" ht="13">
      <c r="A3722" s="562" t="s">
        <v>8277</v>
      </c>
      <c r="B3722" s="563" t="s">
        <v>8278</v>
      </c>
      <c r="C3722" s="564" t="s">
        <v>1612</v>
      </c>
      <c r="D3722" s="565">
        <v>41660</v>
      </c>
      <c r="E3722" s="565">
        <v>41670</v>
      </c>
      <c r="F3722" s="566">
        <v>15200000</v>
      </c>
      <c r="G3722" s="564" t="s">
        <v>5465</v>
      </c>
      <c r="H3722" s="564" t="s">
        <v>5465</v>
      </c>
      <c r="I3722" s="564" t="s">
        <v>45</v>
      </c>
      <c r="J3722" s="564" t="s">
        <v>1069</v>
      </c>
      <c r="K3722" s="564" t="s">
        <v>1090</v>
      </c>
      <c r="L3722" s="564" t="s">
        <v>2098</v>
      </c>
      <c r="M3722" s="564" t="s">
        <v>2098</v>
      </c>
      <c r="N3722" s="564" t="s">
        <v>45</v>
      </c>
      <c r="O3722" s="564" t="s">
        <v>2099</v>
      </c>
      <c r="P3722" s="23"/>
      <c r="Q3722" s="23"/>
      <c r="R3722" s="23"/>
      <c r="S3722" s="23"/>
      <c r="T3722" s="23"/>
      <c r="U3722" s="23"/>
      <c r="V3722" s="23"/>
      <c r="W3722" s="23"/>
      <c r="X3722" s="23"/>
      <c r="Y3722" s="23"/>
      <c r="Z3722" s="23"/>
    </row>
    <row r="3723" spans="1:26" ht="13">
      <c r="A3723" s="562" t="s">
        <v>8279</v>
      </c>
      <c r="B3723" s="563" t="s">
        <v>8280</v>
      </c>
      <c r="C3723" s="564" t="s">
        <v>1612</v>
      </c>
      <c r="D3723" s="565">
        <v>41656</v>
      </c>
      <c r="E3723" s="565">
        <v>41663</v>
      </c>
      <c r="F3723" s="567">
        <v>460</v>
      </c>
      <c r="G3723" s="564" t="s">
        <v>1424</v>
      </c>
      <c r="H3723" s="564" t="s">
        <v>1424</v>
      </c>
      <c r="I3723" s="564" t="s">
        <v>121</v>
      </c>
      <c r="J3723" s="564" t="s">
        <v>1069</v>
      </c>
      <c r="K3723" s="564" t="s">
        <v>1105</v>
      </c>
      <c r="L3723" s="564" t="s">
        <v>2098</v>
      </c>
      <c r="M3723" s="564" t="s">
        <v>2098</v>
      </c>
      <c r="N3723" s="564" t="s">
        <v>1073</v>
      </c>
      <c r="O3723" s="564" t="s">
        <v>2099</v>
      </c>
      <c r="P3723" s="23"/>
      <c r="Q3723" s="23"/>
      <c r="R3723" s="23"/>
      <c r="S3723" s="23"/>
      <c r="T3723" s="23"/>
      <c r="U3723" s="23"/>
      <c r="V3723" s="23"/>
      <c r="W3723" s="23"/>
      <c r="X3723" s="23"/>
      <c r="Y3723" s="23"/>
      <c r="Z3723" s="23"/>
    </row>
    <row r="3724" spans="1:26" ht="13">
      <c r="A3724" s="562" t="s">
        <v>8281</v>
      </c>
      <c r="B3724" s="563" t="s">
        <v>7884</v>
      </c>
      <c r="C3724" s="564" t="s">
        <v>1612</v>
      </c>
      <c r="D3724" s="565">
        <v>41656</v>
      </c>
      <c r="E3724" s="565">
        <v>41663</v>
      </c>
      <c r="F3724" s="566">
        <v>10626</v>
      </c>
      <c r="G3724" s="564" t="s">
        <v>337</v>
      </c>
      <c r="H3724" s="564" t="s">
        <v>337</v>
      </c>
      <c r="I3724" s="564" t="s">
        <v>1837</v>
      </c>
      <c r="J3724" s="564" t="s">
        <v>1069</v>
      </c>
      <c r="K3724" s="564" t="s">
        <v>1090</v>
      </c>
      <c r="L3724" s="564" t="s">
        <v>2098</v>
      </c>
      <c r="M3724" s="564" t="s">
        <v>2098</v>
      </c>
      <c r="N3724" s="564" t="s">
        <v>1082</v>
      </c>
      <c r="O3724" s="564" t="s">
        <v>2099</v>
      </c>
      <c r="P3724" s="23"/>
      <c r="Q3724" s="23"/>
      <c r="R3724" s="23"/>
      <c r="S3724" s="23"/>
      <c r="T3724" s="23"/>
      <c r="U3724" s="23"/>
      <c r="V3724" s="23"/>
      <c r="W3724" s="23"/>
      <c r="X3724" s="23"/>
      <c r="Y3724" s="23"/>
      <c r="Z3724" s="23"/>
    </row>
    <row r="3725" spans="1:26" ht="13">
      <c r="A3725" s="562" t="s">
        <v>8282</v>
      </c>
      <c r="B3725" s="563" t="s">
        <v>8283</v>
      </c>
      <c r="C3725" s="564" t="s">
        <v>1612</v>
      </c>
      <c r="D3725" s="565">
        <v>41654</v>
      </c>
      <c r="E3725" s="565">
        <v>41663</v>
      </c>
      <c r="F3725" s="566">
        <v>88200</v>
      </c>
      <c r="G3725" s="564" t="s">
        <v>337</v>
      </c>
      <c r="H3725" s="564" t="s">
        <v>337</v>
      </c>
      <c r="I3725" s="564" t="s">
        <v>802</v>
      </c>
      <c r="J3725" s="564" t="s">
        <v>1069</v>
      </c>
      <c r="K3725" s="564" t="s">
        <v>1198</v>
      </c>
      <c r="L3725" s="564" t="s">
        <v>2098</v>
      </c>
      <c r="M3725" s="564" t="s">
        <v>2098</v>
      </c>
      <c r="N3725" s="564" t="s">
        <v>132</v>
      </c>
      <c r="O3725" s="564" t="s">
        <v>2099</v>
      </c>
      <c r="P3725" s="23"/>
      <c r="Q3725" s="23"/>
      <c r="R3725" s="23"/>
      <c r="S3725" s="23"/>
      <c r="T3725" s="23"/>
      <c r="U3725" s="23"/>
      <c r="V3725" s="23"/>
      <c r="W3725" s="23"/>
      <c r="X3725" s="23"/>
      <c r="Y3725" s="23"/>
      <c r="Z3725" s="23"/>
    </row>
    <row r="3726" spans="1:26" ht="13">
      <c r="A3726" s="562" t="s">
        <v>8284</v>
      </c>
      <c r="B3726" s="563" t="s">
        <v>8285</v>
      </c>
      <c r="C3726" s="564" t="s">
        <v>1612</v>
      </c>
      <c r="D3726" s="565">
        <v>41654</v>
      </c>
      <c r="E3726" s="565">
        <v>41663</v>
      </c>
      <c r="F3726" s="566">
        <v>12582600</v>
      </c>
      <c r="G3726" s="564" t="s">
        <v>337</v>
      </c>
      <c r="H3726" s="564" t="s">
        <v>337</v>
      </c>
      <c r="I3726" s="564" t="s">
        <v>802</v>
      </c>
      <c r="J3726" s="564" t="s">
        <v>1069</v>
      </c>
      <c r="K3726" s="564" t="s">
        <v>1198</v>
      </c>
      <c r="L3726" s="564" t="s">
        <v>2098</v>
      </c>
      <c r="M3726" s="564" t="s">
        <v>2098</v>
      </c>
      <c r="N3726" s="564" t="s">
        <v>132</v>
      </c>
      <c r="O3726" s="564" t="s">
        <v>2099</v>
      </c>
      <c r="P3726" s="23"/>
      <c r="Q3726" s="23"/>
      <c r="R3726" s="23"/>
      <c r="S3726" s="23"/>
      <c r="T3726" s="23"/>
      <c r="U3726" s="23"/>
      <c r="V3726" s="23"/>
      <c r="W3726" s="23"/>
      <c r="X3726" s="23"/>
      <c r="Y3726" s="23"/>
      <c r="Z3726" s="23"/>
    </row>
    <row r="3727" spans="1:26" ht="13">
      <c r="A3727" s="562" t="s">
        <v>8286</v>
      </c>
      <c r="B3727" s="563" t="s">
        <v>8287</v>
      </c>
      <c r="C3727" s="564" t="s">
        <v>2191</v>
      </c>
      <c r="D3727" s="565">
        <v>41654</v>
      </c>
      <c r="E3727" s="565">
        <v>41759</v>
      </c>
      <c r="F3727" s="566">
        <v>51500</v>
      </c>
      <c r="G3727" s="564" t="s">
        <v>1636</v>
      </c>
      <c r="H3727" s="564" t="s">
        <v>1636</v>
      </c>
      <c r="I3727" s="564" t="s">
        <v>7175</v>
      </c>
      <c r="J3727" s="564" t="s">
        <v>1069</v>
      </c>
      <c r="K3727" s="564" t="s">
        <v>1070</v>
      </c>
      <c r="L3727" s="564" t="s">
        <v>2098</v>
      </c>
      <c r="M3727" s="564" t="s">
        <v>2098</v>
      </c>
      <c r="N3727" s="564" t="s">
        <v>1082</v>
      </c>
      <c r="O3727" s="564" t="s">
        <v>2099</v>
      </c>
      <c r="P3727" s="23"/>
      <c r="Q3727" s="23"/>
      <c r="R3727" s="23"/>
      <c r="S3727" s="23"/>
      <c r="T3727" s="23"/>
      <c r="U3727" s="23"/>
      <c r="V3727" s="23"/>
      <c r="W3727" s="23"/>
      <c r="X3727" s="23"/>
      <c r="Y3727" s="23"/>
      <c r="Z3727" s="23"/>
    </row>
    <row r="3728" spans="1:26" ht="13">
      <c r="A3728" s="562" t="s">
        <v>8288</v>
      </c>
      <c r="B3728" s="563" t="s">
        <v>8289</v>
      </c>
      <c r="C3728" s="564" t="s">
        <v>1612</v>
      </c>
      <c r="D3728" s="565">
        <v>41654</v>
      </c>
      <c r="E3728" s="565">
        <v>41663</v>
      </c>
      <c r="F3728" s="566">
        <v>15600</v>
      </c>
      <c r="G3728" s="564" t="s">
        <v>337</v>
      </c>
      <c r="H3728" s="564" t="s">
        <v>337</v>
      </c>
      <c r="I3728" s="564" t="s">
        <v>802</v>
      </c>
      <c r="J3728" s="564" t="s">
        <v>1069</v>
      </c>
      <c r="K3728" s="564" t="s">
        <v>1198</v>
      </c>
      <c r="L3728" s="564" t="s">
        <v>2098</v>
      </c>
      <c r="M3728" s="564" t="s">
        <v>2098</v>
      </c>
      <c r="N3728" s="564" t="s">
        <v>132</v>
      </c>
      <c r="O3728" s="564" t="s">
        <v>2099</v>
      </c>
      <c r="P3728" s="23"/>
      <c r="Q3728" s="23"/>
      <c r="R3728" s="23"/>
      <c r="S3728" s="23"/>
      <c r="T3728" s="23"/>
      <c r="U3728" s="23"/>
      <c r="V3728" s="23"/>
      <c r="W3728" s="23"/>
      <c r="X3728" s="23"/>
      <c r="Y3728" s="23"/>
      <c r="Z3728" s="23"/>
    </row>
    <row r="3729" spans="1:26" ht="13">
      <c r="A3729" s="562" t="s">
        <v>8290</v>
      </c>
      <c r="B3729" s="563" t="s">
        <v>7190</v>
      </c>
      <c r="C3729" s="564" t="s">
        <v>1612</v>
      </c>
      <c r="D3729" s="565">
        <v>41654</v>
      </c>
      <c r="E3729" s="565">
        <v>41660</v>
      </c>
      <c r="F3729" s="566">
        <v>14080000</v>
      </c>
      <c r="G3729" s="564" t="s">
        <v>1128</v>
      </c>
      <c r="H3729" s="564" t="s">
        <v>1128</v>
      </c>
      <c r="I3729" s="564" t="s">
        <v>45</v>
      </c>
      <c r="J3729" s="564" t="s">
        <v>1069</v>
      </c>
      <c r="K3729" s="564" t="s">
        <v>1090</v>
      </c>
      <c r="L3729" s="564" t="s">
        <v>2098</v>
      </c>
      <c r="M3729" s="564" t="s">
        <v>2098</v>
      </c>
      <c r="N3729" s="564" t="s">
        <v>45</v>
      </c>
      <c r="O3729" s="564" t="s">
        <v>2099</v>
      </c>
      <c r="P3729" s="23"/>
      <c r="Q3729" s="23"/>
      <c r="R3729" s="23"/>
      <c r="S3729" s="23"/>
      <c r="T3729" s="23"/>
      <c r="U3729" s="23"/>
      <c r="V3729" s="23"/>
      <c r="W3729" s="23"/>
      <c r="X3729" s="23"/>
      <c r="Y3729" s="23"/>
      <c r="Z3729" s="23"/>
    </row>
    <row r="3730" spans="1:26" ht="13">
      <c r="A3730" s="562" t="s">
        <v>8291</v>
      </c>
      <c r="B3730" s="563" t="s">
        <v>8292</v>
      </c>
      <c r="C3730" s="564" t="s">
        <v>1612</v>
      </c>
      <c r="D3730" s="565">
        <v>41649</v>
      </c>
      <c r="E3730" s="565">
        <v>41640</v>
      </c>
      <c r="F3730" s="566">
        <v>36018720</v>
      </c>
      <c r="G3730" s="564" t="s">
        <v>337</v>
      </c>
      <c r="H3730" s="564" t="s">
        <v>337</v>
      </c>
      <c r="I3730" s="564" t="s">
        <v>45</v>
      </c>
      <c r="J3730" s="564" t="s">
        <v>1069</v>
      </c>
      <c r="K3730" s="564" t="s">
        <v>1090</v>
      </c>
      <c r="L3730" s="564" t="s">
        <v>1071</v>
      </c>
      <c r="M3730" s="564" t="s">
        <v>1183</v>
      </c>
      <c r="N3730" s="564" t="s">
        <v>45</v>
      </c>
      <c r="O3730" s="564" t="s">
        <v>2099</v>
      </c>
      <c r="P3730" s="23"/>
      <c r="Q3730" s="23"/>
      <c r="R3730" s="23"/>
      <c r="S3730" s="23"/>
      <c r="T3730" s="23"/>
      <c r="U3730" s="23"/>
      <c r="V3730" s="23"/>
      <c r="W3730" s="23"/>
      <c r="X3730" s="23"/>
      <c r="Y3730" s="23"/>
      <c r="Z3730" s="23"/>
    </row>
    <row r="3731" spans="1:26" ht="13">
      <c r="A3731" s="562" t="s">
        <v>8293</v>
      </c>
      <c r="B3731" s="563" t="s">
        <v>7884</v>
      </c>
      <c r="C3731" s="564" t="s">
        <v>1612</v>
      </c>
      <c r="D3731" s="565">
        <v>41649</v>
      </c>
      <c r="E3731" s="565">
        <v>41656</v>
      </c>
      <c r="F3731" s="566">
        <v>12880</v>
      </c>
      <c r="G3731" s="564" t="s">
        <v>337</v>
      </c>
      <c r="H3731" s="564" t="s">
        <v>337</v>
      </c>
      <c r="I3731" s="564" t="s">
        <v>1837</v>
      </c>
      <c r="J3731" s="564" t="s">
        <v>1069</v>
      </c>
      <c r="K3731" s="564" t="s">
        <v>1090</v>
      </c>
      <c r="L3731" s="564" t="s">
        <v>2098</v>
      </c>
      <c r="M3731" s="564" t="s">
        <v>2098</v>
      </c>
      <c r="N3731" s="564" t="s">
        <v>1082</v>
      </c>
      <c r="O3731" s="564" t="s">
        <v>2099</v>
      </c>
      <c r="P3731" s="23"/>
      <c r="Q3731" s="23"/>
      <c r="R3731" s="23"/>
      <c r="S3731" s="23"/>
      <c r="T3731" s="23"/>
      <c r="U3731" s="23"/>
      <c r="V3731" s="23"/>
      <c r="W3731" s="23"/>
      <c r="X3731" s="23"/>
      <c r="Y3731" s="23"/>
      <c r="Z3731" s="23"/>
    </row>
    <row r="3732" spans="1:26" ht="13">
      <c r="A3732" s="562" t="s">
        <v>8294</v>
      </c>
      <c r="B3732" s="563" t="s">
        <v>8295</v>
      </c>
      <c r="C3732" s="564" t="s">
        <v>1612</v>
      </c>
      <c r="D3732" s="565">
        <v>41652</v>
      </c>
      <c r="E3732" s="565">
        <v>41653</v>
      </c>
      <c r="F3732" s="566">
        <v>3150</v>
      </c>
      <c r="G3732" s="564" t="s">
        <v>1424</v>
      </c>
      <c r="H3732" s="564" t="s">
        <v>1424</v>
      </c>
      <c r="I3732" s="564" t="s">
        <v>1586</v>
      </c>
      <c r="J3732" s="564" t="s">
        <v>1069</v>
      </c>
      <c r="K3732" s="564" t="s">
        <v>1090</v>
      </c>
      <c r="L3732" s="564" t="s">
        <v>2098</v>
      </c>
      <c r="M3732" s="564" t="s">
        <v>2098</v>
      </c>
      <c r="N3732" s="564" t="s">
        <v>1073</v>
      </c>
      <c r="O3732" s="564" t="s">
        <v>2099</v>
      </c>
      <c r="P3732" s="23"/>
      <c r="Q3732" s="23"/>
      <c r="R3732" s="23"/>
      <c r="S3732" s="23"/>
      <c r="T3732" s="23"/>
      <c r="U3732" s="23"/>
      <c r="V3732" s="23"/>
      <c r="W3732" s="23"/>
      <c r="X3732" s="23"/>
      <c r="Y3732" s="23"/>
      <c r="Z3732" s="23"/>
    </row>
    <row r="3733" spans="1:26" ht="13">
      <c r="A3733" s="562" t="s">
        <v>8296</v>
      </c>
      <c r="B3733" s="563" t="s">
        <v>8297</v>
      </c>
      <c r="C3733" s="564" t="s">
        <v>1612</v>
      </c>
      <c r="D3733" s="565">
        <v>41649</v>
      </c>
      <c r="E3733" s="565">
        <v>41663</v>
      </c>
      <c r="F3733" s="566">
        <v>1327</v>
      </c>
      <c r="G3733" s="564" t="s">
        <v>1424</v>
      </c>
      <c r="H3733" s="564" t="s">
        <v>1424</v>
      </c>
      <c r="I3733" s="564" t="s">
        <v>1746</v>
      </c>
      <c r="J3733" s="564" t="s">
        <v>1069</v>
      </c>
      <c r="K3733" s="564" t="s">
        <v>1198</v>
      </c>
      <c r="L3733" s="564" t="s">
        <v>2098</v>
      </c>
      <c r="M3733" s="564" t="s">
        <v>2098</v>
      </c>
      <c r="N3733" s="564" t="s">
        <v>1073</v>
      </c>
      <c r="O3733" s="564" t="s">
        <v>2099</v>
      </c>
      <c r="P3733" s="23"/>
      <c r="Q3733" s="23"/>
      <c r="R3733" s="23"/>
      <c r="S3733" s="23"/>
      <c r="T3733" s="23"/>
      <c r="U3733" s="23"/>
      <c r="V3733" s="23"/>
      <c r="W3733" s="23"/>
      <c r="X3733" s="23"/>
      <c r="Y3733" s="23"/>
      <c r="Z3733" s="23"/>
    </row>
    <row r="3734" spans="1:26" ht="13">
      <c r="A3734" s="562" t="s">
        <v>8298</v>
      </c>
      <c r="B3734" s="563" t="s">
        <v>8299</v>
      </c>
      <c r="C3734" s="564" t="s">
        <v>1612</v>
      </c>
      <c r="D3734" s="565">
        <v>41649</v>
      </c>
      <c r="E3734" s="565">
        <v>41663</v>
      </c>
      <c r="F3734" s="566">
        <v>1823</v>
      </c>
      <c r="G3734" s="564" t="s">
        <v>1424</v>
      </c>
      <c r="H3734" s="564" t="s">
        <v>1424</v>
      </c>
      <c r="I3734" s="564" t="s">
        <v>70</v>
      </c>
      <c r="J3734" s="564" t="s">
        <v>1069</v>
      </c>
      <c r="K3734" s="564" t="s">
        <v>1120</v>
      </c>
      <c r="L3734" s="564" t="s">
        <v>2098</v>
      </c>
      <c r="M3734" s="564" t="s">
        <v>2098</v>
      </c>
      <c r="N3734" s="564" t="s">
        <v>70</v>
      </c>
      <c r="O3734" s="564" t="s">
        <v>2099</v>
      </c>
      <c r="P3734" s="23"/>
      <c r="Q3734" s="23"/>
      <c r="R3734" s="23"/>
      <c r="S3734" s="23"/>
      <c r="T3734" s="23"/>
      <c r="U3734" s="23"/>
      <c r="V3734" s="23"/>
      <c r="W3734" s="23"/>
      <c r="X3734" s="23"/>
      <c r="Y3734" s="23"/>
      <c r="Z3734" s="23"/>
    </row>
    <row r="3735" spans="1:26" ht="13">
      <c r="A3735" s="562" t="s">
        <v>8300</v>
      </c>
      <c r="B3735" s="563" t="s">
        <v>8301</v>
      </c>
      <c r="C3735" s="564" t="s">
        <v>1612</v>
      </c>
      <c r="D3735" s="565">
        <v>41649</v>
      </c>
      <c r="E3735" s="565">
        <v>41668</v>
      </c>
      <c r="F3735" s="566">
        <v>1050</v>
      </c>
      <c r="G3735" s="564" t="s">
        <v>1424</v>
      </c>
      <c r="H3735" s="564" t="s">
        <v>1424</v>
      </c>
      <c r="I3735" s="564" t="s">
        <v>70</v>
      </c>
      <c r="J3735" s="564" t="s">
        <v>1069</v>
      </c>
      <c r="K3735" s="564" t="s">
        <v>1120</v>
      </c>
      <c r="L3735" s="564" t="s">
        <v>2098</v>
      </c>
      <c r="M3735" s="564" t="s">
        <v>2098</v>
      </c>
      <c r="N3735" s="564" t="s">
        <v>70</v>
      </c>
      <c r="O3735" s="564" t="s">
        <v>2099</v>
      </c>
      <c r="P3735" s="23"/>
      <c r="Q3735" s="23"/>
      <c r="R3735" s="23"/>
      <c r="S3735" s="23"/>
      <c r="T3735" s="23"/>
      <c r="U3735" s="23"/>
      <c r="V3735" s="23"/>
      <c r="W3735" s="23"/>
      <c r="X3735" s="23"/>
      <c r="Y3735" s="23"/>
      <c r="Z3735" s="23"/>
    </row>
    <row r="3736" spans="1:26" ht="13">
      <c r="A3736" s="562" t="s">
        <v>8302</v>
      </c>
      <c r="B3736" s="563" t="s">
        <v>8303</v>
      </c>
      <c r="C3736" s="564" t="s">
        <v>1612</v>
      </c>
      <c r="D3736" s="565">
        <v>41649</v>
      </c>
      <c r="E3736" s="565">
        <v>41654</v>
      </c>
      <c r="F3736" s="566">
        <v>520000000</v>
      </c>
      <c r="G3736" s="564" t="s">
        <v>1128</v>
      </c>
      <c r="H3736" s="564" t="s">
        <v>1128</v>
      </c>
      <c r="I3736" s="564" t="s">
        <v>45</v>
      </c>
      <c r="J3736" s="564" t="s">
        <v>1069</v>
      </c>
      <c r="K3736" s="564" t="s">
        <v>1090</v>
      </c>
      <c r="L3736" s="564" t="s">
        <v>2098</v>
      </c>
      <c r="M3736" s="564" t="s">
        <v>2098</v>
      </c>
      <c r="N3736" s="564" t="s">
        <v>45</v>
      </c>
      <c r="O3736" s="564" t="s">
        <v>2099</v>
      </c>
      <c r="P3736" s="23"/>
      <c r="Q3736" s="23"/>
      <c r="R3736" s="23"/>
      <c r="S3736" s="23"/>
      <c r="T3736" s="23"/>
      <c r="U3736" s="23"/>
      <c r="V3736" s="23"/>
      <c r="W3736" s="23"/>
      <c r="X3736" s="23"/>
      <c r="Y3736" s="23"/>
      <c r="Z3736" s="23"/>
    </row>
    <row r="3737" spans="1:26" ht="13">
      <c r="A3737" s="562" t="s">
        <v>8304</v>
      </c>
      <c r="B3737" s="563" t="s">
        <v>8305</v>
      </c>
      <c r="C3737" s="564" t="s">
        <v>1204</v>
      </c>
      <c r="D3737" s="565">
        <v>41648</v>
      </c>
      <c r="E3737" s="565">
        <v>41656</v>
      </c>
      <c r="F3737" s="566">
        <v>1014480</v>
      </c>
      <c r="G3737" s="564" t="s">
        <v>297</v>
      </c>
      <c r="H3737" s="564" t="s">
        <v>297</v>
      </c>
      <c r="I3737" s="564" t="s">
        <v>1471</v>
      </c>
      <c r="J3737" s="564" t="s">
        <v>1069</v>
      </c>
      <c r="K3737" s="564" t="s">
        <v>1070</v>
      </c>
      <c r="L3737" s="564" t="s">
        <v>1071</v>
      </c>
      <c r="M3737" s="564" t="s">
        <v>1183</v>
      </c>
      <c r="N3737" s="564" t="s">
        <v>1082</v>
      </c>
      <c r="O3737" s="564" t="s">
        <v>1472</v>
      </c>
      <c r="P3737" s="23"/>
      <c r="Q3737" s="23"/>
      <c r="R3737" s="23"/>
      <c r="S3737" s="23"/>
      <c r="T3737" s="23"/>
      <c r="U3737" s="23"/>
      <c r="V3737" s="23"/>
      <c r="W3737" s="23"/>
      <c r="X3737" s="23"/>
      <c r="Y3737" s="23"/>
      <c r="Z3737" s="23"/>
    </row>
    <row r="3738" spans="1:26" ht="13">
      <c r="A3738" s="562" t="s">
        <v>8306</v>
      </c>
      <c r="B3738" s="563" t="s">
        <v>8307</v>
      </c>
      <c r="C3738" s="564" t="s">
        <v>1612</v>
      </c>
      <c r="D3738" s="565">
        <v>41641</v>
      </c>
      <c r="E3738" s="565">
        <v>41641</v>
      </c>
      <c r="F3738" s="567">
        <v>773</v>
      </c>
      <c r="G3738" s="564" t="s">
        <v>1424</v>
      </c>
      <c r="H3738" s="564" t="s">
        <v>1424</v>
      </c>
      <c r="I3738" s="564" t="s">
        <v>70</v>
      </c>
      <c r="J3738" s="564" t="s">
        <v>1069</v>
      </c>
      <c r="K3738" s="564" t="s">
        <v>1120</v>
      </c>
      <c r="L3738" s="564" t="s">
        <v>2098</v>
      </c>
      <c r="M3738" s="564" t="s">
        <v>2098</v>
      </c>
      <c r="N3738" s="564" t="s">
        <v>70</v>
      </c>
      <c r="O3738" s="564" t="s">
        <v>2099</v>
      </c>
      <c r="P3738" s="23"/>
      <c r="Q3738" s="23"/>
      <c r="R3738" s="23"/>
      <c r="S3738" s="23"/>
      <c r="T3738" s="23"/>
      <c r="U3738" s="23"/>
      <c r="V3738" s="23"/>
      <c r="W3738" s="23"/>
      <c r="X3738" s="23"/>
      <c r="Y3738" s="23"/>
      <c r="Z3738" s="23"/>
    </row>
    <row r="3739" spans="1:26" ht="13">
      <c r="A3739" s="562" t="s">
        <v>8308</v>
      </c>
      <c r="B3739" s="563" t="s">
        <v>8309</v>
      </c>
      <c r="C3739" s="564" t="s">
        <v>1612</v>
      </c>
      <c r="D3739" s="565">
        <v>41641</v>
      </c>
      <c r="E3739" s="565">
        <v>41652</v>
      </c>
      <c r="F3739" s="566">
        <v>515455</v>
      </c>
      <c r="G3739" s="564" t="s">
        <v>1424</v>
      </c>
      <c r="H3739" s="564" t="s">
        <v>1424</v>
      </c>
      <c r="I3739" s="564" t="s">
        <v>802</v>
      </c>
      <c r="J3739" s="564" t="s">
        <v>1069</v>
      </c>
      <c r="K3739" s="564" t="s">
        <v>1198</v>
      </c>
      <c r="L3739" s="564" t="s">
        <v>2098</v>
      </c>
      <c r="M3739" s="564" t="s">
        <v>2098</v>
      </c>
      <c r="N3739" s="564" t="s">
        <v>132</v>
      </c>
      <c r="O3739" s="564" t="s">
        <v>2099</v>
      </c>
      <c r="P3739" s="23"/>
      <c r="Q3739" s="23"/>
      <c r="R3739" s="23"/>
      <c r="S3739" s="23"/>
      <c r="T3739" s="23"/>
      <c r="U3739" s="23"/>
      <c r="V3739" s="23"/>
      <c r="W3739" s="23"/>
      <c r="X3739" s="23"/>
      <c r="Y3739" s="23"/>
      <c r="Z3739" s="23"/>
    </row>
    <row r="3740" spans="1:26" ht="13">
      <c r="A3740" s="562" t="s">
        <v>8310</v>
      </c>
      <c r="B3740" s="563" t="s">
        <v>8311</v>
      </c>
      <c r="C3740" s="564" t="s">
        <v>1873</v>
      </c>
      <c r="D3740" s="565">
        <v>41641</v>
      </c>
      <c r="E3740" s="565">
        <v>41649</v>
      </c>
      <c r="F3740" s="566">
        <v>9980000</v>
      </c>
      <c r="G3740" s="564" t="s">
        <v>1157</v>
      </c>
      <c r="H3740" s="564" t="s">
        <v>1157</v>
      </c>
      <c r="I3740" s="564" t="s">
        <v>170</v>
      </c>
      <c r="J3740" s="564" t="s">
        <v>1069</v>
      </c>
      <c r="K3740" s="564" t="s">
        <v>1105</v>
      </c>
      <c r="L3740" s="564" t="s">
        <v>2098</v>
      </c>
      <c r="M3740" s="564" t="s">
        <v>2098</v>
      </c>
      <c r="N3740" s="564" t="s">
        <v>170</v>
      </c>
      <c r="O3740" s="564" t="s">
        <v>2099</v>
      </c>
      <c r="P3740" s="23"/>
      <c r="Q3740" s="23"/>
      <c r="R3740" s="23"/>
      <c r="S3740" s="23"/>
      <c r="T3740" s="23"/>
      <c r="U3740" s="23"/>
      <c r="V3740" s="23"/>
      <c r="W3740" s="23"/>
      <c r="X3740" s="23"/>
      <c r="Y3740" s="23"/>
      <c r="Z3740" s="23"/>
    </row>
    <row r="3741" spans="1:26" ht="13">
      <c r="A3741" s="562" t="s">
        <v>8312</v>
      </c>
      <c r="B3741" s="563" t="s">
        <v>8313</v>
      </c>
      <c r="C3741" s="564" t="s">
        <v>1612</v>
      </c>
      <c r="D3741" s="565">
        <v>41635</v>
      </c>
      <c r="E3741" s="565">
        <v>41579</v>
      </c>
      <c r="F3741" s="566">
        <v>826683600</v>
      </c>
      <c r="G3741" s="564" t="s">
        <v>337</v>
      </c>
      <c r="H3741" s="564" t="s">
        <v>337</v>
      </c>
      <c r="I3741" s="564" t="s">
        <v>45</v>
      </c>
      <c r="J3741" s="564" t="s">
        <v>1069</v>
      </c>
      <c r="K3741" s="564" t="s">
        <v>1090</v>
      </c>
      <c r="L3741" s="564" t="s">
        <v>1071</v>
      </c>
      <c r="M3741" s="564" t="s">
        <v>1183</v>
      </c>
      <c r="N3741" s="564" t="s">
        <v>45</v>
      </c>
      <c r="O3741" s="564" t="s">
        <v>2099</v>
      </c>
      <c r="P3741" s="23"/>
      <c r="Q3741" s="23"/>
      <c r="R3741" s="23"/>
      <c r="S3741" s="23"/>
      <c r="T3741" s="23"/>
      <c r="U3741" s="23"/>
      <c r="V3741" s="23"/>
      <c r="W3741" s="23"/>
      <c r="X3741" s="23"/>
      <c r="Y3741" s="23"/>
      <c r="Z3741" s="23"/>
    </row>
    <row r="3742" spans="1:26" ht="13">
      <c r="A3742" s="562" t="s">
        <v>8314</v>
      </c>
      <c r="B3742" s="563" t="s">
        <v>8315</v>
      </c>
      <c r="C3742" s="564" t="s">
        <v>1873</v>
      </c>
      <c r="D3742" s="565">
        <v>41635</v>
      </c>
      <c r="E3742" s="565">
        <v>41639</v>
      </c>
      <c r="F3742" s="566">
        <v>6900</v>
      </c>
      <c r="G3742" s="564" t="s">
        <v>337</v>
      </c>
      <c r="H3742" s="564" t="s">
        <v>337</v>
      </c>
      <c r="I3742" s="564" t="s">
        <v>170</v>
      </c>
      <c r="J3742" s="564" t="s">
        <v>1069</v>
      </c>
      <c r="K3742" s="564" t="s">
        <v>1105</v>
      </c>
      <c r="L3742" s="564" t="s">
        <v>2098</v>
      </c>
      <c r="M3742" s="564" t="s">
        <v>2098</v>
      </c>
      <c r="N3742" s="564" t="s">
        <v>170</v>
      </c>
      <c r="O3742" s="564" t="s">
        <v>2099</v>
      </c>
      <c r="P3742" s="23"/>
      <c r="Q3742" s="23"/>
      <c r="R3742" s="23"/>
      <c r="S3742" s="23"/>
      <c r="T3742" s="23"/>
      <c r="U3742" s="23"/>
      <c r="V3742" s="23"/>
      <c r="W3742" s="23"/>
      <c r="X3742" s="23"/>
      <c r="Y3742" s="23"/>
      <c r="Z3742" s="23"/>
    </row>
    <row r="3743" spans="1:26" ht="13">
      <c r="A3743" s="562" t="s">
        <v>8316</v>
      </c>
      <c r="B3743" s="563" t="s">
        <v>8301</v>
      </c>
      <c r="C3743" s="564" t="s">
        <v>1612</v>
      </c>
      <c r="D3743" s="565">
        <v>41635</v>
      </c>
      <c r="E3743" s="565">
        <v>41639</v>
      </c>
      <c r="F3743" s="566">
        <v>1050</v>
      </c>
      <c r="G3743" s="564" t="s">
        <v>337</v>
      </c>
      <c r="H3743" s="564" t="s">
        <v>337</v>
      </c>
      <c r="I3743" s="564" t="s">
        <v>70</v>
      </c>
      <c r="J3743" s="564" t="s">
        <v>1069</v>
      </c>
      <c r="K3743" s="564" t="s">
        <v>1120</v>
      </c>
      <c r="L3743" s="564" t="s">
        <v>2098</v>
      </c>
      <c r="M3743" s="564" t="s">
        <v>2098</v>
      </c>
      <c r="N3743" s="564" t="s">
        <v>70</v>
      </c>
      <c r="O3743" s="564" t="s">
        <v>2099</v>
      </c>
      <c r="P3743" s="23"/>
      <c r="Q3743" s="23"/>
      <c r="R3743" s="23"/>
      <c r="S3743" s="23"/>
      <c r="T3743" s="23"/>
      <c r="U3743" s="23"/>
      <c r="V3743" s="23"/>
      <c r="W3743" s="23"/>
      <c r="X3743" s="23"/>
      <c r="Y3743" s="23"/>
      <c r="Z3743" s="23"/>
    </row>
    <row r="3744" spans="1:26" ht="13">
      <c r="A3744" s="562" t="s">
        <v>8317</v>
      </c>
      <c r="B3744" s="563" t="s">
        <v>8318</v>
      </c>
      <c r="C3744" s="564" t="s">
        <v>1612</v>
      </c>
      <c r="D3744" s="565">
        <v>41635</v>
      </c>
      <c r="E3744" s="565">
        <v>41579</v>
      </c>
      <c r="F3744" s="566">
        <v>1234800</v>
      </c>
      <c r="G3744" s="564" t="s">
        <v>337</v>
      </c>
      <c r="H3744" s="564" t="s">
        <v>337</v>
      </c>
      <c r="I3744" s="564" t="s">
        <v>1586</v>
      </c>
      <c r="J3744" s="564" t="s">
        <v>1069</v>
      </c>
      <c r="K3744" s="564" t="s">
        <v>1090</v>
      </c>
      <c r="L3744" s="564" t="s">
        <v>1071</v>
      </c>
      <c r="M3744" s="564" t="s">
        <v>1183</v>
      </c>
      <c r="N3744" s="564" t="s">
        <v>1073</v>
      </c>
      <c r="O3744" s="564" t="s">
        <v>2099</v>
      </c>
      <c r="P3744" s="23"/>
      <c r="Q3744" s="23"/>
      <c r="R3744" s="23"/>
      <c r="S3744" s="23"/>
      <c r="T3744" s="23"/>
      <c r="U3744" s="23"/>
      <c r="V3744" s="23"/>
      <c r="W3744" s="23"/>
      <c r="X3744" s="23"/>
      <c r="Y3744" s="23"/>
      <c r="Z3744" s="23"/>
    </row>
    <row r="3745" spans="1:26" ht="13">
      <c r="A3745" s="562" t="s">
        <v>8319</v>
      </c>
      <c r="B3745" s="563" t="s">
        <v>8320</v>
      </c>
      <c r="C3745" s="564" t="s">
        <v>1612</v>
      </c>
      <c r="D3745" s="565">
        <v>41635</v>
      </c>
      <c r="E3745" s="565">
        <v>41579</v>
      </c>
      <c r="F3745" s="566">
        <v>9525600</v>
      </c>
      <c r="G3745" s="564" t="s">
        <v>337</v>
      </c>
      <c r="H3745" s="564" t="s">
        <v>337</v>
      </c>
      <c r="I3745" s="564" t="s">
        <v>146</v>
      </c>
      <c r="J3745" s="564" t="s">
        <v>1069</v>
      </c>
      <c r="K3745" s="564" t="s">
        <v>1070</v>
      </c>
      <c r="L3745" s="564" t="s">
        <v>1071</v>
      </c>
      <c r="M3745" s="564" t="s">
        <v>1183</v>
      </c>
      <c r="N3745" s="564" t="s">
        <v>1073</v>
      </c>
      <c r="O3745" s="564" t="s">
        <v>2099</v>
      </c>
      <c r="P3745" s="23"/>
      <c r="Q3745" s="23"/>
      <c r="R3745" s="23"/>
      <c r="S3745" s="23"/>
      <c r="T3745" s="23"/>
      <c r="U3745" s="23"/>
      <c r="V3745" s="23"/>
      <c r="W3745" s="23"/>
      <c r="X3745" s="23"/>
      <c r="Y3745" s="23"/>
      <c r="Z3745" s="23"/>
    </row>
    <row r="3746" spans="1:26" ht="13">
      <c r="A3746" s="562" t="s">
        <v>8321</v>
      </c>
      <c r="B3746" s="563" t="s">
        <v>8322</v>
      </c>
      <c r="C3746" s="564" t="s">
        <v>1612</v>
      </c>
      <c r="D3746" s="565">
        <v>41635</v>
      </c>
      <c r="E3746" s="565">
        <v>41649</v>
      </c>
      <c r="F3746" s="566">
        <v>2636364</v>
      </c>
      <c r="G3746" s="564" t="s">
        <v>337</v>
      </c>
      <c r="H3746" s="564" t="s">
        <v>337</v>
      </c>
      <c r="I3746" s="564" t="s">
        <v>802</v>
      </c>
      <c r="J3746" s="564" t="s">
        <v>1069</v>
      </c>
      <c r="K3746" s="564" t="s">
        <v>1198</v>
      </c>
      <c r="L3746" s="564" t="s">
        <v>2098</v>
      </c>
      <c r="M3746" s="564" t="s">
        <v>2098</v>
      </c>
      <c r="N3746" s="564" t="s">
        <v>132</v>
      </c>
      <c r="O3746" s="564" t="s">
        <v>2099</v>
      </c>
      <c r="P3746" s="23"/>
      <c r="Q3746" s="23"/>
      <c r="R3746" s="23"/>
      <c r="S3746" s="23"/>
      <c r="T3746" s="23"/>
      <c r="U3746" s="23"/>
      <c r="V3746" s="23"/>
      <c r="W3746" s="23"/>
      <c r="X3746" s="23"/>
      <c r="Y3746" s="23"/>
      <c r="Z3746" s="23"/>
    </row>
    <row r="3747" spans="1:26" ht="13">
      <c r="A3747" s="562" t="s">
        <v>8323</v>
      </c>
      <c r="B3747" s="563" t="s">
        <v>8324</v>
      </c>
      <c r="C3747" s="564" t="s">
        <v>1612</v>
      </c>
      <c r="D3747" s="565">
        <v>41632</v>
      </c>
      <c r="E3747" s="565">
        <v>41635</v>
      </c>
      <c r="F3747" s="566">
        <v>309858000</v>
      </c>
      <c r="G3747" s="564" t="s">
        <v>1128</v>
      </c>
      <c r="H3747" s="564" t="s">
        <v>1128</v>
      </c>
      <c r="I3747" s="564" t="s">
        <v>45</v>
      </c>
      <c r="J3747" s="564" t="s">
        <v>1069</v>
      </c>
      <c r="K3747" s="564" t="s">
        <v>1090</v>
      </c>
      <c r="L3747" s="564" t="s">
        <v>2098</v>
      </c>
      <c r="M3747" s="564" t="s">
        <v>2098</v>
      </c>
      <c r="N3747" s="564" t="s">
        <v>45</v>
      </c>
      <c r="O3747" s="564" t="s">
        <v>2099</v>
      </c>
      <c r="P3747" s="23"/>
      <c r="Q3747" s="23"/>
      <c r="R3747" s="23"/>
      <c r="S3747" s="23"/>
      <c r="T3747" s="23"/>
      <c r="U3747" s="23"/>
      <c r="V3747" s="23"/>
      <c r="W3747" s="23"/>
      <c r="X3747" s="23"/>
      <c r="Y3747" s="23"/>
      <c r="Z3747" s="23"/>
    </row>
    <row r="3748" spans="1:26" ht="13">
      <c r="A3748" s="562" t="s">
        <v>8325</v>
      </c>
      <c r="B3748" s="563" t="s">
        <v>8326</v>
      </c>
      <c r="C3748" s="564" t="s">
        <v>1612</v>
      </c>
      <c r="D3748" s="565">
        <v>41628</v>
      </c>
      <c r="E3748" s="565">
        <v>41639</v>
      </c>
      <c r="F3748" s="566">
        <v>3440</v>
      </c>
      <c r="G3748" s="564" t="s">
        <v>337</v>
      </c>
      <c r="H3748" s="564" t="s">
        <v>337</v>
      </c>
      <c r="I3748" s="564" t="s">
        <v>1781</v>
      </c>
      <c r="J3748" s="564" t="s">
        <v>1069</v>
      </c>
      <c r="K3748" s="564" t="s">
        <v>1070</v>
      </c>
      <c r="L3748" s="564" t="s">
        <v>2098</v>
      </c>
      <c r="M3748" s="564" t="s">
        <v>2098</v>
      </c>
      <c r="N3748" s="564" t="s">
        <v>1073</v>
      </c>
      <c r="O3748" s="564" t="s">
        <v>2099</v>
      </c>
      <c r="P3748" s="23"/>
      <c r="Q3748" s="23"/>
      <c r="R3748" s="23"/>
      <c r="S3748" s="23"/>
      <c r="T3748" s="23"/>
      <c r="U3748" s="23"/>
      <c r="V3748" s="23"/>
      <c r="W3748" s="23"/>
      <c r="X3748" s="23"/>
      <c r="Y3748" s="23"/>
      <c r="Z3748" s="23"/>
    </row>
    <row r="3749" spans="1:26" ht="13">
      <c r="A3749" s="562" t="s">
        <v>8327</v>
      </c>
      <c r="B3749" s="563" t="s">
        <v>8328</v>
      </c>
      <c r="C3749" s="564" t="s">
        <v>1612</v>
      </c>
      <c r="D3749" s="565">
        <v>41628</v>
      </c>
      <c r="E3749" s="565">
        <v>41632</v>
      </c>
      <c r="F3749" s="566">
        <v>2530</v>
      </c>
      <c r="G3749" s="564" t="s">
        <v>337</v>
      </c>
      <c r="H3749" s="564" t="s">
        <v>337</v>
      </c>
      <c r="I3749" s="564" t="s">
        <v>64</v>
      </c>
      <c r="J3749" s="564" t="s">
        <v>1069</v>
      </c>
      <c r="K3749" s="564" t="s">
        <v>1090</v>
      </c>
      <c r="L3749" s="564" t="s">
        <v>2098</v>
      </c>
      <c r="M3749" s="564" t="s">
        <v>2098</v>
      </c>
      <c r="N3749" s="564" t="s">
        <v>64</v>
      </c>
      <c r="O3749" s="564" t="s">
        <v>2099</v>
      </c>
      <c r="P3749" s="23"/>
      <c r="Q3749" s="23"/>
      <c r="R3749" s="23"/>
      <c r="S3749" s="23"/>
      <c r="T3749" s="23"/>
      <c r="U3749" s="23"/>
      <c r="V3749" s="23"/>
      <c r="W3749" s="23"/>
      <c r="X3749" s="23"/>
      <c r="Y3749" s="23"/>
      <c r="Z3749" s="23"/>
    </row>
    <row r="3750" spans="1:26" ht="13">
      <c r="A3750" s="562" t="s">
        <v>8329</v>
      </c>
      <c r="B3750" s="563" t="s">
        <v>8330</v>
      </c>
      <c r="C3750" s="564" t="s">
        <v>6860</v>
      </c>
      <c r="D3750" s="565">
        <v>41627</v>
      </c>
      <c r="E3750" s="565">
        <v>41729</v>
      </c>
      <c r="F3750" s="566">
        <v>142000</v>
      </c>
      <c r="G3750" s="564" t="s">
        <v>1116</v>
      </c>
      <c r="H3750" s="564" t="s">
        <v>1116</v>
      </c>
      <c r="I3750" s="564" t="s">
        <v>7231</v>
      </c>
      <c r="J3750" s="564" t="s">
        <v>1069</v>
      </c>
      <c r="K3750" s="564" t="s">
        <v>1105</v>
      </c>
      <c r="L3750" s="564" t="s">
        <v>2098</v>
      </c>
      <c r="M3750" s="564" t="s">
        <v>2098</v>
      </c>
      <c r="N3750" s="564" t="s">
        <v>1082</v>
      </c>
      <c r="O3750" s="564" t="s">
        <v>2099</v>
      </c>
      <c r="P3750" s="23"/>
      <c r="Q3750" s="23"/>
      <c r="R3750" s="23"/>
      <c r="S3750" s="23"/>
      <c r="T3750" s="23"/>
      <c r="U3750" s="23"/>
      <c r="V3750" s="23"/>
      <c r="W3750" s="23"/>
      <c r="X3750" s="23"/>
      <c r="Y3750" s="23"/>
      <c r="Z3750" s="23"/>
    </row>
    <row r="3751" spans="1:26" ht="13">
      <c r="A3751" s="562" t="s">
        <v>8331</v>
      </c>
      <c r="B3751" s="563" t="s">
        <v>7884</v>
      </c>
      <c r="C3751" s="564" t="s">
        <v>1612</v>
      </c>
      <c r="D3751" s="565">
        <v>41627</v>
      </c>
      <c r="E3751" s="565">
        <v>41635</v>
      </c>
      <c r="F3751" s="566">
        <v>7686</v>
      </c>
      <c r="G3751" s="564" t="s">
        <v>337</v>
      </c>
      <c r="H3751" s="564" t="s">
        <v>337</v>
      </c>
      <c r="I3751" s="564" t="s">
        <v>1837</v>
      </c>
      <c r="J3751" s="564" t="s">
        <v>1069</v>
      </c>
      <c r="K3751" s="564" t="s">
        <v>1090</v>
      </c>
      <c r="L3751" s="564" t="s">
        <v>2098</v>
      </c>
      <c r="M3751" s="564" t="s">
        <v>2098</v>
      </c>
      <c r="N3751" s="564" t="s">
        <v>1082</v>
      </c>
      <c r="O3751" s="564" t="s">
        <v>2099</v>
      </c>
      <c r="P3751" s="23"/>
      <c r="Q3751" s="23"/>
      <c r="R3751" s="23"/>
      <c r="S3751" s="23"/>
      <c r="T3751" s="23"/>
      <c r="U3751" s="23"/>
      <c r="V3751" s="23"/>
      <c r="W3751" s="23"/>
      <c r="X3751" s="23"/>
      <c r="Y3751" s="23"/>
      <c r="Z3751" s="23"/>
    </row>
    <row r="3752" spans="1:26" ht="13">
      <c r="A3752" s="562" t="s">
        <v>8332</v>
      </c>
      <c r="B3752" s="563" t="s">
        <v>8333</v>
      </c>
      <c r="C3752" s="564" t="s">
        <v>1612</v>
      </c>
      <c r="D3752" s="565">
        <v>41626</v>
      </c>
      <c r="E3752" s="565">
        <v>41649</v>
      </c>
      <c r="F3752" s="566">
        <v>1073</v>
      </c>
      <c r="G3752" s="564" t="s">
        <v>297</v>
      </c>
      <c r="H3752" s="564" t="s">
        <v>297</v>
      </c>
      <c r="I3752" s="564" t="s">
        <v>1837</v>
      </c>
      <c r="J3752" s="564" t="s">
        <v>1069</v>
      </c>
      <c r="K3752" s="564" t="s">
        <v>1070</v>
      </c>
      <c r="L3752" s="564" t="s">
        <v>2098</v>
      </c>
      <c r="M3752" s="564" t="s">
        <v>2098</v>
      </c>
      <c r="N3752" s="564" t="s">
        <v>1082</v>
      </c>
      <c r="O3752" s="564" t="s">
        <v>2099</v>
      </c>
      <c r="P3752" s="23"/>
      <c r="Q3752" s="23"/>
      <c r="R3752" s="23"/>
      <c r="S3752" s="23"/>
      <c r="T3752" s="23"/>
      <c r="U3752" s="23"/>
      <c r="V3752" s="23"/>
      <c r="W3752" s="23"/>
      <c r="X3752" s="23"/>
      <c r="Y3752" s="23"/>
      <c r="Z3752" s="23"/>
    </row>
    <row r="3753" spans="1:26" ht="13">
      <c r="A3753" s="562" t="s">
        <v>8334</v>
      </c>
      <c r="B3753" s="563" t="s">
        <v>8335</v>
      </c>
      <c r="C3753" s="564" t="s">
        <v>1612</v>
      </c>
      <c r="D3753" s="565">
        <v>41625</v>
      </c>
      <c r="E3753" s="565">
        <v>41635</v>
      </c>
      <c r="F3753" s="566">
        <v>16500</v>
      </c>
      <c r="G3753" s="564" t="s">
        <v>1640</v>
      </c>
      <c r="H3753" s="564" t="s">
        <v>1640</v>
      </c>
      <c r="I3753" s="564" t="s">
        <v>45</v>
      </c>
      <c r="J3753" s="564" t="s">
        <v>1069</v>
      </c>
      <c r="K3753" s="564" t="s">
        <v>1090</v>
      </c>
      <c r="L3753" s="564" t="s">
        <v>2098</v>
      </c>
      <c r="M3753" s="564" t="s">
        <v>2098</v>
      </c>
      <c r="N3753" s="564" t="s">
        <v>45</v>
      </c>
      <c r="O3753" s="564" t="s">
        <v>2099</v>
      </c>
      <c r="P3753" s="23"/>
      <c r="Q3753" s="23"/>
      <c r="R3753" s="23"/>
      <c r="S3753" s="23"/>
      <c r="T3753" s="23"/>
      <c r="U3753" s="23"/>
      <c r="V3753" s="23"/>
      <c r="W3753" s="23"/>
      <c r="X3753" s="23"/>
      <c r="Y3753" s="23"/>
      <c r="Z3753" s="23"/>
    </row>
    <row r="3754" spans="1:26" ht="13">
      <c r="A3754" s="562" t="s">
        <v>8336</v>
      </c>
      <c r="B3754" s="563" t="s">
        <v>8337</v>
      </c>
      <c r="C3754" s="564" t="s">
        <v>1612</v>
      </c>
      <c r="D3754" s="565">
        <v>41619</v>
      </c>
      <c r="E3754" s="565">
        <v>41621</v>
      </c>
      <c r="F3754" s="566">
        <v>1680</v>
      </c>
      <c r="G3754" s="564" t="s">
        <v>337</v>
      </c>
      <c r="H3754" s="564" t="s">
        <v>337</v>
      </c>
      <c r="I3754" s="564" t="s">
        <v>64</v>
      </c>
      <c r="J3754" s="564" t="s">
        <v>1069</v>
      </c>
      <c r="K3754" s="564" t="s">
        <v>1090</v>
      </c>
      <c r="L3754" s="564" t="s">
        <v>2098</v>
      </c>
      <c r="M3754" s="564" t="s">
        <v>2098</v>
      </c>
      <c r="N3754" s="564" t="s">
        <v>64</v>
      </c>
      <c r="O3754" s="564" t="s">
        <v>2099</v>
      </c>
      <c r="P3754" s="23"/>
      <c r="Q3754" s="23"/>
      <c r="R3754" s="23"/>
      <c r="S3754" s="23"/>
      <c r="T3754" s="23"/>
      <c r="U3754" s="23"/>
      <c r="V3754" s="23"/>
      <c r="W3754" s="23"/>
      <c r="X3754" s="23"/>
      <c r="Y3754" s="23"/>
      <c r="Z3754" s="23"/>
    </row>
    <row r="3755" spans="1:26" ht="13">
      <c r="A3755" s="562" t="s">
        <v>8338</v>
      </c>
      <c r="B3755" s="563" t="s">
        <v>8245</v>
      </c>
      <c r="C3755" s="564" t="s">
        <v>1612</v>
      </c>
      <c r="D3755" s="565">
        <v>41619</v>
      </c>
      <c r="E3755" s="565">
        <v>41620</v>
      </c>
      <c r="F3755" s="566">
        <v>2100</v>
      </c>
      <c r="G3755" s="564" t="s">
        <v>337</v>
      </c>
      <c r="H3755" s="564" t="s">
        <v>337</v>
      </c>
      <c r="I3755" s="564" t="s">
        <v>70</v>
      </c>
      <c r="J3755" s="564" t="s">
        <v>1069</v>
      </c>
      <c r="K3755" s="564" t="s">
        <v>1120</v>
      </c>
      <c r="L3755" s="564" t="s">
        <v>2098</v>
      </c>
      <c r="M3755" s="564" t="s">
        <v>2098</v>
      </c>
      <c r="N3755" s="564" t="s">
        <v>70</v>
      </c>
      <c r="O3755" s="564" t="s">
        <v>2099</v>
      </c>
      <c r="P3755" s="23"/>
      <c r="Q3755" s="23"/>
      <c r="R3755" s="23"/>
      <c r="S3755" s="23"/>
      <c r="T3755" s="23"/>
      <c r="U3755" s="23"/>
      <c r="V3755" s="23"/>
      <c r="W3755" s="23"/>
      <c r="X3755" s="23"/>
      <c r="Y3755" s="23"/>
      <c r="Z3755" s="23"/>
    </row>
    <row r="3756" spans="1:26" ht="13">
      <c r="A3756" s="562" t="s">
        <v>8339</v>
      </c>
      <c r="B3756" s="563" t="s">
        <v>8340</v>
      </c>
      <c r="C3756" s="564" t="s">
        <v>1612</v>
      </c>
      <c r="D3756" s="565">
        <v>41620</v>
      </c>
      <c r="E3756" s="565">
        <v>41649</v>
      </c>
      <c r="F3756" s="566">
        <v>17168</v>
      </c>
      <c r="G3756" s="564" t="s">
        <v>297</v>
      </c>
      <c r="H3756" s="564" t="s">
        <v>297</v>
      </c>
      <c r="I3756" s="564" t="s">
        <v>1837</v>
      </c>
      <c r="J3756" s="564" t="s">
        <v>1069</v>
      </c>
      <c r="K3756" s="564" t="s">
        <v>1070</v>
      </c>
      <c r="L3756" s="564" t="s">
        <v>2098</v>
      </c>
      <c r="M3756" s="564" t="s">
        <v>2098</v>
      </c>
      <c r="N3756" s="564" t="s">
        <v>1082</v>
      </c>
      <c r="O3756" s="564" t="s">
        <v>2099</v>
      </c>
      <c r="P3756" s="23"/>
      <c r="Q3756" s="23"/>
      <c r="R3756" s="23"/>
      <c r="S3756" s="23"/>
      <c r="T3756" s="23"/>
      <c r="U3756" s="23"/>
      <c r="V3756" s="23"/>
      <c r="W3756" s="23"/>
      <c r="X3756" s="23"/>
      <c r="Y3756" s="23"/>
      <c r="Z3756" s="23"/>
    </row>
    <row r="3757" spans="1:26" ht="13">
      <c r="A3757" s="562" t="s">
        <v>8341</v>
      </c>
      <c r="B3757" s="563" t="s">
        <v>7884</v>
      </c>
      <c r="C3757" s="564" t="s">
        <v>1612</v>
      </c>
      <c r="D3757" s="565">
        <v>41618</v>
      </c>
      <c r="E3757" s="565">
        <v>41621</v>
      </c>
      <c r="F3757" s="566">
        <v>28790</v>
      </c>
      <c r="G3757" s="564" t="s">
        <v>337</v>
      </c>
      <c r="H3757" s="564" t="s">
        <v>337</v>
      </c>
      <c r="I3757" s="564" t="s">
        <v>1837</v>
      </c>
      <c r="J3757" s="564" t="s">
        <v>1069</v>
      </c>
      <c r="K3757" s="564" t="s">
        <v>1090</v>
      </c>
      <c r="L3757" s="564" t="s">
        <v>2098</v>
      </c>
      <c r="M3757" s="564" t="s">
        <v>2098</v>
      </c>
      <c r="N3757" s="564" t="s">
        <v>1082</v>
      </c>
      <c r="O3757" s="564" t="s">
        <v>2099</v>
      </c>
      <c r="P3757" s="23"/>
      <c r="Q3757" s="23"/>
      <c r="R3757" s="23"/>
      <c r="S3757" s="23"/>
      <c r="T3757" s="23"/>
      <c r="U3757" s="23"/>
      <c r="V3757" s="23"/>
      <c r="W3757" s="23"/>
      <c r="X3757" s="23"/>
      <c r="Y3757" s="23"/>
      <c r="Z3757" s="23"/>
    </row>
    <row r="3758" spans="1:26" ht="13">
      <c r="A3758" s="562" t="s">
        <v>8342</v>
      </c>
      <c r="B3758" s="563" t="s">
        <v>8343</v>
      </c>
      <c r="C3758" s="564" t="s">
        <v>1612</v>
      </c>
      <c r="D3758" s="565">
        <v>41621</v>
      </c>
      <c r="E3758" s="565">
        <v>41635</v>
      </c>
      <c r="F3758" s="566">
        <v>12045</v>
      </c>
      <c r="G3758" s="564" t="s">
        <v>297</v>
      </c>
      <c r="H3758" s="564" t="s">
        <v>297</v>
      </c>
      <c r="I3758" s="564" t="s">
        <v>45</v>
      </c>
      <c r="J3758" s="564" t="s">
        <v>1069</v>
      </c>
      <c r="K3758" s="564" t="s">
        <v>1090</v>
      </c>
      <c r="L3758" s="564" t="s">
        <v>2098</v>
      </c>
      <c r="M3758" s="564" t="s">
        <v>2098</v>
      </c>
      <c r="N3758" s="564" t="s">
        <v>45</v>
      </c>
      <c r="O3758" s="564" t="s">
        <v>2099</v>
      </c>
      <c r="P3758" s="23"/>
      <c r="Q3758" s="23"/>
      <c r="R3758" s="23"/>
      <c r="S3758" s="23"/>
      <c r="T3758" s="23"/>
      <c r="U3758" s="23"/>
      <c r="V3758" s="23"/>
      <c r="W3758" s="23"/>
      <c r="X3758" s="23"/>
      <c r="Y3758" s="23"/>
      <c r="Z3758" s="23"/>
    </row>
    <row r="3759" spans="1:26" ht="13">
      <c r="A3759" s="562" t="s">
        <v>8344</v>
      </c>
      <c r="B3759" s="563" t="s">
        <v>8345</v>
      </c>
      <c r="C3759" s="564" t="s">
        <v>1612</v>
      </c>
      <c r="D3759" s="565">
        <v>41621</v>
      </c>
      <c r="E3759" s="565">
        <v>41628</v>
      </c>
      <c r="F3759" s="567">
        <v>975</v>
      </c>
      <c r="G3759" s="564" t="s">
        <v>297</v>
      </c>
      <c r="H3759" s="564" t="s">
        <v>297</v>
      </c>
      <c r="I3759" s="564" t="s">
        <v>1837</v>
      </c>
      <c r="J3759" s="564" t="s">
        <v>1069</v>
      </c>
      <c r="K3759" s="564" t="s">
        <v>1070</v>
      </c>
      <c r="L3759" s="564" t="s">
        <v>2098</v>
      </c>
      <c r="M3759" s="564" t="s">
        <v>2098</v>
      </c>
      <c r="N3759" s="564" t="s">
        <v>1082</v>
      </c>
      <c r="O3759" s="564" t="s">
        <v>2099</v>
      </c>
      <c r="P3759" s="23"/>
      <c r="Q3759" s="23"/>
      <c r="R3759" s="23"/>
      <c r="S3759" s="23"/>
      <c r="T3759" s="23"/>
      <c r="U3759" s="23"/>
      <c r="V3759" s="23"/>
      <c r="W3759" s="23"/>
      <c r="X3759" s="23"/>
      <c r="Y3759" s="23"/>
      <c r="Z3759" s="23"/>
    </row>
    <row r="3760" spans="1:26" ht="13">
      <c r="A3760" s="562" t="s">
        <v>8346</v>
      </c>
      <c r="B3760" s="563" t="s">
        <v>8347</v>
      </c>
      <c r="C3760" s="564" t="s">
        <v>1612</v>
      </c>
      <c r="D3760" s="565">
        <v>41618</v>
      </c>
      <c r="E3760" s="565">
        <v>41628</v>
      </c>
      <c r="F3760" s="566">
        <v>2060</v>
      </c>
      <c r="G3760" s="564" t="s">
        <v>337</v>
      </c>
      <c r="H3760" s="564" t="s">
        <v>337</v>
      </c>
      <c r="I3760" s="564" t="s">
        <v>802</v>
      </c>
      <c r="J3760" s="564" t="s">
        <v>1069</v>
      </c>
      <c r="K3760" s="564" t="s">
        <v>1198</v>
      </c>
      <c r="L3760" s="564" t="s">
        <v>2098</v>
      </c>
      <c r="M3760" s="564" t="s">
        <v>2098</v>
      </c>
      <c r="N3760" s="564" t="s">
        <v>132</v>
      </c>
      <c r="O3760" s="564" t="s">
        <v>2099</v>
      </c>
      <c r="P3760" s="23"/>
      <c r="Q3760" s="23"/>
      <c r="R3760" s="23"/>
      <c r="S3760" s="23"/>
      <c r="T3760" s="23"/>
      <c r="U3760" s="23"/>
      <c r="V3760" s="23"/>
      <c r="W3760" s="23"/>
      <c r="X3760" s="23"/>
      <c r="Y3760" s="23"/>
      <c r="Z3760" s="23"/>
    </row>
    <row r="3761" spans="1:26" ht="13">
      <c r="A3761" s="562" t="s">
        <v>8348</v>
      </c>
      <c r="B3761" s="563" t="s">
        <v>8349</v>
      </c>
      <c r="C3761" s="564" t="s">
        <v>1612</v>
      </c>
      <c r="D3761" s="565">
        <v>41611</v>
      </c>
      <c r="E3761" s="565">
        <v>41621</v>
      </c>
      <c r="F3761" s="566">
        <v>455800</v>
      </c>
      <c r="G3761" s="564" t="s">
        <v>337</v>
      </c>
      <c r="H3761" s="564" t="s">
        <v>337</v>
      </c>
      <c r="I3761" s="564" t="s">
        <v>2586</v>
      </c>
      <c r="J3761" s="564" t="s">
        <v>1069</v>
      </c>
      <c r="K3761" s="564" t="s">
        <v>1070</v>
      </c>
      <c r="L3761" s="564" t="s">
        <v>2098</v>
      </c>
      <c r="M3761" s="564" t="s">
        <v>2098</v>
      </c>
      <c r="N3761" s="564" t="s">
        <v>1073</v>
      </c>
      <c r="O3761" s="564" t="s">
        <v>2099</v>
      </c>
      <c r="P3761" s="23"/>
      <c r="Q3761" s="23"/>
      <c r="R3761" s="23"/>
      <c r="S3761" s="23"/>
      <c r="T3761" s="23"/>
      <c r="U3761" s="23"/>
      <c r="V3761" s="23"/>
      <c r="W3761" s="23"/>
      <c r="X3761" s="23"/>
      <c r="Y3761" s="23"/>
      <c r="Z3761" s="23"/>
    </row>
    <row r="3762" spans="1:26" ht="13">
      <c r="A3762" s="562" t="s">
        <v>8350</v>
      </c>
      <c r="B3762" s="563" t="s">
        <v>7884</v>
      </c>
      <c r="C3762" s="564" t="s">
        <v>1612</v>
      </c>
      <c r="D3762" s="565">
        <v>41611</v>
      </c>
      <c r="E3762" s="565">
        <v>41621</v>
      </c>
      <c r="F3762" s="567">
        <v>990</v>
      </c>
      <c r="G3762" s="564" t="s">
        <v>337</v>
      </c>
      <c r="H3762" s="564" t="s">
        <v>337</v>
      </c>
      <c r="I3762" s="564" t="s">
        <v>1837</v>
      </c>
      <c r="J3762" s="564" t="s">
        <v>1069</v>
      </c>
      <c r="K3762" s="564" t="s">
        <v>1090</v>
      </c>
      <c r="L3762" s="564" t="s">
        <v>2098</v>
      </c>
      <c r="M3762" s="564" t="s">
        <v>2098</v>
      </c>
      <c r="N3762" s="564" t="s">
        <v>1082</v>
      </c>
      <c r="O3762" s="564" t="s">
        <v>2099</v>
      </c>
      <c r="P3762" s="23"/>
      <c r="Q3762" s="23"/>
      <c r="R3762" s="23"/>
      <c r="S3762" s="23"/>
      <c r="T3762" s="23"/>
      <c r="U3762" s="23"/>
      <c r="V3762" s="23"/>
      <c r="W3762" s="23"/>
      <c r="X3762" s="23"/>
      <c r="Y3762" s="23"/>
      <c r="Z3762" s="23"/>
    </row>
    <row r="3763" spans="1:26" ht="13">
      <c r="A3763" s="562" t="s">
        <v>8351</v>
      </c>
      <c r="B3763" s="563" t="s">
        <v>8352</v>
      </c>
      <c r="C3763" s="564" t="s">
        <v>1612</v>
      </c>
      <c r="D3763" s="565">
        <v>41610</v>
      </c>
      <c r="E3763" s="565">
        <v>41609</v>
      </c>
      <c r="F3763" s="566">
        <v>7552080</v>
      </c>
      <c r="G3763" s="564" t="s">
        <v>337</v>
      </c>
      <c r="H3763" s="564" t="s">
        <v>337</v>
      </c>
      <c r="I3763" s="564" t="s">
        <v>45</v>
      </c>
      <c r="J3763" s="564" t="s">
        <v>1069</v>
      </c>
      <c r="K3763" s="564" t="s">
        <v>1090</v>
      </c>
      <c r="L3763" s="564" t="s">
        <v>1071</v>
      </c>
      <c r="M3763" s="564" t="s">
        <v>1183</v>
      </c>
      <c r="N3763" s="564" t="s">
        <v>45</v>
      </c>
      <c r="O3763" s="564" t="s">
        <v>2099</v>
      </c>
      <c r="P3763" s="23"/>
      <c r="Q3763" s="23"/>
      <c r="R3763" s="23"/>
      <c r="S3763" s="23"/>
      <c r="T3763" s="23"/>
      <c r="U3763" s="23"/>
      <c r="V3763" s="23"/>
      <c r="W3763" s="23"/>
      <c r="X3763" s="23"/>
      <c r="Y3763" s="23"/>
      <c r="Z3763" s="23"/>
    </row>
    <row r="3764" spans="1:26" ht="13">
      <c r="A3764" s="562" t="s">
        <v>8353</v>
      </c>
      <c r="B3764" s="563" t="s">
        <v>8354</v>
      </c>
      <c r="C3764" s="564" t="s">
        <v>1612</v>
      </c>
      <c r="D3764" s="565">
        <v>41611</v>
      </c>
      <c r="E3764" s="565">
        <v>41621</v>
      </c>
      <c r="F3764" s="566">
        <v>1102400</v>
      </c>
      <c r="G3764" s="564" t="s">
        <v>337</v>
      </c>
      <c r="H3764" s="564" t="s">
        <v>337</v>
      </c>
      <c r="I3764" s="564" t="s">
        <v>3824</v>
      </c>
      <c r="J3764" s="564" t="s">
        <v>1069</v>
      </c>
      <c r="K3764" s="564" t="s">
        <v>1070</v>
      </c>
      <c r="L3764" s="564" t="s">
        <v>2098</v>
      </c>
      <c r="M3764" s="564" t="s">
        <v>2098</v>
      </c>
      <c r="N3764" s="564" t="s">
        <v>1073</v>
      </c>
      <c r="O3764" s="564" t="s">
        <v>2099</v>
      </c>
      <c r="P3764" s="23"/>
      <c r="Q3764" s="23"/>
      <c r="R3764" s="23"/>
      <c r="S3764" s="23"/>
      <c r="T3764" s="23"/>
      <c r="U3764" s="23"/>
      <c r="V3764" s="23"/>
      <c r="W3764" s="23"/>
      <c r="X3764" s="23"/>
      <c r="Y3764" s="23"/>
      <c r="Z3764" s="23"/>
    </row>
    <row r="3765" spans="1:26" ht="13">
      <c r="A3765" s="562" t="s">
        <v>8355</v>
      </c>
      <c r="B3765" s="563" t="s">
        <v>8356</v>
      </c>
      <c r="C3765" s="564" t="s">
        <v>1612</v>
      </c>
      <c r="D3765" s="565">
        <v>41610</v>
      </c>
      <c r="E3765" s="565">
        <v>41614</v>
      </c>
      <c r="F3765" s="566">
        <v>882000</v>
      </c>
      <c r="G3765" s="564" t="s">
        <v>1157</v>
      </c>
      <c r="H3765" s="564" t="s">
        <v>1157</v>
      </c>
      <c r="I3765" s="564" t="s">
        <v>1821</v>
      </c>
      <c r="J3765" s="564" t="s">
        <v>1069</v>
      </c>
      <c r="K3765" s="564" t="s">
        <v>1120</v>
      </c>
      <c r="L3765" s="564" t="s">
        <v>2098</v>
      </c>
      <c r="M3765" s="564" t="s">
        <v>2098</v>
      </c>
      <c r="N3765" s="564" t="s">
        <v>1073</v>
      </c>
      <c r="O3765" s="564" t="s">
        <v>2099</v>
      </c>
      <c r="P3765" s="23"/>
      <c r="Q3765" s="23"/>
      <c r="R3765" s="23"/>
      <c r="S3765" s="23"/>
      <c r="T3765" s="23"/>
      <c r="U3765" s="23"/>
      <c r="V3765" s="23"/>
      <c r="W3765" s="23"/>
      <c r="X3765" s="23"/>
      <c r="Y3765" s="23"/>
      <c r="Z3765" s="23"/>
    </row>
    <row r="3766" spans="1:26" ht="13">
      <c r="A3766" s="562" t="s">
        <v>8357</v>
      </c>
      <c r="B3766" s="563" t="s">
        <v>8358</v>
      </c>
      <c r="C3766" s="564" t="s">
        <v>1612</v>
      </c>
      <c r="D3766" s="565">
        <v>41607</v>
      </c>
      <c r="E3766" s="565">
        <v>41614</v>
      </c>
      <c r="F3766" s="566">
        <v>17879700</v>
      </c>
      <c r="G3766" s="564" t="s">
        <v>337</v>
      </c>
      <c r="H3766" s="564" t="s">
        <v>337</v>
      </c>
      <c r="I3766" s="564" t="s">
        <v>802</v>
      </c>
      <c r="J3766" s="564" t="s">
        <v>1069</v>
      </c>
      <c r="K3766" s="564" t="s">
        <v>1198</v>
      </c>
      <c r="L3766" s="564" t="s">
        <v>2098</v>
      </c>
      <c r="M3766" s="564" t="s">
        <v>2098</v>
      </c>
      <c r="N3766" s="564" t="s">
        <v>132</v>
      </c>
      <c r="O3766" s="564" t="s">
        <v>2099</v>
      </c>
      <c r="P3766" s="23"/>
      <c r="Q3766" s="23"/>
      <c r="R3766" s="23"/>
      <c r="S3766" s="23"/>
      <c r="T3766" s="23"/>
      <c r="U3766" s="23"/>
      <c r="V3766" s="23"/>
      <c r="W3766" s="23"/>
      <c r="X3766" s="23"/>
      <c r="Y3766" s="23"/>
      <c r="Z3766" s="23"/>
    </row>
    <row r="3767" spans="1:26" ht="13">
      <c r="A3767" s="562" t="s">
        <v>8359</v>
      </c>
      <c r="B3767" s="563" t="s">
        <v>8360</v>
      </c>
      <c r="C3767" s="564" t="s">
        <v>1612</v>
      </c>
      <c r="D3767" s="565">
        <v>41604</v>
      </c>
      <c r="E3767" s="565">
        <v>41614</v>
      </c>
      <c r="F3767" s="566">
        <v>6246</v>
      </c>
      <c r="G3767" s="564" t="s">
        <v>337</v>
      </c>
      <c r="H3767" s="564" t="s">
        <v>337</v>
      </c>
      <c r="I3767" s="564" t="s">
        <v>121</v>
      </c>
      <c r="J3767" s="564" t="s">
        <v>1069</v>
      </c>
      <c r="K3767" s="564" t="s">
        <v>1105</v>
      </c>
      <c r="L3767" s="564" t="s">
        <v>2098</v>
      </c>
      <c r="M3767" s="564" t="s">
        <v>2098</v>
      </c>
      <c r="N3767" s="564" t="s">
        <v>1073</v>
      </c>
      <c r="O3767" s="564" t="s">
        <v>2099</v>
      </c>
      <c r="P3767" s="23"/>
      <c r="Q3767" s="23"/>
      <c r="R3767" s="23"/>
      <c r="S3767" s="23"/>
      <c r="T3767" s="23"/>
      <c r="U3767" s="23"/>
      <c r="V3767" s="23"/>
      <c r="W3767" s="23"/>
      <c r="X3767" s="23"/>
      <c r="Y3767" s="23"/>
      <c r="Z3767" s="23"/>
    </row>
    <row r="3768" spans="1:26" ht="13">
      <c r="A3768" s="562" t="s">
        <v>8361</v>
      </c>
      <c r="B3768" s="563" t="s">
        <v>8362</v>
      </c>
      <c r="C3768" s="564" t="s">
        <v>1612</v>
      </c>
      <c r="D3768" s="565">
        <v>41596</v>
      </c>
      <c r="E3768" s="565">
        <v>41607</v>
      </c>
      <c r="F3768" s="566">
        <v>5510</v>
      </c>
      <c r="G3768" s="564" t="s">
        <v>297</v>
      </c>
      <c r="H3768" s="564" t="s">
        <v>297</v>
      </c>
      <c r="I3768" s="564" t="s">
        <v>45</v>
      </c>
      <c r="J3768" s="564" t="s">
        <v>1069</v>
      </c>
      <c r="K3768" s="564" t="s">
        <v>1090</v>
      </c>
      <c r="L3768" s="564" t="s">
        <v>2098</v>
      </c>
      <c r="M3768" s="564" t="s">
        <v>2098</v>
      </c>
      <c r="N3768" s="564" t="s">
        <v>45</v>
      </c>
      <c r="O3768" s="564" t="s">
        <v>2099</v>
      </c>
      <c r="P3768" s="23"/>
      <c r="Q3768" s="23"/>
      <c r="R3768" s="23"/>
      <c r="S3768" s="23"/>
      <c r="T3768" s="23"/>
      <c r="U3768" s="23"/>
      <c r="V3768" s="23"/>
      <c r="W3768" s="23"/>
      <c r="X3768" s="23"/>
      <c r="Y3768" s="23"/>
      <c r="Z3768" s="23"/>
    </row>
    <row r="3769" spans="1:26" ht="13">
      <c r="A3769" s="562" t="s">
        <v>8363</v>
      </c>
      <c r="B3769" s="563" t="s">
        <v>8364</v>
      </c>
      <c r="C3769" s="564" t="s">
        <v>1612</v>
      </c>
      <c r="D3769" s="565">
        <v>41586</v>
      </c>
      <c r="E3769" s="565">
        <v>41591</v>
      </c>
      <c r="F3769" s="566">
        <v>2787</v>
      </c>
      <c r="G3769" s="564" t="s">
        <v>337</v>
      </c>
      <c r="H3769" s="564" t="s">
        <v>337</v>
      </c>
      <c r="I3769" s="564" t="s">
        <v>64</v>
      </c>
      <c r="J3769" s="564" t="s">
        <v>1069</v>
      </c>
      <c r="K3769" s="564" t="s">
        <v>1090</v>
      </c>
      <c r="L3769" s="564" t="s">
        <v>2098</v>
      </c>
      <c r="M3769" s="564" t="s">
        <v>2098</v>
      </c>
      <c r="N3769" s="564" t="s">
        <v>64</v>
      </c>
      <c r="O3769" s="564" t="s">
        <v>2099</v>
      </c>
      <c r="P3769" s="23"/>
      <c r="Q3769" s="23"/>
      <c r="R3769" s="23"/>
      <c r="S3769" s="23"/>
      <c r="T3769" s="23"/>
      <c r="U3769" s="23"/>
      <c r="V3769" s="23"/>
      <c r="W3769" s="23"/>
      <c r="X3769" s="23"/>
      <c r="Y3769" s="23"/>
      <c r="Z3769" s="23"/>
    </row>
    <row r="3770" spans="1:26" ht="13">
      <c r="A3770" s="562" t="s">
        <v>8365</v>
      </c>
      <c r="B3770" s="563" t="s">
        <v>8307</v>
      </c>
      <c r="C3770" s="564" t="s">
        <v>1612</v>
      </c>
      <c r="D3770" s="565">
        <v>41584</v>
      </c>
      <c r="E3770" s="565">
        <v>41586</v>
      </c>
      <c r="F3770" s="567">
        <v>773</v>
      </c>
      <c r="G3770" s="564" t="s">
        <v>337</v>
      </c>
      <c r="H3770" s="564" t="s">
        <v>337</v>
      </c>
      <c r="I3770" s="564" t="s">
        <v>70</v>
      </c>
      <c r="J3770" s="564" t="s">
        <v>1069</v>
      </c>
      <c r="K3770" s="564" t="s">
        <v>1120</v>
      </c>
      <c r="L3770" s="564" t="s">
        <v>2098</v>
      </c>
      <c r="M3770" s="564" t="s">
        <v>2098</v>
      </c>
      <c r="N3770" s="564" t="s">
        <v>70</v>
      </c>
      <c r="O3770" s="564" t="s">
        <v>2099</v>
      </c>
      <c r="P3770" s="23"/>
      <c r="Q3770" s="23"/>
      <c r="R3770" s="23"/>
      <c r="S3770" s="23"/>
      <c r="T3770" s="23"/>
      <c r="U3770" s="23"/>
      <c r="V3770" s="23"/>
      <c r="W3770" s="23"/>
      <c r="X3770" s="23"/>
      <c r="Y3770" s="23"/>
      <c r="Z3770" s="23"/>
    </row>
    <row r="3771" spans="1:26" ht="13">
      <c r="A3771" s="562" t="s">
        <v>8366</v>
      </c>
      <c r="B3771" s="563" t="s">
        <v>8005</v>
      </c>
      <c r="C3771" s="564" t="s">
        <v>1612</v>
      </c>
      <c r="D3771" s="565">
        <v>41585</v>
      </c>
      <c r="E3771" s="565">
        <v>41600</v>
      </c>
      <c r="F3771" s="566">
        <v>2840</v>
      </c>
      <c r="G3771" s="564" t="s">
        <v>337</v>
      </c>
      <c r="H3771" s="564" t="s">
        <v>337</v>
      </c>
      <c r="I3771" s="564" t="s">
        <v>70</v>
      </c>
      <c r="J3771" s="564" t="s">
        <v>1069</v>
      </c>
      <c r="K3771" s="564" t="s">
        <v>1120</v>
      </c>
      <c r="L3771" s="564" t="s">
        <v>2098</v>
      </c>
      <c r="M3771" s="564" t="s">
        <v>2098</v>
      </c>
      <c r="N3771" s="564" t="s">
        <v>70</v>
      </c>
      <c r="O3771" s="564" t="s">
        <v>2099</v>
      </c>
      <c r="P3771" s="23"/>
      <c r="Q3771" s="23"/>
      <c r="R3771" s="23"/>
      <c r="S3771" s="23"/>
      <c r="T3771" s="23"/>
      <c r="U3771" s="23"/>
      <c r="V3771" s="23"/>
      <c r="W3771" s="23"/>
      <c r="X3771" s="23"/>
      <c r="Y3771" s="23"/>
      <c r="Z3771" s="23"/>
    </row>
    <row r="3772" spans="1:26" ht="13">
      <c r="A3772" s="562" t="s">
        <v>8367</v>
      </c>
      <c r="B3772" s="563" t="s">
        <v>7884</v>
      </c>
      <c r="C3772" s="564" t="s">
        <v>1612</v>
      </c>
      <c r="D3772" s="565">
        <v>41585</v>
      </c>
      <c r="E3772" s="565">
        <v>41593</v>
      </c>
      <c r="F3772" s="566">
        <v>2140</v>
      </c>
      <c r="G3772" s="564" t="s">
        <v>337</v>
      </c>
      <c r="H3772" s="564" t="s">
        <v>337</v>
      </c>
      <c r="I3772" s="564" t="s">
        <v>1837</v>
      </c>
      <c r="J3772" s="564" t="s">
        <v>1069</v>
      </c>
      <c r="K3772" s="564" t="s">
        <v>1090</v>
      </c>
      <c r="L3772" s="564" t="s">
        <v>2098</v>
      </c>
      <c r="M3772" s="564" t="s">
        <v>2098</v>
      </c>
      <c r="N3772" s="564" t="s">
        <v>1082</v>
      </c>
      <c r="O3772" s="564" t="s">
        <v>2099</v>
      </c>
      <c r="P3772" s="23"/>
      <c r="Q3772" s="23"/>
      <c r="R3772" s="23"/>
      <c r="S3772" s="23"/>
      <c r="T3772" s="23"/>
      <c r="U3772" s="23"/>
      <c r="V3772" s="23"/>
      <c r="W3772" s="23"/>
      <c r="X3772" s="23"/>
      <c r="Y3772" s="23"/>
      <c r="Z3772" s="23"/>
    </row>
    <row r="3773" spans="1:26" ht="13">
      <c r="A3773" s="562" t="s">
        <v>8368</v>
      </c>
      <c r="B3773" s="563" t="s">
        <v>8369</v>
      </c>
      <c r="C3773" s="564" t="s">
        <v>1612</v>
      </c>
      <c r="D3773" s="565">
        <v>41584</v>
      </c>
      <c r="E3773" s="565">
        <v>41597</v>
      </c>
      <c r="F3773" s="566">
        <v>44000000</v>
      </c>
      <c r="G3773" s="564" t="s">
        <v>1123</v>
      </c>
      <c r="H3773" s="564" t="s">
        <v>1123</v>
      </c>
      <c r="I3773" s="564" t="s">
        <v>802</v>
      </c>
      <c r="J3773" s="564" t="s">
        <v>1069</v>
      </c>
      <c r="K3773" s="564" t="s">
        <v>1198</v>
      </c>
      <c r="L3773" s="564" t="s">
        <v>2098</v>
      </c>
      <c r="M3773" s="564" t="s">
        <v>2098</v>
      </c>
      <c r="N3773" s="564" t="s">
        <v>132</v>
      </c>
      <c r="O3773" s="564" t="s">
        <v>2099</v>
      </c>
      <c r="P3773" s="23"/>
      <c r="Q3773" s="23"/>
      <c r="R3773" s="23"/>
      <c r="S3773" s="23"/>
      <c r="T3773" s="23"/>
      <c r="U3773" s="23"/>
      <c r="V3773" s="23"/>
      <c r="W3773" s="23"/>
      <c r="X3773" s="23"/>
      <c r="Y3773" s="23"/>
      <c r="Z3773" s="23"/>
    </row>
    <row r="3774" spans="1:26" ht="13">
      <c r="A3774" s="562" t="s">
        <v>8370</v>
      </c>
      <c r="B3774" s="563" t="s">
        <v>8371</v>
      </c>
      <c r="C3774" s="564" t="s">
        <v>1612</v>
      </c>
      <c r="D3774" s="565">
        <v>41584</v>
      </c>
      <c r="E3774" s="565">
        <v>41593</v>
      </c>
      <c r="F3774" s="567">
        <v>840</v>
      </c>
      <c r="G3774" s="564" t="s">
        <v>337</v>
      </c>
      <c r="H3774" s="564" t="s">
        <v>337</v>
      </c>
      <c r="I3774" s="564" t="s">
        <v>225</v>
      </c>
      <c r="J3774" s="564" t="s">
        <v>1069</v>
      </c>
      <c r="K3774" s="564" t="s">
        <v>1105</v>
      </c>
      <c r="L3774" s="564" t="s">
        <v>2098</v>
      </c>
      <c r="M3774" s="564" t="s">
        <v>2098</v>
      </c>
      <c r="N3774" s="564" t="s">
        <v>225</v>
      </c>
      <c r="O3774" s="564" t="s">
        <v>2099</v>
      </c>
      <c r="P3774" s="23"/>
      <c r="Q3774" s="23"/>
      <c r="R3774" s="23"/>
      <c r="S3774" s="23"/>
      <c r="T3774" s="23"/>
      <c r="U3774" s="23"/>
      <c r="V3774" s="23"/>
      <c r="W3774" s="23"/>
      <c r="X3774" s="23"/>
      <c r="Y3774" s="23"/>
      <c r="Z3774" s="23"/>
    </row>
    <row r="3775" spans="1:26" ht="13">
      <c r="A3775" s="562" t="s">
        <v>8372</v>
      </c>
      <c r="B3775" s="563" t="s">
        <v>8307</v>
      </c>
      <c r="C3775" s="564" t="s">
        <v>1612</v>
      </c>
      <c r="D3775" s="565">
        <v>41578</v>
      </c>
      <c r="E3775" s="565">
        <v>41582</v>
      </c>
      <c r="F3775" s="567">
        <v>773</v>
      </c>
      <c r="G3775" s="564" t="s">
        <v>337</v>
      </c>
      <c r="H3775" s="564" t="s">
        <v>337</v>
      </c>
      <c r="I3775" s="564" t="s">
        <v>70</v>
      </c>
      <c r="J3775" s="564" t="s">
        <v>1069</v>
      </c>
      <c r="K3775" s="564" t="s">
        <v>1120</v>
      </c>
      <c r="L3775" s="564" t="s">
        <v>2098</v>
      </c>
      <c r="M3775" s="564" t="s">
        <v>2098</v>
      </c>
      <c r="N3775" s="564" t="s">
        <v>70</v>
      </c>
      <c r="O3775" s="564" t="s">
        <v>2099</v>
      </c>
      <c r="P3775" s="23"/>
      <c r="Q3775" s="23"/>
      <c r="R3775" s="23"/>
      <c r="S3775" s="23"/>
      <c r="T3775" s="23"/>
      <c r="U3775" s="23"/>
      <c r="V3775" s="23"/>
      <c r="W3775" s="23"/>
      <c r="X3775" s="23"/>
      <c r="Y3775" s="23"/>
      <c r="Z3775" s="23"/>
    </row>
    <row r="3776" spans="1:26" ht="13">
      <c r="A3776" s="562" t="s">
        <v>8373</v>
      </c>
      <c r="B3776" s="563" t="s">
        <v>8374</v>
      </c>
      <c r="C3776" s="564" t="s">
        <v>1612</v>
      </c>
      <c r="D3776" s="565">
        <v>41579</v>
      </c>
      <c r="E3776" s="565">
        <v>41586</v>
      </c>
      <c r="F3776" s="566">
        <v>44820</v>
      </c>
      <c r="G3776" s="564" t="s">
        <v>337</v>
      </c>
      <c r="H3776" s="564" t="s">
        <v>337</v>
      </c>
      <c r="I3776" s="564" t="s">
        <v>802</v>
      </c>
      <c r="J3776" s="564" t="s">
        <v>1069</v>
      </c>
      <c r="K3776" s="564" t="s">
        <v>1198</v>
      </c>
      <c r="L3776" s="564" t="s">
        <v>2098</v>
      </c>
      <c r="M3776" s="564" t="s">
        <v>2098</v>
      </c>
      <c r="N3776" s="564" t="s">
        <v>132</v>
      </c>
      <c r="O3776" s="564" t="s">
        <v>2099</v>
      </c>
      <c r="P3776" s="23"/>
      <c r="Q3776" s="23"/>
      <c r="R3776" s="23"/>
      <c r="S3776" s="23"/>
      <c r="T3776" s="23"/>
      <c r="U3776" s="23"/>
      <c r="V3776" s="23"/>
      <c r="W3776" s="23"/>
      <c r="X3776" s="23"/>
      <c r="Y3776" s="23"/>
      <c r="Z3776" s="23"/>
    </row>
    <row r="3777" spans="1:26" ht="13">
      <c r="A3777" s="562" t="s">
        <v>8375</v>
      </c>
      <c r="B3777" s="563" t="s">
        <v>8376</v>
      </c>
      <c r="C3777" s="564" t="s">
        <v>1612</v>
      </c>
      <c r="D3777" s="565">
        <v>41575</v>
      </c>
      <c r="E3777" s="565">
        <v>41571</v>
      </c>
      <c r="F3777" s="566">
        <v>34113770</v>
      </c>
      <c r="G3777" s="564" t="s">
        <v>337</v>
      </c>
      <c r="H3777" s="564" t="s">
        <v>337</v>
      </c>
      <c r="I3777" s="564" t="s">
        <v>146</v>
      </c>
      <c r="J3777" s="564" t="s">
        <v>1069</v>
      </c>
      <c r="K3777" s="564" t="s">
        <v>1070</v>
      </c>
      <c r="L3777" s="564" t="s">
        <v>1071</v>
      </c>
      <c r="M3777" s="564" t="s">
        <v>1183</v>
      </c>
      <c r="N3777" s="564" t="s">
        <v>1073</v>
      </c>
      <c r="O3777" s="564" t="s">
        <v>1472</v>
      </c>
      <c r="P3777" s="23"/>
      <c r="Q3777" s="23"/>
      <c r="R3777" s="23"/>
      <c r="S3777" s="23"/>
      <c r="T3777" s="23"/>
      <c r="U3777" s="23"/>
      <c r="V3777" s="23"/>
      <c r="W3777" s="23"/>
      <c r="X3777" s="23"/>
      <c r="Y3777" s="23"/>
      <c r="Z3777" s="23"/>
    </row>
    <row r="3778" spans="1:26" ht="13">
      <c r="A3778" s="562" t="s">
        <v>8377</v>
      </c>
      <c r="B3778" s="563" t="s">
        <v>8378</v>
      </c>
      <c r="C3778" s="564" t="s">
        <v>1612</v>
      </c>
      <c r="D3778" s="565">
        <v>41577</v>
      </c>
      <c r="E3778" s="565">
        <v>41593</v>
      </c>
      <c r="F3778" s="566">
        <v>43520</v>
      </c>
      <c r="G3778" s="564" t="s">
        <v>337</v>
      </c>
      <c r="H3778" s="564" t="s">
        <v>337</v>
      </c>
      <c r="I3778" s="564" t="s">
        <v>802</v>
      </c>
      <c r="J3778" s="564" t="s">
        <v>1069</v>
      </c>
      <c r="K3778" s="564" t="s">
        <v>1198</v>
      </c>
      <c r="L3778" s="564" t="s">
        <v>2098</v>
      </c>
      <c r="M3778" s="564" t="s">
        <v>2098</v>
      </c>
      <c r="N3778" s="564" t="s">
        <v>132</v>
      </c>
      <c r="O3778" s="564" t="s">
        <v>2099</v>
      </c>
      <c r="P3778" s="23"/>
      <c r="Q3778" s="23"/>
      <c r="R3778" s="23"/>
      <c r="S3778" s="23"/>
      <c r="T3778" s="23"/>
      <c r="U3778" s="23"/>
      <c r="V3778" s="23"/>
      <c r="W3778" s="23"/>
      <c r="X3778" s="23"/>
      <c r="Y3778" s="23"/>
      <c r="Z3778" s="23"/>
    </row>
    <row r="3779" spans="1:26" ht="13">
      <c r="A3779" s="562" t="s">
        <v>8379</v>
      </c>
      <c r="B3779" s="563" t="s">
        <v>8380</v>
      </c>
      <c r="C3779" s="564" t="s">
        <v>1612</v>
      </c>
      <c r="D3779" s="565">
        <v>41572</v>
      </c>
      <c r="E3779" s="565">
        <v>41577</v>
      </c>
      <c r="F3779" s="566">
        <v>10531500</v>
      </c>
      <c r="G3779" s="564" t="s">
        <v>337</v>
      </c>
      <c r="H3779" s="564" t="s">
        <v>337</v>
      </c>
      <c r="I3779" s="564" t="s">
        <v>2586</v>
      </c>
      <c r="J3779" s="564" t="s">
        <v>1069</v>
      </c>
      <c r="K3779" s="564" t="s">
        <v>1070</v>
      </c>
      <c r="L3779" s="564" t="s">
        <v>2098</v>
      </c>
      <c r="M3779" s="564" t="s">
        <v>2098</v>
      </c>
      <c r="N3779" s="564" t="s">
        <v>1073</v>
      </c>
      <c r="O3779" s="564" t="s">
        <v>2099</v>
      </c>
      <c r="P3779" s="23"/>
      <c r="Q3779" s="23"/>
      <c r="R3779" s="23"/>
      <c r="S3779" s="23"/>
      <c r="T3779" s="23"/>
      <c r="U3779" s="23"/>
      <c r="V3779" s="23"/>
      <c r="W3779" s="23"/>
      <c r="X3779" s="23"/>
      <c r="Y3779" s="23"/>
      <c r="Z3779" s="23"/>
    </row>
    <row r="3780" spans="1:26" ht="13">
      <c r="A3780" s="562" t="s">
        <v>8381</v>
      </c>
      <c r="B3780" s="563" t="s">
        <v>7884</v>
      </c>
      <c r="C3780" s="564" t="s">
        <v>1612</v>
      </c>
      <c r="D3780" s="565">
        <v>41571</v>
      </c>
      <c r="E3780" s="565">
        <v>41577</v>
      </c>
      <c r="F3780" s="566">
        <v>5706</v>
      </c>
      <c r="G3780" s="564" t="s">
        <v>337</v>
      </c>
      <c r="H3780" s="564" t="s">
        <v>337</v>
      </c>
      <c r="I3780" s="564" t="s">
        <v>1837</v>
      </c>
      <c r="J3780" s="564" t="s">
        <v>1069</v>
      </c>
      <c r="K3780" s="564" t="s">
        <v>1090</v>
      </c>
      <c r="L3780" s="564" t="s">
        <v>2098</v>
      </c>
      <c r="M3780" s="564" t="s">
        <v>2098</v>
      </c>
      <c r="N3780" s="564" t="s">
        <v>1082</v>
      </c>
      <c r="O3780" s="564" t="s">
        <v>2099</v>
      </c>
      <c r="P3780" s="23"/>
      <c r="Q3780" s="23"/>
      <c r="R3780" s="23"/>
      <c r="S3780" s="23"/>
      <c r="T3780" s="23"/>
      <c r="U3780" s="23"/>
      <c r="V3780" s="23"/>
      <c r="W3780" s="23"/>
      <c r="X3780" s="23"/>
      <c r="Y3780" s="23"/>
      <c r="Z3780" s="23"/>
    </row>
    <row r="3781" spans="1:26" ht="13">
      <c r="A3781" s="562" t="s">
        <v>8382</v>
      </c>
      <c r="B3781" s="563" t="s">
        <v>7190</v>
      </c>
      <c r="C3781" s="564" t="s">
        <v>1612</v>
      </c>
      <c r="D3781" s="565">
        <v>41575</v>
      </c>
      <c r="E3781" s="565">
        <v>41578</v>
      </c>
      <c r="F3781" s="566">
        <v>14960000</v>
      </c>
      <c r="G3781" s="564" t="s">
        <v>1128</v>
      </c>
      <c r="H3781" s="564" t="s">
        <v>1128</v>
      </c>
      <c r="I3781" s="564" t="s">
        <v>45</v>
      </c>
      <c r="J3781" s="564" t="s">
        <v>1069</v>
      </c>
      <c r="K3781" s="564" t="s">
        <v>1090</v>
      </c>
      <c r="L3781" s="564" t="s">
        <v>2098</v>
      </c>
      <c r="M3781" s="564" t="s">
        <v>2098</v>
      </c>
      <c r="N3781" s="564" t="s">
        <v>45</v>
      </c>
      <c r="O3781" s="564" t="s">
        <v>2099</v>
      </c>
      <c r="P3781" s="23"/>
      <c r="Q3781" s="23"/>
      <c r="R3781" s="23"/>
      <c r="S3781" s="23"/>
      <c r="T3781" s="23"/>
      <c r="U3781" s="23"/>
      <c r="V3781" s="23"/>
      <c r="W3781" s="23"/>
      <c r="X3781" s="23"/>
      <c r="Y3781" s="23"/>
      <c r="Z3781" s="23"/>
    </row>
    <row r="3782" spans="1:26" ht="13">
      <c r="A3782" s="562" t="s">
        <v>8383</v>
      </c>
      <c r="B3782" s="563" t="s">
        <v>8384</v>
      </c>
      <c r="C3782" s="564" t="s">
        <v>1612</v>
      </c>
      <c r="D3782" s="565">
        <v>41571</v>
      </c>
      <c r="E3782" s="565">
        <v>41578</v>
      </c>
      <c r="F3782" s="566">
        <v>23205000</v>
      </c>
      <c r="G3782" s="564" t="s">
        <v>337</v>
      </c>
      <c r="H3782" s="564" t="s">
        <v>337</v>
      </c>
      <c r="I3782" s="564" t="s">
        <v>3824</v>
      </c>
      <c r="J3782" s="564" t="s">
        <v>1069</v>
      </c>
      <c r="K3782" s="564" t="s">
        <v>1070</v>
      </c>
      <c r="L3782" s="564" t="s">
        <v>2098</v>
      </c>
      <c r="M3782" s="564" t="s">
        <v>2098</v>
      </c>
      <c r="N3782" s="564" t="s">
        <v>1073</v>
      </c>
      <c r="O3782" s="564" t="s">
        <v>2099</v>
      </c>
      <c r="P3782" s="23"/>
      <c r="Q3782" s="23"/>
      <c r="R3782" s="23"/>
      <c r="S3782" s="23"/>
      <c r="T3782" s="23"/>
      <c r="U3782" s="23"/>
      <c r="V3782" s="23"/>
      <c r="W3782" s="23"/>
      <c r="X3782" s="23"/>
      <c r="Y3782" s="23"/>
      <c r="Z3782" s="23"/>
    </row>
    <row r="3783" spans="1:26" ht="13">
      <c r="A3783" s="562" t="s">
        <v>8385</v>
      </c>
      <c r="B3783" s="563" t="s">
        <v>8386</v>
      </c>
      <c r="C3783" s="564" t="s">
        <v>1612</v>
      </c>
      <c r="D3783" s="565">
        <v>41575</v>
      </c>
      <c r="E3783" s="565">
        <v>41571</v>
      </c>
      <c r="F3783" s="566">
        <v>11959050</v>
      </c>
      <c r="G3783" s="564" t="s">
        <v>337</v>
      </c>
      <c r="H3783" s="564" t="s">
        <v>337</v>
      </c>
      <c r="I3783" s="564" t="s">
        <v>1586</v>
      </c>
      <c r="J3783" s="564" t="s">
        <v>1069</v>
      </c>
      <c r="K3783" s="564" t="s">
        <v>1090</v>
      </c>
      <c r="L3783" s="564" t="s">
        <v>1071</v>
      </c>
      <c r="M3783" s="564" t="s">
        <v>1183</v>
      </c>
      <c r="N3783" s="564" t="s">
        <v>1073</v>
      </c>
      <c r="O3783" s="564" t="s">
        <v>1472</v>
      </c>
      <c r="P3783" s="23"/>
      <c r="Q3783" s="23"/>
      <c r="R3783" s="23"/>
      <c r="S3783" s="23"/>
      <c r="T3783" s="23"/>
      <c r="U3783" s="23"/>
      <c r="V3783" s="23"/>
      <c r="W3783" s="23"/>
      <c r="X3783" s="23"/>
      <c r="Y3783" s="23"/>
      <c r="Z3783" s="23"/>
    </row>
    <row r="3784" spans="1:26" ht="13">
      <c r="A3784" s="562" t="s">
        <v>8387</v>
      </c>
      <c r="B3784" s="563" t="s">
        <v>8388</v>
      </c>
      <c r="C3784" s="564" t="s">
        <v>1612</v>
      </c>
      <c r="D3784" s="565">
        <v>41570</v>
      </c>
      <c r="E3784" s="565">
        <v>41572</v>
      </c>
      <c r="F3784" s="566">
        <v>1050</v>
      </c>
      <c r="G3784" s="564" t="s">
        <v>337</v>
      </c>
      <c r="H3784" s="564" t="s">
        <v>337</v>
      </c>
      <c r="I3784" s="564" t="s">
        <v>121</v>
      </c>
      <c r="J3784" s="564" t="s">
        <v>1069</v>
      </c>
      <c r="K3784" s="564" t="s">
        <v>1105</v>
      </c>
      <c r="L3784" s="564" t="s">
        <v>2098</v>
      </c>
      <c r="M3784" s="564" t="s">
        <v>2098</v>
      </c>
      <c r="N3784" s="564" t="s">
        <v>1073</v>
      </c>
      <c r="O3784" s="564" t="s">
        <v>2099</v>
      </c>
      <c r="P3784" s="23"/>
      <c r="Q3784" s="23"/>
      <c r="R3784" s="23"/>
      <c r="S3784" s="23"/>
      <c r="T3784" s="23"/>
      <c r="U3784" s="23"/>
      <c r="V3784" s="23"/>
      <c r="W3784" s="23"/>
      <c r="X3784" s="23"/>
      <c r="Y3784" s="23"/>
      <c r="Z3784" s="23"/>
    </row>
    <row r="3785" spans="1:26" ht="13">
      <c r="A3785" s="562" t="s">
        <v>8389</v>
      </c>
      <c r="B3785" s="563" t="s">
        <v>8390</v>
      </c>
      <c r="C3785" s="564" t="s">
        <v>1612</v>
      </c>
      <c r="D3785" s="565">
        <v>41562</v>
      </c>
      <c r="E3785" s="565">
        <v>41578</v>
      </c>
      <c r="F3785" s="566">
        <v>1873</v>
      </c>
      <c r="G3785" s="564" t="s">
        <v>337</v>
      </c>
      <c r="H3785" s="564" t="s">
        <v>337</v>
      </c>
      <c r="I3785" s="564" t="s">
        <v>70</v>
      </c>
      <c r="J3785" s="564" t="s">
        <v>1069</v>
      </c>
      <c r="K3785" s="564" t="s">
        <v>1120</v>
      </c>
      <c r="L3785" s="564" t="s">
        <v>2098</v>
      </c>
      <c r="M3785" s="564" t="s">
        <v>2098</v>
      </c>
      <c r="N3785" s="564" t="s">
        <v>70</v>
      </c>
      <c r="O3785" s="564" t="s">
        <v>2099</v>
      </c>
      <c r="P3785" s="23"/>
      <c r="Q3785" s="23"/>
      <c r="R3785" s="23"/>
      <c r="S3785" s="23"/>
      <c r="T3785" s="23"/>
      <c r="U3785" s="23"/>
      <c r="V3785" s="23"/>
      <c r="W3785" s="23"/>
      <c r="X3785" s="23"/>
      <c r="Y3785" s="23"/>
      <c r="Z3785" s="23"/>
    </row>
    <row r="3786" spans="1:26" ht="13">
      <c r="A3786" s="562" t="s">
        <v>8391</v>
      </c>
      <c r="B3786" s="563" t="s">
        <v>8392</v>
      </c>
      <c r="C3786" s="564" t="s">
        <v>1612</v>
      </c>
      <c r="D3786" s="565">
        <v>41555</v>
      </c>
      <c r="E3786" s="565">
        <v>41578</v>
      </c>
      <c r="F3786" s="566">
        <v>23200000</v>
      </c>
      <c r="G3786" s="564" t="s">
        <v>5465</v>
      </c>
      <c r="H3786" s="564" t="s">
        <v>5465</v>
      </c>
      <c r="I3786" s="564" t="s">
        <v>45</v>
      </c>
      <c r="J3786" s="564" t="s">
        <v>1069</v>
      </c>
      <c r="K3786" s="564" t="s">
        <v>1090</v>
      </c>
      <c r="L3786" s="564" t="s">
        <v>2098</v>
      </c>
      <c r="M3786" s="564" t="s">
        <v>2098</v>
      </c>
      <c r="N3786" s="564" t="s">
        <v>45</v>
      </c>
      <c r="O3786" s="564" t="s">
        <v>2099</v>
      </c>
      <c r="P3786" s="23"/>
      <c r="Q3786" s="23"/>
      <c r="R3786" s="23"/>
      <c r="S3786" s="23"/>
      <c r="T3786" s="23"/>
      <c r="U3786" s="23"/>
      <c r="V3786" s="23"/>
      <c r="W3786" s="23"/>
      <c r="X3786" s="23"/>
      <c r="Y3786" s="23"/>
      <c r="Z3786" s="23"/>
    </row>
    <row r="3787" spans="1:26" ht="13">
      <c r="A3787" s="562" t="s">
        <v>8393</v>
      </c>
      <c r="B3787" s="563" t="s">
        <v>8394</v>
      </c>
      <c r="C3787" s="564" t="s">
        <v>1612</v>
      </c>
      <c r="D3787" s="565">
        <v>41549</v>
      </c>
      <c r="E3787" s="565">
        <v>41577</v>
      </c>
      <c r="F3787" s="566">
        <v>4036037000</v>
      </c>
      <c r="G3787" s="564" t="s">
        <v>1856</v>
      </c>
      <c r="H3787" s="564" t="s">
        <v>1856</v>
      </c>
      <c r="I3787" s="564" t="s">
        <v>45</v>
      </c>
      <c r="J3787" s="564" t="s">
        <v>1069</v>
      </c>
      <c r="K3787" s="564" t="s">
        <v>1090</v>
      </c>
      <c r="L3787" s="564" t="s">
        <v>2098</v>
      </c>
      <c r="M3787" s="564" t="s">
        <v>2098</v>
      </c>
      <c r="N3787" s="564" t="s">
        <v>45</v>
      </c>
      <c r="O3787" s="564" t="s">
        <v>2099</v>
      </c>
      <c r="P3787" s="23"/>
      <c r="Q3787" s="23"/>
      <c r="R3787" s="23"/>
      <c r="S3787" s="23"/>
      <c r="T3787" s="23"/>
      <c r="U3787" s="23"/>
      <c r="V3787" s="23"/>
      <c r="W3787" s="23"/>
      <c r="X3787" s="23"/>
      <c r="Y3787" s="23"/>
      <c r="Z3787" s="23"/>
    </row>
    <row r="3788" spans="1:26" ht="13">
      <c r="A3788" s="562" t="s">
        <v>8395</v>
      </c>
      <c r="B3788" s="563" t="s">
        <v>8193</v>
      </c>
      <c r="C3788" s="564" t="s">
        <v>1612</v>
      </c>
      <c r="D3788" s="565">
        <v>41549</v>
      </c>
      <c r="E3788" s="565">
        <v>41578</v>
      </c>
      <c r="F3788" s="566">
        <v>354162000</v>
      </c>
      <c r="G3788" s="564" t="s">
        <v>5465</v>
      </c>
      <c r="H3788" s="564" t="s">
        <v>5465</v>
      </c>
      <c r="I3788" s="564" t="s">
        <v>45</v>
      </c>
      <c r="J3788" s="564" t="s">
        <v>1069</v>
      </c>
      <c r="K3788" s="564" t="s">
        <v>1090</v>
      </c>
      <c r="L3788" s="564" t="s">
        <v>2098</v>
      </c>
      <c r="M3788" s="564" t="s">
        <v>2098</v>
      </c>
      <c r="N3788" s="564" t="s">
        <v>45</v>
      </c>
      <c r="O3788" s="564" t="s">
        <v>2099</v>
      </c>
      <c r="P3788" s="23"/>
      <c r="Q3788" s="23"/>
      <c r="R3788" s="23"/>
      <c r="S3788" s="23"/>
      <c r="T3788" s="23"/>
      <c r="U3788" s="23"/>
      <c r="V3788" s="23"/>
      <c r="W3788" s="23"/>
      <c r="X3788" s="23"/>
      <c r="Y3788" s="23"/>
      <c r="Z3788" s="23"/>
    </row>
    <row r="3789" spans="1:26" ht="13">
      <c r="A3789" s="562" t="s">
        <v>8396</v>
      </c>
      <c r="B3789" s="563" t="s">
        <v>8397</v>
      </c>
      <c r="C3789" s="564" t="s">
        <v>1612</v>
      </c>
      <c r="D3789" s="565">
        <v>41554</v>
      </c>
      <c r="E3789" s="565">
        <v>41565</v>
      </c>
      <c r="F3789" s="566">
        <v>11000</v>
      </c>
      <c r="G3789" s="564" t="s">
        <v>337</v>
      </c>
      <c r="H3789" s="564" t="s">
        <v>337</v>
      </c>
      <c r="I3789" s="564" t="s">
        <v>802</v>
      </c>
      <c r="J3789" s="564" t="s">
        <v>1069</v>
      </c>
      <c r="K3789" s="564" t="s">
        <v>1198</v>
      </c>
      <c r="L3789" s="564" t="s">
        <v>2098</v>
      </c>
      <c r="M3789" s="564" t="s">
        <v>2098</v>
      </c>
      <c r="N3789" s="564" t="s">
        <v>132</v>
      </c>
      <c r="O3789" s="564" t="s">
        <v>2099</v>
      </c>
      <c r="P3789" s="23"/>
      <c r="Q3789" s="23"/>
      <c r="R3789" s="23"/>
      <c r="S3789" s="23"/>
      <c r="T3789" s="23"/>
      <c r="U3789" s="23"/>
      <c r="V3789" s="23"/>
      <c r="W3789" s="23"/>
      <c r="X3789" s="23"/>
      <c r="Y3789" s="23"/>
      <c r="Z3789" s="23"/>
    </row>
    <row r="3790" spans="1:26" ht="13">
      <c r="A3790" s="562" t="s">
        <v>8398</v>
      </c>
      <c r="B3790" s="563" t="s">
        <v>8399</v>
      </c>
      <c r="C3790" s="564" t="s">
        <v>1612</v>
      </c>
      <c r="D3790" s="565">
        <v>41555</v>
      </c>
      <c r="E3790" s="565">
        <v>41555</v>
      </c>
      <c r="F3790" s="567">
        <v>425</v>
      </c>
      <c r="G3790" s="564" t="s">
        <v>337</v>
      </c>
      <c r="H3790" s="564" t="s">
        <v>337</v>
      </c>
      <c r="I3790" s="564" t="s">
        <v>2586</v>
      </c>
      <c r="J3790" s="564" t="s">
        <v>1069</v>
      </c>
      <c r="K3790" s="564" t="s">
        <v>1070</v>
      </c>
      <c r="L3790" s="564" t="s">
        <v>2098</v>
      </c>
      <c r="M3790" s="564" t="s">
        <v>2098</v>
      </c>
      <c r="N3790" s="564" t="s">
        <v>1073</v>
      </c>
      <c r="O3790" s="564" t="s">
        <v>2099</v>
      </c>
      <c r="P3790" s="23"/>
      <c r="Q3790" s="23"/>
      <c r="R3790" s="23"/>
      <c r="S3790" s="23"/>
      <c r="T3790" s="23"/>
      <c r="U3790" s="23"/>
      <c r="V3790" s="23"/>
      <c r="W3790" s="23"/>
      <c r="X3790" s="23"/>
      <c r="Y3790" s="23"/>
      <c r="Z3790" s="23"/>
    </row>
    <row r="3791" spans="1:26" ht="13">
      <c r="A3791" s="562" t="s">
        <v>8400</v>
      </c>
      <c r="B3791" s="563" t="s">
        <v>8401</v>
      </c>
      <c r="C3791" s="564" t="s">
        <v>1612</v>
      </c>
      <c r="D3791" s="565">
        <v>41555</v>
      </c>
      <c r="E3791" s="565">
        <v>41558</v>
      </c>
      <c r="F3791" s="566">
        <v>4626360</v>
      </c>
      <c r="G3791" s="564" t="s">
        <v>337</v>
      </c>
      <c r="H3791" s="564" t="s">
        <v>337</v>
      </c>
      <c r="I3791" s="564" t="s">
        <v>64</v>
      </c>
      <c r="J3791" s="564" t="s">
        <v>1069</v>
      </c>
      <c r="K3791" s="564" t="s">
        <v>1090</v>
      </c>
      <c r="L3791" s="564" t="s">
        <v>2098</v>
      </c>
      <c r="M3791" s="564" t="s">
        <v>2098</v>
      </c>
      <c r="N3791" s="564" t="s">
        <v>64</v>
      </c>
      <c r="O3791" s="564" t="s">
        <v>2099</v>
      </c>
      <c r="P3791" s="23"/>
      <c r="Q3791" s="23"/>
      <c r="R3791" s="23"/>
      <c r="S3791" s="23"/>
      <c r="T3791" s="23"/>
      <c r="U3791" s="23"/>
      <c r="V3791" s="23"/>
      <c r="W3791" s="23"/>
      <c r="X3791" s="23"/>
      <c r="Y3791" s="23"/>
      <c r="Z3791" s="23"/>
    </row>
    <row r="3792" spans="1:26" ht="13">
      <c r="A3792" s="562" t="s">
        <v>8402</v>
      </c>
      <c r="B3792" s="563" t="s">
        <v>8403</v>
      </c>
      <c r="C3792" s="564" t="s">
        <v>1612</v>
      </c>
      <c r="D3792" s="565">
        <v>41555</v>
      </c>
      <c r="E3792" s="565">
        <v>41557</v>
      </c>
      <c r="F3792" s="567">
        <v>510</v>
      </c>
      <c r="G3792" s="564" t="s">
        <v>337</v>
      </c>
      <c r="H3792" s="564" t="s">
        <v>337</v>
      </c>
      <c r="I3792" s="564" t="s">
        <v>3824</v>
      </c>
      <c r="J3792" s="564" t="s">
        <v>1069</v>
      </c>
      <c r="K3792" s="564" t="s">
        <v>1070</v>
      </c>
      <c r="L3792" s="564" t="s">
        <v>2098</v>
      </c>
      <c r="M3792" s="564" t="s">
        <v>2098</v>
      </c>
      <c r="N3792" s="564" t="s">
        <v>1073</v>
      </c>
      <c r="O3792" s="564" t="s">
        <v>2099</v>
      </c>
      <c r="P3792" s="23"/>
      <c r="Q3792" s="23"/>
      <c r="R3792" s="23"/>
      <c r="S3792" s="23"/>
      <c r="T3792" s="23"/>
      <c r="U3792" s="23"/>
      <c r="V3792" s="23"/>
      <c r="W3792" s="23"/>
      <c r="X3792" s="23"/>
      <c r="Y3792" s="23"/>
      <c r="Z3792" s="23"/>
    </row>
    <row r="3793" spans="1:26" ht="13">
      <c r="A3793" s="562" t="s">
        <v>8404</v>
      </c>
      <c r="B3793" s="563" t="s">
        <v>8405</v>
      </c>
      <c r="C3793" s="564" t="s">
        <v>1612</v>
      </c>
      <c r="D3793" s="565">
        <v>41549</v>
      </c>
      <c r="E3793" s="565">
        <v>41557</v>
      </c>
      <c r="F3793" s="566">
        <v>4400</v>
      </c>
      <c r="G3793" s="564" t="s">
        <v>337</v>
      </c>
      <c r="H3793" s="564" t="s">
        <v>337</v>
      </c>
      <c r="I3793" s="564" t="s">
        <v>64</v>
      </c>
      <c r="J3793" s="564" t="s">
        <v>1069</v>
      </c>
      <c r="K3793" s="564" t="s">
        <v>1090</v>
      </c>
      <c r="L3793" s="564" t="s">
        <v>2098</v>
      </c>
      <c r="M3793" s="564" t="s">
        <v>2098</v>
      </c>
      <c r="N3793" s="564" t="s">
        <v>64</v>
      </c>
      <c r="O3793" s="564" t="s">
        <v>2099</v>
      </c>
      <c r="P3793" s="23"/>
      <c r="Q3793" s="23"/>
      <c r="R3793" s="23"/>
      <c r="S3793" s="23"/>
      <c r="T3793" s="23"/>
      <c r="U3793" s="23"/>
      <c r="V3793" s="23"/>
      <c r="W3793" s="23"/>
      <c r="X3793" s="23"/>
      <c r="Y3793" s="23"/>
      <c r="Z3793" s="23"/>
    </row>
    <row r="3794" spans="1:26" ht="13">
      <c r="A3794" s="562" t="s">
        <v>8406</v>
      </c>
      <c r="B3794" s="563" t="s">
        <v>8307</v>
      </c>
      <c r="C3794" s="564" t="s">
        <v>1612</v>
      </c>
      <c r="D3794" s="565">
        <v>41549</v>
      </c>
      <c r="E3794" s="565">
        <v>41555</v>
      </c>
      <c r="F3794" s="567">
        <v>773</v>
      </c>
      <c r="G3794" s="564" t="s">
        <v>337</v>
      </c>
      <c r="H3794" s="564" t="s">
        <v>337</v>
      </c>
      <c r="I3794" s="564" t="s">
        <v>70</v>
      </c>
      <c r="J3794" s="564" t="s">
        <v>1069</v>
      </c>
      <c r="K3794" s="564" t="s">
        <v>1120</v>
      </c>
      <c r="L3794" s="564" t="s">
        <v>2098</v>
      </c>
      <c r="M3794" s="564" t="s">
        <v>2098</v>
      </c>
      <c r="N3794" s="564" t="s">
        <v>70</v>
      </c>
      <c r="O3794" s="564" t="s">
        <v>2099</v>
      </c>
      <c r="P3794" s="23"/>
      <c r="Q3794" s="23"/>
      <c r="R3794" s="23"/>
      <c r="S3794" s="23"/>
      <c r="T3794" s="23"/>
      <c r="U3794" s="23"/>
      <c r="V3794" s="23"/>
      <c r="W3794" s="23"/>
      <c r="X3794" s="23"/>
      <c r="Y3794" s="23"/>
      <c r="Z3794" s="23"/>
    </row>
    <row r="3795" spans="1:26" ht="13">
      <c r="A3795" s="562" t="s">
        <v>8407</v>
      </c>
      <c r="B3795" s="563" t="s">
        <v>8408</v>
      </c>
      <c r="C3795" s="564" t="s">
        <v>1612</v>
      </c>
      <c r="D3795" s="565">
        <v>41547</v>
      </c>
      <c r="E3795" s="565">
        <v>41548</v>
      </c>
      <c r="F3795" s="566">
        <v>41859000</v>
      </c>
      <c r="G3795" s="564" t="s">
        <v>337</v>
      </c>
      <c r="H3795" s="564" t="s">
        <v>337</v>
      </c>
      <c r="I3795" s="564" t="s">
        <v>45</v>
      </c>
      <c r="J3795" s="564" t="s">
        <v>1069</v>
      </c>
      <c r="K3795" s="564" t="s">
        <v>1090</v>
      </c>
      <c r="L3795" s="564" t="s">
        <v>1071</v>
      </c>
      <c r="M3795" s="564" t="s">
        <v>1183</v>
      </c>
      <c r="N3795" s="564" t="s">
        <v>45</v>
      </c>
      <c r="O3795" s="564" t="s">
        <v>2099</v>
      </c>
      <c r="P3795" s="23"/>
      <c r="Q3795" s="23"/>
      <c r="R3795" s="23"/>
      <c r="S3795" s="23"/>
      <c r="T3795" s="23"/>
      <c r="U3795" s="23"/>
      <c r="V3795" s="23"/>
      <c r="W3795" s="23"/>
      <c r="X3795" s="23"/>
      <c r="Y3795" s="23"/>
      <c r="Z3795" s="23"/>
    </row>
    <row r="3796" spans="1:26" ht="13">
      <c r="A3796" s="562" t="s">
        <v>8409</v>
      </c>
      <c r="B3796" s="563" t="s">
        <v>8260</v>
      </c>
      <c r="C3796" s="564" t="s">
        <v>1612</v>
      </c>
      <c r="D3796" s="565">
        <v>41549</v>
      </c>
      <c r="E3796" s="565">
        <v>41556</v>
      </c>
      <c r="F3796" s="567">
        <v>720</v>
      </c>
      <c r="G3796" s="564" t="s">
        <v>337</v>
      </c>
      <c r="H3796" s="564" t="s">
        <v>337</v>
      </c>
      <c r="I3796" s="564" t="s">
        <v>64</v>
      </c>
      <c r="J3796" s="564" t="s">
        <v>1069</v>
      </c>
      <c r="K3796" s="564" t="s">
        <v>1090</v>
      </c>
      <c r="L3796" s="564" t="s">
        <v>2098</v>
      </c>
      <c r="M3796" s="564" t="s">
        <v>2098</v>
      </c>
      <c r="N3796" s="564" t="s">
        <v>64</v>
      </c>
      <c r="O3796" s="564" t="s">
        <v>2099</v>
      </c>
      <c r="P3796" s="23"/>
      <c r="Q3796" s="23"/>
      <c r="R3796" s="23"/>
      <c r="S3796" s="23"/>
      <c r="T3796" s="23"/>
      <c r="U3796" s="23"/>
      <c r="V3796" s="23"/>
      <c r="W3796" s="23"/>
      <c r="X3796" s="23"/>
      <c r="Y3796" s="23"/>
      <c r="Z3796" s="23"/>
    </row>
    <row r="3797" spans="1:26" ht="13">
      <c r="A3797" s="562" t="s">
        <v>8410</v>
      </c>
      <c r="B3797" s="563" t="s">
        <v>8411</v>
      </c>
      <c r="C3797" s="564" t="s">
        <v>1612</v>
      </c>
      <c r="D3797" s="565">
        <v>41543</v>
      </c>
      <c r="E3797" s="565">
        <v>41558</v>
      </c>
      <c r="F3797" s="566">
        <v>400078000</v>
      </c>
      <c r="G3797" s="564" t="s">
        <v>5465</v>
      </c>
      <c r="H3797" s="564" t="s">
        <v>5465</v>
      </c>
      <c r="I3797" s="564" t="s">
        <v>45</v>
      </c>
      <c r="J3797" s="564" t="s">
        <v>1069</v>
      </c>
      <c r="K3797" s="564" t="s">
        <v>1090</v>
      </c>
      <c r="L3797" s="564" t="s">
        <v>2098</v>
      </c>
      <c r="M3797" s="564" t="s">
        <v>2098</v>
      </c>
      <c r="N3797" s="564" t="s">
        <v>45</v>
      </c>
      <c r="O3797" s="564" t="s">
        <v>2099</v>
      </c>
      <c r="P3797" s="23"/>
      <c r="Q3797" s="23"/>
      <c r="R3797" s="23"/>
      <c r="S3797" s="23"/>
      <c r="T3797" s="23"/>
      <c r="U3797" s="23"/>
      <c r="V3797" s="23"/>
      <c r="W3797" s="23"/>
      <c r="X3797" s="23"/>
      <c r="Y3797" s="23"/>
      <c r="Z3797" s="23"/>
    </row>
    <row r="3798" spans="1:26" ht="13">
      <c r="A3798" s="562" t="s">
        <v>8412</v>
      </c>
      <c r="B3798" s="563" t="s">
        <v>8413</v>
      </c>
      <c r="C3798" s="564" t="s">
        <v>2191</v>
      </c>
      <c r="D3798" s="565">
        <v>41541</v>
      </c>
      <c r="E3798" s="565">
        <v>41516</v>
      </c>
      <c r="F3798" s="566">
        <v>1334120000</v>
      </c>
      <c r="G3798" s="564" t="s">
        <v>6844</v>
      </c>
      <c r="H3798" s="564" t="s">
        <v>6844</v>
      </c>
      <c r="I3798" s="564" t="s">
        <v>8414</v>
      </c>
      <c r="J3798" s="564" t="s">
        <v>1069</v>
      </c>
      <c r="K3798" s="564" t="s">
        <v>2878</v>
      </c>
      <c r="L3798" s="564" t="s">
        <v>2098</v>
      </c>
      <c r="M3798" s="564" t="s">
        <v>2098</v>
      </c>
      <c r="N3798" s="564" t="s">
        <v>1368</v>
      </c>
      <c r="O3798" s="564" t="s">
        <v>2099</v>
      </c>
      <c r="P3798" s="23"/>
      <c r="Q3798" s="23"/>
      <c r="R3798" s="23"/>
      <c r="S3798" s="23"/>
      <c r="T3798" s="23"/>
      <c r="U3798" s="23"/>
      <c r="V3798" s="23"/>
      <c r="W3798" s="23"/>
      <c r="X3798" s="23"/>
      <c r="Y3798" s="23"/>
      <c r="Z3798" s="23"/>
    </row>
    <row r="3799" spans="1:26" ht="13">
      <c r="A3799" s="562" t="s">
        <v>8415</v>
      </c>
      <c r="B3799" s="563" t="s">
        <v>8416</v>
      </c>
      <c r="C3799" s="564" t="s">
        <v>1612</v>
      </c>
      <c r="D3799" s="565">
        <v>41536</v>
      </c>
      <c r="E3799" s="565">
        <v>41540</v>
      </c>
      <c r="F3799" s="566">
        <v>415906</v>
      </c>
      <c r="G3799" s="564" t="s">
        <v>1640</v>
      </c>
      <c r="H3799" s="564" t="s">
        <v>1640</v>
      </c>
      <c r="I3799" s="564" t="s">
        <v>45</v>
      </c>
      <c r="J3799" s="564" t="s">
        <v>1069</v>
      </c>
      <c r="K3799" s="564" t="s">
        <v>1090</v>
      </c>
      <c r="L3799" s="564" t="s">
        <v>2098</v>
      </c>
      <c r="M3799" s="564" t="s">
        <v>2098</v>
      </c>
      <c r="N3799" s="564" t="s">
        <v>45</v>
      </c>
      <c r="O3799" s="564" t="s">
        <v>2099</v>
      </c>
      <c r="P3799" s="23"/>
      <c r="Q3799" s="23"/>
      <c r="R3799" s="23"/>
      <c r="S3799" s="23"/>
      <c r="T3799" s="23"/>
      <c r="U3799" s="23"/>
      <c r="V3799" s="23"/>
      <c r="W3799" s="23"/>
      <c r="X3799" s="23"/>
      <c r="Y3799" s="23"/>
      <c r="Z3799" s="23"/>
    </row>
    <row r="3800" spans="1:26" ht="13">
      <c r="A3800" s="562" t="s">
        <v>8417</v>
      </c>
      <c r="B3800" s="563" t="s">
        <v>8014</v>
      </c>
      <c r="C3800" s="564" t="s">
        <v>1612</v>
      </c>
      <c r="D3800" s="565">
        <v>41534</v>
      </c>
      <c r="E3800" s="565">
        <v>41539</v>
      </c>
      <c r="F3800" s="566">
        <v>12220000</v>
      </c>
      <c r="G3800" s="564" t="s">
        <v>1128</v>
      </c>
      <c r="H3800" s="564" t="s">
        <v>1128</v>
      </c>
      <c r="I3800" s="564" t="s">
        <v>257</v>
      </c>
      <c r="J3800" s="564" t="s">
        <v>1069</v>
      </c>
      <c r="K3800" s="564" t="s">
        <v>1209</v>
      </c>
      <c r="L3800" s="564" t="s">
        <v>2098</v>
      </c>
      <c r="M3800" s="564" t="s">
        <v>2098</v>
      </c>
      <c r="N3800" s="564" t="s">
        <v>257</v>
      </c>
      <c r="O3800" s="564" t="s">
        <v>2099</v>
      </c>
      <c r="P3800" s="23"/>
      <c r="Q3800" s="23"/>
      <c r="R3800" s="23"/>
      <c r="S3800" s="23"/>
      <c r="T3800" s="23"/>
      <c r="U3800" s="23"/>
      <c r="V3800" s="23"/>
      <c r="W3800" s="23"/>
      <c r="X3800" s="23"/>
      <c r="Y3800" s="23"/>
      <c r="Z3800" s="23"/>
    </row>
    <row r="3801" spans="1:26" ht="13">
      <c r="A3801" s="562" t="s">
        <v>8418</v>
      </c>
      <c r="B3801" s="563" t="s">
        <v>8419</v>
      </c>
      <c r="C3801" s="564" t="s">
        <v>1612</v>
      </c>
      <c r="D3801" s="565">
        <v>41530</v>
      </c>
      <c r="E3801" s="565">
        <v>41551</v>
      </c>
      <c r="F3801" s="566">
        <v>2646</v>
      </c>
      <c r="G3801" s="564" t="s">
        <v>337</v>
      </c>
      <c r="H3801" s="564" t="s">
        <v>337</v>
      </c>
      <c r="I3801" s="564" t="s">
        <v>70</v>
      </c>
      <c r="J3801" s="564" t="s">
        <v>1069</v>
      </c>
      <c r="K3801" s="564" t="s">
        <v>1120</v>
      </c>
      <c r="L3801" s="564" t="s">
        <v>2098</v>
      </c>
      <c r="M3801" s="564" t="s">
        <v>2098</v>
      </c>
      <c r="N3801" s="564" t="s">
        <v>70</v>
      </c>
      <c r="O3801" s="564" t="s">
        <v>2099</v>
      </c>
      <c r="P3801" s="23"/>
      <c r="Q3801" s="23"/>
      <c r="R3801" s="23"/>
      <c r="S3801" s="23"/>
      <c r="T3801" s="23"/>
      <c r="U3801" s="23"/>
      <c r="V3801" s="23"/>
      <c r="W3801" s="23"/>
      <c r="X3801" s="23"/>
      <c r="Y3801" s="23"/>
      <c r="Z3801" s="23"/>
    </row>
    <row r="3802" spans="1:26" ht="13">
      <c r="A3802" s="562" t="s">
        <v>8420</v>
      </c>
      <c r="B3802" s="563" t="s">
        <v>8421</v>
      </c>
      <c r="C3802" s="564" t="s">
        <v>1612</v>
      </c>
      <c r="D3802" s="565">
        <v>41522</v>
      </c>
      <c r="E3802" s="565">
        <v>41547</v>
      </c>
      <c r="F3802" s="566">
        <v>6999070</v>
      </c>
      <c r="G3802" s="564" t="s">
        <v>5465</v>
      </c>
      <c r="H3802" s="564" t="s">
        <v>5465</v>
      </c>
      <c r="I3802" s="564" t="s">
        <v>45</v>
      </c>
      <c r="J3802" s="564" t="s">
        <v>1069</v>
      </c>
      <c r="K3802" s="564" t="s">
        <v>1090</v>
      </c>
      <c r="L3802" s="564" t="s">
        <v>2098</v>
      </c>
      <c r="M3802" s="564" t="s">
        <v>2098</v>
      </c>
      <c r="N3802" s="564" t="s">
        <v>45</v>
      </c>
      <c r="O3802" s="564" t="s">
        <v>2099</v>
      </c>
      <c r="P3802" s="23"/>
      <c r="Q3802" s="23"/>
      <c r="R3802" s="23"/>
      <c r="S3802" s="23"/>
      <c r="T3802" s="23"/>
      <c r="U3802" s="23"/>
      <c r="V3802" s="23"/>
      <c r="W3802" s="23"/>
      <c r="X3802" s="23"/>
      <c r="Y3802" s="23"/>
      <c r="Z3802" s="23"/>
    </row>
    <row r="3803" spans="1:26" ht="13">
      <c r="A3803" s="562" t="s">
        <v>8422</v>
      </c>
      <c r="B3803" s="563" t="s">
        <v>8423</v>
      </c>
      <c r="C3803" s="564" t="s">
        <v>1612</v>
      </c>
      <c r="D3803" s="565">
        <v>41521</v>
      </c>
      <c r="E3803" s="565">
        <v>41518</v>
      </c>
      <c r="F3803" s="566">
        <v>61727760</v>
      </c>
      <c r="G3803" s="564" t="s">
        <v>337</v>
      </c>
      <c r="H3803" s="564" t="s">
        <v>337</v>
      </c>
      <c r="I3803" s="564" t="s">
        <v>45</v>
      </c>
      <c r="J3803" s="564" t="s">
        <v>1069</v>
      </c>
      <c r="K3803" s="564" t="s">
        <v>1090</v>
      </c>
      <c r="L3803" s="564" t="s">
        <v>1071</v>
      </c>
      <c r="M3803" s="564" t="s">
        <v>1183</v>
      </c>
      <c r="N3803" s="564" t="s">
        <v>45</v>
      </c>
      <c r="O3803" s="564" t="s">
        <v>2099</v>
      </c>
      <c r="P3803" s="23"/>
      <c r="Q3803" s="23"/>
      <c r="R3803" s="23"/>
      <c r="S3803" s="23"/>
      <c r="T3803" s="23"/>
      <c r="U3803" s="23"/>
      <c r="V3803" s="23"/>
      <c r="W3803" s="23"/>
      <c r="X3803" s="23"/>
      <c r="Y3803" s="23"/>
      <c r="Z3803" s="23"/>
    </row>
    <row r="3804" spans="1:26" ht="13">
      <c r="A3804" s="562" t="s">
        <v>8424</v>
      </c>
      <c r="B3804" s="563" t="s">
        <v>8425</v>
      </c>
      <c r="C3804" s="564" t="s">
        <v>1612</v>
      </c>
      <c r="D3804" s="565">
        <v>41521</v>
      </c>
      <c r="E3804" s="565">
        <v>41551</v>
      </c>
      <c r="F3804" s="566">
        <v>1100</v>
      </c>
      <c r="G3804" s="564" t="s">
        <v>337</v>
      </c>
      <c r="H3804" s="564" t="s">
        <v>337</v>
      </c>
      <c r="I3804" s="564" t="s">
        <v>70</v>
      </c>
      <c r="J3804" s="564" t="s">
        <v>1069</v>
      </c>
      <c r="K3804" s="564" t="s">
        <v>1120</v>
      </c>
      <c r="L3804" s="564" t="s">
        <v>2098</v>
      </c>
      <c r="M3804" s="564" t="s">
        <v>2098</v>
      </c>
      <c r="N3804" s="564" t="s">
        <v>70</v>
      </c>
      <c r="O3804" s="564" t="s">
        <v>2099</v>
      </c>
      <c r="P3804" s="23"/>
      <c r="Q3804" s="23"/>
      <c r="R3804" s="23"/>
      <c r="S3804" s="23"/>
      <c r="T3804" s="23"/>
      <c r="U3804" s="23"/>
      <c r="V3804" s="23"/>
      <c r="W3804" s="23"/>
      <c r="X3804" s="23"/>
      <c r="Y3804" s="23"/>
      <c r="Z3804" s="23"/>
    </row>
    <row r="3805" spans="1:26" ht="13">
      <c r="A3805" s="562" t="s">
        <v>8426</v>
      </c>
      <c r="B3805" s="563" t="s">
        <v>8427</v>
      </c>
      <c r="C3805" s="564" t="s">
        <v>1612</v>
      </c>
      <c r="D3805" s="565">
        <v>41521</v>
      </c>
      <c r="E3805" s="565">
        <v>41547</v>
      </c>
      <c r="F3805" s="566">
        <v>76370000</v>
      </c>
      <c r="G3805" s="564" t="s">
        <v>5465</v>
      </c>
      <c r="H3805" s="564" t="s">
        <v>5465</v>
      </c>
      <c r="I3805" s="564" t="s">
        <v>45</v>
      </c>
      <c r="J3805" s="564" t="s">
        <v>1069</v>
      </c>
      <c r="K3805" s="564" t="s">
        <v>1090</v>
      </c>
      <c r="L3805" s="564" t="s">
        <v>2098</v>
      </c>
      <c r="M3805" s="564" t="s">
        <v>2098</v>
      </c>
      <c r="N3805" s="564" t="s">
        <v>45</v>
      </c>
      <c r="O3805" s="564" t="s">
        <v>2099</v>
      </c>
      <c r="P3805" s="23"/>
      <c r="Q3805" s="23"/>
      <c r="R3805" s="23"/>
      <c r="S3805" s="23"/>
      <c r="T3805" s="23"/>
      <c r="U3805" s="23"/>
      <c r="V3805" s="23"/>
      <c r="W3805" s="23"/>
      <c r="X3805" s="23"/>
      <c r="Y3805" s="23"/>
      <c r="Z3805" s="23"/>
    </row>
    <row r="3806" spans="1:26" ht="13">
      <c r="A3806" s="562" t="s">
        <v>8428</v>
      </c>
      <c r="B3806" s="563" t="s">
        <v>8429</v>
      </c>
      <c r="C3806" s="564" t="s">
        <v>1612</v>
      </c>
      <c r="D3806" s="565">
        <v>41520</v>
      </c>
      <c r="E3806" s="565">
        <v>41522</v>
      </c>
      <c r="F3806" s="566">
        <v>5040</v>
      </c>
      <c r="G3806" s="564" t="s">
        <v>337</v>
      </c>
      <c r="H3806" s="564" t="s">
        <v>337</v>
      </c>
      <c r="I3806" s="564" t="s">
        <v>802</v>
      </c>
      <c r="J3806" s="564" t="s">
        <v>1069</v>
      </c>
      <c r="K3806" s="564" t="s">
        <v>1198</v>
      </c>
      <c r="L3806" s="564" t="s">
        <v>2098</v>
      </c>
      <c r="M3806" s="564" t="s">
        <v>2098</v>
      </c>
      <c r="N3806" s="564" t="s">
        <v>132</v>
      </c>
      <c r="O3806" s="564" t="s">
        <v>2099</v>
      </c>
      <c r="P3806" s="23"/>
      <c r="Q3806" s="23"/>
      <c r="R3806" s="23"/>
      <c r="S3806" s="23"/>
      <c r="T3806" s="23"/>
      <c r="U3806" s="23"/>
      <c r="V3806" s="23"/>
      <c r="W3806" s="23"/>
      <c r="X3806" s="23"/>
      <c r="Y3806" s="23"/>
      <c r="Z3806" s="23"/>
    </row>
    <row r="3807" spans="1:26" ht="13">
      <c r="A3807" s="562" t="s">
        <v>8430</v>
      </c>
      <c r="B3807" s="563" t="s">
        <v>8188</v>
      </c>
      <c r="C3807" s="564" t="s">
        <v>1612</v>
      </c>
      <c r="D3807" s="565">
        <v>41520</v>
      </c>
      <c r="E3807" s="565">
        <v>41530</v>
      </c>
      <c r="F3807" s="566">
        <v>42700</v>
      </c>
      <c r="G3807" s="564" t="s">
        <v>337</v>
      </c>
      <c r="H3807" s="564" t="s">
        <v>337</v>
      </c>
      <c r="I3807" s="564" t="s">
        <v>802</v>
      </c>
      <c r="J3807" s="564" t="s">
        <v>1069</v>
      </c>
      <c r="K3807" s="564" t="s">
        <v>1198</v>
      </c>
      <c r="L3807" s="564" t="s">
        <v>2098</v>
      </c>
      <c r="M3807" s="564" t="s">
        <v>2098</v>
      </c>
      <c r="N3807" s="564" t="s">
        <v>132</v>
      </c>
      <c r="O3807" s="564" t="s">
        <v>2099</v>
      </c>
      <c r="P3807" s="23"/>
      <c r="Q3807" s="23"/>
      <c r="R3807" s="23"/>
      <c r="S3807" s="23"/>
      <c r="T3807" s="23"/>
      <c r="U3807" s="23"/>
      <c r="V3807" s="23"/>
      <c r="W3807" s="23"/>
      <c r="X3807" s="23"/>
      <c r="Y3807" s="23"/>
      <c r="Z3807" s="23"/>
    </row>
    <row r="3808" spans="1:26" ht="13">
      <c r="A3808" s="562" t="s">
        <v>8431</v>
      </c>
      <c r="B3808" s="563" t="s">
        <v>8432</v>
      </c>
      <c r="C3808" s="564" t="s">
        <v>2191</v>
      </c>
      <c r="D3808" s="565">
        <v>41520</v>
      </c>
      <c r="E3808" s="565">
        <v>41528</v>
      </c>
      <c r="F3808" s="566">
        <v>7756000</v>
      </c>
      <c r="G3808" s="564" t="s">
        <v>1529</v>
      </c>
      <c r="H3808" s="564" t="s">
        <v>1529</v>
      </c>
      <c r="I3808" s="564" t="s">
        <v>1771</v>
      </c>
      <c r="J3808" s="564" t="s">
        <v>1069</v>
      </c>
      <c r="K3808" s="564" t="s">
        <v>1070</v>
      </c>
      <c r="L3808" s="564" t="s">
        <v>2098</v>
      </c>
      <c r="M3808" s="564" t="s">
        <v>2098</v>
      </c>
      <c r="N3808" s="564" t="s">
        <v>1082</v>
      </c>
      <c r="O3808" s="564" t="s">
        <v>2099</v>
      </c>
      <c r="P3808" s="23"/>
      <c r="Q3808" s="23"/>
      <c r="R3808" s="23"/>
      <c r="S3808" s="23"/>
      <c r="T3808" s="23"/>
      <c r="U3808" s="23"/>
      <c r="V3808" s="23"/>
      <c r="W3808" s="23"/>
      <c r="X3808" s="23"/>
      <c r="Y3808" s="23"/>
      <c r="Z3808" s="23"/>
    </row>
    <row r="3809" spans="1:26" ht="13">
      <c r="A3809" s="562" t="s">
        <v>8433</v>
      </c>
      <c r="B3809" s="563" t="s">
        <v>8434</v>
      </c>
      <c r="C3809" s="564" t="s">
        <v>1612</v>
      </c>
      <c r="D3809" s="565">
        <v>41513</v>
      </c>
      <c r="E3809" s="565">
        <v>41515</v>
      </c>
      <c r="F3809" s="567">
        <v>420</v>
      </c>
      <c r="G3809" s="564" t="s">
        <v>337</v>
      </c>
      <c r="H3809" s="564" t="s">
        <v>337</v>
      </c>
      <c r="I3809" s="564" t="s">
        <v>121</v>
      </c>
      <c r="J3809" s="564" t="s">
        <v>1069</v>
      </c>
      <c r="K3809" s="564" t="s">
        <v>1105</v>
      </c>
      <c r="L3809" s="564" t="s">
        <v>2098</v>
      </c>
      <c r="M3809" s="564" t="s">
        <v>2098</v>
      </c>
      <c r="N3809" s="564" t="s">
        <v>1073</v>
      </c>
      <c r="O3809" s="564" t="s">
        <v>2099</v>
      </c>
      <c r="P3809" s="23"/>
      <c r="Q3809" s="23"/>
      <c r="R3809" s="23"/>
      <c r="S3809" s="23"/>
      <c r="T3809" s="23"/>
      <c r="U3809" s="23"/>
      <c r="V3809" s="23"/>
      <c r="W3809" s="23"/>
      <c r="X3809" s="23"/>
      <c r="Y3809" s="23"/>
      <c r="Z3809" s="23"/>
    </row>
    <row r="3810" spans="1:26" ht="13">
      <c r="A3810" s="562" t="s">
        <v>8435</v>
      </c>
      <c r="B3810" s="563" t="s">
        <v>7884</v>
      </c>
      <c r="C3810" s="564" t="s">
        <v>1612</v>
      </c>
      <c r="D3810" s="565">
        <v>41513</v>
      </c>
      <c r="E3810" s="565">
        <v>41516</v>
      </c>
      <c r="F3810" s="566">
        <v>36150</v>
      </c>
      <c r="G3810" s="564" t="s">
        <v>337</v>
      </c>
      <c r="H3810" s="564" t="s">
        <v>337</v>
      </c>
      <c r="I3810" s="564" t="s">
        <v>1837</v>
      </c>
      <c r="J3810" s="564" t="s">
        <v>1069</v>
      </c>
      <c r="K3810" s="564" t="s">
        <v>1090</v>
      </c>
      <c r="L3810" s="564" t="s">
        <v>2098</v>
      </c>
      <c r="M3810" s="564" t="s">
        <v>2098</v>
      </c>
      <c r="N3810" s="564" t="s">
        <v>1082</v>
      </c>
      <c r="O3810" s="564" t="s">
        <v>2099</v>
      </c>
      <c r="P3810" s="23"/>
      <c r="Q3810" s="23"/>
      <c r="R3810" s="23"/>
      <c r="S3810" s="23"/>
      <c r="T3810" s="23"/>
      <c r="U3810" s="23"/>
      <c r="V3810" s="23"/>
      <c r="W3810" s="23"/>
      <c r="X3810" s="23"/>
      <c r="Y3810" s="23"/>
      <c r="Z3810" s="23"/>
    </row>
    <row r="3811" spans="1:26" ht="13">
      <c r="A3811" s="562" t="s">
        <v>8436</v>
      </c>
      <c r="B3811" s="563" t="s">
        <v>8307</v>
      </c>
      <c r="C3811" s="564" t="s">
        <v>1612</v>
      </c>
      <c r="D3811" s="565">
        <v>41515</v>
      </c>
      <c r="E3811" s="565">
        <v>41516</v>
      </c>
      <c r="F3811" s="567">
        <v>773</v>
      </c>
      <c r="G3811" s="564" t="s">
        <v>337</v>
      </c>
      <c r="H3811" s="564" t="s">
        <v>337</v>
      </c>
      <c r="I3811" s="564" t="s">
        <v>70</v>
      </c>
      <c r="J3811" s="564" t="s">
        <v>1069</v>
      </c>
      <c r="K3811" s="564" t="s">
        <v>1120</v>
      </c>
      <c r="L3811" s="564" t="s">
        <v>2098</v>
      </c>
      <c r="M3811" s="564" t="s">
        <v>2098</v>
      </c>
      <c r="N3811" s="564" t="s">
        <v>70</v>
      </c>
      <c r="O3811" s="564" t="s">
        <v>2099</v>
      </c>
      <c r="P3811" s="23"/>
      <c r="Q3811" s="23"/>
      <c r="R3811" s="23"/>
      <c r="S3811" s="23"/>
      <c r="T3811" s="23"/>
      <c r="U3811" s="23"/>
      <c r="V3811" s="23"/>
      <c r="W3811" s="23"/>
      <c r="X3811" s="23"/>
      <c r="Y3811" s="23"/>
      <c r="Z3811" s="23"/>
    </row>
    <row r="3812" spans="1:26" ht="13">
      <c r="A3812" s="562" t="s">
        <v>8437</v>
      </c>
      <c r="B3812" s="563" t="s">
        <v>8438</v>
      </c>
      <c r="C3812" s="564" t="s">
        <v>1612</v>
      </c>
      <c r="D3812" s="565">
        <v>41513</v>
      </c>
      <c r="E3812" s="565">
        <v>41516</v>
      </c>
      <c r="F3812" s="566">
        <v>1933050</v>
      </c>
      <c r="G3812" s="564" t="s">
        <v>337</v>
      </c>
      <c r="H3812" s="564" t="s">
        <v>337</v>
      </c>
      <c r="I3812" s="564" t="s">
        <v>125</v>
      </c>
      <c r="J3812" s="564" t="s">
        <v>1069</v>
      </c>
      <c r="K3812" s="564" t="s">
        <v>1070</v>
      </c>
      <c r="L3812" s="564" t="s">
        <v>2098</v>
      </c>
      <c r="M3812" s="564" t="s">
        <v>2098</v>
      </c>
      <c r="N3812" s="564" t="s">
        <v>1073</v>
      </c>
      <c r="O3812" s="564" t="s">
        <v>2099</v>
      </c>
      <c r="P3812" s="23"/>
      <c r="Q3812" s="23"/>
      <c r="R3812" s="23"/>
      <c r="S3812" s="23"/>
      <c r="T3812" s="23"/>
      <c r="U3812" s="23"/>
      <c r="V3812" s="23"/>
      <c r="W3812" s="23"/>
      <c r="X3812" s="23"/>
      <c r="Y3812" s="23"/>
      <c r="Z3812" s="23"/>
    </row>
    <row r="3813" spans="1:26" ht="13">
      <c r="A3813" s="562" t="s">
        <v>8439</v>
      </c>
      <c r="B3813" s="563" t="s">
        <v>8245</v>
      </c>
      <c r="C3813" s="564" t="s">
        <v>1612</v>
      </c>
      <c r="D3813" s="565">
        <v>41512</v>
      </c>
      <c r="E3813" s="565">
        <v>41512</v>
      </c>
      <c r="F3813" s="566">
        <v>2100</v>
      </c>
      <c r="G3813" s="564" t="s">
        <v>337</v>
      </c>
      <c r="H3813" s="564" t="s">
        <v>337</v>
      </c>
      <c r="I3813" s="564" t="s">
        <v>70</v>
      </c>
      <c r="J3813" s="564" t="s">
        <v>1069</v>
      </c>
      <c r="K3813" s="564" t="s">
        <v>1120</v>
      </c>
      <c r="L3813" s="564" t="s">
        <v>2098</v>
      </c>
      <c r="M3813" s="564" t="s">
        <v>2098</v>
      </c>
      <c r="N3813" s="564" t="s">
        <v>70</v>
      </c>
      <c r="O3813" s="564" t="s">
        <v>2099</v>
      </c>
      <c r="P3813" s="23"/>
      <c r="Q3813" s="23"/>
      <c r="R3813" s="23"/>
      <c r="S3813" s="23"/>
      <c r="T3813" s="23"/>
      <c r="U3813" s="23"/>
      <c r="V3813" s="23"/>
      <c r="W3813" s="23"/>
      <c r="X3813" s="23"/>
      <c r="Y3813" s="23"/>
      <c r="Z3813" s="23"/>
    </row>
    <row r="3814" spans="1:26" ht="13">
      <c r="A3814" s="562" t="s">
        <v>8440</v>
      </c>
      <c r="B3814" s="563" t="s">
        <v>8441</v>
      </c>
      <c r="C3814" s="564" t="s">
        <v>1612</v>
      </c>
      <c r="D3814" s="565">
        <v>41509</v>
      </c>
      <c r="E3814" s="565">
        <v>41523</v>
      </c>
      <c r="F3814" s="566">
        <v>129960000</v>
      </c>
      <c r="G3814" s="564" t="s">
        <v>5465</v>
      </c>
      <c r="H3814" s="564" t="s">
        <v>5465</v>
      </c>
      <c r="I3814" s="564" t="s">
        <v>45</v>
      </c>
      <c r="J3814" s="564" t="s">
        <v>1069</v>
      </c>
      <c r="K3814" s="564" t="s">
        <v>1090</v>
      </c>
      <c r="L3814" s="564" t="s">
        <v>2098</v>
      </c>
      <c r="M3814" s="564" t="s">
        <v>2098</v>
      </c>
      <c r="N3814" s="564" t="s">
        <v>45</v>
      </c>
      <c r="O3814" s="564" t="s">
        <v>2099</v>
      </c>
      <c r="P3814" s="23"/>
      <c r="Q3814" s="23"/>
      <c r="R3814" s="23"/>
      <c r="S3814" s="23"/>
      <c r="T3814" s="23"/>
      <c r="U3814" s="23"/>
      <c r="V3814" s="23"/>
      <c r="W3814" s="23"/>
      <c r="X3814" s="23"/>
      <c r="Y3814" s="23"/>
      <c r="Z3814" s="23"/>
    </row>
    <row r="3815" spans="1:26" ht="13">
      <c r="A3815" s="562" t="s">
        <v>8442</v>
      </c>
      <c r="B3815" s="563" t="s">
        <v>8443</v>
      </c>
      <c r="C3815" s="564" t="s">
        <v>1612</v>
      </c>
      <c r="D3815" s="565">
        <v>41506</v>
      </c>
      <c r="E3815" s="565">
        <v>41529</v>
      </c>
      <c r="F3815" s="566">
        <v>132431</v>
      </c>
      <c r="G3815" s="564" t="s">
        <v>297</v>
      </c>
      <c r="H3815" s="564" t="s">
        <v>297</v>
      </c>
      <c r="I3815" s="564" t="s">
        <v>45</v>
      </c>
      <c r="J3815" s="564" t="s">
        <v>1069</v>
      </c>
      <c r="K3815" s="564" t="s">
        <v>1090</v>
      </c>
      <c r="L3815" s="564" t="s">
        <v>2098</v>
      </c>
      <c r="M3815" s="564" t="s">
        <v>2098</v>
      </c>
      <c r="N3815" s="564" t="s">
        <v>45</v>
      </c>
      <c r="O3815" s="564" t="s">
        <v>2099</v>
      </c>
      <c r="P3815" s="23"/>
      <c r="Q3815" s="23"/>
      <c r="R3815" s="23"/>
      <c r="S3815" s="23"/>
      <c r="T3815" s="23"/>
      <c r="U3815" s="23"/>
      <c r="V3815" s="23"/>
      <c r="W3815" s="23"/>
      <c r="X3815" s="23"/>
      <c r="Y3815" s="23"/>
      <c r="Z3815" s="23"/>
    </row>
    <row r="3816" spans="1:26" ht="13">
      <c r="A3816" s="562" t="s">
        <v>8444</v>
      </c>
      <c r="B3816" s="563" t="s">
        <v>8445</v>
      </c>
      <c r="C3816" s="564" t="s">
        <v>1612</v>
      </c>
      <c r="D3816" s="565">
        <v>41505</v>
      </c>
      <c r="E3816" s="565">
        <v>41516</v>
      </c>
      <c r="F3816" s="566">
        <v>6479500</v>
      </c>
      <c r="G3816" s="564" t="s">
        <v>7944</v>
      </c>
      <c r="H3816" s="564" t="s">
        <v>7944</v>
      </c>
      <c r="I3816" s="564" t="s">
        <v>1746</v>
      </c>
      <c r="J3816" s="564" t="s">
        <v>1069</v>
      </c>
      <c r="K3816" s="564" t="s">
        <v>1198</v>
      </c>
      <c r="L3816" s="564" t="s">
        <v>2098</v>
      </c>
      <c r="M3816" s="564" t="s">
        <v>2098</v>
      </c>
      <c r="N3816" s="564" t="s">
        <v>1073</v>
      </c>
      <c r="O3816" s="564" t="s">
        <v>2099</v>
      </c>
      <c r="P3816" s="23"/>
      <c r="Q3816" s="23"/>
      <c r="R3816" s="23"/>
      <c r="S3816" s="23"/>
      <c r="T3816" s="23"/>
      <c r="U3816" s="23"/>
      <c r="V3816" s="23"/>
      <c r="W3816" s="23"/>
      <c r="X3816" s="23"/>
      <c r="Y3816" s="23"/>
      <c r="Z3816" s="23"/>
    </row>
    <row r="3817" spans="1:26" ht="13">
      <c r="A3817" s="562" t="s">
        <v>8446</v>
      </c>
      <c r="B3817" s="563" t="s">
        <v>8447</v>
      </c>
      <c r="C3817" s="564" t="s">
        <v>1612</v>
      </c>
      <c r="D3817" s="565">
        <v>41505</v>
      </c>
      <c r="E3817" s="565">
        <v>41509</v>
      </c>
      <c r="F3817" s="566">
        <v>3305650</v>
      </c>
      <c r="G3817" s="564" t="s">
        <v>337</v>
      </c>
      <c r="H3817" s="564" t="s">
        <v>337</v>
      </c>
      <c r="I3817" s="564" t="s">
        <v>64</v>
      </c>
      <c r="J3817" s="564" t="s">
        <v>1069</v>
      </c>
      <c r="K3817" s="564" t="s">
        <v>1090</v>
      </c>
      <c r="L3817" s="564" t="s">
        <v>2098</v>
      </c>
      <c r="M3817" s="564" t="s">
        <v>2098</v>
      </c>
      <c r="N3817" s="564" t="s">
        <v>64</v>
      </c>
      <c r="O3817" s="564" t="s">
        <v>2099</v>
      </c>
      <c r="P3817" s="23"/>
      <c r="Q3817" s="23"/>
      <c r="R3817" s="23"/>
      <c r="S3817" s="23"/>
      <c r="T3817" s="23"/>
      <c r="U3817" s="23"/>
      <c r="V3817" s="23"/>
      <c r="W3817" s="23"/>
      <c r="X3817" s="23"/>
      <c r="Y3817" s="23"/>
      <c r="Z3817" s="23"/>
    </row>
    <row r="3818" spans="1:26" ht="13">
      <c r="A3818" s="562" t="s">
        <v>8448</v>
      </c>
      <c r="B3818" s="563" t="s">
        <v>7884</v>
      </c>
      <c r="C3818" s="564" t="s">
        <v>1612</v>
      </c>
      <c r="D3818" s="565">
        <v>41505</v>
      </c>
      <c r="E3818" s="565">
        <v>41506</v>
      </c>
      <c r="F3818" s="566">
        <v>7450</v>
      </c>
      <c r="G3818" s="564" t="s">
        <v>337</v>
      </c>
      <c r="H3818" s="564" t="s">
        <v>337</v>
      </c>
      <c r="I3818" s="564" t="s">
        <v>1837</v>
      </c>
      <c r="J3818" s="564" t="s">
        <v>1069</v>
      </c>
      <c r="K3818" s="564" t="s">
        <v>1090</v>
      </c>
      <c r="L3818" s="564" t="s">
        <v>2098</v>
      </c>
      <c r="M3818" s="564" t="s">
        <v>2098</v>
      </c>
      <c r="N3818" s="564" t="s">
        <v>1082</v>
      </c>
      <c r="O3818" s="564" t="s">
        <v>2099</v>
      </c>
      <c r="P3818" s="23"/>
      <c r="Q3818" s="23"/>
      <c r="R3818" s="23"/>
      <c r="S3818" s="23"/>
      <c r="T3818" s="23"/>
      <c r="U3818" s="23"/>
      <c r="V3818" s="23"/>
      <c r="W3818" s="23"/>
      <c r="X3818" s="23"/>
      <c r="Y3818" s="23"/>
      <c r="Z3818" s="23"/>
    </row>
    <row r="3819" spans="1:26" ht="13">
      <c r="A3819" s="562" t="s">
        <v>8449</v>
      </c>
      <c r="B3819" s="563" t="s">
        <v>8450</v>
      </c>
      <c r="C3819" s="564" t="s">
        <v>1612</v>
      </c>
      <c r="D3819" s="565">
        <v>41507</v>
      </c>
      <c r="E3819" s="565">
        <v>41516</v>
      </c>
      <c r="F3819" s="566">
        <v>1073</v>
      </c>
      <c r="G3819" s="564" t="s">
        <v>297</v>
      </c>
      <c r="H3819" s="564" t="s">
        <v>297</v>
      </c>
      <c r="I3819" s="564" t="s">
        <v>1837</v>
      </c>
      <c r="J3819" s="564" t="s">
        <v>1069</v>
      </c>
      <c r="K3819" s="564" t="s">
        <v>1070</v>
      </c>
      <c r="L3819" s="564" t="s">
        <v>2098</v>
      </c>
      <c r="M3819" s="564" t="s">
        <v>2098</v>
      </c>
      <c r="N3819" s="564" t="s">
        <v>1082</v>
      </c>
      <c r="O3819" s="564" t="s">
        <v>2099</v>
      </c>
      <c r="P3819" s="23"/>
      <c r="Q3819" s="23"/>
      <c r="R3819" s="23"/>
      <c r="S3819" s="23"/>
      <c r="T3819" s="23"/>
      <c r="U3819" s="23"/>
      <c r="V3819" s="23"/>
      <c r="W3819" s="23"/>
      <c r="X3819" s="23"/>
      <c r="Y3819" s="23"/>
      <c r="Z3819" s="23"/>
    </row>
    <row r="3820" spans="1:26" ht="13">
      <c r="A3820" s="562" t="s">
        <v>8451</v>
      </c>
      <c r="B3820" s="563" t="s">
        <v>8452</v>
      </c>
      <c r="C3820" s="564" t="s">
        <v>1612</v>
      </c>
      <c r="D3820" s="565">
        <v>41492</v>
      </c>
      <c r="E3820" s="565">
        <v>41466</v>
      </c>
      <c r="F3820" s="566">
        <v>2520</v>
      </c>
      <c r="G3820" s="564" t="s">
        <v>337</v>
      </c>
      <c r="H3820" s="564" t="s">
        <v>337</v>
      </c>
      <c r="I3820" s="564" t="s">
        <v>802</v>
      </c>
      <c r="J3820" s="564" t="s">
        <v>1069</v>
      </c>
      <c r="K3820" s="564" t="s">
        <v>1198</v>
      </c>
      <c r="L3820" s="564" t="s">
        <v>2098</v>
      </c>
      <c r="M3820" s="564" t="s">
        <v>2098</v>
      </c>
      <c r="N3820" s="564" t="s">
        <v>132</v>
      </c>
      <c r="O3820" s="564" t="s">
        <v>2099</v>
      </c>
      <c r="P3820" s="23"/>
      <c r="Q3820" s="23"/>
      <c r="R3820" s="23"/>
      <c r="S3820" s="23"/>
      <c r="T3820" s="23"/>
      <c r="U3820" s="23"/>
      <c r="V3820" s="23"/>
      <c r="W3820" s="23"/>
      <c r="X3820" s="23"/>
      <c r="Y3820" s="23"/>
      <c r="Z3820" s="23"/>
    </row>
    <row r="3821" spans="1:26" ht="13">
      <c r="A3821" s="562" t="s">
        <v>8453</v>
      </c>
      <c r="B3821" s="563" t="s">
        <v>8454</v>
      </c>
      <c r="C3821" s="564" t="s">
        <v>1612</v>
      </c>
      <c r="D3821" s="565">
        <v>41494</v>
      </c>
      <c r="E3821" s="565">
        <v>41487</v>
      </c>
      <c r="F3821" s="566">
        <v>11771280</v>
      </c>
      <c r="G3821" s="564" t="s">
        <v>337</v>
      </c>
      <c r="H3821" s="564" t="s">
        <v>337</v>
      </c>
      <c r="I3821" s="564" t="s">
        <v>45</v>
      </c>
      <c r="J3821" s="564" t="s">
        <v>1069</v>
      </c>
      <c r="K3821" s="564" t="s">
        <v>1090</v>
      </c>
      <c r="L3821" s="564" t="s">
        <v>1071</v>
      </c>
      <c r="M3821" s="564" t="s">
        <v>1183</v>
      </c>
      <c r="N3821" s="564" t="s">
        <v>45</v>
      </c>
      <c r="O3821" s="564" t="s">
        <v>2099</v>
      </c>
      <c r="P3821" s="23"/>
      <c r="Q3821" s="23"/>
      <c r="R3821" s="23"/>
      <c r="S3821" s="23"/>
      <c r="T3821" s="23"/>
      <c r="U3821" s="23"/>
      <c r="V3821" s="23"/>
      <c r="W3821" s="23"/>
      <c r="X3821" s="23"/>
      <c r="Y3821" s="23"/>
      <c r="Z3821" s="23"/>
    </row>
    <row r="3822" spans="1:26" ht="13">
      <c r="A3822" s="562" t="s">
        <v>8455</v>
      </c>
      <c r="B3822" s="563" t="s">
        <v>8456</v>
      </c>
      <c r="C3822" s="564" t="s">
        <v>1612</v>
      </c>
      <c r="D3822" s="565">
        <v>41500</v>
      </c>
      <c r="E3822" s="565">
        <v>41509</v>
      </c>
      <c r="F3822" s="566">
        <v>6480000</v>
      </c>
      <c r="G3822" s="564" t="s">
        <v>1157</v>
      </c>
      <c r="H3822" s="564" t="s">
        <v>1157</v>
      </c>
      <c r="I3822" s="564" t="s">
        <v>225</v>
      </c>
      <c r="J3822" s="564" t="s">
        <v>1069</v>
      </c>
      <c r="K3822" s="564" t="s">
        <v>1105</v>
      </c>
      <c r="L3822" s="564" t="s">
        <v>2098</v>
      </c>
      <c r="M3822" s="564" t="s">
        <v>2098</v>
      </c>
      <c r="N3822" s="564" t="s">
        <v>225</v>
      </c>
      <c r="O3822" s="564" t="s">
        <v>2099</v>
      </c>
      <c r="P3822" s="23"/>
      <c r="Q3822" s="23"/>
      <c r="R3822" s="23"/>
      <c r="S3822" s="23"/>
      <c r="T3822" s="23"/>
      <c r="U3822" s="23"/>
      <c r="V3822" s="23"/>
      <c r="W3822" s="23"/>
      <c r="X3822" s="23"/>
      <c r="Y3822" s="23"/>
      <c r="Z3822" s="23"/>
    </row>
    <row r="3823" spans="1:26" ht="13">
      <c r="A3823" s="562" t="s">
        <v>8457</v>
      </c>
      <c r="B3823" s="563" t="s">
        <v>8458</v>
      </c>
      <c r="C3823" s="564" t="s">
        <v>1612</v>
      </c>
      <c r="D3823" s="565">
        <v>41493</v>
      </c>
      <c r="E3823" s="565">
        <v>41498</v>
      </c>
      <c r="F3823" s="566">
        <v>1200</v>
      </c>
      <c r="G3823" s="564" t="s">
        <v>337</v>
      </c>
      <c r="H3823" s="564" t="s">
        <v>337</v>
      </c>
      <c r="I3823" s="564" t="s">
        <v>64</v>
      </c>
      <c r="J3823" s="564" t="s">
        <v>1069</v>
      </c>
      <c r="K3823" s="564" t="s">
        <v>1090</v>
      </c>
      <c r="L3823" s="564" t="s">
        <v>2098</v>
      </c>
      <c r="M3823" s="564" t="s">
        <v>2098</v>
      </c>
      <c r="N3823" s="564" t="s">
        <v>64</v>
      </c>
      <c r="O3823" s="564" t="s">
        <v>2099</v>
      </c>
      <c r="P3823" s="23"/>
      <c r="Q3823" s="23"/>
      <c r="R3823" s="23"/>
      <c r="S3823" s="23"/>
      <c r="T3823" s="23"/>
      <c r="U3823" s="23"/>
      <c r="V3823" s="23"/>
      <c r="W3823" s="23"/>
      <c r="X3823" s="23"/>
      <c r="Y3823" s="23"/>
      <c r="Z3823" s="23"/>
    </row>
    <row r="3824" spans="1:26" ht="13">
      <c r="A3824" s="562" t="s">
        <v>8459</v>
      </c>
      <c r="B3824" s="563" t="s">
        <v>8452</v>
      </c>
      <c r="C3824" s="564" t="s">
        <v>1612</v>
      </c>
      <c r="D3824" s="565">
        <v>41492</v>
      </c>
      <c r="E3824" s="565">
        <v>41466</v>
      </c>
      <c r="F3824" s="566">
        <v>2520</v>
      </c>
      <c r="G3824" s="564" t="s">
        <v>337</v>
      </c>
      <c r="H3824" s="564" t="s">
        <v>337</v>
      </c>
      <c r="I3824" s="564" t="s">
        <v>802</v>
      </c>
      <c r="J3824" s="564" t="s">
        <v>1069</v>
      </c>
      <c r="K3824" s="564" t="s">
        <v>1198</v>
      </c>
      <c r="L3824" s="564" t="s">
        <v>2098</v>
      </c>
      <c r="M3824" s="564" t="s">
        <v>2098</v>
      </c>
      <c r="N3824" s="564" t="s">
        <v>132</v>
      </c>
      <c r="O3824" s="564" t="s">
        <v>2099</v>
      </c>
      <c r="P3824" s="23"/>
      <c r="Q3824" s="23"/>
      <c r="R3824" s="23"/>
      <c r="S3824" s="23"/>
      <c r="T3824" s="23"/>
      <c r="U3824" s="23"/>
      <c r="V3824" s="23"/>
      <c r="W3824" s="23"/>
      <c r="X3824" s="23"/>
      <c r="Y3824" s="23"/>
      <c r="Z3824" s="23"/>
    </row>
    <row r="3825" spans="1:26" ht="13">
      <c r="A3825" s="562" t="s">
        <v>8460</v>
      </c>
      <c r="B3825" s="563" t="s">
        <v>8307</v>
      </c>
      <c r="C3825" s="564" t="s">
        <v>1612</v>
      </c>
      <c r="D3825" s="565">
        <v>41488</v>
      </c>
      <c r="E3825" s="565">
        <v>41486</v>
      </c>
      <c r="F3825" s="567">
        <v>773</v>
      </c>
      <c r="G3825" s="564" t="s">
        <v>337</v>
      </c>
      <c r="H3825" s="564" t="s">
        <v>337</v>
      </c>
      <c r="I3825" s="564" t="s">
        <v>70</v>
      </c>
      <c r="J3825" s="564" t="s">
        <v>1069</v>
      </c>
      <c r="K3825" s="564" t="s">
        <v>1120</v>
      </c>
      <c r="L3825" s="564" t="s">
        <v>2098</v>
      </c>
      <c r="M3825" s="564" t="s">
        <v>2098</v>
      </c>
      <c r="N3825" s="564" t="s">
        <v>70</v>
      </c>
      <c r="O3825" s="564" t="s">
        <v>2099</v>
      </c>
      <c r="P3825" s="23"/>
      <c r="Q3825" s="23"/>
      <c r="R3825" s="23"/>
      <c r="S3825" s="23"/>
      <c r="T3825" s="23"/>
      <c r="U3825" s="23"/>
      <c r="V3825" s="23"/>
      <c r="W3825" s="23"/>
      <c r="X3825" s="23"/>
      <c r="Y3825" s="23"/>
      <c r="Z3825" s="23"/>
    </row>
    <row r="3826" spans="1:26" ht="13">
      <c r="A3826" s="562" t="s">
        <v>8461</v>
      </c>
      <c r="B3826" s="563" t="s">
        <v>8462</v>
      </c>
      <c r="C3826" s="564" t="s">
        <v>1612</v>
      </c>
      <c r="D3826" s="565">
        <v>41492</v>
      </c>
      <c r="E3826" s="565">
        <v>41495</v>
      </c>
      <c r="F3826" s="566">
        <v>8000</v>
      </c>
      <c r="G3826" s="564" t="s">
        <v>337</v>
      </c>
      <c r="H3826" s="564" t="s">
        <v>337</v>
      </c>
      <c r="I3826" s="564" t="s">
        <v>70</v>
      </c>
      <c r="J3826" s="564" t="s">
        <v>1069</v>
      </c>
      <c r="K3826" s="564" t="s">
        <v>1120</v>
      </c>
      <c r="L3826" s="564" t="s">
        <v>2098</v>
      </c>
      <c r="M3826" s="564" t="s">
        <v>2098</v>
      </c>
      <c r="N3826" s="564" t="s">
        <v>70</v>
      </c>
      <c r="O3826" s="564" t="s">
        <v>2099</v>
      </c>
      <c r="P3826" s="23"/>
      <c r="Q3826" s="23"/>
      <c r="R3826" s="23"/>
      <c r="S3826" s="23"/>
      <c r="T3826" s="23"/>
      <c r="U3826" s="23"/>
      <c r="V3826" s="23"/>
      <c r="W3826" s="23"/>
      <c r="X3826" s="23"/>
      <c r="Y3826" s="23"/>
      <c r="Z3826" s="23"/>
    </row>
    <row r="3827" spans="1:26" ht="13">
      <c r="A3827" s="562" t="s">
        <v>8463</v>
      </c>
      <c r="B3827" s="563" t="s">
        <v>8464</v>
      </c>
      <c r="C3827" s="564" t="s">
        <v>1612</v>
      </c>
      <c r="D3827" s="565">
        <v>41488</v>
      </c>
      <c r="E3827" s="565">
        <v>41491</v>
      </c>
      <c r="F3827" s="566">
        <v>64228</v>
      </c>
      <c r="G3827" s="564" t="s">
        <v>337</v>
      </c>
      <c r="H3827" s="564" t="s">
        <v>337</v>
      </c>
      <c r="I3827" s="564" t="s">
        <v>1837</v>
      </c>
      <c r="J3827" s="564" t="s">
        <v>1069</v>
      </c>
      <c r="K3827" s="564" t="s">
        <v>1090</v>
      </c>
      <c r="L3827" s="564" t="s">
        <v>2098</v>
      </c>
      <c r="M3827" s="564" t="s">
        <v>2098</v>
      </c>
      <c r="N3827" s="564" t="s">
        <v>1082</v>
      </c>
      <c r="O3827" s="564" t="s">
        <v>2099</v>
      </c>
      <c r="P3827" s="23"/>
      <c r="Q3827" s="23"/>
      <c r="R3827" s="23"/>
      <c r="S3827" s="23"/>
      <c r="T3827" s="23"/>
      <c r="U3827" s="23"/>
      <c r="V3827" s="23"/>
      <c r="W3827" s="23"/>
      <c r="X3827" s="23"/>
      <c r="Y3827" s="23"/>
      <c r="Z3827" s="23"/>
    </row>
    <row r="3828" spans="1:26" ht="13">
      <c r="A3828" s="562" t="s">
        <v>8465</v>
      </c>
      <c r="B3828" s="563" t="s">
        <v>8466</v>
      </c>
      <c r="C3828" s="564" t="s">
        <v>1612</v>
      </c>
      <c r="D3828" s="565">
        <v>41486</v>
      </c>
      <c r="E3828" s="565">
        <v>41486</v>
      </c>
      <c r="F3828" s="567">
        <v>600</v>
      </c>
      <c r="G3828" s="564" t="s">
        <v>337</v>
      </c>
      <c r="H3828" s="564" t="s">
        <v>337</v>
      </c>
      <c r="I3828" s="564" t="s">
        <v>2586</v>
      </c>
      <c r="J3828" s="564" t="s">
        <v>1069</v>
      </c>
      <c r="K3828" s="564" t="s">
        <v>1070</v>
      </c>
      <c r="L3828" s="564" t="s">
        <v>2098</v>
      </c>
      <c r="M3828" s="564" t="s">
        <v>2098</v>
      </c>
      <c r="N3828" s="564" t="s">
        <v>1073</v>
      </c>
      <c r="O3828" s="564" t="s">
        <v>2099</v>
      </c>
      <c r="P3828" s="23"/>
      <c r="Q3828" s="23"/>
      <c r="R3828" s="23"/>
      <c r="S3828" s="23"/>
      <c r="T3828" s="23"/>
      <c r="U3828" s="23"/>
      <c r="V3828" s="23"/>
      <c r="W3828" s="23"/>
      <c r="X3828" s="23"/>
      <c r="Y3828" s="23"/>
      <c r="Z3828" s="23"/>
    </row>
    <row r="3829" spans="1:26" ht="13">
      <c r="A3829" s="562" t="s">
        <v>8467</v>
      </c>
      <c r="B3829" s="563" t="s">
        <v>8468</v>
      </c>
      <c r="C3829" s="564" t="s">
        <v>1612</v>
      </c>
      <c r="D3829" s="565">
        <v>41486</v>
      </c>
      <c r="E3829" s="565">
        <v>41486</v>
      </c>
      <c r="F3829" s="567">
        <v>600</v>
      </c>
      <c r="G3829" s="564" t="s">
        <v>337</v>
      </c>
      <c r="H3829" s="564" t="s">
        <v>337</v>
      </c>
      <c r="I3829" s="564" t="s">
        <v>3824</v>
      </c>
      <c r="J3829" s="564" t="s">
        <v>1069</v>
      </c>
      <c r="K3829" s="564" t="s">
        <v>1070</v>
      </c>
      <c r="L3829" s="564" t="s">
        <v>2098</v>
      </c>
      <c r="M3829" s="564" t="s">
        <v>2098</v>
      </c>
      <c r="N3829" s="564" t="s">
        <v>1073</v>
      </c>
      <c r="O3829" s="564" t="s">
        <v>2099</v>
      </c>
      <c r="P3829" s="23"/>
      <c r="Q3829" s="23"/>
      <c r="R3829" s="23"/>
      <c r="S3829" s="23"/>
      <c r="T3829" s="23"/>
      <c r="U3829" s="23"/>
      <c r="V3829" s="23"/>
      <c r="W3829" s="23"/>
      <c r="X3829" s="23"/>
      <c r="Y3829" s="23"/>
      <c r="Z3829" s="23"/>
    </row>
    <row r="3830" spans="1:26" ht="13">
      <c r="A3830" s="562" t="s">
        <v>8469</v>
      </c>
      <c r="B3830" s="563" t="s">
        <v>8470</v>
      </c>
      <c r="C3830" s="564" t="s">
        <v>1612</v>
      </c>
      <c r="D3830" s="565">
        <v>41479</v>
      </c>
      <c r="E3830" s="565">
        <v>41486</v>
      </c>
      <c r="F3830" s="566">
        <v>100341</v>
      </c>
      <c r="G3830" s="564" t="s">
        <v>297</v>
      </c>
      <c r="H3830" s="564" t="s">
        <v>297</v>
      </c>
      <c r="I3830" s="564" t="s">
        <v>45</v>
      </c>
      <c r="J3830" s="564" t="s">
        <v>1069</v>
      </c>
      <c r="K3830" s="564" t="s">
        <v>1090</v>
      </c>
      <c r="L3830" s="564" t="s">
        <v>2098</v>
      </c>
      <c r="M3830" s="564" t="s">
        <v>2098</v>
      </c>
      <c r="N3830" s="564" t="s">
        <v>45</v>
      </c>
      <c r="O3830" s="564" t="s">
        <v>2099</v>
      </c>
      <c r="P3830" s="23"/>
      <c r="Q3830" s="23"/>
      <c r="R3830" s="23"/>
      <c r="S3830" s="23"/>
      <c r="T3830" s="23"/>
      <c r="U3830" s="23"/>
      <c r="V3830" s="23"/>
      <c r="W3830" s="23"/>
      <c r="X3830" s="23"/>
      <c r="Y3830" s="23"/>
      <c r="Z3830" s="23"/>
    </row>
    <row r="3831" spans="1:26" ht="13">
      <c r="A3831" s="562" t="s">
        <v>8471</v>
      </c>
      <c r="B3831" s="563" t="s">
        <v>8307</v>
      </c>
      <c r="C3831" s="564" t="s">
        <v>1612</v>
      </c>
      <c r="D3831" s="565">
        <v>41472</v>
      </c>
      <c r="E3831" s="565">
        <v>41473</v>
      </c>
      <c r="F3831" s="567">
        <v>773</v>
      </c>
      <c r="G3831" s="564" t="s">
        <v>337</v>
      </c>
      <c r="H3831" s="564" t="s">
        <v>337</v>
      </c>
      <c r="I3831" s="564" t="s">
        <v>70</v>
      </c>
      <c r="J3831" s="564" t="s">
        <v>1069</v>
      </c>
      <c r="K3831" s="564" t="s">
        <v>1120</v>
      </c>
      <c r="L3831" s="564" t="s">
        <v>2098</v>
      </c>
      <c r="M3831" s="564" t="s">
        <v>2098</v>
      </c>
      <c r="N3831" s="564" t="s">
        <v>70</v>
      </c>
      <c r="O3831" s="564" t="s">
        <v>2099</v>
      </c>
      <c r="P3831" s="23"/>
      <c r="Q3831" s="23"/>
      <c r="R3831" s="23"/>
      <c r="S3831" s="23"/>
      <c r="T3831" s="23"/>
      <c r="U3831" s="23"/>
      <c r="V3831" s="23"/>
      <c r="W3831" s="23"/>
      <c r="X3831" s="23"/>
      <c r="Y3831" s="23"/>
      <c r="Z3831" s="23"/>
    </row>
    <row r="3832" spans="1:26" ht="13">
      <c r="A3832" s="562" t="s">
        <v>8472</v>
      </c>
      <c r="B3832" s="563" t="s">
        <v>8464</v>
      </c>
      <c r="C3832" s="564" t="s">
        <v>1612</v>
      </c>
      <c r="D3832" s="565">
        <v>41473</v>
      </c>
      <c r="E3832" s="565">
        <v>41473</v>
      </c>
      <c r="F3832" s="566">
        <v>41658</v>
      </c>
      <c r="G3832" s="564" t="s">
        <v>337</v>
      </c>
      <c r="H3832" s="564" t="s">
        <v>337</v>
      </c>
      <c r="I3832" s="564" t="s">
        <v>1837</v>
      </c>
      <c r="J3832" s="564" t="s">
        <v>1069</v>
      </c>
      <c r="K3832" s="564" t="s">
        <v>1090</v>
      </c>
      <c r="L3832" s="564" t="s">
        <v>2098</v>
      </c>
      <c r="M3832" s="564" t="s">
        <v>2098</v>
      </c>
      <c r="N3832" s="564" t="s">
        <v>1082</v>
      </c>
      <c r="O3832" s="564" t="s">
        <v>2099</v>
      </c>
      <c r="P3832" s="23"/>
      <c r="Q3832" s="23"/>
      <c r="R3832" s="23"/>
      <c r="S3832" s="23"/>
      <c r="T3832" s="23"/>
      <c r="U3832" s="23"/>
      <c r="V3832" s="23"/>
      <c r="W3832" s="23"/>
      <c r="X3832" s="23"/>
      <c r="Y3832" s="23"/>
      <c r="Z3832" s="23"/>
    </row>
    <row r="3833" spans="1:26" ht="13">
      <c r="A3833" s="562" t="s">
        <v>8473</v>
      </c>
      <c r="B3833" s="563" t="s">
        <v>8474</v>
      </c>
      <c r="C3833" s="564" t="s">
        <v>1612</v>
      </c>
      <c r="D3833" s="565">
        <v>41471</v>
      </c>
      <c r="E3833" s="565">
        <v>41486</v>
      </c>
      <c r="F3833" s="566">
        <v>90800000</v>
      </c>
      <c r="G3833" s="564" t="s">
        <v>1856</v>
      </c>
      <c r="H3833" s="564" t="s">
        <v>1856</v>
      </c>
      <c r="I3833" s="564" t="s">
        <v>45</v>
      </c>
      <c r="J3833" s="564" t="s">
        <v>1069</v>
      </c>
      <c r="K3833" s="564" t="s">
        <v>1090</v>
      </c>
      <c r="L3833" s="564" t="s">
        <v>2098</v>
      </c>
      <c r="M3833" s="564" t="s">
        <v>2098</v>
      </c>
      <c r="N3833" s="564" t="s">
        <v>45</v>
      </c>
      <c r="O3833" s="564" t="s">
        <v>2099</v>
      </c>
      <c r="P3833" s="23"/>
      <c r="Q3833" s="23"/>
      <c r="R3833" s="23"/>
      <c r="S3833" s="23"/>
      <c r="T3833" s="23"/>
      <c r="U3833" s="23"/>
      <c r="V3833" s="23"/>
      <c r="W3833" s="23"/>
      <c r="X3833" s="23"/>
      <c r="Y3833" s="23"/>
      <c r="Z3833" s="23"/>
    </row>
    <row r="3834" spans="1:26" ht="13">
      <c r="A3834" s="562" t="s">
        <v>8475</v>
      </c>
      <c r="B3834" s="563" t="s">
        <v>8476</v>
      </c>
      <c r="C3834" s="564" t="s">
        <v>1612</v>
      </c>
      <c r="D3834" s="565">
        <v>41471</v>
      </c>
      <c r="E3834" s="565">
        <v>41471</v>
      </c>
      <c r="F3834" s="566">
        <v>13200</v>
      </c>
      <c r="G3834" s="564" t="s">
        <v>337</v>
      </c>
      <c r="H3834" s="564" t="s">
        <v>337</v>
      </c>
      <c r="I3834" s="564" t="s">
        <v>70</v>
      </c>
      <c r="J3834" s="564" t="s">
        <v>1069</v>
      </c>
      <c r="K3834" s="564" t="s">
        <v>1120</v>
      </c>
      <c r="L3834" s="564" t="s">
        <v>2098</v>
      </c>
      <c r="M3834" s="564" t="s">
        <v>2098</v>
      </c>
      <c r="N3834" s="564" t="s">
        <v>70</v>
      </c>
      <c r="O3834" s="564" t="s">
        <v>2099</v>
      </c>
      <c r="P3834" s="23"/>
      <c r="Q3834" s="23"/>
      <c r="R3834" s="23"/>
      <c r="S3834" s="23"/>
      <c r="T3834" s="23"/>
      <c r="U3834" s="23"/>
      <c r="V3834" s="23"/>
      <c r="W3834" s="23"/>
      <c r="X3834" s="23"/>
      <c r="Y3834" s="23"/>
      <c r="Z3834" s="23"/>
    </row>
    <row r="3835" spans="1:26" ht="13">
      <c r="A3835" s="562" t="s">
        <v>8477</v>
      </c>
      <c r="B3835" s="563" t="s">
        <v>8478</v>
      </c>
      <c r="C3835" s="564" t="s">
        <v>1612</v>
      </c>
      <c r="D3835" s="565">
        <v>41467</v>
      </c>
      <c r="E3835" s="565">
        <v>41467</v>
      </c>
      <c r="F3835" s="566">
        <v>1546</v>
      </c>
      <c r="G3835" s="564" t="s">
        <v>337</v>
      </c>
      <c r="H3835" s="564" t="s">
        <v>337</v>
      </c>
      <c r="I3835" s="564" t="s">
        <v>70</v>
      </c>
      <c r="J3835" s="564" t="s">
        <v>1069</v>
      </c>
      <c r="K3835" s="564" t="s">
        <v>1120</v>
      </c>
      <c r="L3835" s="564" t="s">
        <v>2098</v>
      </c>
      <c r="M3835" s="564" t="s">
        <v>2098</v>
      </c>
      <c r="N3835" s="564" t="s">
        <v>70</v>
      </c>
      <c r="O3835" s="564" t="s">
        <v>2099</v>
      </c>
      <c r="P3835" s="23"/>
      <c r="Q3835" s="23"/>
      <c r="R3835" s="23"/>
      <c r="S3835" s="23"/>
      <c r="T3835" s="23"/>
      <c r="U3835" s="23"/>
      <c r="V3835" s="23"/>
      <c r="W3835" s="23"/>
      <c r="X3835" s="23"/>
      <c r="Y3835" s="23"/>
      <c r="Z3835" s="23"/>
    </row>
    <row r="3836" spans="1:26" ht="13">
      <c r="A3836" s="562" t="s">
        <v>8479</v>
      </c>
      <c r="B3836" s="563" t="s">
        <v>8480</v>
      </c>
      <c r="C3836" s="564" t="s">
        <v>1612</v>
      </c>
      <c r="D3836" s="565">
        <v>41467</v>
      </c>
      <c r="E3836" s="565">
        <v>41456</v>
      </c>
      <c r="F3836" s="566">
        <v>24206040</v>
      </c>
      <c r="G3836" s="564" t="s">
        <v>337</v>
      </c>
      <c r="H3836" s="564" t="s">
        <v>337</v>
      </c>
      <c r="I3836" s="564" t="s">
        <v>45</v>
      </c>
      <c r="J3836" s="564" t="s">
        <v>1069</v>
      </c>
      <c r="K3836" s="564" t="s">
        <v>1090</v>
      </c>
      <c r="L3836" s="564" t="s">
        <v>1071</v>
      </c>
      <c r="M3836" s="564" t="s">
        <v>1183</v>
      </c>
      <c r="N3836" s="564" t="s">
        <v>45</v>
      </c>
      <c r="O3836" s="564" t="s">
        <v>2099</v>
      </c>
      <c r="P3836" s="23"/>
      <c r="Q3836" s="23"/>
      <c r="R3836" s="23"/>
      <c r="S3836" s="23"/>
      <c r="T3836" s="23"/>
      <c r="U3836" s="23"/>
      <c r="V3836" s="23"/>
      <c r="W3836" s="23"/>
      <c r="X3836" s="23"/>
      <c r="Y3836" s="23"/>
      <c r="Z3836" s="23"/>
    </row>
    <row r="3837" spans="1:26" ht="13">
      <c r="A3837" s="562" t="s">
        <v>8481</v>
      </c>
      <c r="B3837" s="563" t="s">
        <v>8482</v>
      </c>
      <c r="C3837" s="564" t="s">
        <v>1612</v>
      </c>
      <c r="D3837" s="565">
        <v>41460</v>
      </c>
      <c r="E3837" s="565">
        <v>41460</v>
      </c>
      <c r="F3837" s="566">
        <v>1040</v>
      </c>
      <c r="G3837" s="564" t="s">
        <v>337</v>
      </c>
      <c r="H3837" s="564" t="s">
        <v>337</v>
      </c>
      <c r="I3837" s="564" t="s">
        <v>1230</v>
      </c>
      <c r="J3837" s="564" t="s">
        <v>1069</v>
      </c>
      <c r="K3837" s="564" t="s">
        <v>1090</v>
      </c>
      <c r="L3837" s="564" t="s">
        <v>2098</v>
      </c>
      <c r="M3837" s="564" t="s">
        <v>2098</v>
      </c>
      <c r="N3837" s="564" t="s">
        <v>1073</v>
      </c>
      <c r="O3837" s="564" t="s">
        <v>2099</v>
      </c>
      <c r="P3837" s="23"/>
      <c r="Q3837" s="23"/>
      <c r="R3837" s="23"/>
      <c r="S3837" s="23"/>
      <c r="T3837" s="23"/>
      <c r="U3837" s="23"/>
      <c r="V3837" s="23"/>
      <c r="W3837" s="23"/>
      <c r="X3837" s="23"/>
      <c r="Y3837" s="23"/>
      <c r="Z3837" s="23"/>
    </row>
    <row r="3838" spans="1:26" ht="13">
      <c r="A3838" s="562" t="s">
        <v>8483</v>
      </c>
      <c r="B3838" s="563" t="s">
        <v>7190</v>
      </c>
      <c r="C3838" s="564" t="s">
        <v>1612</v>
      </c>
      <c r="D3838" s="565">
        <v>41462</v>
      </c>
      <c r="E3838" s="565">
        <v>41465</v>
      </c>
      <c r="F3838" s="566">
        <v>18800000</v>
      </c>
      <c r="G3838" s="564" t="s">
        <v>1128</v>
      </c>
      <c r="H3838" s="564" t="s">
        <v>1128</v>
      </c>
      <c r="I3838" s="564" t="s">
        <v>45</v>
      </c>
      <c r="J3838" s="564" t="s">
        <v>1069</v>
      </c>
      <c r="K3838" s="564" t="s">
        <v>1090</v>
      </c>
      <c r="L3838" s="564" t="s">
        <v>2098</v>
      </c>
      <c r="M3838" s="564" t="s">
        <v>2098</v>
      </c>
      <c r="N3838" s="564" t="s">
        <v>45</v>
      </c>
      <c r="O3838" s="564" t="s">
        <v>2099</v>
      </c>
      <c r="P3838" s="23"/>
      <c r="Q3838" s="23"/>
      <c r="R3838" s="23"/>
      <c r="S3838" s="23"/>
      <c r="T3838" s="23"/>
      <c r="U3838" s="23"/>
      <c r="V3838" s="23"/>
      <c r="W3838" s="23"/>
      <c r="X3838" s="23"/>
      <c r="Y3838" s="23"/>
      <c r="Z3838" s="23"/>
    </row>
    <row r="3839" spans="1:26" ht="13">
      <c r="A3839" s="562" t="s">
        <v>8484</v>
      </c>
      <c r="B3839" s="563" t="s">
        <v>8485</v>
      </c>
      <c r="C3839" s="564" t="s">
        <v>1612</v>
      </c>
      <c r="D3839" s="565">
        <v>41460</v>
      </c>
      <c r="E3839" s="565">
        <v>41458</v>
      </c>
      <c r="F3839" s="567">
        <v>415</v>
      </c>
      <c r="G3839" s="564" t="s">
        <v>337</v>
      </c>
      <c r="H3839" s="564" t="s">
        <v>337</v>
      </c>
      <c r="I3839" s="564" t="s">
        <v>1586</v>
      </c>
      <c r="J3839" s="564" t="s">
        <v>1069</v>
      </c>
      <c r="K3839" s="564" t="s">
        <v>1090</v>
      </c>
      <c r="L3839" s="564" t="s">
        <v>2098</v>
      </c>
      <c r="M3839" s="564" t="s">
        <v>2098</v>
      </c>
      <c r="N3839" s="564" t="s">
        <v>1073</v>
      </c>
      <c r="O3839" s="564" t="s">
        <v>2099</v>
      </c>
      <c r="P3839" s="23"/>
      <c r="Q3839" s="23"/>
      <c r="R3839" s="23"/>
      <c r="S3839" s="23"/>
      <c r="T3839" s="23"/>
      <c r="U3839" s="23"/>
      <c r="V3839" s="23"/>
      <c r="W3839" s="23"/>
      <c r="X3839" s="23"/>
      <c r="Y3839" s="23"/>
      <c r="Z3839" s="23"/>
    </row>
    <row r="3840" spans="1:26" ht="13">
      <c r="A3840" s="562" t="s">
        <v>8486</v>
      </c>
      <c r="B3840" s="563" t="s">
        <v>8487</v>
      </c>
      <c r="C3840" s="564" t="s">
        <v>1612</v>
      </c>
      <c r="D3840" s="565">
        <v>41460</v>
      </c>
      <c r="E3840" s="565">
        <v>41458</v>
      </c>
      <c r="F3840" s="566">
        <v>2319</v>
      </c>
      <c r="G3840" s="564" t="s">
        <v>337</v>
      </c>
      <c r="H3840" s="564" t="s">
        <v>337</v>
      </c>
      <c r="I3840" s="564" t="s">
        <v>70</v>
      </c>
      <c r="J3840" s="564" t="s">
        <v>1069</v>
      </c>
      <c r="K3840" s="564" t="s">
        <v>1120</v>
      </c>
      <c r="L3840" s="564" t="s">
        <v>2098</v>
      </c>
      <c r="M3840" s="564" t="s">
        <v>2098</v>
      </c>
      <c r="N3840" s="564" t="s">
        <v>70</v>
      </c>
      <c r="O3840" s="564" t="s">
        <v>2099</v>
      </c>
      <c r="P3840" s="23"/>
      <c r="Q3840" s="23"/>
      <c r="R3840" s="23"/>
      <c r="S3840" s="23"/>
      <c r="T3840" s="23"/>
      <c r="U3840" s="23"/>
      <c r="V3840" s="23"/>
      <c r="W3840" s="23"/>
      <c r="X3840" s="23"/>
      <c r="Y3840" s="23"/>
      <c r="Z3840" s="23"/>
    </row>
    <row r="3841" spans="1:26" ht="13">
      <c r="A3841" s="562" t="s">
        <v>8488</v>
      </c>
      <c r="B3841" s="563" t="s">
        <v>8489</v>
      </c>
      <c r="C3841" s="564" t="s">
        <v>1612</v>
      </c>
      <c r="D3841" s="565">
        <v>41453</v>
      </c>
      <c r="E3841" s="565">
        <v>41458</v>
      </c>
      <c r="F3841" s="567">
        <v>990</v>
      </c>
      <c r="G3841" s="564" t="s">
        <v>337</v>
      </c>
      <c r="H3841" s="564" t="s">
        <v>337</v>
      </c>
      <c r="I3841" s="564" t="s">
        <v>802</v>
      </c>
      <c r="J3841" s="564" t="s">
        <v>1069</v>
      </c>
      <c r="K3841" s="564" t="s">
        <v>1198</v>
      </c>
      <c r="L3841" s="564" t="s">
        <v>2098</v>
      </c>
      <c r="M3841" s="564" t="s">
        <v>2098</v>
      </c>
      <c r="N3841" s="564" t="s">
        <v>132</v>
      </c>
      <c r="O3841" s="564" t="s">
        <v>2099</v>
      </c>
      <c r="P3841" s="23"/>
      <c r="Q3841" s="23"/>
      <c r="R3841" s="23"/>
      <c r="S3841" s="23"/>
      <c r="T3841" s="23"/>
      <c r="U3841" s="23"/>
      <c r="V3841" s="23"/>
      <c r="W3841" s="23"/>
      <c r="X3841" s="23"/>
      <c r="Y3841" s="23"/>
      <c r="Z3841" s="23"/>
    </row>
    <row r="3842" spans="1:26" ht="13">
      <c r="A3842" s="562" t="s">
        <v>8490</v>
      </c>
      <c r="B3842" s="563" t="s">
        <v>8491</v>
      </c>
      <c r="C3842" s="564" t="s">
        <v>1612</v>
      </c>
      <c r="D3842" s="565">
        <v>41453</v>
      </c>
      <c r="E3842" s="565">
        <v>41453</v>
      </c>
      <c r="F3842" s="566">
        <v>3493726950</v>
      </c>
      <c r="G3842" s="564" t="s">
        <v>337</v>
      </c>
      <c r="H3842" s="564" t="s">
        <v>337</v>
      </c>
      <c r="I3842" s="564" t="s">
        <v>45</v>
      </c>
      <c r="J3842" s="564" t="s">
        <v>1069</v>
      </c>
      <c r="K3842" s="564" t="s">
        <v>1090</v>
      </c>
      <c r="L3842" s="564" t="s">
        <v>2098</v>
      </c>
      <c r="M3842" s="564" t="s">
        <v>2098</v>
      </c>
      <c r="N3842" s="564" t="s">
        <v>45</v>
      </c>
      <c r="O3842" s="564" t="s">
        <v>2099</v>
      </c>
      <c r="P3842" s="23"/>
      <c r="Q3842" s="23"/>
      <c r="R3842" s="23"/>
      <c r="S3842" s="23"/>
      <c r="T3842" s="23"/>
      <c r="U3842" s="23"/>
      <c r="V3842" s="23"/>
      <c r="W3842" s="23"/>
      <c r="X3842" s="23"/>
      <c r="Y3842" s="23"/>
      <c r="Z3842" s="23"/>
    </row>
    <row r="3843" spans="1:26" ht="13">
      <c r="A3843" s="562" t="s">
        <v>8492</v>
      </c>
      <c r="B3843" s="563" t="s">
        <v>8493</v>
      </c>
      <c r="C3843" s="564" t="s">
        <v>1612</v>
      </c>
      <c r="D3843" s="565">
        <v>41452</v>
      </c>
      <c r="E3843" s="565">
        <v>41460</v>
      </c>
      <c r="F3843" s="566">
        <v>1430</v>
      </c>
      <c r="G3843" s="564" t="s">
        <v>337</v>
      </c>
      <c r="H3843" s="564" t="s">
        <v>337</v>
      </c>
      <c r="I3843" s="564" t="s">
        <v>121</v>
      </c>
      <c r="J3843" s="564" t="s">
        <v>1069</v>
      </c>
      <c r="K3843" s="564" t="s">
        <v>1105</v>
      </c>
      <c r="L3843" s="564" t="s">
        <v>2098</v>
      </c>
      <c r="M3843" s="564" t="s">
        <v>2098</v>
      </c>
      <c r="N3843" s="564" t="s">
        <v>1073</v>
      </c>
      <c r="O3843" s="564" t="s">
        <v>2099</v>
      </c>
      <c r="P3843" s="23"/>
      <c r="Q3843" s="23"/>
      <c r="R3843" s="23"/>
      <c r="S3843" s="23"/>
      <c r="T3843" s="23"/>
      <c r="U3843" s="23"/>
      <c r="V3843" s="23"/>
      <c r="W3843" s="23"/>
      <c r="X3843" s="23"/>
      <c r="Y3843" s="23"/>
      <c r="Z3843" s="23"/>
    </row>
    <row r="3844" spans="1:26" ht="13">
      <c r="A3844" s="562" t="s">
        <v>8494</v>
      </c>
      <c r="B3844" s="563" t="s">
        <v>8495</v>
      </c>
      <c r="C3844" s="564" t="s">
        <v>1612</v>
      </c>
      <c r="D3844" s="565">
        <v>41451</v>
      </c>
      <c r="E3844" s="565">
        <v>41453</v>
      </c>
      <c r="F3844" s="566">
        <v>66820000</v>
      </c>
      <c r="G3844" s="564" t="s">
        <v>1856</v>
      </c>
      <c r="H3844" s="564" t="s">
        <v>1856</v>
      </c>
      <c r="I3844" s="564" t="s">
        <v>45</v>
      </c>
      <c r="J3844" s="564" t="s">
        <v>1069</v>
      </c>
      <c r="K3844" s="564" t="s">
        <v>1090</v>
      </c>
      <c r="L3844" s="564" t="s">
        <v>2098</v>
      </c>
      <c r="M3844" s="564" t="s">
        <v>2098</v>
      </c>
      <c r="N3844" s="564" t="s">
        <v>45</v>
      </c>
      <c r="O3844" s="564" t="s">
        <v>2099</v>
      </c>
      <c r="P3844" s="23"/>
      <c r="Q3844" s="23"/>
      <c r="R3844" s="23"/>
      <c r="S3844" s="23"/>
      <c r="T3844" s="23"/>
      <c r="U3844" s="23"/>
      <c r="V3844" s="23"/>
      <c r="W3844" s="23"/>
      <c r="X3844" s="23"/>
      <c r="Y3844" s="23"/>
      <c r="Z3844" s="23"/>
    </row>
    <row r="3845" spans="1:26" ht="13">
      <c r="A3845" s="562" t="s">
        <v>8496</v>
      </c>
      <c r="B3845" s="563" t="s">
        <v>8497</v>
      </c>
      <c r="C3845" s="564" t="s">
        <v>1612</v>
      </c>
      <c r="D3845" s="565">
        <v>41451</v>
      </c>
      <c r="E3845" s="565">
        <v>41455</v>
      </c>
      <c r="F3845" s="566">
        <v>19318</v>
      </c>
      <c r="G3845" s="564" t="s">
        <v>297</v>
      </c>
      <c r="H3845" s="564" t="s">
        <v>297</v>
      </c>
      <c r="I3845" s="564" t="s">
        <v>45</v>
      </c>
      <c r="J3845" s="564" t="s">
        <v>1069</v>
      </c>
      <c r="K3845" s="564" t="s">
        <v>1090</v>
      </c>
      <c r="L3845" s="564" t="s">
        <v>2098</v>
      </c>
      <c r="M3845" s="564" t="s">
        <v>2098</v>
      </c>
      <c r="N3845" s="564" t="s">
        <v>45</v>
      </c>
      <c r="O3845" s="564" t="s">
        <v>2099</v>
      </c>
      <c r="P3845" s="23"/>
      <c r="Q3845" s="23"/>
      <c r="R3845" s="23"/>
      <c r="S3845" s="23"/>
      <c r="T3845" s="23"/>
      <c r="U3845" s="23"/>
      <c r="V3845" s="23"/>
      <c r="W3845" s="23"/>
      <c r="X3845" s="23"/>
      <c r="Y3845" s="23"/>
      <c r="Z3845" s="23"/>
    </row>
    <row r="3846" spans="1:26" ht="13">
      <c r="A3846" s="562" t="s">
        <v>8498</v>
      </c>
      <c r="B3846" s="563" t="s">
        <v>8464</v>
      </c>
      <c r="C3846" s="564" t="s">
        <v>1612</v>
      </c>
      <c r="D3846" s="565">
        <v>41449</v>
      </c>
      <c r="E3846" s="565">
        <v>41453</v>
      </c>
      <c r="F3846" s="566">
        <v>12228</v>
      </c>
      <c r="G3846" s="564" t="s">
        <v>337</v>
      </c>
      <c r="H3846" s="564" t="s">
        <v>337</v>
      </c>
      <c r="I3846" s="564" t="s">
        <v>1837</v>
      </c>
      <c r="J3846" s="564" t="s">
        <v>1069</v>
      </c>
      <c r="K3846" s="564" t="s">
        <v>1090</v>
      </c>
      <c r="L3846" s="564" t="s">
        <v>2098</v>
      </c>
      <c r="M3846" s="564" t="s">
        <v>2098</v>
      </c>
      <c r="N3846" s="564" t="s">
        <v>1082</v>
      </c>
      <c r="O3846" s="564" t="s">
        <v>2099</v>
      </c>
      <c r="P3846" s="23"/>
      <c r="Q3846" s="23"/>
      <c r="R3846" s="23"/>
      <c r="S3846" s="23"/>
      <c r="T3846" s="23"/>
      <c r="U3846" s="23"/>
      <c r="V3846" s="23"/>
      <c r="W3846" s="23"/>
      <c r="X3846" s="23"/>
      <c r="Y3846" s="23"/>
      <c r="Z3846" s="23"/>
    </row>
    <row r="3847" spans="1:26" ht="13">
      <c r="A3847" s="562" t="s">
        <v>8499</v>
      </c>
      <c r="B3847" s="563" t="s">
        <v>8500</v>
      </c>
      <c r="C3847" s="564" t="s">
        <v>1612</v>
      </c>
      <c r="D3847" s="565">
        <v>41449</v>
      </c>
      <c r="E3847" s="565">
        <v>41456</v>
      </c>
      <c r="F3847" s="566">
        <v>3870</v>
      </c>
      <c r="G3847" s="564" t="s">
        <v>297</v>
      </c>
      <c r="H3847" s="564" t="s">
        <v>297</v>
      </c>
      <c r="I3847" s="564" t="s">
        <v>7259</v>
      </c>
      <c r="J3847" s="564" t="s">
        <v>1069</v>
      </c>
      <c r="K3847" s="564" t="s">
        <v>1070</v>
      </c>
      <c r="L3847" s="564" t="s">
        <v>2098</v>
      </c>
      <c r="M3847" s="564" t="s">
        <v>2098</v>
      </c>
      <c r="N3847" s="564" t="s">
        <v>1082</v>
      </c>
      <c r="O3847" s="564" t="s">
        <v>2099</v>
      </c>
      <c r="P3847" s="23"/>
      <c r="Q3847" s="23"/>
      <c r="R3847" s="23"/>
      <c r="S3847" s="23"/>
      <c r="T3847" s="23"/>
      <c r="U3847" s="23"/>
      <c r="V3847" s="23"/>
      <c r="W3847" s="23"/>
      <c r="X3847" s="23"/>
      <c r="Y3847" s="23"/>
      <c r="Z3847" s="23"/>
    </row>
    <row r="3848" spans="1:26" ht="13">
      <c r="A3848" s="562" t="s">
        <v>8501</v>
      </c>
      <c r="B3848" s="563" t="s">
        <v>8478</v>
      </c>
      <c r="C3848" s="564" t="s">
        <v>1612</v>
      </c>
      <c r="D3848" s="565">
        <v>41446</v>
      </c>
      <c r="E3848" s="565">
        <v>41449</v>
      </c>
      <c r="F3848" s="566">
        <v>1546</v>
      </c>
      <c r="G3848" s="564" t="s">
        <v>337</v>
      </c>
      <c r="H3848" s="564" t="s">
        <v>337</v>
      </c>
      <c r="I3848" s="564" t="s">
        <v>70</v>
      </c>
      <c r="J3848" s="564" t="s">
        <v>1069</v>
      </c>
      <c r="K3848" s="564" t="s">
        <v>1120</v>
      </c>
      <c r="L3848" s="564" t="s">
        <v>2098</v>
      </c>
      <c r="M3848" s="564" t="s">
        <v>2098</v>
      </c>
      <c r="N3848" s="564" t="s">
        <v>70</v>
      </c>
      <c r="O3848" s="564" t="s">
        <v>2099</v>
      </c>
      <c r="P3848" s="23"/>
      <c r="Q3848" s="23"/>
      <c r="R3848" s="23"/>
      <c r="S3848" s="23"/>
      <c r="T3848" s="23"/>
      <c r="U3848" s="23"/>
      <c r="V3848" s="23"/>
      <c r="W3848" s="23"/>
      <c r="X3848" s="23"/>
      <c r="Y3848" s="23"/>
      <c r="Z3848" s="23"/>
    </row>
    <row r="3849" spans="1:26" ht="13">
      <c r="A3849" s="562" t="s">
        <v>8502</v>
      </c>
      <c r="B3849" s="563" t="s">
        <v>8503</v>
      </c>
      <c r="C3849" s="564" t="s">
        <v>1612</v>
      </c>
      <c r="D3849" s="565">
        <v>41446</v>
      </c>
      <c r="E3849" s="565">
        <v>41453</v>
      </c>
      <c r="F3849" s="567">
        <v>480</v>
      </c>
      <c r="G3849" s="564" t="s">
        <v>337</v>
      </c>
      <c r="H3849" s="564" t="s">
        <v>337</v>
      </c>
      <c r="I3849" s="564" t="s">
        <v>1161</v>
      </c>
      <c r="J3849" s="564" t="s">
        <v>1069</v>
      </c>
      <c r="K3849" s="564" t="s">
        <v>1090</v>
      </c>
      <c r="L3849" s="564" t="s">
        <v>2098</v>
      </c>
      <c r="M3849" s="564" t="s">
        <v>2098</v>
      </c>
      <c r="N3849" s="564" t="s">
        <v>1073</v>
      </c>
      <c r="O3849" s="564" t="s">
        <v>2099</v>
      </c>
      <c r="P3849" s="23"/>
      <c r="Q3849" s="23"/>
      <c r="R3849" s="23"/>
      <c r="S3849" s="23"/>
      <c r="T3849" s="23"/>
      <c r="U3849" s="23"/>
      <c r="V3849" s="23"/>
      <c r="W3849" s="23"/>
      <c r="X3849" s="23"/>
      <c r="Y3849" s="23"/>
      <c r="Z3849" s="23"/>
    </row>
    <row r="3850" spans="1:26" ht="13">
      <c r="A3850" s="562" t="s">
        <v>8504</v>
      </c>
      <c r="B3850" s="563" t="s">
        <v>8505</v>
      </c>
      <c r="C3850" s="564" t="s">
        <v>2191</v>
      </c>
      <c r="D3850" s="565">
        <v>41446</v>
      </c>
      <c r="E3850" s="565">
        <v>41547</v>
      </c>
      <c r="F3850" s="566">
        <v>1102448</v>
      </c>
      <c r="G3850" s="564" t="s">
        <v>6844</v>
      </c>
      <c r="H3850" s="564" t="s">
        <v>6844</v>
      </c>
      <c r="I3850" s="564" t="s">
        <v>8414</v>
      </c>
      <c r="J3850" s="564" t="s">
        <v>1069</v>
      </c>
      <c r="K3850" s="564" t="s">
        <v>2878</v>
      </c>
      <c r="L3850" s="564" t="s">
        <v>2098</v>
      </c>
      <c r="M3850" s="564" t="s">
        <v>2098</v>
      </c>
      <c r="N3850" s="564" t="s">
        <v>1368</v>
      </c>
      <c r="O3850" s="564" t="s">
        <v>2099</v>
      </c>
      <c r="P3850" s="23"/>
      <c r="Q3850" s="23"/>
      <c r="R3850" s="23"/>
      <c r="S3850" s="23"/>
      <c r="T3850" s="23"/>
      <c r="U3850" s="23"/>
      <c r="V3850" s="23"/>
      <c r="W3850" s="23"/>
      <c r="X3850" s="23"/>
      <c r="Y3850" s="23"/>
      <c r="Z3850" s="23"/>
    </row>
    <row r="3851" spans="1:26" ht="13">
      <c r="A3851" s="562" t="s">
        <v>8506</v>
      </c>
      <c r="B3851" s="563" t="s">
        <v>8478</v>
      </c>
      <c r="C3851" s="564" t="s">
        <v>1612</v>
      </c>
      <c r="D3851" s="565">
        <v>41444</v>
      </c>
      <c r="E3851" s="565">
        <v>41448</v>
      </c>
      <c r="F3851" s="566">
        <v>1546</v>
      </c>
      <c r="G3851" s="564" t="s">
        <v>337</v>
      </c>
      <c r="H3851" s="564" t="s">
        <v>337</v>
      </c>
      <c r="I3851" s="564" t="s">
        <v>70</v>
      </c>
      <c r="J3851" s="564" t="s">
        <v>1069</v>
      </c>
      <c r="K3851" s="564" t="s">
        <v>1120</v>
      </c>
      <c r="L3851" s="564" t="s">
        <v>2098</v>
      </c>
      <c r="M3851" s="564" t="s">
        <v>2098</v>
      </c>
      <c r="N3851" s="564" t="s">
        <v>70</v>
      </c>
      <c r="O3851" s="564" t="s">
        <v>2099</v>
      </c>
      <c r="P3851" s="23"/>
      <c r="Q3851" s="23"/>
      <c r="R3851" s="23"/>
      <c r="S3851" s="23"/>
      <c r="T3851" s="23"/>
      <c r="U3851" s="23"/>
      <c r="V3851" s="23"/>
      <c r="W3851" s="23"/>
      <c r="X3851" s="23"/>
      <c r="Y3851" s="23"/>
      <c r="Z3851" s="23"/>
    </row>
    <row r="3852" spans="1:26" ht="13">
      <c r="A3852" s="562" t="s">
        <v>8507</v>
      </c>
      <c r="B3852" s="563" t="s">
        <v>8508</v>
      </c>
      <c r="C3852" s="564" t="s">
        <v>1612</v>
      </c>
      <c r="D3852" s="565">
        <v>41443</v>
      </c>
      <c r="E3852" s="565">
        <v>41446</v>
      </c>
      <c r="F3852" s="567">
        <v>680</v>
      </c>
      <c r="G3852" s="564" t="s">
        <v>337</v>
      </c>
      <c r="H3852" s="564" t="s">
        <v>337</v>
      </c>
      <c r="I3852" s="564" t="s">
        <v>64</v>
      </c>
      <c r="J3852" s="564" t="s">
        <v>1069</v>
      </c>
      <c r="K3852" s="564" t="s">
        <v>1090</v>
      </c>
      <c r="L3852" s="564" t="s">
        <v>2098</v>
      </c>
      <c r="M3852" s="564" t="s">
        <v>2098</v>
      </c>
      <c r="N3852" s="564" t="s">
        <v>64</v>
      </c>
      <c r="O3852" s="564" t="s">
        <v>2099</v>
      </c>
      <c r="P3852" s="23"/>
      <c r="Q3852" s="23"/>
      <c r="R3852" s="23"/>
      <c r="S3852" s="23"/>
      <c r="T3852" s="23"/>
      <c r="U3852" s="23"/>
      <c r="V3852" s="23"/>
      <c r="W3852" s="23"/>
      <c r="X3852" s="23"/>
      <c r="Y3852" s="23"/>
      <c r="Z3852" s="23"/>
    </row>
    <row r="3853" spans="1:26" ht="13">
      <c r="A3853" s="562" t="s">
        <v>8509</v>
      </c>
      <c r="B3853" s="563" t="s">
        <v>8510</v>
      </c>
      <c r="C3853" s="564" t="s">
        <v>1612</v>
      </c>
      <c r="D3853" s="565">
        <v>41443</v>
      </c>
      <c r="E3853" s="565">
        <v>41443</v>
      </c>
      <c r="F3853" s="567">
        <v>773</v>
      </c>
      <c r="G3853" s="564" t="s">
        <v>337</v>
      </c>
      <c r="H3853" s="564" t="s">
        <v>337</v>
      </c>
      <c r="I3853" s="564" t="s">
        <v>70</v>
      </c>
      <c r="J3853" s="564" t="s">
        <v>1069</v>
      </c>
      <c r="K3853" s="564" t="s">
        <v>1120</v>
      </c>
      <c r="L3853" s="564" t="s">
        <v>2098</v>
      </c>
      <c r="M3853" s="564" t="s">
        <v>2098</v>
      </c>
      <c r="N3853" s="564" t="s">
        <v>70</v>
      </c>
      <c r="O3853" s="564" t="s">
        <v>2099</v>
      </c>
      <c r="P3853" s="23"/>
      <c r="Q3853" s="23"/>
      <c r="R3853" s="23"/>
      <c r="S3853" s="23"/>
      <c r="T3853" s="23"/>
      <c r="U3853" s="23"/>
      <c r="V3853" s="23"/>
      <c r="W3853" s="23"/>
      <c r="X3853" s="23"/>
      <c r="Y3853" s="23"/>
      <c r="Z3853" s="23"/>
    </row>
    <row r="3854" spans="1:26" ht="13">
      <c r="A3854" s="562" t="s">
        <v>8511</v>
      </c>
      <c r="B3854" s="563" t="s">
        <v>8512</v>
      </c>
      <c r="C3854" s="564" t="s">
        <v>1612</v>
      </c>
      <c r="D3854" s="565">
        <v>41442</v>
      </c>
      <c r="E3854" s="565">
        <v>41446</v>
      </c>
      <c r="F3854" s="566">
        <v>5272728</v>
      </c>
      <c r="G3854" s="564" t="s">
        <v>337</v>
      </c>
      <c r="H3854" s="564" t="s">
        <v>337</v>
      </c>
      <c r="I3854" s="564" t="s">
        <v>802</v>
      </c>
      <c r="J3854" s="564" t="s">
        <v>1069</v>
      </c>
      <c r="K3854" s="564" t="s">
        <v>1198</v>
      </c>
      <c r="L3854" s="564" t="s">
        <v>2098</v>
      </c>
      <c r="M3854" s="564" t="s">
        <v>2098</v>
      </c>
      <c r="N3854" s="564" t="s">
        <v>132</v>
      </c>
      <c r="O3854" s="564" t="s">
        <v>2099</v>
      </c>
      <c r="P3854" s="23"/>
      <c r="Q3854" s="23"/>
      <c r="R3854" s="23"/>
      <c r="S3854" s="23"/>
      <c r="T3854" s="23"/>
      <c r="U3854" s="23"/>
      <c r="V3854" s="23"/>
      <c r="W3854" s="23"/>
      <c r="X3854" s="23"/>
      <c r="Y3854" s="23"/>
      <c r="Z3854" s="23"/>
    </row>
    <row r="3855" spans="1:26" ht="13">
      <c r="A3855" s="562" t="s">
        <v>8513</v>
      </c>
      <c r="B3855" s="563" t="s">
        <v>8464</v>
      </c>
      <c r="C3855" s="564" t="s">
        <v>1612</v>
      </c>
      <c r="D3855" s="565">
        <v>41442</v>
      </c>
      <c r="E3855" s="565">
        <v>41446</v>
      </c>
      <c r="F3855" s="566">
        <v>25110</v>
      </c>
      <c r="G3855" s="564" t="s">
        <v>337</v>
      </c>
      <c r="H3855" s="564" t="s">
        <v>337</v>
      </c>
      <c r="I3855" s="564" t="s">
        <v>1837</v>
      </c>
      <c r="J3855" s="564" t="s">
        <v>1069</v>
      </c>
      <c r="K3855" s="564" t="s">
        <v>1090</v>
      </c>
      <c r="L3855" s="564" t="s">
        <v>2098</v>
      </c>
      <c r="M3855" s="564" t="s">
        <v>2098</v>
      </c>
      <c r="N3855" s="564" t="s">
        <v>1082</v>
      </c>
      <c r="O3855" s="564" t="s">
        <v>2099</v>
      </c>
      <c r="P3855" s="23"/>
      <c r="Q3855" s="23"/>
      <c r="R3855" s="23"/>
      <c r="S3855" s="23"/>
      <c r="T3855" s="23"/>
      <c r="U3855" s="23"/>
      <c r="V3855" s="23"/>
      <c r="W3855" s="23"/>
      <c r="X3855" s="23"/>
      <c r="Y3855" s="23"/>
      <c r="Z3855" s="23"/>
    </row>
    <row r="3856" spans="1:26" ht="13">
      <c r="A3856" s="562" t="s">
        <v>8514</v>
      </c>
      <c r="B3856" s="563" t="s">
        <v>8515</v>
      </c>
      <c r="C3856" s="564" t="s">
        <v>1612</v>
      </c>
      <c r="D3856" s="565">
        <v>41438</v>
      </c>
      <c r="E3856" s="565">
        <v>41445</v>
      </c>
      <c r="F3856" s="566">
        <v>3434000</v>
      </c>
      <c r="G3856" s="564" t="s">
        <v>1157</v>
      </c>
      <c r="H3856" s="564" t="s">
        <v>1157</v>
      </c>
      <c r="I3856" s="564" t="s">
        <v>225</v>
      </c>
      <c r="J3856" s="564" t="s">
        <v>1069</v>
      </c>
      <c r="K3856" s="564" t="s">
        <v>1105</v>
      </c>
      <c r="L3856" s="564" t="s">
        <v>2098</v>
      </c>
      <c r="M3856" s="564" t="s">
        <v>2098</v>
      </c>
      <c r="N3856" s="564" t="s">
        <v>225</v>
      </c>
      <c r="O3856" s="564" t="s">
        <v>2099</v>
      </c>
      <c r="P3856" s="23"/>
      <c r="Q3856" s="23"/>
      <c r="R3856" s="23"/>
      <c r="S3856" s="23"/>
      <c r="T3856" s="23"/>
      <c r="U3856" s="23"/>
      <c r="V3856" s="23"/>
      <c r="W3856" s="23"/>
      <c r="X3856" s="23"/>
      <c r="Y3856" s="23"/>
      <c r="Z3856" s="23"/>
    </row>
    <row r="3857" spans="1:26" ht="13">
      <c r="A3857" s="562" t="s">
        <v>8516</v>
      </c>
      <c r="B3857" s="563" t="s">
        <v>8517</v>
      </c>
      <c r="C3857" s="564" t="s">
        <v>1612</v>
      </c>
      <c r="D3857" s="565">
        <v>41438</v>
      </c>
      <c r="E3857" s="565">
        <v>41442</v>
      </c>
      <c r="F3857" s="566">
        <v>99130000</v>
      </c>
      <c r="G3857" s="564" t="s">
        <v>337</v>
      </c>
      <c r="H3857" s="564" t="s">
        <v>337</v>
      </c>
      <c r="I3857" s="564" t="s">
        <v>45</v>
      </c>
      <c r="J3857" s="564" t="s">
        <v>1069</v>
      </c>
      <c r="K3857" s="564" t="s">
        <v>1090</v>
      </c>
      <c r="L3857" s="564" t="s">
        <v>2098</v>
      </c>
      <c r="M3857" s="564" t="s">
        <v>2098</v>
      </c>
      <c r="N3857" s="564" t="s">
        <v>45</v>
      </c>
      <c r="O3857" s="564" t="s">
        <v>2099</v>
      </c>
      <c r="P3857" s="23"/>
      <c r="Q3857" s="23"/>
      <c r="R3857" s="23"/>
      <c r="S3857" s="23"/>
      <c r="T3857" s="23"/>
      <c r="U3857" s="23"/>
      <c r="V3857" s="23"/>
      <c r="W3857" s="23"/>
      <c r="X3857" s="23"/>
      <c r="Y3857" s="23"/>
      <c r="Z3857" s="23"/>
    </row>
    <row r="3858" spans="1:26" ht="13">
      <c r="A3858" s="562" t="s">
        <v>8518</v>
      </c>
      <c r="B3858" s="563" t="s">
        <v>8519</v>
      </c>
      <c r="C3858" s="564" t="s">
        <v>1612</v>
      </c>
      <c r="D3858" s="565">
        <v>41437</v>
      </c>
      <c r="E3858" s="565">
        <v>41439</v>
      </c>
      <c r="F3858" s="566">
        <v>9920000</v>
      </c>
      <c r="G3858" s="564" t="s">
        <v>1157</v>
      </c>
      <c r="H3858" s="564" t="s">
        <v>1157</v>
      </c>
      <c r="I3858" s="564" t="s">
        <v>1821</v>
      </c>
      <c r="J3858" s="564" t="s">
        <v>1069</v>
      </c>
      <c r="K3858" s="564" t="s">
        <v>1120</v>
      </c>
      <c r="L3858" s="564" t="s">
        <v>2098</v>
      </c>
      <c r="M3858" s="564" t="s">
        <v>2098</v>
      </c>
      <c r="N3858" s="564" t="s">
        <v>1073</v>
      </c>
      <c r="O3858" s="564" t="s">
        <v>2099</v>
      </c>
      <c r="P3858" s="23"/>
      <c r="Q3858" s="23"/>
      <c r="R3858" s="23"/>
      <c r="S3858" s="23"/>
      <c r="T3858" s="23"/>
      <c r="U3858" s="23"/>
      <c r="V3858" s="23"/>
      <c r="W3858" s="23"/>
      <c r="X3858" s="23"/>
      <c r="Y3858" s="23"/>
      <c r="Z3858" s="23"/>
    </row>
    <row r="3859" spans="1:26" ht="13">
      <c r="A3859" s="562" t="s">
        <v>8520</v>
      </c>
      <c r="B3859" s="563" t="s">
        <v>8521</v>
      </c>
      <c r="C3859" s="564" t="s">
        <v>1612</v>
      </c>
      <c r="D3859" s="565">
        <v>41437</v>
      </c>
      <c r="E3859" s="565">
        <v>41439</v>
      </c>
      <c r="F3859" s="566">
        <v>106900000</v>
      </c>
      <c r="G3859" s="564" t="s">
        <v>1157</v>
      </c>
      <c r="H3859" s="564" t="s">
        <v>1157</v>
      </c>
      <c r="I3859" s="564" t="s">
        <v>70</v>
      </c>
      <c r="J3859" s="564" t="s">
        <v>1069</v>
      </c>
      <c r="K3859" s="564" t="s">
        <v>1120</v>
      </c>
      <c r="L3859" s="564" t="s">
        <v>2098</v>
      </c>
      <c r="M3859" s="564" t="s">
        <v>2098</v>
      </c>
      <c r="N3859" s="564" t="s">
        <v>70</v>
      </c>
      <c r="O3859" s="564" t="s">
        <v>2099</v>
      </c>
      <c r="P3859" s="23"/>
      <c r="Q3859" s="23"/>
      <c r="R3859" s="23"/>
      <c r="S3859" s="23"/>
      <c r="T3859" s="23"/>
      <c r="U3859" s="23"/>
      <c r="V3859" s="23"/>
      <c r="W3859" s="23"/>
      <c r="X3859" s="23"/>
      <c r="Y3859" s="23"/>
      <c r="Z3859" s="23"/>
    </row>
    <row r="3860" spans="1:26" ht="13">
      <c r="A3860" s="562" t="s">
        <v>8522</v>
      </c>
      <c r="B3860" s="563" t="s">
        <v>8523</v>
      </c>
      <c r="C3860" s="564" t="s">
        <v>1612</v>
      </c>
      <c r="D3860" s="565">
        <v>41436</v>
      </c>
      <c r="E3860" s="565">
        <v>41426</v>
      </c>
      <c r="F3860" s="566">
        <v>43796520</v>
      </c>
      <c r="G3860" s="564" t="s">
        <v>337</v>
      </c>
      <c r="H3860" s="564" t="s">
        <v>337</v>
      </c>
      <c r="I3860" s="564" t="s">
        <v>45</v>
      </c>
      <c r="J3860" s="564" t="s">
        <v>1069</v>
      </c>
      <c r="K3860" s="564" t="s">
        <v>1090</v>
      </c>
      <c r="L3860" s="564" t="s">
        <v>1071</v>
      </c>
      <c r="M3860" s="564" t="s">
        <v>1183</v>
      </c>
      <c r="N3860" s="564" t="s">
        <v>45</v>
      </c>
      <c r="O3860" s="564" t="s">
        <v>2099</v>
      </c>
      <c r="P3860" s="23"/>
      <c r="Q3860" s="23"/>
      <c r="R3860" s="23"/>
      <c r="S3860" s="23"/>
      <c r="T3860" s="23"/>
      <c r="U3860" s="23"/>
      <c r="V3860" s="23"/>
      <c r="W3860" s="23"/>
      <c r="X3860" s="23"/>
      <c r="Y3860" s="23"/>
      <c r="Z3860" s="23"/>
    </row>
    <row r="3861" spans="1:26" ht="13">
      <c r="A3861" s="562" t="s">
        <v>8524</v>
      </c>
      <c r="B3861" s="563" t="s">
        <v>8525</v>
      </c>
      <c r="C3861" s="564" t="s">
        <v>1612</v>
      </c>
      <c r="D3861" s="565">
        <v>41436</v>
      </c>
      <c r="E3861" s="565">
        <v>41439</v>
      </c>
      <c r="F3861" s="566">
        <v>1780000</v>
      </c>
      <c r="G3861" s="564" t="s">
        <v>337</v>
      </c>
      <c r="H3861" s="564" t="s">
        <v>337</v>
      </c>
      <c r="I3861" s="564" t="s">
        <v>64</v>
      </c>
      <c r="J3861" s="564" t="s">
        <v>1069</v>
      </c>
      <c r="K3861" s="564" t="s">
        <v>1090</v>
      </c>
      <c r="L3861" s="564" t="s">
        <v>2098</v>
      </c>
      <c r="M3861" s="564" t="s">
        <v>2098</v>
      </c>
      <c r="N3861" s="564" t="s">
        <v>64</v>
      </c>
      <c r="O3861" s="564" t="s">
        <v>2099</v>
      </c>
      <c r="P3861" s="23"/>
      <c r="Q3861" s="23"/>
      <c r="R3861" s="23"/>
      <c r="S3861" s="23"/>
      <c r="T3861" s="23"/>
      <c r="U3861" s="23"/>
      <c r="V3861" s="23"/>
      <c r="W3861" s="23"/>
      <c r="X3861" s="23"/>
      <c r="Y3861" s="23"/>
      <c r="Z3861" s="23"/>
    </row>
    <row r="3862" spans="1:26" ht="13">
      <c r="A3862" s="562" t="s">
        <v>8526</v>
      </c>
      <c r="B3862" s="563" t="s">
        <v>8527</v>
      </c>
      <c r="C3862" s="564" t="s">
        <v>1612</v>
      </c>
      <c r="D3862" s="565">
        <v>41435</v>
      </c>
      <c r="E3862" s="565">
        <v>41437</v>
      </c>
      <c r="F3862" s="566">
        <v>11239214</v>
      </c>
      <c r="G3862" s="564" t="s">
        <v>337</v>
      </c>
      <c r="H3862" s="564" t="s">
        <v>337</v>
      </c>
      <c r="I3862" s="564" t="s">
        <v>64</v>
      </c>
      <c r="J3862" s="564" t="s">
        <v>1069</v>
      </c>
      <c r="K3862" s="564" t="s">
        <v>1090</v>
      </c>
      <c r="L3862" s="564" t="s">
        <v>2098</v>
      </c>
      <c r="M3862" s="564" t="s">
        <v>2098</v>
      </c>
      <c r="N3862" s="564" t="s">
        <v>64</v>
      </c>
      <c r="O3862" s="564" t="s">
        <v>2099</v>
      </c>
      <c r="P3862" s="23"/>
      <c r="Q3862" s="23"/>
      <c r="R3862" s="23"/>
      <c r="S3862" s="23"/>
      <c r="T3862" s="23"/>
      <c r="U3862" s="23"/>
      <c r="V3862" s="23"/>
      <c r="W3862" s="23"/>
      <c r="X3862" s="23"/>
      <c r="Y3862" s="23"/>
      <c r="Z3862" s="23"/>
    </row>
    <row r="3863" spans="1:26" ht="13">
      <c r="A3863" s="562" t="s">
        <v>8528</v>
      </c>
      <c r="B3863" s="563" t="s">
        <v>8529</v>
      </c>
      <c r="C3863" s="564" t="s">
        <v>1612</v>
      </c>
      <c r="D3863" s="565">
        <v>41430</v>
      </c>
      <c r="E3863" s="565">
        <v>41437</v>
      </c>
      <c r="F3863" s="566">
        <v>4304</v>
      </c>
      <c r="G3863" s="564" t="s">
        <v>337</v>
      </c>
      <c r="H3863" s="564" t="s">
        <v>337</v>
      </c>
      <c r="I3863" s="564" t="s">
        <v>70</v>
      </c>
      <c r="J3863" s="564" t="s">
        <v>1069</v>
      </c>
      <c r="K3863" s="564" t="s">
        <v>1120</v>
      </c>
      <c r="L3863" s="564" t="s">
        <v>2098</v>
      </c>
      <c r="M3863" s="564" t="s">
        <v>2098</v>
      </c>
      <c r="N3863" s="564" t="s">
        <v>70</v>
      </c>
      <c r="O3863" s="564" t="s">
        <v>2099</v>
      </c>
      <c r="P3863" s="23"/>
      <c r="Q3863" s="23"/>
      <c r="R3863" s="23"/>
      <c r="S3863" s="23"/>
      <c r="T3863" s="23"/>
      <c r="U3863" s="23"/>
      <c r="V3863" s="23"/>
      <c r="W3863" s="23"/>
      <c r="X3863" s="23"/>
      <c r="Y3863" s="23"/>
      <c r="Z3863" s="23"/>
    </row>
    <row r="3864" spans="1:26" ht="13">
      <c r="A3864" s="562" t="s">
        <v>8530</v>
      </c>
      <c r="B3864" s="563" t="s">
        <v>8531</v>
      </c>
      <c r="C3864" s="564" t="s">
        <v>2191</v>
      </c>
      <c r="D3864" s="565">
        <v>41429</v>
      </c>
      <c r="E3864" s="565">
        <v>41481</v>
      </c>
      <c r="F3864" s="566">
        <v>1395000</v>
      </c>
      <c r="G3864" s="564" t="s">
        <v>8532</v>
      </c>
      <c r="H3864" s="564" t="s">
        <v>1131</v>
      </c>
      <c r="I3864" s="564" t="s">
        <v>7026</v>
      </c>
      <c r="J3864" s="564" t="s">
        <v>1069</v>
      </c>
      <c r="K3864" s="564" t="s">
        <v>2878</v>
      </c>
      <c r="L3864" s="564" t="s">
        <v>2098</v>
      </c>
      <c r="M3864" s="564" t="s">
        <v>2098</v>
      </c>
      <c r="N3864" s="564" t="s">
        <v>1082</v>
      </c>
      <c r="O3864" s="564" t="s">
        <v>2099</v>
      </c>
      <c r="P3864" s="23"/>
      <c r="Q3864" s="23"/>
      <c r="R3864" s="23"/>
      <c r="S3864" s="23"/>
      <c r="T3864" s="23"/>
      <c r="U3864" s="23"/>
      <c r="V3864" s="23"/>
      <c r="W3864" s="23"/>
      <c r="X3864" s="23"/>
      <c r="Y3864" s="23"/>
      <c r="Z3864" s="23"/>
    </row>
    <row r="3865" spans="1:26" ht="13">
      <c r="A3865" s="562" t="s">
        <v>8533</v>
      </c>
      <c r="B3865" s="563" t="s">
        <v>8464</v>
      </c>
      <c r="C3865" s="564" t="s">
        <v>1612</v>
      </c>
      <c r="D3865" s="565">
        <v>41426</v>
      </c>
      <c r="E3865" s="565">
        <v>41426</v>
      </c>
      <c r="F3865" s="566">
        <v>10120</v>
      </c>
      <c r="G3865" s="564" t="s">
        <v>337</v>
      </c>
      <c r="H3865" s="564" t="s">
        <v>337</v>
      </c>
      <c r="I3865" s="564" t="s">
        <v>1837</v>
      </c>
      <c r="J3865" s="564" t="s">
        <v>1069</v>
      </c>
      <c r="K3865" s="564" t="s">
        <v>1090</v>
      </c>
      <c r="L3865" s="564" t="s">
        <v>2098</v>
      </c>
      <c r="M3865" s="564" t="s">
        <v>2098</v>
      </c>
      <c r="N3865" s="564" t="s">
        <v>1082</v>
      </c>
      <c r="O3865" s="564" t="s">
        <v>2099</v>
      </c>
      <c r="P3865" s="23"/>
      <c r="Q3865" s="23"/>
      <c r="R3865" s="23"/>
      <c r="S3865" s="23"/>
      <c r="T3865" s="23"/>
      <c r="U3865" s="23"/>
      <c r="V3865" s="23"/>
      <c r="W3865" s="23"/>
      <c r="X3865" s="23"/>
      <c r="Y3865" s="23"/>
      <c r="Z3865" s="23"/>
    </row>
    <row r="3866" spans="1:26" ht="13">
      <c r="A3866" s="562" t="s">
        <v>8534</v>
      </c>
      <c r="B3866" s="563" t="s">
        <v>8535</v>
      </c>
      <c r="C3866" s="564" t="s">
        <v>1612</v>
      </c>
      <c r="D3866" s="565">
        <v>41425</v>
      </c>
      <c r="E3866" s="565">
        <v>41443</v>
      </c>
      <c r="F3866" s="566">
        <v>3636364</v>
      </c>
      <c r="G3866" s="564" t="s">
        <v>337</v>
      </c>
      <c r="H3866" s="564" t="s">
        <v>337</v>
      </c>
      <c r="I3866" s="564" t="s">
        <v>802</v>
      </c>
      <c r="J3866" s="564" t="s">
        <v>1069</v>
      </c>
      <c r="K3866" s="564" t="s">
        <v>1198</v>
      </c>
      <c r="L3866" s="564" t="s">
        <v>2098</v>
      </c>
      <c r="M3866" s="564" t="s">
        <v>2098</v>
      </c>
      <c r="N3866" s="564" t="s">
        <v>132</v>
      </c>
      <c r="O3866" s="564" t="s">
        <v>2099</v>
      </c>
      <c r="P3866" s="23"/>
      <c r="Q3866" s="23"/>
      <c r="R3866" s="23"/>
      <c r="S3866" s="23"/>
      <c r="T3866" s="23"/>
      <c r="U3866" s="23"/>
      <c r="V3866" s="23"/>
      <c r="W3866" s="23"/>
      <c r="X3866" s="23"/>
      <c r="Y3866" s="23"/>
      <c r="Z3866" s="23"/>
    </row>
    <row r="3867" spans="1:26" ht="13">
      <c r="A3867" s="562" t="s">
        <v>8536</v>
      </c>
      <c r="B3867" s="563" t="s">
        <v>8537</v>
      </c>
      <c r="C3867" s="564" t="s">
        <v>1612</v>
      </c>
      <c r="D3867" s="565">
        <v>41424</v>
      </c>
      <c r="E3867" s="565">
        <v>41432</v>
      </c>
      <c r="F3867" s="566">
        <v>1220</v>
      </c>
      <c r="G3867" s="564" t="s">
        <v>337</v>
      </c>
      <c r="H3867" s="564" t="s">
        <v>337</v>
      </c>
      <c r="I3867" s="564" t="s">
        <v>64</v>
      </c>
      <c r="J3867" s="564" t="s">
        <v>1069</v>
      </c>
      <c r="K3867" s="564" t="s">
        <v>1090</v>
      </c>
      <c r="L3867" s="564" t="s">
        <v>2098</v>
      </c>
      <c r="M3867" s="564" t="s">
        <v>2098</v>
      </c>
      <c r="N3867" s="564" t="s">
        <v>64</v>
      </c>
      <c r="O3867" s="564" t="s">
        <v>2099</v>
      </c>
      <c r="P3867" s="23"/>
      <c r="Q3867" s="23"/>
      <c r="R3867" s="23"/>
      <c r="S3867" s="23"/>
      <c r="T3867" s="23"/>
      <c r="U3867" s="23"/>
      <c r="V3867" s="23"/>
      <c r="W3867" s="23"/>
      <c r="X3867" s="23"/>
      <c r="Y3867" s="23"/>
      <c r="Z3867" s="23"/>
    </row>
    <row r="3868" spans="1:26" ht="13">
      <c r="A3868" s="562" t="s">
        <v>8538</v>
      </c>
      <c r="B3868" s="563" t="s">
        <v>8510</v>
      </c>
      <c r="C3868" s="564" t="s">
        <v>1612</v>
      </c>
      <c r="D3868" s="565">
        <v>41424</v>
      </c>
      <c r="E3868" s="565">
        <v>41425</v>
      </c>
      <c r="F3868" s="567">
        <v>773</v>
      </c>
      <c r="G3868" s="564" t="s">
        <v>337</v>
      </c>
      <c r="H3868" s="564" t="s">
        <v>337</v>
      </c>
      <c r="I3868" s="564" t="s">
        <v>8539</v>
      </c>
      <c r="J3868" s="564" t="s">
        <v>1069</v>
      </c>
      <c r="K3868" s="564" t="s">
        <v>1070</v>
      </c>
      <c r="L3868" s="564" t="s">
        <v>2098</v>
      </c>
      <c r="M3868" s="564" t="s">
        <v>2098</v>
      </c>
      <c r="N3868" s="564" t="s">
        <v>1073</v>
      </c>
      <c r="O3868" s="564" t="s">
        <v>2099</v>
      </c>
      <c r="P3868" s="23"/>
      <c r="Q3868" s="23"/>
      <c r="R3868" s="23"/>
      <c r="S3868" s="23"/>
      <c r="T3868" s="23"/>
      <c r="U3868" s="23"/>
      <c r="V3868" s="23"/>
      <c r="W3868" s="23"/>
      <c r="X3868" s="23"/>
      <c r="Y3868" s="23"/>
      <c r="Z3868" s="23"/>
    </row>
    <row r="3869" spans="1:26" ht="13">
      <c r="A3869" s="562" t="s">
        <v>8540</v>
      </c>
      <c r="B3869" s="563" t="s">
        <v>8541</v>
      </c>
      <c r="C3869" s="564" t="s">
        <v>1612</v>
      </c>
      <c r="D3869" s="565">
        <v>41418</v>
      </c>
      <c r="E3869" s="565">
        <v>41424</v>
      </c>
      <c r="F3869" s="566">
        <v>8503</v>
      </c>
      <c r="G3869" s="564" t="s">
        <v>337</v>
      </c>
      <c r="H3869" s="564" t="s">
        <v>337</v>
      </c>
      <c r="I3869" s="564" t="s">
        <v>1821</v>
      </c>
      <c r="J3869" s="564" t="s">
        <v>1069</v>
      </c>
      <c r="K3869" s="564" t="s">
        <v>1120</v>
      </c>
      <c r="L3869" s="564" t="s">
        <v>2098</v>
      </c>
      <c r="M3869" s="564" t="s">
        <v>2098</v>
      </c>
      <c r="N3869" s="564" t="s">
        <v>1073</v>
      </c>
      <c r="O3869" s="564" t="s">
        <v>2099</v>
      </c>
      <c r="P3869" s="23"/>
      <c r="Q3869" s="23"/>
      <c r="R3869" s="23"/>
      <c r="S3869" s="23"/>
      <c r="T3869" s="23"/>
      <c r="U3869" s="23"/>
      <c r="V3869" s="23"/>
      <c r="W3869" s="23"/>
      <c r="X3869" s="23"/>
      <c r="Y3869" s="23"/>
      <c r="Z3869" s="23"/>
    </row>
    <row r="3870" spans="1:26" ht="13">
      <c r="A3870" s="562" t="s">
        <v>8542</v>
      </c>
      <c r="B3870" s="563" t="s">
        <v>8543</v>
      </c>
      <c r="C3870" s="564" t="s">
        <v>1612</v>
      </c>
      <c r="D3870" s="565">
        <v>41418</v>
      </c>
      <c r="E3870" s="565">
        <v>41418</v>
      </c>
      <c r="F3870" s="566">
        <v>3865</v>
      </c>
      <c r="G3870" s="564" t="s">
        <v>337</v>
      </c>
      <c r="H3870" s="564" t="s">
        <v>337</v>
      </c>
      <c r="I3870" s="564" t="s">
        <v>70</v>
      </c>
      <c r="J3870" s="564" t="s">
        <v>1069</v>
      </c>
      <c r="K3870" s="564" t="s">
        <v>1120</v>
      </c>
      <c r="L3870" s="564" t="s">
        <v>2098</v>
      </c>
      <c r="M3870" s="564" t="s">
        <v>2098</v>
      </c>
      <c r="N3870" s="564" t="s">
        <v>70</v>
      </c>
      <c r="O3870" s="564" t="s">
        <v>2099</v>
      </c>
      <c r="P3870" s="23"/>
      <c r="Q3870" s="23"/>
      <c r="R3870" s="23"/>
      <c r="S3870" s="23"/>
      <c r="T3870" s="23"/>
      <c r="U3870" s="23"/>
      <c r="V3870" s="23"/>
      <c r="W3870" s="23"/>
      <c r="X3870" s="23"/>
      <c r="Y3870" s="23"/>
      <c r="Z3870" s="23"/>
    </row>
    <row r="3871" spans="1:26" ht="13">
      <c r="A3871" s="562" t="s">
        <v>8544</v>
      </c>
      <c r="B3871" s="563" t="s">
        <v>7575</v>
      </c>
      <c r="C3871" s="564" t="s">
        <v>1612</v>
      </c>
      <c r="D3871" s="565">
        <v>41416</v>
      </c>
      <c r="E3871" s="565">
        <v>41423</v>
      </c>
      <c r="F3871" s="566">
        <v>2740</v>
      </c>
      <c r="G3871" s="564" t="s">
        <v>337</v>
      </c>
      <c r="H3871" s="564" t="s">
        <v>337</v>
      </c>
      <c r="I3871" s="564" t="s">
        <v>257</v>
      </c>
      <c r="J3871" s="564" t="s">
        <v>1069</v>
      </c>
      <c r="K3871" s="564" t="s">
        <v>1209</v>
      </c>
      <c r="L3871" s="564" t="s">
        <v>2098</v>
      </c>
      <c r="M3871" s="564" t="s">
        <v>2098</v>
      </c>
      <c r="N3871" s="564" t="s">
        <v>257</v>
      </c>
      <c r="O3871" s="564" t="s">
        <v>2099</v>
      </c>
      <c r="P3871" s="23"/>
      <c r="Q3871" s="23"/>
      <c r="R3871" s="23"/>
      <c r="S3871" s="23"/>
      <c r="T3871" s="23"/>
      <c r="U3871" s="23"/>
      <c r="V3871" s="23"/>
      <c r="W3871" s="23"/>
      <c r="X3871" s="23"/>
      <c r="Y3871" s="23"/>
      <c r="Z3871" s="23"/>
    </row>
    <row r="3872" spans="1:26" ht="13">
      <c r="A3872" s="562" t="s">
        <v>8545</v>
      </c>
      <c r="B3872" s="563" t="s">
        <v>8546</v>
      </c>
      <c r="C3872" s="564" t="s">
        <v>1612</v>
      </c>
      <c r="D3872" s="565">
        <v>41414</v>
      </c>
      <c r="E3872" s="565">
        <v>41418</v>
      </c>
      <c r="F3872" s="566">
        <v>2073500</v>
      </c>
      <c r="G3872" s="564" t="s">
        <v>337</v>
      </c>
      <c r="H3872" s="564" t="s">
        <v>337</v>
      </c>
      <c r="I3872" s="564" t="s">
        <v>1821</v>
      </c>
      <c r="J3872" s="564" t="s">
        <v>1069</v>
      </c>
      <c r="K3872" s="564" t="s">
        <v>1120</v>
      </c>
      <c r="L3872" s="564" t="s">
        <v>2098</v>
      </c>
      <c r="M3872" s="564" t="s">
        <v>2098</v>
      </c>
      <c r="N3872" s="564" t="s">
        <v>1073</v>
      </c>
      <c r="O3872" s="564" t="s">
        <v>2099</v>
      </c>
      <c r="P3872" s="23"/>
      <c r="Q3872" s="23"/>
      <c r="R3872" s="23"/>
      <c r="S3872" s="23"/>
      <c r="T3872" s="23"/>
      <c r="U3872" s="23"/>
      <c r="V3872" s="23"/>
      <c r="W3872" s="23"/>
      <c r="X3872" s="23"/>
      <c r="Y3872" s="23"/>
      <c r="Z3872" s="23"/>
    </row>
    <row r="3873" spans="1:26" ht="13">
      <c r="A3873" s="562" t="s">
        <v>8547</v>
      </c>
      <c r="B3873" s="563" t="s">
        <v>8548</v>
      </c>
      <c r="C3873" s="564" t="s">
        <v>2191</v>
      </c>
      <c r="D3873" s="565">
        <v>41408</v>
      </c>
      <c r="E3873" s="565">
        <v>41411</v>
      </c>
      <c r="F3873" s="566">
        <v>15500000</v>
      </c>
      <c r="G3873" s="564" t="s">
        <v>1529</v>
      </c>
      <c r="H3873" s="564" t="s">
        <v>1529</v>
      </c>
      <c r="I3873" s="564" t="s">
        <v>1771</v>
      </c>
      <c r="J3873" s="564" t="s">
        <v>1069</v>
      </c>
      <c r="K3873" s="564" t="s">
        <v>1070</v>
      </c>
      <c r="L3873" s="564" t="s">
        <v>2098</v>
      </c>
      <c r="M3873" s="564" t="s">
        <v>2098</v>
      </c>
      <c r="N3873" s="564" t="s">
        <v>1082</v>
      </c>
      <c r="O3873" s="564" t="s">
        <v>2099</v>
      </c>
      <c r="P3873" s="23"/>
      <c r="Q3873" s="23"/>
      <c r="R3873" s="23"/>
      <c r="S3873" s="23"/>
      <c r="T3873" s="23"/>
      <c r="U3873" s="23"/>
      <c r="V3873" s="23"/>
      <c r="W3873" s="23"/>
      <c r="X3873" s="23"/>
      <c r="Y3873" s="23"/>
      <c r="Z3873" s="23"/>
    </row>
    <row r="3874" spans="1:26" ht="13">
      <c r="A3874" s="562" t="s">
        <v>8549</v>
      </c>
      <c r="B3874" s="563" t="s">
        <v>8550</v>
      </c>
      <c r="C3874" s="564" t="s">
        <v>2191</v>
      </c>
      <c r="D3874" s="565">
        <v>41407</v>
      </c>
      <c r="E3874" s="565">
        <v>41554</v>
      </c>
      <c r="F3874" s="566">
        <v>280000000</v>
      </c>
      <c r="G3874" s="564" t="s">
        <v>1123</v>
      </c>
      <c r="H3874" s="564" t="s">
        <v>1123</v>
      </c>
      <c r="I3874" s="564" t="s">
        <v>143</v>
      </c>
      <c r="J3874" s="564" t="s">
        <v>1069</v>
      </c>
      <c r="K3874" s="564" t="s">
        <v>1205</v>
      </c>
      <c r="L3874" s="564" t="s">
        <v>2098</v>
      </c>
      <c r="M3874" s="564" t="s">
        <v>2098</v>
      </c>
      <c r="N3874" s="564" t="s">
        <v>1073</v>
      </c>
      <c r="O3874" s="564" t="s">
        <v>2099</v>
      </c>
      <c r="P3874" s="23"/>
      <c r="Q3874" s="23"/>
      <c r="R3874" s="23"/>
      <c r="S3874" s="23"/>
      <c r="T3874" s="23"/>
      <c r="U3874" s="23"/>
      <c r="V3874" s="23"/>
      <c r="W3874" s="23"/>
      <c r="X3874" s="23"/>
      <c r="Y3874" s="23"/>
      <c r="Z3874" s="23"/>
    </row>
    <row r="3875" spans="1:26" ht="13">
      <c r="A3875" s="562" t="s">
        <v>8551</v>
      </c>
      <c r="B3875" s="563" t="s">
        <v>8552</v>
      </c>
      <c r="C3875" s="564" t="s">
        <v>2191</v>
      </c>
      <c r="D3875" s="565">
        <v>41407</v>
      </c>
      <c r="E3875" s="565">
        <v>41416</v>
      </c>
      <c r="F3875" s="566">
        <v>3844500</v>
      </c>
      <c r="G3875" s="564" t="s">
        <v>1636</v>
      </c>
      <c r="H3875" s="564" t="s">
        <v>1636</v>
      </c>
      <c r="I3875" s="564" t="s">
        <v>6222</v>
      </c>
      <c r="J3875" s="564" t="s">
        <v>1069</v>
      </c>
      <c r="K3875" s="564" t="s">
        <v>1070</v>
      </c>
      <c r="L3875" s="564" t="s">
        <v>2098</v>
      </c>
      <c r="M3875" s="564" t="s">
        <v>2098</v>
      </c>
      <c r="N3875" s="564" t="s">
        <v>1082</v>
      </c>
      <c r="O3875" s="564" t="s">
        <v>2099</v>
      </c>
      <c r="P3875" s="23"/>
      <c r="Q3875" s="23"/>
      <c r="R3875" s="23"/>
      <c r="S3875" s="23"/>
      <c r="T3875" s="23"/>
      <c r="U3875" s="23"/>
      <c r="V3875" s="23"/>
      <c r="W3875" s="23"/>
      <c r="X3875" s="23"/>
      <c r="Y3875" s="23"/>
      <c r="Z3875" s="23"/>
    </row>
    <row r="3876" spans="1:26" ht="13">
      <c r="A3876" s="562" t="s">
        <v>8553</v>
      </c>
      <c r="B3876" s="563" t="s">
        <v>8554</v>
      </c>
      <c r="C3876" s="564" t="s">
        <v>1873</v>
      </c>
      <c r="D3876" s="565">
        <v>41407</v>
      </c>
      <c r="E3876" s="565">
        <v>41425</v>
      </c>
      <c r="F3876" s="566">
        <v>380000</v>
      </c>
      <c r="G3876" s="564" t="s">
        <v>337</v>
      </c>
      <c r="H3876" s="564" t="s">
        <v>337</v>
      </c>
      <c r="I3876" s="564" t="s">
        <v>170</v>
      </c>
      <c r="J3876" s="564" t="s">
        <v>1069</v>
      </c>
      <c r="K3876" s="564" t="s">
        <v>1105</v>
      </c>
      <c r="L3876" s="564" t="s">
        <v>2098</v>
      </c>
      <c r="M3876" s="564" t="s">
        <v>2098</v>
      </c>
      <c r="N3876" s="564" t="s">
        <v>170</v>
      </c>
      <c r="O3876" s="564" t="s">
        <v>2099</v>
      </c>
      <c r="P3876" s="23"/>
      <c r="Q3876" s="23"/>
      <c r="R3876" s="23"/>
      <c r="S3876" s="23"/>
      <c r="T3876" s="23"/>
      <c r="U3876" s="23"/>
      <c r="V3876" s="23"/>
      <c r="W3876" s="23"/>
      <c r="X3876" s="23"/>
      <c r="Y3876" s="23"/>
      <c r="Z3876" s="23"/>
    </row>
    <row r="3877" spans="1:26" ht="13">
      <c r="A3877" s="562" t="s">
        <v>8555</v>
      </c>
      <c r="B3877" s="563" t="s">
        <v>8546</v>
      </c>
      <c r="C3877" s="564" t="s">
        <v>1612</v>
      </c>
      <c r="D3877" s="565">
        <v>41404</v>
      </c>
      <c r="E3877" s="565">
        <v>41417</v>
      </c>
      <c r="F3877" s="566">
        <v>2073500</v>
      </c>
      <c r="G3877" s="564" t="s">
        <v>337</v>
      </c>
      <c r="H3877" s="564" t="s">
        <v>337</v>
      </c>
      <c r="I3877" s="564" t="s">
        <v>1821</v>
      </c>
      <c r="J3877" s="564" t="s">
        <v>1069</v>
      </c>
      <c r="K3877" s="564" t="s">
        <v>1120</v>
      </c>
      <c r="L3877" s="564" t="s">
        <v>2098</v>
      </c>
      <c r="M3877" s="564" t="s">
        <v>2098</v>
      </c>
      <c r="N3877" s="564" t="s">
        <v>1073</v>
      </c>
      <c r="O3877" s="564" t="s">
        <v>2099</v>
      </c>
      <c r="P3877" s="23"/>
      <c r="Q3877" s="23"/>
      <c r="R3877" s="23"/>
      <c r="S3877" s="23"/>
      <c r="T3877" s="23"/>
      <c r="U3877" s="23"/>
      <c r="V3877" s="23"/>
      <c r="W3877" s="23"/>
      <c r="X3877" s="23"/>
      <c r="Y3877" s="23"/>
      <c r="Z3877" s="23"/>
    </row>
    <row r="3878" spans="1:26" ht="13">
      <c r="A3878" s="562" t="s">
        <v>8556</v>
      </c>
      <c r="B3878" s="563" t="s">
        <v>8464</v>
      </c>
      <c r="C3878" s="564" t="s">
        <v>1612</v>
      </c>
      <c r="D3878" s="565">
        <v>41402</v>
      </c>
      <c r="E3878" s="565">
        <v>41403</v>
      </c>
      <c r="F3878" s="566">
        <v>35670</v>
      </c>
      <c r="G3878" s="564" t="s">
        <v>337</v>
      </c>
      <c r="H3878" s="564" t="s">
        <v>337</v>
      </c>
      <c r="I3878" s="564" t="s">
        <v>1837</v>
      </c>
      <c r="J3878" s="564" t="s">
        <v>1069</v>
      </c>
      <c r="K3878" s="564" t="s">
        <v>1090</v>
      </c>
      <c r="L3878" s="564" t="s">
        <v>2098</v>
      </c>
      <c r="M3878" s="564" t="s">
        <v>2098</v>
      </c>
      <c r="N3878" s="564" t="s">
        <v>1082</v>
      </c>
      <c r="O3878" s="564" t="s">
        <v>2099</v>
      </c>
      <c r="P3878" s="23"/>
      <c r="Q3878" s="23"/>
      <c r="R3878" s="23"/>
      <c r="S3878" s="23"/>
      <c r="T3878" s="23"/>
      <c r="U3878" s="23"/>
      <c r="V3878" s="23"/>
      <c r="W3878" s="23"/>
      <c r="X3878" s="23"/>
      <c r="Y3878" s="23"/>
      <c r="Z3878" s="23"/>
    </row>
    <row r="3879" spans="1:26" ht="13">
      <c r="A3879" s="562" t="s">
        <v>8557</v>
      </c>
      <c r="B3879" s="563" t="s">
        <v>8558</v>
      </c>
      <c r="C3879" s="564" t="s">
        <v>1612</v>
      </c>
      <c r="D3879" s="565">
        <v>41402</v>
      </c>
      <c r="E3879" s="565">
        <v>41395</v>
      </c>
      <c r="F3879" s="566">
        <v>12430080</v>
      </c>
      <c r="G3879" s="564" t="s">
        <v>337</v>
      </c>
      <c r="H3879" s="564" t="s">
        <v>337</v>
      </c>
      <c r="I3879" s="564" t="s">
        <v>45</v>
      </c>
      <c r="J3879" s="564" t="s">
        <v>1069</v>
      </c>
      <c r="K3879" s="564" t="s">
        <v>1090</v>
      </c>
      <c r="L3879" s="564" t="s">
        <v>1071</v>
      </c>
      <c r="M3879" s="564" t="s">
        <v>1183</v>
      </c>
      <c r="N3879" s="564" t="s">
        <v>45</v>
      </c>
      <c r="O3879" s="564" t="s">
        <v>2099</v>
      </c>
      <c r="P3879" s="23"/>
      <c r="Q3879" s="23"/>
      <c r="R3879" s="23"/>
      <c r="S3879" s="23"/>
      <c r="T3879" s="23"/>
      <c r="U3879" s="23"/>
      <c r="V3879" s="23"/>
      <c r="W3879" s="23"/>
      <c r="X3879" s="23"/>
      <c r="Y3879" s="23"/>
      <c r="Z3879" s="23"/>
    </row>
    <row r="3880" spans="1:26" ht="13">
      <c r="A3880" s="562" t="s">
        <v>8559</v>
      </c>
      <c r="B3880" s="563" t="s">
        <v>8560</v>
      </c>
      <c r="C3880" s="564" t="s">
        <v>1612</v>
      </c>
      <c r="D3880" s="565">
        <v>41401</v>
      </c>
      <c r="E3880" s="565">
        <v>41411</v>
      </c>
      <c r="F3880" s="567">
        <v>840</v>
      </c>
      <c r="G3880" s="564" t="s">
        <v>337</v>
      </c>
      <c r="H3880" s="564" t="s">
        <v>337</v>
      </c>
      <c r="I3880" s="564" t="s">
        <v>802</v>
      </c>
      <c r="J3880" s="564" t="s">
        <v>1069</v>
      </c>
      <c r="K3880" s="564" t="s">
        <v>1198</v>
      </c>
      <c r="L3880" s="564" t="s">
        <v>2098</v>
      </c>
      <c r="M3880" s="564" t="s">
        <v>2098</v>
      </c>
      <c r="N3880" s="564" t="s">
        <v>132</v>
      </c>
      <c r="O3880" s="564" t="s">
        <v>2099</v>
      </c>
      <c r="P3880" s="23"/>
      <c r="Q3880" s="23"/>
      <c r="R3880" s="23"/>
      <c r="S3880" s="23"/>
      <c r="T3880" s="23"/>
      <c r="U3880" s="23"/>
      <c r="V3880" s="23"/>
      <c r="W3880" s="23"/>
      <c r="X3880" s="23"/>
      <c r="Y3880" s="23"/>
      <c r="Z3880" s="23"/>
    </row>
    <row r="3881" spans="1:26" ht="13">
      <c r="A3881" s="562" t="s">
        <v>8561</v>
      </c>
      <c r="B3881" s="563" t="s">
        <v>8562</v>
      </c>
      <c r="C3881" s="564" t="s">
        <v>1612</v>
      </c>
      <c r="D3881" s="565">
        <v>41400</v>
      </c>
      <c r="E3881" s="565">
        <v>41409</v>
      </c>
      <c r="F3881" s="566">
        <v>55270</v>
      </c>
      <c r="G3881" s="564" t="s">
        <v>297</v>
      </c>
      <c r="H3881" s="564" t="s">
        <v>297</v>
      </c>
      <c r="I3881" s="564" t="s">
        <v>45</v>
      </c>
      <c r="J3881" s="564" t="s">
        <v>1069</v>
      </c>
      <c r="K3881" s="564" t="s">
        <v>1090</v>
      </c>
      <c r="L3881" s="564" t="s">
        <v>2098</v>
      </c>
      <c r="M3881" s="564" t="s">
        <v>2098</v>
      </c>
      <c r="N3881" s="564" t="s">
        <v>45</v>
      </c>
      <c r="O3881" s="564" t="s">
        <v>2099</v>
      </c>
      <c r="P3881" s="23"/>
      <c r="Q3881" s="23"/>
      <c r="R3881" s="23"/>
      <c r="S3881" s="23"/>
      <c r="T3881" s="23"/>
      <c r="U3881" s="23"/>
      <c r="V3881" s="23"/>
      <c r="W3881" s="23"/>
      <c r="X3881" s="23"/>
      <c r="Y3881" s="23"/>
      <c r="Z3881" s="23"/>
    </row>
    <row r="3882" spans="1:26" ht="13">
      <c r="A3882" s="562" t="s">
        <v>8563</v>
      </c>
      <c r="B3882" s="563" t="s">
        <v>8564</v>
      </c>
      <c r="C3882" s="564" t="s">
        <v>2191</v>
      </c>
      <c r="D3882" s="565">
        <v>41396</v>
      </c>
      <c r="E3882" s="565">
        <v>41425</v>
      </c>
      <c r="F3882" s="566">
        <v>415061</v>
      </c>
      <c r="G3882" s="564" t="s">
        <v>7944</v>
      </c>
      <c r="H3882" s="564" t="s">
        <v>7944</v>
      </c>
      <c r="I3882" s="564" t="s">
        <v>4449</v>
      </c>
      <c r="J3882" s="564" t="s">
        <v>1069</v>
      </c>
      <c r="K3882" s="564" t="s">
        <v>1070</v>
      </c>
      <c r="L3882" s="564" t="s">
        <v>2098</v>
      </c>
      <c r="M3882" s="564" t="s">
        <v>2098</v>
      </c>
      <c r="N3882" s="564" t="s">
        <v>1082</v>
      </c>
      <c r="O3882" s="564" t="s">
        <v>2099</v>
      </c>
      <c r="P3882" s="23"/>
      <c r="Q3882" s="23"/>
      <c r="R3882" s="23"/>
      <c r="S3882" s="23"/>
      <c r="T3882" s="23"/>
      <c r="U3882" s="23"/>
      <c r="V3882" s="23"/>
      <c r="W3882" s="23"/>
      <c r="X3882" s="23"/>
      <c r="Y3882" s="23"/>
      <c r="Z3882" s="23"/>
    </row>
    <row r="3883" spans="1:26" ht="13">
      <c r="A3883" s="562" t="s">
        <v>8565</v>
      </c>
      <c r="B3883" s="563" t="s">
        <v>8566</v>
      </c>
      <c r="C3883" s="564" t="s">
        <v>1612</v>
      </c>
      <c r="D3883" s="565">
        <v>41400</v>
      </c>
      <c r="E3883" s="565">
        <v>41418</v>
      </c>
      <c r="F3883" s="567">
        <v>240</v>
      </c>
      <c r="G3883" s="564" t="s">
        <v>337</v>
      </c>
      <c r="H3883" s="564" t="s">
        <v>337</v>
      </c>
      <c r="I3883" s="564" t="s">
        <v>1586</v>
      </c>
      <c r="J3883" s="564" t="s">
        <v>1069</v>
      </c>
      <c r="K3883" s="564" t="s">
        <v>1090</v>
      </c>
      <c r="L3883" s="564" t="s">
        <v>2098</v>
      </c>
      <c r="M3883" s="564" t="s">
        <v>2098</v>
      </c>
      <c r="N3883" s="564" t="s">
        <v>1073</v>
      </c>
      <c r="O3883" s="564" t="s">
        <v>2099</v>
      </c>
      <c r="P3883" s="23"/>
      <c r="Q3883" s="23"/>
      <c r="R3883" s="23"/>
      <c r="S3883" s="23"/>
      <c r="T3883" s="23"/>
      <c r="U3883" s="23"/>
      <c r="V3883" s="23"/>
      <c r="W3883" s="23"/>
      <c r="X3883" s="23"/>
      <c r="Y3883" s="23"/>
      <c r="Z3883" s="23"/>
    </row>
    <row r="3884" spans="1:26" ht="13">
      <c r="A3884" s="562" t="s">
        <v>8567</v>
      </c>
      <c r="B3884" s="563" t="s">
        <v>8568</v>
      </c>
      <c r="C3884" s="564" t="s">
        <v>2191</v>
      </c>
      <c r="D3884" s="565">
        <v>41394</v>
      </c>
      <c r="E3884" s="565">
        <v>41402</v>
      </c>
      <c r="F3884" s="566">
        <v>350591</v>
      </c>
      <c r="G3884" s="564" t="s">
        <v>1636</v>
      </c>
      <c r="H3884" s="564" t="s">
        <v>1636</v>
      </c>
      <c r="I3884" s="564" t="s">
        <v>7259</v>
      </c>
      <c r="J3884" s="564" t="s">
        <v>1069</v>
      </c>
      <c r="K3884" s="564" t="s">
        <v>1070</v>
      </c>
      <c r="L3884" s="564" t="s">
        <v>2098</v>
      </c>
      <c r="M3884" s="564" t="s">
        <v>2098</v>
      </c>
      <c r="N3884" s="564" t="s">
        <v>1082</v>
      </c>
      <c r="O3884" s="564" t="s">
        <v>2099</v>
      </c>
      <c r="P3884" s="23"/>
      <c r="Q3884" s="23"/>
      <c r="R3884" s="23"/>
      <c r="S3884" s="23"/>
      <c r="T3884" s="23"/>
      <c r="U3884" s="23"/>
      <c r="V3884" s="23"/>
      <c r="W3884" s="23"/>
      <c r="X3884" s="23"/>
      <c r="Y3884" s="23"/>
      <c r="Z3884" s="23"/>
    </row>
    <row r="3885" spans="1:26" ht="13">
      <c r="A3885" s="562" t="s">
        <v>8569</v>
      </c>
      <c r="B3885" s="563" t="s">
        <v>8570</v>
      </c>
      <c r="C3885" s="564" t="s">
        <v>6860</v>
      </c>
      <c r="D3885" s="565">
        <v>41396</v>
      </c>
      <c r="E3885" s="565">
        <v>41577</v>
      </c>
      <c r="F3885" s="566">
        <v>2300000</v>
      </c>
      <c r="G3885" s="564" t="s">
        <v>1116</v>
      </c>
      <c r="H3885" s="564" t="s">
        <v>1116</v>
      </c>
      <c r="I3885" s="564" t="s">
        <v>6291</v>
      </c>
      <c r="J3885" s="564" t="s">
        <v>1069</v>
      </c>
      <c r="K3885" s="564" t="s">
        <v>1070</v>
      </c>
      <c r="L3885" s="564" t="s">
        <v>2098</v>
      </c>
      <c r="M3885" s="564" t="s">
        <v>2098</v>
      </c>
      <c r="N3885" s="564" t="s">
        <v>1082</v>
      </c>
      <c r="O3885" s="564" t="s">
        <v>2099</v>
      </c>
      <c r="P3885" s="23"/>
      <c r="Q3885" s="23"/>
      <c r="R3885" s="23"/>
      <c r="S3885" s="23"/>
      <c r="T3885" s="23"/>
      <c r="U3885" s="23"/>
      <c r="V3885" s="23"/>
      <c r="W3885" s="23"/>
      <c r="X3885" s="23"/>
      <c r="Y3885" s="23"/>
      <c r="Z3885" s="23"/>
    </row>
    <row r="3886" spans="1:26" ht="13">
      <c r="A3886" s="562" t="s">
        <v>8571</v>
      </c>
      <c r="B3886" s="563" t="s">
        <v>8572</v>
      </c>
      <c r="C3886" s="564" t="s">
        <v>1204</v>
      </c>
      <c r="D3886" s="565">
        <v>41394</v>
      </c>
      <c r="E3886" s="565">
        <v>41394</v>
      </c>
      <c r="F3886" s="566">
        <v>16789608</v>
      </c>
      <c r="G3886" s="564" t="s">
        <v>297</v>
      </c>
      <c r="H3886" s="564" t="s">
        <v>297</v>
      </c>
      <c r="I3886" s="564" t="s">
        <v>1471</v>
      </c>
      <c r="J3886" s="564" t="s">
        <v>1069</v>
      </c>
      <c r="K3886" s="564" t="s">
        <v>1070</v>
      </c>
      <c r="L3886" s="564" t="s">
        <v>1071</v>
      </c>
      <c r="M3886" s="564" t="s">
        <v>1183</v>
      </c>
      <c r="N3886" s="564" t="s">
        <v>1082</v>
      </c>
      <c r="O3886" s="564" t="s">
        <v>1472</v>
      </c>
      <c r="P3886" s="23"/>
      <c r="Q3886" s="23"/>
      <c r="R3886" s="23"/>
      <c r="S3886" s="23"/>
      <c r="T3886" s="23"/>
      <c r="U3886" s="23"/>
      <c r="V3886" s="23"/>
      <c r="W3886" s="23"/>
      <c r="X3886" s="23"/>
      <c r="Y3886" s="23"/>
      <c r="Z3886" s="23"/>
    </row>
    <row r="3887" spans="1:26" ht="13">
      <c r="A3887" s="562" t="s">
        <v>8573</v>
      </c>
      <c r="B3887" s="563" t="s">
        <v>8574</v>
      </c>
      <c r="C3887" s="564" t="s">
        <v>1612</v>
      </c>
      <c r="D3887" s="565">
        <v>41394</v>
      </c>
      <c r="E3887" s="565">
        <v>41411</v>
      </c>
      <c r="F3887" s="566">
        <v>225833000</v>
      </c>
      <c r="G3887" s="564" t="s">
        <v>1856</v>
      </c>
      <c r="H3887" s="564" t="s">
        <v>1856</v>
      </c>
      <c r="I3887" s="564" t="s">
        <v>45</v>
      </c>
      <c r="J3887" s="564" t="s">
        <v>1069</v>
      </c>
      <c r="K3887" s="564" t="s">
        <v>1090</v>
      </c>
      <c r="L3887" s="564" t="s">
        <v>2098</v>
      </c>
      <c r="M3887" s="564" t="s">
        <v>2098</v>
      </c>
      <c r="N3887" s="564" t="s">
        <v>45</v>
      </c>
      <c r="O3887" s="564" t="s">
        <v>2099</v>
      </c>
      <c r="P3887" s="23"/>
      <c r="Q3887" s="23"/>
      <c r="R3887" s="23"/>
      <c r="S3887" s="23"/>
      <c r="T3887" s="23"/>
      <c r="U3887" s="23"/>
      <c r="V3887" s="23"/>
      <c r="W3887" s="23"/>
      <c r="X3887" s="23"/>
      <c r="Y3887" s="23"/>
      <c r="Z3887" s="23"/>
    </row>
    <row r="3888" spans="1:26" ht="13">
      <c r="A3888" s="562" t="s">
        <v>8575</v>
      </c>
      <c r="B3888" s="563" t="s">
        <v>8510</v>
      </c>
      <c r="C3888" s="564" t="s">
        <v>1612</v>
      </c>
      <c r="D3888" s="565">
        <v>41390</v>
      </c>
      <c r="E3888" s="565">
        <v>41393</v>
      </c>
      <c r="F3888" s="567">
        <v>777</v>
      </c>
      <c r="G3888" s="564" t="s">
        <v>337</v>
      </c>
      <c r="H3888" s="564" t="s">
        <v>337</v>
      </c>
      <c r="I3888" s="564" t="s">
        <v>70</v>
      </c>
      <c r="J3888" s="564" t="s">
        <v>1069</v>
      </c>
      <c r="K3888" s="564" t="s">
        <v>1120</v>
      </c>
      <c r="L3888" s="564" t="s">
        <v>2098</v>
      </c>
      <c r="M3888" s="564" t="s">
        <v>2098</v>
      </c>
      <c r="N3888" s="564" t="s">
        <v>70</v>
      </c>
      <c r="O3888" s="564" t="s">
        <v>2099</v>
      </c>
      <c r="P3888" s="23"/>
      <c r="Q3888" s="23"/>
      <c r="R3888" s="23"/>
      <c r="S3888" s="23"/>
      <c r="T3888" s="23"/>
      <c r="U3888" s="23"/>
      <c r="V3888" s="23"/>
      <c r="W3888" s="23"/>
      <c r="X3888" s="23"/>
      <c r="Y3888" s="23"/>
      <c r="Z3888" s="23"/>
    </row>
    <row r="3889" spans="1:26" ht="13">
      <c r="A3889" s="562" t="s">
        <v>8576</v>
      </c>
      <c r="B3889" s="563" t="s">
        <v>8577</v>
      </c>
      <c r="C3889" s="564" t="s">
        <v>1612</v>
      </c>
      <c r="D3889" s="565">
        <v>41390</v>
      </c>
      <c r="E3889" s="565">
        <v>41394</v>
      </c>
      <c r="F3889" s="567">
        <v>670</v>
      </c>
      <c r="G3889" s="564" t="s">
        <v>337</v>
      </c>
      <c r="H3889" s="564" t="s">
        <v>337</v>
      </c>
      <c r="I3889" s="564" t="s">
        <v>70</v>
      </c>
      <c r="J3889" s="564" t="s">
        <v>1069</v>
      </c>
      <c r="K3889" s="564" t="s">
        <v>1120</v>
      </c>
      <c r="L3889" s="564" t="s">
        <v>2098</v>
      </c>
      <c r="M3889" s="564" t="s">
        <v>2098</v>
      </c>
      <c r="N3889" s="564" t="s">
        <v>70</v>
      </c>
      <c r="O3889" s="564" t="s">
        <v>2099</v>
      </c>
      <c r="P3889" s="23"/>
      <c r="Q3889" s="23"/>
      <c r="R3889" s="23"/>
      <c r="S3889" s="23"/>
      <c r="T3889" s="23"/>
      <c r="U3889" s="23"/>
      <c r="V3889" s="23"/>
      <c r="W3889" s="23"/>
      <c r="X3889" s="23"/>
      <c r="Y3889" s="23"/>
      <c r="Z3889" s="23"/>
    </row>
    <row r="3890" spans="1:26" ht="13">
      <c r="A3890" s="562" t="s">
        <v>8578</v>
      </c>
      <c r="B3890" s="563" t="s">
        <v>8579</v>
      </c>
      <c r="C3890" s="564" t="s">
        <v>1612</v>
      </c>
      <c r="D3890" s="565">
        <v>41389</v>
      </c>
      <c r="E3890" s="565">
        <v>41410</v>
      </c>
      <c r="F3890" s="566">
        <v>40710</v>
      </c>
      <c r="G3890" s="564" t="s">
        <v>337</v>
      </c>
      <c r="H3890" s="564" t="s">
        <v>337</v>
      </c>
      <c r="I3890" s="564" t="s">
        <v>802</v>
      </c>
      <c r="J3890" s="564" t="s">
        <v>1069</v>
      </c>
      <c r="K3890" s="564" t="s">
        <v>1198</v>
      </c>
      <c r="L3890" s="564" t="s">
        <v>2098</v>
      </c>
      <c r="M3890" s="564" t="s">
        <v>2098</v>
      </c>
      <c r="N3890" s="564" t="s">
        <v>132</v>
      </c>
      <c r="O3890" s="564" t="s">
        <v>2099</v>
      </c>
      <c r="P3890" s="23"/>
      <c r="Q3890" s="23"/>
      <c r="R3890" s="23"/>
      <c r="S3890" s="23"/>
      <c r="T3890" s="23"/>
      <c r="U3890" s="23"/>
      <c r="V3890" s="23"/>
      <c r="W3890" s="23"/>
      <c r="X3890" s="23"/>
      <c r="Y3890" s="23"/>
      <c r="Z3890" s="23"/>
    </row>
    <row r="3891" spans="1:26" ht="13">
      <c r="A3891" s="562" t="s">
        <v>8580</v>
      </c>
      <c r="B3891" s="563" t="s">
        <v>8464</v>
      </c>
      <c r="C3891" s="564" t="s">
        <v>1612</v>
      </c>
      <c r="D3891" s="565">
        <v>41389</v>
      </c>
      <c r="E3891" s="565">
        <v>41390</v>
      </c>
      <c r="F3891" s="566">
        <v>13005</v>
      </c>
      <c r="G3891" s="564" t="s">
        <v>337</v>
      </c>
      <c r="H3891" s="564" t="s">
        <v>337</v>
      </c>
      <c r="I3891" s="564" t="s">
        <v>1837</v>
      </c>
      <c r="J3891" s="564" t="s">
        <v>1069</v>
      </c>
      <c r="K3891" s="564" t="s">
        <v>1090</v>
      </c>
      <c r="L3891" s="564" t="s">
        <v>2098</v>
      </c>
      <c r="M3891" s="564" t="s">
        <v>2098</v>
      </c>
      <c r="N3891" s="564" t="s">
        <v>1082</v>
      </c>
      <c r="O3891" s="564" t="s">
        <v>2099</v>
      </c>
      <c r="P3891" s="23"/>
      <c r="Q3891" s="23"/>
      <c r="R3891" s="23"/>
      <c r="S3891" s="23"/>
      <c r="T3891" s="23"/>
      <c r="U3891" s="23"/>
      <c r="V3891" s="23"/>
      <c r="W3891" s="23"/>
      <c r="X3891" s="23"/>
      <c r="Y3891" s="23"/>
      <c r="Z3891" s="23"/>
    </row>
    <row r="3892" spans="1:26" ht="13">
      <c r="A3892" s="562" t="s">
        <v>8581</v>
      </c>
      <c r="B3892" s="563" t="s">
        <v>8582</v>
      </c>
      <c r="C3892" s="564" t="s">
        <v>1612</v>
      </c>
      <c r="D3892" s="565">
        <v>41389</v>
      </c>
      <c r="E3892" s="565">
        <v>41394</v>
      </c>
      <c r="F3892" s="566">
        <v>12272727</v>
      </c>
      <c r="G3892" s="564" t="s">
        <v>337</v>
      </c>
      <c r="H3892" s="564" t="s">
        <v>337</v>
      </c>
      <c r="I3892" s="564" t="s">
        <v>802</v>
      </c>
      <c r="J3892" s="564" t="s">
        <v>1069</v>
      </c>
      <c r="K3892" s="564" t="s">
        <v>1198</v>
      </c>
      <c r="L3892" s="564" t="s">
        <v>2098</v>
      </c>
      <c r="M3892" s="564" t="s">
        <v>2098</v>
      </c>
      <c r="N3892" s="564" t="s">
        <v>132</v>
      </c>
      <c r="O3892" s="564" t="s">
        <v>2099</v>
      </c>
      <c r="P3892" s="23"/>
      <c r="Q3892" s="23"/>
      <c r="R3892" s="23"/>
      <c r="S3892" s="23"/>
      <c r="T3892" s="23"/>
      <c r="U3892" s="23"/>
      <c r="V3892" s="23"/>
      <c r="W3892" s="23"/>
      <c r="X3892" s="23"/>
      <c r="Y3892" s="23"/>
      <c r="Z3892" s="23"/>
    </row>
    <row r="3893" spans="1:26" ht="13">
      <c r="A3893" s="562" t="s">
        <v>8583</v>
      </c>
      <c r="B3893" s="563" t="s">
        <v>8584</v>
      </c>
      <c r="C3893" s="564" t="s">
        <v>1612</v>
      </c>
      <c r="D3893" s="565">
        <v>41388</v>
      </c>
      <c r="E3893" s="565">
        <v>41393</v>
      </c>
      <c r="F3893" s="566">
        <v>16720000</v>
      </c>
      <c r="G3893" s="564" t="s">
        <v>1128</v>
      </c>
      <c r="H3893" s="564" t="s">
        <v>1128</v>
      </c>
      <c r="I3893" s="564" t="s">
        <v>45</v>
      </c>
      <c r="J3893" s="564" t="s">
        <v>1069</v>
      </c>
      <c r="K3893" s="564" t="s">
        <v>1090</v>
      </c>
      <c r="L3893" s="564" t="s">
        <v>2098</v>
      </c>
      <c r="M3893" s="564" t="s">
        <v>2098</v>
      </c>
      <c r="N3893" s="564" t="s">
        <v>45</v>
      </c>
      <c r="O3893" s="564" t="s">
        <v>2099</v>
      </c>
      <c r="P3893" s="23"/>
      <c r="Q3893" s="23"/>
      <c r="R3893" s="23"/>
      <c r="S3893" s="23"/>
      <c r="T3893" s="23"/>
      <c r="U3893" s="23"/>
      <c r="V3893" s="23"/>
      <c r="W3893" s="23"/>
      <c r="X3893" s="23"/>
      <c r="Y3893" s="23"/>
      <c r="Z3893" s="23"/>
    </row>
    <row r="3894" spans="1:26" ht="13">
      <c r="A3894" s="562" t="s">
        <v>8585</v>
      </c>
      <c r="B3894" s="563" t="s">
        <v>8527</v>
      </c>
      <c r="C3894" s="564" t="s">
        <v>1612</v>
      </c>
      <c r="D3894" s="565">
        <v>41388</v>
      </c>
      <c r="E3894" s="565">
        <v>41394</v>
      </c>
      <c r="F3894" s="566">
        <v>3305650</v>
      </c>
      <c r="G3894" s="564" t="s">
        <v>337</v>
      </c>
      <c r="H3894" s="564" t="s">
        <v>337</v>
      </c>
      <c r="I3894" s="564" t="s">
        <v>64</v>
      </c>
      <c r="J3894" s="564" t="s">
        <v>1069</v>
      </c>
      <c r="K3894" s="564" t="s">
        <v>1090</v>
      </c>
      <c r="L3894" s="564" t="s">
        <v>2098</v>
      </c>
      <c r="M3894" s="564" t="s">
        <v>2098</v>
      </c>
      <c r="N3894" s="564" t="s">
        <v>64</v>
      </c>
      <c r="O3894" s="564" t="s">
        <v>2099</v>
      </c>
      <c r="P3894" s="23"/>
      <c r="Q3894" s="23"/>
      <c r="R3894" s="23"/>
      <c r="S3894" s="23"/>
      <c r="T3894" s="23"/>
      <c r="U3894" s="23"/>
      <c r="V3894" s="23"/>
      <c r="W3894" s="23"/>
      <c r="X3894" s="23"/>
      <c r="Y3894" s="23"/>
      <c r="Z3894" s="23"/>
    </row>
    <row r="3895" spans="1:26" ht="13">
      <c r="A3895" s="562" t="s">
        <v>8586</v>
      </c>
      <c r="B3895" s="563" t="s">
        <v>8005</v>
      </c>
      <c r="C3895" s="564" t="s">
        <v>1612</v>
      </c>
      <c r="D3895" s="565">
        <v>41388</v>
      </c>
      <c r="E3895" s="565">
        <v>41394</v>
      </c>
      <c r="F3895" s="567">
        <v>715</v>
      </c>
      <c r="G3895" s="564" t="s">
        <v>337</v>
      </c>
      <c r="H3895" s="564" t="s">
        <v>337</v>
      </c>
      <c r="I3895" s="564" t="s">
        <v>70</v>
      </c>
      <c r="J3895" s="564" t="s">
        <v>1069</v>
      </c>
      <c r="K3895" s="564" t="s">
        <v>1120</v>
      </c>
      <c r="L3895" s="564" t="s">
        <v>2098</v>
      </c>
      <c r="M3895" s="564" t="s">
        <v>2098</v>
      </c>
      <c r="N3895" s="564" t="s">
        <v>70</v>
      </c>
      <c r="O3895" s="564" t="s">
        <v>2099</v>
      </c>
      <c r="P3895" s="23"/>
      <c r="Q3895" s="23"/>
      <c r="R3895" s="23"/>
      <c r="S3895" s="23"/>
      <c r="T3895" s="23"/>
      <c r="U3895" s="23"/>
      <c r="V3895" s="23"/>
      <c r="W3895" s="23"/>
      <c r="X3895" s="23"/>
      <c r="Y3895" s="23"/>
      <c r="Z3895" s="23"/>
    </row>
    <row r="3896" spans="1:26" ht="13">
      <c r="A3896" s="562" t="s">
        <v>8587</v>
      </c>
      <c r="B3896" s="563" t="s">
        <v>8588</v>
      </c>
      <c r="C3896" s="564" t="s">
        <v>1612</v>
      </c>
      <c r="D3896" s="565">
        <v>41388</v>
      </c>
      <c r="E3896" s="565">
        <v>41394</v>
      </c>
      <c r="F3896" s="566">
        <v>460000</v>
      </c>
      <c r="G3896" s="564" t="s">
        <v>337</v>
      </c>
      <c r="H3896" s="564" t="s">
        <v>337</v>
      </c>
      <c r="I3896" s="564" t="s">
        <v>1247</v>
      </c>
      <c r="J3896" s="564" t="s">
        <v>1069</v>
      </c>
      <c r="K3896" s="564" t="s">
        <v>1070</v>
      </c>
      <c r="L3896" s="564" t="s">
        <v>2098</v>
      </c>
      <c r="M3896" s="564" t="s">
        <v>2098</v>
      </c>
      <c r="N3896" s="564" t="s">
        <v>1073</v>
      </c>
      <c r="O3896" s="564" t="s">
        <v>2099</v>
      </c>
      <c r="P3896" s="23"/>
      <c r="Q3896" s="23"/>
      <c r="R3896" s="23"/>
      <c r="S3896" s="23"/>
      <c r="T3896" s="23"/>
      <c r="U3896" s="23"/>
      <c r="V3896" s="23"/>
      <c r="W3896" s="23"/>
      <c r="X3896" s="23"/>
      <c r="Y3896" s="23"/>
      <c r="Z3896" s="23"/>
    </row>
    <row r="3897" spans="1:26" ht="13">
      <c r="A3897" s="562" t="s">
        <v>8589</v>
      </c>
      <c r="B3897" s="563" t="s">
        <v>8590</v>
      </c>
      <c r="C3897" s="564" t="s">
        <v>2191</v>
      </c>
      <c r="D3897" s="565">
        <v>41386</v>
      </c>
      <c r="E3897" s="565">
        <v>41389</v>
      </c>
      <c r="F3897" s="566">
        <v>83445455</v>
      </c>
      <c r="G3897" s="564" t="s">
        <v>1187</v>
      </c>
      <c r="H3897" s="564" t="s">
        <v>1187</v>
      </c>
      <c r="I3897" s="564" t="s">
        <v>8591</v>
      </c>
      <c r="J3897" s="564" t="s">
        <v>1069</v>
      </c>
      <c r="K3897" s="564" t="s">
        <v>1198</v>
      </c>
      <c r="L3897" s="564" t="s">
        <v>2098</v>
      </c>
      <c r="M3897" s="564" t="s">
        <v>2098</v>
      </c>
      <c r="N3897" s="564" t="s">
        <v>1368</v>
      </c>
      <c r="O3897" s="564" t="s">
        <v>2099</v>
      </c>
      <c r="P3897" s="23"/>
      <c r="Q3897" s="23"/>
      <c r="R3897" s="23"/>
      <c r="S3897" s="23"/>
      <c r="T3897" s="23"/>
      <c r="U3897" s="23"/>
      <c r="V3897" s="23"/>
      <c r="W3897" s="23"/>
      <c r="X3897" s="23"/>
      <c r="Y3897" s="23"/>
      <c r="Z3897" s="23"/>
    </row>
    <row r="3898" spans="1:26" ht="13">
      <c r="A3898" s="562" t="s">
        <v>8592</v>
      </c>
      <c r="B3898" s="563" t="s">
        <v>8593</v>
      </c>
      <c r="C3898" s="564" t="s">
        <v>2191</v>
      </c>
      <c r="D3898" s="565">
        <v>41386</v>
      </c>
      <c r="E3898" s="565">
        <v>41389</v>
      </c>
      <c r="F3898" s="566">
        <v>272910000</v>
      </c>
      <c r="G3898" s="564" t="s">
        <v>1187</v>
      </c>
      <c r="H3898" s="564" t="s">
        <v>1187</v>
      </c>
      <c r="I3898" s="564" t="s">
        <v>8591</v>
      </c>
      <c r="J3898" s="564" t="s">
        <v>1069</v>
      </c>
      <c r="K3898" s="564" t="s">
        <v>1198</v>
      </c>
      <c r="L3898" s="564" t="s">
        <v>2098</v>
      </c>
      <c r="M3898" s="564" t="s">
        <v>2098</v>
      </c>
      <c r="N3898" s="564" t="s">
        <v>1368</v>
      </c>
      <c r="O3898" s="564" t="s">
        <v>2099</v>
      </c>
      <c r="P3898" s="23"/>
      <c r="Q3898" s="23"/>
      <c r="R3898" s="23"/>
      <c r="S3898" s="23"/>
      <c r="T3898" s="23"/>
      <c r="U3898" s="23"/>
      <c r="V3898" s="23"/>
      <c r="W3898" s="23"/>
      <c r="X3898" s="23"/>
      <c r="Y3898" s="23"/>
      <c r="Z3898" s="23"/>
    </row>
    <row r="3899" spans="1:26" ht="13">
      <c r="A3899" s="562" t="s">
        <v>8594</v>
      </c>
      <c r="B3899" s="563" t="s">
        <v>8595</v>
      </c>
      <c r="C3899" s="564" t="s">
        <v>1612</v>
      </c>
      <c r="D3899" s="565">
        <v>41383</v>
      </c>
      <c r="E3899" s="565">
        <v>41394</v>
      </c>
      <c r="F3899" s="566">
        <v>8250</v>
      </c>
      <c r="G3899" s="564" t="s">
        <v>337</v>
      </c>
      <c r="H3899" s="564" t="s">
        <v>337</v>
      </c>
      <c r="I3899" s="564" t="s">
        <v>121</v>
      </c>
      <c r="J3899" s="564" t="s">
        <v>1069</v>
      </c>
      <c r="K3899" s="564" t="s">
        <v>1105</v>
      </c>
      <c r="L3899" s="564" t="s">
        <v>2098</v>
      </c>
      <c r="M3899" s="564" t="s">
        <v>2098</v>
      </c>
      <c r="N3899" s="564" t="s">
        <v>1073</v>
      </c>
      <c r="O3899" s="564" t="s">
        <v>2099</v>
      </c>
      <c r="P3899" s="23"/>
      <c r="Q3899" s="23"/>
      <c r="R3899" s="23"/>
      <c r="S3899" s="23"/>
      <c r="T3899" s="23"/>
      <c r="U3899" s="23"/>
      <c r="V3899" s="23"/>
      <c r="W3899" s="23"/>
      <c r="X3899" s="23"/>
      <c r="Y3899" s="23"/>
      <c r="Z3899" s="23"/>
    </row>
    <row r="3900" spans="1:26" ht="13">
      <c r="A3900" s="562" t="s">
        <v>8596</v>
      </c>
      <c r="B3900" s="563" t="s">
        <v>8597</v>
      </c>
      <c r="C3900" s="564" t="s">
        <v>1612</v>
      </c>
      <c r="D3900" s="565">
        <v>41383</v>
      </c>
      <c r="E3900" s="565">
        <v>41394</v>
      </c>
      <c r="F3900" s="566">
        <v>5120</v>
      </c>
      <c r="G3900" s="564" t="s">
        <v>337</v>
      </c>
      <c r="H3900" s="564" t="s">
        <v>337</v>
      </c>
      <c r="I3900" s="564" t="s">
        <v>70</v>
      </c>
      <c r="J3900" s="564" t="s">
        <v>1069</v>
      </c>
      <c r="K3900" s="564" t="s">
        <v>1120</v>
      </c>
      <c r="L3900" s="564" t="s">
        <v>2098</v>
      </c>
      <c r="M3900" s="564" t="s">
        <v>2098</v>
      </c>
      <c r="N3900" s="564" t="s">
        <v>70</v>
      </c>
      <c r="O3900" s="564" t="s">
        <v>2099</v>
      </c>
      <c r="P3900" s="23"/>
      <c r="Q3900" s="23"/>
      <c r="R3900" s="23"/>
      <c r="S3900" s="23"/>
      <c r="T3900" s="23"/>
      <c r="U3900" s="23"/>
      <c r="V3900" s="23"/>
      <c r="W3900" s="23"/>
      <c r="X3900" s="23"/>
      <c r="Y3900" s="23"/>
      <c r="Z3900" s="23"/>
    </row>
    <row r="3901" spans="1:26" ht="13">
      <c r="A3901" s="562" t="s">
        <v>8598</v>
      </c>
      <c r="B3901" s="563" t="s">
        <v>8599</v>
      </c>
      <c r="C3901" s="564" t="s">
        <v>2191</v>
      </c>
      <c r="D3901" s="565">
        <v>41381</v>
      </c>
      <c r="E3901" s="565">
        <v>41442</v>
      </c>
      <c r="F3901" s="566">
        <v>433150</v>
      </c>
      <c r="G3901" s="564" t="s">
        <v>297</v>
      </c>
      <c r="H3901" s="564" t="s">
        <v>297</v>
      </c>
      <c r="I3901" s="564" t="s">
        <v>8600</v>
      </c>
      <c r="J3901" s="564" t="s">
        <v>1069</v>
      </c>
      <c r="K3901" s="564" t="s">
        <v>1070</v>
      </c>
      <c r="L3901" s="564" t="s">
        <v>2098</v>
      </c>
      <c r="M3901" s="564" t="s">
        <v>2098</v>
      </c>
      <c r="N3901" s="564" t="s">
        <v>2439</v>
      </c>
      <c r="O3901" s="564" t="s">
        <v>2099</v>
      </c>
      <c r="P3901" s="23"/>
      <c r="Q3901" s="23"/>
      <c r="R3901" s="23"/>
      <c r="S3901" s="23"/>
      <c r="T3901" s="23"/>
      <c r="U3901" s="23"/>
      <c r="V3901" s="23"/>
      <c r="W3901" s="23"/>
      <c r="X3901" s="23"/>
      <c r="Y3901" s="23"/>
      <c r="Z3901" s="23"/>
    </row>
    <row r="3902" spans="1:26" ht="13">
      <c r="A3902" s="562" t="s">
        <v>8601</v>
      </c>
      <c r="B3902" s="563" t="s">
        <v>8602</v>
      </c>
      <c r="C3902" s="564" t="s">
        <v>1612</v>
      </c>
      <c r="D3902" s="565">
        <v>41380</v>
      </c>
      <c r="E3902" s="565">
        <v>41389</v>
      </c>
      <c r="F3902" s="566">
        <v>57461</v>
      </c>
      <c r="G3902" s="564" t="s">
        <v>297</v>
      </c>
      <c r="H3902" s="564" t="s">
        <v>297</v>
      </c>
      <c r="I3902" s="564" t="s">
        <v>45</v>
      </c>
      <c r="J3902" s="564" t="s">
        <v>1069</v>
      </c>
      <c r="K3902" s="564" t="s">
        <v>1090</v>
      </c>
      <c r="L3902" s="564" t="s">
        <v>2098</v>
      </c>
      <c r="M3902" s="564" t="s">
        <v>2098</v>
      </c>
      <c r="N3902" s="564" t="s">
        <v>45</v>
      </c>
      <c r="O3902" s="564" t="s">
        <v>2099</v>
      </c>
      <c r="P3902" s="23"/>
      <c r="Q3902" s="23"/>
      <c r="R3902" s="23"/>
      <c r="S3902" s="23"/>
      <c r="T3902" s="23"/>
      <c r="U3902" s="23"/>
      <c r="V3902" s="23"/>
      <c r="W3902" s="23"/>
      <c r="X3902" s="23"/>
      <c r="Y3902" s="23"/>
      <c r="Z3902" s="23"/>
    </row>
    <row r="3903" spans="1:26" ht="13">
      <c r="A3903" s="562" t="s">
        <v>8603</v>
      </c>
      <c r="B3903" s="563" t="s">
        <v>8604</v>
      </c>
      <c r="C3903" s="564" t="s">
        <v>1612</v>
      </c>
      <c r="D3903" s="565">
        <v>41380</v>
      </c>
      <c r="E3903" s="565">
        <v>41394</v>
      </c>
      <c r="F3903" s="566">
        <v>390000</v>
      </c>
      <c r="G3903" s="564" t="s">
        <v>297</v>
      </c>
      <c r="H3903" s="564" t="s">
        <v>297</v>
      </c>
      <c r="I3903" s="564" t="s">
        <v>45</v>
      </c>
      <c r="J3903" s="564" t="s">
        <v>1069</v>
      </c>
      <c r="K3903" s="564" t="s">
        <v>1090</v>
      </c>
      <c r="L3903" s="564" t="s">
        <v>2098</v>
      </c>
      <c r="M3903" s="564" t="s">
        <v>2098</v>
      </c>
      <c r="N3903" s="564" t="s">
        <v>45</v>
      </c>
      <c r="O3903" s="564" t="s">
        <v>2099</v>
      </c>
      <c r="P3903" s="23"/>
      <c r="Q3903" s="23"/>
      <c r="R3903" s="23"/>
      <c r="S3903" s="23"/>
      <c r="T3903" s="23"/>
      <c r="U3903" s="23"/>
      <c r="V3903" s="23"/>
      <c r="W3903" s="23"/>
      <c r="X3903" s="23"/>
      <c r="Y3903" s="23"/>
      <c r="Z3903" s="23"/>
    </row>
    <row r="3904" spans="1:26" ht="13">
      <c r="A3904" s="562" t="s">
        <v>8605</v>
      </c>
      <c r="B3904" s="563" t="s">
        <v>8606</v>
      </c>
      <c r="C3904" s="564" t="s">
        <v>1612</v>
      </c>
      <c r="D3904" s="565">
        <v>41379</v>
      </c>
      <c r="E3904" s="565">
        <v>41383</v>
      </c>
      <c r="F3904" s="566">
        <v>190000</v>
      </c>
      <c r="G3904" s="564" t="s">
        <v>337</v>
      </c>
      <c r="H3904" s="564" t="s">
        <v>337</v>
      </c>
      <c r="I3904" s="564" t="s">
        <v>802</v>
      </c>
      <c r="J3904" s="564" t="s">
        <v>1069</v>
      </c>
      <c r="K3904" s="564" t="s">
        <v>1198</v>
      </c>
      <c r="L3904" s="564" t="s">
        <v>2098</v>
      </c>
      <c r="M3904" s="564" t="s">
        <v>2098</v>
      </c>
      <c r="N3904" s="564" t="s">
        <v>132</v>
      </c>
      <c r="O3904" s="564" t="s">
        <v>2099</v>
      </c>
      <c r="P3904" s="23"/>
      <c r="Q3904" s="23"/>
      <c r="R3904" s="23"/>
      <c r="S3904" s="23"/>
      <c r="T3904" s="23"/>
      <c r="U3904" s="23"/>
      <c r="V3904" s="23"/>
      <c r="W3904" s="23"/>
      <c r="X3904" s="23"/>
      <c r="Y3904" s="23"/>
      <c r="Z3904" s="23"/>
    </row>
    <row r="3905" spans="1:26" ht="13">
      <c r="A3905" s="562" t="s">
        <v>8607</v>
      </c>
      <c r="B3905" s="563" t="s">
        <v>8608</v>
      </c>
      <c r="C3905" s="564" t="s">
        <v>1612</v>
      </c>
      <c r="D3905" s="565">
        <v>41373</v>
      </c>
      <c r="E3905" s="565">
        <v>41383</v>
      </c>
      <c r="F3905" s="566">
        <v>117000</v>
      </c>
      <c r="G3905" s="564" t="s">
        <v>337</v>
      </c>
      <c r="H3905" s="564" t="s">
        <v>337</v>
      </c>
      <c r="I3905" s="564" t="s">
        <v>1161</v>
      </c>
      <c r="J3905" s="564" t="s">
        <v>1069</v>
      </c>
      <c r="K3905" s="564" t="s">
        <v>1090</v>
      </c>
      <c r="L3905" s="564" t="s">
        <v>2098</v>
      </c>
      <c r="M3905" s="564" t="s">
        <v>2098</v>
      </c>
      <c r="N3905" s="564" t="s">
        <v>1073</v>
      </c>
      <c r="O3905" s="564" t="s">
        <v>2099</v>
      </c>
      <c r="P3905" s="23"/>
      <c r="Q3905" s="23"/>
      <c r="R3905" s="23"/>
      <c r="S3905" s="23"/>
      <c r="T3905" s="23"/>
      <c r="U3905" s="23"/>
      <c r="V3905" s="23"/>
      <c r="W3905" s="23"/>
      <c r="X3905" s="23"/>
      <c r="Y3905" s="23"/>
      <c r="Z3905" s="23"/>
    </row>
    <row r="3906" spans="1:26" ht="13">
      <c r="A3906" s="562" t="s">
        <v>8609</v>
      </c>
      <c r="B3906" s="563" t="s">
        <v>8610</v>
      </c>
      <c r="C3906" s="564" t="s">
        <v>1612</v>
      </c>
      <c r="D3906" s="565">
        <v>41369</v>
      </c>
      <c r="E3906" s="565">
        <v>41382</v>
      </c>
      <c r="F3906" s="567">
        <v>560</v>
      </c>
      <c r="G3906" s="564" t="s">
        <v>337</v>
      </c>
      <c r="H3906" s="564" t="s">
        <v>337</v>
      </c>
      <c r="I3906" s="564" t="s">
        <v>45</v>
      </c>
      <c r="J3906" s="564" t="s">
        <v>1069</v>
      </c>
      <c r="K3906" s="564" t="s">
        <v>1090</v>
      </c>
      <c r="L3906" s="564" t="s">
        <v>2098</v>
      </c>
      <c r="M3906" s="564" t="s">
        <v>2098</v>
      </c>
      <c r="N3906" s="564" t="s">
        <v>45</v>
      </c>
      <c r="O3906" s="564" t="s">
        <v>2099</v>
      </c>
      <c r="P3906" s="23"/>
      <c r="Q3906" s="23"/>
      <c r="R3906" s="23"/>
      <c r="S3906" s="23"/>
      <c r="T3906" s="23"/>
      <c r="U3906" s="23"/>
      <c r="V3906" s="23"/>
      <c r="W3906" s="23"/>
      <c r="X3906" s="23"/>
      <c r="Y3906" s="23"/>
      <c r="Z3906" s="23"/>
    </row>
    <row r="3907" spans="1:26" ht="13">
      <c r="A3907" s="562" t="s">
        <v>8611</v>
      </c>
      <c r="B3907" s="563" t="s">
        <v>8612</v>
      </c>
      <c r="C3907" s="564" t="s">
        <v>1612</v>
      </c>
      <c r="D3907" s="565">
        <v>41365</v>
      </c>
      <c r="E3907" s="565">
        <v>41376</v>
      </c>
      <c r="F3907" s="566">
        <v>14400</v>
      </c>
      <c r="G3907" s="564" t="s">
        <v>337</v>
      </c>
      <c r="H3907" s="564" t="s">
        <v>337</v>
      </c>
      <c r="I3907" s="564" t="s">
        <v>802</v>
      </c>
      <c r="J3907" s="564" t="s">
        <v>1069</v>
      </c>
      <c r="K3907" s="564" t="s">
        <v>1198</v>
      </c>
      <c r="L3907" s="564" t="s">
        <v>2098</v>
      </c>
      <c r="M3907" s="564" t="s">
        <v>2098</v>
      </c>
      <c r="N3907" s="564" t="s">
        <v>132</v>
      </c>
      <c r="O3907" s="564" t="s">
        <v>2099</v>
      </c>
      <c r="P3907" s="23"/>
      <c r="Q3907" s="23"/>
      <c r="R3907" s="23"/>
      <c r="S3907" s="23"/>
      <c r="T3907" s="23"/>
      <c r="U3907" s="23"/>
      <c r="V3907" s="23"/>
      <c r="W3907" s="23"/>
      <c r="X3907" s="23"/>
      <c r="Y3907" s="23"/>
      <c r="Z3907" s="23"/>
    </row>
    <row r="3908" spans="1:26" ht="13">
      <c r="A3908" s="562" t="s">
        <v>8613</v>
      </c>
      <c r="B3908" s="563" t="s">
        <v>8614</v>
      </c>
      <c r="C3908" s="564" t="s">
        <v>1612</v>
      </c>
      <c r="D3908" s="565">
        <v>41362</v>
      </c>
      <c r="E3908" s="565">
        <v>41369</v>
      </c>
      <c r="F3908" s="566">
        <v>672815</v>
      </c>
      <c r="G3908" s="564" t="s">
        <v>1856</v>
      </c>
      <c r="H3908" s="564" t="s">
        <v>1856</v>
      </c>
      <c r="I3908" s="564" t="s">
        <v>45</v>
      </c>
      <c r="J3908" s="564" t="s">
        <v>1069</v>
      </c>
      <c r="K3908" s="564" t="s">
        <v>1090</v>
      </c>
      <c r="L3908" s="564" t="s">
        <v>2098</v>
      </c>
      <c r="M3908" s="564" t="s">
        <v>2098</v>
      </c>
      <c r="N3908" s="564" t="s">
        <v>45</v>
      </c>
      <c r="O3908" s="564" t="s">
        <v>2099</v>
      </c>
      <c r="P3908" s="23"/>
      <c r="Q3908" s="23"/>
      <c r="R3908" s="23"/>
      <c r="S3908" s="23"/>
      <c r="T3908" s="23"/>
      <c r="U3908" s="23"/>
      <c r="V3908" s="23"/>
      <c r="W3908" s="23"/>
      <c r="X3908" s="23"/>
      <c r="Y3908" s="23"/>
      <c r="Z3908" s="23"/>
    </row>
    <row r="3909" spans="1:26" ht="13">
      <c r="A3909" s="562" t="s">
        <v>8615</v>
      </c>
      <c r="B3909" s="563" t="s">
        <v>8616</v>
      </c>
      <c r="C3909" s="564" t="s">
        <v>1612</v>
      </c>
      <c r="D3909" s="565">
        <v>41366</v>
      </c>
      <c r="E3909" s="565">
        <v>41383</v>
      </c>
      <c r="F3909" s="566">
        <v>28709091</v>
      </c>
      <c r="G3909" s="564" t="s">
        <v>337</v>
      </c>
      <c r="H3909" s="564" t="s">
        <v>337</v>
      </c>
      <c r="I3909" s="564" t="s">
        <v>802</v>
      </c>
      <c r="J3909" s="564" t="s">
        <v>1069</v>
      </c>
      <c r="K3909" s="564" t="s">
        <v>1198</v>
      </c>
      <c r="L3909" s="564" t="s">
        <v>2098</v>
      </c>
      <c r="M3909" s="564" t="s">
        <v>2098</v>
      </c>
      <c r="N3909" s="564" t="s">
        <v>132</v>
      </c>
      <c r="O3909" s="564" t="s">
        <v>2099</v>
      </c>
      <c r="P3909" s="23"/>
      <c r="Q3909" s="23"/>
      <c r="R3909" s="23"/>
      <c r="S3909" s="23"/>
      <c r="T3909" s="23"/>
      <c r="U3909" s="23"/>
      <c r="V3909" s="23"/>
      <c r="W3909" s="23"/>
      <c r="X3909" s="23"/>
      <c r="Y3909" s="23"/>
      <c r="Z3909" s="23"/>
    </row>
    <row r="3910" spans="1:26" ht="13">
      <c r="A3910" s="562" t="s">
        <v>8617</v>
      </c>
      <c r="B3910" s="563" t="s">
        <v>8618</v>
      </c>
      <c r="C3910" s="564" t="s">
        <v>1612</v>
      </c>
      <c r="D3910" s="565">
        <v>41362</v>
      </c>
      <c r="E3910" s="565">
        <v>41365</v>
      </c>
      <c r="F3910" s="566">
        <v>59460840</v>
      </c>
      <c r="G3910" s="564" t="s">
        <v>337</v>
      </c>
      <c r="H3910" s="564" t="s">
        <v>337</v>
      </c>
      <c r="I3910" s="564" t="s">
        <v>45</v>
      </c>
      <c r="J3910" s="564" t="s">
        <v>1069</v>
      </c>
      <c r="K3910" s="564" t="s">
        <v>1090</v>
      </c>
      <c r="L3910" s="564" t="s">
        <v>1071</v>
      </c>
      <c r="M3910" s="564" t="s">
        <v>1183</v>
      </c>
      <c r="N3910" s="564" t="s">
        <v>45</v>
      </c>
      <c r="O3910" s="564" t="s">
        <v>2099</v>
      </c>
      <c r="P3910" s="23"/>
      <c r="Q3910" s="23"/>
      <c r="R3910" s="23"/>
      <c r="S3910" s="23"/>
      <c r="T3910" s="23"/>
      <c r="U3910" s="23"/>
      <c r="V3910" s="23"/>
      <c r="W3910" s="23"/>
      <c r="X3910" s="23"/>
      <c r="Y3910" s="23"/>
      <c r="Z3910" s="23"/>
    </row>
    <row r="3911" spans="1:26" ht="13">
      <c r="A3911" s="562" t="s">
        <v>8619</v>
      </c>
      <c r="B3911" s="563" t="s">
        <v>8487</v>
      </c>
      <c r="C3911" s="564" t="s">
        <v>1612</v>
      </c>
      <c r="D3911" s="565">
        <v>41361</v>
      </c>
      <c r="E3911" s="565">
        <v>41362</v>
      </c>
      <c r="F3911" s="566">
        <v>2331</v>
      </c>
      <c r="G3911" s="564" t="s">
        <v>337</v>
      </c>
      <c r="H3911" s="564" t="s">
        <v>337</v>
      </c>
      <c r="I3911" s="564" t="s">
        <v>70</v>
      </c>
      <c r="J3911" s="564" t="s">
        <v>1069</v>
      </c>
      <c r="K3911" s="564" t="s">
        <v>1120</v>
      </c>
      <c r="L3911" s="564" t="s">
        <v>2098</v>
      </c>
      <c r="M3911" s="564" t="s">
        <v>2098</v>
      </c>
      <c r="N3911" s="564" t="s">
        <v>70</v>
      </c>
      <c r="O3911" s="564" t="s">
        <v>2099</v>
      </c>
      <c r="P3911" s="23"/>
      <c r="Q3911" s="23"/>
      <c r="R3911" s="23"/>
      <c r="S3911" s="23"/>
      <c r="T3911" s="23"/>
      <c r="U3911" s="23"/>
      <c r="V3911" s="23"/>
      <c r="W3911" s="23"/>
      <c r="X3911" s="23"/>
      <c r="Y3911" s="23"/>
      <c r="Z3911" s="23"/>
    </row>
    <row r="3912" spans="1:26" ht="13">
      <c r="A3912" s="562" t="s">
        <v>8620</v>
      </c>
      <c r="B3912" s="563" t="s">
        <v>8621</v>
      </c>
      <c r="C3912" s="564" t="s">
        <v>1612</v>
      </c>
      <c r="D3912" s="565">
        <v>41359</v>
      </c>
      <c r="E3912" s="565">
        <v>41362</v>
      </c>
      <c r="F3912" s="566">
        <v>16575</v>
      </c>
      <c r="G3912" s="564" t="s">
        <v>297</v>
      </c>
      <c r="H3912" s="564" t="s">
        <v>297</v>
      </c>
      <c r="I3912" s="564" t="s">
        <v>1837</v>
      </c>
      <c r="J3912" s="564" t="s">
        <v>1069</v>
      </c>
      <c r="K3912" s="564" t="s">
        <v>1070</v>
      </c>
      <c r="L3912" s="564" t="s">
        <v>2098</v>
      </c>
      <c r="M3912" s="564" t="s">
        <v>2098</v>
      </c>
      <c r="N3912" s="564" t="s">
        <v>1082</v>
      </c>
      <c r="O3912" s="564" t="s">
        <v>2099</v>
      </c>
      <c r="P3912" s="23"/>
      <c r="Q3912" s="23"/>
      <c r="R3912" s="23"/>
      <c r="S3912" s="23"/>
      <c r="T3912" s="23"/>
      <c r="U3912" s="23"/>
      <c r="V3912" s="23"/>
      <c r="W3912" s="23"/>
      <c r="X3912" s="23"/>
      <c r="Y3912" s="23"/>
      <c r="Z3912" s="23"/>
    </row>
    <row r="3913" spans="1:26" ht="13">
      <c r="A3913" s="562" t="s">
        <v>8622</v>
      </c>
      <c r="B3913" s="563" t="s">
        <v>8464</v>
      </c>
      <c r="C3913" s="564" t="s">
        <v>1612</v>
      </c>
      <c r="D3913" s="565">
        <v>41360</v>
      </c>
      <c r="E3913" s="565">
        <v>41361</v>
      </c>
      <c r="F3913" s="566">
        <v>3348</v>
      </c>
      <c r="G3913" s="564" t="s">
        <v>337</v>
      </c>
      <c r="H3913" s="564" t="s">
        <v>337</v>
      </c>
      <c r="I3913" s="564" t="s">
        <v>1837</v>
      </c>
      <c r="J3913" s="564" t="s">
        <v>1069</v>
      </c>
      <c r="K3913" s="564" t="s">
        <v>1090</v>
      </c>
      <c r="L3913" s="564" t="s">
        <v>2098</v>
      </c>
      <c r="M3913" s="564" t="s">
        <v>2098</v>
      </c>
      <c r="N3913" s="564" t="s">
        <v>1082</v>
      </c>
      <c r="O3913" s="564" t="s">
        <v>2099</v>
      </c>
      <c r="P3913" s="23"/>
      <c r="Q3913" s="23"/>
      <c r="R3913" s="23"/>
      <c r="S3913" s="23"/>
      <c r="T3913" s="23"/>
      <c r="U3913" s="23"/>
      <c r="V3913" s="23"/>
      <c r="W3913" s="23"/>
      <c r="X3913" s="23"/>
      <c r="Y3913" s="23"/>
      <c r="Z3913" s="23"/>
    </row>
    <row r="3914" spans="1:26" ht="13">
      <c r="A3914" s="562" t="s">
        <v>8623</v>
      </c>
      <c r="B3914" s="563" t="s">
        <v>8500</v>
      </c>
      <c r="C3914" s="564" t="s">
        <v>1612</v>
      </c>
      <c r="D3914" s="565">
        <v>41358</v>
      </c>
      <c r="E3914" s="565">
        <v>41373</v>
      </c>
      <c r="F3914" s="566">
        <v>10978</v>
      </c>
      <c r="G3914" s="564" t="s">
        <v>297</v>
      </c>
      <c r="H3914" s="564" t="s">
        <v>297</v>
      </c>
      <c r="I3914" s="564" t="s">
        <v>1837</v>
      </c>
      <c r="J3914" s="564" t="s">
        <v>1069</v>
      </c>
      <c r="K3914" s="564" t="s">
        <v>1070</v>
      </c>
      <c r="L3914" s="564" t="s">
        <v>2098</v>
      </c>
      <c r="M3914" s="564" t="s">
        <v>2098</v>
      </c>
      <c r="N3914" s="564" t="s">
        <v>1082</v>
      </c>
      <c r="O3914" s="564" t="s">
        <v>2099</v>
      </c>
      <c r="P3914" s="23"/>
      <c r="Q3914" s="23"/>
      <c r="R3914" s="23"/>
      <c r="S3914" s="23"/>
      <c r="T3914" s="23"/>
      <c r="U3914" s="23"/>
      <c r="V3914" s="23"/>
      <c r="W3914" s="23"/>
      <c r="X3914" s="23"/>
      <c r="Y3914" s="23"/>
      <c r="Z3914" s="23"/>
    </row>
    <row r="3915" spans="1:26" ht="13">
      <c r="A3915" s="562" t="s">
        <v>8624</v>
      </c>
      <c r="B3915" s="563" t="s">
        <v>8625</v>
      </c>
      <c r="C3915" s="564" t="s">
        <v>1612</v>
      </c>
      <c r="D3915" s="565">
        <v>41358</v>
      </c>
      <c r="E3915" s="565">
        <v>41365</v>
      </c>
      <c r="F3915" s="566">
        <v>12855</v>
      </c>
      <c r="G3915" s="564" t="s">
        <v>297</v>
      </c>
      <c r="H3915" s="564" t="s">
        <v>297</v>
      </c>
      <c r="I3915" s="564" t="s">
        <v>45</v>
      </c>
      <c r="J3915" s="564" t="s">
        <v>1069</v>
      </c>
      <c r="K3915" s="564" t="s">
        <v>1090</v>
      </c>
      <c r="L3915" s="564" t="s">
        <v>2098</v>
      </c>
      <c r="M3915" s="564" t="s">
        <v>2098</v>
      </c>
      <c r="N3915" s="564" t="s">
        <v>45</v>
      </c>
      <c r="O3915" s="564" t="s">
        <v>2099</v>
      </c>
      <c r="P3915" s="23"/>
      <c r="Q3915" s="23"/>
      <c r="R3915" s="23"/>
      <c r="S3915" s="23"/>
      <c r="T3915" s="23"/>
      <c r="U3915" s="23"/>
      <c r="V3915" s="23"/>
      <c r="W3915" s="23"/>
      <c r="X3915" s="23"/>
      <c r="Y3915" s="23"/>
      <c r="Z3915" s="23"/>
    </row>
    <row r="3916" spans="1:26" ht="13">
      <c r="A3916" s="562" t="s">
        <v>8626</v>
      </c>
      <c r="B3916" s="563" t="s">
        <v>8464</v>
      </c>
      <c r="C3916" s="564" t="s">
        <v>1612</v>
      </c>
      <c r="D3916" s="565">
        <v>41355</v>
      </c>
      <c r="E3916" s="565">
        <v>41359</v>
      </c>
      <c r="F3916" s="566">
        <v>28790</v>
      </c>
      <c r="G3916" s="564" t="s">
        <v>337</v>
      </c>
      <c r="H3916" s="564" t="s">
        <v>337</v>
      </c>
      <c r="I3916" s="564" t="s">
        <v>1837</v>
      </c>
      <c r="J3916" s="564" t="s">
        <v>1069</v>
      </c>
      <c r="K3916" s="564" t="s">
        <v>1090</v>
      </c>
      <c r="L3916" s="564" t="s">
        <v>2098</v>
      </c>
      <c r="M3916" s="564" t="s">
        <v>2098</v>
      </c>
      <c r="N3916" s="564" t="s">
        <v>1082</v>
      </c>
      <c r="O3916" s="564" t="s">
        <v>2099</v>
      </c>
      <c r="P3916" s="23"/>
      <c r="Q3916" s="23"/>
      <c r="R3916" s="23"/>
      <c r="S3916" s="23"/>
      <c r="T3916" s="23"/>
      <c r="U3916" s="23"/>
      <c r="V3916" s="23"/>
      <c r="W3916" s="23"/>
      <c r="X3916" s="23"/>
      <c r="Y3916" s="23"/>
      <c r="Z3916" s="23"/>
    </row>
    <row r="3917" spans="1:26" ht="13">
      <c r="A3917" s="562" t="s">
        <v>8627</v>
      </c>
      <c r="B3917" s="563" t="s">
        <v>8628</v>
      </c>
      <c r="C3917" s="564" t="s">
        <v>1612</v>
      </c>
      <c r="D3917" s="565">
        <v>41351</v>
      </c>
      <c r="E3917" s="565">
        <v>41364</v>
      </c>
      <c r="F3917" s="566">
        <v>3108</v>
      </c>
      <c r="G3917" s="564" t="s">
        <v>337</v>
      </c>
      <c r="H3917" s="564" t="s">
        <v>337</v>
      </c>
      <c r="I3917" s="564" t="s">
        <v>1586</v>
      </c>
      <c r="J3917" s="564" t="s">
        <v>1069</v>
      </c>
      <c r="K3917" s="564" t="s">
        <v>1090</v>
      </c>
      <c r="L3917" s="564" t="s">
        <v>2098</v>
      </c>
      <c r="M3917" s="564" t="s">
        <v>2098</v>
      </c>
      <c r="N3917" s="564" t="s">
        <v>1073</v>
      </c>
      <c r="O3917" s="564" t="s">
        <v>2099</v>
      </c>
      <c r="P3917" s="23"/>
      <c r="Q3917" s="23"/>
      <c r="R3917" s="23"/>
      <c r="S3917" s="23"/>
      <c r="T3917" s="23"/>
      <c r="U3917" s="23"/>
      <c r="V3917" s="23"/>
      <c r="W3917" s="23"/>
      <c r="X3917" s="23"/>
      <c r="Y3917" s="23"/>
      <c r="Z3917" s="23"/>
    </row>
    <row r="3918" spans="1:26" ht="13">
      <c r="A3918" s="562" t="s">
        <v>8629</v>
      </c>
      <c r="B3918" s="563" t="s">
        <v>8630</v>
      </c>
      <c r="C3918" s="564" t="s">
        <v>1612</v>
      </c>
      <c r="D3918" s="565">
        <v>41351</v>
      </c>
      <c r="E3918" s="565">
        <v>41360</v>
      </c>
      <c r="F3918" s="566">
        <v>2000</v>
      </c>
      <c r="G3918" s="564" t="s">
        <v>337</v>
      </c>
      <c r="H3918" s="564" t="s">
        <v>337</v>
      </c>
      <c r="I3918" s="564" t="s">
        <v>2073</v>
      </c>
      <c r="J3918" s="564" t="s">
        <v>1069</v>
      </c>
      <c r="K3918" s="564" t="s">
        <v>1105</v>
      </c>
      <c r="L3918" s="564" t="s">
        <v>2098</v>
      </c>
      <c r="M3918" s="564" t="s">
        <v>2098</v>
      </c>
      <c r="N3918" s="564" t="s">
        <v>225</v>
      </c>
      <c r="O3918" s="564" t="s">
        <v>2099</v>
      </c>
      <c r="P3918" s="23"/>
      <c r="Q3918" s="23"/>
      <c r="R3918" s="23"/>
      <c r="S3918" s="23"/>
      <c r="T3918" s="23"/>
      <c r="U3918" s="23"/>
      <c r="V3918" s="23"/>
      <c r="W3918" s="23"/>
      <c r="X3918" s="23"/>
      <c r="Y3918" s="23"/>
      <c r="Z3918" s="23"/>
    </row>
    <row r="3919" spans="1:26" ht="13">
      <c r="A3919" s="562" t="s">
        <v>8631</v>
      </c>
      <c r="B3919" s="563" t="s">
        <v>8632</v>
      </c>
      <c r="C3919" s="564" t="s">
        <v>2191</v>
      </c>
      <c r="D3919" s="565">
        <v>41353</v>
      </c>
      <c r="E3919" s="565">
        <v>41394</v>
      </c>
      <c r="F3919" s="566">
        <v>45295080</v>
      </c>
      <c r="G3919" s="564" t="s">
        <v>1636</v>
      </c>
      <c r="H3919" s="564" t="s">
        <v>1636</v>
      </c>
      <c r="I3919" s="564" t="s">
        <v>6222</v>
      </c>
      <c r="J3919" s="564" t="s">
        <v>1069</v>
      </c>
      <c r="K3919" s="564" t="s">
        <v>1205</v>
      </c>
      <c r="L3919" s="564" t="s">
        <v>2098</v>
      </c>
      <c r="M3919" s="564" t="s">
        <v>2098</v>
      </c>
      <c r="N3919" s="564" t="s">
        <v>1082</v>
      </c>
      <c r="O3919" s="564" t="s">
        <v>2099</v>
      </c>
      <c r="P3919" s="23"/>
      <c r="Q3919" s="23"/>
      <c r="R3919" s="23"/>
      <c r="S3919" s="23"/>
      <c r="T3919" s="23"/>
      <c r="U3919" s="23"/>
      <c r="V3919" s="23"/>
      <c r="W3919" s="23"/>
      <c r="X3919" s="23"/>
      <c r="Y3919" s="23"/>
      <c r="Z3919" s="23"/>
    </row>
    <row r="3920" spans="1:26" ht="13">
      <c r="A3920" s="562" t="s">
        <v>8633</v>
      </c>
      <c r="B3920" s="563" t="s">
        <v>8510</v>
      </c>
      <c r="C3920" s="564" t="s">
        <v>1612</v>
      </c>
      <c r="D3920" s="565">
        <v>41353</v>
      </c>
      <c r="E3920" s="565">
        <v>41354</v>
      </c>
      <c r="F3920" s="567">
        <v>777</v>
      </c>
      <c r="G3920" s="564" t="s">
        <v>337</v>
      </c>
      <c r="H3920" s="564" t="s">
        <v>337</v>
      </c>
      <c r="I3920" s="564" t="s">
        <v>70</v>
      </c>
      <c r="J3920" s="564" t="s">
        <v>1069</v>
      </c>
      <c r="K3920" s="564" t="s">
        <v>1120</v>
      </c>
      <c r="L3920" s="564" t="s">
        <v>2098</v>
      </c>
      <c r="M3920" s="564" t="s">
        <v>2098</v>
      </c>
      <c r="N3920" s="564" t="s">
        <v>70</v>
      </c>
      <c r="O3920" s="564" t="s">
        <v>2099</v>
      </c>
      <c r="P3920" s="23"/>
      <c r="Q3920" s="23"/>
      <c r="R3920" s="23"/>
      <c r="S3920" s="23"/>
      <c r="T3920" s="23"/>
      <c r="U3920" s="23"/>
      <c r="V3920" s="23"/>
      <c r="W3920" s="23"/>
      <c r="X3920" s="23"/>
      <c r="Y3920" s="23"/>
      <c r="Z3920" s="23"/>
    </row>
    <row r="3921" spans="1:26" ht="13">
      <c r="A3921" s="562" t="s">
        <v>8634</v>
      </c>
      <c r="B3921" s="563" t="s">
        <v>8527</v>
      </c>
      <c r="C3921" s="564" t="s">
        <v>1612</v>
      </c>
      <c r="D3921" s="565">
        <v>41353</v>
      </c>
      <c r="E3921" s="565">
        <v>41360</v>
      </c>
      <c r="F3921" s="566">
        <v>4627913</v>
      </c>
      <c r="G3921" s="564" t="s">
        <v>337</v>
      </c>
      <c r="H3921" s="564" t="s">
        <v>337</v>
      </c>
      <c r="I3921" s="564" t="s">
        <v>64</v>
      </c>
      <c r="J3921" s="564" t="s">
        <v>1069</v>
      </c>
      <c r="K3921" s="564" t="s">
        <v>1090</v>
      </c>
      <c r="L3921" s="564" t="s">
        <v>2098</v>
      </c>
      <c r="M3921" s="564" t="s">
        <v>2098</v>
      </c>
      <c r="N3921" s="564" t="s">
        <v>64</v>
      </c>
      <c r="O3921" s="564" t="s">
        <v>2099</v>
      </c>
      <c r="P3921" s="23"/>
      <c r="Q3921" s="23"/>
      <c r="R3921" s="23"/>
      <c r="S3921" s="23"/>
      <c r="T3921" s="23"/>
      <c r="U3921" s="23"/>
      <c r="V3921" s="23"/>
      <c r="W3921" s="23"/>
      <c r="X3921" s="23"/>
      <c r="Y3921" s="23"/>
      <c r="Z3921" s="23"/>
    </row>
    <row r="3922" spans="1:26" ht="13">
      <c r="A3922" s="562" t="s">
        <v>8635</v>
      </c>
      <c r="B3922" s="563" t="s">
        <v>8636</v>
      </c>
      <c r="C3922" s="564" t="s">
        <v>1612</v>
      </c>
      <c r="D3922" s="565">
        <v>41347</v>
      </c>
      <c r="E3922" s="565">
        <v>41355</v>
      </c>
      <c r="F3922" s="566">
        <v>2215000</v>
      </c>
      <c r="G3922" s="564" t="s">
        <v>1157</v>
      </c>
      <c r="H3922" s="564" t="s">
        <v>1157</v>
      </c>
      <c r="I3922" s="564" t="s">
        <v>70</v>
      </c>
      <c r="J3922" s="564" t="s">
        <v>1069</v>
      </c>
      <c r="K3922" s="564" t="s">
        <v>1120</v>
      </c>
      <c r="L3922" s="564" t="s">
        <v>2098</v>
      </c>
      <c r="M3922" s="564" t="s">
        <v>2098</v>
      </c>
      <c r="N3922" s="564" t="s">
        <v>70</v>
      </c>
      <c r="O3922" s="564" t="s">
        <v>2099</v>
      </c>
      <c r="P3922" s="23"/>
      <c r="Q3922" s="23"/>
      <c r="R3922" s="23"/>
      <c r="S3922" s="23"/>
      <c r="T3922" s="23"/>
      <c r="U3922" s="23"/>
      <c r="V3922" s="23"/>
      <c r="W3922" s="23"/>
      <c r="X3922" s="23"/>
      <c r="Y3922" s="23"/>
      <c r="Z3922" s="23"/>
    </row>
    <row r="3923" spans="1:26" ht="13">
      <c r="A3923" s="562" t="s">
        <v>8637</v>
      </c>
      <c r="B3923" s="563" t="s">
        <v>8638</v>
      </c>
      <c r="C3923" s="564" t="s">
        <v>1612</v>
      </c>
      <c r="D3923" s="565">
        <v>41348</v>
      </c>
      <c r="E3923" s="565">
        <v>41364</v>
      </c>
      <c r="F3923" s="566">
        <v>101500</v>
      </c>
      <c r="G3923" s="564" t="s">
        <v>297</v>
      </c>
      <c r="H3923" s="564" t="s">
        <v>297</v>
      </c>
      <c r="I3923" s="564" t="s">
        <v>7259</v>
      </c>
      <c r="J3923" s="564" t="s">
        <v>1069</v>
      </c>
      <c r="K3923" s="564" t="s">
        <v>1070</v>
      </c>
      <c r="L3923" s="564" t="s">
        <v>2098</v>
      </c>
      <c r="M3923" s="564" t="s">
        <v>2098</v>
      </c>
      <c r="N3923" s="564" t="s">
        <v>1082</v>
      </c>
      <c r="O3923" s="564" t="s">
        <v>2099</v>
      </c>
      <c r="P3923" s="23"/>
      <c r="Q3923" s="23"/>
      <c r="R3923" s="23"/>
      <c r="S3923" s="23"/>
      <c r="T3923" s="23"/>
      <c r="U3923" s="23"/>
      <c r="V3923" s="23"/>
      <c r="W3923" s="23"/>
      <c r="X3923" s="23"/>
      <c r="Y3923" s="23"/>
      <c r="Z3923" s="23"/>
    </row>
    <row r="3924" spans="1:26" ht="13">
      <c r="A3924" s="562" t="s">
        <v>8639</v>
      </c>
      <c r="B3924" s="563" t="s">
        <v>8640</v>
      </c>
      <c r="C3924" s="564" t="s">
        <v>2191</v>
      </c>
      <c r="D3924" s="565">
        <v>41345</v>
      </c>
      <c r="E3924" s="565">
        <v>41364</v>
      </c>
      <c r="F3924" s="566">
        <v>72727</v>
      </c>
      <c r="G3924" s="564" t="s">
        <v>297</v>
      </c>
      <c r="H3924" s="564" t="s">
        <v>297</v>
      </c>
      <c r="I3924" s="564" t="s">
        <v>8641</v>
      </c>
      <c r="J3924" s="564" t="s">
        <v>1069</v>
      </c>
      <c r="K3924" s="564" t="s">
        <v>1198</v>
      </c>
      <c r="L3924" s="564" t="s">
        <v>2098</v>
      </c>
      <c r="M3924" s="564" t="s">
        <v>2098</v>
      </c>
      <c r="N3924" s="564" t="s">
        <v>1368</v>
      </c>
      <c r="O3924" s="564" t="s">
        <v>2099</v>
      </c>
      <c r="P3924" s="23"/>
      <c r="Q3924" s="23"/>
      <c r="R3924" s="23"/>
      <c r="S3924" s="23"/>
      <c r="T3924" s="23"/>
      <c r="U3924" s="23"/>
      <c r="V3924" s="23"/>
      <c r="W3924" s="23"/>
      <c r="X3924" s="23"/>
      <c r="Y3924" s="23"/>
      <c r="Z3924" s="23"/>
    </row>
    <row r="3925" spans="1:26" ht="13">
      <c r="A3925" s="562" t="s">
        <v>8642</v>
      </c>
      <c r="B3925" s="563" t="s">
        <v>8643</v>
      </c>
      <c r="C3925" s="564" t="s">
        <v>1612</v>
      </c>
      <c r="D3925" s="565">
        <v>41344</v>
      </c>
      <c r="E3925" s="565">
        <v>41353</v>
      </c>
      <c r="F3925" s="566">
        <v>25800200</v>
      </c>
      <c r="G3925" s="564" t="s">
        <v>297</v>
      </c>
      <c r="H3925" s="564" t="s">
        <v>297</v>
      </c>
      <c r="I3925" s="564" t="s">
        <v>7259</v>
      </c>
      <c r="J3925" s="564" t="s">
        <v>1069</v>
      </c>
      <c r="K3925" s="564" t="s">
        <v>1070</v>
      </c>
      <c r="L3925" s="564" t="s">
        <v>2098</v>
      </c>
      <c r="M3925" s="564" t="s">
        <v>2098</v>
      </c>
      <c r="N3925" s="564" t="s">
        <v>1082</v>
      </c>
      <c r="O3925" s="564" t="s">
        <v>2099</v>
      </c>
      <c r="P3925" s="23"/>
      <c r="Q3925" s="23"/>
      <c r="R3925" s="23"/>
      <c r="S3925" s="23"/>
      <c r="T3925" s="23"/>
      <c r="U3925" s="23"/>
      <c r="V3925" s="23"/>
      <c r="W3925" s="23"/>
      <c r="X3925" s="23"/>
      <c r="Y3925" s="23"/>
      <c r="Z3925" s="23"/>
    </row>
    <row r="3926" spans="1:26" ht="13">
      <c r="A3926" s="562" t="s">
        <v>8644</v>
      </c>
      <c r="B3926" s="563" t="s">
        <v>8645</v>
      </c>
      <c r="C3926" s="564" t="s">
        <v>2191</v>
      </c>
      <c r="D3926" s="565">
        <v>41343</v>
      </c>
      <c r="E3926" s="565">
        <v>41351</v>
      </c>
      <c r="F3926" s="566">
        <v>198410000</v>
      </c>
      <c r="G3926" s="564" t="s">
        <v>1145</v>
      </c>
      <c r="H3926" s="564" t="s">
        <v>1145</v>
      </c>
      <c r="I3926" s="564" t="s">
        <v>8646</v>
      </c>
      <c r="J3926" s="564" t="s">
        <v>1069</v>
      </c>
      <c r="K3926" s="564" t="s">
        <v>1802</v>
      </c>
      <c r="L3926" s="564" t="s">
        <v>2098</v>
      </c>
      <c r="M3926" s="564" t="s">
        <v>2098</v>
      </c>
      <c r="N3926" s="564" t="s">
        <v>1082</v>
      </c>
      <c r="O3926" s="564" t="s">
        <v>2099</v>
      </c>
      <c r="P3926" s="23"/>
      <c r="Q3926" s="23"/>
      <c r="R3926" s="23"/>
      <c r="S3926" s="23"/>
      <c r="T3926" s="23"/>
      <c r="U3926" s="23"/>
      <c r="V3926" s="23"/>
      <c r="W3926" s="23"/>
      <c r="X3926" s="23"/>
      <c r="Y3926" s="23"/>
      <c r="Z3926" s="23"/>
    </row>
    <row r="3927" spans="1:26" ht="13">
      <c r="A3927" s="562" t="s">
        <v>8647</v>
      </c>
      <c r="B3927" s="563" t="s">
        <v>8648</v>
      </c>
      <c r="C3927" s="564" t="s">
        <v>2191</v>
      </c>
      <c r="D3927" s="565">
        <v>41344</v>
      </c>
      <c r="E3927" s="565">
        <v>41364</v>
      </c>
      <c r="F3927" s="566">
        <v>72727</v>
      </c>
      <c r="G3927" s="564" t="s">
        <v>297</v>
      </c>
      <c r="H3927" s="564" t="s">
        <v>297</v>
      </c>
      <c r="I3927" s="564" t="s">
        <v>8641</v>
      </c>
      <c r="J3927" s="564" t="s">
        <v>1069</v>
      </c>
      <c r="K3927" s="564" t="s">
        <v>1198</v>
      </c>
      <c r="L3927" s="564" t="s">
        <v>2098</v>
      </c>
      <c r="M3927" s="564" t="s">
        <v>2098</v>
      </c>
      <c r="N3927" s="564" t="s">
        <v>1368</v>
      </c>
      <c r="O3927" s="564" t="s">
        <v>2099</v>
      </c>
      <c r="P3927" s="23"/>
      <c r="Q3927" s="23"/>
      <c r="R3927" s="23"/>
      <c r="S3927" s="23"/>
      <c r="T3927" s="23"/>
      <c r="U3927" s="23"/>
      <c r="V3927" s="23"/>
      <c r="W3927" s="23"/>
      <c r="X3927" s="23"/>
      <c r="Y3927" s="23"/>
      <c r="Z3927" s="23"/>
    </row>
    <row r="3928" spans="1:26" ht="13">
      <c r="A3928" s="562" t="s">
        <v>8649</v>
      </c>
      <c r="B3928" s="563" t="s">
        <v>8650</v>
      </c>
      <c r="C3928" s="564" t="s">
        <v>1612</v>
      </c>
      <c r="D3928" s="565">
        <v>41339</v>
      </c>
      <c r="E3928" s="565">
        <v>41334</v>
      </c>
      <c r="F3928" s="566">
        <v>48087000</v>
      </c>
      <c r="G3928" s="564" t="s">
        <v>337</v>
      </c>
      <c r="H3928" s="564" t="s">
        <v>337</v>
      </c>
      <c r="I3928" s="564" t="s">
        <v>45</v>
      </c>
      <c r="J3928" s="564" t="s">
        <v>1069</v>
      </c>
      <c r="K3928" s="564" t="s">
        <v>1090</v>
      </c>
      <c r="L3928" s="564" t="s">
        <v>1071</v>
      </c>
      <c r="M3928" s="564" t="s">
        <v>1183</v>
      </c>
      <c r="N3928" s="564" t="s">
        <v>45</v>
      </c>
      <c r="O3928" s="564" t="s">
        <v>2099</v>
      </c>
      <c r="P3928" s="23"/>
      <c r="Q3928" s="23"/>
      <c r="R3928" s="23"/>
      <c r="S3928" s="23"/>
      <c r="T3928" s="23"/>
      <c r="U3928" s="23"/>
      <c r="V3928" s="23"/>
      <c r="W3928" s="23"/>
      <c r="X3928" s="23"/>
      <c r="Y3928" s="23"/>
      <c r="Z3928" s="23"/>
    </row>
    <row r="3929" spans="1:26" ht="13">
      <c r="A3929" s="562" t="s">
        <v>8651</v>
      </c>
      <c r="B3929" s="563" t="s">
        <v>8510</v>
      </c>
      <c r="C3929" s="564" t="s">
        <v>1612</v>
      </c>
      <c r="D3929" s="565">
        <v>41340</v>
      </c>
      <c r="E3929" s="565">
        <v>41344</v>
      </c>
      <c r="F3929" s="567">
        <v>777</v>
      </c>
      <c r="G3929" s="564" t="s">
        <v>337</v>
      </c>
      <c r="H3929" s="564" t="s">
        <v>337</v>
      </c>
      <c r="I3929" s="564" t="s">
        <v>70</v>
      </c>
      <c r="J3929" s="564" t="s">
        <v>1069</v>
      </c>
      <c r="K3929" s="564" t="s">
        <v>1120</v>
      </c>
      <c r="L3929" s="564" t="s">
        <v>2098</v>
      </c>
      <c r="M3929" s="564" t="s">
        <v>2098</v>
      </c>
      <c r="N3929" s="564" t="s">
        <v>70</v>
      </c>
      <c r="O3929" s="564" t="s">
        <v>2099</v>
      </c>
      <c r="P3929" s="23"/>
      <c r="Q3929" s="23"/>
      <c r="R3929" s="23"/>
      <c r="S3929" s="23"/>
      <c r="T3929" s="23"/>
      <c r="U3929" s="23"/>
      <c r="V3929" s="23"/>
      <c r="W3929" s="23"/>
      <c r="X3929" s="23"/>
      <c r="Y3929" s="23"/>
      <c r="Z3929" s="23"/>
    </row>
    <row r="3930" spans="1:26" ht="13">
      <c r="A3930" s="562" t="s">
        <v>8652</v>
      </c>
      <c r="B3930" s="563" t="s">
        <v>7740</v>
      </c>
      <c r="C3930" s="564" t="s">
        <v>1612</v>
      </c>
      <c r="D3930" s="565">
        <v>41338</v>
      </c>
      <c r="E3930" s="565">
        <v>41341</v>
      </c>
      <c r="F3930" s="566">
        <v>8660000</v>
      </c>
      <c r="G3930" s="564" t="s">
        <v>337</v>
      </c>
      <c r="H3930" s="564" t="s">
        <v>337</v>
      </c>
      <c r="I3930" s="564" t="s">
        <v>257</v>
      </c>
      <c r="J3930" s="564" t="s">
        <v>1069</v>
      </c>
      <c r="K3930" s="564" t="s">
        <v>1209</v>
      </c>
      <c r="L3930" s="564" t="s">
        <v>2098</v>
      </c>
      <c r="M3930" s="564" t="s">
        <v>2098</v>
      </c>
      <c r="N3930" s="564" t="s">
        <v>257</v>
      </c>
      <c r="O3930" s="564" t="s">
        <v>2099</v>
      </c>
      <c r="P3930" s="23"/>
      <c r="Q3930" s="23"/>
      <c r="R3930" s="23"/>
      <c r="S3930" s="23"/>
      <c r="T3930" s="23"/>
      <c r="U3930" s="23"/>
      <c r="V3930" s="23"/>
      <c r="W3930" s="23"/>
      <c r="X3930" s="23"/>
      <c r="Y3930" s="23"/>
      <c r="Z3930" s="23"/>
    </row>
    <row r="3931" spans="1:26" ht="13">
      <c r="A3931" s="562" t="s">
        <v>8653</v>
      </c>
      <c r="B3931" s="563" t="s">
        <v>8654</v>
      </c>
      <c r="C3931" s="564" t="s">
        <v>1612</v>
      </c>
      <c r="D3931" s="565">
        <v>41331</v>
      </c>
      <c r="E3931" s="565">
        <v>41335</v>
      </c>
      <c r="F3931" s="566">
        <v>3520</v>
      </c>
      <c r="G3931" s="564" t="s">
        <v>337</v>
      </c>
      <c r="H3931" s="564" t="s">
        <v>337</v>
      </c>
      <c r="I3931" s="564" t="s">
        <v>64</v>
      </c>
      <c r="J3931" s="564" t="s">
        <v>1069</v>
      </c>
      <c r="K3931" s="564" t="s">
        <v>1090</v>
      </c>
      <c r="L3931" s="564" t="s">
        <v>2098</v>
      </c>
      <c r="M3931" s="564" t="s">
        <v>2098</v>
      </c>
      <c r="N3931" s="564" t="s">
        <v>64</v>
      </c>
      <c r="O3931" s="564" t="s">
        <v>2099</v>
      </c>
      <c r="P3931" s="23"/>
      <c r="Q3931" s="23"/>
      <c r="R3931" s="23"/>
      <c r="S3931" s="23"/>
      <c r="T3931" s="23"/>
      <c r="U3931" s="23"/>
      <c r="V3931" s="23"/>
      <c r="W3931" s="23"/>
      <c r="X3931" s="23"/>
      <c r="Y3931" s="23"/>
      <c r="Z3931" s="23"/>
    </row>
    <row r="3932" spans="1:26" ht="13">
      <c r="A3932" s="562" t="s">
        <v>8655</v>
      </c>
      <c r="B3932" s="563" t="s">
        <v>8656</v>
      </c>
      <c r="C3932" s="564" t="s">
        <v>1612</v>
      </c>
      <c r="D3932" s="565">
        <v>41332</v>
      </c>
      <c r="E3932" s="565">
        <v>41333</v>
      </c>
      <c r="F3932" s="566">
        <v>3200</v>
      </c>
      <c r="G3932" s="564" t="s">
        <v>337</v>
      </c>
      <c r="H3932" s="564" t="s">
        <v>337</v>
      </c>
      <c r="I3932" s="564" t="s">
        <v>64</v>
      </c>
      <c r="J3932" s="564" t="s">
        <v>1069</v>
      </c>
      <c r="K3932" s="564" t="s">
        <v>1090</v>
      </c>
      <c r="L3932" s="564" t="s">
        <v>2098</v>
      </c>
      <c r="M3932" s="564" t="s">
        <v>2098</v>
      </c>
      <c r="N3932" s="564" t="s">
        <v>64</v>
      </c>
      <c r="O3932" s="564" t="s">
        <v>2099</v>
      </c>
      <c r="P3932" s="23"/>
      <c r="Q3932" s="23"/>
      <c r="R3932" s="23"/>
      <c r="S3932" s="23"/>
      <c r="T3932" s="23"/>
      <c r="U3932" s="23"/>
      <c r="V3932" s="23"/>
      <c r="W3932" s="23"/>
      <c r="X3932" s="23"/>
      <c r="Y3932" s="23"/>
      <c r="Z3932" s="23"/>
    </row>
    <row r="3933" spans="1:26" ht="13">
      <c r="A3933" s="562" t="s">
        <v>8657</v>
      </c>
      <c r="B3933" s="563" t="s">
        <v>8658</v>
      </c>
      <c r="C3933" s="564" t="s">
        <v>2191</v>
      </c>
      <c r="D3933" s="565">
        <v>41332</v>
      </c>
      <c r="E3933" s="565">
        <v>41362</v>
      </c>
      <c r="F3933" s="566">
        <v>35909090</v>
      </c>
      <c r="G3933" s="564" t="s">
        <v>1123</v>
      </c>
      <c r="H3933" s="564" t="s">
        <v>1123</v>
      </c>
      <c r="I3933" s="564" t="s">
        <v>8659</v>
      </c>
      <c r="J3933" s="564" t="s">
        <v>1069</v>
      </c>
      <c r="K3933" s="564" t="s">
        <v>1205</v>
      </c>
      <c r="L3933" s="564" t="s">
        <v>2098</v>
      </c>
      <c r="M3933" s="564" t="s">
        <v>2098</v>
      </c>
      <c r="N3933" s="564" t="s">
        <v>1073</v>
      </c>
      <c r="O3933" s="564" t="s">
        <v>2099</v>
      </c>
      <c r="P3933" s="23"/>
      <c r="Q3933" s="23"/>
      <c r="R3933" s="23"/>
      <c r="S3933" s="23"/>
      <c r="T3933" s="23"/>
      <c r="U3933" s="23"/>
      <c r="V3933" s="23"/>
      <c r="W3933" s="23"/>
      <c r="X3933" s="23"/>
      <c r="Y3933" s="23"/>
      <c r="Z3933" s="23"/>
    </row>
    <row r="3934" spans="1:26" ht="13">
      <c r="A3934" s="562" t="s">
        <v>8660</v>
      </c>
      <c r="B3934" s="563" t="s">
        <v>8661</v>
      </c>
      <c r="C3934" s="564" t="s">
        <v>2191</v>
      </c>
      <c r="D3934" s="565">
        <v>41330</v>
      </c>
      <c r="E3934" s="565">
        <v>41333</v>
      </c>
      <c r="F3934" s="566">
        <v>9130860</v>
      </c>
      <c r="G3934" s="564" t="s">
        <v>7944</v>
      </c>
      <c r="H3934" s="564" t="s">
        <v>7944</v>
      </c>
      <c r="I3934" s="564" t="s">
        <v>8662</v>
      </c>
      <c r="J3934" s="564" t="s">
        <v>1069</v>
      </c>
      <c r="K3934" s="564" t="s">
        <v>1070</v>
      </c>
      <c r="L3934" s="564" t="s">
        <v>2098</v>
      </c>
      <c r="M3934" s="564" t="s">
        <v>2098</v>
      </c>
      <c r="N3934" s="564" t="s">
        <v>2325</v>
      </c>
      <c r="O3934" s="564" t="s">
        <v>2099</v>
      </c>
      <c r="P3934" s="23"/>
      <c r="Q3934" s="23"/>
      <c r="R3934" s="23"/>
      <c r="S3934" s="23"/>
      <c r="T3934" s="23"/>
      <c r="U3934" s="23"/>
      <c r="V3934" s="23"/>
      <c r="W3934" s="23"/>
      <c r="X3934" s="23"/>
      <c r="Y3934" s="23"/>
      <c r="Z3934" s="23"/>
    </row>
    <row r="3935" spans="1:26" ht="13">
      <c r="A3935" s="562" t="s">
        <v>8663</v>
      </c>
      <c r="B3935" s="563" t="s">
        <v>8664</v>
      </c>
      <c r="C3935" s="564" t="s">
        <v>2191</v>
      </c>
      <c r="D3935" s="565">
        <v>41325</v>
      </c>
      <c r="E3935" s="565">
        <v>41341</v>
      </c>
      <c r="F3935" s="566">
        <v>354500</v>
      </c>
      <c r="G3935" s="564" t="s">
        <v>7944</v>
      </c>
      <c r="H3935" s="564" t="s">
        <v>7944</v>
      </c>
      <c r="I3935" s="564" t="s">
        <v>4449</v>
      </c>
      <c r="J3935" s="564" t="s">
        <v>1069</v>
      </c>
      <c r="K3935" s="564" t="s">
        <v>1070</v>
      </c>
      <c r="L3935" s="564" t="s">
        <v>2098</v>
      </c>
      <c r="M3935" s="564" t="s">
        <v>2098</v>
      </c>
      <c r="N3935" s="564" t="s">
        <v>1082</v>
      </c>
      <c r="O3935" s="564" t="s">
        <v>2099</v>
      </c>
      <c r="P3935" s="23"/>
      <c r="Q3935" s="23"/>
      <c r="R3935" s="23"/>
      <c r="S3935" s="23"/>
      <c r="T3935" s="23"/>
      <c r="U3935" s="23"/>
      <c r="V3935" s="23"/>
      <c r="W3935" s="23"/>
      <c r="X3935" s="23"/>
      <c r="Y3935" s="23"/>
      <c r="Z3935" s="23"/>
    </row>
    <row r="3936" spans="1:26" ht="13">
      <c r="A3936" s="562" t="s">
        <v>8665</v>
      </c>
      <c r="B3936" s="563" t="s">
        <v>8666</v>
      </c>
      <c r="C3936" s="564" t="s">
        <v>1612</v>
      </c>
      <c r="D3936" s="565">
        <v>41323</v>
      </c>
      <c r="E3936" s="565">
        <v>41333</v>
      </c>
      <c r="F3936" s="566">
        <v>469616</v>
      </c>
      <c r="G3936" s="564" t="s">
        <v>297</v>
      </c>
      <c r="H3936" s="564" t="s">
        <v>297</v>
      </c>
      <c r="I3936" s="564" t="s">
        <v>7259</v>
      </c>
      <c r="J3936" s="564" t="s">
        <v>1069</v>
      </c>
      <c r="K3936" s="564" t="s">
        <v>1070</v>
      </c>
      <c r="L3936" s="564" t="s">
        <v>2098</v>
      </c>
      <c r="M3936" s="564" t="s">
        <v>2098</v>
      </c>
      <c r="N3936" s="564" t="s">
        <v>1082</v>
      </c>
      <c r="O3936" s="564" t="s">
        <v>2099</v>
      </c>
      <c r="P3936" s="23"/>
      <c r="Q3936" s="23"/>
      <c r="R3936" s="23"/>
      <c r="S3936" s="23"/>
      <c r="T3936" s="23"/>
      <c r="U3936" s="23"/>
      <c r="V3936" s="23"/>
      <c r="W3936" s="23"/>
      <c r="X3936" s="23"/>
      <c r="Y3936" s="23"/>
      <c r="Z3936" s="23"/>
    </row>
    <row r="3937" spans="1:26" ht="13">
      <c r="A3937" s="562" t="s">
        <v>8667</v>
      </c>
      <c r="B3937" s="563" t="s">
        <v>8584</v>
      </c>
      <c r="C3937" s="564" t="s">
        <v>1612</v>
      </c>
      <c r="D3937" s="565">
        <v>41318</v>
      </c>
      <c r="E3937" s="565">
        <v>41323</v>
      </c>
      <c r="F3937" s="566">
        <v>11400000</v>
      </c>
      <c r="G3937" s="564" t="s">
        <v>1128</v>
      </c>
      <c r="H3937" s="564" t="s">
        <v>1128</v>
      </c>
      <c r="I3937" s="564" t="s">
        <v>45</v>
      </c>
      <c r="J3937" s="564" t="s">
        <v>1069</v>
      </c>
      <c r="K3937" s="564" t="s">
        <v>1090</v>
      </c>
      <c r="L3937" s="564" t="s">
        <v>2098</v>
      </c>
      <c r="M3937" s="564" t="s">
        <v>2098</v>
      </c>
      <c r="N3937" s="564" t="s">
        <v>45</v>
      </c>
      <c r="O3937" s="564" t="s">
        <v>2099</v>
      </c>
      <c r="P3937" s="23"/>
      <c r="Q3937" s="23"/>
      <c r="R3937" s="23"/>
      <c r="S3937" s="23"/>
      <c r="T3937" s="23"/>
      <c r="U3937" s="23"/>
      <c r="V3937" s="23"/>
      <c r="W3937" s="23"/>
      <c r="X3937" s="23"/>
      <c r="Y3937" s="23"/>
      <c r="Z3937" s="23"/>
    </row>
    <row r="3938" spans="1:26" ht="13">
      <c r="A3938" s="562" t="s">
        <v>8668</v>
      </c>
      <c r="B3938" s="563" t="s">
        <v>8478</v>
      </c>
      <c r="C3938" s="564" t="s">
        <v>1612</v>
      </c>
      <c r="D3938" s="565">
        <v>41317</v>
      </c>
      <c r="E3938" s="565">
        <v>41318</v>
      </c>
      <c r="F3938" s="566">
        <v>1554</v>
      </c>
      <c r="G3938" s="564" t="s">
        <v>337</v>
      </c>
      <c r="H3938" s="564" t="s">
        <v>337</v>
      </c>
      <c r="I3938" s="564" t="s">
        <v>70</v>
      </c>
      <c r="J3938" s="564" t="s">
        <v>1069</v>
      </c>
      <c r="K3938" s="564" t="s">
        <v>1120</v>
      </c>
      <c r="L3938" s="564" t="s">
        <v>2098</v>
      </c>
      <c r="M3938" s="564" t="s">
        <v>2098</v>
      </c>
      <c r="N3938" s="564" t="s">
        <v>70</v>
      </c>
      <c r="O3938" s="564" t="s">
        <v>2099</v>
      </c>
      <c r="P3938" s="23"/>
      <c r="Q3938" s="23"/>
      <c r="R3938" s="23"/>
      <c r="S3938" s="23"/>
      <c r="T3938" s="23"/>
      <c r="U3938" s="23"/>
      <c r="V3938" s="23"/>
      <c r="W3938" s="23"/>
      <c r="X3938" s="23"/>
      <c r="Y3938" s="23"/>
      <c r="Z3938" s="23"/>
    </row>
    <row r="3939" spans="1:26" ht="13">
      <c r="A3939" s="562" t="s">
        <v>8669</v>
      </c>
      <c r="B3939" s="563" t="s">
        <v>8256</v>
      </c>
      <c r="C3939" s="564" t="s">
        <v>1612</v>
      </c>
      <c r="D3939" s="565">
        <v>41312</v>
      </c>
      <c r="E3939" s="565">
        <v>41320</v>
      </c>
      <c r="F3939" s="566">
        <v>18000</v>
      </c>
      <c r="G3939" s="564" t="s">
        <v>297</v>
      </c>
      <c r="H3939" s="564" t="s">
        <v>297</v>
      </c>
      <c r="I3939" s="564" t="s">
        <v>45</v>
      </c>
      <c r="J3939" s="564" t="s">
        <v>1069</v>
      </c>
      <c r="K3939" s="564" t="s">
        <v>1090</v>
      </c>
      <c r="L3939" s="564" t="s">
        <v>2098</v>
      </c>
      <c r="M3939" s="564" t="s">
        <v>2098</v>
      </c>
      <c r="N3939" s="564" t="s">
        <v>45</v>
      </c>
      <c r="O3939" s="564" t="s">
        <v>2099</v>
      </c>
      <c r="P3939" s="23"/>
      <c r="Q3939" s="23"/>
      <c r="R3939" s="23"/>
      <c r="S3939" s="23"/>
      <c r="T3939" s="23"/>
      <c r="U3939" s="23"/>
      <c r="V3939" s="23"/>
      <c r="W3939" s="23"/>
      <c r="X3939" s="23"/>
      <c r="Y3939" s="23"/>
      <c r="Z3939" s="23"/>
    </row>
    <row r="3940" spans="1:26" ht="13">
      <c r="A3940" s="562" t="s">
        <v>8670</v>
      </c>
      <c r="B3940" s="563" t="s">
        <v>8671</v>
      </c>
      <c r="C3940" s="564" t="s">
        <v>1873</v>
      </c>
      <c r="D3940" s="565">
        <v>41312</v>
      </c>
      <c r="E3940" s="565">
        <v>41327</v>
      </c>
      <c r="F3940" s="566">
        <v>2539200</v>
      </c>
      <c r="G3940" s="564" t="s">
        <v>337</v>
      </c>
      <c r="H3940" s="564" t="s">
        <v>337</v>
      </c>
      <c r="I3940" s="564" t="s">
        <v>170</v>
      </c>
      <c r="J3940" s="564" t="s">
        <v>1069</v>
      </c>
      <c r="K3940" s="564" t="s">
        <v>1105</v>
      </c>
      <c r="L3940" s="564" t="s">
        <v>2098</v>
      </c>
      <c r="M3940" s="564" t="s">
        <v>2098</v>
      </c>
      <c r="N3940" s="564" t="s">
        <v>170</v>
      </c>
      <c r="O3940" s="564" t="s">
        <v>2099</v>
      </c>
      <c r="P3940" s="23"/>
      <c r="Q3940" s="23"/>
      <c r="R3940" s="23"/>
      <c r="S3940" s="23"/>
      <c r="T3940" s="23"/>
      <c r="U3940" s="23"/>
      <c r="V3940" s="23"/>
      <c r="W3940" s="23"/>
      <c r="X3940" s="23"/>
      <c r="Y3940" s="23"/>
      <c r="Z3940" s="23"/>
    </row>
    <row r="3941" spans="1:26" ht="13">
      <c r="A3941" s="562" t="s">
        <v>8672</v>
      </c>
      <c r="B3941" s="563" t="s">
        <v>8673</v>
      </c>
      <c r="C3941" s="564" t="s">
        <v>1612</v>
      </c>
      <c r="D3941" s="565">
        <v>41309</v>
      </c>
      <c r="E3941" s="565">
        <v>41316</v>
      </c>
      <c r="F3941" s="566">
        <v>2200</v>
      </c>
      <c r="G3941" s="564" t="s">
        <v>1856</v>
      </c>
      <c r="H3941" s="564" t="s">
        <v>1856</v>
      </c>
      <c r="I3941" s="564" t="s">
        <v>45</v>
      </c>
      <c r="J3941" s="564" t="s">
        <v>1069</v>
      </c>
      <c r="K3941" s="564" t="s">
        <v>1090</v>
      </c>
      <c r="L3941" s="564" t="s">
        <v>2098</v>
      </c>
      <c r="M3941" s="564" t="s">
        <v>2098</v>
      </c>
      <c r="N3941" s="564" t="s">
        <v>45</v>
      </c>
      <c r="O3941" s="564" t="s">
        <v>2099</v>
      </c>
      <c r="P3941" s="23"/>
      <c r="Q3941" s="23"/>
      <c r="R3941" s="23"/>
      <c r="S3941" s="23"/>
      <c r="T3941" s="23"/>
      <c r="U3941" s="23"/>
      <c r="V3941" s="23"/>
      <c r="W3941" s="23"/>
      <c r="X3941" s="23"/>
      <c r="Y3941" s="23"/>
      <c r="Z3941" s="23"/>
    </row>
    <row r="3942" spans="1:26" ht="13">
      <c r="A3942" s="562" t="s">
        <v>8674</v>
      </c>
      <c r="B3942" s="563" t="s">
        <v>8675</v>
      </c>
      <c r="C3942" s="564" t="s">
        <v>2191</v>
      </c>
      <c r="D3942" s="565">
        <v>41306</v>
      </c>
      <c r="E3942" s="565">
        <v>41310</v>
      </c>
      <c r="F3942" s="566">
        <v>313000</v>
      </c>
      <c r="G3942" s="564" t="s">
        <v>1856</v>
      </c>
      <c r="H3942" s="564" t="s">
        <v>1856</v>
      </c>
      <c r="I3942" s="564" t="s">
        <v>8676</v>
      </c>
      <c r="J3942" s="564" t="s">
        <v>1069</v>
      </c>
      <c r="K3942" s="564" t="s">
        <v>1070</v>
      </c>
      <c r="L3942" s="564" t="s">
        <v>2098</v>
      </c>
      <c r="M3942" s="564" t="s">
        <v>2098</v>
      </c>
      <c r="N3942" s="564" t="s">
        <v>1082</v>
      </c>
      <c r="O3942" s="564" t="s">
        <v>2099</v>
      </c>
      <c r="P3942" s="23"/>
      <c r="Q3942" s="23"/>
      <c r="R3942" s="23"/>
      <c r="S3942" s="23"/>
      <c r="T3942" s="23"/>
      <c r="U3942" s="23"/>
      <c r="V3942" s="23"/>
      <c r="W3942" s="23"/>
      <c r="X3942" s="23"/>
      <c r="Y3942" s="23"/>
      <c r="Z3942" s="23"/>
    </row>
    <row r="3943" spans="1:26" ht="13">
      <c r="A3943" s="562" t="s">
        <v>8677</v>
      </c>
      <c r="B3943" s="563" t="s">
        <v>8464</v>
      </c>
      <c r="C3943" s="564" t="s">
        <v>1612</v>
      </c>
      <c r="D3943" s="565">
        <v>41304</v>
      </c>
      <c r="E3943" s="565">
        <v>41311</v>
      </c>
      <c r="F3943" s="566">
        <v>80362</v>
      </c>
      <c r="G3943" s="564" t="s">
        <v>337</v>
      </c>
      <c r="H3943" s="564" t="s">
        <v>337</v>
      </c>
      <c r="I3943" s="564" t="s">
        <v>1837</v>
      </c>
      <c r="J3943" s="564" t="s">
        <v>1069</v>
      </c>
      <c r="K3943" s="564" t="s">
        <v>1090</v>
      </c>
      <c r="L3943" s="564" t="s">
        <v>2098</v>
      </c>
      <c r="M3943" s="564" t="s">
        <v>2098</v>
      </c>
      <c r="N3943" s="564" t="s">
        <v>1082</v>
      </c>
      <c r="O3943" s="564" t="s">
        <v>2099</v>
      </c>
      <c r="P3943" s="23"/>
      <c r="Q3943" s="23"/>
      <c r="R3943" s="23"/>
      <c r="S3943" s="23"/>
      <c r="T3943" s="23"/>
      <c r="U3943" s="23"/>
      <c r="V3943" s="23"/>
      <c r="W3943" s="23"/>
      <c r="X3943" s="23"/>
      <c r="Y3943" s="23"/>
      <c r="Z3943" s="23"/>
    </row>
    <row r="3944" spans="1:26" ht="13">
      <c r="A3944" s="562" t="s">
        <v>8678</v>
      </c>
      <c r="B3944" s="563" t="s">
        <v>8679</v>
      </c>
      <c r="C3944" s="564" t="s">
        <v>1612</v>
      </c>
      <c r="D3944" s="565">
        <v>41292</v>
      </c>
      <c r="E3944" s="565">
        <v>41299</v>
      </c>
      <c r="F3944" s="566">
        <v>8390909</v>
      </c>
      <c r="G3944" s="564" t="s">
        <v>337</v>
      </c>
      <c r="H3944" s="564" t="s">
        <v>337</v>
      </c>
      <c r="I3944" s="564" t="s">
        <v>802</v>
      </c>
      <c r="J3944" s="564" t="s">
        <v>1069</v>
      </c>
      <c r="K3944" s="564" t="s">
        <v>1198</v>
      </c>
      <c r="L3944" s="564" t="s">
        <v>2098</v>
      </c>
      <c r="M3944" s="564" t="s">
        <v>2098</v>
      </c>
      <c r="N3944" s="564" t="s">
        <v>132</v>
      </c>
      <c r="O3944" s="564" t="s">
        <v>2099</v>
      </c>
      <c r="P3944" s="23"/>
      <c r="Q3944" s="23"/>
      <c r="R3944" s="23"/>
      <c r="S3944" s="23"/>
      <c r="T3944" s="23"/>
      <c r="U3944" s="23"/>
      <c r="V3944" s="23"/>
      <c r="W3944" s="23"/>
      <c r="X3944" s="23"/>
      <c r="Y3944" s="23"/>
      <c r="Z3944" s="23"/>
    </row>
    <row r="3945" spans="1:26" ht="13">
      <c r="A3945" s="562" t="s">
        <v>8680</v>
      </c>
      <c r="B3945" s="563" t="s">
        <v>8681</v>
      </c>
      <c r="C3945" s="564" t="s">
        <v>1612</v>
      </c>
      <c r="D3945" s="565">
        <v>41292</v>
      </c>
      <c r="E3945" s="565">
        <v>41299</v>
      </c>
      <c r="F3945" s="566">
        <v>12045</v>
      </c>
      <c r="G3945" s="564" t="s">
        <v>337</v>
      </c>
      <c r="H3945" s="564" t="s">
        <v>337</v>
      </c>
      <c r="I3945" s="564" t="s">
        <v>802</v>
      </c>
      <c r="J3945" s="564" t="s">
        <v>1069</v>
      </c>
      <c r="K3945" s="564" t="s">
        <v>1198</v>
      </c>
      <c r="L3945" s="564" t="s">
        <v>2098</v>
      </c>
      <c r="M3945" s="564" t="s">
        <v>2098</v>
      </c>
      <c r="N3945" s="564" t="s">
        <v>132</v>
      </c>
      <c r="O3945" s="564" t="s">
        <v>2099</v>
      </c>
      <c r="P3945" s="23"/>
      <c r="Q3945" s="23"/>
      <c r="R3945" s="23"/>
      <c r="S3945" s="23"/>
      <c r="T3945" s="23"/>
      <c r="U3945" s="23"/>
      <c r="V3945" s="23"/>
      <c r="W3945" s="23"/>
      <c r="X3945" s="23"/>
      <c r="Y3945" s="23"/>
      <c r="Z3945" s="23"/>
    </row>
    <row r="3946" spans="1:26" ht="13">
      <c r="A3946" s="562" t="s">
        <v>8682</v>
      </c>
      <c r="B3946" s="563" t="s">
        <v>8683</v>
      </c>
      <c r="C3946" s="564" t="s">
        <v>1612</v>
      </c>
      <c r="D3946" s="565">
        <v>41295</v>
      </c>
      <c r="E3946" s="565">
        <v>41305</v>
      </c>
      <c r="F3946" s="566">
        <v>65199</v>
      </c>
      <c r="G3946" s="564" t="s">
        <v>297</v>
      </c>
      <c r="H3946" s="564" t="s">
        <v>297</v>
      </c>
      <c r="I3946" s="564" t="s">
        <v>1837</v>
      </c>
      <c r="J3946" s="564" t="s">
        <v>1069</v>
      </c>
      <c r="K3946" s="564" t="s">
        <v>1070</v>
      </c>
      <c r="L3946" s="564" t="s">
        <v>2098</v>
      </c>
      <c r="M3946" s="564" t="s">
        <v>2098</v>
      </c>
      <c r="N3946" s="564" t="s">
        <v>1082</v>
      </c>
      <c r="O3946" s="564" t="s">
        <v>2099</v>
      </c>
      <c r="P3946" s="23"/>
      <c r="Q3946" s="23"/>
      <c r="R3946" s="23"/>
      <c r="S3946" s="23"/>
      <c r="T3946" s="23"/>
      <c r="U3946" s="23"/>
      <c r="V3946" s="23"/>
      <c r="W3946" s="23"/>
      <c r="X3946" s="23"/>
      <c r="Y3946" s="23"/>
      <c r="Z3946" s="23"/>
    </row>
    <row r="3947" spans="1:26" ht="13">
      <c r="A3947" s="562" t="s">
        <v>8684</v>
      </c>
      <c r="B3947" s="563" t="s">
        <v>8685</v>
      </c>
      <c r="C3947" s="564" t="s">
        <v>1612</v>
      </c>
      <c r="D3947" s="565">
        <v>41292</v>
      </c>
      <c r="E3947" s="565">
        <v>41299</v>
      </c>
      <c r="F3947" s="566">
        <v>450000</v>
      </c>
      <c r="G3947" s="564" t="s">
        <v>1128</v>
      </c>
      <c r="H3947" s="564" t="s">
        <v>1128</v>
      </c>
      <c r="I3947" s="564" t="s">
        <v>2073</v>
      </c>
      <c r="J3947" s="564" t="s">
        <v>1069</v>
      </c>
      <c r="K3947" s="564" t="s">
        <v>1105</v>
      </c>
      <c r="L3947" s="564" t="s">
        <v>2098</v>
      </c>
      <c r="M3947" s="564" t="s">
        <v>2098</v>
      </c>
      <c r="N3947" s="564" t="s">
        <v>225</v>
      </c>
      <c r="O3947" s="564" t="s">
        <v>2099</v>
      </c>
      <c r="P3947" s="23"/>
      <c r="Q3947" s="23"/>
      <c r="R3947" s="23"/>
      <c r="S3947" s="23"/>
      <c r="T3947" s="23"/>
      <c r="U3947" s="23"/>
      <c r="V3947" s="23"/>
      <c r="W3947" s="23"/>
      <c r="X3947" s="23"/>
      <c r="Y3947" s="23"/>
      <c r="Z3947" s="23"/>
    </row>
    <row r="3948" spans="1:26" ht="13">
      <c r="A3948" s="562" t="s">
        <v>8686</v>
      </c>
      <c r="B3948" s="563" t="s">
        <v>8687</v>
      </c>
      <c r="C3948" s="564" t="s">
        <v>1612</v>
      </c>
      <c r="D3948" s="565">
        <v>41290</v>
      </c>
      <c r="E3948" s="565">
        <v>41297</v>
      </c>
      <c r="F3948" s="566">
        <v>95500000</v>
      </c>
      <c r="G3948" s="564" t="s">
        <v>337</v>
      </c>
      <c r="H3948" s="564" t="s">
        <v>337</v>
      </c>
      <c r="I3948" s="564" t="s">
        <v>802</v>
      </c>
      <c r="J3948" s="564" t="s">
        <v>1069</v>
      </c>
      <c r="K3948" s="564" t="s">
        <v>1198</v>
      </c>
      <c r="L3948" s="564" t="s">
        <v>2098</v>
      </c>
      <c r="M3948" s="564" t="s">
        <v>2098</v>
      </c>
      <c r="N3948" s="564" t="s">
        <v>132</v>
      </c>
      <c r="O3948" s="564" t="s">
        <v>2099</v>
      </c>
      <c r="P3948" s="23"/>
      <c r="Q3948" s="23"/>
      <c r="R3948" s="23"/>
      <c r="S3948" s="23"/>
      <c r="T3948" s="23"/>
      <c r="U3948" s="23"/>
      <c r="V3948" s="23"/>
      <c r="W3948" s="23"/>
      <c r="X3948" s="23"/>
      <c r="Y3948" s="23"/>
      <c r="Z3948" s="23"/>
    </row>
    <row r="3949" spans="1:26" ht="13">
      <c r="A3949" s="562" t="s">
        <v>8688</v>
      </c>
      <c r="B3949" s="563" t="s">
        <v>8689</v>
      </c>
      <c r="C3949" s="564" t="s">
        <v>1612</v>
      </c>
      <c r="D3949" s="565">
        <v>41290</v>
      </c>
      <c r="E3949" s="565">
        <v>41297</v>
      </c>
      <c r="F3949" s="566">
        <v>12257800</v>
      </c>
      <c r="G3949" s="564" t="s">
        <v>337</v>
      </c>
      <c r="H3949" s="564" t="s">
        <v>337</v>
      </c>
      <c r="I3949" s="564" t="s">
        <v>802</v>
      </c>
      <c r="J3949" s="564" t="s">
        <v>1069</v>
      </c>
      <c r="K3949" s="564" t="s">
        <v>1198</v>
      </c>
      <c r="L3949" s="564" t="s">
        <v>2098</v>
      </c>
      <c r="M3949" s="564" t="s">
        <v>2098</v>
      </c>
      <c r="N3949" s="564" t="s">
        <v>132</v>
      </c>
      <c r="O3949" s="564" t="s">
        <v>2099</v>
      </c>
      <c r="P3949" s="23"/>
      <c r="Q3949" s="23"/>
      <c r="R3949" s="23"/>
      <c r="S3949" s="23"/>
      <c r="T3949" s="23"/>
      <c r="U3949" s="23"/>
      <c r="V3949" s="23"/>
      <c r="W3949" s="23"/>
      <c r="X3949" s="23"/>
      <c r="Y3949" s="23"/>
      <c r="Z3949" s="23"/>
    </row>
    <row r="3950" spans="1:26" ht="13">
      <c r="A3950" s="562" t="s">
        <v>8690</v>
      </c>
      <c r="B3950" s="563" t="s">
        <v>8510</v>
      </c>
      <c r="C3950" s="564" t="s">
        <v>1612</v>
      </c>
      <c r="D3950" s="565">
        <v>41289</v>
      </c>
      <c r="E3950" s="565">
        <v>41290</v>
      </c>
      <c r="F3950" s="567">
        <v>777</v>
      </c>
      <c r="G3950" s="564" t="s">
        <v>337</v>
      </c>
      <c r="H3950" s="564" t="s">
        <v>337</v>
      </c>
      <c r="I3950" s="564" t="s">
        <v>70</v>
      </c>
      <c r="J3950" s="564" t="s">
        <v>1069</v>
      </c>
      <c r="K3950" s="564" t="s">
        <v>1120</v>
      </c>
      <c r="L3950" s="564" t="s">
        <v>2098</v>
      </c>
      <c r="M3950" s="564" t="s">
        <v>2098</v>
      </c>
      <c r="N3950" s="564" t="s">
        <v>70</v>
      </c>
      <c r="O3950" s="564" t="s">
        <v>2099</v>
      </c>
      <c r="P3950" s="23"/>
      <c r="Q3950" s="23"/>
      <c r="R3950" s="23"/>
      <c r="S3950" s="23"/>
      <c r="T3950" s="23"/>
      <c r="U3950" s="23"/>
      <c r="V3950" s="23"/>
      <c r="W3950" s="23"/>
      <c r="X3950" s="23"/>
      <c r="Y3950" s="23"/>
      <c r="Z3950" s="23"/>
    </row>
    <row r="3951" spans="1:26" ht="13">
      <c r="A3951" s="562" t="s">
        <v>8691</v>
      </c>
      <c r="B3951" s="563" t="s">
        <v>8692</v>
      </c>
      <c r="C3951" s="564" t="s">
        <v>2191</v>
      </c>
      <c r="D3951" s="565">
        <v>41285</v>
      </c>
      <c r="E3951" s="565">
        <v>41305</v>
      </c>
      <c r="F3951" s="566">
        <v>16577475</v>
      </c>
      <c r="G3951" s="564" t="s">
        <v>1636</v>
      </c>
      <c r="H3951" s="564" t="s">
        <v>1636</v>
      </c>
      <c r="I3951" s="564" t="s">
        <v>6222</v>
      </c>
      <c r="J3951" s="564" t="s">
        <v>1069</v>
      </c>
      <c r="K3951" s="564" t="s">
        <v>1198</v>
      </c>
      <c r="L3951" s="564" t="s">
        <v>2098</v>
      </c>
      <c r="M3951" s="564" t="s">
        <v>2098</v>
      </c>
      <c r="N3951" s="564" t="s">
        <v>1082</v>
      </c>
      <c r="O3951" s="564" t="s">
        <v>2099</v>
      </c>
      <c r="P3951" s="23"/>
      <c r="Q3951" s="23"/>
      <c r="R3951" s="23"/>
      <c r="S3951" s="23"/>
      <c r="T3951" s="23"/>
      <c r="U3951" s="23"/>
      <c r="V3951" s="23"/>
      <c r="W3951" s="23"/>
      <c r="X3951" s="23"/>
      <c r="Y3951" s="23"/>
      <c r="Z3951" s="23"/>
    </row>
    <row r="3952" spans="1:26" ht="13">
      <c r="A3952" s="562" t="s">
        <v>8693</v>
      </c>
      <c r="B3952" s="563" t="s">
        <v>8694</v>
      </c>
      <c r="C3952" s="564" t="s">
        <v>2191</v>
      </c>
      <c r="D3952" s="565">
        <v>41285</v>
      </c>
      <c r="E3952" s="565">
        <v>41296</v>
      </c>
      <c r="F3952" s="566">
        <v>295100000</v>
      </c>
      <c r="G3952" s="564" t="s">
        <v>1123</v>
      </c>
      <c r="H3952" s="564" t="s">
        <v>1123</v>
      </c>
      <c r="I3952" s="564" t="s">
        <v>143</v>
      </c>
      <c r="J3952" s="564" t="s">
        <v>1069</v>
      </c>
      <c r="K3952" s="564" t="s">
        <v>1205</v>
      </c>
      <c r="L3952" s="564" t="s">
        <v>2098</v>
      </c>
      <c r="M3952" s="564" t="s">
        <v>2098</v>
      </c>
      <c r="N3952" s="564" t="s">
        <v>1073</v>
      </c>
      <c r="O3952" s="564" t="s">
        <v>2099</v>
      </c>
      <c r="P3952" s="23"/>
      <c r="Q3952" s="23"/>
      <c r="R3952" s="23"/>
      <c r="S3952" s="23"/>
      <c r="T3952" s="23"/>
      <c r="U3952" s="23"/>
      <c r="V3952" s="23"/>
      <c r="W3952" s="23"/>
      <c r="X3952" s="23"/>
      <c r="Y3952" s="23"/>
      <c r="Z3952" s="23"/>
    </row>
    <row r="3953" spans="1:26" ht="13">
      <c r="A3953" s="562" t="s">
        <v>8695</v>
      </c>
      <c r="B3953" s="563" t="s">
        <v>8696</v>
      </c>
      <c r="C3953" s="564" t="s">
        <v>2191</v>
      </c>
      <c r="D3953" s="565">
        <v>41282</v>
      </c>
      <c r="E3953" s="565">
        <v>41296</v>
      </c>
      <c r="F3953" s="566">
        <v>80700000</v>
      </c>
      <c r="G3953" s="564" t="s">
        <v>1123</v>
      </c>
      <c r="H3953" s="564" t="s">
        <v>1123</v>
      </c>
      <c r="I3953" s="564" t="s">
        <v>8659</v>
      </c>
      <c r="J3953" s="564" t="s">
        <v>1069</v>
      </c>
      <c r="K3953" s="564" t="s">
        <v>1205</v>
      </c>
      <c r="L3953" s="564" t="s">
        <v>2098</v>
      </c>
      <c r="M3953" s="564" t="s">
        <v>2098</v>
      </c>
      <c r="N3953" s="564" t="s">
        <v>1073</v>
      </c>
      <c r="O3953" s="564" t="s">
        <v>2099</v>
      </c>
      <c r="P3953" s="23"/>
      <c r="Q3953" s="23"/>
      <c r="R3953" s="23"/>
      <c r="S3953" s="23"/>
      <c r="T3953" s="23"/>
      <c r="U3953" s="23"/>
      <c r="V3953" s="23"/>
      <c r="W3953" s="23"/>
      <c r="X3953" s="23"/>
      <c r="Y3953" s="23"/>
      <c r="Z3953" s="23"/>
    </row>
    <row r="3954" spans="1:26" ht="13">
      <c r="A3954" s="562" t="s">
        <v>8697</v>
      </c>
      <c r="B3954" s="563" t="s">
        <v>8698</v>
      </c>
      <c r="C3954" s="564" t="s">
        <v>1612</v>
      </c>
      <c r="D3954" s="565">
        <v>41281</v>
      </c>
      <c r="E3954" s="565">
        <v>41292</v>
      </c>
      <c r="F3954" s="566">
        <v>132433</v>
      </c>
      <c r="G3954" s="564" t="s">
        <v>337</v>
      </c>
      <c r="H3954" s="564" t="s">
        <v>337</v>
      </c>
      <c r="I3954" s="564" t="s">
        <v>70</v>
      </c>
      <c r="J3954" s="564" t="s">
        <v>1069</v>
      </c>
      <c r="K3954" s="564" t="s">
        <v>1120</v>
      </c>
      <c r="L3954" s="564" t="s">
        <v>2098</v>
      </c>
      <c r="M3954" s="564" t="s">
        <v>2098</v>
      </c>
      <c r="N3954" s="564" t="s">
        <v>70</v>
      </c>
      <c r="O3954" s="564" t="s">
        <v>2099</v>
      </c>
      <c r="P3954" s="23"/>
      <c r="Q3954" s="23"/>
      <c r="R3954" s="23"/>
      <c r="S3954" s="23"/>
      <c r="T3954" s="23"/>
      <c r="U3954" s="23"/>
      <c r="V3954" s="23"/>
      <c r="W3954" s="23"/>
      <c r="X3954" s="23"/>
      <c r="Y3954" s="23"/>
      <c r="Z3954" s="23"/>
    </row>
    <row r="3955" spans="1:26" ht="13">
      <c r="A3955" s="562" t="s">
        <v>8699</v>
      </c>
      <c r="B3955" s="563" t="s">
        <v>8700</v>
      </c>
      <c r="C3955" s="564" t="s">
        <v>1612</v>
      </c>
      <c r="D3955" s="565">
        <v>41281</v>
      </c>
      <c r="E3955" s="565">
        <v>41292</v>
      </c>
      <c r="F3955" s="566">
        <v>150308</v>
      </c>
      <c r="G3955" s="564" t="s">
        <v>297</v>
      </c>
      <c r="H3955" s="564" t="s">
        <v>297</v>
      </c>
      <c r="I3955" s="564" t="s">
        <v>45</v>
      </c>
      <c r="J3955" s="564" t="s">
        <v>1069</v>
      </c>
      <c r="K3955" s="564" t="s">
        <v>1090</v>
      </c>
      <c r="L3955" s="564" t="s">
        <v>2098</v>
      </c>
      <c r="M3955" s="564" t="s">
        <v>2098</v>
      </c>
      <c r="N3955" s="564" t="s">
        <v>45</v>
      </c>
      <c r="O3955" s="564" t="s">
        <v>2099</v>
      </c>
      <c r="P3955" s="23"/>
      <c r="Q3955" s="23"/>
      <c r="R3955" s="23"/>
      <c r="S3955" s="23"/>
      <c r="T3955" s="23"/>
      <c r="U3955" s="23"/>
      <c r="V3955" s="23"/>
      <c r="W3955" s="23"/>
      <c r="X3955" s="23"/>
      <c r="Y3955" s="23"/>
      <c r="Z3955" s="23"/>
    </row>
    <row r="3956" spans="1:26" ht="13">
      <c r="A3956" s="562" t="s">
        <v>8701</v>
      </c>
      <c r="B3956" s="563" t="s">
        <v>8702</v>
      </c>
      <c r="C3956" s="564" t="s">
        <v>1873</v>
      </c>
      <c r="D3956" s="565">
        <v>41281</v>
      </c>
      <c r="E3956" s="565">
        <v>41285</v>
      </c>
      <c r="F3956" s="566">
        <v>723000</v>
      </c>
      <c r="G3956" s="564" t="s">
        <v>1157</v>
      </c>
      <c r="H3956" s="564" t="s">
        <v>1157</v>
      </c>
      <c r="I3956" s="564" t="s">
        <v>170</v>
      </c>
      <c r="J3956" s="564" t="s">
        <v>1069</v>
      </c>
      <c r="K3956" s="564" t="s">
        <v>1105</v>
      </c>
      <c r="L3956" s="564" t="s">
        <v>2098</v>
      </c>
      <c r="M3956" s="564" t="s">
        <v>2098</v>
      </c>
      <c r="N3956" s="564" t="s">
        <v>170</v>
      </c>
      <c r="O3956" s="564" t="s">
        <v>2099</v>
      </c>
      <c r="P3956" s="23"/>
      <c r="Q3956" s="23"/>
      <c r="R3956" s="23"/>
      <c r="S3956" s="23"/>
      <c r="T3956" s="23"/>
      <c r="U3956" s="23"/>
      <c r="V3956" s="23"/>
      <c r="W3956" s="23"/>
      <c r="X3956" s="23"/>
      <c r="Y3956" s="23"/>
      <c r="Z3956" s="23"/>
    </row>
    <row r="3957" spans="1:26" ht="13">
      <c r="A3957" s="562" t="s">
        <v>8703</v>
      </c>
      <c r="B3957" s="563" t="s">
        <v>8704</v>
      </c>
      <c r="C3957" s="564" t="s">
        <v>1612</v>
      </c>
      <c r="D3957" s="565">
        <v>41278</v>
      </c>
      <c r="E3957" s="565">
        <v>41275</v>
      </c>
      <c r="F3957" s="566">
        <v>20689200</v>
      </c>
      <c r="G3957" s="564" t="s">
        <v>337</v>
      </c>
      <c r="H3957" s="564" t="s">
        <v>337</v>
      </c>
      <c r="I3957" s="564" t="s">
        <v>45</v>
      </c>
      <c r="J3957" s="564" t="s">
        <v>1069</v>
      </c>
      <c r="K3957" s="564" t="s">
        <v>1090</v>
      </c>
      <c r="L3957" s="564" t="s">
        <v>1071</v>
      </c>
      <c r="M3957" s="564" t="s">
        <v>1183</v>
      </c>
      <c r="N3957" s="564" t="s">
        <v>45</v>
      </c>
      <c r="O3957" s="564" t="s">
        <v>2099</v>
      </c>
      <c r="P3957" s="23"/>
      <c r="Q3957" s="23"/>
      <c r="R3957" s="23"/>
      <c r="S3957" s="23"/>
      <c r="T3957" s="23"/>
      <c r="U3957" s="23"/>
      <c r="V3957" s="23"/>
      <c r="W3957" s="23"/>
      <c r="X3957" s="23"/>
      <c r="Y3957" s="23"/>
      <c r="Z3957" s="23"/>
    </row>
    <row r="3958" spans="1:26" ht="13">
      <c r="A3958" s="562" t="s">
        <v>8705</v>
      </c>
      <c r="B3958" s="563" t="s">
        <v>8706</v>
      </c>
      <c r="C3958" s="564" t="s">
        <v>1612</v>
      </c>
      <c r="D3958" s="565">
        <v>41277</v>
      </c>
      <c r="E3958" s="565">
        <v>41285</v>
      </c>
      <c r="F3958" s="566">
        <v>676300000</v>
      </c>
      <c r="G3958" s="564" t="s">
        <v>1856</v>
      </c>
      <c r="H3958" s="564" t="s">
        <v>1856</v>
      </c>
      <c r="I3958" s="564" t="s">
        <v>45</v>
      </c>
      <c r="J3958" s="564" t="s">
        <v>1069</v>
      </c>
      <c r="K3958" s="564" t="s">
        <v>1090</v>
      </c>
      <c r="L3958" s="564" t="s">
        <v>2098</v>
      </c>
      <c r="M3958" s="564" t="s">
        <v>2098</v>
      </c>
      <c r="N3958" s="564" t="s">
        <v>45</v>
      </c>
      <c r="O3958" s="564" t="s">
        <v>2099</v>
      </c>
      <c r="P3958" s="23"/>
      <c r="Q3958" s="23"/>
      <c r="R3958" s="23"/>
      <c r="S3958" s="23"/>
      <c r="T3958" s="23"/>
      <c r="U3958" s="23"/>
      <c r="V3958" s="23"/>
      <c r="W3958" s="23"/>
      <c r="X3958" s="23"/>
      <c r="Y3958" s="23"/>
      <c r="Z3958" s="23"/>
    </row>
    <row r="3959" spans="1:26" ht="13">
      <c r="A3959" s="562" t="s">
        <v>8707</v>
      </c>
      <c r="B3959" s="563" t="s">
        <v>8708</v>
      </c>
      <c r="C3959" s="564" t="s">
        <v>1612</v>
      </c>
      <c r="D3959" s="565">
        <v>41276</v>
      </c>
      <c r="E3959" s="565">
        <v>41274</v>
      </c>
      <c r="F3959" s="566">
        <v>517950</v>
      </c>
      <c r="G3959" s="564" t="s">
        <v>297</v>
      </c>
      <c r="H3959" s="564" t="s">
        <v>297</v>
      </c>
      <c r="I3959" s="564" t="s">
        <v>7259</v>
      </c>
      <c r="J3959" s="564" t="s">
        <v>1069</v>
      </c>
      <c r="K3959" s="564" t="s">
        <v>1070</v>
      </c>
      <c r="L3959" s="564" t="s">
        <v>2098</v>
      </c>
      <c r="M3959" s="564" t="s">
        <v>2098</v>
      </c>
      <c r="N3959" s="564" t="s">
        <v>1082</v>
      </c>
      <c r="O3959" s="564" t="s">
        <v>2099</v>
      </c>
      <c r="P3959" s="23"/>
      <c r="Q3959" s="23"/>
      <c r="R3959" s="23"/>
      <c r="S3959" s="23"/>
      <c r="T3959" s="23"/>
      <c r="U3959" s="23"/>
      <c r="V3959" s="23"/>
      <c r="W3959" s="23"/>
      <c r="X3959" s="23"/>
      <c r="Y3959" s="23"/>
      <c r="Z3959" s="23"/>
    </row>
    <row r="3960" spans="1:26" ht="13">
      <c r="A3960" s="562" t="s">
        <v>8709</v>
      </c>
      <c r="B3960" s="563" t="s">
        <v>8710</v>
      </c>
      <c r="C3960" s="564" t="s">
        <v>2191</v>
      </c>
      <c r="D3960" s="565">
        <v>41271</v>
      </c>
      <c r="E3960" s="565">
        <v>41455</v>
      </c>
      <c r="F3960" s="566">
        <v>459847</v>
      </c>
      <c r="G3960" s="564" t="s">
        <v>1856</v>
      </c>
      <c r="H3960" s="564" t="s">
        <v>1856</v>
      </c>
      <c r="I3960" s="564" t="s">
        <v>8711</v>
      </c>
      <c r="J3960" s="564" t="s">
        <v>1069</v>
      </c>
      <c r="K3960" s="564" t="s">
        <v>1070</v>
      </c>
      <c r="L3960" s="564" t="s">
        <v>2098</v>
      </c>
      <c r="M3960" s="564" t="s">
        <v>2098</v>
      </c>
      <c r="N3960" s="564" t="s">
        <v>1082</v>
      </c>
      <c r="O3960" s="564" t="s">
        <v>2099</v>
      </c>
      <c r="P3960" s="23"/>
      <c r="Q3960" s="23"/>
      <c r="R3960" s="23"/>
      <c r="S3960" s="23"/>
      <c r="T3960" s="23"/>
      <c r="U3960" s="23"/>
      <c r="V3960" s="23"/>
      <c r="W3960" s="23"/>
      <c r="X3960" s="23"/>
      <c r="Y3960" s="23"/>
      <c r="Z3960" s="23"/>
    </row>
    <row r="3961" spans="1:26" ht="13">
      <c r="A3961" s="562" t="s">
        <v>8712</v>
      </c>
      <c r="B3961" s="563" t="s">
        <v>8510</v>
      </c>
      <c r="C3961" s="564" t="s">
        <v>1612</v>
      </c>
      <c r="D3961" s="565">
        <v>41269</v>
      </c>
      <c r="E3961" s="565">
        <v>41271</v>
      </c>
      <c r="F3961" s="567">
        <v>777</v>
      </c>
      <c r="G3961" s="564" t="s">
        <v>337</v>
      </c>
      <c r="H3961" s="564" t="s">
        <v>337</v>
      </c>
      <c r="I3961" s="564" t="s">
        <v>70</v>
      </c>
      <c r="J3961" s="564" t="s">
        <v>1069</v>
      </c>
      <c r="K3961" s="564" t="s">
        <v>1120</v>
      </c>
      <c r="L3961" s="564" t="s">
        <v>2098</v>
      </c>
      <c r="M3961" s="564" t="s">
        <v>2098</v>
      </c>
      <c r="N3961" s="564" t="s">
        <v>70</v>
      </c>
      <c r="O3961" s="564" t="s">
        <v>2099</v>
      </c>
      <c r="P3961" s="23"/>
      <c r="Q3961" s="23"/>
      <c r="R3961" s="23"/>
      <c r="S3961" s="23"/>
      <c r="T3961" s="23"/>
      <c r="U3961" s="23"/>
      <c r="V3961" s="23"/>
      <c r="W3961" s="23"/>
      <c r="X3961" s="23"/>
      <c r="Y3961" s="23"/>
      <c r="Z3961" s="23"/>
    </row>
    <row r="3962" spans="1:26" ht="13">
      <c r="A3962" s="562" t="s">
        <v>8713</v>
      </c>
      <c r="B3962" s="563" t="s">
        <v>8714</v>
      </c>
      <c r="C3962" s="564" t="s">
        <v>2191</v>
      </c>
      <c r="D3962" s="565">
        <v>41269</v>
      </c>
      <c r="E3962" s="565">
        <v>41271</v>
      </c>
      <c r="F3962" s="566">
        <v>8795000</v>
      </c>
      <c r="G3962" s="564" t="s">
        <v>1636</v>
      </c>
      <c r="H3962" s="564" t="s">
        <v>1636</v>
      </c>
      <c r="I3962" s="564" t="s">
        <v>8715</v>
      </c>
      <c r="J3962" s="564" t="s">
        <v>1069</v>
      </c>
      <c r="K3962" s="564" t="s">
        <v>1070</v>
      </c>
      <c r="L3962" s="564" t="s">
        <v>2098</v>
      </c>
      <c r="M3962" s="564" t="s">
        <v>2098</v>
      </c>
      <c r="N3962" s="564" t="s">
        <v>2325</v>
      </c>
      <c r="O3962" s="564" t="s">
        <v>2099</v>
      </c>
      <c r="P3962" s="23"/>
      <c r="Q3962" s="23"/>
      <c r="R3962" s="23"/>
      <c r="S3962" s="23"/>
      <c r="T3962" s="23"/>
      <c r="U3962" s="23"/>
      <c r="V3962" s="23"/>
      <c r="W3962" s="23"/>
      <c r="X3962" s="23"/>
      <c r="Y3962" s="23"/>
      <c r="Z3962" s="23"/>
    </row>
    <row r="3963" spans="1:26" ht="13">
      <c r="A3963" s="562" t="s">
        <v>8716</v>
      </c>
      <c r="B3963" s="563" t="s">
        <v>7711</v>
      </c>
      <c r="C3963" s="564" t="s">
        <v>2191</v>
      </c>
      <c r="D3963" s="565">
        <v>41268</v>
      </c>
      <c r="E3963" s="565">
        <v>41547</v>
      </c>
      <c r="F3963" s="566">
        <v>355000000</v>
      </c>
      <c r="G3963" s="564" t="s">
        <v>1187</v>
      </c>
      <c r="H3963" s="564" t="s">
        <v>1187</v>
      </c>
      <c r="I3963" s="564" t="s">
        <v>7712</v>
      </c>
      <c r="J3963" s="564" t="s">
        <v>1069</v>
      </c>
      <c r="K3963" s="564" t="s">
        <v>1070</v>
      </c>
      <c r="L3963" s="564" t="s">
        <v>2098</v>
      </c>
      <c r="M3963" s="564" t="s">
        <v>2098</v>
      </c>
      <c r="N3963" s="564" t="s">
        <v>1082</v>
      </c>
      <c r="O3963" s="564" t="s">
        <v>2099</v>
      </c>
      <c r="P3963" s="23"/>
      <c r="Q3963" s="23"/>
      <c r="R3963" s="23"/>
      <c r="S3963" s="23"/>
      <c r="T3963" s="23"/>
      <c r="U3963" s="23"/>
      <c r="V3963" s="23"/>
      <c r="W3963" s="23"/>
      <c r="X3963" s="23"/>
      <c r="Y3963" s="23"/>
      <c r="Z3963" s="23"/>
    </row>
    <row r="3964" spans="1:26" ht="13">
      <c r="A3964" s="562" t="s">
        <v>8717</v>
      </c>
      <c r="B3964" s="563" t="s">
        <v>8718</v>
      </c>
      <c r="C3964" s="564" t="s">
        <v>2191</v>
      </c>
      <c r="D3964" s="565">
        <v>41267</v>
      </c>
      <c r="E3964" s="565">
        <v>41274</v>
      </c>
      <c r="F3964" s="566">
        <v>2514000</v>
      </c>
      <c r="G3964" s="564" t="s">
        <v>1636</v>
      </c>
      <c r="H3964" s="564" t="s">
        <v>1636</v>
      </c>
      <c r="I3964" s="564" t="s">
        <v>6222</v>
      </c>
      <c r="J3964" s="564" t="s">
        <v>1069</v>
      </c>
      <c r="K3964" s="564" t="s">
        <v>1198</v>
      </c>
      <c r="L3964" s="564" t="s">
        <v>2098</v>
      </c>
      <c r="M3964" s="564" t="s">
        <v>2098</v>
      </c>
      <c r="N3964" s="564" t="s">
        <v>1082</v>
      </c>
      <c r="O3964" s="564" t="s">
        <v>2099</v>
      </c>
      <c r="P3964" s="23"/>
      <c r="Q3964" s="23"/>
      <c r="R3964" s="23"/>
      <c r="S3964" s="23"/>
      <c r="T3964" s="23"/>
      <c r="U3964" s="23"/>
      <c r="V3964" s="23"/>
      <c r="W3964" s="23"/>
      <c r="X3964" s="23"/>
      <c r="Y3964" s="23"/>
      <c r="Z3964" s="23"/>
    </row>
    <row r="3965" spans="1:26" ht="13">
      <c r="A3965" s="562" t="s">
        <v>8719</v>
      </c>
      <c r="B3965" s="563" t="s">
        <v>8720</v>
      </c>
      <c r="C3965" s="564" t="s">
        <v>1612</v>
      </c>
      <c r="D3965" s="565">
        <v>41264</v>
      </c>
      <c r="E3965" s="565">
        <v>41267</v>
      </c>
      <c r="F3965" s="566">
        <v>7770</v>
      </c>
      <c r="G3965" s="564" t="s">
        <v>337</v>
      </c>
      <c r="H3965" s="564" t="s">
        <v>337</v>
      </c>
      <c r="I3965" s="564" t="s">
        <v>1821</v>
      </c>
      <c r="J3965" s="564" t="s">
        <v>1069</v>
      </c>
      <c r="K3965" s="564" t="s">
        <v>1120</v>
      </c>
      <c r="L3965" s="564" t="s">
        <v>2098</v>
      </c>
      <c r="M3965" s="564" t="s">
        <v>2098</v>
      </c>
      <c r="N3965" s="564" t="s">
        <v>1073</v>
      </c>
      <c r="O3965" s="564" t="s">
        <v>2099</v>
      </c>
      <c r="P3965" s="23"/>
      <c r="Q3965" s="23"/>
      <c r="R3965" s="23"/>
      <c r="S3965" s="23"/>
      <c r="T3965" s="23"/>
      <c r="U3965" s="23"/>
      <c r="V3965" s="23"/>
      <c r="W3965" s="23"/>
      <c r="X3965" s="23"/>
      <c r="Y3965" s="23"/>
      <c r="Z3965" s="23"/>
    </row>
    <row r="3966" spans="1:26" ht="13">
      <c r="A3966" s="562" t="s">
        <v>8721</v>
      </c>
      <c r="B3966" s="563" t="s">
        <v>8722</v>
      </c>
      <c r="C3966" s="564" t="s">
        <v>2191</v>
      </c>
      <c r="D3966" s="565">
        <v>41264</v>
      </c>
      <c r="E3966" s="565">
        <v>41264</v>
      </c>
      <c r="F3966" s="566">
        <v>200000000</v>
      </c>
      <c r="G3966" s="564" t="s">
        <v>1157</v>
      </c>
      <c r="H3966" s="564" t="s">
        <v>1157</v>
      </c>
      <c r="I3966" s="564" t="s">
        <v>8723</v>
      </c>
      <c r="J3966" s="564" t="s">
        <v>1069</v>
      </c>
      <c r="K3966" s="564" t="s">
        <v>1070</v>
      </c>
      <c r="L3966" s="564" t="s">
        <v>2098</v>
      </c>
      <c r="M3966" s="564" t="s">
        <v>2098</v>
      </c>
      <c r="N3966" s="564" t="s">
        <v>1082</v>
      </c>
      <c r="O3966" s="564" t="s">
        <v>2099</v>
      </c>
      <c r="P3966" s="23"/>
      <c r="Q3966" s="23"/>
      <c r="R3966" s="23"/>
      <c r="S3966" s="23"/>
      <c r="T3966" s="23"/>
      <c r="U3966" s="23"/>
      <c r="V3966" s="23"/>
      <c r="W3966" s="23"/>
      <c r="X3966" s="23"/>
      <c r="Y3966" s="23"/>
      <c r="Z3966" s="23"/>
    </row>
    <row r="3967" spans="1:26" ht="13">
      <c r="A3967" s="562" t="s">
        <v>8724</v>
      </c>
      <c r="B3967" s="563" t="s">
        <v>8725</v>
      </c>
      <c r="C3967" s="564" t="s">
        <v>1612</v>
      </c>
      <c r="D3967" s="565">
        <v>41264</v>
      </c>
      <c r="E3967" s="565">
        <v>41267</v>
      </c>
      <c r="F3967" s="566">
        <v>221000</v>
      </c>
      <c r="G3967" s="564" t="s">
        <v>1116</v>
      </c>
      <c r="H3967" s="564" t="s">
        <v>1116</v>
      </c>
      <c r="I3967" s="564" t="s">
        <v>257</v>
      </c>
      <c r="J3967" s="564" t="s">
        <v>1069</v>
      </c>
      <c r="K3967" s="564" t="s">
        <v>1209</v>
      </c>
      <c r="L3967" s="564" t="s">
        <v>2098</v>
      </c>
      <c r="M3967" s="564" t="s">
        <v>2098</v>
      </c>
      <c r="N3967" s="564" t="s">
        <v>257</v>
      </c>
      <c r="O3967" s="564" t="s">
        <v>2099</v>
      </c>
      <c r="P3967" s="23"/>
      <c r="Q3967" s="23"/>
      <c r="R3967" s="23"/>
      <c r="S3967" s="23"/>
      <c r="T3967" s="23"/>
      <c r="U3967" s="23"/>
      <c r="V3967" s="23"/>
      <c r="W3967" s="23"/>
      <c r="X3967" s="23"/>
      <c r="Y3967" s="23"/>
      <c r="Z3967" s="23"/>
    </row>
    <row r="3968" spans="1:26" ht="13">
      <c r="A3968" s="562" t="s">
        <v>8726</v>
      </c>
      <c r="B3968" s="563" t="s">
        <v>8727</v>
      </c>
      <c r="C3968" s="564" t="s">
        <v>1612</v>
      </c>
      <c r="D3968" s="565">
        <v>41264</v>
      </c>
      <c r="E3968" s="565">
        <v>41274</v>
      </c>
      <c r="F3968" s="566">
        <v>12045</v>
      </c>
      <c r="G3968" s="564" t="s">
        <v>297</v>
      </c>
      <c r="H3968" s="564" t="s">
        <v>297</v>
      </c>
      <c r="I3968" s="564" t="s">
        <v>45</v>
      </c>
      <c r="J3968" s="564" t="s">
        <v>1069</v>
      </c>
      <c r="K3968" s="564" t="s">
        <v>1090</v>
      </c>
      <c r="L3968" s="564" t="s">
        <v>2098</v>
      </c>
      <c r="M3968" s="564" t="s">
        <v>2098</v>
      </c>
      <c r="N3968" s="564" t="s">
        <v>45</v>
      </c>
      <c r="O3968" s="564" t="s">
        <v>2099</v>
      </c>
      <c r="P3968" s="23"/>
      <c r="Q3968" s="23"/>
      <c r="R3968" s="23"/>
      <c r="S3968" s="23"/>
      <c r="T3968" s="23"/>
      <c r="U3968" s="23"/>
      <c r="V3968" s="23"/>
      <c r="W3968" s="23"/>
      <c r="X3968" s="23"/>
      <c r="Y3968" s="23"/>
      <c r="Z3968" s="23"/>
    </row>
    <row r="3969" spans="1:26" ht="13">
      <c r="A3969" s="562" t="s">
        <v>8728</v>
      </c>
      <c r="B3969" s="563" t="s">
        <v>8729</v>
      </c>
      <c r="C3969" s="564" t="s">
        <v>1612</v>
      </c>
      <c r="D3969" s="565">
        <v>41264</v>
      </c>
      <c r="E3969" s="565">
        <v>41269</v>
      </c>
      <c r="F3969" s="566">
        <v>479000</v>
      </c>
      <c r="G3969" s="564" t="s">
        <v>1157</v>
      </c>
      <c r="H3969" s="564" t="s">
        <v>1157</v>
      </c>
      <c r="I3969" s="564" t="s">
        <v>70</v>
      </c>
      <c r="J3969" s="564" t="s">
        <v>1069</v>
      </c>
      <c r="K3969" s="564" t="s">
        <v>1120</v>
      </c>
      <c r="L3969" s="564" t="s">
        <v>2098</v>
      </c>
      <c r="M3969" s="564" t="s">
        <v>2098</v>
      </c>
      <c r="N3969" s="564" t="s">
        <v>70</v>
      </c>
      <c r="O3969" s="564" t="s">
        <v>2099</v>
      </c>
      <c r="P3969" s="23"/>
      <c r="Q3969" s="23"/>
      <c r="R3969" s="23"/>
      <c r="S3969" s="23"/>
      <c r="T3969" s="23"/>
      <c r="U3969" s="23"/>
      <c r="V3969" s="23"/>
      <c r="W3969" s="23"/>
      <c r="X3969" s="23"/>
      <c r="Y3969" s="23"/>
      <c r="Z3969" s="23"/>
    </row>
    <row r="3970" spans="1:26" ht="13">
      <c r="A3970" s="562" t="s">
        <v>8730</v>
      </c>
      <c r="B3970" s="563" t="s">
        <v>8731</v>
      </c>
      <c r="C3970" s="564" t="s">
        <v>353</v>
      </c>
      <c r="D3970" s="565">
        <v>41263</v>
      </c>
      <c r="E3970" s="565">
        <v>41269</v>
      </c>
      <c r="F3970" s="566">
        <v>297768000</v>
      </c>
      <c r="G3970" s="564" t="s">
        <v>297</v>
      </c>
      <c r="H3970" s="564" t="s">
        <v>297</v>
      </c>
      <c r="I3970" s="564" t="s">
        <v>45</v>
      </c>
      <c r="J3970" s="564" t="s">
        <v>1069</v>
      </c>
      <c r="K3970" s="564" t="s">
        <v>1090</v>
      </c>
      <c r="L3970" s="564" t="s">
        <v>2098</v>
      </c>
      <c r="M3970" s="564" t="s">
        <v>2098</v>
      </c>
      <c r="N3970" s="564" t="s">
        <v>45</v>
      </c>
      <c r="O3970" s="564" t="s">
        <v>2099</v>
      </c>
      <c r="P3970" s="23"/>
      <c r="Q3970" s="23"/>
      <c r="R3970" s="23"/>
      <c r="S3970" s="23"/>
      <c r="T3970" s="23"/>
      <c r="U3970" s="23"/>
      <c r="V3970" s="23"/>
      <c r="W3970" s="23"/>
      <c r="X3970" s="23"/>
      <c r="Y3970" s="23"/>
      <c r="Z3970" s="23"/>
    </row>
    <row r="3971" spans="1:26" ht="13">
      <c r="A3971" s="562" t="s">
        <v>8732</v>
      </c>
      <c r="B3971" s="563" t="s">
        <v>8527</v>
      </c>
      <c r="C3971" s="564" t="s">
        <v>1612</v>
      </c>
      <c r="D3971" s="565">
        <v>41263</v>
      </c>
      <c r="E3971" s="565">
        <v>41270</v>
      </c>
      <c r="F3971" s="566">
        <v>162205200</v>
      </c>
      <c r="G3971" s="564" t="s">
        <v>337</v>
      </c>
      <c r="H3971" s="564" t="s">
        <v>337</v>
      </c>
      <c r="I3971" s="564" t="s">
        <v>64</v>
      </c>
      <c r="J3971" s="564" t="s">
        <v>1069</v>
      </c>
      <c r="K3971" s="564" t="s">
        <v>1090</v>
      </c>
      <c r="L3971" s="564" t="s">
        <v>2098</v>
      </c>
      <c r="M3971" s="564" t="s">
        <v>2098</v>
      </c>
      <c r="N3971" s="564" t="s">
        <v>64</v>
      </c>
      <c r="O3971" s="564" t="s">
        <v>2099</v>
      </c>
      <c r="P3971" s="23"/>
      <c r="Q3971" s="23"/>
      <c r="R3971" s="23"/>
      <c r="S3971" s="23"/>
      <c r="T3971" s="23"/>
      <c r="U3971" s="23"/>
      <c r="V3971" s="23"/>
      <c r="W3971" s="23"/>
      <c r="X3971" s="23"/>
      <c r="Y3971" s="23"/>
      <c r="Z3971" s="23"/>
    </row>
    <row r="3972" spans="1:26" ht="13">
      <c r="A3972" s="562" t="s">
        <v>8733</v>
      </c>
      <c r="B3972" s="563" t="s">
        <v>8729</v>
      </c>
      <c r="C3972" s="564" t="s">
        <v>1612</v>
      </c>
      <c r="D3972" s="565">
        <v>41260</v>
      </c>
      <c r="E3972" s="565">
        <v>41264</v>
      </c>
      <c r="F3972" s="566">
        <v>2630000</v>
      </c>
      <c r="G3972" s="564" t="s">
        <v>1157</v>
      </c>
      <c r="H3972" s="564" t="s">
        <v>1157</v>
      </c>
      <c r="I3972" s="564" t="s">
        <v>70</v>
      </c>
      <c r="J3972" s="564" t="s">
        <v>1069</v>
      </c>
      <c r="K3972" s="564" t="s">
        <v>1120</v>
      </c>
      <c r="L3972" s="564" t="s">
        <v>2098</v>
      </c>
      <c r="M3972" s="564" t="s">
        <v>2098</v>
      </c>
      <c r="N3972" s="564" t="s">
        <v>70</v>
      </c>
      <c r="O3972" s="564" t="s">
        <v>2099</v>
      </c>
      <c r="P3972" s="23"/>
      <c r="Q3972" s="23"/>
      <c r="R3972" s="23"/>
      <c r="S3972" s="23"/>
      <c r="T3972" s="23"/>
      <c r="U3972" s="23"/>
      <c r="V3972" s="23"/>
      <c r="W3972" s="23"/>
      <c r="X3972" s="23"/>
      <c r="Y3972" s="23"/>
      <c r="Z3972" s="23"/>
    </row>
    <row r="3973" spans="1:26" ht="13">
      <c r="A3973" s="562" t="s">
        <v>8734</v>
      </c>
      <c r="B3973" s="563" t="s">
        <v>8735</v>
      </c>
      <c r="C3973" s="564" t="s">
        <v>1612</v>
      </c>
      <c r="D3973" s="565">
        <v>41261</v>
      </c>
      <c r="E3973" s="565">
        <v>41274</v>
      </c>
      <c r="F3973" s="566">
        <v>520520</v>
      </c>
      <c r="G3973" s="564" t="s">
        <v>297</v>
      </c>
      <c r="H3973" s="564" t="s">
        <v>297</v>
      </c>
      <c r="I3973" s="564" t="s">
        <v>1837</v>
      </c>
      <c r="J3973" s="564" t="s">
        <v>1069</v>
      </c>
      <c r="K3973" s="564" t="s">
        <v>1070</v>
      </c>
      <c r="L3973" s="564" t="s">
        <v>2098</v>
      </c>
      <c r="M3973" s="564" t="s">
        <v>2098</v>
      </c>
      <c r="N3973" s="564" t="s">
        <v>1082</v>
      </c>
      <c r="O3973" s="564" t="s">
        <v>2099</v>
      </c>
      <c r="P3973" s="23"/>
      <c r="Q3973" s="23"/>
      <c r="R3973" s="23"/>
      <c r="S3973" s="23"/>
      <c r="T3973" s="23"/>
      <c r="U3973" s="23"/>
      <c r="V3973" s="23"/>
      <c r="W3973" s="23"/>
      <c r="X3973" s="23"/>
      <c r="Y3973" s="23"/>
      <c r="Z3973" s="23"/>
    </row>
    <row r="3974" spans="1:26" ht="13">
      <c r="A3974" s="562" t="s">
        <v>8736</v>
      </c>
      <c r="B3974" s="563" t="s">
        <v>8737</v>
      </c>
      <c r="C3974" s="564" t="s">
        <v>1612</v>
      </c>
      <c r="D3974" s="565">
        <v>41257</v>
      </c>
      <c r="E3974" s="565">
        <v>41264</v>
      </c>
      <c r="F3974" s="566">
        <v>572727</v>
      </c>
      <c r="G3974" s="564" t="s">
        <v>1123</v>
      </c>
      <c r="H3974" s="564" t="s">
        <v>1123</v>
      </c>
      <c r="I3974" s="564" t="s">
        <v>802</v>
      </c>
      <c r="J3974" s="564" t="s">
        <v>1069</v>
      </c>
      <c r="K3974" s="564" t="s">
        <v>1198</v>
      </c>
      <c r="L3974" s="564" t="s">
        <v>2098</v>
      </c>
      <c r="M3974" s="564" t="s">
        <v>2098</v>
      </c>
      <c r="N3974" s="564" t="s">
        <v>132</v>
      </c>
      <c r="O3974" s="564" t="s">
        <v>2099</v>
      </c>
      <c r="P3974" s="23"/>
      <c r="Q3974" s="23"/>
      <c r="R3974" s="23"/>
      <c r="S3974" s="23"/>
      <c r="T3974" s="23"/>
      <c r="U3974" s="23"/>
      <c r="V3974" s="23"/>
      <c r="W3974" s="23"/>
      <c r="X3974" s="23"/>
      <c r="Y3974" s="23"/>
      <c r="Z3974" s="23"/>
    </row>
    <row r="3975" spans="1:26" ht="13">
      <c r="A3975" s="562" t="s">
        <v>8738</v>
      </c>
      <c r="B3975" s="563" t="s">
        <v>8739</v>
      </c>
      <c r="C3975" s="564" t="s">
        <v>2191</v>
      </c>
      <c r="D3975" s="565">
        <v>41260</v>
      </c>
      <c r="E3975" s="565">
        <v>41271</v>
      </c>
      <c r="F3975" s="566">
        <v>11904000</v>
      </c>
      <c r="G3975" s="564" t="s">
        <v>1128</v>
      </c>
      <c r="H3975" s="564" t="s">
        <v>1128</v>
      </c>
      <c r="I3975" s="564" t="s">
        <v>8155</v>
      </c>
      <c r="J3975" s="564" t="s">
        <v>1069</v>
      </c>
      <c r="K3975" s="564" t="s">
        <v>1070</v>
      </c>
      <c r="L3975" s="564" t="s">
        <v>1071</v>
      </c>
      <c r="M3975" s="564" t="s">
        <v>1183</v>
      </c>
      <c r="N3975" s="564" t="s">
        <v>1082</v>
      </c>
      <c r="O3975" s="564" t="s">
        <v>1472</v>
      </c>
      <c r="P3975" s="23"/>
      <c r="Q3975" s="23"/>
      <c r="R3975" s="23"/>
      <c r="S3975" s="23"/>
      <c r="T3975" s="23"/>
      <c r="U3975" s="23"/>
      <c r="V3975" s="23"/>
      <c r="W3975" s="23"/>
      <c r="X3975" s="23"/>
      <c r="Y3975" s="23"/>
      <c r="Z3975" s="23"/>
    </row>
    <row r="3976" spans="1:26" ht="13">
      <c r="A3976" s="562" t="s">
        <v>8740</v>
      </c>
      <c r="B3976" s="563" t="s">
        <v>8741</v>
      </c>
      <c r="C3976" s="564" t="s">
        <v>1873</v>
      </c>
      <c r="D3976" s="565">
        <v>41255</v>
      </c>
      <c r="E3976" s="565">
        <v>41264</v>
      </c>
      <c r="F3976" s="566">
        <v>13400</v>
      </c>
      <c r="G3976" s="564" t="s">
        <v>337</v>
      </c>
      <c r="H3976" s="564" t="s">
        <v>337</v>
      </c>
      <c r="I3976" s="564" t="s">
        <v>170</v>
      </c>
      <c r="J3976" s="564" t="s">
        <v>1069</v>
      </c>
      <c r="K3976" s="564" t="s">
        <v>1105</v>
      </c>
      <c r="L3976" s="564" t="s">
        <v>2098</v>
      </c>
      <c r="M3976" s="564" t="s">
        <v>2098</v>
      </c>
      <c r="N3976" s="564" t="s">
        <v>170</v>
      </c>
      <c r="O3976" s="564" t="s">
        <v>2099</v>
      </c>
      <c r="P3976" s="23"/>
      <c r="Q3976" s="23"/>
      <c r="R3976" s="23"/>
      <c r="S3976" s="23"/>
      <c r="T3976" s="23"/>
      <c r="U3976" s="23"/>
      <c r="V3976" s="23"/>
      <c r="W3976" s="23"/>
      <c r="X3976" s="23"/>
      <c r="Y3976" s="23"/>
      <c r="Z3976" s="23"/>
    </row>
    <row r="3977" spans="1:26" ht="13">
      <c r="A3977" s="562" t="s">
        <v>8742</v>
      </c>
      <c r="B3977" s="563" t="s">
        <v>8743</v>
      </c>
      <c r="C3977" s="564" t="s">
        <v>6860</v>
      </c>
      <c r="D3977" s="565">
        <v>41255</v>
      </c>
      <c r="E3977" s="565">
        <v>41274</v>
      </c>
      <c r="F3977" s="566">
        <v>3262012</v>
      </c>
      <c r="G3977" s="564" t="s">
        <v>1116</v>
      </c>
      <c r="H3977" s="564" t="s">
        <v>1116</v>
      </c>
      <c r="I3977" s="564" t="s">
        <v>6291</v>
      </c>
      <c r="J3977" s="564" t="s">
        <v>1069</v>
      </c>
      <c r="K3977" s="564" t="s">
        <v>1802</v>
      </c>
      <c r="L3977" s="564" t="s">
        <v>2098</v>
      </c>
      <c r="M3977" s="564" t="s">
        <v>2098</v>
      </c>
      <c r="N3977" s="564" t="s">
        <v>1082</v>
      </c>
      <c r="O3977" s="564" t="s">
        <v>2099</v>
      </c>
      <c r="P3977" s="23"/>
      <c r="Q3977" s="23"/>
      <c r="R3977" s="23"/>
      <c r="S3977" s="23"/>
      <c r="T3977" s="23"/>
      <c r="U3977" s="23"/>
      <c r="V3977" s="23"/>
      <c r="W3977" s="23"/>
      <c r="X3977" s="23"/>
      <c r="Y3977" s="23"/>
      <c r="Z3977" s="23"/>
    </row>
    <row r="3978" spans="1:26" ht="13">
      <c r="A3978" s="562" t="s">
        <v>8744</v>
      </c>
      <c r="B3978" s="563" t="s">
        <v>8745</v>
      </c>
      <c r="C3978" s="564" t="s">
        <v>2191</v>
      </c>
      <c r="D3978" s="565">
        <v>41248</v>
      </c>
      <c r="E3978" s="565">
        <v>41250</v>
      </c>
      <c r="F3978" s="566">
        <v>660000</v>
      </c>
      <c r="G3978" s="564" t="s">
        <v>1123</v>
      </c>
      <c r="H3978" s="564" t="s">
        <v>1123</v>
      </c>
      <c r="I3978" s="564" t="s">
        <v>8659</v>
      </c>
      <c r="J3978" s="564" t="s">
        <v>1069</v>
      </c>
      <c r="K3978" s="564" t="s">
        <v>1205</v>
      </c>
      <c r="L3978" s="564" t="s">
        <v>2098</v>
      </c>
      <c r="M3978" s="564" t="s">
        <v>2098</v>
      </c>
      <c r="N3978" s="564" t="s">
        <v>1073</v>
      </c>
      <c r="O3978" s="564" t="s">
        <v>2099</v>
      </c>
      <c r="P3978" s="23"/>
      <c r="Q3978" s="23"/>
      <c r="R3978" s="23"/>
      <c r="S3978" s="23"/>
      <c r="T3978" s="23"/>
      <c r="U3978" s="23"/>
      <c r="V3978" s="23"/>
      <c r="W3978" s="23"/>
      <c r="X3978" s="23"/>
      <c r="Y3978" s="23"/>
      <c r="Z3978" s="23"/>
    </row>
    <row r="3979" spans="1:26" ht="13">
      <c r="A3979" s="562" t="s">
        <v>8746</v>
      </c>
      <c r="B3979" s="563" t="s">
        <v>8464</v>
      </c>
      <c r="C3979" s="564" t="s">
        <v>1612</v>
      </c>
      <c r="D3979" s="565">
        <v>41249</v>
      </c>
      <c r="E3979" s="565">
        <v>41264</v>
      </c>
      <c r="F3979" s="566">
        <v>21525</v>
      </c>
      <c r="G3979" s="564" t="s">
        <v>337</v>
      </c>
      <c r="H3979" s="564" t="s">
        <v>337</v>
      </c>
      <c r="I3979" s="564" t="s">
        <v>1837</v>
      </c>
      <c r="J3979" s="564" t="s">
        <v>1069</v>
      </c>
      <c r="K3979" s="564" t="s">
        <v>1090</v>
      </c>
      <c r="L3979" s="564" t="s">
        <v>2098</v>
      </c>
      <c r="M3979" s="564" t="s">
        <v>2098</v>
      </c>
      <c r="N3979" s="564" t="s">
        <v>1082</v>
      </c>
      <c r="O3979" s="564" t="s">
        <v>2099</v>
      </c>
      <c r="P3979" s="23"/>
      <c r="Q3979" s="23"/>
      <c r="R3979" s="23"/>
      <c r="S3979" s="23"/>
      <c r="T3979" s="23"/>
      <c r="U3979" s="23"/>
      <c r="V3979" s="23"/>
      <c r="W3979" s="23"/>
      <c r="X3979" s="23"/>
      <c r="Y3979" s="23"/>
      <c r="Z3979" s="23"/>
    </row>
    <row r="3980" spans="1:26" ht="13">
      <c r="A3980" s="562" t="s">
        <v>8747</v>
      </c>
      <c r="B3980" s="563" t="s">
        <v>8748</v>
      </c>
      <c r="C3980" s="564" t="s">
        <v>1612</v>
      </c>
      <c r="D3980" s="565">
        <v>41249</v>
      </c>
      <c r="E3980" s="565">
        <v>41244</v>
      </c>
      <c r="F3980" s="566">
        <v>45252000</v>
      </c>
      <c r="G3980" s="564" t="s">
        <v>337</v>
      </c>
      <c r="H3980" s="564" t="s">
        <v>337</v>
      </c>
      <c r="I3980" s="564" t="s">
        <v>45</v>
      </c>
      <c r="J3980" s="564" t="s">
        <v>1069</v>
      </c>
      <c r="K3980" s="564" t="s">
        <v>1090</v>
      </c>
      <c r="L3980" s="564" t="s">
        <v>1071</v>
      </c>
      <c r="M3980" s="564" t="s">
        <v>1183</v>
      </c>
      <c r="N3980" s="564" t="s">
        <v>45</v>
      </c>
      <c r="O3980" s="564" t="s">
        <v>2099</v>
      </c>
      <c r="P3980" s="23"/>
      <c r="Q3980" s="23"/>
      <c r="R3980" s="23"/>
      <c r="S3980" s="23"/>
      <c r="T3980" s="23"/>
      <c r="U3980" s="23"/>
      <c r="V3980" s="23"/>
      <c r="W3980" s="23"/>
      <c r="X3980" s="23"/>
      <c r="Y3980" s="23"/>
      <c r="Z3980" s="23"/>
    </row>
    <row r="3981" spans="1:26" ht="13">
      <c r="A3981" s="562" t="s">
        <v>8749</v>
      </c>
      <c r="B3981" s="563" t="s">
        <v>8750</v>
      </c>
      <c r="C3981" s="564" t="s">
        <v>2191</v>
      </c>
      <c r="D3981" s="565">
        <v>41248</v>
      </c>
      <c r="E3981" s="565">
        <v>41363</v>
      </c>
      <c r="F3981" s="566">
        <v>200000000</v>
      </c>
      <c r="G3981" s="564" t="s">
        <v>1123</v>
      </c>
      <c r="H3981" s="564" t="s">
        <v>1123</v>
      </c>
      <c r="I3981" s="564" t="s">
        <v>8751</v>
      </c>
      <c r="J3981" s="564" t="s">
        <v>1069</v>
      </c>
      <c r="K3981" s="564" t="s">
        <v>1205</v>
      </c>
      <c r="L3981" s="564" t="s">
        <v>2098</v>
      </c>
      <c r="M3981" s="564" t="s">
        <v>2098</v>
      </c>
      <c r="N3981" s="564" t="s">
        <v>1082</v>
      </c>
      <c r="O3981" s="564" t="s">
        <v>2099</v>
      </c>
      <c r="P3981" s="23"/>
      <c r="Q3981" s="23"/>
      <c r="R3981" s="23"/>
      <c r="S3981" s="23"/>
      <c r="T3981" s="23"/>
      <c r="U3981" s="23"/>
      <c r="V3981" s="23"/>
      <c r="W3981" s="23"/>
      <c r="X3981" s="23"/>
      <c r="Y3981" s="23"/>
      <c r="Z3981" s="23"/>
    </row>
    <row r="3982" spans="1:26" ht="13">
      <c r="A3982" s="562" t="s">
        <v>8752</v>
      </c>
      <c r="B3982" s="563" t="s">
        <v>8324</v>
      </c>
      <c r="C3982" s="564" t="s">
        <v>1612</v>
      </c>
      <c r="D3982" s="565">
        <v>41244</v>
      </c>
      <c r="E3982" s="565">
        <v>41257</v>
      </c>
      <c r="F3982" s="566">
        <v>377878000</v>
      </c>
      <c r="G3982" s="564" t="s">
        <v>1856</v>
      </c>
      <c r="H3982" s="564" t="s">
        <v>1856</v>
      </c>
      <c r="I3982" s="564" t="s">
        <v>45</v>
      </c>
      <c r="J3982" s="564" t="s">
        <v>1069</v>
      </c>
      <c r="K3982" s="564" t="s">
        <v>1090</v>
      </c>
      <c r="L3982" s="564" t="s">
        <v>2098</v>
      </c>
      <c r="M3982" s="564" t="s">
        <v>2098</v>
      </c>
      <c r="N3982" s="564" t="s">
        <v>45</v>
      </c>
      <c r="O3982" s="564" t="s">
        <v>2099</v>
      </c>
      <c r="P3982" s="23"/>
      <c r="Q3982" s="23"/>
      <c r="R3982" s="23"/>
      <c r="S3982" s="23"/>
      <c r="T3982" s="23"/>
      <c r="U3982" s="23"/>
      <c r="V3982" s="23"/>
      <c r="W3982" s="23"/>
      <c r="X3982" s="23"/>
      <c r="Y3982" s="23"/>
      <c r="Z3982" s="23"/>
    </row>
    <row r="3983" spans="1:26" ht="13">
      <c r="A3983" s="562" t="s">
        <v>8753</v>
      </c>
      <c r="B3983" s="563" t="s">
        <v>8754</v>
      </c>
      <c r="C3983" s="564" t="s">
        <v>2191</v>
      </c>
      <c r="D3983" s="565">
        <v>41243</v>
      </c>
      <c r="E3983" s="565">
        <v>41257</v>
      </c>
      <c r="F3983" s="566">
        <v>32900000</v>
      </c>
      <c r="G3983" s="564" t="s">
        <v>1856</v>
      </c>
      <c r="H3983" s="564" t="s">
        <v>1856</v>
      </c>
      <c r="I3983" s="564" t="s">
        <v>3621</v>
      </c>
      <c r="J3983" s="564" t="s">
        <v>1069</v>
      </c>
      <c r="K3983" s="564" t="s">
        <v>1070</v>
      </c>
      <c r="L3983" s="564" t="s">
        <v>2098</v>
      </c>
      <c r="M3983" s="564" t="s">
        <v>2098</v>
      </c>
      <c r="N3983" s="564" t="s">
        <v>1082</v>
      </c>
      <c r="O3983" s="564" t="s">
        <v>2099</v>
      </c>
      <c r="P3983" s="23"/>
      <c r="Q3983" s="23"/>
      <c r="R3983" s="23"/>
      <c r="S3983" s="23"/>
      <c r="T3983" s="23"/>
      <c r="U3983" s="23"/>
      <c r="V3983" s="23"/>
      <c r="W3983" s="23"/>
      <c r="X3983" s="23"/>
      <c r="Y3983" s="23"/>
      <c r="Z3983" s="23"/>
    </row>
    <row r="3984" spans="1:26" ht="13">
      <c r="A3984" s="562" t="s">
        <v>8755</v>
      </c>
      <c r="B3984" s="563" t="s">
        <v>8756</v>
      </c>
      <c r="C3984" s="564" t="s">
        <v>1612</v>
      </c>
      <c r="D3984" s="565">
        <v>41243</v>
      </c>
      <c r="E3984" s="565">
        <v>41257</v>
      </c>
      <c r="F3984" s="566">
        <v>3400</v>
      </c>
      <c r="G3984" s="564" t="s">
        <v>337</v>
      </c>
      <c r="H3984" s="564" t="s">
        <v>337</v>
      </c>
      <c r="I3984" s="564" t="s">
        <v>802</v>
      </c>
      <c r="J3984" s="564" t="s">
        <v>1069</v>
      </c>
      <c r="K3984" s="564" t="s">
        <v>1198</v>
      </c>
      <c r="L3984" s="564" t="s">
        <v>2098</v>
      </c>
      <c r="M3984" s="564" t="s">
        <v>2098</v>
      </c>
      <c r="N3984" s="564" t="s">
        <v>132</v>
      </c>
      <c r="O3984" s="564" t="s">
        <v>2099</v>
      </c>
      <c r="P3984" s="23"/>
      <c r="Q3984" s="23"/>
      <c r="R3984" s="23"/>
      <c r="S3984" s="23"/>
      <c r="T3984" s="23"/>
      <c r="U3984" s="23"/>
      <c r="V3984" s="23"/>
      <c r="W3984" s="23"/>
      <c r="X3984" s="23"/>
      <c r="Y3984" s="23"/>
      <c r="Z3984" s="23"/>
    </row>
    <row r="3985" spans="1:26" ht="13">
      <c r="A3985" s="562" t="s">
        <v>8757</v>
      </c>
      <c r="B3985" s="563" t="s">
        <v>8758</v>
      </c>
      <c r="C3985" s="564" t="s">
        <v>1612</v>
      </c>
      <c r="D3985" s="565">
        <v>41243</v>
      </c>
      <c r="E3985" s="565">
        <v>41250</v>
      </c>
      <c r="F3985" s="566">
        <v>2727270</v>
      </c>
      <c r="G3985" s="564" t="s">
        <v>337</v>
      </c>
      <c r="H3985" s="564" t="s">
        <v>337</v>
      </c>
      <c r="I3985" s="564" t="s">
        <v>802</v>
      </c>
      <c r="J3985" s="564" t="s">
        <v>1069</v>
      </c>
      <c r="K3985" s="564" t="s">
        <v>1198</v>
      </c>
      <c r="L3985" s="564" t="s">
        <v>2098</v>
      </c>
      <c r="M3985" s="564" t="s">
        <v>2098</v>
      </c>
      <c r="N3985" s="564" t="s">
        <v>132</v>
      </c>
      <c r="O3985" s="564" t="s">
        <v>2099</v>
      </c>
      <c r="P3985" s="23"/>
      <c r="Q3985" s="23"/>
      <c r="R3985" s="23"/>
      <c r="S3985" s="23"/>
      <c r="T3985" s="23"/>
      <c r="U3985" s="23"/>
      <c r="V3985" s="23"/>
      <c r="W3985" s="23"/>
      <c r="X3985" s="23"/>
      <c r="Y3985" s="23"/>
      <c r="Z3985" s="23"/>
    </row>
    <row r="3986" spans="1:26" ht="13">
      <c r="A3986" s="562" t="s">
        <v>8759</v>
      </c>
      <c r="B3986" s="563" t="s">
        <v>8760</v>
      </c>
      <c r="C3986" s="564" t="s">
        <v>1612</v>
      </c>
      <c r="D3986" s="565">
        <v>41243</v>
      </c>
      <c r="E3986" s="565">
        <v>41243</v>
      </c>
      <c r="F3986" s="566">
        <v>1980</v>
      </c>
      <c r="G3986" s="564" t="s">
        <v>337</v>
      </c>
      <c r="H3986" s="564" t="s">
        <v>337</v>
      </c>
      <c r="I3986" s="564" t="s">
        <v>64</v>
      </c>
      <c r="J3986" s="564" t="s">
        <v>1069</v>
      </c>
      <c r="K3986" s="564" t="s">
        <v>1090</v>
      </c>
      <c r="L3986" s="564" t="s">
        <v>2098</v>
      </c>
      <c r="M3986" s="564" t="s">
        <v>2098</v>
      </c>
      <c r="N3986" s="564" t="s">
        <v>64</v>
      </c>
      <c r="O3986" s="564" t="s">
        <v>2099</v>
      </c>
      <c r="P3986" s="23"/>
      <c r="Q3986" s="23"/>
      <c r="R3986" s="23"/>
      <c r="S3986" s="23"/>
      <c r="T3986" s="23"/>
      <c r="U3986" s="23"/>
      <c r="V3986" s="23"/>
      <c r="W3986" s="23"/>
      <c r="X3986" s="23"/>
      <c r="Y3986" s="23"/>
      <c r="Z3986" s="23"/>
    </row>
    <row r="3987" spans="1:26" ht="13">
      <c r="A3987" s="562" t="s">
        <v>8761</v>
      </c>
      <c r="B3987" s="563" t="s">
        <v>8762</v>
      </c>
      <c r="C3987" s="564" t="s">
        <v>1612</v>
      </c>
      <c r="D3987" s="565">
        <v>41241</v>
      </c>
      <c r="E3987" s="565">
        <v>41243</v>
      </c>
      <c r="F3987" s="567">
        <v>630</v>
      </c>
      <c r="G3987" s="564" t="s">
        <v>337</v>
      </c>
      <c r="H3987" s="564" t="s">
        <v>337</v>
      </c>
      <c r="I3987" s="564" t="s">
        <v>802</v>
      </c>
      <c r="J3987" s="564" t="s">
        <v>1069</v>
      </c>
      <c r="K3987" s="564" t="s">
        <v>1198</v>
      </c>
      <c r="L3987" s="564" t="s">
        <v>2098</v>
      </c>
      <c r="M3987" s="564" t="s">
        <v>2098</v>
      </c>
      <c r="N3987" s="564" t="s">
        <v>132</v>
      </c>
      <c r="O3987" s="564" t="s">
        <v>2099</v>
      </c>
      <c r="P3987" s="23"/>
      <c r="Q3987" s="23"/>
      <c r="R3987" s="23"/>
      <c r="S3987" s="23"/>
      <c r="T3987" s="23"/>
      <c r="U3987" s="23"/>
      <c r="V3987" s="23"/>
      <c r="W3987" s="23"/>
      <c r="X3987" s="23"/>
      <c r="Y3987" s="23"/>
      <c r="Z3987" s="23"/>
    </row>
    <row r="3988" spans="1:26" ht="13">
      <c r="A3988" s="562" t="s">
        <v>8763</v>
      </c>
      <c r="B3988" s="563" t="s">
        <v>8764</v>
      </c>
      <c r="C3988" s="564" t="s">
        <v>1612</v>
      </c>
      <c r="D3988" s="565">
        <v>41239</v>
      </c>
      <c r="E3988" s="565">
        <v>41255</v>
      </c>
      <c r="F3988" s="566">
        <v>71480000</v>
      </c>
      <c r="G3988" s="564" t="s">
        <v>1856</v>
      </c>
      <c r="H3988" s="564" t="s">
        <v>1856</v>
      </c>
      <c r="I3988" s="564" t="s">
        <v>45</v>
      </c>
      <c r="J3988" s="564" t="s">
        <v>1069</v>
      </c>
      <c r="K3988" s="564" t="s">
        <v>1090</v>
      </c>
      <c r="L3988" s="564" t="s">
        <v>2098</v>
      </c>
      <c r="M3988" s="564" t="s">
        <v>2098</v>
      </c>
      <c r="N3988" s="564" t="s">
        <v>45</v>
      </c>
      <c r="O3988" s="564" t="s">
        <v>2099</v>
      </c>
      <c r="P3988" s="23"/>
      <c r="Q3988" s="23"/>
      <c r="R3988" s="23"/>
      <c r="S3988" s="23"/>
      <c r="T3988" s="23"/>
      <c r="U3988" s="23"/>
      <c r="V3988" s="23"/>
      <c r="W3988" s="23"/>
      <c r="X3988" s="23"/>
      <c r="Y3988" s="23"/>
      <c r="Z3988" s="23"/>
    </row>
    <row r="3989" spans="1:26" ht="13">
      <c r="A3989" s="562" t="s">
        <v>8765</v>
      </c>
      <c r="B3989" s="563" t="s">
        <v>8766</v>
      </c>
      <c r="C3989" s="564" t="s">
        <v>1612</v>
      </c>
      <c r="D3989" s="565">
        <v>41233</v>
      </c>
      <c r="E3989" s="565">
        <v>41243</v>
      </c>
      <c r="F3989" s="566">
        <v>5510</v>
      </c>
      <c r="G3989" s="564" t="s">
        <v>297</v>
      </c>
      <c r="H3989" s="564" t="s">
        <v>297</v>
      </c>
      <c r="I3989" s="564" t="s">
        <v>45</v>
      </c>
      <c r="J3989" s="564" t="s">
        <v>1069</v>
      </c>
      <c r="K3989" s="564" t="s">
        <v>1090</v>
      </c>
      <c r="L3989" s="564" t="s">
        <v>2098</v>
      </c>
      <c r="M3989" s="564" t="s">
        <v>2098</v>
      </c>
      <c r="N3989" s="564" t="s">
        <v>45</v>
      </c>
      <c r="O3989" s="564" t="s">
        <v>2099</v>
      </c>
      <c r="P3989" s="23"/>
      <c r="Q3989" s="23"/>
      <c r="R3989" s="23"/>
      <c r="S3989" s="23"/>
      <c r="T3989" s="23"/>
      <c r="U3989" s="23"/>
      <c r="V3989" s="23"/>
      <c r="W3989" s="23"/>
      <c r="X3989" s="23"/>
      <c r="Y3989" s="23"/>
      <c r="Z3989" s="23"/>
    </row>
    <row r="3990" spans="1:26" ht="13">
      <c r="A3990" s="562" t="s">
        <v>8767</v>
      </c>
      <c r="B3990" s="563" t="s">
        <v>8464</v>
      </c>
      <c r="C3990" s="564" t="s">
        <v>1612</v>
      </c>
      <c r="D3990" s="565">
        <v>41228</v>
      </c>
      <c r="E3990" s="565">
        <v>41236</v>
      </c>
      <c r="F3990" s="566">
        <v>47065</v>
      </c>
      <c r="G3990" s="564" t="s">
        <v>337</v>
      </c>
      <c r="H3990" s="564" t="s">
        <v>337</v>
      </c>
      <c r="I3990" s="564" t="s">
        <v>1837</v>
      </c>
      <c r="J3990" s="564" t="s">
        <v>1069</v>
      </c>
      <c r="K3990" s="564" t="s">
        <v>1090</v>
      </c>
      <c r="L3990" s="564" t="s">
        <v>2098</v>
      </c>
      <c r="M3990" s="564" t="s">
        <v>2098</v>
      </c>
      <c r="N3990" s="564" t="s">
        <v>1082</v>
      </c>
      <c r="O3990" s="564" t="s">
        <v>2099</v>
      </c>
      <c r="P3990" s="23"/>
      <c r="Q3990" s="23"/>
      <c r="R3990" s="23"/>
      <c r="S3990" s="23"/>
      <c r="T3990" s="23"/>
      <c r="U3990" s="23"/>
      <c r="V3990" s="23"/>
      <c r="W3990" s="23"/>
      <c r="X3990" s="23"/>
      <c r="Y3990" s="23"/>
      <c r="Z3990" s="23"/>
    </row>
    <row r="3991" spans="1:26" ht="13">
      <c r="A3991" s="562" t="s">
        <v>8768</v>
      </c>
      <c r="B3991" s="563" t="s">
        <v>8769</v>
      </c>
      <c r="C3991" s="564" t="s">
        <v>2191</v>
      </c>
      <c r="D3991" s="565">
        <v>41214</v>
      </c>
      <c r="E3991" s="565">
        <v>41219</v>
      </c>
      <c r="F3991" s="566">
        <v>2870</v>
      </c>
      <c r="G3991" s="564" t="s">
        <v>1636</v>
      </c>
      <c r="H3991" s="564" t="s">
        <v>1636</v>
      </c>
      <c r="I3991" s="564" t="s">
        <v>8715</v>
      </c>
      <c r="J3991" s="564" t="s">
        <v>1069</v>
      </c>
      <c r="K3991" s="564" t="s">
        <v>1070</v>
      </c>
      <c r="L3991" s="564" t="s">
        <v>2098</v>
      </c>
      <c r="M3991" s="564" t="s">
        <v>2098</v>
      </c>
      <c r="N3991" s="564" t="s">
        <v>2325</v>
      </c>
      <c r="O3991" s="564" t="s">
        <v>2099</v>
      </c>
      <c r="P3991" s="23"/>
      <c r="Q3991" s="23"/>
      <c r="R3991" s="23"/>
      <c r="S3991" s="23"/>
      <c r="T3991" s="23"/>
      <c r="U3991" s="23"/>
      <c r="V3991" s="23"/>
      <c r="W3991" s="23"/>
      <c r="X3991" s="23"/>
      <c r="Y3991" s="23"/>
      <c r="Z3991" s="23"/>
    </row>
    <row r="3992" spans="1:26" ht="13">
      <c r="A3992" s="562" t="s">
        <v>8770</v>
      </c>
      <c r="B3992" s="563" t="s">
        <v>8771</v>
      </c>
      <c r="C3992" s="564" t="s">
        <v>2191</v>
      </c>
      <c r="D3992" s="565">
        <v>41213</v>
      </c>
      <c r="E3992" s="565">
        <v>41220</v>
      </c>
      <c r="F3992" s="566">
        <v>227500000</v>
      </c>
      <c r="G3992" s="564" t="s">
        <v>1157</v>
      </c>
      <c r="H3992" s="564" t="s">
        <v>1157</v>
      </c>
      <c r="I3992" s="564" t="s">
        <v>8772</v>
      </c>
      <c r="J3992" s="564" t="s">
        <v>1069</v>
      </c>
      <c r="K3992" s="564" t="s">
        <v>1070</v>
      </c>
      <c r="L3992" s="564" t="s">
        <v>2098</v>
      </c>
      <c r="M3992" s="564" t="s">
        <v>2098</v>
      </c>
      <c r="N3992" s="564" t="s">
        <v>1082</v>
      </c>
      <c r="O3992" s="564" t="s">
        <v>2099</v>
      </c>
      <c r="P3992" s="23"/>
      <c r="Q3992" s="23"/>
      <c r="R3992" s="23"/>
      <c r="S3992" s="23"/>
      <c r="T3992" s="23"/>
      <c r="U3992" s="23"/>
      <c r="V3992" s="23"/>
      <c r="W3992" s="23"/>
      <c r="X3992" s="23"/>
      <c r="Y3992" s="23"/>
      <c r="Z3992" s="23"/>
    </row>
    <row r="3993" spans="1:26" ht="13">
      <c r="A3993" s="562" t="s">
        <v>8773</v>
      </c>
      <c r="B3993" s="563" t="s">
        <v>8774</v>
      </c>
      <c r="C3993" s="564" t="s">
        <v>6860</v>
      </c>
      <c r="D3993" s="565">
        <v>41214</v>
      </c>
      <c r="E3993" s="565">
        <v>41228</v>
      </c>
      <c r="F3993" s="566">
        <v>623918000</v>
      </c>
      <c r="G3993" s="564" t="s">
        <v>1128</v>
      </c>
      <c r="H3993" s="564" t="s">
        <v>1128</v>
      </c>
      <c r="I3993" s="564" t="s">
        <v>6951</v>
      </c>
      <c r="J3993" s="564" t="s">
        <v>1069</v>
      </c>
      <c r="K3993" s="564" t="s">
        <v>1205</v>
      </c>
      <c r="L3993" s="564" t="s">
        <v>2098</v>
      </c>
      <c r="M3993" s="564" t="s">
        <v>2098</v>
      </c>
      <c r="N3993" s="564" t="s">
        <v>1082</v>
      </c>
      <c r="O3993" s="564" t="s">
        <v>2099</v>
      </c>
      <c r="P3993" s="23"/>
      <c r="Q3993" s="23"/>
      <c r="R3993" s="23"/>
      <c r="S3993" s="23"/>
      <c r="T3993" s="23"/>
      <c r="U3993" s="23"/>
      <c r="V3993" s="23"/>
      <c r="W3993" s="23"/>
      <c r="X3993" s="23"/>
      <c r="Y3993" s="23"/>
      <c r="Z3993" s="23"/>
    </row>
    <row r="3994" spans="1:26" ht="13">
      <c r="A3994" s="562" t="s">
        <v>8775</v>
      </c>
      <c r="B3994" s="563" t="s">
        <v>8776</v>
      </c>
      <c r="C3994" s="564" t="s">
        <v>1612</v>
      </c>
      <c r="D3994" s="565">
        <v>41215</v>
      </c>
      <c r="E3994" s="565">
        <v>41228</v>
      </c>
      <c r="F3994" s="567">
        <v>740</v>
      </c>
      <c r="G3994" s="564" t="s">
        <v>337</v>
      </c>
      <c r="H3994" s="564" t="s">
        <v>337</v>
      </c>
      <c r="I3994" s="564" t="s">
        <v>2073</v>
      </c>
      <c r="J3994" s="564" t="s">
        <v>1069</v>
      </c>
      <c r="K3994" s="564" t="s">
        <v>1105</v>
      </c>
      <c r="L3994" s="564" t="s">
        <v>2098</v>
      </c>
      <c r="M3994" s="564" t="s">
        <v>2098</v>
      </c>
      <c r="N3994" s="564" t="s">
        <v>225</v>
      </c>
      <c r="O3994" s="564" t="s">
        <v>2099</v>
      </c>
      <c r="P3994" s="23"/>
      <c r="Q3994" s="23"/>
      <c r="R3994" s="23"/>
      <c r="S3994" s="23"/>
      <c r="T3994" s="23"/>
      <c r="U3994" s="23"/>
      <c r="V3994" s="23"/>
      <c r="W3994" s="23"/>
      <c r="X3994" s="23"/>
      <c r="Y3994" s="23"/>
      <c r="Z3994" s="23"/>
    </row>
    <row r="3995" spans="1:26" ht="13">
      <c r="A3995" s="562" t="s">
        <v>8777</v>
      </c>
      <c r="B3995" s="563" t="s">
        <v>8778</v>
      </c>
      <c r="C3995" s="564" t="s">
        <v>1612</v>
      </c>
      <c r="D3995" s="565">
        <v>41215</v>
      </c>
      <c r="E3995" s="565">
        <v>41229</v>
      </c>
      <c r="F3995" s="566">
        <v>4450</v>
      </c>
      <c r="G3995" s="564" t="s">
        <v>337</v>
      </c>
      <c r="H3995" s="564" t="s">
        <v>337</v>
      </c>
      <c r="I3995" s="564" t="s">
        <v>1247</v>
      </c>
      <c r="J3995" s="564" t="s">
        <v>1069</v>
      </c>
      <c r="K3995" s="564" t="s">
        <v>1070</v>
      </c>
      <c r="L3995" s="564" t="s">
        <v>2098</v>
      </c>
      <c r="M3995" s="564" t="s">
        <v>2098</v>
      </c>
      <c r="N3995" s="564" t="s">
        <v>1073</v>
      </c>
      <c r="O3995" s="564" t="s">
        <v>2099</v>
      </c>
      <c r="P3995" s="23"/>
      <c r="Q3995" s="23"/>
      <c r="R3995" s="23"/>
      <c r="S3995" s="23"/>
      <c r="T3995" s="23"/>
      <c r="U3995" s="23"/>
      <c r="V3995" s="23"/>
      <c r="W3995" s="23"/>
      <c r="X3995" s="23"/>
      <c r="Y3995" s="23"/>
      <c r="Z3995" s="23"/>
    </row>
    <row r="3996" spans="1:26" ht="13">
      <c r="A3996" s="562" t="s">
        <v>8779</v>
      </c>
      <c r="B3996" s="563" t="s">
        <v>8780</v>
      </c>
      <c r="C3996" s="564" t="s">
        <v>1612</v>
      </c>
      <c r="D3996" s="565">
        <v>41219</v>
      </c>
      <c r="E3996" s="565">
        <v>41229</v>
      </c>
      <c r="F3996" s="566">
        <v>30000</v>
      </c>
      <c r="G3996" s="564" t="s">
        <v>337</v>
      </c>
      <c r="H3996" s="564" t="s">
        <v>337</v>
      </c>
      <c r="I3996" s="564" t="s">
        <v>802</v>
      </c>
      <c r="J3996" s="564" t="s">
        <v>1069</v>
      </c>
      <c r="K3996" s="564" t="s">
        <v>1198</v>
      </c>
      <c r="L3996" s="564" t="s">
        <v>2098</v>
      </c>
      <c r="M3996" s="564" t="s">
        <v>2098</v>
      </c>
      <c r="N3996" s="564" t="s">
        <v>132</v>
      </c>
      <c r="O3996" s="564" t="s">
        <v>2099</v>
      </c>
      <c r="P3996" s="23"/>
      <c r="Q3996" s="23"/>
      <c r="R3996" s="23"/>
      <c r="S3996" s="23"/>
      <c r="T3996" s="23"/>
      <c r="U3996" s="23"/>
      <c r="V3996" s="23"/>
      <c r="W3996" s="23"/>
      <c r="X3996" s="23"/>
      <c r="Y3996" s="23"/>
      <c r="Z3996" s="23"/>
    </row>
    <row r="3997" spans="1:26" ht="13">
      <c r="A3997" s="562" t="s">
        <v>8781</v>
      </c>
      <c r="B3997" s="563" t="s">
        <v>8782</v>
      </c>
      <c r="C3997" s="564" t="s">
        <v>1612</v>
      </c>
      <c r="D3997" s="565">
        <v>41220</v>
      </c>
      <c r="E3997" s="565">
        <v>41214</v>
      </c>
      <c r="F3997" s="566">
        <v>30182400</v>
      </c>
      <c r="G3997" s="564" t="s">
        <v>337</v>
      </c>
      <c r="H3997" s="564" t="s">
        <v>337</v>
      </c>
      <c r="I3997" s="564" t="s">
        <v>45</v>
      </c>
      <c r="J3997" s="564" t="s">
        <v>1069</v>
      </c>
      <c r="K3997" s="564" t="s">
        <v>1090</v>
      </c>
      <c r="L3997" s="564" t="s">
        <v>1071</v>
      </c>
      <c r="M3997" s="564" t="s">
        <v>1183</v>
      </c>
      <c r="N3997" s="564" t="s">
        <v>45</v>
      </c>
      <c r="O3997" s="564" t="s">
        <v>2099</v>
      </c>
      <c r="P3997" s="23"/>
      <c r="Q3997" s="23"/>
      <c r="R3997" s="23"/>
      <c r="S3997" s="23"/>
      <c r="T3997" s="23"/>
      <c r="U3997" s="23"/>
      <c r="V3997" s="23"/>
      <c r="W3997" s="23"/>
      <c r="X3997" s="23"/>
      <c r="Y3997" s="23"/>
      <c r="Z3997" s="23"/>
    </row>
    <row r="3998" spans="1:26" ht="13">
      <c r="A3998" s="562" t="s">
        <v>8783</v>
      </c>
      <c r="B3998" s="563" t="s">
        <v>8784</v>
      </c>
      <c r="C3998" s="564" t="s">
        <v>1612</v>
      </c>
      <c r="D3998" s="565">
        <v>41220</v>
      </c>
      <c r="E3998" s="565">
        <v>41222</v>
      </c>
      <c r="F3998" s="566">
        <v>2195</v>
      </c>
      <c r="G3998" s="564" t="s">
        <v>337</v>
      </c>
      <c r="H3998" s="564" t="s">
        <v>337</v>
      </c>
      <c r="I3998" s="564" t="s">
        <v>70</v>
      </c>
      <c r="J3998" s="564" t="s">
        <v>1069</v>
      </c>
      <c r="K3998" s="564" t="s">
        <v>1120</v>
      </c>
      <c r="L3998" s="564" t="s">
        <v>2098</v>
      </c>
      <c r="M3998" s="564" t="s">
        <v>2098</v>
      </c>
      <c r="N3998" s="564" t="s">
        <v>70</v>
      </c>
      <c r="O3998" s="564" t="s">
        <v>2099</v>
      </c>
      <c r="P3998" s="23"/>
      <c r="Q3998" s="23"/>
      <c r="R3998" s="23"/>
      <c r="S3998" s="23"/>
      <c r="T3998" s="23"/>
      <c r="U3998" s="23"/>
      <c r="V3998" s="23"/>
      <c r="W3998" s="23"/>
      <c r="X3998" s="23"/>
      <c r="Y3998" s="23"/>
      <c r="Z3998" s="23"/>
    </row>
    <row r="3999" spans="1:26" ht="13">
      <c r="A3999" s="562" t="s">
        <v>8785</v>
      </c>
      <c r="B3999" s="563" t="s">
        <v>8786</v>
      </c>
      <c r="C3999" s="564" t="s">
        <v>1612</v>
      </c>
      <c r="D3999" s="565">
        <v>41221</v>
      </c>
      <c r="E3999" s="565">
        <v>41236</v>
      </c>
      <c r="F3999" s="566">
        <v>21875000</v>
      </c>
      <c r="G3999" s="564" t="s">
        <v>1856</v>
      </c>
      <c r="H3999" s="564" t="s">
        <v>1856</v>
      </c>
      <c r="I3999" s="564" t="s">
        <v>45</v>
      </c>
      <c r="J3999" s="564" t="s">
        <v>1069</v>
      </c>
      <c r="K3999" s="564" t="s">
        <v>1090</v>
      </c>
      <c r="L3999" s="564" t="s">
        <v>2098</v>
      </c>
      <c r="M3999" s="564" t="s">
        <v>2098</v>
      </c>
      <c r="N3999" s="564" t="s">
        <v>45</v>
      </c>
      <c r="O3999" s="564" t="s">
        <v>2099</v>
      </c>
      <c r="P3999" s="23"/>
      <c r="Q3999" s="23"/>
      <c r="R3999" s="23"/>
      <c r="S3999" s="23"/>
      <c r="T3999" s="23"/>
      <c r="U3999" s="23"/>
      <c r="V3999" s="23"/>
      <c r="W3999" s="23"/>
      <c r="X3999" s="23"/>
      <c r="Y3999" s="23"/>
      <c r="Z3999" s="23"/>
    </row>
    <row r="4000" spans="1:26" ht="13">
      <c r="A4000" s="562" t="s">
        <v>8787</v>
      </c>
      <c r="B4000" s="563" t="s">
        <v>8788</v>
      </c>
      <c r="C4000" s="564" t="s">
        <v>2191</v>
      </c>
      <c r="D4000" s="565">
        <v>41225</v>
      </c>
      <c r="E4000" s="565">
        <v>41243</v>
      </c>
      <c r="F4000" s="566">
        <v>116985</v>
      </c>
      <c r="G4000" s="564" t="s">
        <v>1636</v>
      </c>
      <c r="H4000" s="564" t="s">
        <v>1636</v>
      </c>
      <c r="I4000" s="564" t="s">
        <v>6222</v>
      </c>
      <c r="J4000" s="564" t="s">
        <v>1069</v>
      </c>
      <c r="K4000" s="564" t="s">
        <v>1198</v>
      </c>
      <c r="L4000" s="564" t="s">
        <v>2098</v>
      </c>
      <c r="M4000" s="564" t="s">
        <v>2098</v>
      </c>
      <c r="N4000" s="564" t="s">
        <v>1082</v>
      </c>
      <c r="O4000" s="564" t="s">
        <v>2099</v>
      </c>
      <c r="P4000" s="23"/>
      <c r="Q4000" s="23"/>
      <c r="R4000" s="23"/>
      <c r="S4000" s="23"/>
      <c r="T4000" s="23"/>
      <c r="U4000" s="23"/>
      <c r="V4000" s="23"/>
      <c r="W4000" s="23"/>
      <c r="X4000" s="23"/>
      <c r="Y4000" s="23"/>
      <c r="Z4000" s="23"/>
    </row>
    <row r="4001" spans="1:26" ht="13">
      <c r="A4001" s="562" t="s">
        <v>8789</v>
      </c>
      <c r="B4001" s="563" t="s">
        <v>8790</v>
      </c>
      <c r="C4001" s="564" t="s">
        <v>2191</v>
      </c>
      <c r="D4001" s="565">
        <v>41226</v>
      </c>
      <c r="E4001" s="565">
        <v>41258</v>
      </c>
      <c r="F4001" s="566">
        <v>209577273</v>
      </c>
      <c r="G4001" s="564" t="s">
        <v>6844</v>
      </c>
      <c r="H4001" s="564" t="s">
        <v>6844</v>
      </c>
      <c r="I4001" s="564" t="s">
        <v>8414</v>
      </c>
      <c r="J4001" s="564" t="s">
        <v>1069</v>
      </c>
      <c r="K4001" s="564" t="s">
        <v>2878</v>
      </c>
      <c r="L4001" s="564" t="s">
        <v>2098</v>
      </c>
      <c r="M4001" s="564" t="s">
        <v>2098</v>
      </c>
      <c r="N4001" s="564" t="s">
        <v>1368</v>
      </c>
      <c r="O4001" s="564" t="s">
        <v>2099</v>
      </c>
      <c r="P4001" s="23"/>
      <c r="Q4001" s="23"/>
      <c r="R4001" s="23"/>
      <c r="S4001" s="23"/>
      <c r="T4001" s="23"/>
      <c r="U4001" s="23"/>
      <c r="V4001" s="23"/>
      <c r="W4001" s="23"/>
      <c r="X4001" s="23"/>
      <c r="Y4001" s="23"/>
      <c r="Z4001" s="23"/>
    </row>
    <row r="4002" spans="1:26" ht="13">
      <c r="A4002" s="562" t="s">
        <v>8791</v>
      </c>
      <c r="B4002" s="563" t="s">
        <v>8792</v>
      </c>
      <c r="C4002" s="564" t="s">
        <v>1612</v>
      </c>
      <c r="D4002" s="565">
        <v>41222</v>
      </c>
      <c r="E4002" s="565">
        <v>41243</v>
      </c>
      <c r="F4002" s="567"/>
      <c r="G4002" s="564" t="s">
        <v>8793</v>
      </c>
      <c r="H4002" s="564" t="s">
        <v>8793</v>
      </c>
      <c r="I4002" s="564" t="s">
        <v>2052</v>
      </c>
      <c r="J4002" s="564" t="s">
        <v>1069</v>
      </c>
      <c r="K4002" s="564" t="s">
        <v>1070</v>
      </c>
      <c r="L4002" s="564" t="s">
        <v>2098</v>
      </c>
      <c r="M4002" s="564" t="s">
        <v>2098</v>
      </c>
      <c r="N4002" s="564" t="s">
        <v>1082</v>
      </c>
      <c r="O4002" s="564" t="s">
        <v>2099</v>
      </c>
      <c r="P4002" s="23"/>
      <c r="Q4002" s="23"/>
      <c r="R4002" s="23"/>
      <c r="S4002" s="23"/>
      <c r="T4002" s="23"/>
      <c r="U4002" s="23"/>
      <c r="V4002" s="23"/>
      <c r="W4002" s="23"/>
      <c r="X4002" s="23"/>
      <c r="Y4002" s="23"/>
      <c r="Z4002" s="23"/>
    </row>
    <row r="4003" spans="1:26" ht="13">
      <c r="A4003" s="562" t="s">
        <v>8794</v>
      </c>
      <c r="B4003" s="563" t="s">
        <v>8795</v>
      </c>
      <c r="C4003" s="564" t="s">
        <v>1612</v>
      </c>
      <c r="D4003" s="565">
        <v>41213</v>
      </c>
      <c r="E4003" s="565">
        <v>41222</v>
      </c>
      <c r="F4003" s="566">
        <v>8750</v>
      </c>
      <c r="G4003" s="564" t="s">
        <v>337</v>
      </c>
      <c r="H4003" s="564" t="s">
        <v>337</v>
      </c>
      <c r="I4003" s="564" t="s">
        <v>802</v>
      </c>
      <c r="J4003" s="564" t="s">
        <v>1069</v>
      </c>
      <c r="K4003" s="564" t="s">
        <v>1198</v>
      </c>
      <c r="L4003" s="564" t="s">
        <v>2098</v>
      </c>
      <c r="M4003" s="564" t="s">
        <v>2098</v>
      </c>
      <c r="N4003" s="564" t="s">
        <v>132</v>
      </c>
      <c r="O4003" s="564" t="s">
        <v>2099</v>
      </c>
      <c r="P4003" s="23"/>
      <c r="Q4003" s="23"/>
      <c r="R4003" s="23"/>
      <c r="S4003" s="23"/>
      <c r="T4003" s="23"/>
      <c r="U4003" s="23"/>
      <c r="V4003" s="23"/>
      <c r="W4003" s="23"/>
      <c r="X4003" s="23"/>
      <c r="Y4003" s="23"/>
      <c r="Z4003" s="23"/>
    </row>
    <row r="4004" spans="1:26" ht="13">
      <c r="A4004" s="562" t="s">
        <v>8796</v>
      </c>
      <c r="B4004" s="563" t="s">
        <v>8797</v>
      </c>
      <c r="C4004" s="564" t="s">
        <v>2191</v>
      </c>
      <c r="D4004" s="565">
        <v>41211</v>
      </c>
      <c r="E4004" s="565">
        <v>41226</v>
      </c>
      <c r="F4004" s="566">
        <v>208432</v>
      </c>
      <c r="G4004" s="564" t="s">
        <v>7944</v>
      </c>
      <c r="H4004" s="564" t="s">
        <v>7944</v>
      </c>
      <c r="I4004" s="564" t="s">
        <v>4449</v>
      </c>
      <c r="J4004" s="564" t="s">
        <v>1069</v>
      </c>
      <c r="K4004" s="564" t="s">
        <v>1070</v>
      </c>
      <c r="L4004" s="564" t="s">
        <v>2098</v>
      </c>
      <c r="M4004" s="564" t="s">
        <v>2098</v>
      </c>
      <c r="N4004" s="564" t="s">
        <v>1082</v>
      </c>
      <c r="O4004" s="564" t="s">
        <v>2099</v>
      </c>
      <c r="P4004" s="23"/>
      <c r="Q4004" s="23"/>
      <c r="R4004" s="23"/>
      <c r="S4004" s="23"/>
      <c r="T4004" s="23"/>
      <c r="U4004" s="23"/>
      <c r="V4004" s="23"/>
      <c r="W4004" s="23"/>
      <c r="X4004" s="23"/>
      <c r="Y4004" s="23"/>
      <c r="Z4004" s="23"/>
    </row>
    <row r="4005" spans="1:26" ht="13">
      <c r="A4005" s="562" t="s">
        <v>8798</v>
      </c>
      <c r="B4005" s="563" t="s">
        <v>8762</v>
      </c>
      <c r="C4005" s="564" t="s">
        <v>1612</v>
      </c>
      <c r="D4005" s="565">
        <v>41211</v>
      </c>
      <c r="E4005" s="565">
        <v>41213</v>
      </c>
      <c r="F4005" s="567">
        <v>600</v>
      </c>
      <c r="G4005" s="564" t="s">
        <v>337</v>
      </c>
      <c r="H4005" s="564" t="s">
        <v>337</v>
      </c>
      <c r="I4005" s="564" t="s">
        <v>802</v>
      </c>
      <c r="J4005" s="564" t="s">
        <v>1069</v>
      </c>
      <c r="K4005" s="564" t="s">
        <v>1198</v>
      </c>
      <c r="L4005" s="564" t="s">
        <v>2098</v>
      </c>
      <c r="M4005" s="564" t="s">
        <v>2098</v>
      </c>
      <c r="N4005" s="564" t="s">
        <v>132</v>
      </c>
      <c r="O4005" s="564" t="s">
        <v>2099</v>
      </c>
      <c r="P4005" s="23"/>
      <c r="Q4005" s="23"/>
      <c r="R4005" s="23"/>
      <c r="S4005" s="23"/>
      <c r="T4005" s="23"/>
      <c r="U4005" s="23"/>
      <c r="V4005" s="23"/>
      <c r="W4005" s="23"/>
      <c r="X4005" s="23"/>
      <c r="Y4005" s="23"/>
      <c r="Z4005" s="23"/>
    </row>
    <row r="4006" spans="1:26" ht="13">
      <c r="A4006" s="562" t="s">
        <v>8799</v>
      </c>
      <c r="B4006" s="563" t="s">
        <v>8800</v>
      </c>
      <c r="C4006" s="564" t="s">
        <v>1873</v>
      </c>
      <c r="D4006" s="565">
        <v>41208</v>
      </c>
      <c r="E4006" s="565">
        <v>41229</v>
      </c>
      <c r="F4006" s="566">
        <v>1010</v>
      </c>
      <c r="G4006" s="564" t="s">
        <v>337</v>
      </c>
      <c r="H4006" s="564" t="s">
        <v>337</v>
      </c>
      <c r="I4006" s="564" t="s">
        <v>170</v>
      </c>
      <c r="J4006" s="564" t="s">
        <v>1069</v>
      </c>
      <c r="K4006" s="564" t="s">
        <v>1105</v>
      </c>
      <c r="L4006" s="564" t="s">
        <v>2098</v>
      </c>
      <c r="M4006" s="564" t="s">
        <v>2098</v>
      </c>
      <c r="N4006" s="564" t="s">
        <v>170</v>
      </c>
      <c r="O4006" s="564" t="s">
        <v>2099</v>
      </c>
      <c r="P4006" s="23"/>
      <c r="Q4006" s="23"/>
      <c r="R4006" s="23"/>
      <c r="S4006" s="23"/>
      <c r="T4006" s="23"/>
      <c r="U4006" s="23"/>
      <c r="V4006" s="23"/>
      <c r="W4006" s="23"/>
      <c r="X4006" s="23"/>
      <c r="Y4006" s="23"/>
      <c r="Z4006" s="23"/>
    </row>
    <row r="4007" spans="1:26" ht="13">
      <c r="A4007" s="562" t="s">
        <v>8801</v>
      </c>
      <c r="B4007" s="563" t="s">
        <v>8510</v>
      </c>
      <c r="C4007" s="564" t="s">
        <v>1612</v>
      </c>
      <c r="D4007" s="565">
        <v>41208</v>
      </c>
      <c r="E4007" s="565">
        <v>41213</v>
      </c>
      <c r="F4007" s="567">
        <v>777</v>
      </c>
      <c r="G4007" s="564" t="s">
        <v>337</v>
      </c>
      <c r="H4007" s="564" t="s">
        <v>337</v>
      </c>
      <c r="I4007" s="564" t="s">
        <v>70</v>
      </c>
      <c r="J4007" s="564" t="s">
        <v>1069</v>
      </c>
      <c r="K4007" s="564" t="s">
        <v>1120</v>
      </c>
      <c r="L4007" s="564" t="s">
        <v>2098</v>
      </c>
      <c r="M4007" s="564" t="s">
        <v>2098</v>
      </c>
      <c r="N4007" s="564" t="s">
        <v>70</v>
      </c>
      <c r="O4007" s="564" t="s">
        <v>2099</v>
      </c>
      <c r="P4007" s="23"/>
      <c r="Q4007" s="23"/>
      <c r="R4007" s="23"/>
      <c r="S4007" s="23"/>
      <c r="T4007" s="23"/>
      <c r="U4007" s="23"/>
      <c r="V4007" s="23"/>
      <c r="W4007" s="23"/>
      <c r="X4007" s="23"/>
      <c r="Y4007" s="23"/>
      <c r="Z4007" s="23"/>
    </row>
    <row r="4008" spans="1:26" ht="13">
      <c r="A4008" s="562" t="s">
        <v>8802</v>
      </c>
      <c r="B4008" s="563" t="s">
        <v>8803</v>
      </c>
      <c r="C4008" s="564" t="s">
        <v>2191</v>
      </c>
      <c r="D4008" s="565">
        <v>41207</v>
      </c>
      <c r="E4008" s="565">
        <v>41215</v>
      </c>
      <c r="F4008" s="566">
        <v>20000400</v>
      </c>
      <c r="G4008" s="564" t="s">
        <v>1123</v>
      </c>
      <c r="H4008" s="564" t="s">
        <v>1123</v>
      </c>
      <c r="I4008" s="564" t="s">
        <v>8804</v>
      </c>
      <c r="J4008" s="564" t="s">
        <v>1069</v>
      </c>
      <c r="K4008" s="564" t="s">
        <v>1205</v>
      </c>
      <c r="L4008" s="564" t="s">
        <v>1071</v>
      </c>
      <c r="M4008" s="564" t="s">
        <v>1091</v>
      </c>
      <c r="N4008" s="564" t="s">
        <v>1082</v>
      </c>
      <c r="O4008" s="564" t="s">
        <v>241</v>
      </c>
      <c r="P4008" s="23"/>
      <c r="Q4008" s="23"/>
      <c r="R4008" s="23"/>
      <c r="S4008" s="23"/>
      <c r="T4008" s="23"/>
      <c r="U4008" s="23"/>
      <c r="V4008" s="23"/>
      <c r="W4008" s="23"/>
      <c r="X4008" s="23"/>
      <c r="Y4008" s="23"/>
      <c r="Z4008" s="23"/>
    </row>
    <row r="4009" spans="1:26" ht="13">
      <c r="A4009" s="562" t="s">
        <v>8805</v>
      </c>
      <c r="B4009" s="563" t="s">
        <v>8806</v>
      </c>
      <c r="C4009" s="564" t="s">
        <v>1612</v>
      </c>
      <c r="D4009" s="565">
        <v>41205</v>
      </c>
      <c r="E4009" s="565">
        <v>41211</v>
      </c>
      <c r="F4009" s="567">
        <v>210</v>
      </c>
      <c r="G4009" s="564" t="s">
        <v>337</v>
      </c>
      <c r="H4009" s="564" t="s">
        <v>337</v>
      </c>
      <c r="I4009" s="564" t="s">
        <v>64</v>
      </c>
      <c r="J4009" s="564" t="s">
        <v>1069</v>
      </c>
      <c r="K4009" s="564" t="s">
        <v>1090</v>
      </c>
      <c r="L4009" s="564" t="s">
        <v>2098</v>
      </c>
      <c r="M4009" s="564" t="s">
        <v>2098</v>
      </c>
      <c r="N4009" s="564" t="s">
        <v>64</v>
      </c>
      <c r="O4009" s="564" t="s">
        <v>2099</v>
      </c>
      <c r="P4009" s="23"/>
      <c r="Q4009" s="23"/>
      <c r="R4009" s="23"/>
      <c r="S4009" s="23"/>
      <c r="T4009" s="23"/>
      <c r="U4009" s="23"/>
      <c r="V4009" s="23"/>
      <c r="W4009" s="23"/>
      <c r="X4009" s="23"/>
      <c r="Y4009" s="23"/>
      <c r="Z4009" s="23"/>
    </row>
    <row r="4010" spans="1:26" ht="13">
      <c r="A4010" s="562" t="s">
        <v>8807</v>
      </c>
      <c r="B4010" s="563" t="s">
        <v>8808</v>
      </c>
      <c r="C4010" s="564" t="s">
        <v>2191</v>
      </c>
      <c r="D4010" s="565">
        <v>41204</v>
      </c>
      <c r="E4010" s="565">
        <v>41212</v>
      </c>
      <c r="F4010" s="566">
        <v>156056819</v>
      </c>
      <c r="G4010" s="564" t="s">
        <v>1856</v>
      </c>
      <c r="H4010" s="564" t="s">
        <v>1856</v>
      </c>
      <c r="I4010" s="564" t="s">
        <v>8809</v>
      </c>
      <c r="J4010" s="564" t="s">
        <v>1069</v>
      </c>
      <c r="K4010" s="564" t="s">
        <v>1070</v>
      </c>
      <c r="L4010" s="564" t="s">
        <v>2098</v>
      </c>
      <c r="M4010" s="564" t="s">
        <v>2098</v>
      </c>
      <c r="N4010" s="564" t="s">
        <v>1082</v>
      </c>
      <c r="O4010" s="564" t="s">
        <v>2099</v>
      </c>
      <c r="P4010" s="23"/>
      <c r="Q4010" s="23"/>
      <c r="R4010" s="23"/>
      <c r="S4010" s="23"/>
      <c r="T4010" s="23"/>
      <c r="U4010" s="23"/>
      <c r="V4010" s="23"/>
      <c r="W4010" s="23"/>
      <c r="X4010" s="23"/>
      <c r="Y4010" s="23"/>
      <c r="Z4010" s="23"/>
    </row>
    <row r="4011" spans="1:26" ht="13">
      <c r="A4011" s="562" t="s">
        <v>8810</v>
      </c>
      <c r="B4011" s="563" t="s">
        <v>8811</v>
      </c>
      <c r="C4011" s="564" t="s">
        <v>2191</v>
      </c>
      <c r="D4011" s="565">
        <v>41206</v>
      </c>
      <c r="E4011" s="565">
        <v>41208</v>
      </c>
      <c r="F4011" s="566">
        <v>48204009</v>
      </c>
      <c r="G4011" s="564" t="s">
        <v>1128</v>
      </c>
      <c r="H4011" s="564" t="s">
        <v>1128</v>
      </c>
      <c r="I4011" s="564" t="s">
        <v>8155</v>
      </c>
      <c r="J4011" s="564" t="s">
        <v>1069</v>
      </c>
      <c r="K4011" s="564" t="s">
        <v>1070</v>
      </c>
      <c r="L4011" s="564" t="s">
        <v>1071</v>
      </c>
      <c r="M4011" s="564" t="s">
        <v>1183</v>
      </c>
      <c r="N4011" s="564" t="s">
        <v>1082</v>
      </c>
      <c r="O4011" s="564" t="s">
        <v>1472</v>
      </c>
      <c r="P4011" s="23"/>
      <c r="Q4011" s="23"/>
      <c r="R4011" s="23"/>
      <c r="S4011" s="23"/>
      <c r="T4011" s="23"/>
      <c r="U4011" s="23"/>
      <c r="V4011" s="23"/>
      <c r="W4011" s="23"/>
      <c r="X4011" s="23"/>
      <c r="Y4011" s="23"/>
      <c r="Z4011" s="23"/>
    </row>
    <row r="4012" spans="1:26" ht="13">
      <c r="A4012" s="562" t="s">
        <v>8812</v>
      </c>
      <c r="B4012" s="563" t="s">
        <v>8813</v>
      </c>
      <c r="C4012" s="564" t="s">
        <v>1612</v>
      </c>
      <c r="D4012" s="565">
        <v>41201</v>
      </c>
      <c r="E4012" s="565">
        <v>41208</v>
      </c>
      <c r="F4012" s="566">
        <v>3600</v>
      </c>
      <c r="G4012" s="564" t="s">
        <v>337</v>
      </c>
      <c r="H4012" s="564" t="s">
        <v>337</v>
      </c>
      <c r="I4012" s="564" t="s">
        <v>64</v>
      </c>
      <c r="J4012" s="564" t="s">
        <v>1069</v>
      </c>
      <c r="K4012" s="564" t="s">
        <v>1090</v>
      </c>
      <c r="L4012" s="564" t="s">
        <v>2098</v>
      </c>
      <c r="M4012" s="564" t="s">
        <v>2098</v>
      </c>
      <c r="N4012" s="564" t="s">
        <v>64</v>
      </c>
      <c r="O4012" s="564" t="s">
        <v>2099</v>
      </c>
      <c r="P4012" s="23"/>
      <c r="Q4012" s="23"/>
      <c r="R4012" s="23"/>
      <c r="S4012" s="23"/>
      <c r="T4012" s="23"/>
      <c r="U4012" s="23"/>
      <c r="V4012" s="23"/>
      <c r="W4012" s="23"/>
      <c r="X4012" s="23"/>
      <c r="Y4012" s="23"/>
      <c r="Z4012" s="23"/>
    </row>
    <row r="4013" spans="1:26" ht="13">
      <c r="A4013" s="562" t="s">
        <v>8814</v>
      </c>
      <c r="B4013" s="563" t="s">
        <v>8815</v>
      </c>
      <c r="C4013" s="564" t="s">
        <v>1612</v>
      </c>
      <c r="D4013" s="565">
        <v>41200</v>
      </c>
      <c r="E4013" s="565">
        <v>41208</v>
      </c>
      <c r="F4013" s="566">
        <v>2436</v>
      </c>
      <c r="G4013" s="564" t="s">
        <v>337</v>
      </c>
      <c r="H4013" s="564" t="s">
        <v>337</v>
      </c>
      <c r="I4013" s="564" t="s">
        <v>1918</v>
      </c>
      <c r="J4013" s="564" t="s">
        <v>1069</v>
      </c>
      <c r="K4013" s="564" t="s">
        <v>1070</v>
      </c>
      <c r="L4013" s="564" t="s">
        <v>2098</v>
      </c>
      <c r="M4013" s="564" t="s">
        <v>2098</v>
      </c>
      <c r="N4013" s="564" t="s">
        <v>1073</v>
      </c>
      <c r="O4013" s="564" t="s">
        <v>2099</v>
      </c>
      <c r="P4013" s="23"/>
      <c r="Q4013" s="23"/>
      <c r="R4013" s="23"/>
      <c r="S4013" s="23"/>
      <c r="T4013" s="23"/>
      <c r="U4013" s="23"/>
      <c r="V4013" s="23"/>
      <c r="W4013" s="23"/>
      <c r="X4013" s="23"/>
      <c r="Y4013" s="23"/>
      <c r="Z4013" s="23"/>
    </row>
    <row r="4014" spans="1:26" ht="13">
      <c r="A4014" s="562" t="s">
        <v>8816</v>
      </c>
      <c r="B4014" s="563" t="s">
        <v>8817</v>
      </c>
      <c r="C4014" s="564" t="s">
        <v>1612</v>
      </c>
      <c r="D4014" s="565">
        <v>41197</v>
      </c>
      <c r="E4014" s="565">
        <v>41213</v>
      </c>
      <c r="F4014" s="566">
        <v>11400</v>
      </c>
      <c r="G4014" s="564" t="s">
        <v>1640</v>
      </c>
      <c r="H4014" s="564" t="s">
        <v>1640</v>
      </c>
      <c r="I4014" s="564" t="s">
        <v>45</v>
      </c>
      <c r="J4014" s="564" t="s">
        <v>1069</v>
      </c>
      <c r="K4014" s="564" t="s">
        <v>1090</v>
      </c>
      <c r="L4014" s="564" t="s">
        <v>2098</v>
      </c>
      <c r="M4014" s="564" t="s">
        <v>2098</v>
      </c>
      <c r="N4014" s="564" t="s">
        <v>45</v>
      </c>
      <c r="O4014" s="564" t="s">
        <v>2099</v>
      </c>
      <c r="P4014" s="23"/>
      <c r="Q4014" s="23"/>
      <c r="R4014" s="23"/>
      <c r="S4014" s="23"/>
      <c r="T4014" s="23"/>
      <c r="U4014" s="23"/>
      <c r="V4014" s="23"/>
      <c r="W4014" s="23"/>
      <c r="X4014" s="23"/>
      <c r="Y4014" s="23"/>
      <c r="Z4014" s="23"/>
    </row>
    <row r="4015" spans="1:26" ht="13">
      <c r="A4015" s="562" t="s">
        <v>8818</v>
      </c>
      <c r="B4015" s="563" t="s">
        <v>8819</v>
      </c>
      <c r="C4015" s="564" t="s">
        <v>1612</v>
      </c>
      <c r="D4015" s="565">
        <v>41201</v>
      </c>
      <c r="E4015" s="565">
        <v>41201</v>
      </c>
      <c r="F4015" s="566">
        <v>4662</v>
      </c>
      <c r="G4015" s="564" t="s">
        <v>337</v>
      </c>
      <c r="H4015" s="564" t="s">
        <v>337</v>
      </c>
      <c r="I4015" s="564" t="s">
        <v>70</v>
      </c>
      <c r="J4015" s="564" t="s">
        <v>1069</v>
      </c>
      <c r="K4015" s="564" t="s">
        <v>1120</v>
      </c>
      <c r="L4015" s="564" t="s">
        <v>2098</v>
      </c>
      <c r="M4015" s="564" t="s">
        <v>2098</v>
      </c>
      <c r="N4015" s="564" t="s">
        <v>70</v>
      </c>
      <c r="O4015" s="564" t="s">
        <v>2099</v>
      </c>
      <c r="P4015" s="23"/>
      <c r="Q4015" s="23"/>
      <c r="R4015" s="23"/>
      <c r="S4015" s="23"/>
      <c r="T4015" s="23"/>
      <c r="U4015" s="23"/>
      <c r="V4015" s="23"/>
      <c r="W4015" s="23"/>
      <c r="X4015" s="23"/>
      <c r="Y4015" s="23"/>
      <c r="Z4015" s="23"/>
    </row>
    <row r="4016" spans="1:26" ht="13">
      <c r="A4016" s="562" t="s">
        <v>8820</v>
      </c>
      <c r="B4016" s="563" t="s">
        <v>8821</v>
      </c>
      <c r="C4016" s="564" t="s">
        <v>1612</v>
      </c>
      <c r="D4016" s="565">
        <v>41192</v>
      </c>
      <c r="E4016" s="565">
        <v>41200</v>
      </c>
      <c r="F4016" s="566">
        <v>400078000</v>
      </c>
      <c r="G4016" s="564" t="s">
        <v>1856</v>
      </c>
      <c r="H4016" s="564" t="s">
        <v>1856</v>
      </c>
      <c r="I4016" s="564" t="s">
        <v>45</v>
      </c>
      <c r="J4016" s="564" t="s">
        <v>1069</v>
      </c>
      <c r="K4016" s="564" t="s">
        <v>1090</v>
      </c>
      <c r="L4016" s="564" t="s">
        <v>2098</v>
      </c>
      <c r="M4016" s="564" t="s">
        <v>2098</v>
      </c>
      <c r="N4016" s="564" t="s">
        <v>45</v>
      </c>
      <c r="O4016" s="564" t="s">
        <v>2099</v>
      </c>
      <c r="P4016" s="23"/>
      <c r="Q4016" s="23"/>
      <c r="R4016" s="23"/>
      <c r="S4016" s="23"/>
      <c r="T4016" s="23"/>
      <c r="U4016" s="23"/>
      <c r="V4016" s="23"/>
      <c r="W4016" s="23"/>
      <c r="X4016" s="23"/>
      <c r="Y4016" s="23"/>
      <c r="Z4016" s="23"/>
    </row>
    <row r="4017" spans="1:26" ht="13">
      <c r="A4017" s="562" t="s">
        <v>8822</v>
      </c>
      <c r="B4017" s="563" t="s">
        <v>8823</v>
      </c>
      <c r="C4017" s="564" t="s">
        <v>1612</v>
      </c>
      <c r="D4017" s="565">
        <v>41192</v>
      </c>
      <c r="E4017" s="565">
        <v>41199</v>
      </c>
      <c r="F4017" s="566">
        <v>382000</v>
      </c>
      <c r="G4017" s="564" t="s">
        <v>1157</v>
      </c>
      <c r="H4017" s="564" t="s">
        <v>1157</v>
      </c>
      <c r="I4017" s="564" t="s">
        <v>1821</v>
      </c>
      <c r="J4017" s="564" t="s">
        <v>1069</v>
      </c>
      <c r="K4017" s="564" t="s">
        <v>1120</v>
      </c>
      <c r="L4017" s="564" t="s">
        <v>2098</v>
      </c>
      <c r="M4017" s="564" t="s">
        <v>2098</v>
      </c>
      <c r="N4017" s="564" t="s">
        <v>1073</v>
      </c>
      <c r="O4017" s="564" t="s">
        <v>2099</v>
      </c>
      <c r="P4017" s="23"/>
      <c r="Q4017" s="23"/>
      <c r="R4017" s="23"/>
      <c r="S4017" s="23"/>
      <c r="T4017" s="23"/>
      <c r="U4017" s="23"/>
      <c r="V4017" s="23"/>
      <c r="W4017" s="23"/>
      <c r="X4017" s="23"/>
      <c r="Y4017" s="23"/>
      <c r="Z4017" s="23"/>
    </row>
    <row r="4018" spans="1:26" ht="13">
      <c r="A4018" s="562" t="s">
        <v>8824</v>
      </c>
      <c r="B4018" s="563" t="s">
        <v>8825</v>
      </c>
      <c r="C4018" s="564" t="s">
        <v>1612</v>
      </c>
      <c r="D4018" s="565">
        <v>41187</v>
      </c>
      <c r="E4018" s="565">
        <v>41194</v>
      </c>
      <c r="F4018" s="566">
        <v>89000000</v>
      </c>
      <c r="G4018" s="564" t="s">
        <v>1157</v>
      </c>
      <c r="H4018" s="564" t="s">
        <v>1157</v>
      </c>
      <c r="I4018" s="564" t="s">
        <v>70</v>
      </c>
      <c r="J4018" s="564" t="s">
        <v>1069</v>
      </c>
      <c r="K4018" s="564" t="s">
        <v>1120</v>
      </c>
      <c r="L4018" s="564" t="s">
        <v>2098</v>
      </c>
      <c r="M4018" s="564" t="s">
        <v>2098</v>
      </c>
      <c r="N4018" s="564" t="s">
        <v>70</v>
      </c>
      <c r="O4018" s="564" t="s">
        <v>2099</v>
      </c>
      <c r="P4018" s="23"/>
      <c r="Q4018" s="23"/>
      <c r="R4018" s="23"/>
      <c r="S4018" s="23"/>
      <c r="T4018" s="23"/>
      <c r="U4018" s="23"/>
      <c r="V4018" s="23"/>
      <c r="W4018" s="23"/>
      <c r="X4018" s="23"/>
      <c r="Y4018" s="23"/>
      <c r="Z4018" s="23"/>
    </row>
    <row r="4019" spans="1:26" ht="13">
      <c r="A4019" s="562" t="s">
        <v>8826</v>
      </c>
      <c r="B4019" s="563" t="s">
        <v>8464</v>
      </c>
      <c r="C4019" s="564" t="s">
        <v>1612</v>
      </c>
      <c r="D4019" s="565">
        <v>41190</v>
      </c>
      <c r="E4019" s="565">
        <v>41200</v>
      </c>
      <c r="F4019" s="566">
        <v>31406</v>
      </c>
      <c r="G4019" s="564" t="s">
        <v>337</v>
      </c>
      <c r="H4019" s="564" t="s">
        <v>337</v>
      </c>
      <c r="I4019" s="564" t="s">
        <v>1837</v>
      </c>
      <c r="J4019" s="564" t="s">
        <v>1069</v>
      </c>
      <c r="K4019" s="564" t="s">
        <v>1090</v>
      </c>
      <c r="L4019" s="564" t="s">
        <v>2098</v>
      </c>
      <c r="M4019" s="564" t="s">
        <v>2098</v>
      </c>
      <c r="N4019" s="564" t="s">
        <v>1082</v>
      </c>
      <c r="O4019" s="564" t="s">
        <v>2099</v>
      </c>
      <c r="P4019" s="23"/>
      <c r="Q4019" s="23"/>
      <c r="R4019" s="23"/>
      <c r="S4019" s="23"/>
      <c r="T4019" s="23"/>
      <c r="U4019" s="23"/>
      <c r="V4019" s="23"/>
      <c r="W4019" s="23"/>
      <c r="X4019" s="23"/>
      <c r="Y4019" s="23"/>
      <c r="Z4019" s="23"/>
    </row>
    <row r="4020" spans="1:26" ht="13">
      <c r="A4020" s="562" t="s">
        <v>8827</v>
      </c>
      <c r="B4020" s="563" t="s">
        <v>8828</v>
      </c>
      <c r="C4020" s="564" t="s">
        <v>1612</v>
      </c>
      <c r="D4020" s="565">
        <v>41186</v>
      </c>
      <c r="E4020" s="565">
        <v>41194</v>
      </c>
      <c r="F4020" s="566">
        <v>130464</v>
      </c>
      <c r="G4020" s="564" t="s">
        <v>297</v>
      </c>
      <c r="H4020" s="564" t="s">
        <v>297</v>
      </c>
      <c r="I4020" s="564" t="s">
        <v>45</v>
      </c>
      <c r="J4020" s="564" t="s">
        <v>1069</v>
      </c>
      <c r="K4020" s="564" t="s">
        <v>1090</v>
      </c>
      <c r="L4020" s="564" t="s">
        <v>2098</v>
      </c>
      <c r="M4020" s="564" t="s">
        <v>2098</v>
      </c>
      <c r="N4020" s="564" t="s">
        <v>45</v>
      </c>
      <c r="O4020" s="564" t="s">
        <v>2099</v>
      </c>
      <c r="P4020" s="23"/>
      <c r="Q4020" s="23"/>
      <c r="R4020" s="23"/>
      <c r="S4020" s="23"/>
      <c r="T4020" s="23"/>
      <c r="U4020" s="23"/>
      <c r="V4020" s="23"/>
      <c r="W4020" s="23"/>
      <c r="X4020" s="23"/>
      <c r="Y4020" s="23"/>
      <c r="Z4020" s="23"/>
    </row>
    <row r="4021" spans="1:26" ht="13">
      <c r="A4021" s="562" t="s">
        <v>8829</v>
      </c>
      <c r="B4021" s="563" t="s">
        <v>8830</v>
      </c>
      <c r="C4021" s="564" t="s">
        <v>1612</v>
      </c>
      <c r="D4021" s="565">
        <v>41179</v>
      </c>
      <c r="E4021" s="565">
        <v>41201</v>
      </c>
      <c r="F4021" s="566">
        <v>216000</v>
      </c>
      <c r="G4021" s="564" t="s">
        <v>1856</v>
      </c>
      <c r="H4021" s="564" t="s">
        <v>1856</v>
      </c>
      <c r="I4021" s="564" t="s">
        <v>45</v>
      </c>
      <c r="J4021" s="564" t="s">
        <v>1069</v>
      </c>
      <c r="K4021" s="564" t="s">
        <v>1090</v>
      </c>
      <c r="L4021" s="564" t="s">
        <v>2098</v>
      </c>
      <c r="M4021" s="564" t="s">
        <v>2098</v>
      </c>
      <c r="N4021" s="564" t="s">
        <v>45</v>
      </c>
      <c r="O4021" s="564" t="s">
        <v>2099</v>
      </c>
      <c r="P4021" s="23"/>
      <c r="Q4021" s="23"/>
      <c r="R4021" s="23"/>
      <c r="S4021" s="23"/>
      <c r="T4021" s="23"/>
      <c r="U4021" s="23"/>
      <c r="V4021" s="23"/>
      <c r="W4021" s="23"/>
      <c r="X4021" s="23"/>
      <c r="Y4021" s="23"/>
      <c r="Z4021" s="23"/>
    </row>
    <row r="4022" spans="1:26" ht="13">
      <c r="A4022" s="562" t="s">
        <v>8831</v>
      </c>
      <c r="B4022" s="563" t="s">
        <v>8832</v>
      </c>
      <c r="C4022" s="564" t="s">
        <v>1612</v>
      </c>
      <c r="D4022" s="565">
        <v>41178</v>
      </c>
      <c r="E4022" s="565">
        <v>41187</v>
      </c>
      <c r="F4022" s="566">
        <v>6999070</v>
      </c>
      <c r="G4022" s="564" t="s">
        <v>1856</v>
      </c>
      <c r="H4022" s="564" t="s">
        <v>1856</v>
      </c>
      <c r="I4022" s="564" t="s">
        <v>45</v>
      </c>
      <c r="J4022" s="564" t="s">
        <v>1069</v>
      </c>
      <c r="K4022" s="564" t="s">
        <v>1090</v>
      </c>
      <c r="L4022" s="564" t="s">
        <v>2098</v>
      </c>
      <c r="M4022" s="564" t="s">
        <v>2098</v>
      </c>
      <c r="N4022" s="564" t="s">
        <v>45</v>
      </c>
      <c r="O4022" s="564" t="s">
        <v>2099</v>
      </c>
      <c r="P4022" s="23"/>
      <c r="Q4022" s="23"/>
      <c r="R4022" s="23"/>
      <c r="S4022" s="23"/>
      <c r="T4022" s="23"/>
      <c r="U4022" s="23"/>
      <c r="V4022" s="23"/>
      <c r="W4022" s="23"/>
      <c r="X4022" s="23"/>
      <c r="Y4022" s="23"/>
      <c r="Z4022" s="23"/>
    </row>
    <row r="4023" spans="1:26" ht="13">
      <c r="A4023" s="562" t="s">
        <v>8833</v>
      </c>
      <c r="B4023" s="563" t="s">
        <v>8834</v>
      </c>
      <c r="C4023" s="564" t="s">
        <v>1612</v>
      </c>
      <c r="D4023" s="565">
        <v>41173</v>
      </c>
      <c r="E4023" s="565">
        <v>41173</v>
      </c>
      <c r="F4023" s="566">
        <v>3360</v>
      </c>
      <c r="G4023" s="564" t="s">
        <v>337</v>
      </c>
      <c r="H4023" s="564" t="s">
        <v>337</v>
      </c>
      <c r="I4023" s="564" t="s">
        <v>45</v>
      </c>
      <c r="J4023" s="564" t="s">
        <v>1069</v>
      </c>
      <c r="K4023" s="564" t="s">
        <v>1090</v>
      </c>
      <c r="L4023" s="564" t="s">
        <v>2098</v>
      </c>
      <c r="M4023" s="564" t="s">
        <v>2098</v>
      </c>
      <c r="N4023" s="564" t="s">
        <v>45</v>
      </c>
      <c r="O4023" s="564" t="s">
        <v>2099</v>
      </c>
      <c r="P4023" s="23"/>
      <c r="Q4023" s="23"/>
      <c r="R4023" s="23"/>
      <c r="S4023" s="23"/>
      <c r="T4023" s="23"/>
      <c r="U4023" s="23"/>
      <c r="V4023" s="23"/>
      <c r="W4023" s="23"/>
      <c r="X4023" s="23"/>
      <c r="Y4023" s="23"/>
      <c r="Z4023" s="23"/>
    </row>
    <row r="4024" spans="1:26" ht="13">
      <c r="A4024" s="562" t="s">
        <v>8835</v>
      </c>
      <c r="B4024" s="563" t="s">
        <v>8478</v>
      </c>
      <c r="C4024" s="564" t="s">
        <v>1612</v>
      </c>
      <c r="D4024" s="565">
        <v>41174</v>
      </c>
      <c r="E4024" s="565">
        <v>41178</v>
      </c>
      <c r="F4024" s="566">
        <v>1554</v>
      </c>
      <c r="G4024" s="564" t="s">
        <v>337</v>
      </c>
      <c r="H4024" s="564" t="s">
        <v>337</v>
      </c>
      <c r="I4024" s="564" t="s">
        <v>70</v>
      </c>
      <c r="J4024" s="564" t="s">
        <v>1069</v>
      </c>
      <c r="K4024" s="564" t="s">
        <v>1120</v>
      </c>
      <c r="L4024" s="564" t="s">
        <v>2098</v>
      </c>
      <c r="M4024" s="564" t="s">
        <v>2098</v>
      </c>
      <c r="N4024" s="564" t="s">
        <v>70</v>
      </c>
      <c r="O4024" s="564" t="s">
        <v>2099</v>
      </c>
      <c r="P4024" s="23"/>
      <c r="Q4024" s="23"/>
      <c r="R4024" s="23"/>
      <c r="S4024" s="23"/>
      <c r="T4024" s="23"/>
      <c r="U4024" s="23"/>
      <c r="V4024" s="23"/>
      <c r="W4024" s="23"/>
      <c r="X4024" s="23"/>
      <c r="Y4024" s="23"/>
      <c r="Z4024" s="23"/>
    </row>
    <row r="4025" spans="1:26" ht="13">
      <c r="A4025" s="562" t="s">
        <v>8836</v>
      </c>
      <c r="B4025" s="563" t="s">
        <v>8837</v>
      </c>
      <c r="C4025" s="564" t="s">
        <v>2191</v>
      </c>
      <c r="D4025" s="565">
        <v>41171</v>
      </c>
      <c r="E4025" s="565">
        <v>41178</v>
      </c>
      <c r="F4025" s="566">
        <v>120000000</v>
      </c>
      <c r="G4025" s="564" t="s">
        <v>1856</v>
      </c>
      <c r="H4025" s="564" t="s">
        <v>1856</v>
      </c>
      <c r="I4025" s="564" t="s">
        <v>8838</v>
      </c>
      <c r="J4025" s="564" t="s">
        <v>1069</v>
      </c>
      <c r="K4025" s="564" t="s">
        <v>1070</v>
      </c>
      <c r="L4025" s="564" t="s">
        <v>2098</v>
      </c>
      <c r="M4025" s="564" t="s">
        <v>2098</v>
      </c>
      <c r="N4025" s="564" t="s">
        <v>1082</v>
      </c>
      <c r="O4025" s="564" t="s">
        <v>2099</v>
      </c>
      <c r="P4025" s="23"/>
      <c r="Q4025" s="23"/>
      <c r="R4025" s="23"/>
      <c r="S4025" s="23"/>
      <c r="T4025" s="23"/>
      <c r="U4025" s="23"/>
      <c r="V4025" s="23"/>
      <c r="W4025" s="23"/>
      <c r="X4025" s="23"/>
      <c r="Y4025" s="23"/>
      <c r="Z4025" s="23"/>
    </row>
    <row r="4026" spans="1:26" ht="13">
      <c r="A4026" s="562" t="s">
        <v>8839</v>
      </c>
      <c r="B4026" s="563" t="s">
        <v>8840</v>
      </c>
      <c r="C4026" s="564" t="s">
        <v>1612</v>
      </c>
      <c r="D4026" s="565">
        <v>41171</v>
      </c>
      <c r="E4026" s="565">
        <v>41173</v>
      </c>
      <c r="F4026" s="566">
        <v>2140</v>
      </c>
      <c r="G4026" s="564" t="s">
        <v>337</v>
      </c>
      <c r="H4026" s="564" t="s">
        <v>337</v>
      </c>
      <c r="I4026" s="564" t="s">
        <v>121</v>
      </c>
      <c r="J4026" s="564" t="s">
        <v>1069</v>
      </c>
      <c r="K4026" s="564" t="s">
        <v>1105</v>
      </c>
      <c r="L4026" s="564" t="s">
        <v>2098</v>
      </c>
      <c r="M4026" s="564" t="s">
        <v>2098</v>
      </c>
      <c r="N4026" s="564" t="s">
        <v>1073</v>
      </c>
      <c r="O4026" s="564" t="s">
        <v>2099</v>
      </c>
      <c r="P4026" s="23"/>
      <c r="Q4026" s="23"/>
      <c r="R4026" s="23"/>
      <c r="S4026" s="23"/>
      <c r="T4026" s="23"/>
      <c r="U4026" s="23"/>
      <c r="V4026" s="23"/>
      <c r="W4026" s="23"/>
      <c r="X4026" s="23"/>
      <c r="Y4026" s="23"/>
      <c r="Z4026" s="23"/>
    </row>
    <row r="4027" spans="1:26" ht="13">
      <c r="A4027" s="562" t="s">
        <v>8841</v>
      </c>
      <c r="B4027" s="563" t="s">
        <v>8842</v>
      </c>
      <c r="C4027" s="564" t="s">
        <v>1612</v>
      </c>
      <c r="D4027" s="565">
        <v>41165</v>
      </c>
      <c r="E4027" s="565">
        <v>41192</v>
      </c>
      <c r="F4027" s="566">
        <v>25650</v>
      </c>
      <c r="G4027" s="564" t="s">
        <v>1640</v>
      </c>
      <c r="H4027" s="564" t="s">
        <v>1640</v>
      </c>
      <c r="I4027" s="564" t="s">
        <v>257</v>
      </c>
      <c r="J4027" s="564" t="s">
        <v>1069</v>
      </c>
      <c r="K4027" s="564" t="s">
        <v>1209</v>
      </c>
      <c r="L4027" s="564" t="s">
        <v>2098</v>
      </c>
      <c r="M4027" s="564" t="s">
        <v>2098</v>
      </c>
      <c r="N4027" s="564" t="s">
        <v>257</v>
      </c>
      <c r="O4027" s="564" t="s">
        <v>2099</v>
      </c>
      <c r="P4027" s="23"/>
      <c r="Q4027" s="23"/>
      <c r="R4027" s="23"/>
      <c r="S4027" s="23"/>
      <c r="T4027" s="23"/>
      <c r="U4027" s="23"/>
      <c r="V4027" s="23"/>
      <c r="W4027" s="23"/>
      <c r="X4027" s="23"/>
      <c r="Y4027" s="23"/>
      <c r="Z4027" s="23"/>
    </row>
    <row r="4028" spans="1:26" ht="13">
      <c r="A4028" s="562" t="s">
        <v>8843</v>
      </c>
      <c r="B4028" s="563" t="s">
        <v>8844</v>
      </c>
      <c r="C4028" s="564" t="s">
        <v>2191</v>
      </c>
      <c r="D4028" s="565">
        <v>41165</v>
      </c>
      <c r="E4028" s="565">
        <v>41172</v>
      </c>
      <c r="F4028" s="566">
        <v>23800</v>
      </c>
      <c r="G4028" s="564" t="s">
        <v>1856</v>
      </c>
      <c r="H4028" s="564" t="s">
        <v>1856</v>
      </c>
      <c r="I4028" s="564" t="s">
        <v>3621</v>
      </c>
      <c r="J4028" s="564" t="s">
        <v>1069</v>
      </c>
      <c r="K4028" s="564" t="s">
        <v>1070</v>
      </c>
      <c r="L4028" s="564" t="s">
        <v>2098</v>
      </c>
      <c r="M4028" s="564" t="s">
        <v>2098</v>
      </c>
      <c r="N4028" s="564" t="s">
        <v>1082</v>
      </c>
      <c r="O4028" s="564" t="s">
        <v>2099</v>
      </c>
      <c r="P4028" s="23"/>
      <c r="Q4028" s="23"/>
      <c r="R4028" s="23"/>
      <c r="S4028" s="23"/>
      <c r="T4028" s="23"/>
      <c r="U4028" s="23"/>
      <c r="V4028" s="23"/>
      <c r="W4028" s="23"/>
      <c r="X4028" s="23"/>
      <c r="Y4028" s="23"/>
      <c r="Z4028" s="23"/>
    </row>
    <row r="4029" spans="1:26" ht="13">
      <c r="A4029" s="562" t="s">
        <v>8845</v>
      </c>
      <c r="B4029" s="563" t="s">
        <v>8846</v>
      </c>
      <c r="C4029" s="564" t="s">
        <v>1612</v>
      </c>
      <c r="D4029" s="565">
        <v>41166</v>
      </c>
      <c r="E4029" s="565">
        <v>41170</v>
      </c>
      <c r="F4029" s="566">
        <v>7850</v>
      </c>
      <c r="G4029" s="564" t="s">
        <v>337</v>
      </c>
      <c r="H4029" s="564" t="s">
        <v>337</v>
      </c>
      <c r="I4029" s="564" t="s">
        <v>70</v>
      </c>
      <c r="J4029" s="564" t="s">
        <v>1069</v>
      </c>
      <c r="K4029" s="564" t="s">
        <v>1120</v>
      </c>
      <c r="L4029" s="564" t="s">
        <v>2098</v>
      </c>
      <c r="M4029" s="564" t="s">
        <v>2098</v>
      </c>
      <c r="N4029" s="564" t="s">
        <v>70</v>
      </c>
      <c r="O4029" s="564" t="s">
        <v>2099</v>
      </c>
      <c r="P4029" s="23"/>
      <c r="Q4029" s="23"/>
      <c r="R4029" s="23"/>
      <c r="S4029" s="23"/>
      <c r="T4029" s="23"/>
      <c r="U4029" s="23"/>
      <c r="V4029" s="23"/>
      <c r="W4029" s="23"/>
      <c r="X4029" s="23"/>
      <c r="Y4029" s="23"/>
      <c r="Z4029" s="23"/>
    </row>
    <row r="4030" spans="1:26" ht="13">
      <c r="A4030" s="562" t="s">
        <v>8847</v>
      </c>
      <c r="B4030" s="563" t="s">
        <v>8848</v>
      </c>
      <c r="C4030" s="564" t="s">
        <v>1612</v>
      </c>
      <c r="D4030" s="565">
        <v>41164</v>
      </c>
      <c r="E4030" s="565">
        <v>41166</v>
      </c>
      <c r="F4030" s="566">
        <v>1698</v>
      </c>
      <c r="G4030" s="564" t="s">
        <v>337</v>
      </c>
      <c r="H4030" s="564" t="s">
        <v>337</v>
      </c>
      <c r="I4030" s="564" t="s">
        <v>70</v>
      </c>
      <c r="J4030" s="564" t="s">
        <v>1069</v>
      </c>
      <c r="K4030" s="564" t="s">
        <v>1120</v>
      </c>
      <c r="L4030" s="564" t="s">
        <v>2098</v>
      </c>
      <c r="M4030" s="564" t="s">
        <v>2098</v>
      </c>
      <c r="N4030" s="564" t="s">
        <v>70</v>
      </c>
      <c r="O4030" s="564" t="s">
        <v>2099</v>
      </c>
      <c r="P4030" s="23"/>
      <c r="Q4030" s="23"/>
      <c r="R4030" s="23"/>
      <c r="S4030" s="23"/>
      <c r="T4030" s="23"/>
      <c r="U4030" s="23"/>
      <c r="V4030" s="23"/>
      <c r="W4030" s="23"/>
      <c r="X4030" s="23"/>
      <c r="Y4030" s="23"/>
      <c r="Z4030" s="23"/>
    </row>
    <row r="4031" spans="1:26" ht="13">
      <c r="A4031" s="562" t="s">
        <v>8849</v>
      </c>
      <c r="B4031" s="563" t="s">
        <v>8850</v>
      </c>
      <c r="C4031" s="564" t="s">
        <v>1612</v>
      </c>
      <c r="D4031" s="565">
        <v>41162</v>
      </c>
      <c r="E4031" s="565">
        <v>41166</v>
      </c>
      <c r="F4031" s="566">
        <v>10795000</v>
      </c>
      <c r="G4031" s="564" t="s">
        <v>1856</v>
      </c>
      <c r="H4031" s="564" t="s">
        <v>1856</v>
      </c>
      <c r="I4031" s="564" t="s">
        <v>45</v>
      </c>
      <c r="J4031" s="564" t="s">
        <v>1069</v>
      </c>
      <c r="K4031" s="564" t="s">
        <v>1090</v>
      </c>
      <c r="L4031" s="564" t="s">
        <v>2098</v>
      </c>
      <c r="M4031" s="564" t="s">
        <v>2098</v>
      </c>
      <c r="N4031" s="564" t="s">
        <v>45</v>
      </c>
      <c r="O4031" s="564" t="s">
        <v>2099</v>
      </c>
      <c r="P4031" s="23"/>
      <c r="Q4031" s="23"/>
      <c r="R4031" s="23"/>
      <c r="S4031" s="23"/>
      <c r="T4031" s="23"/>
      <c r="U4031" s="23"/>
      <c r="V4031" s="23"/>
      <c r="W4031" s="23"/>
      <c r="X4031" s="23"/>
      <c r="Y4031" s="23"/>
      <c r="Z4031" s="23"/>
    </row>
    <row r="4032" spans="1:26" ht="13">
      <c r="A4032" s="562" t="s">
        <v>8851</v>
      </c>
      <c r="B4032" s="563" t="s">
        <v>8423</v>
      </c>
      <c r="C4032" s="564" t="s">
        <v>1612</v>
      </c>
      <c r="D4032" s="565">
        <v>41158</v>
      </c>
      <c r="E4032" s="565">
        <v>41153</v>
      </c>
      <c r="F4032" s="566">
        <v>237574800</v>
      </c>
      <c r="G4032" s="564" t="s">
        <v>337</v>
      </c>
      <c r="H4032" s="564" t="s">
        <v>337</v>
      </c>
      <c r="I4032" s="564" t="s">
        <v>45</v>
      </c>
      <c r="J4032" s="564" t="s">
        <v>1069</v>
      </c>
      <c r="K4032" s="564" t="s">
        <v>1090</v>
      </c>
      <c r="L4032" s="564" t="s">
        <v>1071</v>
      </c>
      <c r="M4032" s="564" t="s">
        <v>1183</v>
      </c>
      <c r="N4032" s="564" t="s">
        <v>45</v>
      </c>
      <c r="O4032" s="564" t="s">
        <v>2099</v>
      </c>
      <c r="P4032" s="23"/>
      <c r="Q4032" s="23"/>
      <c r="R4032" s="23"/>
      <c r="S4032" s="23"/>
      <c r="T4032" s="23"/>
      <c r="U4032" s="23"/>
      <c r="V4032" s="23"/>
      <c r="W4032" s="23"/>
      <c r="X4032" s="23"/>
      <c r="Y4032" s="23"/>
      <c r="Z4032" s="23"/>
    </row>
    <row r="4033" spans="1:26" ht="13">
      <c r="A4033" s="562" t="s">
        <v>8852</v>
      </c>
      <c r="B4033" s="563" t="s">
        <v>8487</v>
      </c>
      <c r="C4033" s="564" t="s">
        <v>1612</v>
      </c>
      <c r="D4033" s="565">
        <v>41158</v>
      </c>
      <c r="E4033" s="565">
        <v>41159</v>
      </c>
      <c r="F4033" s="566">
        <v>2205</v>
      </c>
      <c r="G4033" s="564" t="s">
        <v>337</v>
      </c>
      <c r="H4033" s="564" t="s">
        <v>337</v>
      </c>
      <c r="I4033" s="564" t="s">
        <v>70</v>
      </c>
      <c r="J4033" s="564" t="s">
        <v>1069</v>
      </c>
      <c r="K4033" s="564" t="s">
        <v>1120</v>
      </c>
      <c r="L4033" s="564" t="s">
        <v>2098</v>
      </c>
      <c r="M4033" s="564" t="s">
        <v>2098</v>
      </c>
      <c r="N4033" s="564" t="s">
        <v>70</v>
      </c>
      <c r="O4033" s="564" t="s">
        <v>2099</v>
      </c>
      <c r="P4033" s="23"/>
      <c r="Q4033" s="23"/>
      <c r="R4033" s="23"/>
      <c r="S4033" s="23"/>
      <c r="T4033" s="23"/>
      <c r="U4033" s="23"/>
      <c r="V4033" s="23"/>
      <c r="W4033" s="23"/>
      <c r="X4033" s="23"/>
      <c r="Y4033" s="23"/>
      <c r="Z4033" s="23"/>
    </row>
    <row r="4034" spans="1:26" ht="13">
      <c r="A4034" s="562" t="s">
        <v>8853</v>
      </c>
      <c r="B4034" s="563" t="s">
        <v>8854</v>
      </c>
      <c r="C4034" s="564" t="s">
        <v>1612</v>
      </c>
      <c r="D4034" s="565">
        <v>41158</v>
      </c>
      <c r="E4034" s="565">
        <v>41166</v>
      </c>
      <c r="F4034" s="566">
        <v>121021</v>
      </c>
      <c r="G4034" s="564" t="s">
        <v>337</v>
      </c>
      <c r="H4034" s="564" t="s">
        <v>337</v>
      </c>
      <c r="I4034" s="564" t="s">
        <v>8539</v>
      </c>
      <c r="J4034" s="564" t="s">
        <v>1069</v>
      </c>
      <c r="K4034" s="564" t="s">
        <v>1070</v>
      </c>
      <c r="L4034" s="564" t="s">
        <v>2098</v>
      </c>
      <c r="M4034" s="564" t="s">
        <v>2098</v>
      </c>
      <c r="N4034" s="564" t="s">
        <v>1073</v>
      </c>
      <c r="O4034" s="564" t="s">
        <v>2099</v>
      </c>
      <c r="P4034" s="23"/>
      <c r="Q4034" s="23"/>
      <c r="R4034" s="23"/>
      <c r="S4034" s="23"/>
      <c r="T4034" s="23"/>
      <c r="U4034" s="23"/>
      <c r="V4034" s="23"/>
      <c r="W4034" s="23"/>
      <c r="X4034" s="23"/>
      <c r="Y4034" s="23"/>
      <c r="Z4034" s="23"/>
    </row>
    <row r="4035" spans="1:26" ht="13">
      <c r="A4035" s="562" t="s">
        <v>8855</v>
      </c>
      <c r="B4035" s="563" t="s">
        <v>8856</v>
      </c>
      <c r="C4035" s="564" t="s">
        <v>1612</v>
      </c>
      <c r="D4035" s="565">
        <v>41158</v>
      </c>
      <c r="E4035" s="565">
        <v>41164</v>
      </c>
      <c r="F4035" s="566">
        <v>6490</v>
      </c>
      <c r="G4035" s="564" t="s">
        <v>337</v>
      </c>
      <c r="H4035" s="564" t="s">
        <v>337</v>
      </c>
      <c r="I4035" s="564" t="s">
        <v>64</v>
      </c>
      <c r="J4035" s="564" t="s">
        <v>1069</v>
      </c>
      <c r="K4035" s="564" t="s">
        <v>1090</v>
      </c>
      <c r="L4035" s="564" t="s">
        <v>2098</v>
      </c>
      <c r="M4035" s="564" t="s">
        <v>2098</v>
      </c>
      <c r="N4035" s="564" t="s">
        <v>64</v>
      </c>
      <c r="O4035" s="564" t="s">
        <v>2099</v>
      </c>
      <c r="P4035" s="23"/>
      <c r="Q4035" s="23"/>
      <c r="R4035" s="23"/>
      <c r="S4035" s="23"/>
      <c r="T4035" s="23"/>
      <c r="U4035" s="23"/>
      <c r="V4035" s="23"/>
      <c r="W4035" s="23"/>
      <c r="X4035" s="23"/>
      <c r="Y4035" s="23"/>
      <c r="Z4035" s="23"/>
    </row>
    <row r="4036" spans="1:26" ht="13">
      <c r="A4036" s="562" t="s">
        <v>8857</v>
      </c>
      <c r="B4036" s="563" t="s">
        <v>8858</v>
      </c>
      <c r="C4036" s="564" t="s">
        <v>1612</v>
      </c>
      <c r="D4036" s="565">
        <v>41157</v>
      </c>
      <c r="E4036" s="565">
        <v>41173</v>
      </c>
      <c r="F4036" s="567">
        <v>215</v>
      </c>
      <c r="G4036" s="564" t="s">
        <v>337</v>
      </c>
      <c r="H4036" s="564" t="s">
        <v>337</v>
      </c>
      <c r="I4036" s="564" t="s">
        <v>802</v>
      </c>
      <c r="J4036" s="564" t="s">
        <v>1069</v>
      </c>
      <c r="K4036" s="564" t="s">
        <v>1198</v>
      </c>
      <c r="L4036" s="564" t="s">
        <v>2098</v>
      </c>
      <c r="M4036" s="564" t="s">
        <v>2098</v>
      </c>
      <c r="N4036" s="564" t="s">
        <v>132</v>
      </c>
      <c r="O4036" s="564" t="s">
        <v>2099</v>
      </c>
      <c r="P4036" s="23"/>
      <c r="Q4036" s="23"/>
      <c r="R4036" s="23"/>
      <c r="S4036" s="23"/>
      <c r="T4036" s="23"/>
      <c r="U4036" s="23"/>
      <c r="V4036" s="23"/>
      <c r="W4036" s="23"/>
      <c r="X4036" s="23"/>
      <c r="Y4036" s="23"/>
      <c r="Z4036" s="23"/>
    </row>
    <row r="4037" spans="1:26" ht="13">
      <c r="A4037" s="562" t="s">
        <v>8859</v>
      </c>
      <c r="B4037" s="563" t="s">
        <v>8860</v>
      </c>
      <c r="C4037" s="564" t="s">
        <v>1612</v>
      </c>
      <c r="D4037" s="565">
        <v>41151</v>
      </c>
      <c r="E4037" s="565">
        <v>41152</v>
      </c>
      <c r="F4037" s="567">
        <v>938</v>
      </c>
      <c r="G4037" s="564" t="s">
        <v>337</v>
      </c>
      <c r="H4037" s="564" t="s">
        <v>337</v>
      </c>
      <c r="I4037" s="564" t="s">
        <v>64</v>
      </c>
      <c r="J4037" s="564" t="s">
        <v>1069</v>
      </c>
      <c r="K4037" s="564" t="s">
        <v>1090</v>
      </c>
      <c r="L4037" s="564" t="s">
        <v>2098</v>
      </c>
      <c r="M4037" s="564" t="s">
        <v>2098</v>
      </c>
      <c r="N4037" s="564" t="s">
        <v>64</v>
      </c>
      <c r="O4037" s="564" t="s">
        <v>2099</v>
      </c>
      <c r="P4037" s="23"/>
      <c r="Q4037" s="23"/>
      <c r="R4037" s="23"/>
      <c r="S4037" s="23"/>
      <c r="T4037" s="23"/>
      <c r="U4037" s="23"/>
      <c r="V4037" s="23"/>
      <c r="W4037" s="23"/>
      <c r="X4037" s="23"/>
      <c r="Y4037" s="23"/>
      <c r="Z4037" s="23"/>
    </row>
    <row r="4038" spans="1:26" ht="13">
      <c r="A4038" s="562" t="s">
        <v>8861</v>
      </c>
      <c r="B4038" s="563" t="s">
        <v>8862</v>
      </c>
      <c r="C4038" s="564" t="s">
        <v>1612</v>
      </c>
      <c r="D4038" s="565">
        <v>41148</v>
      </c>
      <c r="E4038" s="565">
        <v>41152</v>
      </c>
      <c r="F4038" s="566">
        <v>222960000</v>
      </c>
      <c r="G4038" s="564" t="s">
        <v>1856</v>
      </c>
      <c r="H4038" s="564" t="s">
        <v>1856</v>
      </c>
      <c r="I4038" s="564" t="s">
        <v>45</v>
      </c>
      <c r="J4038" s="564" t="s">
        <v>1069</v>
      </c>
      <c r="K4038" s="564" t="s">
        <v>1090</v>
      </c>
      <c r="L4038" s="564" t="s">
        <v>2098</v>
      </c>
      <c r="M4038" s="564" t="s">
        <v>2098</v>
      </c>
      <c r="N4038" s="564" t="s">
        <v>45</v>
      </c>
      <c r="O4038" s="564" t="s">
        <v>2099</v>
      </c>
      <c r="P4038" s="23"/>
      <c r="Q4038" s="23"/>
      <c r="R4038" s="23"/>
      <c r="S4038" s="23"/>
      <c r="T4038" s="23"/>
      <c r="U4038" s="23"/>
      <c r="V4038" s="23"/>
      <c r="W4038" s="23"/>
      <c r="X4038" s="23"/>
      <c r="Y4038" s="23"/>
      <c r="Z4038" s="23"/>
    </row>
    <row r="4039" spans="1:26" ht="13">
      <c r="A4039" s="562" t="s">
        <v>8863</v>
      </c>
      <c r="B4039" s="563" t="s">
        <v>8864</v>
      </c>
      <c r="C4039" s="564" t="s">
        <v>2191</v>
      </c>
      <c r="D4039" s="565">
        <v>41145</v>
      </c>
      <c r="E4039" s="565">
        <v>41152</v>
      </c>
      <c r="F4039" s="566">
        <v>76910</v>
      </c>
      <c r="G4039" s="564" t="s">
        <v>1636</v>
      </c>
      <c r="H4039" s="564" t="s">
        <v>1636</v>
      </c>
      <c r="I4039" s="564" t="s">
        <v>6222</v>
      </c>
      <c r="J4039" s="564" t="s">
        <v>1069</v>
      </c>
      <c r="K4039" s="564" t="s">
        <v>1070</v>
      </c>
      <c r="L4039" s="564" t="s">
        <v>2098</v>
      </c>
      <c r="M4039" s="564" t="s">
        <v>2098</v>
      </c>
      <c r="N4039" s="564" t="s">
        <v>1082</v>
      </c>
      <c r="O4039" s="564" t="s">
        <v>2099</v>
      </c>
      <c r="P4039" s="23"/>
      <c r="Q4039" s="23"/>
      <c r="R4039" s="23"/>
      <c r="S4039" s="23"/>
      <c r="T4039" s="23"/>
      <c r="U4039" s="23"/>
      <c r="V4039" s="23"/>
      <c r="W4039" s="23"/>
      <c r="X4039" s="23"/>
      <c r="Y4039" s="23"/>
      <c r="Z4039" s="23"/>
    </row>
    <row r="4040" spans="1:26" ht="13">
      <c r="A4040" s="562" t="s">
        <v>8865</v>
      </c>
      <c r="B4040" s="563" t="s">
        <v>8866</v>
      </c>
      <c r="C4040" s="564" t="s">
        <v>1612</v>
      </c>
      <c r="D4040" s="565">
        <v>41144</v>
      </c>
      <c r="E4040" s="565">
        <v>41152</v>
      </c>
      <c r="F4040" s="566">
        <v>4190</v>
      </c>
      <c r="G4040" s="564" t="s">
        <v>337</v>
      </c>
      <c r="H4040" s="564" t="s">
        <v>337</v>
      </c>
      <c r="I4040" s="564" t="s">
        <v>121</v>
      </c>
      <c r="J4040" s="564" t="s">
        <v>1069</v>
      </c>
      <c r="K4040" s="564" t="s">
        <v>1105</v>
      </c>
      <c r="L4040" s="564" t="s">
        <v>2098</v>
      </c>
      <c r="M4040" s="564" t="s">
        <v>2098</v>
      </c>
      <c r="N4040" s="564" t="s">
        <v>1073</v>
      </c>
      <c r="O4040" s="564" t="s">
        <v>2099</v>
      </c>
      <c r="P4040" s="23"/>
      <c r="Q4040" s="23"/>
      <c r="R4040" s="23"/>
      <c r="S4040" s="23"/>
      <c r="T4040" s="23"/>
      <c r="U4040" s="23"/>
      <c r="V4040" s="23"/>
      <c r="W4040" s="23"/>
      <c r="X4040" s="23"/>
      <c r="Y4040" s="23"/>
      <c r="Z4040" s="23"/>
    </row>
    <row r="4041" spans="1:26" ht="13">
      <c r="A4041" s="562" t="s">
        <v>8867</v>
      </c>
      <c r="B4041" s="563" t="s">
        <v>8868</v>
      </c>
      <c r="C4041" s="564" t="s">
        <v>1873</v>
      </c>
      <c r="D4041" s="565">
        <v>41144</v>
      </c>
      <c r="E4041" s="565">
        <v>41152</v>
      </c>
      <c r="F4041" s="566">
        <v>1800</v>
      </c>
      <c r="G4041" s="564" t="s">
        <v>337</v>
      </c>
      <c r="H4041" s="564" t="s">
        <v>337</v>
      </c>
      <c r="I4041" s="564" t="s">
        <v>170</v>
      </c>
      <c r="J4041" s="564" t="s">
        <v>1069</v>
      </c>
      <c r="K4041" s="564" t="s">
        <v>1105</v>
      </c>
      <c r="L4041" s="564" t="s">
        <v>2098</v>
      </c>
      <c r="M4041" s="564" t="s">
        <v>2098</v>
      </c>
      <c r="N4041" s="564" t="s">
        <v>170</v>
      </c>
      <c r="O4041" s="564" t="s">
        <v>2099</v>
      </c>
      <c r="P4041" s="23"/>
      <c r="Q4041" s="23"/>
      <c r="R4041" s="23"/>
      <c r="S4041" s="23"/>
      <c r="T4041" s="23"/>
      <c r="U4041" s="23"/>
      <c r="V4041" s="23"/>
      <c r="W4041" s="23"/>
      <c r="X4041" s="23"/>
      <c r="Y4041" s="23"/>
      <c r="Z4041" s="23"/>
    </row>
    <row r="4042" spans="1:26" ht="13">
      <c r="A4042" s="562" t="s">
        <v>8869</v>
      </c>
      <c r="B4042" s="563" t="s">
        <v>8870</v>
      </c>
      <c r="C4042" s="564" t="s">
        <v>1612</v>
      </c>
      <c r="D4042" s="565">
        <v>41144</v>
      </c>
      <c r="E4042" s="565">
        <v>41152</v>
      </c>
      <c r="F4042" s="566">
        <v>98060</v>
      </c>
      <c r="G4042" s="564" t="s">
        <v>297</v>
      </c>
      <c r="H4042" s="564" t="s">
        <v>297</v>
      </c>
      <c r="I4042" s="564" t="s">
        <v>45</v>
      </c>
      <c r="J4042" s="564" t="s">
        <v>1069</v>
      </c>
      <c r="K4042" s="564" t="s">
        <v>1090</v>
      </c>
      <c r="L4042" s="564" t="s">
        <v>2098</v>
      </c>
      <c r="M4042" s="564" t="s">
        <v>2098</v>
      </c>
      <c r="N4042" s="564" t="s">
        <v>45</v>
      </c>
      <c r="O4042" s="564" t="s">
        <v>2099</v>
      </c>
      <c r="P4042" s="23"/>
      <c r="Q4042" s="23"/>
      <c r="R4042" s="23"/>
      <c r="S4042" s="23"/>
      <c r="T4042" s="23"/>
      <c r="U4042" s="23"/>
      <c r="V4042" s="23"/>
      <c r="W4042" s="23"/>
      <c r="X4042" s="23"/>
      <c r="Y4042" s="23"/>
      <c r="Z4042" s="23"/>
    </row>
    <row r="4043" spans="1:26" ht="13">
      <c r="A4043" s="562" t="s">
        <v>8871</v>
      </c>
      <c r="B4043" s="563" t="s">
        <v>8464</v>
      </c>
      <c r="C4043" s="564" t="s">
        <v>1612</v>
      </c>
      <c r="D4043" s="565">
        <v>41136</v>
      </c>
      <c r="E4043" s="565">
        <v>41138</v>
      </c>
      <c r="F4043" s="566">
        <v>44149</v>
      </c>
      <c r="G4043" s="564" t="s">
        <v>337</v>
      </c>
      <c r="H4043" s="564" t="s">
        <v>337</v>
      </c>
      <c r="I4043" s="564" t="s">
        <v>1837</v>
      </c>
      <c r="J4043" s="564" t="s">
        <v>1069</v>
      </c>
      <c r="K4043" s="564" t="s">
        <v>1090</v>
      </c>
      <c r="L4043" s="564" t="s">
        <v>2098</v>
      </c>
      <c r="M4043" s="564" t="s">
        <v>2098</v>
      </c>
      <c r="N4043" s="564" t="s">
        <v>1082</v>
      </c>
      <c r="O4043" s="564" t="s">
        <v>2099</v>
      </c>
      <c r="P4043" s="23"/>
      <c r="Q4043" s="23"/>
      <c r="R4043" s="23"/>
      <c r="S4043" s="23"/>
      <c r="T4043" s="23"/>
      <c r="U4043" s="23"/>
      <c r="V4043" s="23"/>
      <c r="W4043" s="23"/>
      <c r="X4043" s="23"/>
      <c r="Y4043" s="23"/>
      <c r="Z4043" s="23"/>
    </row>
    <row r="4044" spans="1:26" ht="13">
      <c r="A4044" s="562" t="s">
        <v>8872</v>
      </c>
      <c r="B4044" s="563" t="s">
        <v>8510</v>
      </c>
      <c r="C4044" s="564" t="s">
        <v>1612</v>
      </c>
      <c r="D4044" s="565">
        <v>41134</v>
      </c>
      <c r="E4044" s="565">
        <v>41137</v>
      </c>
      <c r="F4044" s="567">
        <v>735</v>
      </c>
      <c r="G4044" s="564" t="s">
        <v>337</v>
      </c>
      <c r="H4044" s="564" t="s">
        <v>337</v>
      </c>
      <c r="I4044" s="564" t="s">
        <v>70</v>
      </c>
      <c r="J4044" s="564" t="s">
        <v>1069</v>
      </c>
      <c r="K4044" s="564" t="s">
        <v>1120</v>
      </c>
      <c r="L4044" s="564" t="s">
        <v>2098</v>
      </c>
      <c r="M4044" s="564" t="s">
        <v>2098</v>
      </c>
      <c r="N4044" s="564" t="s">
        <v>70</v>
      </c>
      <c r="O4044" s="564" t="s">
        <v>2099</v>
      </c>
      <c r="P4044" s="23"/>
      <c r="Q4044" s="23"/>
      <c r="R4044" s="23"/>
      <c r="S4044" s="23"/>
      <c r="T4044" s="23"/>
      <c r="U4044" s="23"/>
      <c r="V4044" s="23"/>
      <c r="W4044" s="23"/>
      <c r="X4044" s="23"/>
      <c r="Y4044" s="23"/>
      <c r="Z4044" s="23"/>
    </row>
    <row r="4045" spans="1:26" ht="13">
      <c r="A4045" s="562" t="s">
        <v>8873</v>
      </c>
      <c r="B4045" s="563" t="s">
        <v>8874</v>
      </c>
      <c r="C4045" s="564" t="s">
        <v>1612</v>
      </c>
      <c r="D4045" s="565">
        <v>41134</v>
      </c>
      <c r="E4045" s="565">
        <v>41138</v>
      </c>
      <c r="F4045" s="566">
        <v>6177</v>
      </c>
      <c r="G4045" s="564" t="s">
        <v>337</v>
      </c>
      <c r="H4045" s="564" t="s">
        <v>337</v>
      </c>
      <c r="I4045" s="564" t="s">
        <v>64</v>
      </c>
      <c r="J4045" s="564" t="s">
        <v>1069</v>
      </c>
      <c r="K4045" s="564" t="s">
        <v>1090</v>
      </c>
      <c r="L4045" s="564" t="s">
        <v>2098</v>
      </c>
      <c r="M4045" s="564" t="s">
        <v>2098</v>
      </c>
      <c r="N4045" s="564" t="s">
        <v>64</v>
      </c>
      <c r="O4045" s="564" t="s">
        <v>2099</v>
      </c>
      <c r="P4045" s="23"/>
      <c r="Q4045" s="23"/>
      <c r="R4045" s="23"/>
      <c r="S4045" s="23"/>
      <c r="T4045" s="23"/>
      <c r="U4045" s="23"/>
      <c r="V4045" s="23"/>
      <c r="W4045" s="23"/>
      <c r="X4045" s="23"/>
      <c r="Y4045" s="23"/>
      <c r="Z4045" s="23"/>
    </row>
    <row r="4046" spans="1:26" ht="13">
      <c r="A4046" s="562" t="s">
        <v>8875</v>
      </c>
      <c r="B4046" s="563" t="s">
        <v>8876</v>
      </c>
      <c r="C4046" s="564" t="s">
        <v>2191</v>
      </c>
      <c r="D4046" s="565">
        <v>41121</v>
      </c>
      <c r="E4046" s="565">
        <v>41180</v>
      </c>
      <c r="F4046" s="566">
        <v>162000</v>
      </c>
      <c r="G4046" s="564" t="s">
        <v>7944</v>
      </c>
      <c r="H4046" s="564" t="s">
        <v>7944</v>
      </c>
      <c r="I4046" s="564" t="s">
        <v>8877</v>
      </c>
      <c r="J4046" s="564" t="s">
        <v>1069</v>
      </c>
      <c r="K4046" s="564" t="s">
        <v>1070</v>
      </c>
      <c r="L4046" s="564" t="s">
        <v>2098</v>
      </c>
      <c r="M4046" s="564" t="s">
        <v>2098</v>
      </c>
      <c r="N4046" s="564" t="s">
        <v>1082</v>
      </c>
      <c r="O4046" s="564" t="s">
        <v>2099</v>
      </c>
      <c r="P4046" s="23"/>
      <c r="Q4046" s="23"/>
      <c r="R4046" s="23"/>
      <c r="S4046" s="23"/>
      <c r="T4046" s="23"/>
      <c r="U4046" s="23"/>
      <c r="V4046" s="23"/>
      <c r="W4046" s="23"/>
      <c r="X4046" s="23"/>
      <c r="Y4046" s="23"/>
      <c r="Z4046" s="23"/>
    </row>
    <row r="4047" spans="1:26" ht="13">
      <c r="A4047" s="562" t="s">
        <v>8878</v>
      </c>
      <c r="B4047" s="563" t="s">
        <v>8879</v>
      </c>
      <c r="C4047" s="564" t="s">
        <v>1612</v>
      </c>
      <c r="D4047" s="565">
        <v>41116</v>
      </c>
      <c r="E4047" s="565">
        <v>41138</v>
      </c>
      <c r="F4047" s="566">
        <v>202980</v>
      </c>
      <c r="G4047" s="564" t="s">
        <v>337</v>
      </c>
      <c r="H4047" s="564" t="s">
        <v>337</v>
      </c>
      <c r="I4047" s="564" t="s">
        <v>1837</v>
      </c>
      <c r="J4047" s="564" t="s">
        <v>1069</v>
      </c>
      <c r="K4047" s="564" t="s">
        <v>1090</v>
      </c>
      <c r="L4047" s="564" t="s">
        <v>2098</v>
      </c>
      <c r="M4047" s="564" t="s">
        <v>2098</v>
      </c>
      <c r="N4047" s="564" t="s">
        <v>1082</v>
      </c>
      <c r="O4047" s="564" t="s">
        <v>2099</v>
      </c>
      <c r="P4047" s="23"/>
      <c r="Q4047" s="23"/>
      <c r="R4047" s="23"/>
      <c r="S4047" s="23"/>
      <c r="T4047" s="23"/>
      <c r="U4047" s="23"/>
      <c r="V4047" s="23"/>
      <c r="W4047" s="23"/>
      <c r="X4047" s="23"/>
      <c r="Y4047" s="23"/>
      <c r="Z4047" s="23"/>
    </row>
    <row r="4048" spans="1:26" ht="13">
      <c r="A4048" s="562" t="s">
        <v>8880</v>
      </c>
      <c r="B4048" s="563" t="s">
        <v>8881</v>
      </c>
      <c r="C4048" s="564" t="s">
        <v>1612</v>
      </c>
      <c r="D4048" s="565">
        <v>41117</v>
      </c>
      <c r="E4048" s="565">
        <v>41124</v>
      </c>
      <c r="F4048" s="566">
        <v>27250000</v>
      </c>
      <c r="G4048" s="564" t="s">
        <v>337</v>
      </c>
      <c r="H4048" s="564" t="s">
        <v>337</v>
      </c>
      <c r="I4048" s="564" t="s">
        <v>2041</v>
      </c>
      <c r="J4048" s="564" t="s">
        <v>1069</v>
      </c>
      <c r="K4048" s="564" t="s">
        <v>1105</v>
      </c>
      <c r="L4048" s="564" t="s">
        <v>2098</v>
      </c>
      <c r="M4048" s="564" t="s">
        <v>2098</v>
      </c>
      <c r="N4048" s="564" t="s">
        <v>1073</v>
      </c>
      <c r="O4048" s="564" t="s">
        <v>2099</v>
      </c>
      <c r="P4048" s="23"/>
      <c r="Q4048" s="23"/>
      <c r="R4048" s="23"/>
      <c r="S4048" s="23"/>
      <c r="T4048" s="23"/>
      <c r="U4048" s="23"/>
      <c r="V4048" s="23"/>
      <c r="W4048" s="23"/>
      <c r="X4048" s="23"/>
      <c r="Y4048" s="23"/>
      <c r="Z4048" s="23"/>
    </row>
    <row r="4049" spans="1:26" ht="13">
      <c r="A4049" s="562" t="s">
        <v>8882</v>
      </c>
      <c r="B4049" s="563" t="s">
        <v>8883</v>
      </c>
      <c r="C4049" s="564" t="s">
        <v>1612</v>
      </c>
      <c r="D4049" s="565">
        <v>41116</v>
      </c>
      <c r="E4049" s="565">
        <v>41138</v>
      </c>
      <c r="F4049" s="567">
        <v>620</v>
      </c>
      <c r="G4049" s="564" t="s">
        <v>337</v>
      </c>
      <c r="H4049" s="564" t="s">
        <v>337</v>
      </c>
      <c r="I4049" s="564" t="s">
        <v>64</v>
      </c>
      <c r="J4049" s="564" t="s">
        <v>1069</v>
      </c>
      <c r="K4049" s="564" t="s">
        <v>1090</v>
      </c>
      <c r="L4049" s="564" t="s">
        <v>2098</v>
      </c>
      <c r="M4049" s="564" t="s">
        <v>2098</v>
      </c>
      <c r="N4049" s="564" t="s">
        <v>64</v>
      </c>
      <c r="O4049" s="564" t="s">
        <v>2099</v>
      </c>
      <c r="P4049" s="23"/>
      <c r="Q4049" s="23"/>
      <c r="R4049" s="23"/>
      <c r="S4049" s="23"/>
      <c r="T4049" s="23"/>
      <c r="U4049" s="23"/>
      <c r="V4049" s="23"/>
      <c r="W4049" s="23"/>
      <c r="X4049" s="23"/>
      <c r="Y4049" s="23"/>
      <c r="Z4049" s="23"/>
    </row>
    <row r="4050" spans="1:26" ht="13">
      <c r="A4050" s="562" t="s">
        <v>8884</v>
      </c>
      <c r="B4050" s="563" t="s">
        <v>8885</v>
      </c>
      <c r="C4050" s="564" t="s">
        <v>1612</v>
      </c>
      <c r="D4050" s="565">
        <v>41113</v>
      </c>
      <c r="E4050" s="565">
        <v>41124</v>
      </c>
      <c r="F4050" s="566">
        <v>23000000</v>
      </c>
      <c r="G4050" s="564" t="s">
        <v>1856</v>
      </c>
      <c r="H4050" s="564" t="s">
        <v>1856</v>
      </c>
      <c r="I4050" s="564" t="s">
        <v>45</v>
      </c>
      <c r="J4050" s="564" t="s">
        <v>1069</v>
      </c>
      <c r="K4050" s="564" t="s">
        <v>1090</v>
      </c>
      <c r="L4050" s="564" t="s">
        <v>2098</v>
      </c>
      <c r="M4050" s="564" t="s">
        <v>2098</v>
      </c>
      <c r="N4050" s="564" t="s">
        <v>45</v>
      </c>
      <c r="O4050" s="564" t="s">
        <v>2099</v>
      </c>
      <c r="P4050" s="23"/>
      <c r="Q4050" s="23"/>
      <c r="R4050" s="23"/>
      <c r="S4050" s="23"/>
      <c r="T4050" s="23"/>
      <c r="U4050" s="23"/>
      <c r="V4050" s="23"/>
      <c r="W4050" s="23"/>
      <c r="X4050" s="23"/>
      <c r="Y4050" s="23"/>
      <c r="Z4050" s="23"/>
    </row>
    <row r="4051" spans="1:26" ht="13">
      <c r="A4051" s="562" t="s">
        <v>8886</v>
      </c>
      <c r="B4051" s="563" t="s">
        <v>8817</v>
      </c>
      <c r="C4051" s="564" t="s">
        <v>1612</v>
      </c>
      <c r="D4051" s="565">
        <v>41110</v>
      </c>
      <c r="E4051" s="565">
        <v>41124</v>
      </c>
      <c r="F4051" s="566">
        <v>9500000</v>
      </c>
      <c r="G4051" s="564" t="s">
        <v>1640</v>
      </c>
      <c r="H4051" s="564" t="s">
        <v>1640</v>
      </c>
      <c r="I4051" s="564" t="s">
        <v>45</v>
      </c>
      <c r="J4051" s="564" t="s">
        <v>1069</v>
      </c>
      <c r="K4051" s="564" t="s">
        <v>1090</v>
      </c>
      <c r="L4051" s="564" t="s">
        <v>2098</v>
      </c>
      <c r="M4051" s="564" t="s">
        <v>2098</v>
      </c>
      <c r="N4051" s="564" t="s">
        <v>45</v>
      </c>
      <c r="O4051" s="564" t="s">
        <v>2099</v>
      </c>
      <c r="P4051" s="23"/>
      <c r="Q4051" s="23"/>
      <c r="R4051" s="23"/>
      <c r="S4051" s="23"/>
      <c r="T4051" s="23"/>
      <c r="U4051" s="23"/>
      <c r="V4051" s="23"/>
      <c r="W4051" s="23"/>
      <c r="X4051" s="23"/>
      <c r="Y4051" s="23"/>
      <c r="Z4051" s="23"/>
    </row>
    <row r="4052" spans="1:26" ht="13">
      <c r="A4052" s="562" t="s">
        <v>8887</v>
      </c>
      <c r="B4052" s="563" t="s">
        <v>8888</v>
      </c>
      <c r="C4052" s="564" t="s">
        <v>2191</v>
      </c>
      <c r="D4052" s="565">
        <v>41106</v>
      </c>
      <c r="E4052" s="565">
        <v>41109</v>
      </c>
      <c r="F4052" s="566">
        <v>72570</v>
      </c>
      <c r="G4052" s="564" t="s">
        <v>1636</v>
      </c>
      <c r="H4052" s="564" t="s">
        <v>1636</v>
      </c>
      <c r="I4052" s="564" t="s">
        <v>6222</v>
      </c>
      <c r="J4052" s="564" t="s">
        <v>1069</v>
      </c>
      <c r="K4052" s="564" t="s">
        <v>1198</v>
      </c>
      <c r="L4052" s="564" t="s">
        <v>2098</v>
      </c>
      <c r="M4052" s="564" t="s">
        <v>2098</v>
      </c>
      <c r="N4052" s="564" t="s">
        <v>1082</v>
      </c>
      <c r="O4052" s="564" t="s">
        <v>2099</v>
      </c>
      <c r="P4052" s="23"/>
      <c r="Q4052" s="23"/>
      <c r="R4052" s="23"/>
      <c r="S4052" s="23"/>
      <c r="T4052" s="23"/>
      <c r="U4052" s="23"/>
      <c r="V4052" s="23"/>
      <c r="W4052" s="23"/>
      <c r="X4052" s="23"/>
      <c r="Y4052" s="23"/>
      <c r="Z4052" s="23"/>
    </row>
    <row r="4053" spans="1:26" ht="13">
      <c r="A4053" s="562" t="s">
        <v>8889</v>
      </c>
      <c r="B4053" s="563" t="s">
        <v>8890</v>
      </c>
      <c r="C4053" s="564" t="s">
        <v>1612</v>
      </c>
      <c r="D4053" s="565">
        <v>41106</v>
      </c>
      <c r="E4053" s="565">
        <v>41109</v>
      </c>
      <c r="F4053" s="566">
        <v>2695</v>
      </c>
      <c r="G4053" s="564" t="s">
        <v>337</v>
      </c>
      <c r="H4053" s="564" t="s">
        <v>337</v>
      </c>
      <c r="I4053" s="564" t="s">
        <v>70</v>
      </c>
      <c r="J4053" s="564" t="s">
        <v>1069</v>
      </c>
      <c r="K4053" s="564" t="s">
        <v>1120</v>
      </c>
      <c r="L4053" s="564" t="s">
        <v>2098</v>
      </c>
      <c r="M4053" s="564" t="s">
        <v>2098</v>
      </c>
      <c r="N4053" s="564" t="s">
        <v>70</v>
      </c>
      <c r="O4053" s="564" t="s">
        <v>2099</v>
      </c>
      <c r="P4053" s="23"/>
      <c r="Q4053" s="23"/>
      <c r="R4053" s="23"/>
      <c r="S4053" s="23"/>
      <c r="T4053" s="23"/>
      <c r="U4053" s="23"/>
      <c r="V4053" s="23"/>
      <c r="W4053" s="23"/>
      <c r="X4053" s="23"/>
      <c r="Y4053" s="23"/>
      <c r="Z4053" s="23"/>
    </row>
    <row r="4054" spans="1:26" ht="13">
      <c r="A4054" s="562" t="s">
        <v>8891</v>
      </c>
      <c r="B4054" s="563" t="s">
        <v>8892</v>
      </c>
      <c r="C4054" s="564" t="s">
        <v>1612</v>
      </c>
      <c r="D4054" s="565">
        <v>41103</v>
      </c>
      <c r="E4054" s="565">
        <v>41110</v>
      </c>
      <c r="F4054" s="566">
        <v>10360</v>
      </c>
      <c r="G4054" s="564" t="s">
        <v>337</v>
      </c>
      <c r="H4054" s="564" t="s">
        <v>337</v>
      </c>
      <c r="I4054" s="564" t="s">
        <v>802</v>
      </c>
      <c r="J4054" s="564" t="s">
        <v>1069</v>
      </c>
      <c r="K4054" s="564" t="s">
        <v>1198</v>
      </c>
      <c r="L4054" s="564" t="s">
        <v>2098</v>
      </c>
      <c r="M4054" s="564" t="s">
        <v>2098</v>
      </c>
      <c r="N4054" s="564" t="s">
        <v>132</v>
      </c>
      <c r="O4054" s="564" t="s">
        <v>2099</v>
      </c>
      <c r="P4054" s="23"/>
      <c r="Q4054" s="23"/>
      <c r="R4054" s="23"/>
      <c r="S4054" s="23"/>
      <c r="T4054" s="23"/>
      <c r="U4054" s="23"/>
      <c r="V4054" s="23"/>
      <c r="W4054" s="23"/>
      <c r="X4054" s="23"/>
      <c r="Y4054" s="23"/>
      <c r="Z4054" s="23"/>
    </row>
    <row r="4055" spans="1:26" ht="13">
      <c r="A4055" s="562" t="s">
        <v>8893</v>
      </c>
      <c r="B4055" s="563" t="s">
        <v>8894</v>
      </c>
      <c r="C4055" s="564" t="s">
        <v>1612</v>
      </c>
      <c r="D4055" s="565">
        <v>41099</v>
      </c>
      <c r="E4055" s="565">
        <v>41103</v>
      </c>
      <c r="F4055" s="567">
        <v>380</v>
      </c>
      <c r="G4055" s="564" t="s">
        <v>337</v>
      </c>
      <c r="H4055" s="564" t="s">
        <v>337</v>
      </c>
      <c r="I4055" s="564" t="s">
        <v>45</v>
      </c>
      <c r="J4055" s="564" t="s">
        <v>1069</v>
      </c>
      <c r="K4055" s="564" t="s">
        <v>1090</v>
      </c>
      <c r="L4055" s="564" t="s">
        <v>2098</v>
      </c>
      <c r="M4055" s="564" t="s">
        <v>2098</v>
      </c>
      <c r="N4055" s="564" t="s">
        <v>45</v>
      </c>
      <c r="O4055" s="564" t="s">
        <v>2099</v>
      </c>
      <c r="P4055" s="23"/>
      <c r="Q4055" s="23"/>
      <c r="R4055" s="23"/>
      <c r="S4055" s="23"/>
      <c r="T4055" s="23"/>
      <c r="U4055" s="23"/>
      <c r="V4055" s="23"/>
      <c r="W4055" s="23"/>
      <c r="X4055" s="23"/>
      <c r="Y4055" s="23"/>
      <c r="Z4055" s="23"/>
    </row>
    <row r="4056" spans="1:26" ht="13">
      <c r="A4056" s="562" t="s">
        <v>8895</v>
      </c>
      <c r="B4056" s="563" t="s">
        <v>8896</v>
      </c>
      <c r="C4056" s="564" t="s">
        <v>2191</v>
      </c>
      <c r="D4056" s="565">
        <v>41099</v>
      </c>
      <c r="E4056" s="565">
        <v>41180</v>
      </c>
      <c r="F4056" s="566">
        <v>557272727</v>
      </c>
      <c r="G4056" s="564" t="s">
        <v>7944</v>
      </c>
      <c r="H4056" s="564" t="s">
        <v>7944</v>
      </c>
      <c r="I4056" s="564" t="s">
        <v>8897</v>
      </c>
      <c r="J4056" s="564" t="s">
        <v>1069</v>
      </c>
      <c r="K4056" s="564" t="s">
        <v>1070</v>
      </c>
      <c r="L4056" s="564" t="s">
        <v>2098</v>
      </c>
      <c r="M4056" s="564" t="s">
        <v>2098</v>
      </c>
      <c r="N4056" s="564" t="s">
        <v>1082</v>
      </c>
      <c r="O4056" s="564" t="s">
        <v>2099</v>
      </c>
      <c r="P4056" s="23"/>
      <c r="Q4056" s="23"/>
      <c r="R4056" s="23"/>
      <c r="S4056" s="23"/>
      <c r="T4056" s="23"/>
      <c r="U4056" s="23"/>
      <c r="V4056" s="23"/>
      <c r="W4056" s="23"/>
      <c r="X4056" s="23"/>
      <c r="Y4056" s="23"/>
      <c r="Z4056" s="23"/>
    </row>
    <row r="4057" spans="1:26" ht="13">
      <c r="A4057" s="562" t="s">
        <v>8898</v>
      </c>
      <c r="B4057" s="563" t="s">
        <v>8899</v>
      </c>
      <c r="C4057" s="564" t="s">
        <v>2191</v>
      </c>
      <c r="D4057" s="565">
        <v>41099</v>
      </c>
      <c r="E4057" s="565">
        <v>41102</v>
      </c>
      <c r="F4057" s="566">
        <v>46625</v>
      </c>
      <c r="G4057" s="564" t="s">
        <v>1636</v>
      </c>
      <c r="H4057" s="564" t="s">
        <v>1636</v>
      </c>
      <c r="I4057" s="564" t="s">
        <v>6222</v>
      </c>
      <c r="J4057" s="564" t="s">
        <v>1069</v>
      </c>
      <c r="K4057" s="564" t="s">
        <v>1198</v>
      </c>
      <c r="L4057" s="564" t="s">
        <v>2098</v>
      </c>
      <c r="M4057" s="564" t="s">
        <v>2098</v>
      </c>
      <c r="N4057" s="564" t="s">
        <v>1082</v>
      </c>
      <c r="O4057" s="564" t="s">
        <v>2099</v>
      </c>
      <c r="P4057" s="23"/>
      <c r="Q4057" s="23"/>
      <c r="R4057" s="23"/>
      <c r="S4057" s="23"/>
      <c r="T4057" s="23"/>
      <c r="U4057" s="23"/>
      <c r="V4057" s="23"/>
      <c r="W4057" s="23"/>
      <c r="X4057" s="23"/>
      <c r="Y4057" s="23"/>
      <c r="Z4057" s="23"/>
    </row>
    <row r="4058" spans="1:26" ht="13">
      <c r="A4058" s="562" t="s">
        <v>8900</v>
      </c>
      <c r="B4058" s="563" t="s">
        <v>8462</v>
      </c>
      <c r="C4058" s="564" t="s">
        <v>1612</v>
      </c>
      <c r="D4058" s="565">
        <v>41096</v>
      </c>
      <c r="E4058" s="565">
        <v>41103</v>
      </c>
      <c r="F4058" s="566">
        <v>8000</v>
      </c>
      <c r="G4058" s="564" t="s">
        <v>337</v>
      </c>
      <c r="H4058" s="564" t="s">
        <v>337</v>
      </c>
      <c r="I4058" s="564" t="s">
        <v>70</v>
      </c>
      <c r="J4058" s="564" t="s">
        <v>1069</v>
      </c>
      <c r="K4058" s="564" t="s">
        <v>1120</v>
      </c>
      <c r="L4058" s="564" t="s">
        <v>2098</v>
      </c>
      <c r="M4058" s="564" t="s">
        <v>2098</v>
      </c>
      <c r="N4058" s="564" t="s">
        <v>70</v>
      </c>
      <c r="O4058" s="564" t="s">
        <v>2099</v>
      </c>
      <c r="P4058" s="23"/>
      <c r="Q4058" s="23"/>
      <c r="R4058" s="23"/>
      <c r="S4058" s="23"/>
      <c r="T4058" s="23"/>
      <c r="U4058" s="23"/>
      <c r="V4058" s="23"/>
      <c r="W4058" s="23"/>
      <c r="X4058" s="23"/>
      <c r="Y4058" s="23"/>
      <c r="Z4058" s="23"/>
    </row>
    <row r="4059" spans="1:26" ht="13">
      <c r="A4059" s="562" t="s">
        <v>8901</v>
      </c>
      <c r="B4059" s="563" t="s">
        <v>8480</v>
      </c>
      <c r="C4059" s="564" t="s">
        <v>1612</v>
      </c>
      <c r="D4059" s="565">
        <v>41096</v>
      </c>
      <c r="E4059" s="565">
        <v>41091</v>
      </c>
      <c r="F4059" s="566">
        <v>54608400</v>
      </c>
      <c r="G4059" s="564" t="s">
        <v>337</v>
      </c>
      <c r="H4059" s="564" t="s">
        <v>337</v>
      </c>
      <c r="I4059" s="564" t="s">
        <v>45</v>
      </c>
      <c r="J4059" s="564" t="s">
        <v>1069</v>
      </c>
      <c r="K4059" s="564" t="s">
        <v>1090</v>
      </c>
      <c r="L4059" s="564" t="s">
        <v>1071</v>
      </c>
      <c r="M4059" s="564" t="s">
        <v>1183</v>
      </c>
      <c r="N4059" s="564" t="s">
        <v>45</v>
      </c>
      <c r="O4059" s="564" t="s">
        <v>2099</v>
      </c>
      <c r="P4059" s="23"/>
      <c r="Q4059" s="23"/>
      <c r="R4059" s="23"/>
      <c r="S4059" s="23"/>
      <c r="T4059" s="23"/>
      <c r="U4059" s="23"/>
      <c r="V4059" s="23"/>
      <c r="W4059" s="23"/>
      <c r="X4059" s="23"/>
      <c r="Y4059" s="23"/>
      <c r="Z4059" s="23"/>
    </row>
    <row r="4060" spans="1:26" ht="13">
      <c r="A4060" s="562" t="s">
        <v>8902</v>
      </c>
      <c r="B4060" s="563" t="s">
        <v>8903</v>
      </c>
      <c r="C4060" s="564" t="s">
        <v>2191</v>
      </c>
      <c r="D4060" s="565">
        <v>41093</v>
      </c>
      <c r="E4060" s="565">
        <v>41096</v>
      </c>
      <c r="F4060" s="566">
        <v>119960</v>
      </c>
      <c r="G4060" s="564" t="s">
        <v>1636</v>
      </c>
      <c r="H4060" s="564" t="s">
        <v>1636</v>
      </c>
      <c r="I4060" s="564" t="s">
        <v>6222</v>
      </c>
      <c r="J4060" s="564" t="s">
        <v>1069</v>
      </c>
      <c r="K4060" s="564" t="s">
        <v>1198</v>
      </c>
      <c r="L4060" s="564" t="s">
        <v>2098</v>
      </c>
      <c r="M4060" s="564" t="s">
        <v>2098</v>
      </c>
      <c r="N4060" s="564" t="s">
        <v>1082</v>
      </c>
      <c r="O4060" s="564" t="s">
        <v>2099</v>
      </c>
      <c r="P4060" s="23"/>
      <c r="Q4060" s="23"/>
      <c r="R4060" s="23"/>
      <c r="S4060" s="23"/>
      <c r="T4060" s="23"/>
      <c r="U4060" s="23"/>
      <c r="V4060" s="23"/>
      <c r="W4060" s="23"/>
      <c r="X4060" s="23"/>
      <c r="Y4060" s="23"/>
      <c r="Z4060" s="23"/>
    </row>
    <row r="4061" spans="1:26" ht="13">
      <c r="A4061" s="562" t="s">
        <v>8904</v>
      </c>
      <c r="B4061" s="563" t="s">
        <v>8905</v>
      </c>
      <c r="C4061" s="564" t="s">
        <v>1612</v>
      </c>
      <c r="D4061" s="565">
        <v>41092</v>
      </c>
      <c r="E4061" s="565">
        <v>41103</v>
      </c>
      <c r="F4061" s="566">
        <v>55270</v>
      </c>
      <c r="G4061" s="564" t="s">
        <v>297</v>
      </c>
      <c r="H4061" s="564" t="s">
        <v>297</v>
      </c>
      <c r="I4061" s="564" t="s">
        <v>45</v>
      </c>
      <c r="J4061" s="564" t="s">
        <v>1069</v>
      </c>
      <c r="K4061" s="564" t="s">
        <v>1090</v>
      </c>
      <c r="L4061" s="564" t="s">
        <v>2098</v>
      </c>
      <c r="M4061" s="564" t="s">
        <v>2098</v>
      </c>
      <c r="N4061" s="564" t="s">
        <v>45</v>
      </c>
      <c r="O4061" s="564" t="s">
        <v>2099</v>
      </c>
      <c r="P4061" s="23"/>
      <c r="Q4061" s="23"/>
      <c r="R4061" s="23"/>
      <c r="S4061" s="23"/>
      <c r="T4061" s="23"/>
      <c r="U4061" s="23"/>
      <c r="V4061" s="23"/>
      <c r="W4061" s="23"/>
      <c r="X4061" s="23"/>
      <c r="Y4061" s="23"/>
      <c r="Z4061" s="23"/>
    </row>
    <row r="4062" spans="1:26" ht="13">
      <c r="A4062" s="562" t="s">
        <v>8906</v>
      </c>
      <c r="B4062" s="563" t="s">
        <v>8907</v>
      </c>
      <c r="C4062" s="564" t="s">
        <v>1612</v>
      </c>
      <c r="D4062" s="565">
        <v>41093</v>
      </c>
      <c r="E4062" s="565">
        <v>41103</v>
      </c>
      <c r="F4062" s="566">
        <v>5640</v>
      </c>
      <c r="G4062" s="564" t="s">
        <v>337</v>
      </c>
      <c r="H4062" s="564" t="s">
        <v>337</v>
      </c>
      <c r="I4062" s="564" t="s">
        <v>802</v>
      </c>
      <c r="J4062" s="564" t="s">
        <v>1069</v>
      </c>
      <c r="K4062" s="564" t="s">
        <v>1198</v>
      </c>
      <c r="L4062" s="564" t="s">
        <v>2098</v>
      </c>
      <c r="M4062" s="564" t="s">
        <v>2098</v>
      </c>
      <c r="N4062" s="564" t="s">
        <v>132</v>
      </c>
      <c r="O4062" s="564" t="s">
        <v>2099</v>
      </c>
      <c r="P4062" s="23"/>
      <c r="Q4062" s="23"/>
      <c r="R4062" s="23"/>
      <c r="S4062" s="23"/>
      <c r="T4062" s="23"/>
      <c r="U4062" s="23"/>
      <c r="V4062" s="23"/>
      <c r="W4062" s="23"/>
      <c r="X4062" s="23"/>
      <c r="Y4062" s="23"/>
      <c r="Z4062" s="23"/>
    </row>
    <row r="4063" spans="1:26" ht="13">
      <c r="A4063" s="562" t="s">
        <v>8908</v>
      </c>
      <c r="B4063" s="563" t="s">
        <v>8909</v>
      </c>
      <c r="C4063" s="564" t="s">
        <v>6860</v>
      </c>
      <c r="D4063" s="565">
        <v>41088</v>
      </c>
      <c r="E4063" s="565">
        <v>41182</v>
      </c>
      <c r="F4063" s="566">
        <v>198000</v>
      </c>
      <c r="G4063" s="564" t="s">
        <v>1640</v>
      </c>
      <c r="H4063" s="564" t="s">
        <v>1640</v>
      </c>
      <c r="I4063" s="564" t="s">
        <v>6951</v>
      </c>
      <c r="J4063" s="564" t="s">
        <v>1069</v>
      </c>
      <c r="K4063" s="564" t="s">
        <v>1802</v>
      </c>
      <c r="L4063" s="564" t="s">
        <v>2098</v>
      </c>
      <c r="M4063" s="564" t="s">
        <v>2098</v>
      </c>
      <c r="N4063" s="564" t="s">
        <v>1082</v>
      </c>
      <c r="O4063" s="564" t="s">
        <v>2099</v>
      </c>
      <c r="P4063" s="23"/>
      <c r="Q4063" s="23"/>
      <c r="R4063" s="23"/>
      <c r="S4063" s="23"/>
      <c r="T4063" s="23"/>
      <c r="U4063" s="23"/>
      <c r="V4063" s="23"/>
      <c r="W4063" s="23"/>
      <c r="X4063" s="23"/>
      <c r="Y4063" s="23"/>
      <c r="Z4063" s="23"/>
    </row>
    <row r="4064" spans="1:26" ht="13">
      <c r="A4064" s="562" t="s">
        <v>8910</v>
      </c>
      <c r="B4064" s="563" t="s">
        <v>8911</v>
      </c>
      <c r="C4064" s="564" t="s">
        <v>2191</v>
      </c>
      <c r="D4064" s="565">
        <v>41088</v>
      </c>
      <c r="E4064" s="565">
        <v>41152</v>
      </c>
      <c r="F4064" s="566">
        <v>28920</v>
      </c>
      <c r="G4064" s="564" t="s">
        <v>7944</v>
      </c>
      <c r="H4064" s="564" t="s">
        <v>7944</v>
      </c>
      <c r="I4064" s="564" t="s">
        <v>8912</v>
      </c>
      <c r="J4064" s="564" t="s">
        <v>1069</v>
      </c>
      <c r="K4064" s="564" t="s">
        <v>1070</v>
      </c>
      <c r="L4064" s="564" t="s">
        <v>2098</v>
      </c>
      <c r="M4064" s="564" t="s">
        <v>2098</v>
      </c>
      <c r="N4064" s="564" t="s">
        <v>1082</v>
      </c>
      <c r="O4064" s="564" t="s">
        <v>2099</v>
      </c>
      <c r="P4064" s="23"/>
      <c r="Q4064" s="23"/>
      <c r="R4064" s="23"/>
      <c r="S4064" s="23"/>
      <c r="T4064" s="23"/>
      <c r="U4064" s="23"/>
      <c r="V4064" s="23"/>
      <c r="W4064" s="23"/>
      <c r="X4064" s="23"/>
      <c r="Y4064" s="23"/>
      <c r="Z4064" s="23"/>
    </row>
    <row r="4065" spans="1:26" ht="13">
      <c r="A4065" s="562" t="s">
        <v>8913</v>
      </c>
      <c r="B4065" s="563" t="s">
        <v>8914</v>
      </c>
      <c r="C4065" s="564" t="s">
        <v>1612</v>
      </c>
      <c r="D4065" s="565">
        <v>41088</v>
      </c>
      <c r="E4065" s="565">
        <v>41089</v>
      </c>
      <c r="F4065" s="566">
        <v>2813582500</v>
      </c>
      <c r="G4065" s="564" t="s">
        <v>337</v>
      </c>
      <c r="H4065" s="564" t="s">
        <v>337</v>
      </c>
      <c r="I4065" s="564" t="s">
        <v>45</v>
      </c>
      <c r="J4065" s="564" t="s">
        <v>1069</v>
      </c>
      <c r="K4065" s="564" t="s">
        <v>1090</v>
      </c>
      <c r="L4065" s="564" t="s">
        <v>2098</v>
      </c>
      <c r="M4065" s="564" t="s">
        <v>2098</v>
      </c>
      <c r="N4065" s="564" t="s">
        <v>45</v>
      </c>
      <c r="O4065" s="564" t="s">
        <v>2099</v>
      </c>
      <c r="P4065" s="23"/>
      <c r="Q4065" s="23"/>
      <c r="R4065" s="23"/>
      <c r="S4065" s="23"/>
      <c r="T4065" s="23"/>
      <c r="U4065" s="23"/>
      <c r="V4065" s="23"/>
      <c r="W4065" s="23"/>
      <c r="X4065" s="23"/>
      <c r="Y4065" s="23"/>
      <c r="Z4065" s="23"/>
    </row>
    <row r="4066" spans="1:26" ht="13">
      <c r="A4066" s="562" t="s">
        <v>8915</v>
      </c>
      <c r="B4066" s="563" t="s">
        <v>8916</v>
      </c>
      <c r="C4066" s="564" t="s">
        <v>1612</v>
      </c>
      <c r="D4066" s="565">
        <v>41085</v>
      </c>
      <c r="E4066" s="565">
        <v>41089</v>
      </c>
      <c r="F4066" s="566">
        <v>114100000</v>
      </c>
      <c r="G4066" s="564" t="s">
        <v>1157</v>
      </c>
      <c r="H4066" s="564" t="s">
        <v>1157</v>
      </c>
      <c r="I4066" s="564" t="s">
        <v>70</v>
      </c>
      <c r="J4066" s="564" t="s">
        <v>1069</v>
      </c>
      <c r="K4066" s="564" t="s">
        <v>1120</v>
      </c>
      <c r="L4066" s="564" t="s">
        <v>2098</v>
      </c>
      <c r="M4066" s="564" t="s">
        <v>2098</v>
      </c>
      <c r="N4066" s="564" t="s">
        <v>70</v>
      </c>
      <c r="O4066" s="564" t="s">
        <v>2099</v>
      </c>
      <c r="P4066" s="23"/>
      <c r="Q4066" s="23"/>
      <c r="R4066" s="23"/>
      <c r="S4066" s="23"/>
      <c r="T4066" s="23"/>
      <c r="U4066" s="23"/>
      <c r="V4066" s="23"/>
      <c r="W4066" s="23"/>
      <c r="X4066" s="23"/>
      <c r="Y4066" s="23"/>
      <c r="Z4066" s="23"/>
    </row>
    <row r="4067" spans="1:26" ht="13">
      <c r="A4067" s="562" t="s">
        <v>8917</v>
      </c>
      <c r="B4067" s="563" t="s">
        <v>8879</v>
      </c>
      <c r="C4067" s="564" t="s">
        <v>1612</v>
      </c>
      <c r="D4067" s="565">
        <v>41085</v>
      </c>
      <c r="E4067" s="565">
        <v>41088</v>
      </c>
      <c r="F4067" s="566">
        <v>33120</v>
      </c>
      <c r="G4067" s="564" t="s">
        <v>337</v>
      </c>
      <c r="H4067" s="564" t="s">
        <v>337</v>
      </c>
      <c r="I4067" s="564" t="s">
        <v>1837</v>
      </c>
      <c r="J4067" s="564" t="s">
        <v>1069</v>
      </c>
      <c r="K4067" s="564" t="s">
        <v>1090</v>
      </c>
      <c r="L4067" s="564" t="s">
        <v>2098</v>
      </c>
      <c r="M4067" s="564" t="s">
        <v>2098</v>
      </c>
      <c r="N4067" s="564" t="s">
        <v>1082</v>
      </c>
      <c r="O4067" s="564" t="s">
        <v>2099</v>
      </c>
      <c r="P4067" s="23"/>
      <c r="Q4067" s="23"/>
      <c r="R4067" s="23"/>
      <c r="S4067" s="23"/>
      <c r="T4067" s="23"/>
      <c r="U4067" s="23"/>
      <c r="V4067" s="23"/>
      <c r="W4067" s="23"/>
      <c r="X4067" s="23"/>
      <c r="Y4067" s="23"/>
      <c r="Z4067" s="23"/>
    </row>
    <row r="4068" spans="1:26" ht="13">
      <c r="A4068" s="562" t="s">
        <v>8918</v>
      </c>
      <c r="B4068" s="563" t="s">
        <v>8919</v>
      </c>
      <c r="C4068" s="564" t="s">
        <v>1612</v>
      </c>
      <c r="D4068" s="565">
        <v>41085</v>
      </c>
      <c r="E4068" s="565">
        <v>41089</v>
      </c>
      <c r="F4068" s="566">
        <v>11770000</v>
      </c>
      <c r="G4068" s="564" t="s">
        <v>1157</v>
      </c>
      <c r="H4068" s="564" t="s">
        <v>1157</v>
      </c>
      <c r="I4068" s="564" t="s">
        <v>1821</v>
      </c>
      <c r="J4068" s="564" t="s">
        <v>1069</v>
      </c>
      <c r="K4068" s="564" t="s">
        <v>1120</v>
      </c>
      <c r="L4068" s="564" t="s">
        <v>2098</v>
      </c>
      <c r="M4068" s="564" t="s">
        <v>2098</v>
      </c>
      <c r="N4068" s="564" t="s">
        <v>1073</v>
      </c>
      <c r="O4068" s="564" t="s">
        <v>2099</v>
      </c>
      <c r="P4068" s="23"/>
      <c r="Q4068" s="23"/>
      <c r="R4068" s="23"/>
      <c r="S4068" s="23"/>
      <c r="T4068" s="23"/>
      <c r="U4068" s="23"/>
      <c r="V4068" s="23"/>
      <c r="W4068" s="23"/>
      <c r="X4068" s="23"/>
      <c r="Y4068" s="23"/>
      <c r="Z4068" s="23"/>
    </row>
    <row r="4069" spans="1:26" ht="13">
      <c r="A4069" s="562" t="s">
        <v>8920</v>
      </c>
      <c r="B4069" s="563" t="s">
        <v>8921</v>
      </c>
      <c r="C4069" s="564" t="s">
        <v>1612</v>
      </c>
      <c r="D4069" s="565">
        <v>41081</v>
      </c>
      <c r="E4069" s="565">
        <v>41089</v>
      </c>
      <c r="F4069" s="566">
        <v>19318</v>
      </c>
      <c r="G4069" s="564" t="s">
        <v>297</v>
      </c>
      <c r="H4069" s="564" t="s">
        <v>297</v>
      </c>
      <c r="I4069" s="564" t="s">
        <v>45</v>
      </c>
      <c r="J4069" s="564" t="s">
        <v>1069</v>
      </c>
      <c r="K4069" s="564" t="s">
        <v>1090</v>
      </c>
      <c r="L4069" s="564" t="s">
        <v>2098</v>
      </c>
      <c r="M4069" s="564" t="s">
        <v>2098</v>
      </c>
      <c r="N4069" s="564" t="s">
        <v>45</v>
      </c>
      <c r="O4069" s="564" t="s">
        <v>2099</v>
      </c>
      <c r="P4069" s="23"/>
      <c r="Q4069" s="23"/>
      <c r="R4069" s="23"/>
      <c r="S4069" s="23"/>
      <c r="T4069" s="23"/>
      <c r="U4069" s="23"/>
      <c r="V4069" s="23"/>
      <c r="W4069" s="23"/>
      <c r="X4069" s="23"/>
      <c r="Y4069" s="23"/>
      <c r="Z4069" s="23"/>
    </row>
    <row r="4070" spans="1:26" ht="13">
      <c r="A4070" s="562" t="s">
        <v>8922</v>
      </c>
      <c r="B4070" s="563" t="s">
        <v>8923</v>
      </c>
      <c r="C4070" s="564" t="s">
        <v>1612</v>
      </c>
      <c r="D4070" s="565">
        <v>41080</v>
      </c>
      <c r="E4070" s="565">
        <v>41243</v>
      </c>
      <c r="F4070" s="566">
        <v>215000</v>
      </c>
      <c r="G4070" s="564" t="s">
        <v>1856</v>
      </c>
      <c r="H4070" s="564" t="s">
        <v>1856</v>
      </c>
      <c r="I4070" s="564" t="s">
        <v>45</v>
      </c>
      <c r="J4070" s="564" t="s">
        <v>1069</v>
      </c>
      <c r="K4070" s="564" t="s">
        <v>1090</v>
      </c>
      <c r="L4070" s="564" t="s">
        <v>2098</v>
      </c>
      <c r="M4070" s="564" t="s">
        <v>2098</v>
      </c>
      <c r="N4070" s="564" t="s">
        <v>45</v>
      </c>
      <c r="O4070" s="564" t="s">
        <v>2099</v>
      </c>
      <c r="P4070" s="23"/>
      <c r="Q4070" s="23"/>
      <c r="R4070" s="23"/>
      <c r="S4070" s="23"/>
      <c r="T4070" s="23"/>
      <c r="U4070" s="23"/>
      <c r="V4070" s="23"/>
      <c r="W4070" s="23"/>
      <c r="X4070" s="23"/>
      <c r="Y4070" s="23"/>
      <c r="Z4070" s="23"/>
    </row>
    <row r="4071" spans="1:26" ht="13">
      <c r="A4071" s="562" t="s">
        <v>8924</v>
      </c>
      <c r="B4071" s="563" t="s">
        <v>8925</v>
      </c>
      <c r="C4071" s="564" t="s">
        <v>1612</v>
      </c>
      <c r="D4071" s="565">
        <v>41080</v>
      </c>
      <c r="E4071" s="565">
        <v>41087</v>
      </c>
      <c r="F4071" s="566">
        <v>3126</v>
      </c>
      <c r="G4071" s="564" t="s">
        <v>337</v>
      </c>
      <c r="H4071" s="564" t="s">
        <v>337</v>
      </c>
      <c r="I4071" s="564" t="s">
        <v>1230</v>
      </c>
      <c r="J4071" s="564" t="s">
        <v>1069</v>
      </c>
      <c r="K4071" s="564" t="s">
        <v>1090</v>
      </c>
      <c r="L4071" s="564" t="s">
        <v>2098</v>
      </c>
      <c r="M4071" s="564" t="s">
        <v>2098</v>
      </c>
      <c r="N4071" s="564" t="s">
        <v>1073</v>
      </c>
      <c r="O4071" s="564" t="s">
        <v>2099</v>
      </c>
      <c r="P4071" s="23"/>
      <c r="Q4071" s="23"/>
      <c r="R4071" s="23"/>
      <c r="S4071" s="23"/>
      <c r="T4071" s="23"/>
      <c r="U4071" s="23"/>
      <c r="V4071" s="23"/>
      <c r="W4071" s="23"/>
      <c r="X4071" s="23"/>
      <c r="Y4071" s="23"/>
      <c r="Z4071" s="23"/>
    </row>
    <row r="4072" spans="1:26" ht="13">
      <c r="A4072" s="562" t="s">
        <v>8926</v>
      </c>
      <c r="B4072" s="563" t="s">
        <v>8927</v>
      </c>
      <c r="C4072" s="564" t="s">
        <v>2191</v>
      </c>
      <c r="D4072" s="565">
        <v>41080</v>
      </c>
      <c r="E4072" s="565">
        <v>41090</v>
      </c>
      <c r="F4072" s="566">
        <v>500000</v>
      </c>
      <c r="G4072" s="564" t="s">
        <v>1529</v>
      </c>
      <c r="H4072" s="564" t="s">
        <v>1529</v>
      </c>
      <c r="I4072" s="564" t="s">
        <v>8723</v>
      </c>
      <c r="J4072" s="564" t="s">
        <v>1069</v>
      </c>
      <c r="K4072" s="564" t="s">
        <v>1802</v>
      </c>
      <c r="L4072" s="564" t="s">
        <v>2098</v>
      </c>
      <c r="M4072" s="564" t="s">
        <v>2098</v>
      </c>
      <c r="N4072" s="564" t="s">
        <v>1082</v>
      </c>
      <c r="O4072" s="564" t="s">
        <v>2099</v>
      </c>
      <c r="P4072" s="23"/>
      <c r="Q4072" s="23"/>
      <c r="R4072" s="23"/>
      <c r="S4072" s="23"/>
      <c r="T4072" s="23"/>
      <c r="U4072" s="23"/>
      <c r="V4072" s="23"/>
      <c r="W4072" s="23"/>
      <c r="X4072" s="23"/>
      <c r="Y4072" s="23"/>
      <c r="Z4072" s="23"/>
    </row>
    <row r="4073" spans="1:26" ht="13">
      <c r="A4073" s="562" t="s">
        <v>8928</v>
      </c>
      <c r="B4073" s="563" t="s">
        <v>8929</v>
      </c>
      <c r="C4073" s="564" t="s">
        <v>1612</v>
      </c>
      <c r="D4073" s="565">
        <v>41078</v>
      </c>
      <c r="E4073" s="565">
        <v>41087</v>
      </c>
      <c r="F4073" s="566">
        <v>14990</v>
      </c>
      <c r="G4073" s="564" t="s">
        <v>337</v>
      </c>
      <c r="H4073" s="564" t="s">
        <v>337</v>
      </c>
      <c r="I4073" s="564" t="s">
        <v>802</v>
      </c>
      <c r="J4073" s="564" t="s">
        <v>1069</v>
      </c>
      <c r="K4073" s="564" t="s">
        <v>1198</v>
      </c>
      <c r="L4073" s="564" t="s">
        <v>2098</v>
      </c>
      <c r="M4073" s="564" t="s">
        <v>2098</v>
      </c>
      <c r="N4073" s="564" t="s">
        <v>132</v>
      </c>
      <c r="O4073" s="564" t="s">
        <v>2099</v>
      </c>
      <c r="P4073" s="23"/>
      <c r="Q4073" s="23"/>
      <c r="R4073" s="23"/>
      <c r="S4073" s="23"/>
      <c r="T4073" s="23"/>
      <c r="U4073" s="23"/>
      <c r="V4073" s="23"/>
      <c r="W4073" s="23"/>
      <c r="X4073" s="23"/>
      <c r="Y4073" s="23"/>
      <c r="Z4073" s="23"/>
    </row>
    <row r="4074" spans="1:26" ht="13">
      <c r="A4074" s="562" t="s">
        <v>8930</v>
      </c>
      <c r="B4074" s="563" t="s">
        <v>8931</v>
      </c>
      <c r="C4074" s="564" t="s">
        <v>1612</v>
      </c>
      <c r="D4074" s="565">
        <v>41078</v>
      </c>
      <c r="E4074" s="565">
        <v>41089</v>
      </c>
      <c r="F4074" s="566">
        <v>1040</v>
      </c>
      <c r="G4074" s="564" t="s">
        <v>337</v>
      </c>
      <c r="H4074" s="564" t="s">
        <v>337</v>
      </c>
      <c r="I4074" s="564" t="s">
        <v>1230</v>
      </c>
      <c r="J4074" s="564" t="s">
        <v>1069</v>
      </c>
      <c r="K4074" s="564" t="s">
        <v>1090</v>
      </c>
      <c r="L4074" s="564" t="s">
        <v>2098</v>
      </c>
      <c r="M4074" s="564" t="s">
        <v>2098</v>
      </c>
      <c r="N4074" s="564" t="s">
        <v>1073</v>
      </c>
      <c r="O4074" s="564" t="s">
        <v>2099</v>
      </c>
      <c r="P4074" s="23"/>
      <c r="Q4074" s="23"/>
      <c r="R4074" s="23"/>
      <c r="S4074" s="23"/>
      <c r="T4074" s="23"/>
      <c r="U4074" s="23"/>
      <c r="V4074" s="23"/>
      <c r="W4074" s="23"/>
      <c r="X4074" s="23"/>
      <c r="Y4074" s="23"/>
      <c r="Z4074" s="23"/>
    </row>
    <row r="4075" spans="1:26" ht="13">
      <c r="A4075" s="562" t="s">
        <v>8932</v>
      </c>
      <c r="B4075" s="563" t="s">
        <v>8933</v>
      </c>
      <c r="C4075" s="564" t="s">
        <v>1612</v>
      </c>
      <c r="D4075" s="565">
        <v>41075</v>
      </c>
      <c r="E4075" s="565">
        <v>41089</v>
      </c>
      <c r="F4075" s="567">
        <v>300</v>
      </c>
      <c r="G4075" s="564" t="s">
        <v>337</v>
      </c>
      <c r="H4075" s="564" t="s">
        <v>337</v>
      </c>
      <c r="I4075" s="564" t="s">
        <v>1918</v>
      </c>
      <c r="J4075" s="564" t="s">
        <v>1069</v>
      </c>
      <c r="K4075" s="564" t="s">
        <v>1070</v>
      </c>
      <c r="L4075" s="564" t="s">
        <v>2098</v>
      </c>
      <c r="M4075" s="564" t="s">
        <v>2098</v>
      </c>
      <c r="N4075" s="564" t="s">
        <v>1073</v>
      </c>
      <c r="O4075" s="564" t="s">
        <v>2099</v>
      </c>
      <c r="P4075" s="23"/>
      <c r="Q4075" s="23"/>
      <c r="R4075" s="23"/>
      <c r="S4075" s="23"/>
      <c r="T4075" s="23"/>
      <c r="U4075" s="23"/>
      <c r="V4075" s="23"/>
      <c r="W4075" s="23"/>
      <c r="X4075" s="23"/>
      <c r="Y4075" s="23"/>
      <c r="Z4075" s="23"/>
    </row>
    <row r="4076" spans="1:26" ht="13">
      <c r="A4076" s="562" t="s">
        <v>8934</v>
      </c>
      <c r="B4076" s="563" t="s">
        <v>8935</v>
      </c>
      <c r="C4076" s="564" t="s">
        <v>1612</v>
      </c>
      <c r="D4076" s="565">
        <v>41074</v>
      </c>
      <c r="E4076" s="565">
        <v>41078</v>
      </c>
      <c r="F4076" s="566">
        <v>37100000</v>
      </c>
      <c r="G4076" s="564" t="s">
        <v>1123</v>
      </c>
      <c r="H4076" s="564" t="s">
        <v>1123</v>
      </c>
      <c r="I4076" s="564" t="s">
        <v>802</v>
      </c>
      <c r="J4076" s="564" t="s">
        <v>1069</v>
      </c>
      <c r="K4076" s="564" t="s">
        <v>1198</v>
      </c>
      <c r="L4076" s="564" t="s">
        <v>2098</v>
      </c>
      <c r="M4076" s="564" t="s">
        <v>2098</v>
      </c>
      <c r="N4076" s="564" t="s">
        <v>132</v>
      </c>
      <c r="O4076" s="564" t="s">
        <v>2099</v>
      </c>
      <c r="P4076" s="23"/>
      <c r="Q4076" s="23"/>
      <c r="R4076" s="23"/>
      <c r="S4076" s="23"/>
      <c r="T4076" s="23"/>
      <c r="U4076" s="23"/>
      <c r="V4076" s="23"/>
      <c r="W4076" s="23"/>
      <c r="X4076" s="23"/>
      <c r="Y4076" s="23"/>
      <c r="Z4076" s="23"/>
    </row>
    <row r="4077" spans="1:26" ht="13">
      <c r="A4077" s="562" t="s">
        <v>8936</v>
      </c>
      <c r="B4077" s="563" t="s">
        <v>8493</v>
      </c>
      <c r="C4077" s="564" t="s">
        <v>1612</v>
      </c>
      <c r="D4077" s="565">
        <v>41074</v>
      </c>
      <c r="E4077" s="565">
        <v>41082</v>
      </c>
      <c r="F4077" s="566">
        <v>1325</v>
      </c>
      <c r="G4077" s="564" t="s">
        <v>337</v>
      </c>
      <c r="H4077" s="564" t="s">
        <v>337</v>
      </c>
      <c r="I4077" s="564" t="s">
        <v>121</v>
      </c>
      <c r="J4077" s="564" t="s">
        <v>1069</v>
      </c>
      <c r="K4077" s="564" t="s">
        <v>1105</v>
      </c>
      <c r="L4077" s="564" t="s">
        <v>2098</v>
      </c>
      <c r="M4077" s="564" t="s">
        <v>2098</v>
      </c>
      <c r="N4077" s="564" t="s">
        <v>1073</v>
      </c>
      <c r="O4077" s="564" t="s">
        <v>2099</v>
      </c>
      <c r="P4077" s="23"/>
      <c r="Q4077" s="23"/>
      <c r="R4077" s="23"/>
      <c r="S4077" s="23"/>
      <c r="T4077" s="23"/>
      <c r="U4077" s="23"/>
      <c r="V4077" s="23"/>
      <c r="W4077" s="23"/>
      <c r="X4077" s="23"/>
      <c r="Y4077" s="23"/>
      <c r="Z4077" s="23"/>
    </row>
    <row r="4078" spans="1:26" ht="13">
      <c r="A4078" s="562" t="s">
        <v>8937</v>
      </c>
      <c r="B4078" s="563" t="s">
        <v>8478</v>
      </c>
      <c r="C4078" s="564" t="s">
        <v>1612</v>
      </c>
      <c r="D4078" s="565">
        <v>41072</v>
      </c>
      <c r="E4078" s="565">
        <v>41075</v>
      </c>
      <c r="F4078" s="566">
        <v>1470</v>
      </c>
      <c r="G4078" s="564" t="s">
        <v>337</v>
      </c>
      <c r="H4078" s="564" t="s">
        <v>337</v>
      </c>
      <c r="I4078" s="564" t="s">
        <v>70</v>
      </c>
      <c r="J4078" s="564" t="s">
        <v>1069</v>
      </c>
      <c r="K4078" s="564" t="s">
        <v>1120</v>
      </c>
      <c r="L4078" s="564" t="s">
        <v>2098</v>
      </c>
      <c r="M4078" s="564" t="s">
        <v>2098</v>
      </c>
      <c r="N4078" s="564" t="s">
        <v>70</v>
      </c>
      <c r="O4078" s="564" t="s">
        <v>2099</v>
      </c>
      <c r="P4078" s="23"/>
      <c r="Q4078" s="23"/>
      <c r="R4078" s="23"/>
      <c r="S4078" s="23"/>
      <c r="T4078" s="23"/>
      <c r="U4078" s="23"/>
      <c r="V4078" s="23"/>
      <c r="W4078" s="23"/>
      <c r="X4078" s="23"/>
      <c r="Y4078" s="23"/>
      <c r="Z4078" s="23"/>
    </row>
    <row r="4079" spans="1:26" ht="13">
      <c r="A4079" s="562" t="s">
        <v>8938</v>
      </c>
      <c r="B4079" s="563" t="s">
        <v>8939</v>
      </c>
      <c r="C4079" s="564" t="s">
        <v>1612</v>
      </c>
      <c r="D4079" s="565">
        <v>41072</v>
      </c>
      <c r="E4079" s="565">
        <v>41080</v>
      </c>
      <c r="F4079" s="566">
        <v>2050</v>
      </c>
      <c r="G4079" s="564" t="s">
        <v>337</v>
      </c>
      <c r="H4079" s="564" t="s">
        <v>337</v>
      </c>
      <c r="I4079" s="564" t="s">
        <v>64</v>
      </c>
      <c r="J4079" s="564" t="s">
        <v>1069</v>
      </c>
      <c r="K4079" s="564" t="s">
        <v>1090</v>
      </c>
      <c r="L4079" s="564" t="s">
        <v>2098</v>
      </c>
      <c r="M4079" s="564" t="s">
        <v>2098</v>
      </c>
      <c r="N4079" s="564" t="s">
        <v>64</v>
      </c>
      <c r="O4079" s="564" t="s">
        <v>2099</v>
      </c>
      <c r="P4079" s="23"/>
      <c r="Q4079" s="23"/>
      <c r="R4079" s="23"/>
      <c r="S4079" s="23"/>
      <c r="T4079" s="23"/>
      <c r="U4079" s="23"/>
      <c r="V4079" s="23"/>
      <c r="W4079" s="23"/>
      <c r="X4079" s="23"/>
      <c r="Y4079" s="23"/>
      <c r="Z4079" s="23"/>
    </row>
    <row r="4080" spans="1:26" ht="13">
      <c r="A4080" s="562" t="s">
        <v>8940</v>
      </c>
      <c r="B4080" s="563" t="s">
        <v>8879</v>
      </c>
      <c r="C4080" s="564" t="s">
        <v>1612</v>
      </c>
      <c r="D4080" s="565">
        <v>41072</v>
      </c>
      <c r="E4080" s="565">
        <v>41079</v>
      </c>
      <c r="F4080" s="566">
        <v>23225</v>
      </c>
      <c r="G4080" s="564" t="s">
        <v>337</v>
      </c>
      <c r="H4080" s="564" t="s">
        <v>337</v>
      </c>
      <c r="I4080" s="564" t="s">
        <v>1837</v>
      </c>
      <c r="J4080" s="564" t="s">
        <v>1069</v>
      </c>
      <c r="K4080" s="564" t="s">
        <v>1090</v>
      </c>
      <c r="L4080" s="564" t="s">
        <v>2098</v>
      </c>
      <c r="M4080" s="564" t="s">
        <v>2098</v>
      </c>
      <c r="N4080" s="564" t="s">
        <v>1082</v>
      </c>
      <c r="O4080" s="564" t="s">
        <v>2099</v>
      </c>
      <c r="P4080" s="23"/>
      <c r="Q4080" s="23"/>
      <c r="R4080" s="23"/>
      <c r="S4080" s="23"/>
      <c r="T4080" s="23"/>
      <c r="U4080" s="23"/>
      <c r="V4080" s="23"/>
      <c r="W4080" s="23"/>
      <c r="X4080" s="23"/>
      <c r="Y4080" s="23"/>
      <c r="Z4080" s="23"/>
    </row>
    <row r="4081" spans="1:26" ht="13">
      <c r="A4081" s="562" t="s">
        <v>8941</v>
      </c>
      <c r="B4081" s="563" t="s">
        <v>8510</v>
      </c>
      <c r="C4081" s="564" t="s">
        <v>1612</v>
      </c>
      <c r="D4081" s="565">
        <v>41071</v>
      </c>
      <c r="E4081" s="565">
        <v>41075</v>
      </c>
      <c r="F4081" s="567">
        <v>735</v>
      </c>
      <c r="G4081" s="564" t="s">
        <v>337</v>
      </c>
      <c r="H4081" s="564" t="s">
        <v>337</v>
      </c>
      <c r="I4081" s="564" t="s">
        <v>70</v>
      </c>
      <c r="J4081" s="564" t="s">
        <v>1069</v>
      </c>
      <c r="K4081" s="564" t="s">
        <v>1120</v>
      </c>
      <c r="L4081" s="564" t="s">
        <v>2098</v>
      </c>
      <c r="M4081" s="564" t="s">
        <v>2098</v>
      </c>
      <c r="N4081" s="564" t="s">
        <v>70</v>
      </c>
      <c r="O4081" s="564" t="s">
        <v>2099</v>
      </c>
      <c r="P4081" s="23"/>
      <c r="Q4081" s="23"/>
      <c r="R4081" s="23"/>
      <c r="S4081" s="23"/>
      <c r="T4081" s="23"/>
      <c r="U4081" s="23"/>
      <c r="V4081" s="23"/>
      <c r="W4081" s="23"/>
      <c r="X4081" s="23"/>
      <c r="Y4081" s="23"/>
      <c r="Z4081" s="23"/>
    </row>
    <row r="4082" spans="1:26" ht="13">
      <c r="A4082" s="562" t="s">
        <v>8942</v>
      </c>
      <c r="B4082" s="563" t="s">
        <v>8943</v>
      </c>
      <c r="C4082" s="564" t="s">
        <v>1612</v>
      </c>
      <c r="D4082" s="565">
        <v>41071</v>
      </c>
      <c r="E4082" s="565">
        <v>41082</v>
      </c>
      <c r="F4082" s="566">
        <v>1430</v>
      </c>
      <c r="G4082" s="564" t="s">
        <v>337</v>
      </c>
      <c r="H4082" s="564" t="s">
        <v>337</v>
      </c>
      <c r="I4082" s="564" t="s">
        <v>70</v>
      </c>
      <c r="J4082" s="564" t="s">
        <v>1069</v>
      </c>
      <c r="K4082" s="564" t="s">
        <v>1120</v>
      </c>
      <c r="L4082" s="564" t="s">
        <v>2098</v>
      </c>
      <c r="M4082" s="564" t="s">
        <v>2098</v>
      </c>
      <c r="N4082" s="564" t="s">
        <v>70</v>
      </c>
      <c r="O4082" s="564" t="s">
        <v>2099</v>
      </c>
      <c r="P4082" s="23"/>
      <c r="Q4082" s="23"/>
      <c r="R4082" s="23"/>
      <c r="S4082" s="23"/>
      <c r="T4082" s="23"/>
      <c r="U4082" s="23"/>
      <c r="V4082" s="23"/>
      <c r="W4082" s="23"/>
      <c r="X4082" s="23"/>
      <c r="Y4082" s="23"/>
      <c r="Z4082" s="23"/>
    </row>
    <row r="4083" spans="1:26" ht="13">
      <c r="A4083" s="562" t="s">
        <v>8944</v>
      </c>
      <c r="B4083" s="563" t="s">
        <v>8945</v>
      </c>
      <c r="C4083" s="564" t="s">
        <v>1612</v>
      </c>
      <c r="D4083" s="565">
        <v>41068</v>
      </c>
      <c r="E4083" s="565">
        <v>41082</v>
      </c>
      <c r="F4083" s="566">
        <v>87645455</v>
      </c>
      <c r="G4083" s="564" t="s">
        <v>337</v>
      </c>
      <c r="H4083" s="564" t="s">
        <v>337</v>
      </c>
      <c r="I4083" s="564" t="s">
        <v>802</v>
      </c>
      <c r="J4083" s="564" t="s">
        <v>1069</v>
      </c>
      <c r="K4083" s="564" t="s">
        <v>1198</v>
      </c>
      <c r="L4083" s="564" t="s">
        <v>2098</v>
      </c>
      <c r="M4083" s="564" t="s">
        <v>2098</v>
      </c>
      <c r="N4083" s="564" t="s">
        <v>132</v>
      </c>
      <c r="O4083" s="564" t="s">
        <v>2099</v>
      </c>
      <c r="P4083" s="23"/>
      <c r="Q4083" s="23"/>
      <c r="R4083" s="23"/>
      <c r="S4083" s="23"/>
      <c r="T4083" s="23"/>
      <c r="U4083" s="23"/>
      <c r="V4083" s="23"/>
      <c r="W4083" s="23"/>
      <c r="X4083" s="23"/>
      <c r="Y4083" s="23"/>
      <c r="Z4083" s="23"/>
    </row>
    <row r="4084" spans="1:26" ht="13">
      <c r="A4084" s="562" t="s">
        <v>8946</v>
      </c>
      <c r="B4084" s="563" t="s">
        <v>8947</v>
      </c>
      <c r="C4084" s="564" t="s">
        <v>2191</v>
      </c>
      <c r="D4084" s="565">
        <v>41065</v>
      </c>
      <c r="E4084" s="565">
        <v>41068</v>
      </c>
      <c r="F4084" s="566">
        <v>6800000</v>
      </c>
      <c r="G4084" s="564" t="s">
        <v>1157</v>
      </c>
      <c r="H4084" s="564" t="s">
        <v>1157</v>
      </c>
      <c r="I4084" s="564" t="s">
        <v>2017</v>
      </c>
      <c r="J4084" s="564" t="s">
        <v>1069</v>
      </c>
      <c r="K4084" s="564" t="s">
        <v>1070</v>
      </c>
      <c r="L4084" s="564" t="s">
        <v>2098</v>
      </c>
      <c r="M4084" s="564" t="s">
        <v>2098</v>
      </c>
      <c r="N4084" s="564" t="s">
        <v>1082</v>
      </c>
      <c r="O4084" s="564" t="s">
        <v>2099</v>
      </c>
      <c r="P4084" s="23"/>
      <c r="Q4084" s="23"/>
      <c r="R4084" s="23"/>
      <c r="S4084" s="23"/>
      <c r="T4084" s="23"/>
      <c r="U4084" s="23"/>
      <c r="V4084" s="23"/>
      <c r="W4084" s="23"/>
      <c r="X4084" s="23"/>
      <c r="Y4084" s="23"/>
      <c r="Z4084" s="23"/>
    </row>
    <row r="4085" spans="1:26" ht="13">
      <c r="A4085" s="562" t="s">
        <v>8948</v>
      </c>
      <c r="B4085" s="563" t="s">
        <v>8523</v>
      </c>
      <c r="C4085" s="564" t="s">
        <v>1612</v>
      </c>
      <c r="D4085" s="565">
        <v>41065</v>
      </c>
      <c r="E4085" s="565">
        <v>41061</v>
      </c>
      <c r="F4085" s="566">
        <v>23137200</v>
      </c>
      <c r="G4085" s="564" t="s">
        <v>337</v>
      </c>
      <c r="H4085" s="564" t="s">
        <v>337</v>
      </c>
      <c r="I4085" s="564" t="s">
        <v>45</v>
      </c>
      <c r="J4085" s="564" t="s">
        <v>1069</v>
      </c>
      <c r="K4085" s="564" t="s">
        <v>1090</v>
      </c>
      <c r="L4085" s="564" t="s">
        <v>1071</v>
      </c>
      <c r="M4085" s="564" t="s">
        <v>1183</v>
      </c>
      <c r="N4085" s="564" t="s">
        <v>45</v>
      </c>
      <c r="O4085" s="564" t="s">
        <v>2099</v>
      </c>
      <c r="P4085" s="23"/>
      <c r="Q4085" s="23"/>
      <c r="R4085" s="23"/>
      <c r="S4085" s="23"/>
      <c r="T4085" s="23"/>
      <c r="U4085" s="23"/>
      <c r="V4085" s="23"/>
      <c r="W4085" s="23"/>
      <c r="X4085" s="23"/>
      <c r="Y4085" s="23"/>
      <c r="Z4085" s="23"/>
    </row>
    <row r="4086" spans="1:26" ht="13">
      <c r="A4086" s="562" t="s">
        <v>8949</v>
      </c>
      <c r="B4086" s="563" t="s">
        <v>8632</v>
      </c>
      <c r="C4086" s="564" t="s">
        <v>2191</v>
      </c>
      <c r="D4086" s="565">
        <v>41064</v>
      </c>
      <c r="E4086" s="565">
        <v>41121</v>
      </c>
      <c r="F4086" s="566">
        <v>209921</v>
      </c>
      <c r="G4086" s="564" t="s">
        <v>1636</v>
      </c>
      <c r="H4086" s="564" t="s">
        <v>1636</v>
      </c>
      <c r="I4086" s="564" t="s">
        <v>6222</v>
      </c>
      <c r="J4086" s="564" t="s">
        <v>1069</v>
      </c>
      <c r="K4086" s="564" t="s">
        <v>1205</v>
      </c>
      <c r="L4086" s="564" t="s">
        <v>2098</v>
      </c>
      <c r="M4086" s="564" t="s">
        <v>2098</v>
      </c>
      <c r="N4086" s="564" t="s">
        <v>1082</v>
      </c>
      <c r="O4086" s="564" t="s">
        <v>2099</v>
      </c>
      <c r="P4086" s="23"/>
      <c r="Q4086" s="23"/>
      <c r="R4086" s="23"/>
      <c r="S4086" s="23"/>
      <c r="T4086" s="23"/>
      <c r="U4086" s="23"/>
      <c r="V4086" s="23"/>
      <c r="W4086" s="23"/>
      <c r="X4086" s="23"/>
      <c r="Y4086" s="23"/>
      <c r="Z4086" s="23"/>
    </row>
    <row r="4087" spans="1:26" ht="13">
      <c r="A4087" s="562" t="s">
        <v>8950</v>
      </c>
      <c r="B4087" s="563" t="s">
        <v>8951</v>
      </c>
      <c r="C4087" s="564" t="s">
        <v>2191</v>
      </c>
      <c r="D4087" s="565">
        <v>41061</v>
      </c>
      <c r="E4087" s="565">
        <v>41106</v>
      </c>
      <c r="F4087" s="566">
        <v>300000</v>
      </c>
      <c r="G4087" s="564" t="s">
        <v>297</v>
      </c>
      <c r="H4087" s="564" t="s">
        <v>297</v>
      </c>
      <c r="I4087" s="564" t="s">
        <v>8952</v>
      </c>
      <c r="J4087" s="564" t="s">
        <v>1069</v>
      </c>
      <c r="K4087" s="564" t="s">
        <v>1198</v>
      </c>
      <c r="L4087" s="564" t="s">
        <v>2098</v>
      </c>
      <c r="M4087" s="564" t="s">
        <v>2098</v>
      </c>
      <c r="N4087" s="564" t="s">
        <v>1368</v>
      </c>
      <c r="O4087" s="564" t="s">
        <v>2099</v>
      </c>
      <c r="P4087" s="23"/>
      <c r="Q4087" s="23"/>
      <c r="R4087" s="23"/>
      <c r="S4087" s="23"/>
      <c r="T4087" s="23"/>
      <c r="U4087" s="23"/>
      <c r="V4087" s="23"/>
      <c r="W4087" s="23"/>
      <c r="X4087" s="23"/>
      <c r="Y4087" s="23"/>
      <c r="Z4087" s="23"/>
    </row>
    <row r="4088" spans="1:26" ht="13">
      <c r="A4088" s="562" t="s">
        <v>8953</v>
      </c>
      <c r="B4088" s="563" t="s">
        <v>8954</v>
      </c>
      <c r="C4088" s="564" t="s">
        <v>1612</v>
      </c>
      <c r="D4088" s="565">
        <v>41061</v>
      </c>
      <c r="E4088" s="565">
        <v>41067</v>
      </c>
      <c r="F4088" s="566">
        <v>5030</v>
      </c>
      <c r="G4088" s="564" t="s">
        <v>297</v>
      </c>
      <c r="H4088" s="564" t="s">
        <v>297</v>
      </c>
      <c r="I4088" s="564" t="s">
        <v>1837</v>
      </c>
      <c r="J4088" s="564" t="s">
        <v>1069</v>
      </c>
      <c r="K4088" s="564" t="s">
        <v>1070</v>
      </c>
      <c r="L4088" s="564" t="s">
        <v>2098</v>
      </c>
      <c r="M4088" s="564" t="s">
        <v>2098</v>
      </c>
      <c r="N4088" s="564" t="s">
        <v>1082</v>
      </c>
      <c r="O4088" s="564" t="s">
        <v>2099</v>
      </c>
      <c r="P4088" s="23"/>
      <c r="Q4088" s="23"/>
      <c r="R4088" s="23"/>
      <c r="S4088" s="23"/>
      <c r="T4088" s="23"/>
      <c r="U4088" s="23"/>
      <c r="V4088" s="23"/>
      <c r="W4088" s="23"/>
      <c r="X4088" s="23"/>
      <c r="Y4088" s="23"/>
      <c r="Z4088" s="23"/>
    </row>
    <row r="4089" spans="1:26" ht="13">
      <c r="A4089" s="562" t="s">
        <v>8955</v>
      </c>
      <c r="B4089" s="563" t="s">
        <v>8956</v>
      </c>
      <c r="C4089" s="564" t="s">
        <v>2191</v>
      </c>
      <c r="D4089" s="565">
        <v>41059</v>
      </c>
      <c r="E4089" s="565">
        <v>41060</v>
      </c>
      <c r="F4089" s="566">
        <v>166330</v>
      </c>
      <c r="G4089" s="564" t="s">
        <v>1636</v>
      </c>
      <c r="H4089" s="564" t="s">
        <v>1636</v>
      </c>
      <c r="I4089" s="564" t="s">
        <v>6222</v>
      </c>
      <c r="J4089" s="564" t="s">
        <v>1069</v>
      </c>
      <c r="K4089" s="564" t="s">
        <v>1198</v>
      </c>
      <c r="L4089" s="564" t="s">
        <v>2098</v>
      </c>
      <c r="M4089" s="564" t="s">
        <v>2098</v>
      </c>
      <c r="N4089" s="564" t="s">
        <v>1082</v>
      </c>
      <c r="O4089" s="564" t="s">
        <v>2099</v>
      </c>
      <c r="P4089" s="23"/>
      <c r="Q4089" s="23"/>
      <c r="R4089" s="23"/>
      <c r="S4089" s="23"/>
      <c r="T4089" s="23"/>
      <c r="U4089" s="23"/>
      <c r="V4089" s="23"/>
      <c r="W4089" s="23"/>
      <c r="X4089" s="23"/>
      <c r="Y4089" s="23"/>
      <c r="Z4089" s="23"/>
    </row>
    <row r="4090" spans="1:26" ht="13">
      <c r="A4090" s="562" t="s">
        <v>8957</v>
      </c>
      <c r="B4090" s="563" t="s">
        <v>8958</v>
      </c>
      <c r="C4090" s="564" t="s">
        <v>1873</v>
      </c>
      <c r="D4090" s="565">
        <v>41058</v>
      </c>
      <c r="E4090" s="565">
        <v>41068</v>
      </c>
      <c r="F4090" s="567">
        <v>380</v>
      </c>
      <c r="G4090" s="564" t="s">
        <v>337</v>
      </c>
      <c r="H4090" s="564" t="s">
        <v>337</v>
      </c>
      <c r="I4090" s="564" t="s">
        <v>170</v>
      </c>
      <c r="J4090" s="564" t="s">
        <v>1069</v>
      </c>
      <c r="K4090" s="564" t="s">
        <v>1105</v>
      </c>
      <c r="L4090" s="564" t="s">
        <v>2098</v>
      </c>
      <c r="M4090" s="564" t="s">
        <v>2098</v>
      </c>
      <c r="N4090" s="564" t="s">
        <v>170</v>
      </c>
      <c r="O4090" s="564" t="s">
        <v>2099</v>
      </c>
      <c r="P4090" s="23"/>
      <c r="Q4090" s="23"/>
      <c r="R4090" s="23"/>
      <c r="S4090" s="23"/>
      <c r="T4090" s="23"/>
      <c r="U4090" s="23"/>
      <c r="V4090" s="23"/>
      <c r="W4090" s="23"/>
      <c r="X4090" s="23"/>
      <c r="Y4090" s="23"/>
      <c r="Z4090" s="23"/>
    </row>
    <row r="4091" spans="1:26" ht="13">
      <c r="A4091" s="562" t="s">
        <v>8959</v>
      </c>
      <c r="B4091" s="563" t="s">
        <v>8960</v>
      </c>
      <c r="C4091" s="564" t="s">
        <v>1612</v>
      </c>
      <c r="D4091" s="565">
        <v>41058</v>
      </c>
      <c r="E4091" s="565">
        <v>41067</v>
      </c>
      <c r="F4091" s="566">
        <v>601000</v>
      </c>
      <c r="G4091" s="564" t="s">
        <v>1157</v>
      </c>
      <c r="H4091" s="564" t="s">
        <v>1157</v>
      </c>
      <c r="I4091" s="564" t="s">
        <v>1821</v>
      </c>
      <c r="J4091" s="564" t="s">
        <v>1069</v>
      </c>
      <c r="K4091" s="564" t="s">
        <v>1120</v>
      </c>
      <c r="L4091" s="564" t="s">
        <v>2098</v>
      </c>
      <c r="M4091" s="564" t="s">
        <v>2098</v>
      </c>
      <c r="N4091" s="564" t="s">
        <v>1073</v>
      </c>
      <c r="O4091" s="564" t="s">
        <v>2099</v>
      </c>
      <c r="P4091" s="23"/>
      <c r="Q4091" s="23"/>
      <c r="R4091" s="23"/>
      <c r="S4091" s="23"/>
      <c r="T4091" s="23"/>
      <c r="U4091" s="23"/>
      <c r="V4091" s="23"/>
      <c r="W4091" s="23"/>
      <c r="X4091" s="23"/>
      <c r="Y4091" s="23"/>
      <c r="Z4091" s="23"/>
    </row>
    <row r="4092" spans="1:26" ht="13">
      <c r="A4092" s="562" t="s">
        <v>8961</v>
      </c>
      <c r="B4092" s="563" t="s">
        <v>8762</v>
      </c>
      <c r="C4092" s="564" t="s">
        <v>1612</v>
      </c>
      <c r="D4092" s="565">
        <v>41054</v>
      </c>
      <c r="E4092" s="565">
        <v>41058</v>
      </c>
      <c r="F4092" s="567">
        <v>630</v>
      </c>
      <c r="G4092" s="564" t="s">
        <v>337</v>
      </c>
      <c r="H4092" s="564" t="s">
        <v>337</v>
      </c>
      <c r="I4092" s="564" t="s">
        <v>802</v>
      </c>
      <c r="J4092" s="564" t="s">
        <v>1069</v>
      </c>
      <c r="K4092" s="564" t="s">
        <v>1198</v>
      </c>
      <c r="L4092" s="564" t="s">
        <v>2098</v>
      </c>
      <c r="M4092" s="564" t="s">
        <v>2098</v>
      </c>
      <c r="N4092" s="564" t="s">
        <v>132</v>
      </c>
      <c r="O4092" s="564" t="s">
        <v>2099</v>
      </c>
      <c r="P4092" s="23"/>
      <c r="Q4092" s="23"/>
      <c r="R4092" s="23"/>
      <c r="S4092" s="23"/>
      <c r="T4092" s="23"/>
      <c r="U4092" s="23"/>
      <c r="V4092" s="23"/>
      <c r="W4092" s="23"/>
      <c r="X4092" s="23"/>
      <c r="Y4092" s="23"/>
      <c r="Z4092" s="23"/>
    </row>
    <row r="4093" spans="1:26" ht="13">
      <c r="A4093" s="562" t="s">
        <v>8962</v>
      </c>
      <c r="B4093" s="563" t="s">
        <v>8963</v>
      </c>
      <c r="C4093" s="564" t="s">
        <v>1612</v>
      </c>
      <c r="D4093" s="565">
        <v>41054</v>
      </c>
      <c r="E4093" s="565">
        <v>41060</v>
      </c>
      <c r="F4093" s="566">
        <v>1100</v>
      </c>
      <c r="G4093" s="564" t="s">
        <v>337</v>
      </c>
      <c r="H4093" s="564" t="s">
        <v>337</v>
      </c>
      <c r="I4093" s="564" t="s">
        <v>64</v>
      </c>
      <c r="J4093" s="564" t="s">
        <v>1069</v>
      </c>
      <c r="K4093" s="564" t="s">
        <v>1090</v>
      </c>
      <c r="L4093" s="564" t="s">
        <v>2098</v>
      </c>
      <c r="M4093" s="564" t="s">
        <v>2098</v>
      </c>
      <c r="N4093" s="564" t="s">
        <v>64</v>
      </c>
      <c r="O4093" s="564" t="s">
        <v>2099</v>
      </c>
      <c r="P4093" s="23"/>
      <c r="Q4093" s="23"/>
      <c r="R4093" s="23"/>
      <c r="S4093" s="23"/>
      <c r="T4093" s="23"/>
      <c r="U4093" s="23"/>
      <c r="V4093" s="23"/>
      <c r="W4093" s="23"/>
      <c r="X4093" s="23"/>
      <c r="Y4093" s="23"/>
      <c r="Z4093" s="23"/>
    </row>
    <row r="4094" spans="1:26" ht="13">
      <c r="A4094" s="562" t="s">
        <v>8964</v>
      </c>
      <c r="B4094" s="563" t="s">
        <v>8965</v>
      </c>
      <c r="C4094" s="564" t="s">
        <v>1612</v>
      </c>
      <c r="D4094" s="565">
        <v>41054</v>
      </c>
      <c r="E4094" s="565">
        <v>41059</v>
      </c>
      <c r="F4094" s="566">
        <v>4540</v>
      </c>
      <c r="G4094" s="564" t="s">
        <v>337</v>
      </c>
      <c r="H4094" s="564" t="s">
        <v>337</v>
      </c>
      <c r="I4094" s="564" t="s">
        <v>64</v>
      </c>
      <c r="J4094" s="564" t="s">
        <v>1069</v>
      </c>
      <c r="K4094" s="564" t="s">
        <v>1090</v>
      </c>
      <c r="L4094" s="564" t="s">
        <v>2098</v>
      </c>
      <c r="M4094" s="564" t="s">
        <v>2098</v>
      </c>
      <c r="N4094" s="564" t="s">
        <v>64</v>
      </c>
      <c r="O4094" s="564" t="s">
        <v>2099</v>
      </c>
      <c r="P4094" s="23"/>
      <c r="Q4094" s="23"/>
      <c r="R4094" s="23"/>
      <c r="S4094" s="23"/>
      <c r="T4094" s="23"/>
      <c r="U4094" s="23"/>
      <c r="V4094" s="23"/>
      <c r="W4094" s="23"/>
      <c r="X4094" s="23"/>
      <c r="Y4094" s="23"/>
      <c r="Z4094" s="23"/>
    </row>
    <row r="4095" spans="1:26" ht="13">
      <c r="A4095" s="562" t="s">
        <v>8966</v>
      </c>
      <c r="B4095" s="563" t="s">
        <v>8543</v>
      </c>
      <c r="C4095" s="564" t="s">
        <v>1612</v>
      </c>
      <c r="D4095" s="565">
        <v>41052</v>
      </c>
      <c r="E4095" s="565">
        <v>41054</v>
      </c>
      <c r="F4095" s="566">
        <v>3675</v>
      </c>
      <c r="G4095" s="564" t="s">
        <v>337</v>
      </c>
      <c r="H4095" s="564" t="s">
        <v>337</v>
      </c>
      <c r="I4095" s="564" t="s">
        <v>70</v>
      </c>
      <c r="J4095" s="564" t="s">
        <v>1069</v>
      </c>
      <c r="K4095" s="564" t="s">
        <v>1120</v>
      </c>
      <c r="L4095" s="564" t="s">
        <v>2098</v>
      </c>
      <c r="M4095" s="564" t="s">
        <v>2098</v>
      </c>
      <c r="N4095" s="564" t="s">
        <v>70</v>
      </c>
      <c r="O4095" s="564" t="s">
        <v>2099</v>
      </c>
      <c r="P4095" s="23"/>
      <c r="Q4095" s="23"/>
      <c r="R4095" s="23"/>
      <c r="S4095" s="23"/>
      <c r="T4095" s="23"/>
      <c r="U4095" s="23"/>
      <c r="V4095" s="23"/>
      <c r="W4095" s="23"/>
      <c r="X4095" s="23"/>
      <c r="Y4095" s="23"/>
      <c r="Z4095" s="23"/>
    </row>
    <row r="4096" spans="1:26" ht="13">
      <c r="A4096" s="562" t="s">
        <v>8967</v>
      </c>
      <c r="B4096" s="563" t="s">
        <v>8968</v>
      </c>
      <c r="C4096" s="564" t="s">
        <v>2191</v>
      </c>
      <c r="D4096" s="565">
        <v>41052</v>
      </c>
      <c r="E4096" s="565">
        <v>41197</v>
      </c>
      <c r="F4096" s="566">
        <v>1260266</v>
      </c>
      <c r="G4096" s="564" t="s">
        <v>8532</v>
      </c>
      <c r="H4096" s="564" t="s">
        <v>8532</v>
      </c>
      <c r="I4096" s="564" t="s">
        <v>8414</v>
      </c>
      <c r="J4096" s="564" t="s">
        <v>1069</v>
      </c>
      <c r="K4096" s="564" t="s">
        <v>2878</v>
      </c>
      <c r="L4096" s="564" t="s">
        <v>2098</v>
      </c>
      <c r="M4096" s="564" t="s">
        <v>2098</v>
      </c>
      <c r="N4096" s="564" t="s">
        <v>1368</v>
      </c>
      <c r="O4096" s="564" t="s">
        <v>2099</v>
      </c>
      <c r="P4096" s="23"/>
      <c r="Q4096" s="23"/>
      <c r="R4096" s="23"/>
      <c r="S4096" s="23"/>
      <c r="T4096" s="23"/>
      <c r="U4096" s="23"/>
      <c r="V4096" s="23"/>
      <c r="W4096" s="23"/>
      <c r="X4096" s="23"/>
      <c r="Y4096" s="23"/>
      <c r="Z4096" s="23"/>
    </row>
    <row r="4097" spans="1:26" ht="13">
      <c r="A4097" s="562" t="s">
        <v>8969</v>
      </c>
      <c r="B4097" s="563" t="s">
        <v>8970</v>
      </c>
      <c r="C4097" s="564" t="s">
        <v>1612</v>
      </c>
      <c r="D4097" s="565">
        <v>41047</v>
      </c>
      <c r="E4097" s="565">
        <v>41052</v>
      </c>
      <c r="F4097" s="567">
        <v>740</v>
      </c>
      <c r="G4097" s="564" t="s">
        <v>337</v>
      </c>
      <c r="H4097" s="564" t="s">
        <v>337</v>
      </c>
      <c r="I4097" s="564" t="s">
        <v>802</v>
      </c>
      <c r="J4097" s="564" t="s">
        <v>1069</v>
      </c>
      <c r="K4097" s="564" t="s">
        <v>1198</v>
      </c>
      <c r="L4097" s="564" t="s">
        <v>2098</v>
      </c>
      <c r="M4097" s="564" t="s">
        <v>2098</v>
      </c>
      <c r="N4097" s="564" t="s">
        <v>132</v>
      </c>
      <c r="O4097" s="564" t="s">
        <v>2099</v>
      </c>
      <c r="P4097" s="23"/>
      <c r="Q4097" s="23"/>
      <c r="R4097" s="23"/>
      <c r="S4097" s="23"/>
      <c r="T4097" s="23"/>
      <c r="U4097" s="23"/>
      <c r="V4097" s="23"/>
      <c r="W4097" s="23"/>
      <c r="X4097" s="23"/>
      <c r="Y4097" s="23"/>
      <c r="Z4097" s="23"/>
    </row>
    <row r="4098" spans="1:26" ht="13">
      <c r="A4098" s="562" t="s">
        <v>8971</v>
      </c>
      <c r="B4098" s="563" t="s">
        <v>8972</v>
      </c>
      <c r="C4098" s="564" t="s">
        <v>1612</v>
      </c>
      <c r="D4098" s="565">
        <v>41046</v>
      </c>
      <c r="E4098" s="565">
        <v>41053</v>
      </c>
      <c r="F4098" s="566">
        <v>5260</v>
      </c>
      <c r="G4098" s="564" t="s">
        <v>337</v>
      </c>
      <c r="H4098" s="564" t="s">
        <v>337</v>
      </c>
      <c r="I4098" s="564" t="s">
        <v>64</v>
      </c>
      <c r="J4098" s="564" t="s">
        <v>1069</v>
      </c>
      <c r="K4098" s="564" t="s">
        <v>1090</v>
      </c>
      <c r="L4098" s="564" t="s">
        <v>2098</v>
      </c>
      <c r="M4098" s="564" t="s">
        <v>2098</v>
      </c>
      <c r="N4098" s="564" t="s">
        <v>64</v>
      </c>
      <c r="O4098" s="564" t="s">
        <v>2099</v>
      </c>
      <c r="P4098" s="23"/>
      <c r="Q4098" s="23"/>
      <c r="R4098" s="23"/>
      <c r="S4098" s="23"/>
      <c r="T4098" s="23"/>
      <c r="U4098" s="23"/>
      <c r="V4098" s="23"/>
      <c r="W4098" s="23"/>
      <c r="X4098" s="23"/>
      <c r="Y4098" s="23"/>
      <c r="Z4098" s="23"/>
    </row>
    <row r="4099" spans="1:26" ht="13">
      <c r="A4099" s="562" t="s">
        <v>8973</v>
      </c>
      <c r="B4099" s="563" t="s">
        <v>8478</v>
      </c>
      <c r="C4099" s="564" t="s">
        <v>1612</v>
      </c>
      <c r="D4099" s="565">
        <v>41043</v>
      </c>
      <c r="E4099" s="565">
        <v>41045</v>
      </c>
      <c r="F4099" s="566">
        <v>1470</v>
      </c>
      <c r="G4099" s="564" t="s">
        <v>337</v>
      </c>
      <c r="H4099" s="564" t="s">
        <v>337</v>
      </c>
      <c r="I4099" s="564" t="s">
        <v>70</v>
      </c>
      <c r="J4099" s="564" t="s">
        <v>1069</v>
      </c>
      <c r="K4099" s="564" t="s">
        <v>1120</v>
      </c>
      <c r="L4099" s="564" t="s">
        <v>2098</v>
      </c>
      <c r="M4099" s="564" t="s">
        <v>2098</v>
      </c>
      <c r="N4099" s="564" t="s">
        <v>70</v>
      </c>
      <c r="O4099" s="564" t="s">
        <v>2099</v>
      </c>
      <c r="P4099" s="23"/>
      <c r="Q4099" s="23"/>
      <c r="R4099" s="23"/>
      <c r="S4099" s="23"/>
      <c r="T4099" s="23"/>
      <c r="U4099" s="23"/>
      <c r="V4099" s="23"/>
      <c r="W4099" s="23"/>
      <c r="X4099" s="23"/>
      <c r="Y4099" s="23"/>
      <c r="Z4099" s="23"/>
    </row>
    <row r="4100" spans="1:26" ht="13">
      <c r="A4100" s="562" t="s">
        <v>8974</v>
      </c>
      <c r="B4100" s="563" t="s">
        <v>8582</v>
      </c>
      <c r="C4100" s="564" t="s">
        <v>1612</v>
      </c>
      <c r="D4100" s="565">
        <v>41037</v>
      </c>
      <c r="E4100" s="565">
        <v>41045</v>
      </c>
      <c r="F4100" s="566">
        <v>12272727</v>
      </c>
      <c r="G4100" s="564" t="s">
        <v>337</v>
      </c>
      <c r="H4100" s="564" t="s">
        <v>337</v>
      </c>
      <c r="I4100" s="564" t="s">
        <v>802</v>
      </c>
      <c r="J4100" s="564" t="s">
        <v>1069</v>
      </c>
      <c r="K4100" s="564" t="s">
        <v>1198</v>
      </c>
      <c r="L4100" s="564" t="s">
        <v>2098</v>
      </c>
      <c r="M4100" s="564" t="s">
        <v>2098</v>
      </c>
      <c r="N4100" s="564" t="s">
        <v>132</v>
      </c>
      <c r="O4100" s="564" t="s">
        <v>2099</v>
      </c>
      <c r="P4100" s="23"/>
      <c r="Q4100" s="23"/>
      <c r="R4100" s="23"/>
      <c r="S4100" s="23"/>
      <c r="T4100" s="23"/>
      <c r="U4100" s="23"/>
      <c r="V4100" s="23"/>
      <c r="W4100" s="23"/>
      <c r="X4100" s="23"/>
      <c r="Y4100" s="23"/>
      <c r="Z4100" s="23"/>
    </row>
    <row r="4101" spans="1:26" ht="13">
      <c r="A4101" s="562" t="s">
        <v>8975</v>
      </c>
      <c r="B4101" s="563" t="s">
        <v>8588</v>
      </c>
      <c r="C4101" s="564" t="s">
        <v>1612</v>
      </c>
      <c r="D4101" s="565">
        <v>41037</v>
      </c>
      <c r="E4101" s="565">
        <v>41045</v>
      </c>
      <c r="F4101" s="566">
        <v>460000</v>
      </c>
      <c r="G4101" s="564" t="s">
        <v>337</v>
      </c>
      <c r="H4101" s="564" t="s">
        <v>337</v>
      </c>
      <c r="I4101" s="564" t="s">
        <v>1247</v>
      </c>
      <c r="J4101" s="564" t="s">
        <v>1069</v>
      </c>
      <c r="K4101" s="564" t="s">
        <v>1070</v>
      </c>
      <c r="L4101" s="564" t="s">
        <v>2098</v>
      </c>
      <c r="M4101" s="564" t="s">
        <v>2098</v>
      </c>
      <c r="N4101" s="564" t="s">
        <v>1073</v>
      </c>
      <c r="O4101" s="564" t="s">
        <v>2099</v>
      </c>
      <c r="P4101" s="23"/>
      <c r="Q4101" s="23"/>
      <c r="R4101" s="23"/>
      <c r="S4101" s="23"/>
      <c r="T4101" s="23"/>
      <c r="U4101" s="23"/>
      <c r="V4101" s="23"/>
      <c r="W4101" s="23"/>
      <c r="X4101" s="23"/>
      <c r="Y4101" s="23"/>
      <c r="Z4101" s="23"/>
    </row>
    <row r="4102" spans="1:26" ht="13">
      <c r="A4102" s="562" t="s">
        <v>8976</v>
      </c>
      <c r="B4102" s="563" t="s">
        <v>8478</v>
      </c>
      <c r="C4102" s="564" t="s">
        <v>1612</v>
      </c>
      <c r="D4102" s="565">
        <v>41036</v>
      </c>
      <c r="E4102" s="565">
        <v>41038</v>
      </c>
      <c r="F4102" s="566">
        <v>1470000</v>
      </c>
      <c r="G4102" s="564" t="s">
        <v>337</v>
      </c>
      <c r="H4102" s="564" t="s">
        <v>337</v>
      </c>
      <c r="I4102" s="564" t="s">
        <v>70</v>
      </c>
      <c r="J4102" s="564" t="s">
        <v>1069</v>
      </c>
      <c r="K4102" s="564" t="s">
        <v>1120</v>
      </c>
      <c r="L4102" s="564" t="s">
        <v>2098</v>
      </c>
      <c r="M4102" s="564" t="s">
        <v>2098</v>
      </c>
      <c r="N4102" s="564" t="s">
        <v>70</v>
      </c>
      <c r="O4102" s="564" t="s">
        <v>2099</v>
      </c>
      <c r="P4102" s="23"/>
      <c r="Q4102" s="23"/>
      <c r="R4102" s="23"/>
      <c r="S4102" s="23"/>
      <c r="T4102" s="23"/>
      <c r="U4102" s="23"/>
      <c r="V4102" s="23"/>
      <c r="W4102" s="23"/>
      <c r="X4102" s="23"/>
      <c r="Y4102" s="23"/>
      <c r="Z4102" s="23"/>
    </row>
    <row r="4103" spans="1:26" ht="13">
      <c r="A4103" s="562" t="s">
        <v>8977</v>
      </c>
      <c r="B4103" s="563" t="s">
        <v>8978</v>
      </c>
      <c r="C4103" s="564" t="s">
        <v>1612</v>
      </c>
      <c r="D4103" s="565">
        <v>41036</v>
      </c>
      <c r="E4103" s="565">
        <v>41047</v>
      </c>
      <c r="F4103" s="566">
        <v>225833</v>
      </c>
      <c r="G4103" s="564" t="s">
        <v>1856</v>
      </c>
      <c r="H4103" s="564" t="s">
        <v>1856</v>
      </c>
      <c r="I4103" s="564" t="s">
        <v>45</v>
      </c>
      <c r="J4103" s="564" t="s">
        <v>1069</v>
      </c>
      <c r="K4103" s="564" t="s">
        <v>1090</v>
      </c>
      <c r="L4103" s="564" t="s">
        <v>2098</v>
      </c>
      <c r="M4103" s="564" t="s">
        <v>2098</v>
      </c>
      <c r="N4103" s="564" t="s">
        <v>45</v>
      </c>
      <c r="O4103" s="564" t="s">
        <v>2099</v>
      </c>
      <c r="P4103" s="23"/>
      <c r="Q4103" s="23"/>
      <c r="R4103" s="23"/>
      <c r="S4103" s="23"/>
      <c r="T4103" s="23"/>
      <c r="U4103" s="23"/>
      <c r="V4103" s="23"/>
      <c r="W4103" s="23"/>
      <c r="X4103" s="23"/>
      <c r="Y4103" s="23"/>
      <c r="Z4103" s="23"/>
    </row>
    <row r="4104" spans="1:26" ht="13">
      <c r="A4104" s="562" t="s">
        <v>8979</v>
      </c>
      <c r="B4104" s="563" t="s">
        <v>8608</v>
      </c>
      <c r="C4104" s="564" t="s">
        <v>1612</v>
      </c>
      <c r="D4104" s="565">
        <v>41033</v>
      </c>
      <c r="E4104" s="565">
        <v>41040</v>
      </c>
      <c r="F4104" s="567">
        <v>130</v>
      </c>
      <c r="G4104" s="564" t="s">
        <v>337</v>
      </c>
      <c r="H4104" s="564" t="s">
        <v>337</v>
      </c>
      <c r="I4104" s="564" t="s">
        <v>1161</v>
      </c>
      <c r="J4104" s="564" t="s">
        <v>1069</v>
      </c>
      <c r="K4104" s="564" t="s">
        <v>1090</v>
      </c>
      <c r="L4104" s="564" t="s">
        <v>2098</v>
      </c>
      <c r="M4104" s="564" t="s">
        <v>2098</v>
      </c>
      <c r="N4104" s="564" t="s">
        <v>1073</v>
      </c>
      <c r="O4104" s="564" t="s">
        <v>2099</v>
      </c>
      <c r="P4104" s="23"/>
      <c r="Q4104" s="23"/>
      <c r="R4104" s="23"/>
      <c r="S4104" s="23"/>
      <c r="T4104" s="23"/>
      <c r="U4104" s="23"/>
      <c r="V4104" s="23"/>
      <c r="W4104" s="23"/>
      <c r="X4104" s="23"/>
      <c r="Y4104" s="23"/>
      <c r="Z4104" s="23"/>
    </row>
    <row r="4105" spans="1:26" ht="13">
      <c r="A4105" s="562" t="s">
        <v>8980</v>
      </c>
      <c r="B4105" s="563" t="s">
        <v>8879</v>
      </c>
      <c r="C4105" s="564" t="s">
        <v>1612</v>
      </c>
      <c r="D4105" s="565">
        <v>41032</v>
      </c>
      <c r="E4105" s="565">
        <v>41039</v>
      </c>
      <c r="F4105" s="566">
        <v>23840</v>
      </c>
      <c r="G4105" s="564" t="s">
        <v>337</v>
      </c>
      <c r="H4105" s="564" t="s">
        <v>337</v>
      </c>
      <c r="I4105" s="564" t="s">
        <v>1837</v>
      </c>
      <c r="J4105" s="564" t="s">
        <v>1069</v>
      </c>
      <c r="K4105" s="564" t="s">
        <v>1090</v>
      </c>
      <c r="L4105" s="564" t="s">
        <v>2098</v>
      </c>
      <c r="M4105" s="564" t="s">
        <v>2098</v>
      </c>
      <c r="N4105" s="564" t="s">
        <v>1082</v>
      </c>
      <c r="O4105" s="564" t="s">
        <v>2099</v>
      </c>
      <c r="P4105" s="23"/>
      <c r="Q4105" s="23"/>
      <c r="R4105" s="23"/>
      <c r="S4105" s="23"/>
      <c r="T4105" s="23"/>
      <c r="U4105" s="23"/>
      <c r="V4105" s="23"/>
      <c r="W4105" s="23"/>
      <c r="X4105" s="23"/>
      <c r="Y4105" s="23"/>
      <c r="Z4105" s="23"/>
    </row>
    <row r="4106" spans="1:26" ht="13">
      <c r="A4106" s="562" t="s">
        <v>8981</v>
      </c>
      <c r="B4106" s="563" t="s">
        <v>8546</v>
      </c>
      <c r="C4106" s="564" t="s">
        <v>1612</v>
      </c>
      <c r="D4106" s="565">
        <v>41032</v>
      </c>
      <c r="E4106" s="565">
        <v>41040</v>
      </c>
      <c r="F4106" s="566">
        <v>2073500</v>
      </c>
      <c r="G4106" s="564" t="s">
        <v>337</v>
      </c>
      <c r="H4106" s="564" t="s">
        <v>337</v>
      </c>
      <c r="I4106" s="564" t="s">
        <v>1821</v>
      </c>
      <c r="J4106" s="564" t="s">
        <v>1069</v>
      </c>
      <c r="K4106" s="564" t="s">
        <v>1120</v>
      </c>
      <c r="L4106" s="564" t="s">
        <v>2098</v>
      </c>
      <c r="M4106" s="564" t="s">
        <v>2098</v>
      </c>
      <c r="N4106" s="564" t="s">
        <v>1073</v>
      </c>
      <c r="O4106" s="564" t="s">
        <v>2099</v>
      </c>
      <c r="P4106" s="23"/>
      <c r="Q4106" s="23"/>
      <c r="R4106" s="23"/>
      <c r="S4106" s="23"/>
      <c r="T4106" s="23"/>
      <c r="U4106" s="23"/>
      <c r="V4106" s="23"/>
      <c r="W4106" s="23"/>
      <c r="X4106" s="23"/>
      <c r="Y4106" s="23"/>
      <c r="Z4106" s="23"/>
    </row>
    <row r="4107" spans="1:26" ht="13">
      <c r="A4107" s="562" t="s">
        <v>8982</v>
      </c>
      <c r="B4107" s="563" t="s">
        <v>8983</v>
      </c>
      <c r="C4107" s="564" t="s">
        <v>1612</v>
      </c>
      <c r="D4107" s="565">
        <v>41029</v>
      </c>
      <c r="E4107" s="565">
        <v>41033</v>
      </c>
      <c r="F4107" s="566">
        <v>7170</v>
      </c>
      <c r="G4107" s="564" t="s">
        <v>337</v>
      </c>
      <c r="H4107" s="564" t="s">
        <v>337</v>
      </c>
      <c r="I4107" s="564" t="s">
        <v>64</v>
      </c>
      <c r="J4107" s="564" t="s">
        <v>1069</v>
      </c>
      <c r="K4107" s="564" t="s">
        <v>1090</v>
      </c>
      <c r="L4107" s="564" t="s">
        <v>2098</v>
      </c>
      <c r="M4107" s="564" t="s">
        <v>2098</v>
      </c>
      <c r="N4107" s="564" t="s">
        <v>64</v>
      </c>
      <c r="O4107" s="564" t="s">
        <v>2099</v>
      </c>
      <c r="P4107" s="23"/>
      <c r="Q4107" s="23"/>
      <c r="R4107" s="23"/>
      <c r="S4107" s="23"/>
      <c r="T4107" s="23"/>
      <c r="U4107" s="23"/>
      <c r="V4107" s="23"/>
      <c r="W4107" s="23"/>
      <c r="X4107" s="23"/>
      <c r="Y4107" s="23"/>
      <c r="Z4107" s="23"/>
    </row>
    <row r="4108" spans="1:26" ht="13">
      <c r="A4108" s="562" t="s">
        <v>8984</v>
      </c>
      <c r="B4108" s="563" t="s">
        <v>8985</v>
      </c>
      <c r="C4108" s="564" t="s">
        <v>1612</v>
      </c>
      <c r="D4108" s="565">
        <v>41029</v>
      </c>
      <c r="E4108" s="565">
        <v>41044</v>
      </c>
      <c r="F4108" s="566">
        <v>23636363</v>
      </c>
      <c r="G4108" s="564" t="s">
        <v>1123</v>
      </c>
      <c r="H4108" s="564" t="s">
        <v>1123</v>
      </c>
      <c r="I4108" s="564" t="s">
        <v>802</v>
      </c>
      <c r="J4108" s="564" t="s">
        <v>1069</v>
      </c>
      <c r="K4108" s="564" t="s">
        <v>1198</v>
      </c>
      <c r="L4108" s="564" t="s">
        <v>2098</v>
      </c>
      <c r="M4108" s="564" t="s">
        <v>2098</v>
      </c>
      <c r="N4108" s="564" t="s">
        <v>132</v>
      </c>
      <c r="O4108" s="564" t="s">
        <v>2099</v>
      </c>
      <c r="P4108" s="23"/>
      <c r="Q4108" s="23"/>
      <c r="R4108" s="23"/>
      <c r="S4108" s="23"/>
      <c r="T4108" s="23"/>
      <c r="U4108" s="23"/>
      <c r="V4108" s="23"/>
      <c r="W4108" s="23"/>
      <c r="X4108" s="23"/>
      <c r="Y4108" s="23"/>
      <c r="Z4108" s="23"/>
    </row>
    <row r="4109" spans="1:26" ht="13">
      <c r="A4109" s="562" t="s">
        <v>8986</v>
      </c>
      <c r="B4109" s="563" t="s">
        <v>8987</v>
      </c>
      <c r="C4109" s="564" t="s">
        <v>1612</v>
      </c>
      <c r="D4109" s="565">
        <v>41024</v>
      </c>
      <c r="E4109" s="565">
        <v>41029</v>
      </c>
      <c r="F4109" s="566">
        <v>5320000</v>
      </c>
      <c r="G4109" s="564" t="s">
        <v>297</v>
      </c>
      <c r="H4109" s="564" t="s">
        <v>297</v>
      </c>
      <c r="I4109" s="564" t="s">
        <v>1837</v>
      </c>
      <c r="J4109" s="564" t="s">
        <v>1069</v>
      </c>
      <c r="K4109" s="564" t="s">
        <v>1070</v>
      </c>
      <c r="L4109" s="564" t="s">
        <v>2098</v>
      </c>
      <c r="M4109" s="564" t="s">
        <v>2098</v>
      </c>
      <c r="N4109" s="564" t="s">
        <v>1082</v>
      </c>
      <c r="O4109" s="564" t="s">
        <v>2099</v>
      </c>
      <c r="P4109" s="23"/>
      <c r="Q4109" s="23"/>
      <c r="R4109" s="23"/>
      <c r="S4109" s="23"/>
      <c r="T4109" s="23"/>
      <c r="U4109" s="23"/>
      <c r="V4109" s="23"/>
      <c r="W4109" s="23"/>
      <c r="X4109" s="23"/>
      <c r="Y4109" s="23"/>
      <c r="Z4109" s="23"/>
    </row>
    <row r="4110" spans="1:26" ht="13">
      <c r="A4110" s="562" t="s">
        <v>8988</v>
      </c>
      <c r="B4110" s="563" t="s">
        <v>8989</v>
      </c>
      <c r="C4110" s="564" t="s">
        <v>2191</v>
      </c>
      <c r="D4110" s="565">
        <v>41022</v>
      </c>
      <c r="E4110" s="565">
        <v>41026</v>
      </c>
      <c r="F4110" s="566">
        <v>52005</v>
      </c>
      <c r="G4110" s="564" t="s">
        <v>1636</v>
      </c>
      <c r="H4110" s="564" t="s">
        <v>1636</v>
      </c>
      <c r="I4110" s="564" t="s">
        <v>6222</v>
      </c>
      <c r="J4110" s="564" t="s">
        <v>1069</v>
      </c>
      <c r="K4110" s="564" t="s">
        <v>1198</v>
      </c>
      <c r="L4110" s="564" t="s">
        <v>2098</v>
      </c>
      <c r="M4110" s="564" t="s">
        <v>2098</v>
      </c>
      <c r="N4110" s="564" t="s">
        <v>1082</v>
      </c>
      <c r="O4110" s="564" t="s">
        <v>2099</v>
      </c>
      <c r="P4110" s="23"/>
      <c r="Q4110" s="23"/>
      <c r="R4110" s="23"/>
      <c r="S4110" s="23"/>
      <c r="T4110" s="23"/>
      <c r="U4110" s="23"/>
      <c r="V4110" s="23"/>
      <c r="W4110" s="23"/>
      <c r="X4110" s="23"/>
      <c r="Y4110" s="23"/>
      <c r="Z4110" s="23"/>
    </row>
    <row r="4111" spans="1:26" ht="13">
      <c r="A4111" s="562" t="s">
        <v>8990</v>
      </c>
      <c r="B4111" s="563" t="s">
        <v>8991</v>
      </c>
      <c r="C4111" s="564" t="s">
        <v>1612</v>
      </c>
      <c r="D4111" s="565">
        <v>41018</v>
      </c>
      <c r="E4111" s="565">
        <v>41019</v>
      </c>
      <c r="F4111" s="566">
        <v>20575764</v>
      </c>
      <c r="G4111" s="564" t="s">
        <v>337</v>
      </c>
      <c r="H4111" s="564" t="s">
        <v>337</v>
      </c>
      <c r="I4111" s="564" t="s">
        <v>45</v>
      </c>
      <c r="J4111" s="564" t="s">
        <v>1069</v>
      </c>
      <c r="K4111" s="564" t="s">
        <v>1090</v>
      </c>
      <c r="L4111" s="564" t="s">
        <v>1071</v>
      </c>
      <c r="M4111" s="564" t="s">
        <v>1183</v>
      </c>
      <c r="N4111" s="564" t="s">
        <v>45</v>
      </c>
      <c r="O4111" s="564" t="s">
        <v>2099</v>
      </c>
      <c r="P4111" s="23"/>
      <c r="Q4111" s="23"/>
      <c r="R4111" s="23"/>
      <c r="S4111" s="23"/>
      <c r="T4111" s="23"/>
      <c r="U4111" s="23"/>
      <c r="V4111" s="23"/>
      <c r="W4111" s="23"/>
      <c r="X4111" s="23"/>
      <c r="Y4111" s="23"/>
      <c r="Z4111" s="23"/>
    </row>
    <row r="4112" spans="1:26" ht="13">
      <c r="A4112" s="562" t="s">
        <v>8992</v>
      </c>
      <c r="B4112" s="563" t="s">
        <v>8993</v>
      </c>
      <c r="C4112" s="564" t="s">
        <v>2191</v>
      </c>
      <c r="D4112" s="565">
        <v>41019</v>
      </c>
      <c r="E4112" s="565">
        <v>41025</v>
      </c>
      <c r="F4112" s="566">
        <v>184000000</v>
      </c>
      <c r="G4112" s="564" t="s">
        <v>1856</v>
      </c>
      <c r="H4112" s="564" t="s">
        <v>1856</v>
      </c>
      <c r="I4112" s="564" t="s">
        <v>8994</v>
      </c>
      <c r="J4112" s="564" t="s">
        <v>1069</v>
      </c>
      <c r="K4112" s="564" t="s">
        <v>1070</v>
      </c>
      <c r="L4112" s="564" t="s">
        <v>2098</v>
      </c>
      <c r="M4112" s="564" t="s">
        <v>2098</v>
      </c>
      <c r="N4112" s="564" t="s">
        <v>1082</v>
      </c>
      <c r="O4112" s="564" t="s">
        <v>2099</v>
      </c>
      <c r="P4112" s="23"/>
      <c r="Q4112" s="23"/>
      <c r="R4112" s="23"/>
      <c r="S4112" s="23"/>
      <c r="T4112" s="23"/>
      <c r="U4112" s="23"/>
      <c r="V4112" s="23"/>
      <c r="W4112" s="23"/>
      <c r="X4112" s="23"/>
      <c r="Y4112" s="23"/>
      <c r="Z4112" s="23"/>
    </row>
    <row r="4113" spans="1:26" ht="13">
      <c r="A4113" s="562" t="s">
        <v>8995</v>
      </c>
      <c r="B4113" s="563" t="s">
        <v>8996</v>
      </c>
      <c r="C4113" s="564" t="s">
        <v>1612</v>
      </c>
      <c r="D4113" s="565">
        <v>41018</v>
      </c>
      <c r="E4113" s="565">
        <v>41029</v>
      </c>
      <c r="F4113" s="566">
        <v>57461</v>
      </c>
      <c r="G4113" s="564" t="s">
        <v>297</v>
      </c>
      <c r="H4113" s="564" t="s">
        <v>297</v>
      </c>
      <c r="I4113" s="564" t="s">
        <v>45</v>
      </c>
      <c r="J4113" s="564" t="s">
        <v>1069</v>
      </c>
      <c r="K4113" s="564" t="s">
        <v>1090</v>
      </c>
      <c r="L4113" s="564" t="s">
        <v>2098</v>
      </c>
      <c r="M4113" s="564" t="s">
        <v>2098</v>
      </c>
      <c r="N4113" s="564" t="s">
        <v>45</v>
      </c>
      <c r="O4113" s="564" t="s">
        <v>2099</v>
      </c>
      <c r="P4113" s="23"/>
      <c r="Q4113" s="23"/>
      <c r="R4113" s="23"/>
      <c r="S4113" s="23"/>
      <c r="T4113" s="23"/>
      <c r="U4113" s="23"/>
      <c r="V4113" s="23"/>
      <c r="W4113" s="23"/>
      <c r="X4113" s="23"/>
      <c r="Y4113" s="23"/>
      <c r="Z4113" s="23"/>
    </row>
    <row r="4114" spans="1:26" ht="13">
      <c r="A4114" s="562" t="s">
        <v>8997</v>
      </c>
      <c r="B4114" s="563" t="s">
        <v>8998</v>
      </c>
      <c r="C4114" s="564" t="s">
        <v>1612</v>
      </c>
      <c r="D4114" s="565">
        <v>41018</v>
      </c>
      <c r="E4114" s="565">
        <v>41030</v>
      </c>
      <c r="F4114" s="566">
        <v>390000</v>
      </c>
      <c r="G4114" s="564" t="s">
        <v>297</v>
      </c>
      <c r="H4114" s="564" t="s">
        <v>297</v>
      </c>
      <c r="I4114" s="564" t="s">
        <v>45</v>
      </c>
      <c r="J4114" s="564" t="s">
        <v>1069</v>
      </c>
      <c r="K4114" s="564" t="s">
        <v>1090</v>
      </c>
      <c r="L4114" s="564" t="s">
        <v>2098</v>
      </c>
      <c r="M4114" s="564" t="s">
        <v>2098</v>
      </c>
      <c r="N4114" s="564" t="s">
        <v>45</v>
      </c>
      <c r="O4114" s="564" t="s">
        <v>2099</v>
      </c>
      <c r="P4114" s="23"/>
      <c r="Q4114" s="23"/>
      <c r="R4114" s="23"/>
      <c r="S4114" s="23"/>
      <c r="T4114" s="23"/>
      <c r="U4114" s="23"/>
      <c r="V4114" s="23"/>
      <c r="W4114" s="23"/>
      <c r="X4114" s="23"/>
      <c r="Y4114" s="23"/>
      <c r="Z4114" s="23"/>
    </row>
    <row r="4115" spans="1:26" ht="13">
      <c r="A4115" s="562" t="s">
        <v>8999</v>
      </c>
      <c r="B4115" s="563" t="s">
        <v>9000</v>
      </c>
      <c r="C4115" s="564" t="s">
        <v>1612</v>
      </c>
      <c r="D4115" s="565">
        <v>41016</v>
      </c>
      <c r="E4115" s="565">
        <v>41018</v>
      </c>
      <c r="F4115" s="566">
        <v>2940</v>
      </c>
      <c r="G4115" s="564" t="s">
        <v>337</v>
      </c>
      <c r="H4115" s="564" t="s">
        <v>337</v>
      </c>
      <c r="I4115" s="564" t="s">
        <v>70</v>
      </c>
      <c r="J4115" s="564" t="s">
        <v>1069</v>
      </c>
      <c r="K4115" s="564" t="s">
        <v>1120</v>
      </c>
      <c r="L4115" s="564" t="s">
        <v>2098</v>
      </c>
      <c r="M4115" s="564" t="s">
        <v>2098</v>
      </c>
      <c r="N4115" s="564" t="s">
        <v>70</v>
      </c>
      <c r="O4115" s="564" t="s">
        <v>2099</v>
      </c>
      <c r="P4115" s="23"/>
      <c r="Q4115" s="23"/>
      <c r="R4115" s="23"/>
      <c r="S4115" s="23"/>
      <c r="T4115" s="23"/>
      <c r="U4115" s="23"/>
      <c r="V4115" s="23"/>
      <c r="W4115" s="23"/>
      <c r="X4115" s="23"/>
      <c r="Y4115" s="23"/>
      <c r="Z4115" s="23"/>
    </row>
    <row r="4116" spans="1:26" ht="13">
      <c r="A4116" s="562" t="s">
        <v>9001</v>
      </c>
      <c r="B4116" s="563" t="s">
        <v>9002</v>
      </c>
      <c r="C4116" s="564" t="s">
        <v>2191</v>
      </c>
      <c r="D4116" s="565">
        <v>41016</v>
      </c>
      <c r="E4116" s="565">
        <v>41033</v>
      </c>
      <c r="F4116" s="566">
        <v>57500</v>
      </c>
      <c r="G4116" s="564" t="s">
        <v>7944</v>
      </c>
      <c r="H4116" s="564" t="s">
        <v>7944</v>
      </c>
      <c r="I4116" s="564" t="s">
        <v>9003</v>
      </c>
      <c r="J4116" s="564" t="s">
        <v>1069</v>
      </c>
      <c r="K4116" s="564" t="s">
        <v>1070</v>
      </c>
      <c r="L4116" s="564" t="s">
        <v>2098</v>
      </c>
      <c r="M4116" s="564" t="s">
        <v>2098</v>
      </c>
      <c r="N4116" s="564" t="s">
        <v>1082</v>
      </c>
      <c r="O4116" s="564" t="s">
        <v>2099</v>
      </c>
      <c r="P4116" s="23"/>
      <c r="Q4116" s="23"/>
      <c r="R4116" s="23"/>
      <c r="S4116" s="23"/>
      <c r="T4116" s="23"/>
      <c r="U4116" s="23"/>
      <c r="V4116" s="23"/>
      <c r="W4116" s="23"/>
      <c r="X4116" s="23"/>
      <c r="Y4116" s="23"/>
      <c r="Z4116" s="23"/>
    </row>
    <row r="4117" spans="1:26" ht="13">
      <c r="A4117" s="562" t="s">
        <v>9004</v>
      </c>
      <c r="B4117" s="563" t="s">
        <v>9005</v>
      </c>
      <c r="C4117" s="564" t="s">
        <v>2191</v>
      </c>
      <c r="D4117" s="565">
        <v>41012</v>
      </c>
      <c r="E4117" s="565">
        <v>41015</v>
      </c>
      <c r="F4117" s="566">
        <v>35700000</v>
      </c>
      <c r="G4117" s="564" t="s">
        <v>1856</v>
      </c>
      <c r="H4117" s="564" t="s">
        <v>1856</v>
      </c>
      <c r="I4117" s="564" t="s">
        <v>9006</v>
      </c>
      <c r="J4117" s="564" t="s">
        <v>1069</v>
      </c>
      <c r="K4117" s="564" t="s">
        <v>1205</v>
      </c>
      <c r="L4117" s="564" t="s">
        <v>2098</v>
      </c>
      <c r="M4117" s="564" t="s">
        <v>2098</v>
      </c>
      <c r="N4117" s="564" t="s">
        <v>1082</v>
      </c>
      <c r="O4117" s="564" t="s">
        <v>2099</v>
      </c>
      <c r="P4117" s="23"/>
      <c r="Q4117" s="23"/>
      <c r="R4117" s="23"/>
      <c r="S4117" s="23"/>
      <c r="T4117" s="23"/>
      <c r="U4117" s="23"/>
      <c r="V4117" s="23"/>
      <c r="W4117" s="23"/>
      <c r="X4117" s="23"/>
      <c r="Y4117" s="23"/>
      <c r="Z4117" s="23"/>
    </row>
    <row r="4118" spans="1:26" ht="13">
      <c r="A4118" s="562" t="s">
        <v>9007</v>
      </c>
      <c r="B4118" s="563" t="s">
        <v>9008</v>
      </c>
      <c r="C4118" s="564" t="s">
        <v>1612</v>
      </c>
      <c r="D4118" s="565">
        <v>41012</v>
      </c>
      <c r="E4118" s="565">
        <v>41019</v>
      </c>
      <c r="F4118" s="566">
        <v>42745</v>
      </c>
      <c r="G4118" s="564" t="s">
        <v>337</v>
      </c>
      <c r="H4118" s="564" t="s">
        <v>337</v>
      </c>
      <c r="I4118" s="564" t="s">
        <v>802</v>
      </c>
      <c r="J4118" s="564" t="s">
        <v>1069</v>
      </c>
      <c r="K4118" s="564" t="s">
        <v>1198</v>
      </c>
      <c r="L4118" s="564" t="s">
        <v>2098</v>
      </c>
      <c r="M4118" s="564" t="s">
        <v>2098</v>
      </c>
      <c r="N4118" s="564" t="s">
        <v>132</v>
      </c>
      <c r="O4118" s="564" t="s">
        <v>2099</v>
      </c>
      <c r="P4118" s="23"/>
      <c r="Q4118" s="23"/>
      <c r="R4118" s="23"/>
      <c r="S4118" s="23"/>
      <c r="T4118" s="23"/>
      <c r="U4118" s="23"/>
      <c r="V4118" s="23"/>
      <c r="W4118" s="23"/>
      <c r="X4118" s="23"/>
      <c r="Y4118" s="23"/>
      <c r="Z4118" s="23"/>
    </row>
    <row r="4119" spans="1:26" ht="13">
      <c r="A4119" s="562" t="s">
        <v>9009</v>
      </c>
      <c r="B4119" s="563" t="s">
        <v>9010</v>
      </c>
      <c r="C4119" s="564" t="s">
        <v>1612</v>
      </c>
      <c r="D4119" s="565">
        <v>41008</v>
      </c>
      <c r="E4119" s="565">
        <v>41040</v>
      </c>
      <c r="F4119" s="566">
        <v>20000</v>
      </c>
      <c r="G4119" s="564" t="s">
        <v>1640</v>
      </c>
      <c r="H4119" s="564" t="s">
        <v>1640</v>
      </c>
      <c r="I4119" s="564" t="s">
        <v>45</v>
      </c>
      <c r="J4119" s="564" t="s">
        <v>1069</v>
      </c>
      <c r="K4119" s="564" t="s">
        <v>1090</v>
      </c>
      <c r="L4119" s="564" t="s">
        <v>2098</v>
      </c>
      <c r="M4119" s="564" t="s">
        <v>2098</v>
      </c>
      <c r="N4119" s="564" t="s">
        <v>45</v>
      </c>
      <c r="O4119" s="564" t="s">
        <v>2099</v>
      </c>
      <c r="P4119" s="23"/>
      <c r="Q4119" s="23"/>
      <c r="R4119" s="23"/>
      <c r="S4119" s="23"/>
      <c r="T4119" s="23"/>
      <c r="U4119" s="23"/>
      <c r="V4119" s="23"/>
      <c r="W4119" s="23"/>
      <c r="X4119" s="23"/>
      <c r="Y4119" s="23"/>
      <c r="Z4119" s="23"/>
    </row>
    <row r="4120" spans="1:26" ht="13">
      <c r="A4120" s="562" t="s">
        <v>9011</v>
      </c>
      <c r="B4120" s="563" t="s">
        <v>9012</v>
      </c>
      <c r="C4120" s="564" t="s">
        <v>1612</v>
      </c>
      <c r="D4120" s="565">
        <v>41004</v>
      </c>
      <c r="E4120" s="565">
        <v>41012</v>
      </c>
      <c r="F4120" s="566">
        <v>30287600</v>
      </c>
      <c r="G4120" s="564" t="s">
        <v>297</v>
      </c>
      <c r="H4120" s="564" t="s">
        <v>297</v>
      </c>
      <c r="I4120" s="564" t="s">
        <v>9013</v>
      </c>
      <c r="J4120" s="564" t="s">
        <v>1069</v>
      </c>
      <c r="K4120" s="564" t="s">
        <v>1070</v>
      </c>
      <c r="L4120" s="564" t="s">
        <v>2098</v>
      </c>
      <c r="M4120" s="564" t="s">
        <v>2098</v>
      </c>
      <c r="N4120" s="564" t="s">
        <v>1082</v>
      </c>
      <c r="O4120" s="564" t="s">
        <v>2099</v>
      </c>
      <c r="P4120" s="23"/>
      <c r="Q4120" s="23"/>
      <c r="R4120" s="23"/>
      <c r="S4120" s="23"/>
      <c r="T4120" s="23"/>
      <c r="U4120" s="23"/>
      <c r="V4120" s="23"/>
      <c r="W4120" s="23"/>
      <c r="X4120" s="23"/>
      <c r="Y4120" s="23"/>
      <c r="Z4120" s="23"/>
    </row>
    <row r="4121" spans="1:26" ht="13">
      <c r="A4121" s="562" t="s">
        <v>9014</v>
      </c>
      <c r="B4121" s="563" t="s">
        <v>9015</v>
      </c>
      <c r="C4121" s="564" t="s">
        <v>1612</v>
      </c>
      <c r="D4121" s="565">
        <v>41004</v>
      </c>
      <c r="E4121" s="565">
        <v>41012</v>
      </c>
      <c r="F4121" s="566">
        <v>190000</v>
      </c>
      <c r="G4121" s="564" t="s">
        <v>337</v>
      </c>
      <c r="H4121" s="564" t="s">
        <v>337</v>
      </c>
      <c r="I4121" s="564" t="s">
        <v>802</v>
      </c>
      <c r="J4121" s="564" t="s">
        <v>1069</v>
      </c>
      <c r="K4121" s="564" t="s">
        <v>1198</v>
      </c>
      <c r="L4121" s="564" t="s">
        <v>2098</v>
      </c>
      <c r="M4121" s="564" t="s">
        <v>2098</v>
      </c>
      <c r="N4121" s="564" t="s">
        <v>132</v>
      </c>
      <c r="O4121" s="564" t="s">
        <v>2099</v>
      </c>
      <c r="P4121" s="23"/>
      <c r="Q4121" s="23"/>
      <c r="R4121" s="23"/>
      <c r="S4121" s="23"/>
      <c r="T4121" s="23"/>
      <c r="U4121" s="23"/>
      <c r="V4121" s="23"/>
      <c r="W4121" s="23"/>
      <c r="X4121" s="23"/>
      <c r="Y4121" s="23"/>
      <c r="Z4121" s="23"/>
    </row>
    <row r="4122" spans="1:26" ht="13">
      <c r="A4122" s="562" t="s">
        <v>9016</v>
      </c>
      <c r="B4122" s="563" t="s">
        <v>9017</v>
      </c>
      <c r="C4122" s="564" t="s">
        <v>1612</v>
      </c>
      <c r="D4122" s="565">
        <v>41004</v>
      </c>
      <c r="E4122" s="565">
        <v>41019</v>
      </c>
      <c r="F4122" s="566">
        <v>4776600</v>
      </c>
      <c r="G4122" s="564" t="s">
        <v>297</v>
      </c>
      <c r="H4122" s="564" t="s">
        <v>297</v>
      </c>
      <c r="I4122" s="564" t="s">
        <v>7616</v>
      </c>
      <c r="J4122" s="564" t="s">
        <v>1069</v>
      </c>
      <c r="K4122" s="564" t="s">
        <v>1070</v>
      </c>
      <c r="L4122" s="564" t="s">
        <v>2098</v>
      </c>
      <c r="M4122" s="564" t="s">
        <v>2098</v>
      </c>
      <c r="N4122" s="564" t="s">
        <v>1082</v>
      </c>
      <c r="O4122" s="564" t="s">
        <v>2099</v>
      </c>
      <c r="P4122" s="23"/>
      <c r="Q4122" s="23"/>
      <c r="R4122" s="23"/>
      <c r="S4122" s="23"/>
      <c r="T4122" s="23"/>
      <c r="U4122" s="23"/>
      <c r="V4122" s="23"/>
      <c r="W4122" s="23"/>
      <c r="X4122" s="23"/>
      <c r="Y4122" s="23"/>
      <c r="Z4122" s="23"/>
    </row>
    <row r="4123" spans="1:26" ht="13">
      <c r="A4123" s="562" t="s">
        <v>9018</v>
      </c>
      <c r="B4123" s="563" t="s">
        <v>9019</v>
      </c>
      <c r="C4123" s="564" t="s">
        <v>1612</v>
      </c>
      <c r="D4123" s="565">
        <v>40990</v>
      </c>
      <c r="E4123" s="565">
        <v>40994</v>
      </c>
      <c r="F4123" s="567">
        <v>825</v>
      </c>
      <c r="G4123" s="564" t="s">
        <v>337</v>
      </c>
      <c r="H4123" s="564" t="s">
        <v>337</v>
      </c>
      <c r="I4123" s="564" t="s">
        <v>64</v>
      </c>
      <c r="J4123" s="564" t="s">
        <v>1069</v>
      </c>
      <c r="K4123" s="564" t="s">
        <v>1090</v>
      </c>
      <c r="L4123" s="564" t="s">
        <v>2098</v>
      </c>
      <c r="M4123" s="564" t="s">
        <v>2098</v>
      </c>
      <c r="N4123" s="564" t="s">
        <v>64</v>
      </c>
      <c r="O4123" s="564" t="s">
        <v>2099</v>
      </c>
      <c r="P4123" s="23"/>
      <c r="Q4123" s="23"/>
      <c r="R4123" s="23"/>
      <c r="S4123" s="23"/>
      <c r="T4123" s="23"/>
      <c r="U4123" s="23"/>
      <c r="V4123" s="23"/>
      <c r="W4123" s="23"/>
      <c r="X4123" s="23"/>
      <c r="Y4123" s="23"/>
      <c r="Z4123" s="23"/>
    </row>
    <row r="4124" spans="1:26" ht="13">
      <c r="A4124" s="562" t="s">
        <v>9020</v>
      </c>
      <c r="B4124" s="563" t="s">
        <v>9021</v>
      </c>
      <c r="C4124" s="564" t="s">
        <v>1612</v>
      </c>
      <c r="D4124" s="565">
        <v>40997</v>
      </c>
      <c r="E4124" s="565">
        <v>41002</v>
      </c>
      <c r="F4124" s="567">
        <v>710</v>
      </c>
      <c r="G4124" s="564" t="s">
        <v>337</v>
      </c>
      <c r="H4124" s="564" t="s">
        <v>337</v>
      </c>
      <c r="I4124" s="564" t="s">
        <v>1821</v>
      </c>
      <c r="J4124" s="564" t="s">
        <v>1069</v>
      </c>
      <c r="K4124" s="564" t="s">
        <v>1120</v>
      </c>
      <c r="L4124" s="564" t="s">
        <v>2098</v>
      </c>
      <c r="M4124" s="564" t="s">
        <v>2098</v>
      </c>
      <c r="N4124" s="564" t="s">
        <v>1073</v>
      </c>
      <c r="O4124" s="564" t="s">
        <v>2099</v>
      </c>
      <c r="P4124" s="23"/>
      <c r="Q4124" s="23"/>
      <c r="R4124" s="23"/>
      <c r="S4124" s="23"/>
      <c r="T4124" s="23"/>
      <c r="U4124" s="23"/>
      <c r="V4124" s="23"/>
      <c r="W4124" s="23"/>
      <c r="X4124" s="23"/>
      <c r="Y4124" s="23"/>
      <c r="Z4124" s="23"/>
    </row>
    <row r="4125" spans="1:26" ht="13">
      <c r="A4125" s="562" t="s">
        <v>9022</v>
      </c>
      <c r="B4125" s="563" t="s">
        <v>9023</v>
      </c>
      <c r="C4125" s="564" t="s">
        <v>2191</v>
      </c>
      <c r="D4125" s="565">
        <v>40991</v>
      </c>
      <c r="E4125" s="565">
        <v>40996</v>
      </c>
      <c r="F4125" s="566">
        <v>65909091</v>
      </c>
      <c r="G4125" s="564" t="s">
        <v>1529</v>
      </c>
      <c r="H4125" s="564" t="s">
        <v>1529</v>
      </c>
      <c r="I4125" s="564" t="s">
        <v>9024</v>
      </c>
      <c r="J4125" s="564" t="s">
        <v>1069</v>
      </c>
      <c r="K4125" s="564" t="s">
        <v>1205</v>
      </c>
      <c r="L4125" s="564" t="s">
        <v>2098</v>
      </c>
      <c r="M4125" s="564" t="s">
        <v>2098</v>
      </c>
      <c r="N4125" s="564" t="s">
        <v>1368</v>
      </c>
      <c r="O4125" s="564" t="s">
        <v>2099</v>
      </c>
      <c r="P4125" s="23"/>
      <c r="Q4125" s="23"/>
      <c r="R4125" s="23"/>
      <c r="S4125" s="23"/>
      <c r="T4125" s="23"/>
      <c r="U4125" s="23"/>
      <c r="V4125" s="23"/>
      <c r="W4125" s="23"/>
      <c r="X4125" s="23"/>
      <c r="Y4125" s="23"/>
      <c r="Z4125" s="23"/>
    </row>
    <row r="4126" spans="1:26" ht="13">
      <c r="A4126" s="562" t="s">
        <v>9025</v>
      </c>
      <c r="B4126" s="563" t="s">
        <v>9026</v>
      </c>
      <c r="C4126" s="564" t="s">
        <v>1612</v>
      </c>
      <c r="D4126" s="565">
        <v>40990</v>
      </c>
      <c r="E4126" s="565">
        <v>41040</v>
      </c>
      <c r="F4126" s="566">
        <v>181530</v>
      </c>
      <c r="G4126" s="564" t="s">
        <v>337</v>
      </c>
      <c r="H4126" s="564" t="s">
        <v>337</v>
      </c>
      <c r="I4126" s="564" t="s">
        <v>45</v>
      </c>
      <c r="J4126" s="564" t="s">
        <v>1069</v>
      </c>
      <c r="K4126" s="564" t="s">
        <v>1090</v>
      </c>
      <c r="L4126" s="564" t="s">
        <v>2098</v>
      </c>
      <c r="M4126" s="564" t="s">
        <v>2098</v>
      </c>
      <c r="N4126" s="564" t="s">
        <v>45</v>
      </c>
      <c r="O4126" s="564" t="s">
        <v>2099</v>
      </c>
      <c r="P4126" s="23"/>
      <c r="Q4126" s="23"/>
      <c r="R4126" s="23"/>
      <c r="S4126" s="23"/>
      <c r="T4126" s="23"/>
      <c r="U4126" s="23"/>
      <c r="V4126" s="23"/>
      <c r="W4126" s="23"/>
      <c r="X4126" s="23"/>
      <c r="Y4126" s="23"/>
      <c r="Z4126" s="23"/>
    </row>
    <row r="4127" spans="1:26" ht="13">
      <c r="A4127" s="562" t="s">
        <v>9027</v>
      </c>
      <c r="B4127" s="563" t="s">
        <v>9028</v>
      </c>
      <c r="C4127" s="564" t="s">
        <v>1612</v>
      </c>
      <c r="D4127" s="565">
        <v>40995</v>
      </c>
      <c r="E4127" s="565">
        <v>40998</v>
      </c>
      <c r="F4127" s="566">
        <v>1110000</v>
      </c>
      <c r="G4127" s="564" t="s">
        <v>1157</v>
      </c>
      <c r="H4127" s="564" t="s">
        <v>1157</v>
      </c>
      <c r="I4127" s="564" t="s">
        <v>70</v>
      </c>
      <c r="J4127" s="564" t="s">
        <v>1069</v>
      </c>
      <c r="K4127" s="564" t="s">
        <v>1120</v>
      </c>
      <c r="L4127" s="564" t="s">
        <v>2098</v>
      </c>
      <c r="M4127" s="564" t="s">
        <v>2098</v>
      </c>
      <c r="N4127" s="564" t="s">
        <v>70</v>
      </c>
      <c r="O4127" s="564" t="s">
        <v>2099</v>
      </c>
      <c r="P4127" s="23"/>
      <c r="Q4127" s="23"/>
      <c r="R4127" s="23"/>
      <c r="S4127" s="23"/>
      <c r="T4127" s="23"/>
      <c r="U4127" s="23"/>
      <c r="V4127" s="23"/>
      <c r="W4127" s="23"/>
      <c r="X4127" s="23"/>
      <c r="Y4127" s="23"/>
      <c r="Z4127" s="23"/>
    </row>
    <row r="4128" spans="1:26" ht="13">
      <c r="A4128" s="562" t="s">
        <v>9029</v>
      </c>
      <c r="B4128" s="563" t="s">
        <v>9030</v>
      </c>
      <c r="C4128" s="564" t="s">
        <v>1612</v>
      </c>
      <c r="D4128" s="565">
        <v>40990</v>
      </c>
      <c r="E4128" s="565">
        <v>40995</v>
      </c>
      <c r="F4128" s="566">
        <v>2000</v>
      </c>
      <c r="G4128" s="564" t="s">
        <v>337</v>
      </c>
      <c r="H4128" s="564" t="s">
        <v>337</v>
      </c>
      <c r="I4128" s="564" t="s">
        <v>2073</v>
      </c>
      <c r="J4128" s="564" t="s">
        <v>1069</v>
      </c>
      <c r="K4128" s="564" t="s">
        <v>1105</v>
      </c>
      <c r="L4128" s="564" t="s">
        <v>2098</v>
      </c>
      <c r="M4128" s="564" t="s">
        <v>2098</v>
      </c>
      <c r="N4128" s="564" t="s">
        <v>225</v>
      </c>
      <c r="O4128" s="564" t="s">
        <v>2099</v>
      </c>
      <c r="P4128" s="23"/>
      <c r="Q4128" s="23"/>
      <c r="R4128" s="23"/>
      <c r="S4128" s="23"/>
      <c r="T4128" s="23"/>
      <c r="U4128" s="23"/>
      <c r="V4128" s="23"/>
      <c r="W4128" s="23"/>
      <c r="X4128" s="23"/>
      <c r="Y4128" s="23"/>
      <c r="Z4128" s="23"/>
    </row>
    <row r="4129" spans="1:26" ht="13">
      <c r="A4129" s="562" t="s">
        <v>9031</v>
      </c>
      <c r="B4129" s="563" t="s">
        <v>9032</v>
      </c>
      <c r="C4129" s="564" t="s">
        <v>1612</v>
      </c>
      <c r="D4129" s="565">
        <v>40991</v>
      </c>
      <c r="E4129" s="565">
        <v>41005</v>
      </c>
      <c r="F4129" s="566">
        <v>1944614</v>
      </c>
      <c r="G4129" s="564" t="s">
        <v>1856</v>
      </c>
      <c r="H4129" s="564" t="s">
        <v>1856</v>
      </c>
      <c r="I4129" s="564" t="s">
        <v>45</v>
      </c>
      <c r="J4129" s="564" t="s">
        <v>1069</v>
      </c>
      <c r="K4129" s="564" t="s">
        <v>1090</v>
      </c>
      <c r="L4129" s="564" t="s">
        <v>2098</v>
      </c>
      <c r="M4129" s="564" t="s">
        <v>2098</v>
      </c>
      <c r="N4129" s="564" t="s">
        <v>45</v>
      </c>
      <c r="O4129" s="564" t="s">
        <v>2099</v>
      </c>
      <c r="P4129" s="23"/>
      <c r="Q4129" s="23"/>
      <c r="R4129" s="23"/>
      <c r="S4129" s="23"/>
      <c r="T4129" s="23"/>
      <c r="U4129" s="23"/>
      <c r="V4129" s="23"/>
      <c r="W4129" s="23"/>
      <c r="X4129" s="23"/>
      <c r="Y4129" s="23"/>
      <c r="Z4129" s="23"/>
    </row>
    <row r="4130" spans="1:26" ht="13">
      <c r="A4130" s="562" t="s">
        <v>9033</v>
      </c>
      <c r="B4130" s="563" t="s">
        <v>9034</v>
      </c>
      <c r="C4130" s="564" t="s">
        <v>1612</v>
      </c>
      <c r="D4130" s="565">
        <v>40990</v>
      </c>
      <c r="E4130" s="565">
        <v>40994</v>
      </c>
      <c r="F4130" s="566">
        <v>20580</v>
      </c>
      <c r="G4130" s="564" t="s">
        <v>337</v>
      </c>
      <c r="H4130" s="564" t="s">
        <v>1128</v>
      </c>
      <c r="I4130" s="564" t="s">
        <v>70</v>
      </c>
      <c r="J4130" s="564" t="s">
        <v>1069</v>
      </c>
      <c r="K4130" s="564" t="s">
        <v>1120</v>
      </c>
      <c r="L4130" s="564" t="s">
        <v>2098</v>
      </c>
      <c r="M4130" s="564" t="s">
        <v>2098</v>
      </c>
      <c r="N4130" s="564" t="s">
        <v>70</v>
      </c>
      <c r="O4130" s="564" t="s">
        <v>2099</v>
      </c>
      <c r="P4130" s="23"/>
      <c r="Q4130" s="23"/>
      <c r="R4130" s="23"/>
      <c r="S4130" s="23"/>
      <c r="T4130" s="23"/>
      <c r="U4130" s="23"/>
      <c r="V4130" s="23"/>
      <c r="W4130" s="23"/>
      <c r="X4130" s="23"/>
      <c r="Y4130" s="23"/>
      <c r="Z4130" s="23"/>
    </row>
    <row r="4131" spans="1:26" ht="13">
      <c r="A4131" s="562" t="s">
        <v>9035</v>
      </c>
      <c r="B4131" s="563" t="s">
        <v>9036</v>
      </c>
      <c r="C4131" s="564" t="s">
        <v>1612</v>
      </c>
      <c r="D4131" s="565">
        <v>40995</v>
      </c>
      <c r="E4131" s="565">
        <v>41009</v>
      </c>
      <c r="F4131" s="566">
        <v>25500</v>
      </c>
      <c r="G4131" s="564" t="s">
        <v>1128</v>
      </c>
      <c r="H4131" s="564" t="s">
        <v>1128</v>
      </c>
      <c r="I4131" s="564" t="s">
        <v>2073</v>
      </c>
      <c r="J4131" s="564" t="s">
        <v>1069</v>
      </c>
      <c r="K4131" s="564" t="s">
        <v>1105</v>
      </c>
      <c r="L4131" s="564" t="s">
        <v>2098</v>
      </c>
      <c r="M4131" s="564" t="s">
        <v>2098</v>
      </c>
      <c r="N4131" s="564" t="s">
        <v>225</v>
      </c>
      <c r="O4131" s="564" t="s">
        <v>2099</v>
      </c>
      <c r="P4131" s="23"/>
      <c r="Q4131" s="23"/>
      <c r="R4131" s="23"/>
      <c r="S4131" s="23"/>
      <c r="T4131" s="23"/>
      <c r="U4131" s="23"/>
      <c r="V4131" s="23"/>
      <c r="W4131" s="23"/>
      <c r="X4131" s="23"/>
      <c r="Y4131" s="23"/>
      <c r="Z4131" s="23"/>
    </row>
    <row r="4132" spans="1:26" ht="13">
      <c r="A4132" s="562" t="s">
        <v>9037</v>
      </c>
      <c r="B4132" s="563" t="s">
        <v>9038</v>
      </c>
      <c r="C4132" s="564" t="s">
        <v>2191</v>
      </c>
      <c r="D4132" s="565">
        <v>40996</v>
      </c>
      <c r="E4132" s="565">
        <v>41002</v>
      </c>
      <c r="F4132" s="566">
        <v>103962000</v>
      </c>
      <c r="G4132" s="564" t="s">
        <v>7944</v>
      </c>
      <c r="H4132" s="564" t="s">
        <v>7944</v>
      </c>
      <c r="I4132" s="564" t="s">
        <v>9039</v>
      </c>
      <c r="J4132" s="564" t="s">
        <v>1069</v>
      </c>
      <c r="K4132" s="564" t="s">
        <v>1070</v>
      </c>
      <c r="L4132" s="564" t="s">
        <v>2098</v>
      </c>
      <c r="M4132" s="564" t="s">
        <v>2098</v>
      </c>
      <c r="N4132" s="564" t="s">
        <v>1082</v>
      </c>
      <c r="O4132" s="564" t="s">
        <v>2099</v>
      </c>
      <c r="P4132" s="23"/>
      <c r="Q4132" s="23"/>
      <c r="R4132" s="23"/>
      <c r="S4132" s="23"/>
      <c r="T4132" s="23"/>
      <c r="U4132" s="23"/>
      <c r="V4132" s="23"/>
      <c r="W4132" s="23"/>
      <c r="X4132" s="23"/>
      <c r="Y4132" s="23"/>
      <c r="Z4132" s="23"/>
    </row>
    <row r="4133" spans="1:26" ht="13">
      <c r="A4133" s="562" t="s">
        <v>9040</v>
      </c>
      <c r="B4133" s="563" t="s">
        <v>8625</v>
      </c>
      <c r="C4133" s="564" t="s">
        <v>1612</v>
      </c>
      <c r="D4133" s="565">
        <v>40987</v>
      </c>
      <c r="E4133" s="565">
        <v>40999</v>
      </c>
      <c r="F4133" s="566">
        <v>12855</v>
      </c>
      <c r="G4133" s="564" t="s">
        <v>297</v>
      </c>
      <c r="H4133" s="564" t="s">
        <v>297</v>
      </c>
      <c r="I4133" s="564" t="s">
        <v>45</v>
      </c>
      <c r="J4133" s="564" t="s">
        <v>1069</v>
      </c>
      <c r="K4133" s="564" t="s">
        <v>1090</v>
      </c>
      <c r="L4133" s="564" t="s">
        <v>2098</v>
      </c>
      <c r="M4133" s="564" t="s">
        <v>2098</v>
      </c>
      <c r="N4133" s="564" t="s">
        <v>45</v>
      </c>
      <c r="O4133" s="564" t="s">
        <v>2099</v>
      </c>
      <c r="P4133" s="23"/>
      <c r="Q4133" s="23"/>
      <c r="R4133" s="23"/>
      <c r="S4133" s="23"/>
      <c r="T4133" s="23"/>
      <c r="U4133" s="23"/>
      <c r="V4133" s="23"/>
      <c r="W4133" s="23"/>
      <c r="X4133" s="23"/>
      <c r="Y4133" s="23"/>
      <c r="Z4133" s="23"/>
    </row>
    <row r="4134" spans="1:26" ht="13">
      <c r="A4134" s="562" t="s">
        <v>9041</v>
      </c>
      <c r="B4134" s="563" t="s">
        <v>9042</v>
      </c>
      <c r="C4134" s="564" t="s">
        <v>1612</v>
      </c>
      <c r="D4134" s="565">
        <v>40981</v>
      </c>
      <c r="E4134" s="565">
        <v>40990</v>
      </c>
      <c r="F4134" s="566">
        <v>12100</v>
      </c>
      <c r="G4134" s="564" t="s">
        <v>297</v>
      </c>
      <c r="H4134" s="564" t="s">
        <v>297</v>
      </c>
      <c r="I4134" s="564" t="s">
        <v>1837</v>
      </c>
      <c r="J4134" s="564" t="s">
        <v>1069</v>
      </c>
      <c r="K4134" s="564" t="s">
        <v>1090</v>
      </c>
      <c r="L4134" s="564" t="s">
        <v>2098</v>
      </c>
      <c r="M4134" s="564" t="s">
        <v>2098</v>
      </c>
      <c r="N4134" s="564" t="s">
        <v>1082</v>
      </c>
      <c r="O4134" s="564" t="s">
        <v>2099</v>
      </c>
      <c r="P4134" s="23"/>
      <c r="Q4134" s="23"/>
      <c r="R4134" s="23"/>
      <c r="S4134" s="23"/>
      <c r="T4134" s="23"/>
      <c r="U4134" s="23"/>
      <c r="V4134" s="23"/>
      <c r="W4134" s="23"/>
      <c r="X4134" s="23"/>
      <c r="Y4134" s="23"/>
      <c r="Z4134" s="23"/>
    </row>
    <row r="4135" spans="1:26" ht="13">
      <c r="A4135" s="562" t="s">
        <v>9043</v>
      </c>
      <c r="B4135" s="563" t="s">
        <v>8478</v>
      </c>
      <c r="C4135" s="564" t="s">
        <v>1612</v>
      </c>
      <c r="D4135" s="565">
        <v>40980</v>
      </c>
      <c r="E4135" s="565">
        <v>40981</v>
      </c>
      <c r="F4135" s="566">
        <v>1470</v>
      </c>
      <c r="G4135" s="564" t="s">
        <v>337</v>
      </c>
      <c r="H4135" s="564" t="s">
        <v>337</v>
      </c>
      <c r="I4135" s="564" t="s">
        <v>70</v>
      </c>
      <c r="J4135" s="564" t="s">
        <v>1069</v>
      </c>
      <c r="K4135" s="564" t="s">
        <v>1120</v>
      </c>
      <c r="L4135" s="564" t="s">
        <v>2098</v>
      </c>
      <c r="M4135" s="564" t="s">
        <v>2098</v>
      </c>
      <c r="N4135" s="564" t="s">
        <v>70</v>
      </c>
      <c r="O4135" s="564" t="s">
        <v>2099</v>
      </c>
      <c r="P4135" s="23"/>
      <c r="Q4135" s="23"/>
      <c r="R4135" s="23"/>
      <c r="S4135" s="23"/>
      <c r="T4135" s="23"/>
      <c r="U4135" s="23"/>
      <c r="V4135" s="23"/>
      <c r="W4135" s="23"/>
      <c r="X4135" s="23"/>
      <c r="Y4135" s="23"/>
      <c r="Z4135" s="23"/>
    </row>
    <row r="4136" spans="1:26" ht="13">
      <c r="A4136" s="562" t="s">
        <v>9044</v>
      </c>
      <c r="B4136" s="563" t="s">
        <v>9045</v>
      </c>
      <c r="C4136" s="564" t="s">
        <v>1612</v>
      </c>
      <c r="D4136" s="565">
        <v>40980</v>
      </c>
      <c r="E4136" s="565">
        <v>40981</v>
      </c>
      <c r="F4136" s="566">
        <v>2210</v>
      </c>
      <c r="G4136" s="564" t="s">
        <v>337</v>
      </c>
      <c r="H4136" s="564" t="s">
        <v>337</v>
      </c>
      <c r="I4136" s="564" t="s">
        <v>64</v>
      </c>
      <c r="J4136" s="564" t="s">
        <v>1069</v>
      </c>
      <c r="K4136" s="564" t="s">
        <v>1090</v>
      </c>
      <c r="L4136" s="564" t="s">
        <v>2098</v>
      </c>
      <c r="M4136" s="564" t="s">
        <v>2098</v>
      </c>
      <c r="N4136" s="564" t="s">
        <v>64</v>
      </c>
      <c r="O4136" s="564" t="s">
        <v>2099</v>
      </c>
      <c r="P4136" s="23"/>
      <c r="Q4136" s="23"/>
      <c r="R4136" s="23"/>
      <c r="S4136" s="23"/>
      <c r="T4136" s="23"/>
      <c r="U4136" s="23"/>
      <c r="V4136" s="23"/>
      <c r="W4136" s="23"/>
      <c r="X4136" s="23"/>
      <c r="Y4136" s="23"/>
      <c r="Z4136" s="23"/>
    </row>
    <row r="4137" spans="1:26" ht="13">
      <c r="A4137" s="562" t="s">
        <v>9046</v>
      </c>
      <c r="B4137" s="563" t="s">
        <v>9047</v>
      </c>
      <c r="C4137" s="564" t="s">
        <v>6860</v>
      </c>
      <c r="D4137" s="565">
        <v>40977</v>
      </c>
      <c r="E4137" s="565">
        <v>40981</v>
      </c>
      <c r="F4137" s="567">
        <v>665</v>
      </c>
      <c r="G4137" s="564" t="s">
        <v>337</v>
      </c>
      <c r="H4137" s="564" t="s">
        <v>337</v>
      </c>
      <c r="I4137" s="564" t="s">
        <v>1966</v>
      </c>
      <c r="J4137" s="564" t="s">
        <v>1069</v>
      </c>
      <c r="K4137" s="564" t="s">
        <v>1070</v>
      </c>
      <c r="L4137" s="564" t="s">
        <v>2098</v>
      </c>
      <c r="M4137" s="564" t="s">
        <v>2098</v>
      </c>
      <c r="N4137" s="564" t="s">
        <v>1082</v>
      </c>
      <c r="O4137" s="564" t="s">
        <v>2099</v>
      </c>
      <c r="P4137" s="23"/>
      <c r="Q4137" s="23"/>
      <c r="R4137" s="23"/>
      <c r="S4137" s="23"/>
      <c r="T4137" s="23"/>
      <c r="U4137" s="23"/>
      <c r="V4137" s="23"/>
      <c r="W4137" s="23"/>
      <c r="X4137" s="23"/>
      <c r="Y4137" s="23"/>
      <c r="Z4137" s="23"/>
    </row>
    <row r="4138" spans="1:26" ht="13">
      <c r="A4138" s="562" t="s">
        <v>9048</v>
      </c>
      <c r="B4138" s="563" t="s">
        <v>9049</v>
      </c>
      <c r="C4138" s="564" t="s">
        <v>2191</v>
      </c>
      <c r="D4138" s="565">
        <v>40973</v>
      </c>
      <c r="E4138" s="565">
        <v>40977</v>
      </c>
      <c r="F4138" s="566">
        <v>1961000</v>
      </c>
      <c r="G4138" s="564" t="s">
        <v>1123</v>
      </c>
      <c r="H4138" s="564" t="s">
        <v>1123</v>
      </c>
      <c r="I4138" s="564" t="s">
        <v>9050</v>
      </c>
      <c r="J4138" s="564" t="s">
        <v>1069</v>
      </c>
      <c r="K4138" s="564" t="s">
        <v>1070</v>
      </c>
      <c r="L4138" s="564" t="s">
        <v>2098</v>
      </c>
      <c r="M4138" s="564" t="s">
        <v>2098</v>
      </c>
      <c r="N4138" s="564" t="s">
        <v>1082</v>
      </c>
      <c r="O4138" s="564" t="s">
        <v>2099</v>
      </c>
      <c r="P4138" s="23"/>
      <c r="Q4138" s="23"/>
      <c r="R4138" s="23"/>
      <c r="S4138" s="23"/>
      <c r="T4138" s="23"/>
      <c r="U4138" s="23"/>
      <c r="V4138" s="23"/>
      <c r="W4138" s="23"/>
      <c r="X4138" s="23"/>
      <c r="Y4138" s="23"/>
      <c r="Z4138" s="23"/>
    </row>
    <row r="4139" spans="1:26" ht="13">
      <c r="A4139" s="562" t="s">
        <v>9051</v>
      </c>
      <c r="B4139" s="563" t="s">
        <v>9052</v>
      </c>
      <c r="C4139" s="564" t="s">
        <v>1612</v>
      </c>
      <c r="D4139" s="565">
        <v>40970</v>
      </c>
      <c r="E4139" s="565">
        <v>40977</v>
      </c>
      <c r="F4139" s="566">
        <v>2115</v>
      </c>
      <c r="G4139" s="564" t="s">
        <v>337</v>
      </c>
      <c r="H4139" s="564" t="s">
        <v>337</v>
      </c>
      <c r="I4139" s="564" t="s">
        <v>64</v>
      </c>
      <c r="J4139" s="564" t="s">
        <v>1069</v>
      </c>
      <c r="K4139" s="564" t="s">
        <v>1090</v>
      </c>
      <c r="L4139" s="564" t="s">
        <v>2098</v>
      </c>
      <c r="M4139" s="564" t="s">
        <v>2098</v>
      </c>
      <c r="N4139" s="564" t="s">
        <v>64</v>
      </c>
      <c r="O4139" s="564" t="s">
        <v>2099</v>
      </c>
      <c r="P4139" s="23"/>
      <c r="Q4139" s="23"/>
      <c r="R4139" s="23"/>
      <c r="S4139" s="23"/>
      <c r="T4139" s="23"/>
      <c r="U4139" s="23"/>
      <c r="V4139" s="23"/>
      <c r="W4139" s="23"/>
      <c r="X4139" s="23"/>
      <c r="Y4139" s="23"/>
      <c r="Z4139" s="23"/>
    </row>
    <row r="4140" spans="1:26" ht="13">
      <c r="A4140" s="562" t="s">
        <v>9053</v>
      </c>
      <c r="B4140" s="563" t="s">
        <v>9054</v>
      </c>
      <c r="C4140" s="564" t="s">
        <v>1612</v>
      </c>
      <c r="D4140" s="565">
        <v>40970</v>
      </c>
      <c r="E4140" s="565">
        <v>40973</v>
      </c>
      <c r="F4140" s="566">
        <v>15680</v>
      </c>
      <c r="G4140" s="564" t="s">
        <v>337</v>
      </c>
      <c r="H4140" s="564" t="s">
        <v>337</v>
      </c>
      <c r="I4140" s="564" t="s">
        <v>70</v>
      </c>
      <c r="J4140" s="564" t="s">
        <v>1069</v>
      </c>
      <c r="K4140" s="564" t="s">
        <v>1120</v>
      </c>
      <c r="L4140" s="564" t="s">
        <v>2098</v>
      </c>
      <c r="M4140" s="564" t="s">
        <v>2098</v>
      </c>
      <c r="N4140" s="564" t="s">
        <v>70</v>
      </c>
      <c r="O4140" s="564" t="s">
        <v>2099</v>
      </c>
      <c r="P4140" s="23"/>
      <c r="Q4140" s="23"/>
      <c r="R4140" s="23"/>
      <c r="S4140" s="23"/>
      <c r="T4140" s="23"/>
      <c r="U4140" s="23"/>
      <c r="V4140" s="23"/>
      <c r="W4140" s="23"/>
      <c r="X4140" s="23"/>
      <c r="Y4140" s="23"/>
      <c r="Z4140" s="23"/>
    </row>
    <row r="4141" spans="1:26" ht="13">
      <c r="A4141" s="562" t="s">
        <v>9055</v>
      </c>
      <c r="B4141" s="563" t="s">
        <v>9056</v>
      </c>
      <c r="C4141" s="564" t="s">
        <v>1612</v>
      </c>
      <c r="D4141" s="565">
        <v>40967</v>
      </c>
      <c r="E4141" s="565">
        <v>40970</v>
      </c>
      <c r="F4141" s="566">
        <v>15288</v>
      </c>
      <c r="G4141" s="564" t="s">
        <v>297</v>
      </c>
      <c r="H4141" s="564" t="s">
        <v>297</v>
      </c>
      <c r="I4141" s="564" t="s">
        <v>1837</v>
      </c>
      <c r="J4141" s="564" t="s">
        <v>1069</v>
      </c>
      <c r="K4141" s="564" t="s">
        <v>1070</v>
      </c>
      <c r="L4141" s="564" t="s">
        <v>2098</v>
      </c>
      <c r="M4141" s="564" t="s">
        <v>2098</v>
      </c>
      <c r="N4141" s="564" t="s">
        <v>1082</v>
      </c>
      <c r="O4141" s="564" t="s">
        <v>2099</v>
      </c>
      <c r="P4141" s="23"/>
      <c r="Q4141" s="23"/>
      <c r="R4141" s="23"/>
      <c r="S4141" s="23"/>
      <c r="T4141" s="23"/>
      <c r="U4141" s="23"/>
      <c r="V4141" s="23"/>
      <c r="W4141" s="23"/>
      <c r="X4141" s="23"/>
      <c r="Y4141" s="23"/>
      <c r="Z4141" s="23"/>
    </row>
    <row r="4142" spans="1:26" ht="13">
      <c r="A4142" s="562" t="s">
        <v>9057</v>
      </c>
      <c r="B4142" s="563" t="s">
        <v>9058</v>
      </c>
      <c r="C4142" s="564" t="s">
        <v>1612</v>
      </c>
      <c r="D4142" s="565">
        <v>40966</v>
      </c>
      <c r="E4142" s="565">
        <v>40977</v>
      </c>
      <c r="F4142" s="567">
        <v>680</v>
      </c>
      <c r="G4142" s="564" t="s">
        <v>337</v>
      </c>
      <c r="H4142" s="564" t="s">
        <v>337</v>
      </c>
      <c r="I4142" s="564" t="s">
        <v>802</v>
      </c>
      <c r="J4142" s="564" t="s">
        <v>1069</v>
      </c>
      <c r="K4142" s="564" t="s">
        <v>1198</v>
      </c>
      <c r="L4142" s="564" t="s">
        <v>2098</v>
      </c>
      <c r="M4142" s="564" t="s">
        <v>2098</v>
      </c>
      <c r="N4142" s="564" t="s">
        <v>132</v>
      </c>
      <c r="O4142" s="564" t="s">
        <v>2099</v>
      </c>
      <c r="P4142" s="23"/>
      <c r="Q4142" s="23"/>
      <c r="R4142" s="23"/>
      <c r="S4142" s="23"/>
      <c r="T4142" s="23"/>
      <c r="U4142" s="23"/>
      <c r="V4142" s="23"/>
      <c r="W4142" s="23"/>
      <c r="X4142" s="23"/>
      <c r="Y4142" s="23"/>
      <c r="Z4142" s="23"/>
    </row>
    <row r="4143" spans="1:26" ht="13">
      <c r="A4143" s="562" t="s">
        <v>9059</v>
      </c>
      <c r="B4143" s="563" t="s">
        <v>9060</v>
      </c>
      <c r="C4143" s="564" t="s">
        <v>1612</v>
      </c>
      <c r="D4143" s="565">
        <v>40966</v>
      </c>
      <c r="E4143" s="565">
        <v>40968</v>
      </c>
      <c r="F4143" s="566">
        <v>449000</v>
      </c>
      <c r="G4143" s="564" t="s">
        <v>1116</v>
      </c>
      <c r="H4143" s="564" t="s">
        <v>1116</v>
      </c>
      <c r="I4143" s="564" t="s">
        <v>45</v>
      </c>
      <c r="J4143" s="564" t="s">
        <v>1069</v>
      </c>
      <c r="K4143" s="564" t="s">
        <v>1090</v>
      </c>
      <c r="L4143" s="564" t="s">
        <v>2098</v>
      </c>
      <c r="M4143" s="564" t="s">
        <v>2098</v>
      </c>
      <c r="N4143" s="564" t="s">
        <v>45</v>
      </c>
      <c r="O4143" s="564" t="s">
        <v>2099</v>
      </c>
      <c r="P4143" s="23"/>
      <c r="Q4143" s="23"/>
      <c r="R4143" s="23"/>
      <c r="S4143" s="23"/>
      <c r="T4143" s="23"/>
      <c r="U4143" s="23"/>
      <c r="V4143" s="23"/>
      <c r="W4143" s="23"/>
      <c r="X4143" s="23"/>
      <c r="Y4143" s="23"/>
      <c r="Z4143" s="23"/>
    </row>
    <row r="4144" spans="1:26" ht="13">
      <c r="A4144" s="562" t="s">
        <v>9061</v>
      </c>
      <c r="B4144" s="563" t="s">
        <v>8879</v>
      </c>
      <c r="C4144" s="564" t="s">
        <v>1612</v>
      </c>
      <c r="D4144" s="565">
        <v>40966</v>
      </c>
      <c r="E4144" s="565">
        <v>40998</v>
      </c>
      <c r="F4144" s="566">
        <v>3855734</v>
      </c>
      <c r="G4144" s="564" t="s">
        <v>297</v>
      </c>
      <c r="H4144" s="564" t="s">
        <v>297</v>
      </c>
      <c r="I4144" s="564" t="s">
        <v>1837</v>
      </c>
      <c r="J4144" s="564" t="s">
        <v>1069</v>
      </c>
      <c r="K4144" s="564" t="s">
        <v>1090</v>
      </c>
      <c r="L4144" s="564" t="s">
        <v>2098</v>
      </c>
      <c r="M4144" s="564" t="s">
        <v>2098</v>
      </c>
      <c r="N4144" s="564" t="s">
        <v>1082</v>
      </c>
      <c r="O4144" s="564" t="s">
        <v>2099</v>
      </c>
      <c r="P4144" s="23"/>
      <c r="Q4144" s="23"/>
      <c r="R4144" s="23"/>
      <c r="S4144" s="23"/>
      <c r="T4144" s="23"/>
      <c r="U4144" s="23"/>
      <c r="V4144" s="23"/>
      <c r="W4144" s="23"/>
      <c r="X4144" s="23"/>
      <c r="Y4144" s="23"/>
      <c r="Z4144" s="23"/>
    </row>
    <row r="4145" spans="1:26" ht="13">
      <c r="A4145" s="562" t="s">
        <v>9062</v>
      </c>
      <c r="B4145" s="563" t="s">
        <v>9063</v>
      </c>
      <c r="C4145" s="564" t="s">
        <v>1612</v>
      </c>
      <c r="D4145" s="565">
        <v>40966</v>
      </c>
      <c r="E4145" s="565">
        <v>40977</v>
      </c>
      <c r="F4145" s="566">
        <v>469616</v>
      </c>
      <c r="G4145" s="564" t="s">
        <v>297</v>
      </c>
      <c r="H4145" s="564" t="s">
        <v>297</v>
      </c>
      <c r="I4145" s="564" t="s">
        <v>7259</v>
      </c>
      <c r="J4145" s="564" t="s">
        <v>1069</v>
      </c>
      <c r="K4145" s="564" t="s">
        <v>1070</v>
      </c>
      <c r="L4145" s="564" t="s">
        <v>2098</v>
      </c>
      <c r="M4145" s="564" t="s">
        <v>2098</v>
      </c>
      <c r="N4145" s="564" t="s">
        <v>1082</v>
      </c>
      <c r="O4145" s="564" t="s">
        <v>2099</v>
      </c>
      <c r="P4145" s="23"/>
      <c r="Q4145" s="23"/>
      <c r="R4145" s="23"/>
      <c r="S4145" s="23"/>
      <c r="T4145" s="23"/>
      <c r="U4145" s="23"/>
      <c r="V4145" s="23"/>
      <c r="W4145" s="23"/>
      <c r="X4145" s="23"/>
      <c r="Y4145" s="23"/>
      <c r="Z4145" s="23"/>
    </row>
    <row r="4146" spans="1:26" ht="13">
      <c r="A4146" s="562" t="s">
        <v>9064</v>
      </c>
      <c r="B4146" s="563" t="s">
        <v>9065</v>
      </c>
      <c r="C4146" s="564" t="s">
        <v>1612</v>
      </c>
      <c r="D4146" s="565">
        <v>40963</v>
      </c>
      <c r="E4146" s="565">
        <v>40967</v>
      </c>
      <c r="F4146" s="566">
        <v>3475</v>
      </c>
      <c r="G4146" s="564" t="s">
        <v>337</v>
      </c>
      <c r="H4146" s="564" t="s">
        <v>337</v>
      </c>
      <c r="I4146" s="564" t="s">
        <v>1821</v>
      </c>
      <c r="J4146" s="564" t="s">
        <v>1069</v>
      </c>
      <c r="K4146" s="564" t="s">
        <v>1120</v>
      </c>
      <c r="L4146" s="564" t="s">
        <v>2098</v>
      </c>
      <c r="M4146" s="564" t="s">
        <v>2098</v>
      </c>
      <c r="N4146" s="564" t="s">
        <v>1073</v>
      </c>
      <c r="O4146" s="564" t="s">
        <v>2099</v>
      </c>
      <c r="P4146" s="23"/>
      <c r="Q4146" s="23"/>
      <c r="R4146" s="23"/>
      <c r="S4146" s="23"/>
      <c r="T4146" s="23"/>
      <c r="U4146" s="23"/>
      <c r="V4146" s="23"/>
      <c r="W4146" s="23"/>
      <c r="X4146" s="23"/>
      <c r="Y4146" s="23"/>
      <c r="Z4146" s="23"/>
    </row>
    <row r="4147" spans="1:26" ht="13">
      <c r="A4147" s="562" t="s">
        <v>9066</v>
      </c>
      <c r="B4147" s="563" t="s">
        <v>9067</v>
      </c>
      <c r="C4147" s="564" t="s">
        <v>1612</v>
      </c>
      <c r="D4147" s="565">
        <v>40962</v>
      </c>
      <c r="E4147" s="565">
        <v>40963</v>
      </c>
      <c r="F4147" s="566">
        <v>4800</v>
      </c>
      <c r="G4147" s="564" t="s">
        <v>337</v>
      </c>
      <c r="H4147" s="564" t="s">
        <v>337</v>
      </c>
      <c r="I4147" s="564" t="s">
        <v>64</v>
      </c>
      <c r="J4147" s="564" t="s">
        <v>1069</v>
      </c>
      <c r="K4147" s="564" t="s">
        <v>1090</v>
      </c>
      <c r="L4147" s="564" t="s">
        <v>2098</v>
      </c>
      <c r="M4147" s="564" t="s">
        <v>2098</v>
      </c>
      <c r="N4147" s="564" t="s">
        <v>64</v>
      </c>
      <c r="O4147" s="564" t="s">
        <v>2099</v>
      </c>
      <c r="P4147" s="23"/>
      <c r="Q4147" s="23"/>
      <c r="R4147" s="23"/>
      <c r="S4147" s="23"/>
      <c r="T4147" s="23"/>
      <c r="U4147" s="23"/>
      <c r="V4147" s="23"/>
      <c r="W4147" s="23"/>
      <c r="X4147" s="23"/>
      <c r="Y4147" s="23"/>
      <c r="Z4147" s="23"/>
    </row>
    <row r="4148" spans="1:26" ht="13">
      <c r="A4148" s="562" t="s">
        <v>9068</v>
      </c>
      <c r="B4148" s="563" t="s">
        <v>9069</v>
      </c>
      <c r="C4148" s="564" t="s">
        <v>2191</v>
      </c>
      <c r="D4148" s="565">
        <v>40961</v>
      </c>
      <c r="E4148" s="565">
        <v>41274</v>
      </c>
      <c r="F4148" s="566">
        <v>460000</v>
      </c>
      <c r="G4148" s="564" t="s">
        <v>1636</v>
      </c>
      <c r="H4148" s="564" t="s">
        <v>1636</v>
      </c>
      <c r="I4148" s="564" t="s">
        <v>7175</v>
      </c>
      <c r="J4148" s="564" t="s">
        <v>1069</v>
      </c>
      <c r="K4148" s="564" t="s">
        <v>1070</v>
      </c>
      <c r="L4148" s="564" t="s">
        <v>2098</v>
      </c>
      <c r="M4148" s="564" t="s">
        <v>2098</v>
      </c>
      <c r="N4148" s="564" t="s">
        <v>1082</v>
      </c>
      <c r="O4148" s="564" t="s">
        <v>2099</v>
      </c>
      <c r="P4148" s="23"/>
      <c r="Q4148" s="23"/>
      <c r="R4148" s="23"/>
      <c r="S4148" s="23"/>
      <c r="T4148" s="23"/>
      <c r="U4148" s="23"/>
      <c r="V4148" s="23"/>
      <c r="W4148" s="23"/>
      <c r="X4148" s="23"/>
      <c r="Y4148" s="23"/>
      <c r="Z4148" s="23"/>
    </row>
    <row r="4149" spans="1:26" ht="13">
      <c r="A4149" s="562" t="s">
        <v>9070</v>
      </c>
      <c r="B4149" s="563" t="s">
        <v>9071</v>
      </c>
      <c r="C4149" s="564" t="s">
        <v>1612</v>
      </c>
      <c r="D4149" s="565">
        <v>40959</v>
      </c>
      <c r="E4149" s="565">
        <v>40968</v>
      </c>
      <c r="F4149" s="566">
        <v>162000</v>
      </c>
      <c r="G4149" s="564" t="s">
        <v>297</v>
      </c>
      <c r="H4149" s="564" t="s">
        <v>297</v>
      </c>
      <c r="I4149" s="564" t="s">
        <v>45</v>
      </c>
      <c r="J4149" s="564" t="s">
        <v>1069</v>
      </c>
      <c r="K4149" s="564" t="s">
        <v>1090</v>
      </c>
      <c r="L4149" s="564" t="s">
        <v>2098</v>
      </c>
      <c r="M4149" s="564" t="s">
        <v>2098</v>
      </c>
      <c r="N4149" s="564" t="s">
        <v>45</v>
      </c>
      <c r="O4149" s="564" t="s">
        <v>2099</v>
      </c>
      <c r="P4149" s="23"/>
      <c r="Q4149" s="23"/>
      <c r="R4149" s="23"/>
      <c r="S4149" s="23"/>
      <c r="T4149" s="23"/>
      <c r="U4149" s="23"/>
      <c r="V4149" s="23"/>
      <c r="W4149" s="23"/>
      <c r="X4149" s="23"/>
      <c r="Y4149" s="23"/>
      <c r="Z4149" s="23"/>
    </row>
    <row r="4150" spans="1:26" ht="13">
      <c r="A4150" s="562" t="s">
        <v>9072</v>
      </c>
      <c r="B4150" s="563" t="s">
        <v>9073</v>
      </c>
      <c r="C4150" s="564" t="s">
        <v>1612</v>
      </c>
      <c r="D4150" s="565">
        <v>40959</v>
      </c>
      <c r="E4150" s="565">
        <v>40968</v>
      </c>
      <c r="F4150" s="566">
        <v>139129</v>
      </c>
      <c r="G4150" s="564" t="s">
        <v>297</v>
      </c>
      <c r="H4150" s="564" t="s">
        <v>297</v>
      </c>
      <c r="I4150" s="564" t="s">
        <v>1837</v>
      </c>
      <c r="J4150" s="564" t="s">
        <v>1069</v>
      </c>
      <c r="K4150" s="564" t="s">
        <v>1090</v>
      </c>
      <c r="L4150" s="564" t="s">
        <v>2098</v>
      </c>
      <c r="M4150" s="564" t="s">
        <v>2098</v>
      </c>
      <c r="N4150" s="564" t="s">
        <v>1082</v>
      </c>
      <c r="O4150" s="564" t="s">
        <v>2099</v>
      </c>
      <c r="P4150" s="23"/>
      <c r="Q4150" s="23"/>
      <c r="R4150" s="23"/>
      <c r="S4150" s="23"/>
      <c r="T4150" s="23"/>
      <c r="U4150" s="23"/>
      <c r="V4150" s="23"/>
      <c r="W4150" s="23"/>
      <c r="X4150" s="23"/>
      <c r="Y4150" s="23"/>
      <c r="Z4150" s="23"/>
    </row>
    <row r="4151" spans="1:26" ht="13">
      <c r="A4151" s="562" t="s">
        <v>9074</v>
      </c>
      <c r="B4151" s="563" t="s">
        <v>9075</v>
      </c>
      <c r="C4151" s="564" t="s">
        <v>1612</v>
      </c>
      <c r="D4151" s="565">
        <v>40959</v>
      </c>
      <c r="E4151" s="565">
        <v>40956</v>
      </c>
      <c r="F4151" s="567">
        <v>430</v>
      </c>
      <c r="G4151" s="564" t="s">
        <v>1116</v>
      </c>
      <c r="H4151" s="564" t="s">
        <v>1116</v>
      </c>
      <c r="I4151" s="564" t="s">
        <v>45</v>
      </c>
      <c r="J4151" s="564" t="s">
        <v>1069</v>
      </c>
      <c r="K4151" s="564" t="s">
        <v>1090</v>
      </c>
      <c r="L4151" s="564" t="s">
        <v>2098</v>
      </c>
      <c r="M4151" s="564" t="s">
        <v>2098</v>
      </c>
      <c r="N4151" s="564" t="s">
        <v>45</v>
      </c>
      <c r="O4151" s="564" t="s">
        <v>2099</v>
      </c>
      <c r="P4151" s="23"/>
      <c r="Q4151" s="23"/>
      <c r="R4151" s="23"/>
      <c r="S4151" s="23"/>
      <c r="T4151" s="23"/>
      <c r="U4151" s="23"/>
      <c r="V4151" s="23"/>
      <c r="W4151" s="23"/>
      <c r="X4151" s="23"/>
      <c r="Y4151" s="23"/>
      <c r="Z4151" s="23"/>
    </row>
    <row r="4152" spans="1:26" ht="13">
      <c r="A4152" s="562" t="s">
        <v>9076</v>
      </c>
      <c r="B4152" s="563" t="s">
        <v>9077</v>
      </c>
      <c r="C4152" s="564" t="s">
        <v>1612</v>
      </c>
      <c r="D4152" s="565">
        <v>40956</v>
      </c>
      <c r="E4152" s="565">
        <v>40968</v>
      </c>
      <c r="F4152" s="566">
        <v>62076000</v>
      </c>
      <c r="G4152" s="564" t="s">
        <v>297</v>
      </c>
      <c r="H4152" s="564" t="s">
        <v>297</v>
      </c>
      <c r="I4152" s="564" t="s">
        <v>1837</v>
      </c>
      <c r="J4152" s="564" t="s">
        <v>1069</v>
      </c>
      <c r="K4152" s="564" t="s">
        <v>1070</v>
      </c>
      <c r="L4152" s="564" t="s">
        <v>2098</v>
      </c>
      <c r="M4152" s="564" t="s">
        <v>2098</v>
      </c>
      <c r="N4152" s="564" t="s">
        <v>1082</v>
      </c>
      <c r="O4152" s="564" t="s">
        <v>2099</v>
      </c>
      <c r="P4152" s="23"/>
      <c r="Q4152" s="23"/>
      <c r="R4152" s="23"/>
      <c r="S4152" s="23"/>
      <c r="T4152" s="23"/>
      <c r="U4152" s="23"/>
      <c r="V4152" s="23"/>
      <c r="W4152" s="23"/>
      <c r="X4152" s="23"/>
      <c r="Y4152" s="23"/>
      <c r="Z4152" s="23"/>
    </row>
    <row r="4153" spans="1:26" ht="13">
      <c r="A4153" s="562" t="s">
        <v>9078</v>
      </c>
      <c r="B4153" s="563" t="s">
        <v>9079</v>
      </c>
      <c r="C4153" s="564" t="s">
        <v>2191</v>
      </c>
      <c r="D4153" s="565">
        <v>40955</v>
      </c>
      <c r="E4153" s="565">
        <v>40977</v>
      </c>
      <c r="F4153" s="566">
        <v>387759</v>
      </c>
      <c r="G4153" s="564" t="s">
        <v>1636</v>
      </c>
      <c r="H4153" s="564" t="s">
        <v>1636</v>
      </c>
      <c r="I4153" s="564" t="s">
        <v>6222</v>
      </c>
      <c r="J4153" s="564" t="s">
        <v>1069</v>
      </c>
      <c r="K4153" s="564" t="s">
        <v>1070</v>
      </c>
      <c r="L4153" s="564" t="s">
        <v>2098</v>
      </c>
      <c r="M4153" s="564" t="s">
        <v>2098</v>
      </c>
      <c r="N4153" s="564" t="s">
        <v>1082</v>
      </c>
      <c r="O4153" s="564" t="s">
        <v>2099</v>
      </c>
      <c r="P4153" s="23"/>
      <c r="Q4153" s="23"/>
      <c r="R4153" s="23"/>
      <c r="S4153" s="23"/>
      <c r="T4153" s="23"/>
      <c r="U4153" s="23"/>
      <c r="V4153" s="23"/>
      <c r="W4153" s="23"/>
      <c r="X4153" s="23"/>
      <c r="Y4153" s="23"/>
      <c r="Z4153" s="23"/>
    </row>
    <row r="4154" spans="1:26" ht="13">
      <c r="A4154" s="562" t="s">
        <v>9080</v>
      </c>
      <c r="B4154" s="563" t="s">
        <v>9019</v>
      </c>
      <c r="C4154" s="564" t="s">
        <v>1612</v>
      </c>
      <c r="D4154" s="565">
        <v>40955</v>
      </c>
      <c r="E4154" s="565">
        <v>40959</v>
      </c>
      <c r="F4154" s="566">
        <v>1847</v>
      </c>
      <c r="G4154" s="564" t="s">
        <v>337</v>
      </c>
      <c r="H4154" s="564" t="s">
        <v>337</v>
      </c>
      <c r="I4154" s="564" t="s">
        <v>64</v>
      </c>
      <c r="J4154" s="564" t="s">
        <v>1069</v>
      </c>
      <c r="K4154" s="564" t="s">
        <v>1090</v>
      </c>
      <c r="L4154" s="564" t="s">
        <v>2098</v>
      </c>
      <c r="M4154" s="564" t="s">
        <v>2098</v>
      </c>
      <c r="N4154" s="564" t="s">
        <v>64</v>
      </c>
      <c r="O4154" s="564" t="s">
        <v>2099</v>
      </c>
      <c r="P4154" s="23"/>
      <c r="Q4154" s="23"/>
      <c r="R4154" s="23"/>
      <c r="S4154" s="23"/>
      <c r="T4154" s="23"/>
      <c r="U4154" s="23"/>
      <c r="V4154" s="23"/>
      <c r="W4154" s="23"/>
      <c r="X4154" s="23"/>
      <c r="Y4154" s="23"/>
      <c r="Z4154" s="23"/>
    </row>
    <row r="4155" spans="1:26" ht="13">
      <c r="A4155" s="562" t="s">
        <v>9081</v>
      </c>
      <c r="B4155" s="563" t="s">
        <v>9082</v>
      </c>
      <c r="C4155" s="564" t="s">
        <v>1612</v>
      </c>
      <c r="D4155" s="565">
        <v>40955</v>
      </c>
      <c r="E4155" s="565">
        <v>40963</v>
      </c>
      <c r="F4155" s="566">
        <v>1690</v>
      </c>
      <c r="G4155" s="564" t="s">
        <v>337</v>
      </c>
      <c r="H4155" s="564" t="s">
        <v>337</v>
      </c>
      <c r="I4155" s="564" t="s">
        <v>1586</v>
      </c>
      <c r="J4155" s="564" t="s">
        <v>1069</v>
      </c>
      <c r="K4155" s="564" t="s">
        <v>1090</v>
      </c>
      <c r="L4155" s="564" t="s">
        <v>2098</v>
      </c>
      <c r="M4155" s="564" t="s">
        <v>2098</v>
      </c>
      <c r="N4155" s="564" t="s">
        <v>1073</v>
      </c>
      <c r="O4155" s="564" t="s">
        <v>2099</v>
      </c>
      <c r="P4155" s="23"/>
      <c r="Q4155" s="23"/>
      <c r="R4155" s="23"/>
      <c r="S4155" s="23"/>
      <c r="T4155" s="23"/>
      <c r="U4155" s="23"/>
      <c r="V4155" s="23"/>
      <c r="W4155" s="23"/>
      <c r="X4155" s="23"/>
      <c r="Y4155" s="23"/>
      <c r="Z4155" s="23"/>
    </row>
    <row r="4156" spans="1:26" ht="13">
      <c r="A4156" s="562" t="s">
        <v>9083</v>
      </c>
      <c r="B4156" s="563" t="s">
        <v>8487</v>
      </c>
      <c r="C4156" s="564" t="s">
        <v>1612</v>
      </c>
      <c r="D4156" s="565">
        <v>40955</v>
      </c>
      <c r="E4156" s="565">
        <v>40956</v>
      </c>
      <c r="F4156" s="566">
        <v>2205</v>
      </c>
      <c r="G4156" s="564" t="s">
        <v>337</v>
      </c>
      <c r="H4156" s="564" t="s">
        <v>337</v>
      </c>
      <c r="I4156" s="564" t="s">
        <v>70</v>
      </c>
      <c r="J4156" s="564" t="s">
        <v>1069</v>
      </c>
      <c r="K4156" s="564" t="s">
        <v>1120</v>
      </c>
      <c r="L4156" s="564" t="s">
        <v>2098</v>
      </c>
      <c r="M4156" s="564" t="s">
        <v>2098</v>
      </c>
      <c r="N4156" s="564" t="s">
        <v>70</v>
      </c>
      <c r="O4156" s="564" t="s">
        <v>2099</v>
      </c>
      <c r="P4156" s="23"/>
      <c r="Q4156" s="23"/>
      <c r="R4156" s="23"/>
      <c r="S4156" s="23"/>
      <c r="T4156" s="23"/>
      <c r="U4156" s="23"/>
      <c r="V4156" s="23"/>
      <c r="W4156" s="23"/>
      <c r="X4156" s="23"/>
      <c r="Y4156" s="23"/>
      <c r="Z4156" s="23"/>
    </row>
    <row r="4157" spans="1:26" ht="13">
      <c r="A4157" s="562" t="s">
        <v>9084</v>
      </c>
      <c r="B4157" s="563" t="s">
        <v>9085</v>
      </c>
      <c r="C4157" s="564" t="s">
        <v>1612</v>
      </c>
      <c r="D4157" s="565">
        <v>40955</v>
      </c>
      <c r="E4157" s="565">
        <v>40959</v>
      </c>
      <c r="F4157" s="566">
        <v>2676389397</v>
      </c>
      <c r="G4157" s="564" t="s">
        <v>337</v>
      </c>
      <c r="H4157" s="564" t="s">
        <v>337</v>
      </c>
      <c r="I4157" s="564" t="s">
        <v>45</v>
      </c>
      <c r="J4157" s="564" t="s">
        <v>1069</v>
      </c>
      <c r="K4157" s="564" t="s">
        <v>1090</v>
      </c>
      <c r="L4157" s="564" t="s">
        <v>1071</v>
      </c>
      <c r="M4157" s="564" t="s">
        <v>1183</v>
      </c>
      <c r="N4157" s="564" t="s">
        <v>45</v>
      </c>
      <c r="O4157" s="564" t="s">
        <v>2099</v>
      </c>
      <c r="P4157" s="23"/>
      <c r="Q4157" s="23"/>
      <c r="R4157" s="23"/>
      <c r="S4157" s="23"/>
      <c r="T4157" s="23"/>
      <c r="U4157" s="23"/>
      <c r="V4157" s="23"/>
      <c r="W4157" s="23"/>
      <c r="X4157" s="23"/>
      <c r="Y4157" s="23"/>
      <c r="Z4157" s="23"/>
    </row>
    <row r="4158" spans="1:26" ht="13">
      <c r="A4158" s="562" t="s">
        <v>9086</v>
      </c>
      <c r="B4158" s="563" t="s">
        <v>9087</v>
      </c>
      <c r="C4158" s="564" t="s">
        <v>1612</v>
      </c>
      <c r="D4158" s="565">
        <v>40954</v>
      </c>
      <c r="E4158" s="565">
        <v>40963</v>
      </c>
      <c r="F4158" s="566">
        <v>8250</v>
      </c>
      <c r="G4158" s="564" t="s">
        <v>337</v>
      </c>
      <c r="H4158" s="564" t="s">
        <v>337</v>
      </c>
      <c r="I4158" s="564" t="s">
        <v>802</v>
      </c>
      <c r="J4158" s="564" t="s">
        <v>1069</v>
      </c>
      <c r="K4158" s="564" t="s">
        <v>1198</v>
      </c>
      <c r="L4158" s="564" t="s">
        <v>2098</v>
      </c>
      <c r="M4158" s="564" t="s">
        <v>2098</v>
      </c>
      <c r="N4158" s="564" t="s">
        <v>132</v>
      </c>
      <c r="O4158" s="564" t="s">
        <v>2099</v>
      </c>
      <c r="P4158" s="23"/>
      <c r="Q4158" s="23"/>
      <c r="R4158" s="23"/>
      <c r="S4158" s="23"/>
      <c r="T4158" s="23"/>
      <c r="U4158" s="23"/>
      <c r="V4158" s="23"/>
      <c r="W4158" s="23"/>
      <c r="X4158" s="23"/>
      <c r="Y4158" s="23"/>
      <c r="Z4158" s="23"/>
    </row>
    <row r="4159" spans="1:26" ht="13">
      <c r="A4159" s="562" t="s">
        <v>9088</v>
      </c>
      <c r="B4159" s="563" t="s">
        <v>9089</v>
      </c>
      <c r="C4159" s="564" t="s">
        <v>1873</v>
      </c>
      <c r="D4159" s="565">
        <v>40952</v>
      </c>
      <c r="E4159" s="565">
        <v>40968</v>
      </c>
      <c r="F4159" s="566">
        <v>2539200</v>
      </c>
      <c r="G4159" s="564" t="s">
        <v>337</v>
      </c>
      <c r="H4159" s="564" t="s">
        <v>337</v>
      </c>
      <c r="I4159" s="564" t="s">
        <v>170</v>
      </c>
      <c r="J4159" s="564" t="s">
        <v>1069</v>
      </c>
      <c r="K4159" s="564" t="s">
        <v>1105</v>
      </c>
      <c r="L4159" s="564" t="s">
        <v>2098</v>
      </c>
      <c r="M4159" s="564" t="s">
        <v>2098</v>
      </c>
      <c r="N4159" s="564" t="s">
        <v>170</v>
      </c>
      <c r="O4159" s="564" t="s">
        <v>2099</v>
      </c>
      <c r="P4159" s="23"/>
      <c r="Q4159" s="23"/>
      <c r="R4159" s="23"/>
      <c r="S4159" s="23"/>
      <c r="T4159" s="23"/>
      <c r="U4159" s="23"/>
      <c r="V4159" s="23"/>
      <c r="W4159" s="23"/>
      <c r="X4159" s="23"/>
      <c r="Y4159" s="23"/>
      <c r="Z4159" s="23"/>
    </row>
    <row r="4160" spans="1:26" ht="13">
      <c r="A4160" s="562" t="s">
        <v>9090</v>
      </c>
      <c r="B4160" s="563" t="s">
        <v>9091</v>
      </c>
      <c r="C4160" s="564" t="s">
        <v>1612</v>
      </c>
      <c r="D4160" s="565">
        <v>40952</v>
      </c>
      <c r="E4160" s="565">
        <v>40953</v>
      </c>
      <c r="F4160" s="566">
        <v>1800</v>
      </c>
      <c r="G4160" s="564" t="s">
        <v>337</v>
      </c>
      <c r="H4160" s="564" t="s">
        <v>337</v>
      </c>
      <c r="I4160" s="564" t="s">
        <v>70</v>
      </c>
      <c r="J4160" s="564" t="s">
        <v>1069</v>
      </c>
      <c r="K4160" s="564" t="s">
        <v>1120</v>
      </c>
      <c r="L4160" s="564" t="s">
        <v>2098</v>
      </c>
      <c r="M4160" s="564" t="s">
        <v>2098</v>
      </c>
      <c r="N4160" s="564" t="s">
        <v>70</v>
      </c>
      <c r="O4160" s="564" t="s">
        <v>2099</v>
      </c>
      <c r="P4160" s="23"/>
      <c r="Q4160" s="23"/>
      <c r="R4160" s="23"/>
      <c r="S4160" s="23"/>
      <c r="T4160" s="23"/>
      <c r="U4160" s="23"/>
      <c r="V4160" s="23"/>
      <c r="W4160" s="23"/>
      <c r="X4160" s="23"/>
      <c r="Y4160" s="23"/>
      <c r="Z4160" s="23"/>
    </row>
    <row r="4161" spans="1:26" ht="13">
      <c r="A4161" s="562" t="s">
        <v>9092</v>
      </c>
      <c r="B4161" s="563" t="s">
        <v>9093</v>
      </c>
      <c r="C4161" s="564" t="s">
        <v>1612</v>
      </c>
      <c r="D4161" s="565">
        <v>40952</v>
      </c>
      <c r="E4161" s="565">
        <v>40963</v>
      </c>
      <c r="F4161" s="566">
        <v>18000</v>
      </c>
      <c r="G4161" s="564" t="s">
        <v>297</v>
      </c>
      <c r="H4161" s="564" t="s">
        <v>297</v>
      </c>
      <c r="I4161" s="564" t="s">
        <v>45</v>
      </c>
      <c r="J4161" s="564" t="s">
        <v>1069</v>
      </c>
      <c r="K4161" s="564" t="s">
        <v>1090</v>
      </c>
      <c r="L4161" s="564" t="s">
        <v>2098</v>
      </c>
      <c r="M4161" s="564" t="s">
        <v>2098</v>
      </c>
      <c r="N4161" s="564" t="s">
        <v>45</v>
      </c>
      <c r="O4161" s="564" t="s">
        <v>2099</v>
      </c>
      <c r="P4161" s="23"/>
      <c r="Q4161" s="23"/>
      <c r="R4161" s="23"/>
      <c r="S4161" s="23"/>
      <c r="T4161" s="23"/>
      <c r="U4161" s="23"/>
      <c r="V4161" s="23"/>
      <c r="W4161" s="23"/>
      <c r="X4161" s="23"/>
      <c r="Y4161" s="23"/>
      <c r="Z4161" s="23"/>
    </row>
    <row r="4162" spans="1:26" ht="13">
      <c r="A4162" s="562" t="s">
        <v>9094</v>
      </c>
      <c r="B4162" s="563" t="s">
        <v>9095</v>
      </c>
      <c r="C4162" s="564" t="s">
        <v>2191</v>
      </c>
      <c r="D4162" s="565">
        <v>40946</v>
      </c>
      <c r="E4162" s="565">
        <v>40949</v>
      </c>
      <c r="F4162" s="566">
        <v>13495</v>
      </c>
      <c r="G4162" s="564" t="s">
        <v>7944</v>
      </c>
      <c r="H4162" s="564" t="s">
        <v>7944</v>
      </c>
      <c r="I4162" s="564" t="s">
        <v>9096</v>
      </c>
      <c r="J4162" s="564" t="s">
        <v>1069</v>
      </c>
      <c r="K4162" s="564" t="s">
        <v>1070</v>
      </c>
      <c r="L4162" s="564" t="s">
        <v>2098</v>
      </c>
      <c r="M4162" s="564" t="s">
        <v>2098</v>
      </c>
      <c r="N4162" s="564" t="s">
        <v>1082</v>
      </c>
      <c r="O4162" s="564" t="s">
        <v>2099</v>
      </c>
      <c r="P4162" s="23"/>
      <c r="Q4162" s="23"/>
      <c r="R4162" s="23"/>
      <c r="S4162" s="23"/>
      <c r="T4162" s="23"/>
      <c r="U4162" s="23"/>
      <c r="V4162" s="23"/>
      <c r="W4162" s="23"/>
      <c r="X4162" s="23"/>
      <c r="Y4162" s="23"/>
      <c r="Z4162" s="23"/>
    </row>
    <row r="4163" spans="1:26" ht="13">
      <c r="A4163" s="562" t="s">
        <v>9097</v>
      </c>
      <c r="B4163" s="563" t="s">
        <v>9098</v>
      </c>
      <c r="C4163" s="564" t="s">
        <v>6860</v>
      </c>
      <c r="D4163" s="565">
        <v>40942</v>
      </c>
      <c r="E4163" s="565">
        <v>40949</v>
      </c>
      <c r="F4163" s="566">
        <v>23080</v>
      </c>
      <c r="G4163" s="564" t="s">
        <v>1116</v>
      </c>
      <c r="H4163" s="564" t="s">
        <v>1116</v>
      </c>
      <c r="I4163" s="564" t="s">
        <v>9099</v>
      </c>
      <c r="J4163" s="564" t="s">
        <v>1069</v>
      </c>
      <c r="K4163" s="564" t="s">
        <v>1198</v>
      </c>
      <c r="L4163" s="564" t="s">
        <v>2098</v>
      </c>
      <c r="M4163" s="564" t="s">
        <v>2098</v>
      </c>
      <c r="N4163" s="564" t="s">
        <v>1368</v>
      </c>
      <c r="O4163" s="564" t="s">
        <v>2099</v>
      </c>
      <c r="P4163" s="23"/>
      <c r="Q4163" s="23"/>
      <c r="R4163" s="23"/>
      <c r="S4163" s="23"/>
      <c r="T4163" s="23"/>
      <c r="U4163" s="23"/>
      <c r="V4163" s="23"/>
      <c r="W4163" s="23"/>
      <c r="X4163" s="23"/>
      <c r="Y4163" s="23"/>
      <c r="Z4163" s="23"/>
    </row>
    <row r="4164" spans="1:26" ht="13">
      <c r="A4164" s="562" t="s">
        <v>9100</v>
      </c>
      <c r="B4164" s="563" t="s">
        <v>9101</v>
      </c>
      <c r="C4164" s="564" t="s">
        <v>1612</v>
      </c>
      <c r="D4164" s="565">
        <v>40941</v>
      </c>
      <c r="E4164" s="565">
        <v>40945</v>
      </c>
      <c r="F4164" s="567">
        <v>800</v>
      </c>
      <c r="G4164" s="564" t="s">
        <v>337</v>
      </c>
      <c r="H4164" s="564" t="s">
        <v>337</v>
      </c>
      <c r="I4164" s="564" t="s">
        <v>64</v>
      </c>
      <c r="J4164" s="564" t="s">
        <v>1069</v>
      </c>
      <c r="K4164" s="564" t="s">
        <v>1090</v>
      </c>
      <c r="L4164" s="564" t="s">
        <v>2098</v>
      </c>
      <c r="M4164" s="564" t="s">
        <v>2098</v>
      </c>
      <c r="N4164" s="564" t="s">
        <v>64</v>
      </c>
      <c r="O4164" s="564" t="s">
        <v>2099</v>
      </c>
      <c r="P4164" s="23"/>
      <c r="Q4164" s="23"/>
      <c r="R4164" s="23"/>
      <c r="S4164" s="23"/>
      <c r="T4164" s="23"/>
      <c r="U4164" s="23"/>
      <c r="V4164" s="23"/>
      <c r="W4164" s="23"/>
      <c r="X4164" s="23"/>
      <c r="Y4164" s="23"/>
      <c r="Z4164" s="23"/>
    </row>
    <row r="4165" spans="1:26" ht="13">
      <c r="A4165" s="562" t="s">
        <v>9102</v>
      </c>
      <c r="B4165" s="563" t="s">
        <v>9103</v>
      </c>
      <c r="C4165" s="564" t="s">
        <v>2191</v>
      </c>
      <c r="D4165" s="565">
        <v>40940</v>
      </c>
      <c r="E4165" s="565">
        <v>40939</v>
      </c>
      <c r="F4165" s="566">
        <v>10902</v>
      </c>
      <c r="G4165" s="564" t="s">
        <v>7944</v>
      </c>
      <c r="H4165" s="564" t="s">
        <v>7944</v>
      </c>
      <c r="I4165" s="564" t="s">
        <v>9104</v>
      </c>
      <c r="J4165" s="564" t="s">
        <v>1069</v>
      </c>
      <c r="K4165" s="564" t="s">
        <v>1070</v>
      </c>
      <c r="L4165" s="564" t="s">
        <v>2098</v>
      </c>
      <c r="M4165" s="564" t="s">
        <v>2098</v>
      </c>
      <c r="N4165" s="564" t="s">
        <v>1082</v>
      </c>
      <c r="O4165" s="564" t="s">
        <v>2099</v>
      </c>
      <c r="P4165" s="23"/>
      <c r="Q4165" s="23"/>
      <c r="R4165" s="23"/>
      <c r="S4165" s="23"/>
      <c r="T4165" s="23"/>
      <c r="U4165" s="23"/>
      <c r="V4165" s="23"/>
      <c r="W4165" s="23"/>
      <c r="X4165" s="23"/>
      <c r="Y4165" s="23"/>
      <c r="Z4165" s="23"/>
    </row>
    <row r="4166" spans="1:26" ht="13">
      <c r="A4166" s="562" t="s">
        <v>9105</v>
      </c>
      <c r="B4166" s="563" t="s">
        <v>9106</v>
      </c>
      <c r="C4166" s="564" t="s">
        <v>2191</v>
      </c>
      <c r="D4166" s="565">
        <v>40940</v>
      </c>
      <c r="E4166" s="565">
        <v>40954</v>
      </c>
      <c r="F4166" s="566">
        <v>1818000</v>
      </c>
      <c r="G4166" s="564" t="s">
        <v>7944</v>
      </c>
      <c r="H4166" s="564" t="s">
        <v>7944</v>
      </c>
      <c r="I4166" s="564" t="s">
        <v>9104</v>
      </c>
      <c r="J4166" s="564" t="s">
        <v>1069</v>
      </c>
      <c r="K4166" s="564" t="s">
        <v>1070</v>
      </c>
      <c r="L4166" s="564" t="s">
        <v>2098</v>
      </c>
      <c r="M4166" s="564" t="s">
        <v>2098</v>
      </c>
      <c r="N4166" s="564" t="s">
        <v>1082</v>
      </c>
      <c r="O4166" s="564" t="s">
        <v>2099</v>
      </c>
      <c r="P4166" s="23"/>
      <c r="Q4166" s="23"/>
      <c r="R4166" s="23"/>
      <c r="S4166" s="23"/>
      <c r="T4166" s="23"/>
      <c r="U4166" s="23"/>
      <c r="V4166" s="23"/>
      <c r="W4166" s="23"/>
      <c r="X4166" s="23"/>
      <c r="Y4166" s="23"/>
      <c r="Z4166" s="23"/>
    </row>
    <row r="4167" spans="1:26" ht="13">
      <c r="A4167" s="562" t="s">
        <v>9107</v>
      </c>
      <c r="B4167" s="563" t="s">
        <v>9108</v>
      </c>
      <c r="C4167" s="564" t="s">
        <v>1612</v>
      </c>
      <c r="D4167" s="565">
        <v>40938</v>
      </c>
      <c r="E4167" s="565">
        <v>40939</v>
      </c>
      <c r="F4167" s="566">
        <v>3760817436</v>
      </c>
      <c r="G4167" s="564" t="s">
        <v>337</v>
      </c>
      <c r="H4167" s="564" t="s">
        <v>337</v>
      </c>
      <c r="I4167" s="564" t="s">
        <v>45</v>
      </c>
      <c r="J4167" s="564" t="s">
        <v>1069</v>
      </c>
      <c r="K4167" s="564" t="s">
        <v>1090</v>
      </c>
      <c r="L4167" s="564" t="s">
        <v>1071</v>
      </c>
      <c r="M4167" s="564" t="s">
        <v>1183</v>
      </c>
      <c r="N4167" s="564" t="s">
        <v>45</v>
      </c>
      <c r="O4167" s="564" t="s">
        <v>2099</v>
      </c>
      <c r="P4167" s="23"/>
      <c r="Q4167" s="23"/>
      <c r="R4167" s="23"/>
      <c r="S4167" s="23"/>
      <c r="T4167" s="23"/>
      <c r="U4167" s="23"/>
      <c r="V4167" s="23"/>
      <c r="W4167" s="23"/>
      <c r="X4167" s="23"/>
      <c r="Y4167" s="23"/>
      <c r="Z4167" s="23"/>
    </row>
    <row r="4168" spans="1:26" ht="13">
      <c r="A4168" s="562" t="s">
        <v>9109</v>
      </c>
      <c r="B4168" s="563" t="s">
        <v>8685</v>
      </c>
      <c r="C4168" s="564" t="s">
        <v>1612</v>
      </c>
      <c r="D4168" s="565">
        <v>40938</v>
      </c>
      <c r="E4168" s="565">
        <v>40949</v>
      </c>
      <c r="F4168" s="566">
        <v>450000</v>
      </c>
      <c r="G4168" s="564" t="s">
        <v>1128</v>
      </c>
      <c r="H4168" s="564" t="s">
        <v>1128</v>
      </c>
      <c r="I4168" s="564" t="s">
        <v>2073</v>
      </c>
      <c r="J4168" s="564" t="s">
        <v>1069</v>
      </c>
      <c r="K4168" s="564" t="s">
        <v>1105</v>
      </c>
      <c r="L4168" s="564" t="s">
        <v>2098</v>
      </c>
      <c r="M4168" s="564" t="s">
        <v>2098</v>
      </c>
      <c r="N4168" s="564" t="s">
        <v>225</v>
      </c>
      <c r="O4168" s="564" t="s">
        <v>2099</v>
      </c>
      <c r="P4168" s="23"/>
      <c r="Q4168" s="23"/>
      <c r="R4168" s="23"/>
      <c r="S4168" s="23"/>
      <c r="T4168" s="23"/>
      <c r="U4168" s="23"/>
      <c r="V4168" s="23"/>
      <c r="W4168" s="23"/>
      <c r="X4168" s="23"/>
      <c r="Y4168" s="23"/>
      <c r="Z4168" s="23"/>
    </row>
    <row r="4169" spans="1:26" ht="13">
      <c r="A4169" s="562" t="s">
        <v>9110</v>
      </c>
      <c r="B4169" s="563" t="s">
        <v>9111</v>
      </c>
      <c r="C4169" s="564" t="s">
        <v>1612</v>
      </c>
      <c r="D4169" s="565">
        <v>40938</v>
      </c>
      <c r="E4169" s="565">
        <v>40939</v>
      </c>
      <c r="F4169" s="566">
        <v>11907800</v>
      </c>
      <c r="G4169" s="564" t="s">
        <v>337</v>
      </c>
      <c r="H4169" s="564" t="s">
        <v>337</v>
      </c>
      <c r="I4169" s="564" t="s">
        <v>802</v>
      </c>
      <c r="J4169" s="564" t="s">
        <v>1069</v>
      </c>
      <c r="K4169" s="564" t="s">
        <v>1198</v>
      </c>
      <c r="L4169" s="564" t="s">
        <v>2098</v>
      </c>
      <c r="M4169" s="564" t="s">
        <v>2098</v>
      </c>
      <c r="N4169" s="564" t="s">
        <v>132</v>
      </c>
      <c r="O4169" s="564" t="s">
        <v>2099</v>
      </c>
      <c r="P4169" s="23"/>
      <c r="Q4169" s="23"/>
      <c r="R4169" s="23"/>
      <c r="S4169" s="23"/>
      <c r="T4169" s="23"/>
      <c r="U4169" s="23"/>
      <c r="V4169" s="23"/>
      <c r="W4169" s="23"/>
      <c r="X4169" s="23"/>
      <c r="Y4169" s="23"/>
      <c r="Z4169" s="23"/>
    </row>
    <row r="4170" spans="1:26" ht="13">
      <c r="A4170" s="562" t="s">
        <v>9112</v>
      </c>
      <c r="B4170" s="563" t="s">
        <v>9113</v>
      </c>
      <c r="C4170" s="564" t="s">
        <v>1612</v>
      </c>
      <c r="D4170" s="565">
        <v>40935</v>
      </c>
      <c r="E4170" s="565">
        <v>40939</v>
      </c>
      <c r="F4170" s="566">
        <v>87295000</v>
      </c>
      <c r="G4170" s="564" t="s">
        <v>337</v>
      </c>
      <c r="H4170" s="564" t="s">
        <v>337</v>
      </c>
      <c r="I4170" s="564" t="s">
        <v>802</v>
      </c>
      <c r="J4170" s="564" t="s">
        <v>1069</v>
      </c>
      <c r="K4170" s="564" t="s">
        <v>1198</v>
      </c>
      <c r="L4170" s="564" t="s">
        <v>2098</v>
      </c>
      <c r="M4170" s="564" t="s">
        <v>2098</v>
      </c>
      <c r="N4170" s="564" t="s">
        <v>132</v>
      </c>
      <c r="O4170" s="564" t="s">
        <v>2099</v>
      </c>
      <c r="P4170" s="23"/>
      <c r="Q4170" s="23"/>
      <c r="R4170" s="23"/>
      <c r="S4170" s="23"/>
      <c r="T4170" s="23"/>
      <c r="U4170" s="23"/>
      <c r="V4170" s="23"/>
      <c r="W4170" s="23"/>
      <c r="X4170" s="23"/>
      <c r="Y4170" s="23"/>
      <c r="Z4170" s="23"/>
    </row>
    <row r="4171" spans="1:26" ht="13">
      <c r="A4171" s="562" t="s">
        <v>9114</v>
      </c>
      <c r="B4171" s="563" t="s">
        <v>8842</v>
      </c>
      <c r="C4171" s="564" t="s">
        <v>1612</v>
      </c>
      <c r="D4171" s="565">
        <v>40926</v>
      </c>
      <c r="E4171" s="565">
        <v>40952</v>
      </c>
      <c r="F4171" s="566">
        <v>27000</v>
      </c>
      <c r="G4171" s="564" t="s">
        <v>1640</v>
      </c>
      <c r="H4171" s="564" t="s">
        <v>1640</v>
      </c>
      <c r="I4171" s="564" t="s">
        <v>257</v>
      </c>
      <c r="J4171" s="564" t="s">
        <v>1069</v>
      </c>
      <c r="K4171" s="564" t="s">
        <v>1209</v>
      </c>
      <c r="L4171" s="564" t="s">
        <v>2098</v>
      </c>
      <c r="M4171" s="564" t="s">
        <v>2098</v>
      </c>
      <c r="N4171" s="564" t="s">
        <v>257</v>
      </c>
      <c r="O4171" s="564" t="s">
        <v>2099</v>
      </c>
      <c r="P4171" s="23"/>
      <c r="Q4171" s="23"/>
      <c r="R4171" s="23"/>
      <c r="S4171" s="23"/>
      <c r="T4171" s="23"/>
      <c r="U4171" s="23"/>
      <c r="V4171" s="23"/>
      <c r="W4171" s="23"/>
      <c r="X4171" s="23"/>
      <c r="Y4171" s="23"/>
      <c r="Z4171" s="23"/>
    </row>
    <row r="4172" spans="1:26" ht="13">
      <c r="A4172" s="562" t="s">
        <v>9115</v>
      </c>
      <c r="B4172" s="563" t="s">
        <v>9116</v>
      </c>
      <c r="C4172" s="564" t="s">
        <v>1612</v>
      </c>
      <c r="D4172" s="565">
        <v>40925</v>
      </c>
      <c r="E4172" s="565">
        <v>40935</v>
      </c>
      <c r="F4172" s="566">
        <v>1155000</v>
      </c>
      <c r="G4172" s="564" t="s">
        <v>337</v>
      </c>
      <c r="H4172" s="564" t="s">
        <v>337</v>
      </c>
      <c r="I4172" s="564" t="s">
        <v>802</v>
      </c>
      <c r="J4172" s="564" t="s">
        <v>1069</v>
      </c>
      <c r="K4172" s="564" t="s">
        <v>1198</v>
      </c>
      <c r="L4172" s="564" t="s">
        <v>2098</v>
      </c>
      <c r="M4172" s="564" t="s">
        <v>2098</v>
      </c>
      <c r="N4172" s="564" t="s">
        <v>132</v>
      </c>
      <c r="O4172" s="564" t="s">
        <v>2099</v>
      </c>
      <c r="P4172" s="23"/>
      <c r="Q4172" s="23"/>
      <c r="R4172" s="23"/>
      <c r="S4172" s="23"/>
      <c r="T4172" s="23"/>
      <c r="U4172" s="23"/>
      <c r="V4172" s="23"/>
      <c r="W4172" s="23"/>
      <c r="X4172" s="23"/>
      <c r="Y4172" s="23"/>
      <c r="Z4172" s="23"/>
    </row>
    <row r="4173" spans="1:26" ht="13">
      <c r="A4173" s="562" t="s">
        <v>9117</v>
      </c>
      <c r="B4173" s="563" t="s">
        <v>8510</v>
      </c>
      <c r="C4173" s="564" t="s">
        <v>1612</v>
      </c>
      <c r="D4173" s="565">
        <v>40921</v>
      </c>
      <c r="E4173" s="565">
        <v>40926</v>
      </c>
      <c r="F4173" s="567">
        <v>735</v>
      </c>
      <c r="G4173" s="564" t="s">
        <v>337</v>
      </c>
      <c r="H4173" s="564" t="s">
        <v>337</v>
      </c>
      <c r="I4173" s="564" t="s">
        <v>70</v>
      </c>
      <c r="J4173" s="564" t="s">
        <v>1069</v>
      </c>
      <c r="K4173" s="564" t="s">
        <v>1120</v>
      </c>
      <c r="L4173" s="564" t="s">
        <v>2098</v>
      </c>
      <c r="M4173" s="564" t="s">
        <v>2098</v>
      </c>
      <c r="N4173" s="564" t="s">
        <v>70</v>
      </c>
      <c r="O4173" s="564" t="s">
        <v>2099</v>
      </c>
      <c r="P4173" s="23"/>
      <c r="Q4173" s="23"/>
      <c r="R4173" s="23"/>
      <c r="S4173" s="23"/>
      <c r="T4173" s="23"/>
      <c r="U4173" s="23"/>
      <c r="V4173" s="23"/>
      <c r="W4173" s="23"/>
      <c r="X4173" s="23"/>
      <c r="Y4173" s="23"/>
      <c r="Z4173" s="23"/>
    </row>
    <row r="4174" spans="1:26" ht="13">
      <c r="A4174" s="562" t="s">
        <v>9118</v>
      </c>
      <c r="B4174" s="563" t="s">
        <v>9119</v>
      </c>
      <c r="C4174" s="564" t="s">
        <v>1612</v>
      </c>
      <c r="D4174" s="565">
        <v>40921</v>
      </c>
      <c r="E4174" s="565">
        <v>40939</v>
      </c>
      <c r="F4174" s="566">
        <v>847117</v>
      </c>
      <c r="G4174" s="564" t="s">
        <v>297</v>
      </c>
      <c r="H4174" s="564" t="s">
        <v>297</v>
      </c>
      <c r="I4174" s="564" t="s">
        <v>1837</v>
      </c>
      <c r="J4174" s="564" t="s">
        <v>1069</v>
      </c>
      <c r="K4174" s="564" t="s">
        <v>1070</v>
      </c>
      <c r="L4174" s="564" t="s">
        <v>2098</v>
      </c>
      <c r="M4174" s="564" t="s">
        <v>2098</v>
      </c>
      <c r="N4174" s="564" t="s">
        <v>1082</v>
      </c>
      <c r="O4174" s="564" t="s">
        <v>2099</v>
      </c>
      <c r="P4174" s="23"/>
      <c r="Q4174" s="23"/>
      <c r="R4174" s="23"/>
      <c r="S4174" s="23"/>
      <c r="T4174" s="23"/>
      <c r="U4174" s="23"/>
      <c r="V4174" s="23"/>
      <c r="W4174" s="23"/>
      <c r="X4174" s="23"/>
      <c r="Y4174" s="23"/>
      <c r="Z4174" s="23"/>
    </row>
    <row r="4175" spans="1:26" ht="13">
      <c r="A4175" s="562" t="s">
        <v>9120</v>
      </c>
      <c r="B4175" s="563" t="s">
        <v>9121</v>
      </c>
      <c r="C4175" s="564" t="s">
        <v>2191</v>
      </c>
      <c r="D4175" s="565">
        <v>40918</v>
      </c>
      <c r="E4175" s="565">
        <v>40926</v>
      </c>
      <c r="F4175" s="566">
        <v>144032727</v>
      </c>
      <c r="G4175" s="564" t="s">
        <v>1123</v>
      </c>
      <c r="H4175" s="564" t="s">
        <v>1123</v>
      </c>
      <c r="I4175" s="564" t="s">
        <v>143</v>
      </c>
      <c r="J4175" s="564" t="s">
        <v>1069</v>
      </c>
      <c r="K4175" s="564" t="s">
        <v>1205</v>
      </c>
      <c r="L4175" s="564" t="s">
        <v>2098</v>
      </c>
      <c r="M4175" s="564" t="s">
        <v>2098</v>
      </c>
      <c r="N4175" s="564" t="s">
        <v>1073</v>
      </c>
      <c r="O4175" s="564" t="s">
        <v>2099</v>
      </c>
      <c r="P4175" s="23"/>
      <c r="Q4175" s="23"/>
      <c r="R4175" s="23"/>
      <c r="S4175" s="23"/>
      <c r="T4175" s="23"/>
      <c r="U4175" s="23"/>
      <c r="V4175" s="23"/>
      <c r="W4175" s="23"/>
      <c r="X4175" s="23"/>
      <c r="Y4175" s="23"/>
      <c r="Z4175" s="23"/>
    </row>
    <row r="4176" spans="1:26" ht="13">
      <c r="A4176" s="562" t="s">
        <v>9122</v>
      </c>
      <c r="B4176" s="563" t="s">
        <v>9123</v>
      </c>
      <c r="C4176" s="564" t="s">
        <v>1612</v>
      </c>
      <c r="D4176" s="565">
        <v>40917</v>
      </c>
      <c r="E4176" s="565">
        <v>40939</v>
      </c>
      <c r="F4176" s="566">
        <v>23100</v>
      </c>
      <c r="G4176" s="564" t="s">
        <v>337</v>
      </c>
      <c r="H4176" s="564" t="s">
        <v>337</v>
      </c>
      <c r="I4176" s="564" t="s">
        <v>64</v>
      </c>
      <c r="J4176" s="564" t="s">
        <v>1069</v>
      </c>
      <c r="K4176" s="564" t="s">
        <v>1090</v>
      </c>
      <c r="L4176" s="564" t="s">
        <v>2098</v>
      </c>
      <c r="M4176" s="564" t="s">
        <v>2098</v>
      </c>
      <c r="N4176" s="564" t="s">
        <v>64</v>
      </c>
      <c r="O4176" s="564" t="s">
        <v>2099</v>
      </c>
      <c r="P4176" s="23"/>
      <c r="Q4176" s="23"/>
      <c r="R4176" s="23"/>
      <c r="S4176" s="23"/>
      <c r="T4176" s="23"/>
      <c r="U4176" s="23"/>
      <c r="V4176" s="23"/>
      <c r="W4176" s="23"/>
      <c r="X4176" s="23"/>
      <c r="Y4176" s="23"/>
      <c r="Z4176" s="23"/>
    </row>
    <row r="4177" spans="1:26" ht="13">
      <c r="A4177" s="562" t="s">
        <v>9124</v>
      </c>
      <c r="B4177" s="563" t="s">
        <v>9125</v>
      </c>
      <c r="C4177" s="564" t="s">
        <v>2191</v>
      </c>
      <c r="D4177" s="565">
        <v>40912</v>
      </c>
      <c r="E4177" s="565">
        <v>40921</v>
      </c>
      <c r="F4177" s="566">
        <v>18000000</v>
      </c>
      <c r="G4177" s="564" t="s">
        <v>1529</v>
      </c>
      <c r="H4177" s="564" t="s">
        <v>1529</v>
      </c>
      <c r="I4177" s="564" t="s">
        <v>9126</v>
      </c>
      <c r="J4177" s="564" t="s">
        <v>1069</v>
      </c>
      <c r="K4177" s="564" t="s">
        <v>1070</v>
      </c>
      <c r="L4177" s="564" t="s">
        <v>2098</v>
      </c>
      <c r="M4177" s="564" t="s">
        <v>2098</v>
      </c>
      <c r="N4177" s="564" t="s">
        <v>1082</v>
      </c>
      <c r="O4177" s="564" t="s">
        <v>2099</v>
      </c>
      <c r="P4177" s="23"/>
      <c r="Q4177" s="23"/>
      <c r="R4177" s="23"/>
      <c r="S4177" s="23"/>
      <c r="T4177" s="23"/>
      <c r="U4177" s="23"/>
      <c r="V4177" s="23"/>
      <c r="W4177" s="23"/>
      <c r="X4177" s="23"/>
      <c r="Y4177" s="23"/>
      <c r="Z4177" s="23"/>
    </row>
    <row r="4178" spans="1:26" ht="13">
      <c r="A4178" s="562" t="s">
        <v>9127</v>
      </c>
      <c r="B4178" s="563" t="s">
        <v>9128</v>
      </c>
      <c r="C4178" s="564" t="s">
        <v>1612</v>
      </c>
      <c r="D4178" s="565">
        <v>40911</v>
      </c>
      <c r="E4178" s="565">
        <v>40935</v>
      </c>
      <c r="F4178" s="566">
        <v>6315</v>
      </c>
      <c r="G4178" s="564" t="s">
        <v>337</v>
      </c>
      <c r="H4178" s="564" t="s">
        <v>337</v>
      </c>
      <c r="I4178" s="564" t="s">
        <v>64</v>
      </c>
      <c r="J4178" s="564" t="s">
        <v>1069</v>
      </c>
      <c r="K4178" s="564" t="s">
        <v>1090</v>
      </c>
      <c r="L4178" s="564" t="s">
        <v>2098</v>
      </c>
      <c r="M4178" s="564" t="s">
        <v>2098</v>
      </c>
      <c r="N4178" s="564" t="s">
        <v>64</v>
      </c>
      <c r="O4178" s="564" t="s">
        <v>2099</v>
      </c>
      <c r="P4178" s="23"/>
      <c r="Q4178" s="23"/>
      <c r="R4178" s="23"/>
      <c r="S4178" s="23"/>
      <c r="T4178" s="23"/>
      <c r="U4178" s="23"/>
      <c r="V4178" s="23"/>
      <c r="W4178" s="23"/>
      <c r="X4178" s="23"/>
      <c r="Y4178" s="23"/>
      <c r="Z4178" s="23"/>
    </row>
    <row r="4179" spans="1:26" ht="13">
      <c r="A4179" s="562" t="s">
        <v>9129</v>
      </c>
      <c r="B4179" s="563" t="s">
        <v>9130</v>
      </c>
      <c r="C4179" s="564" t="s">
        <v>1612</v>
      </c>
      <c r="D4179" s="565">
        <v>40911</v>
      </c>
      <c r="E4179" s="565">
        <v>40918</v>
      </c>
      <c r="F4179" s="566">
        <v>49500</v>
      </c>
      <c r="G4179" s="564" t="s">
        <v>1636</v>
      </c>
      <c r="H4179" s="564" t="s">
        <v>1636</v>
      </c>
      <c r="I4179" s="564" t="s">
        <v>45</v>
      </c>
      <c r="J4179" s="564" t="s">
        <v>1069</v>
      </c>
      <c r="K4179" s="564" t="s">
        <v>1090</v>
      </c>
      <c r="L4179" s="564" t="s">
        <v>2098</v>
      </c>
      <c r="M4179" s="564" t="s">
        <v>2098</v>
      </c>
      <c r="N4179" s="564" t="s">
        <v>45</v>
      </c>
      <c r="O4179" s="564" t="s">
        <v>2099</v>
      </c>
      <c r="P4179" s="23"/>
      <c r="Q4179" s="23"/>
      <c r="R4179" s="23"/>
      <c r="S4179" s="23"/>
      <c r="T4179" s="23"/>
      <c r="U4179" s="23"/>
      <c r="V4179" s="23"/>
      <c r="W4179" s="23"/>
      <c r="X4179" s="23"/>
      <c r="Y4179" s="23"/>
      <c r="Z4179" s="23"/>
    </row>
    <row r="4180" spans="1:26" ht="13">
      <c r="A4180" s="562" t="s">
        <v>9131</v>
      </c>
      <c r="B4180" s="563" t="s">
        <v>9132</v>
      </c>
      <c r="C4180" s="564" t="s">
        <v>1612</v>
      </c>
      <c r="D4180" s="565">
        <v>40910</v>
      </c>
      <c r="E4180" s="565">
        <v>40921</v>
      </c>
      <c r="F4180" s="566">
        <v>89000</v>
      </c>
      <c r="G4180" s="564" t="s">
        <v>297</v>
      </c>
      <c r="H4180" s="564" t="s">
        <v>297</v>
      </c>
      <c r="I4180" s="564" t="s">
        <v>45</v>
      </c>
      <c r="J4180" s="564" t="s">
        <v>1069</v>
      </c>
      <c r="K4180" s="564" t="s">
        <v>1090</v>
      </c>
      <c r="L4180" s="564" t="s">
        <v>2098</v>
      </c>
      <c r="M4180" s="564" t="s">
        <v>2098</v>
      </c>
      <c r="N4180" s="564" t="s">
        <v>45</v>
      </c>
      <c r="O4180" s="564" t="s">
        <v>2099</v>
      </c>
      <c r="P4180" s="23"/>
      <c r="Q4180" s="23"/>
      <c r="R4180" s="23"/>
      <c r="S4180" s="23"/>
      <c r="T4180" s="23"/>
      <c r="U4180" s="23"/>
      <c r="V4180" s="23"/>
      <c r="W4180" s="23"/>
      <c r="X4180" s="23"/>
      <c r="Y4180" s="23"/>
      <c r="Z4180" s="23"/>
    </row>
    <row r="4181" spans="1:26" ht="13">
      <c r="A4181" s="562" t="s">
        <v>9133</v>
      </c>
      <c r="B4181" s="563" t="s">
        <v>9134</v>
      </c>
      <c r="C4181" s="564" t="s">
        <v>1612</v>
      </c>
      <c r="D4181" s="565">
        <v>40910</v>
      </c>
      <c r="E4181" s="565">
        <v>40920</v>
      </c>
      <c r="F4181" s="566">
        <v>3830</v>
      </c>
      <c r="G4181" s="564" t="s">
        <v>337</v>
      </c>
      <c r="H4181" s="564" t="s">
        <v>337</v>
      </c>
      <c r="I4181" s="564" t="s">
        <v>257</v>
      </c>
      <c r="J4181" s="564" t="s">
        <v>1069</v>
      </c>
      <c r="K4181" s="564" t="s">
        <v>1209</v>
      </c>
      <c r="L4181" s="564" t="s">
        <v>2098</v>
      </c>
      <c r="M4181" s="564" t="s">
        <v>2098</v>
      </c>
      <c r="N4181" s="564" t="s">
        <v>257</v>
      </c>
      <c r="O4181" s="564" t="s">
        <v>2099</v>
      </c>
      <c r="P4181" s="23"/>
      <c r="Q4181" s="23"/>
      <c r="R4181" s="23"/>
      <c r="S4181" s="23"/>
      <c r="T4181" s="23"/>
      <c r="U4181" s="23"/>
      <c r="V4181" s="23"/>
      <c r="W4181" s="23"/>
      <c r="X4181" s="23"/>
      <c r="Y4181" s="23"/>
      <c r="Z4181" s="23"/>
    </row>
    <row r="4182" spans="1:26" ht="13">
      <c r="A4182" s="562" t="s">
        <v>9135</v>
      </c>
      <c r="B4182" s="563" t="s">
        <v>9136</v>
      </c>
      <c r="C4182" s="564" t="s">
        <v>1612</v>
      </c>
      <c r="D4182" s="565">
        <v>40905</v>
      </c>
      <c r="E4182" s="565">
        <v>40907</v>
      </c>
      <c r="F4182" s="566">
        <v>2765</v>
      </c>
      <c r="G4182" s="564" t="s">
        <v>337</v>
      </c>
      <c r="H4182" s="564" t="s">
        <v>337</v>
      </c>
      <c r="I4182" s="564" t="s">
        <v>121</v>
      </c>
      <c r="J4182" s="564" t="s">
        <v>1069</v>
      </c>
      <c r="K4182" s="564" t="s">
        <v>1105</v>
      </c>
      <c r="L4182" s="564" t="s">
        <v>2098</v>
      </c>
      <c r="M4182" s="564" t="s">
        <v>2098</v>
      </c>
      <c r="N4182" s="564" t="s">
        <v>1073</v>
      </c>
      <c r="O4182" s="564" t="s">
        <v>2099</v>
      </c>
      <c r="P4182" s="23"/>
      <c r="Q4182" s="23"/>
      <c r="R4182" s="23"/>
      <c r="S4182" s="23"/>
      <c r="T4182" s="23"/>
      <c r="U4182" s="23"/>
      <c r="V4182" s="23"/>
      <c r="W4182" s="23"/>
      <c r="X4182" s="23"/>
      <c r="Y4182" s="23"/>
      <c r="Z4182" s="23"/>
    </row>
    <row r="4183" spans="1:26" ht="13">
      <c r="A4183" s="562" t="s">
        <v>9137</v>
      </c>
      <c r="B4183" s="563" t="s">
        <v>9138</v>
      </c>
      <c r="C4183" s="564" t="s">
        <v>6860</v>
      </c>
      <c r="D4183" s="565">
        <v>40905</v>
      </c>
      <c r="E4183" s="565">
        <v>40907</v>
      </c>
      <c r="F4183" s="566">
        <v>121000000</v>
      </c>
      <c r="G4183" s="564" t="s">
        <v>1116</v>
      </c>
      <c r="H4183" s="564" t="s">
        <v>1116</v>
      </c>
      <c r="I4183" s="564" t="s">
        <v>9139</v>
      </c>
      <c r="J4183" s="564" t="s">
        <v>1069</v>
      </c>
      <c r="K4183" s="564" t="s">
        <v>1205</v>
      </c>
      <c r="L4183" s="564" t="s">
        <v>2098</v>
      </c>
      <c r="M4183" s="564" t="s">
        <v>2098</v>
      </c>
      <c r="N4183" s="564" t="s">
        <v>1082</v>
      </c>
      <c r="O4183" s="564" t="s">
        <v>2099</v>
      </c>
      <c r="P4183" s="23"/>
      <c r="Q4183" s="23"/>
      <c r="R4183" s="23"/>
      <c r="S4183" s="23"/>
      <c r="T4183" s="23"/>
      <c r="U4183" s="23"/>
      <c r="V4183" s="23"/>
      <c r="W4183" s="23"/>
      <c r="X4183" s="23"/>
      <c r="Y4183" s="23"/>
      <c r="Z4183" s="23"/>
    </row>
    <row r="4184" spans="1:26" ht="13">
      <c r="A4184" s="562" t="s">
        <v>9140</v>
      </c>
      <c r="B4184" s="563" t="s">
        <v>8510</v>
      </c>
      <c r="C4184" s="564" t="s">
        <v>1612</v>
      </c>
      <c r="D4184" s="565">
        <v>40904</v>
      </c>
      <c r="E4184" s="565">
        <v>40907</v>
      </c>
      <c r="F4184" s="567">
        <v>735</v>
      </c>
      <c r="G4184" s="564" t="s">
        <v>337</v>
      </c>
      <c r="H4184" s="564" t="s">
        <v>337</v>
      </c>
      <c r="I4184" s="564" t="s">
        <v>70</v>
      </c>
      <c r="J4184" s="564" t="s">
        <v>1069</v>
      </c>
      <c r="K4184" s="564" t="s">
        <v>1120</v>
      </c>
      <c r="L4184" s="564" t="s">
        <v>2098</v>
      </c>
      <c r="M4184" s="564" t="s">
        <v>2098</v>
      </c>
      <c r="N4184" s="564" t="s">
        <v>70</v>
      </c>
      <c r="O4184" s="564" t="s">
        <v>2099</v>
      </c>
      <c r="P4184" s="23"/>
      <c r="Q4184" s="23"/>
      <c r="R4184" s="23"/>
      <c r="S4184" s="23"/>
      <c r="T4184" s="23"/>
      <c r="U4184" s="23"/>
      <c r="V4184" s="23"/>
      <c r="W4184" s="23"/>
      <c r="X4184" s="23"/>
      <c r="Y4184" s="23"/>
      <c r="Z4184" s="23"/>
    </row>
    <row r="4185" spans="1:26" ht="13">
      <c r="A4185" s="562" t="s">
        <v>9141</v>
      </c>
      <c r="B4185" s="563" t="s">
        <v>8510</v>
      </c>
      <c r="C4185" s="564" t="s">
        <v>1612</v>
      </c>
      <c r="D4185" s="565">
        <v>40903</v>
      </c>
      <c r="E4185" s="565">
        <v>40905</v>
      </c>
      <c r="F4185" s="567">
        <v>735</v>
      </c>
      <c r="G4185" s="564" t="s">
        <v>337</v>
      </c>
      <c r="H4185" s="564" t="s">
        <v>337</v>
      </c>
      <c r="I4185" s="564" t="s">
        <v>70</v>
      </c>
      <c r="J4185" s="564" t="s">
        <v>1069</v>
      </c>
      <c r="K4185" s="564" t="s">
        <v>1120</v>
      </c>
      <c r="L4185" s="564" t="s">
        <v>2098</v>
      </c>
      <c r="M4185" s="564" t="s">
        <v>2098</v>
      </c>
      <c r="N4185" s="564" t="s">
        <v>70</v>
      </c>
      <c r="O4185" s="564" t="s">
        <v>2099</v>
      </c>
      <c r="P4185" s="23"/>
      <c r="Q4185" s="23"/>
      <c r="R4185" s="23"/>
      <c r="S4185" s="23"/>
      <c r="T4185" s="23"/>
      <c r="U4185" s="23"/>
      <c r="V4185" s="23"/>
      <c r="W4185" s="23"/>
      <c r="X4185" s="23"/>
      <c r="Y4185" s="23"/>
      <c r="Z4185" s="23"/>
    </row>
    <row r="4186" spans="1:26" ht="13">
      <c r="A4186" s="562" t="s">
        <v>9142</v>
      </c>
      <c r="B4186" s="563" t="s">
        <v>9143</v>
      </c>
      <c r="C4186" s="564" t="s">
        <v>1612</v>
      </c>
      <c r="D4186" s="565">
        <v>40900</v>
      </c>
      <c r="E4186" s="565">
        <v>40935</v>
      </c>
      <c r="F4186" s="566">
        <v>200000</v>
      </c>
      <c r="G4186" s="564" t="s">
        <v>1856</v>
      </c>
      <c r="H4186" s="564" t="s">
        <v>1856</v>
      </c>
      <c r="I4186" s="564" t="s">
        <v>45</v>
      </c>
      <c r="J4186" s="564" t="s">
        <v>1069</v>
      </c>
      <c r="K4186" s="564" t="s">
        <v>1090</v>
      </c>
      <c r="L4186" s="564" t="s">
        <v>2098</v>
      </c>
      <c r="M4186" s="564" t="s">
        <v>2098</v>
      </c>
      <c r="N4186" s="564" t="s">
        <v>45</v>
      </c>
      <c r="O4186" s="564" t="s">
        <v>2099</v>
      </c>
      <c r="P4186" s="23"/>
      <c r="Q4186" s="23"/>
      <c r="R4186" s="23"/>
      <c r="S4186" s="23"/>
      <c r="T4186" s="23"/>
      <c r="U4186" s="23"/>
      <c r="V4186" s="23"/>
      <c r="W4186" s="23"/>
      <c r="X4186" s="23"/>
      <c r="Y4186" s="23"/>
      <c r="Z4186" s="23"/>
    </row>
    <row r="4187" spans="1:26" ht="13">
      <c r="A4187" s="562" t="s">
        <v>9144</v>
      </c>
      <c r="B4187" s="563" t="s">
        <v>9145</v>
      </c>
      <c r="C4187" s="564" t="s">
        <v>1612</v>
      </c>
      <c r="D4187" s="565">
        <v>40897</v>
      </c>
      <c r="E4187" s="565">
        <v>40900</v>
      </c>
      <c r="F4187" s="567">
        <v>900</v>
      </c>
      <c r="G4187" s="564" t="s">
        <v>337</v>
      </c>
      <c r="H4187" s="564" t="s">
        <v>337</v>
      </c>
      <c r="I4187" s="564" t="s">
        <v>121</v>
      </c>
      <c r="J4187" s="564" t="s">
        <v>1069</v>
      </c>
      <c r="K4187" s="564" t="s">
        <v>1105</v>
      </c>
      <c r="L4187" s="564" t="s">
        <v>2098</v>
      </c>
      <c r="M4187" s="564" t="s">
        <v>2098</v>
      </c>
      <c r="N4187" s="564" t="s">
        <v>1073</v>
      </c>
      <c r="O4187" s="564" t="s">
        <v>2099</v>
      </c>
      <c r="P4187" s="23"/>
      <c r="Q4187" s="23"/>
      <c r="R4187" s="23"/>
      <c r="S4187" s="23"/>
      <c r="T4187" s="23"/>
      <c r="U4187" s="23"/>
      <c r="V4187" s="23"/>
      <c r="W4187" s="23"/>
      <c r="X4187" s="23"/>
      <c r="Y4187" s="23"/>
      <c r="Z4187" s="23"/>
    </row>
    <row r="4188" spans="1:26" ht="13">
      <c r="A4188" s="562" t="s">
        <v>9146</v>
      </c>
      <c r="B4188" s="563" t="s">
        <v>9147</v>
      </c>
      <c r="C4188" s="564" t="s">
        <v>1873</v>
      </c>
      <c r="D4188" s="565">
        <v>40893</v>
      </c>
      <c r="E4188" s="565">
        <v>40900</v>
      </c>
      <c r="F4188" s="566">
        <v>13010</v>
      </c>
      <c r="G4188" s="564" t="s">
        <v>1636</v>
      </c>
      <c r="H4188" s="564" t="s">
        <v>1636</v>
      </c>
      <c r="I4188" s="564" t="s">
        <v>170</v>
      </c>
      <c r="J4188" s="564" t="s">
        <v>1069</v>
      </c>
      <c r="K4188" s="564" t="s">
        <v>1105</v>
      </c>
      <c r="L4188" s="564" t="s">
        <v>2098</v>
      </c>
      <c r="M4188" s="564" t="s">
        <v>2098</v>
      </c>
      <c r="N4188" s="564" t="s">
        <v>170</v>
      </c>
      <c r="O4188" s="564" t="s">
        <v>2099</v>
      </c>
      <c r="P4188" s="23"/>
      <c r="Q4188" s="23"/>
      <c r="R4188" s="23"/>
      <c r="S4188" s="23"/>
      <c r="T4188" s="23"/>
      <c r="U4188" s="23"/>
      <c r="V4188" s="23"/>
      <c r="W4188" s="23"/>
      <c r="X4188" s="23"/>
      <c r="Y4188" s="23"/>
      <c r="Z4188" s="23"/>
    </row>
    <row r="4189" spans="1:26" ht="13">
      <c r="A4189" s="562" t="s">
        <v>9148</v>
      </c>
      <c r="B4189" s="563" t="s">
        <v>9149</v>
      </c>
      <c r="C4189" s="564" t="s">
        <v>1612</v>
      </c>
      <c r="D4189" s="565">
        <v>40890</v>
      </c>
      <c r="E4189" s="565">
        <v>40900</v>
      </c>
      <c r="F4189" s="566">
        <v>53424</v>
      </c>
      <c r="G4189" s="564" t="s">
        <v>297</v>
      </c>
      <c r="H4189" s="564" t="s">
        <v>297</v>
      </c>
      <c r="I4189" s="564" t="s">
        <v>45</v>
      </c>
      <c r="J4189" s="564" t="s">
        <v>1069</v>
      </c>
      <c r="K4189" s="564" t="s">
        <v>1090</v>
      </c>
      <c r="L4189" s="564" t="s">
        <v>2098</v>
      </c>
      <c r="M4189" s="564" t="s">
        <v>2098</v>
      </c>
      <c r="N4189" s="564" t="s">
        <v>45</v>
      </c>
      <c r="O4189" s="564" t="s">
        <v>2099</v>
      </c>
      <c r="P4189" s="23"/>
      <c r="Q4189" s="23"/>
      <c r="R4189" s="23"/>
      <c r="S4189" s="23"/>
      <c r="T4189" s="23"/>
      <c r="U4189" s="23"/>
      <c r="V4189" s="23"/>
      <c r="W4189" s="23"/>
      <c r="X4189" s="23"/>
      <c r="Y4189" s="23"/>
      <c r="Z4189" s="23"/>
    </row>
    <row r="4190" spans="1:26" ht="13">
      <c r="A4190" s="562" t="s">
        <v>9150</v>
      </c>
      <c r="B4190" s="563" t="s">
        <v>8324</v>
      </c>
      <c r="C4190" s="564" t="s">
        <v>1612</v>
      </c>
      <c r="D4190" s="565">
        <v>40885</v>
      </c>
      <c r="E4190" s="565">
        <v>40897</v>
      </c>
      <c r="F4190" s="566">
        <v>377878000</v>
      </c>
      <c r="G4190" s="564" t="s">
        <v>1856</v>
      </c>
      <c r="H4190" s="564" t="s">
        <v>1856</v>
      </c>
      <c r="I4190" s="564" t="s">
        <v>45</v>
      </c>
      <c r="J4190" s="564" t="s">
        <v>1069</v>
      </c>
      <c r="K4190" s="564" t="s">
        <v>1090</v>
      </c>
      <c r="L4190" s="564" t="s">
        <v>2098</v>
      </c>
      <c r="M4190" s="564" t="s">
        <v>2098</v>
      </c>
      <c r="N4190" s="564" t="s">
        <v>45</v>
      </c>
      <c r="O4190" s="564" t="s">
        <v>2099</v>
      </c>
      <c r="P4190" s="23"/>
      <c r="Q4190" s="23"/>
      <c r="R4190" s="23"/>
      <c r="S4190" s="23"/>
      <c r="T4190" s="23"/>
      <c r="U4190" s="23"/>
      <c r="V4190" s="23"/>
      <c r="W4190" s="23"/>
      <c r="X4190" s="23"/>
      <c r="Y4190" s="23"/>
      <c r="Z4190" s="23"/>
    </row>
    <row r="4191" spans="1:26" ht="13">
      <c r="A4191" s="562" t="s">
        <v>9151</v>
      </c>
      <c r="B4191" s="563" t="s">
        <v>9152</v>
      </c>
      <c r="C4191" s="564" t="s">
        <v>1612</v>
      </c>
      <c r="D4191" s="565">
        <v>40885</v>
      </c>
      <c r="E4191" s="565">
        <v>40907</v>
      </c>
      <c r="F4191" s="566">
        <v>16876363</v>
      </c>
      <c r="G4191" s="564" t="s">
        <v>337</v>
      </c>
      <c r="H4191" s="564" t="s">
        <v>337</v>
      </c>
      <c r="I4191" s="564" t="s">
        <v>802</v>
      </c>
      <c r="J4191" s="564" t="s">
        <v>1069</v>
      </c>
      <c r="K4191" s="564" t="s">
        <v>1198</v>
      </c>
      <c r="L4191" s="564" t="s">
        <v>2098</v>
      </c>
      <c r="M4191" s="564" t="s">
        <v>2098</v>
      </c>
      <c r="N4191" s="564" t="s">
        <v>132</v>
      </c>
      <c r="O4191" s="564" t="s">
        <v>2099</v>
      </c>
      <c r="P4191" s="23"/>
      <c r="Q4191" s="23"/>
      <c r="R4191" s="23"/>
      <c r="S4191" s="23"/>
      <c r="T4191" s="23"/>
      <c r="U4191" s="23"/>
      <c r="V4191" s="23"/>
      <c r="W4191" s="23"/>
      <c r="X4191" s="23"/>
      <c r="Y4191" s="23"/>
      <c r="Z4191" s="23"/>
    </row>
    <row r="4192" spans="1:26" ht="13">
      <c r="A4192" s="562" t="s">
        <v>9153</v>
      </c>
      <c r="B4192" s="563" t="s">
        <v>9154</v>
      </c>
      <c r="C4192" s="564" t="s">
        <v>1612</v>
      </c>
      <c r="D4192" s="565">
        <v>40886</v>
      </c>
      <c r="E4192" s="565">
        <v>40893</v>
      </c>
      <c r="F4192" s="566">
        <v>5350090</v>
      </c>
      <c r="G4192" s="564" t="s">
        <v>337</v>
      </c>
      <c r="H4192" s="564" t="s">
        <v>337</v>
      </c>
      <c r="I4192" s="564" t="s">
        <v>1781</v>
      </c>
      <c r="J4192" s="564" t="s">
        <v>1069</v>
      </c>
      <c r="K4192" s="564" t="s">
        <v>1070</v>
      </c>
      <c r="L4192" s="564" t="s">
        <v>2098</v>
      </c>
      <c r="M4192" s="564" t="s">
        <v>2098</v>
      </c>
      <c r="N4192" s="564" t="s">
        <v>1073</v>
      </c>
      <c r="O4192" s="564" t="s">
        <v>2099</v>
      </c>
      <c r="P4192" s="23"/>
      <c r="Q4192" s="23"/>
      <c r="R4192" s="23"/>
      <c r="S4192" s="23"/>
      <c r="T4192" s="23"/>
      <c r="U4192" s="23"/>
      <c r="V4192" s="23"/>
      <c r="W4192" s="23"/>
      <c r="X4192" s="23"/>
      <c r="Y4192" s="23"/>
      <c r="Z4192" s="23"/>
    </row>
    <row r="4193" spans="1:26" ht="13">
      <c r="A4193" s="562" t="s">
        <v>9155</v>
      </c>
      <c r="B4193" s="563" t="s">
        <v>9156</v>
      </c>
      <c r="C4193" s="564" t="s">
        <v>1612</v>
      </c>
      <c r="D4193" s="565">
        <v>40882</v>
      </c>
      <c r="E4193" s="565">
        <v>40893</v>
      </c>
      <c r="F4193" s="566">
        <v>19600000</v>
      </c>
      <c r="G4193" s="564" t="s">
        <v>1856</v>
      </c>
      <c r="H4193" s="564" t="s">
        <v>1856</v>
      </c>
      <c r="I4193" s="564" t="s">
        <v>45</v>
      </c>
      <c r="J4193" s="564" t="s">
        <v>1069</v>
      </c>
      <c r="K4193" s="564" t="s">
        <v>1090</v>
      </c>
      <c r="L4193" s="564" t="s">
        <v>2098</v>
      </c>
      <c r="M4193" s="564" t="s">
        <v>2098</v>
      </c>
      <c r="N4193" s="564" t="s">
        <v>45</v>
      </c>
      <c r="O4193" s="564" t="s">
        <v>2099</v>
      </c>
      <c r="P4193" s="23"/>
      <c r="Q4193" s="23"/>
      <c r="R4193" s="23"/>
      <c r="S4193" s="23"/>
      <c r="T4193" s="23"/>
      <c r="U4193" s="23"/>
      <c r="V4193" s="23"/>
      <c r="W4193" s="23"/>
      <c r="X4193" s="23"/>
      <c r="Y4193" s="23"/>
      <c r="Z4193" s="23"/>
    </row>
    <row r="4194" spans="1:26" ht="13">
      <c r="A4194" s="562" t="s">
        <v>9157</v>
      </c>
      <c r="B4194" s="563" t="s">
        <v>9158</v>
      </c>
      <c r="C4194" s="564" t="s">
        <v>2191</v>
      </c>
      <c r="D4194" s="565">
        <v>40878</v>
      </c>
      <c r="E4194" s="565">
        <v>40892</v>
      </c>
      <c r="F4194" s="566">
        <v>119999985</v>
      </c>
      <c r="G4194" s="564" t="s">
        <v>1636</v>
      </c>
      <c r="H4194" s="564" t="s">
        <v>1636</v>
      </c>
      <c r="I4194" s="564" t="s">
        <v>6222</v>
      </c>
      <c r="J4194" s="564" t="s">
        <v>1069</v>
      </c>
      <c r="K4194" s="564" t="s">
        <v>1205</v>
      </c>
      <c r="L4194" s="564" t="s">
        <v>2098</v>
      </c>
      <c r="M4194" s="564" t="s">
        <v>2098</v>
      </c>
      <c r="N4194" s="564" t="s">
        <v>1082</v>
      </c>
      <c r="O4194" s="564" t="s">
        <v>2099</v>
      </c>
      <c r="P4194" s="23"/>
      <c r="Q4194" s="23"/>
      <c r="R4194" s="23"/>
      <c r="S4194" s="23"/>
      <c r="T4194" s="23"/>
      <c r="U4194" s="23"/>
      <c r="V4194" s="23"/>
      <c r="W4194" s="23"/>
      <c r="X4194" s="23"/>
      <c r="Y4194" s="23"/>
      <c r="Z4194" s="23"/>
    </row>
    <row r="4195" spans="1:26" ht="13">
      <c r="A4195" s="562" t="s">
        <v>9159</v>
      </c>
      <c r="B4195" s="563" t="s">
        <v>9160</v>
      </c>
      <c r="C4195" s="564" t="s">
        <v>1612</v>
      </c>
      <c r="D4195" s="565">
        <v>40878</v>
      </c>
      <c r="E4195" s="565">
        <v>40882</v>
      </c>
      <c r="F4195" s="567">
        <v>225</v>
      </c>
      <c r="G4195" s="564" t="s">
        <v>337</v>
      </c>
      <c r="H4195" s="564" t="s">
        <v>337</v>
      </c>
      <c r="I4195" s="564" t="s">
        <v>64</v>
      </c>
      <c r="J4195" s="564" t="s">
        <v>1069</v>
      </c>
      <c r="K4195" s="564" t="s">
        <v>1090</v>
      </c>
      <c r="L4195" s="564" t="s">
        <v>2098</v>
      </c>
      <c r="M4195" s="564" t="s">
        <v>2098</v>
      </c>
      <c r="N4195" s="564" t="s">
        <v>64</v>
      </c>
      <c r="O4195" s="564" t="s">
        <v>2099</v>
      </c>
      <c r="P4195" s="23"/>
      <c r="Q4195" s="23"/>
      <c r="R4195" s="23"/>
      <c r="S4195" s="23"/>
      <c r="T4195" s="23"/>
      <c r="U4195" s="23"/>
      <c r="V4195" s="23"/>
      <c r="W4195" s="23"/>
      <c r="X4195" s="23"/>
      <c r="Y4195" s="23"/>
      <c r="Z4195" s="23"/>
    </row>
    <row r="4196" spans="1:26" ht="13">
      <c r="A4196" s="562" t="s">
        <v>9161</v>
      </c>
      <c r="B4196" s="563" t="s">
        <v>9162</v>
      </c>
      <c r="C4196" s="564" t="s">
        <v>1612</v>
      </c>
      <c r="D4196" s="565">
        <v>40878</v>
      </c>
      <c r="E4196" s="565">
        <v>40893</v>
      </c>
      <c r="F4196" s="566">
        <v>5310</v>
      </c>
      <c r="G4196" s="564" t="s">
        <v>297</v>
      </c>
      <c r="H4196" s="564" t="s">
        <v>297</v>
      </c>
      <c r="I4196" s="564" t="s">
        <v>45</v>
      </c>
      <c r="J4196" s="564" t="s">
        <v>1069</v>
      </c>
      <c r="K4196" s="564" t="s">
        <v>1090</v>
      </c>
      <c r="L4196" s="564" t="s">
        <v>2098</v>
      </c>
      <c r="M4196" s="564" t="s">
        <v>2098</v>
      </c>
      <c r="N4196" s="564" t="s">
        <v>45</v>
      </c>
      <c r="O4196" s="564" t="s">
        <v>2099</v>
      </c>
      <c r="P4196" s="23"/>
      <c r="Q4196" s="23"/>
      <c r="R4196" s="23"/>
      <c r="S4196" s="23"/>
      <c r="T4196" s="23"/>
      <c r="U4196" s="23"/>
      <c r="V4196" s="23"/>
      <c r="W4196" s="23"/>
      <c r="X4196" s="23"/>
      <c r="Y4196" s="23"/>
      <c r="Z4196" s="23"/>
    </row>
    <row r="4197" spans="1:26" ht="13">
      <c r="A4197" s="562" t="s">
        <v>9163</v>
      </c>
      <c r="B4197" s="563" t="s">
        <v>9164</v>
      </c>
      <c r="C4197" s="564" t="s">
        <v>1612</v>
      </c>
      <c r="D4197" s="565">
        <v>40878</v>
      </c>
      <c r="E4197" s="565">
        <v>40879</v>
      </c>
      <c r="F4197" s="566">
        <v>6255</v>
      </c>
      <c r="G4197" s="564" t="s">
        <v>337</v>
      </c>
      <c r="H4197" s="564" t="s">
        <v>337</v>
      </c>
      <c r="I4197" s="564" t="s">
        <v>1821</v>
      </c>
      <c r="J4197" s="564" t="s">
        <v>1069</v>
      </c>
      <c r="K4197" s="564" t="s">
        <v>1120</v>
      </c>
      <c r="L4197" s="564" t="s">
        <v>2098</v>
      </c>
      <c r="M4197" s="564" t="s">
        <v>2098</v>
      </c>
      <c r="N4197" s="564" t="s">
        <v>1073</v>
      </c>
      <c r="O4197" s="564" t="s">
        <v>2099</v>
      </c>
      <c r="P4197" s="23"/>
      <c r="Q4197" s="23"/>
      <c r="R4197" s="23"/>
      <c r="S4197" s="23"/>
      <c r="T4197" s="23"/>
      <c r="U4197" s="23"/>
      <c r="V4197" s="23"/>
      <c r="W4197" s="23"/>
      <c r="X4197" s="23"/>
      <c r="Y4197" s="23"/>
      <c r="Z4197" s="23"/>
    </row>
    <row r="4198" spans="1:26" ht="13">
      <c r="A4198" s="562" t="s">
        <v>9165</v>
      </c>
      <c r="B4198" s="563" t="s">
        <v>8778</v>
      </c>
      <c r="C4198" s="564" t="s">
        <v>1612</v>
      </c>
      <c r="D4198" s="565">
        <v>40877</v>
      </c>
      <c r="E4198" s="565">
        <v>40886</v>
      </c>
      <c r="F4198" s="566">
        <v>2700</v>
      </c>
      <c r="G4198" s="564" t="s">
        <v>337</v>
      </c>
      <c r="H4198" s="564" t="s">
        <v>337</v>
      </c>
      <c r="I4198" s="564" t="s">
        <v>1247</v>
      </c>
      <c r="J4198" s="564" t="s">
        <v>1069</v>
      </c>
      <c r="K4198" s="564" t="s">
        <v>1070</v>
      </c>
      <c r="L4198" s="564" t="s">
        <v>2098</v>
      </c>
      <c r="M4198" s="564" t="s">
        <v>2098</v>
      </c>
      <c r="N4198" s="564" t="s">
        <v>1073</v>
      </c>
      <c r="O4198" s="564" t="s">
        <v>2099</v>
      </c>
      <c r="P4198" s="23"/>
      <c r="Q4198" s="23"/>
      <c r="R4198" s="23"/>
      <c r="S4198" s="23"/>
      <c r="T4198" s="23"/>
      <c r="U4198" s="23"/>
      <c r="V4198" s="23"/>
      <c r="W4198" s="23"/>
      <c r="X4198" s="23"/>
      <c r="Y4198" s="23"/>
      <c r="Z4198" s="23"/>
    </row>
    <row r="4199" spans="1:26" ht="13">
      <c r="A4199" s="562" t="s">
        <v>9166</v>
      </c>
      <c r="B4199" s="563" t="s">
        <v>9167</v>
      </c>
      <c r="C4199" s="564" t="s">
        <v>1612</v>
      </c>
      <c r="D4199" s="565">
        <v>40877</v>
      </c>
      <c r="E4199" s="565">
        <v>40907</v>
      </c>
      <c r="F4199" s="566">
        <v>63636363</v>
      </c>
      <c r="G4199" s="564" t="s">
        <v>337</v>
      </c>
      <c r="H4199" s="564" t="s">
        <v>337</v>
      </c>
      <c r="I4199" s="564" t="s">
        <v>802</v>
      </c>
      <c r="J4199" s="564" t="s">
        <v>1069</v>
      </c>
      <c r="K4199" s="564" t="s">
        <v>1198</v>
      </c>
      <c r="L4199" s="564" t="s">
        <v>2098</v>
      </c>
      <c r="M4199" s="564" t="s">
        <v>2098</v>
      </c>
      <c r="N4199" s="564" t="s">
        <v>132</v>
      </c>
      <c r="O4199" s="564" t="s">
        <v>2099</v>
      </c>
      <c r="P4199" s="23"/>
      <c r="Q4199" s="23"/>
      <c r="R4199" s="23"/>
      <c r="S4199" s="23"/>
      <c r="T4199" s="23"/>
      <c r="U4199" s="23"/>
      <c r="V4199" s="23"/>
      <c r="W4199" s="23"/>
      <c r="X4199" s="23"/>
      <c r="Y4199" s="23"/>
      <c r="Z4199" s="23"/>
    </row>
    <row r="4200" spans="1:26" ht="13">
      <c r="A4200" s="562" t="s">
        <v>9168</v>
      </c>
      <c r="B4200" s="563" t="s">
        <v>9169</v>
      </c>
      <c r="C4200" s="564" t="s">
        <v>1612</v>
      </c>
      <c r="D4200" s="565">
        <v>40877</v>
      </c>
      <c r="E4200" s="565">
        <v>40886</v>
      </c>
      <c r="F4200" s="566">
        <v>2745000</v>
      </c>
      <c r="G4200" s="564" t="s">
        <v>337</v>
      </c>
      <c r="H4200" s="564" t="s">
        <v>337</v>
      </c>
      <c r="I4200" s="564" t="s">
        <v>802</v>
      </c>
      <c r="J4200" s="564" t="s">
        <v>1069</v>
      </c>
      <c r="K4200" s="564" t="s">
        <v>1198</v>
      </c>
      <c r="L4200" s="564" t="s">
        <v>2098</v>
      </c>
      <c r="M4200" s="564" t="s">
        <v>2098</v>
      </c>
      <c r="N4200" s="564" t="s">
        <v>132</v>
      </c>
      <c r="O4200" s="564" t="s">
        <v>2099</v>
      </c>
      <c r="P4200" s="23"/>
      <c r="Q4200" s="23"/>
      <c r="R4200" s="23"/>
      <c r="S4200" s="23"/>
      <c r="T4200" s="23"/>
      <c r="U4200" s="23"/>
      <c r="V4200" s="23"/>
      <c r="W4200" s="23"/>
      <c r="X4200" s="23"/>
      <c r="Y4200" s="23"/>
      <c r="Z4200" s="23"/>
    </row>
    <row r="4201" spans="1:26" ht="13">
      <c r="A4201" s="562" t="s">
        <v>9170</v>
      </c>
      <c r="B4201" s="563" t="s">
        <v>9171</v>
      </c>
      <c r="C4201" s="564" t="s">
        <v>1612</v>
      </c>
      <c r="D4201" s="565">
        <v>40871</v>
      </c>
      <c r="E4201" s="565">
        <v>40877</v>
      </c>
      <c r="F4201" s="566">
        <v>55000</v>
      </c>
      <c r="G4201" s="564" t="s">
        <v>1157</v>
      </c>
      <c r="H4201" s="564" t="s">
        <v>1157</v>
      </c>
      <c r="I4201" s="564" t="s">
        <v>70</v>
      </c>
      <c r="J4201" s="564" t="s">
        <v>1069</v>
      </c>
      <c r="K4201" s="564" t="s">
        <v>1120</v>
      </c>
      <c r="L4201" s="564" t="s">
        <v>2098</v>
      </c>
      <c r="M4201" s="564" t="s">
        <v>2098</v>
      </c>
      <c r="N4201" s="564" t="s">
        <v>70</v>
      </c>
      <c r="O4201" s="564" t="s">
        <v>2099</v>
      </c>
      <c r="P4201" s="23"/>
      <c r="Q4201" s="23"/>
      <c r="R4201" s="23"/>
      <c r="S4201" s="23"/>
      <c r="T4201" s="23"/>
      <c r="U4201" s="23"/>
      <c r="V4201" s="23"/>
      <c r="W4201" s="23"/>
      <c r="X4201" s="23"/>
      <c r="Y4201" s="23"/>
      <c r="Z4201" s="23"/>
    </row>
    <row r="4202" spans="1:26" ht="13">
      <c r="A4202" s="562" t="s">
        <v>9172</v>
      </c>
      <c r="B4202" s="563" t="s">
        <v>9173</v>
      </c>
      <c r="C4202" s="564" t="s">
        <v>2191</v>
      </c>
      <c r="D4202" s="565">
        <v>40870</v>
      </c>
      <c r="E4202" s="565">
        <v>40886</v>
      </c>
      <c r="F4202" s="566">
        <v>240000</v>
      </c>
      <c r="G4202" s="564" t="s">
        <v>297</v>
      </c>
      <c r="H4202" s="564" t="s">
        <v>297</v>
      </c>
      <c r="I4202" s="564" t="s">
        <v>8952</v>
      </c>
      <c r="J4202" s="564" t="s">
        <v>1069</v>
      </c>
      <c r="K4202" s="564" t="s">
        <v>1198</v>
      </c>
      <c r="L4202" s="564" t="s">
        <v>2098</v>
      </c>
      <c r="M4202" s="564" t="s">
        <v>2098</v>
      </c>
      <c r="N4202" s="564" t="s">
        <v>1368</v>
      </c>
      <c r="O4202" s="564" t="s">
        <v>2099</v>
      </c>
      <c r="P4202" s="23"/>
      <c r="Q4202" s="23"/>
      <c r="R4202" s="23"/>
      <c r="S4202" s="23"/>
      <c r="T4202" s="23"/>
      <c r="U4202" s="23"/>
      <c r="V4202" s="23"/>
      <c r="W4202" s="23"/>
      <c r="X4202" s="23"/>
      <c r="Y4202" s="23"/>
      <c r="Z4202" s="23"/>
    </row>
    <row r="4203" spans="1:26" ht="13">
      <c r="A4203" s="562" t="s">
        <v>9174</v>
      </c>
      <c r="B4203" s="563" t="s">
        <v>9175</v>
      </c>
      <c r="C4203" s="564" t="s">
        <v>2191</v>
      </c>
      <c r="D4203" s="565">
        <v>40849</v>
      </c>
      <c r="E4203" s="565">
        <v>40870</v>
      </c>
      <c r="F4203" s="566">
        <v>20880000</v>
      </c>
      <c r="G4203" s="564" t="s">
        <v>1123</v>
      </c>
      <c r="H4203" s="564" t="s">
        <v>1123</v>
      </c>
      <c r="I4203" s="564" t="s">
        <v>8804</v>
      </c>
      <c r="J4203" s="564" t="s">
        <v>1069</v>
      </c>
      <c r="K4203" s="564" t="s">
        <v>1070</v>
      </c>
      <c r="L4203" s="564" t="s">
        <v>2098</v>
      </c>
      <c r="M4203" s="564" t="s">
        <v>2098</v>
      </c>
      <c r="N4203" s="564" t="s">
        <v>1082</v>
      </c>
      <c r="O4203" s="564" t="s">
        <v>2099</v>
      </c>
      <c r="P4203" s="23"/>
      <c r="Q4203" s="23"/>
      <c r="R4203" s="23"/>
      <c r="S4203" s="23"/>
      <c r="T4203" s="23"/>
      <c r="U4203" s="23"/>
      <c r="V4203" s="23"/>
      <c r="W4203" s="23"/>
      <c r="X4203" s="23"/>
      <c r="Y4203" s="23"/>
      <c r="Z4203" s="23"/>
    </row>
    <row r="4204" spans="1:26" ht="13">
      <c r="A4204" s="562" t="s">
        <v>9176</v>
      </c>
      <c r="B4204" s="563" t="s">
        <v>9177</v>
      </c>
      <c r="C4204" s="564" t="s">
        <v>2191</v>
      </c>
      <c r="D4204" s="565">
        <v>40869</v>
      </c>
      <c r="E4204" s="565">
        <v>40877</v>
      </c>
      <c r="F4204" s="566">
        <v>1706000</v>
      </c>
      <c r="G4204" s="564" t="s">
        <v>1123</v>
      </c>
      <c r="H4204" s="564" t="s">
        <v>1123</v>
      </c>
      <c r="I4204" s="564" t="s">
        <v>141</v>
      </c>
      <c r="J4204" s="564" t="s">
        <v>1069</v>
      </c>
      <c r="K4204" s="564" t="s">
        <v>1205</v>
      </c>
      <c r="L4204" s="564" t="s">
        <v>2098</v>
      </c>
      <c r="M4204" s="564" t="s">
        <v>2098</v>
      </c>
      <c r="N4204" s="564" t="s">
        <v>1073</v>
      </c>
      <c r="O4204" s="564" t="s">
        <v>2099</v>
      </c>
      <c r="P4204" s="23"/>
      <c r="Q4204" s="23"/>
      <c r="R4204" s="23"/>
      <c r="S4204" s="23"/>
      <c r="T4204" s="23"/>
      <c r="U4204" s="23"/>
      <c r="V4204" s="23"/>
      <c r="W4204" s="23"/>
      <c r="X4204" s="23"/>
      <c r="Y4204" s="23"/>
      <c r="Z4204" s="23"/>
    </row>
    <row r="4205" spans="1:26" ht="13">
      <c r="A4205" s="562" t="s">
        <v>9178</v>
      </c>
      <c r="B4205" s="563" t="s">
        <v>8309</v>
      </c>
      <c r="C4205" s="564" t="s">
        <v>1612</v>
      </c>
      <c r="D4205" s="565">
        <v>40869</v>
      </c>
      <c r="E4205" s="565">
        <v>40869</v>
      </c>
      <c r="F4205" s="566">
        <v>218181</v>
      </c>
      <c r="G4205" s="564" t="s">
        <v>337</v>
      </c>
      <c r="H4205" s="564" t="s">
        <v>337</v>
      </c>
      <c r="I4205" s="564" t="s">
        <v>802</v>
      </c>
      <c r="J4205" s="564" t="s">
        <v>1069</v>
      </c>
      <c r="K4205" s="564" t="s">
        <v>1198</v>
      </c>
      <c r="L4205" s="564" t="s">
        <v>2098</v>
      </c>
      <c r="M4205" s="564" t="s">
        <v>2098</v>
      </c>
      <c r="N4205" s="564" t="s">
        <v>132</v>
      </c>
      <c r="O4205" s="564" t="s">
        <v>2099</v>
      </c>
      <c r="P4205" s="23"/>
      <c r="Q4205" s="23"/>
      <c r="R4205" s="23"/>
      <c r="S4205" s="23"/>
      <c r="T4205" s="23"/>
      <c r="U4205" s="23"/>
      <c r="V4205" s="23"/>
      <c r="W4205" s="23"/>
      <c r="X4205" s="23"/>
      <c r="Y4205" s="23"/>
      <c r="Z4205" s="23"/>
    </row>
    <row r="4206" spans="1:26" ht="13">
      <c r="A4206" s="562" t="s">
        <v>9179</v>
      </c>
      <c r="B4206" s="563" t="s">
        <v>9180</v>
      </c>
      <c r="C4206" s="564" t="s">
        <v>1612</v>
      </c>
      <c r="D4206" s="565">
        <v>40864</v>
      </c>
      <c r="E4206" s="565">
        <v>40877</v>
      </c>
      <c r="F4206" s="566">
        <v>95400</v>
      </c>
      <c r="G4206" s="564" t="s">
        <v>337</v>
      </c>
      <c r="H4206" s="564" t="s">
        <v>337</v>
      </c>
      <c r="I4206" s="564" t="s">
        <v>70</v>
      </c>
      <c r="J4206" s="564" t="s">
        <v>1069</v>
      </c>
      <c r="K4206" s="564" t="s">
        <v>1120</v>
      </c>
      <c r="L4206" s="564" t="s">
        <v>2098</v>
      </c>
      <c r="M4206" s="564" t="s">
        <v>2098</v>
      </c>
      <c r="N4206" s="564" t="s">
        <v>70</v>
      </c>
      <c r="O4206" s="564" t="s">
        <v>2099</v>
      </c>
      <c r="P4206" s="23"/>
      <c r="Q4206" s="23"/>
      <c r="R4206" s="23"/>
      <c r="S4206" s="23"/>
      <c r="T4206" s="23"/>
      <c r="U4206" s="23"/>
      <c r="V4206" s="23"/>
      <c r="W4206" s="23"/>
      <c r="X4206" s="23"/>
      <c r="Y4206" s="23"/>
      <c r="Z4206" s="23"/>
    </row>
    <row r="4207" spans="1:26" ht="13">
      <c r="A4207" s="562" t="s">
        <v>9181</v>
      </c>
      <c r="B4207" s="563" t="s">
        <v>9182</v>
      </c>
      <c r="C4207" s="564" t="s">
        <v>1612</v>
      </c>
      <c r="D4207" s="565">
        <v>40863</v>
      </c>
      <c r="E4207" s="565">
        <v>40939</v>
      </c>
      <c r="F4207" s="566">
        <v>46500</v>
      </c>
      <c r="G4207" s="564" t="s">
        <v>337</v>
      </c>
      <c r="H4207" s="564" t="s">
        <v>337</v>
      </c>
      <c r="I4207" s="564" t="s">
        <v>45</v>
      </c>
      <c r="J4207" s="564" t="s">
        <v>1069</v>
      </c>
      <c r="K4207" s="564" t="s">
        <v>1090</v>
      </c>
      <c r="L4207" s="564" t="s">
        <v>2098</v>
      </c>
      <c r="M4207" s="564" t="s">
        <v>2098</v>
      </c>
      <c r="N4207" s="564" t="s">
        <v>45</v>
      </c>
      <c r="O4207" s="564" t="s">
        <v>2099</v>
      </c>
      <c r="P4207" s="23"/>
      <c r="Q4207" s="23"/>
      <c r="R4207" s="23"/>
      <c r="S4207" s="23"/>
      <c r="T4207" s="23"/>
      <c r="U4207" s="23"/>
      <c r="V4207" s="23"/>
      <c r="W4207" s="23"/>
      <c r="X4207" s="23"/>
      <c r="Y4207" s="23"/>
      <c r="Z4207" s="23"/>
    </row>
    <row r="4208" spans="1:26" ht="13">
      <c r="A4208" s="562" t="s">
        <v>9183</v>
      </c>
      <c r="B4208" s="563" t="s">
        <v>8309</v>
      </c>
      <c r="C4208" s="564" t="s">
        <v>1612</v>
      </c>
      <c r="D4208" s="565">
        <v>40862</v>
      </c>
      <c r="E4208" s="565">
        <v>40872</v>
      </c>
      <c r="F4208" s="566">
        <v>218181</v>
      </c>
      <c r="G4208" s="564" t="s">
        <v>337</v>
      </c>
      <c r="H4208" s="564" t="s">
        <v>337</v>
      </c>
      <c r="I4208" s="564" t="s">
        <v>802</v>
      </c>
      <c r="J4208" s="564" t="s">
        <v>1069</v>
      </c>
      <c r="K4208" s="564" t="s">
        <v>1198</v>
      </c>
      <c r="L4208" s="564" t="s">
        <v>2098</v>
      </c>
      <c r="M4208" s="564" t="s">
        <v>2098</v>
      </c>
      <c r="N4208" s="564" t="s">
        <v>132</v>
      </c>
      <c r="O4208" s="564" t="s">
        <v>2099</v>
      </c>
      <c r="P4208" s="23"/>
      <c r="Q4208" s="23"/>
      <c r="R4208" s="23"/>
      <c r="S4208" s="23"/>
      <c r="T4208" s="23"/>
      <c r="U4208" s="23"/>
      <c r="V4208" s="23"/>
      <c r="W4208" s="23"/>
      <c r="X4208" s="23"/>
      <c r="Y4208" s="23"/>
      <c r="Z4208" s="23"/>
    </row>
    <row r="4209" spans="1:26" ht="13">
      <c r="A4209" s="562" t="s">
        <v>9184</v>
      </c>
      <c r="B4209" s="563" t="s">
        <v>9185</v>
      </c>
      <c r="C4209" s="564" t="s">
        <v>1612</v>
      </c>
      <c r="D4209" s="565">
        <v>40857</v>
      </c>
      <c r="E4209" s="565">
        <v>40865</v>
      </c>
      <c r="F4209" s="566">
        <v>1820</v>
      </c>
      <c r="G4209" s="564" t="s">
        <v>337</v>
      </c>
      <c r="H4209" s="564" t="s">
        <v>337</v>
      </c>
      <c r="I4209" s="564" t="s">
        <v>64</v>
      </c>
      <c r="J4209" s="564" t="s">
        <v>1069</v>
      </c>
      <c r="K4209" s="564" t="s">
        <v>1090</v>
      </c>
      <c r="L4209" s="564" t="s">
        <v>2098</v>
      </c>
      <c r="M4209" s="564" t="s">
        <v>2098</v>
      </c>
      <c r="N4209" s="564" t="s">
        <v>64</v>
      </c>
      <c r="O4209" s="564" t="s">
        <v>2099</v>
      </c>
      <c r="P4209" s="23"/>
      <c r="Q4209" s="23"/>
      <c r="R4209" s="23"/>
      <c r="S4209" s="23"/>
      <c r="T4209" s="23"/>
      <c r="U4209" s="23"/>
      <c r="V4209" s="23"/>
      <c r="W4209" s="23"/>
      <c r="X4209" s="23"/>
      <c r="Y4209" s="23"/>
      <c r="Z4209" s="23"/>
    </row>
    <row r="4210" spans="1:26" ht="13">
      <c r="A4210" s="562" t="s">
        <v>9186</v>
      </c>
      <c r="B4210" s="563" t="s">
        <v>9187</v>
      </c>
      <c r="C4210" s="564" t="s">
        <v>1612</v>
      </c>
      <c r="D4210" s="565">
        <v>40861</v>
      </c>
      <c r="E4210" s="565">
        <v>40877</v>
      </c>
      <c r="F4210" s="567">
        <v>740</v>
      </c>
      <c r="G4210" s="564" t="s">
        <v>337</v>
      </c>
      <c r="H4210" s="564" t="s">
        <v>337</v>
      </c>
      <c r="I4210" s="564" t="s">
        <v>2073</v>
      </c>
      <c r="J4210" s="564" t="s">
        <v>1069</v>
      </c>
      <c r="K4210" s="564" t="s">
        <v>1105</v>
      </c>
      <c r="L4210" s="564" t="s">
        <v>2098</v>
      </c>
      <c r="M4210" s="564" t="s">
        <v>2098</v>
      </c>
      <c r="N4210" s="564" t="s">
        <v>225</v>
      </c>
      <c r="O4210" s="564" t="s">
        <v>2099</v>
      </c>
      <c r="P4210" s="23"/>
      <c r="Q4210" s="23"/>
      <c r="R4210" s="23"/>
      <c r="S4210" s="23"/>
      <c r="T4210" s="23"/>
      <c r="U4210" s="23"/>
      <c r="V4210" s="23"/>
      <c r="W4210" s="23"/>
      <c r="X4210" s="23"/>
      <c r="Y4210" s="23"/>
      <c r="Z4210" s="23"/>
    </row>
    <row r="4211" spans="1:26" ht="13">
      <c r="A4211" s="562" t="s">
        <v>9188</v>
      </c>
      <c r="B4211" s="563" t="s">
        <v>9189</v>
      </c>
      <c r="C4211" s="564" t="s">
        <v>1612</v>
      </c>
      <c r="D4211" s="565">
        <v>40862</v>
      </c>
      <c r="E4211" s="565">
        <v>40908</v>
      </c>
      <c r="F4211" s="566">
        <v>3600</v>
      </c>
      <c r="G4211" s="564" t="s">
        <v>337</v>
      </c>
      <c r="H4211" s="564" t="s">
        <v>337</v>
      </c>
      <c r="I4211" s="564" t="s">
        <v>45</v>
      </c>
      <c r="J4211" s="564" t="s">
        <v>1069</v>
      </c>
      <c r="K4211" s="564" t="s">
        <v>1090</v>
      </c>
      <c r="L4211" s="564" t="s">
        <v>2098</v>
      </c>
      <c r="M4211" s="564" t="s">
        <v>2098</v>
      </c>
      <c r="N4211" s="564" t="s">
        <v>45</v>
      </c>
      <c r="O4211" s="564" t="s">
        <v>2099</v>
      </c>
      <c r="P4211" s="23"/>
      <c r="Q4211" s="23"/>
      <c r="R4211" s="23"/>
      <c r="S4211" s="23"/>
      <c r="T4211" s="23"/>
      <c r="U4211" s="23"/>
      <c r="V4211" s="23"/>
      <c r="W4211" s="23"/>
      <c r="X4211" s="23"/>
      <c r="Y4211" s="23"/>
      <c r="Z4211" s="23"/>
    </row>
    <row r="4212" spans="1:26" ht="13">
      <c r="A4212" s="562" t="s">
        <v>9190</v>
      </c>
      <c r="B4212" s="563" t="s">
        <v>9191</v>
      </c>
      <c r="C4212" s="564" t="s">
        <v>2191</v>
      </c>
      <c r="D4212" s="565">
        <v>40849</v>
      </c>
      <c r="E4212" s="565">
        <v>40939</v>
      </c>
      <c r="F4212" s="566">
        <v>1057272727</v>
      </c>
      <c r="G4212" s="564" t="s">
        <v>8532</v>
      </c>
      <c r="H4212" s="564" t="s">
        <v>8532</v>
      </c>
      <c r="I4212" s="564" t="s">
        <v>9192</v>
      </c>
      <c r="J4212" s="564" t="s">
        <v>1069</v>
      </c>
      <c r="K4212" s="564" t="s">
        <v>1205</v>
      </c>
      <c r="L4212" s="564" t="s">
        <v>2098</v>
      </c>
      <c r="M4212" s="564" t="s">
        <v>2098</v>
      </c>
      <c r="N4212" s="564" t="s">
        <v>1368</v>
      </c>
      <c r="O4212" s="564" t="s">
        <v>2099</v>
      </c>
      <c r="P4212" s="23"/>
      <c r="Q4212" s="23"/>
      <c r="R4212" s="23"/>
      <c r="S4212" s="23"/>
      <c r="T4212" s="23"/>
      <c r="U4212" s="23"/>
      <c r="V4212" s="23"/>
      <c r="W4212" s="23"/>
      <c r="X4212" s="23"/>
      <c r="Y4212" s="23"/>
      <c r="Z4212" s="23"/>
    </row>
    <row r="4213" spans="1:26" ht="13">
      <c r="A4213" s="562" t="s">
        <v>9193</v>
      </c>
      <c r="B4213" s="563" t="s">
        <v>9194</v>
      </c>
      <c r="C4213" s="564" t="s">
        <v>1612</v>
      </c>
      <c r="D4213" s="565">
        <v>40844</v>
      </c>
      <c r="E4213" s="565">
        <v>40865</v>
      </c>
      <c r="F4213" s="566">
        <v>65724</v>
      </c>
      <c r="G4213" s="564" t="s">
        <v>297</v>
      </c>
      <c r="H4213" s="564" t="s">
        <v>297</v>
      </c>
      <c r="I4213" s="564" t="s">
        <v>45</v>
      </c>
      <c r="J4213" s="564" t="s">
        <v>1069</v>
      </c>
      <c r="K4213" s="564" t="s">
        <v>1090</v>
      </c>
      <c r="L4213" s="564" t="s">
        <v>2098</v>
      </c>
      <c r="M4213" s="564" t="s">
        <v>2098</v>
      </c>
      <c r="N4213" s="564" t="s">
        <v>45</v>
      </c>
      <c r="O4213" s="564" t="s">
        <v>2099</v>
      </c>
      <c r="P4213" s="23"/>
      <c r="Q4213" s="23"/>
      <c r="R4213" s="23"/>
      <c r="S4213" s="23"/>
      <c r="T4213" s="23"/>
      <c r="U4213" s="23"/>
      <c r="V4213" s="23"/>
      <c r="W4213" s="23"/>
      <c r="X4213" s="23"/>
      <c r="Y4213" s="23"/>
      <c r="Z4213" s="23"/>
    </row>
    <row r="4214" spans="1:26" ht="13">
      <c r="A4214" s="562" t="s">
        <v>9195</v>
      </c>
      <c r="B4214" s="563" t="s">
        <v>8425</v>
      </c>
      <c r="C4214" s="564" t="s">
        <v>1612</v>
      </c>
      <c r="D4214" s="565">
        <v>40843</v>
      </c>
      <c r="E4214" s="565">
        <v>40847</v>
      </c>
      <c r="F4214" s="567">
        <v>900</v>
      </c>
      <c r="G4214" s="564" t="s">
        <v>337</v>
      </c>
      <c r="H4214" s="564" t="s">
        <v>337</v>
      </c>
      <c r="I4214" s="564" t="s">
        <v>70</v>
      </c>
      <c r="J4214" s="564" t="s">
        <v>1069</v>
      </c>
      <c r="K4214" s="564" t="s">
        <v>1120</v>
      </c>
      <c r="L4214" s="564" t="s">
        <v>2098</v>
      </c>
      <c r="M4214" s="564" t="s">
        <v>2098</v>
      </c>
      <c r="N4214" s="564" t="s">
        <v>70</v>
      </c>
      <c r="O4214" s="564" t="s">
        <v>2099</v>
      </c>
      <c r="P4214" s="23"/>
      <c r="Q4214" s="23"/>
      <c r="R4214" s="23"/>
      <c r="S4214" s="23"/>
      <c r="T4214" s="23"/>
      <c r="U4214" s="23"/>
      <c r="V4214" s="23"/>
      <c r="W4214" s="23"/>
      <c r="X4214" s="23"/>
      <c r="Y4214" s="23"/>
      <c r="Z4214" s="23"/>
    </row>
    <row r="4215" spans="1:26" ht="13">
      <c r="A4215" s="562" t="s">
        <v>9196</v>
      </c>
      <c r="B4215" s="563" t="s">
        <v>9197</v>
      </c>
      <c r="C4215" s="564" t="s">
        <v>1612</v>
      </c>
      <c r="D4215" s="565">
        <v>40842</v>
      </c>
      <c r="E4215" s="565">
        <v>40851</v>
      </c>
      <c r="F4215" s="566">
        <v>43800</v>
      </c>
      <c r="G4215" s="564" t="s">
        <v>337</v>
      </c>
      <c r="H4215" s="564" t="s">
        <v>337</v>
      </c>
      <c r="I4215" s="564" t="s">
        <v>802</v>
      </c>
      <c r="J4215" s="564" t="s">
        <v>1069</v>
      </c>
      <c r="K4215" s="564" t="s">
        <v>1198</v>
      </c>
      <c r="L4215" s="564" t="s">
        <v>2098</v>
      </c>
      <c r="M4215" s="564" t="s">
        <v>2098</v>
      </c>
      <c r="N4215" s="564" t="s">
        <v>132</v>
      </c>
      <c r="O4215" s="564" t="s">
        <v>2099</v>
      </c>
      <c r="P4215" s="23"/>
      <c r="Q4215" s="23"/>
      <c r="R4215" s="23"/>
      <c r="S4215" s="23"/>
      <c r="T4215" s="23"/>
      <c r="U4215" s="23"/>
      <c r="V4215" s="23"/>
      <c r="W4215" s="23"/>
      <c r="X4215" s="23"/>
      <c r="Y4215" s="23"/>
      <c r="Z4215" s="23"/>
    </row>
    <row r="4216" spans="1:26" ht="13">
      <c r="A4216" s="562" t="s">
        <v>9198</v>
      </c>
      <c r="B4216" s="563" t="s">
        <v>9199</v>
      </c>
      <c r="C4216" s="564" t="s">
        <v>1612</v>
      </c>
      <c r="D4216" s="565">
        <v>40841</v>
      </c>
      <c r="E4216" s="565">
        <v>40851</v>
      </c>
      <c r="F4216" s="566">
        <v>6363</v>
      </c>
      <c r="G4216" s="564" t="s">
        <v>337</v>
      </c>
      <c r="H4216" s="564" t="s">
        <v>337</v>
      </c>
      <c r="I4216" s="564" t="s">
        <v>64</v>
      </c>
      <c r="J4216" s="564" t="s">
        <v>1069</v>
      </c>
      <c r="K4216" s="564" t="s">
        <v>1090</v>
      </c>
      <c r="L4216" s="564" t="s">
        <v>2098</v>
      </c>
      <c r="M4216" s="564" t="s">
        <v>2098</v>
      </c>
      <c r="N4216" s="564" t="s">
        <v>64</v>
      </c>
      <c r="O4216" s="564" t="s">
        <v>2099</v>
      </c>
      <c r="P4216" s="23"/>
      <c r="Q4216" s="23"/>
      <c r="R4216" s="23"/>
      <c r="S4216" s="23"/>
      <c r="T4216" s="23"/>
      <c r="U4216" s="23"/>
      <c r="V4216" s="23"/>
      <c r="W4216" s="23"/>
      <c r="X4216" s="23"/>
      <c r="Y4216" s="23"/>
      <c r="Z4216" s="23"/>
    </row>
    <row r="4217" spans="1:26" ht="13">
      <c r="A4217" s="562" t="s">
        <v>9200</v>
      </c>
      <c r="B4217" s="563" t="s">
        <v>8309</v>
      </c>
      <c r="C4217" s="564" t="s">
        <v>1612</v>
      </c>
      <c r="D4217" s="565">
        <v>40837</v>
      </c>
      <c r="E4217" s="565">
        <v>40844</v>
      </c>
      <c r="F4217" s="566">
        <v>43636</v>
      </c>
      <c r="G4217" s="564" t="s">
        <v>337</v>
      </c>
      <c r="H4217" s="564" t="s">
        <v>337</v>
      </c>
      <c r="I4217" s="564" t="s">
        <v>802</v>
      </c>
      <c r="J4217" s="564" t="s">
        <v>1069</v>
      </c>
      <c r="K4217" s="564" t="s">
        <v>1198</v>
      </c>
      <c r="L4217" s="564" t="s">
        <v>2098</v>
      </c>
      <c r="M4217" s="564" t="s">
        <v>2098</v>
      </c>
      <c r="N4217" s="564" t="s">
        <v>132</v>
      </c>
      <c r="O4217" s="564" t="s">
        <v>2099</v>
      </c>
      <c r="P4217" s="23"/>
      <c r="Q4217" s="23"/>
      <c r="R4217" s="23"/>
      <c r="S4217" s="23"/>
      <c r="T4217" s="23"/>
      <c r="U4217" s="23"/>
      <c r="V4217" s="23"/>
      <c r="W4217" s="23"/>
      <c r="X4217" s="23"/>
      <c r="Y4217" s="23"/>
      <c r="Z4217" s="23"/>
    </row>
    <row r="4218" spans="1:26" ht="13">
      <c r="A4218" s="562" t="s">
        <v>9201</v>
      </c>
      <c r="B4218" s="563" t="s">
        <v>8478</v>
      </c>
      <c r="C4218" s="564" t="s">
        <v>1612</v>
      </c>
      <c r="D4218" s="565">
        <v>40833</v>
      </c>
      <c r="E4218" s="565">
        <v>40837</v>
      </c>
      <c r="F4218" s="566">
        <v>1470</v>
      </c>
      <c r="G4218" s="564" t="s">
        <v>337</v>
      </c>
      <c r="H4218" s="564" t="s">
        <v>337</v>
      </c>
      <c r="I4218" s="564" t="s">
        <v>70</v>
      </c>
      <c r="J4218" s="564" t="s">
        <v>1069</v>
      </c>
      <c r="K4218" s="564" t="s">
        <v>1120</v>
      </c>
      <c r="L4218" s="564" t="s">
        <v>2098</v>
      </c>
      <c r="M4218" s="564" t="s">
        <v>2098</v>
      </c>
      <c r="N4218" s="564" t="s">
        <v>70</v>
      </c>
      <c r="O4218" s="564" t="s">
        <v>2099</v>
      </c>
      <c r="P4218" s="23"/>
      <c r="Q4218" s="23"/>
      <c r="R4218" s="23"/>
      <c r="S4218" s="23"/>
      <c r="T4218" s="23"/>
      <c r="U4218" s="23"/>
      <c r="V4218" s="23"/>
      <c r="W4218" s="23"/>
      <c r="X4218" s="23"/>
      <c r="Y4218" s="23"/>
      <c r="Z4218" s="23"/>
    </row>
    <row r="4219" spans="1:26" ht="13">
      <c r="A4219" s="562" t="s">
        <v>9202</v>
      </c>
      <c r="B4219" s="563" t="s">
        <v>8005</v>
      </c>
      <c r="C4219" s="564" t="s">
        <v>1612</v>
      </c>
      <c r="D4219" s="565">
        <v>40830</v>
      </c>
      <c r="E4219" s="565">
        <v>40837</v>
      </c>
      <c r="F4219" s="566">
        <v>2860</v>
      </c>
      <c r="G4219" s="564" t="s">
        <v>337</v>
      </c>
      <c r="H4219" s="564" t="s">
        <v>337</v>
      </c>
      <c r="I4219" s="564" t="s">
        <v>70</v>
      </c>
      <c r="J4219" s="564" t="s">
        <v>1069</v>
      </c>
      <c r="K4219" s="564" t="s">
        <v>1120</v>
      </c>
      <c r="L4219" s="564" t="s">
        <v>2098</v>
      </c>
      <c r="M4219" s="564" t="s">
        <v>2098</v>
      </c>
      <c r="N4219" s="564" t="s">
        <v>70</v>
      </c>
      <c r="O4219" s="564" t="s">
        <v>2099</v>
      </c>
      <c r="P4219" s="23"/>
      <c r="Q4219" s="23"/>
      <c r="R4219" s="23"/>
      <c r="S4219" s="23"/>
      <c r="T4219" s="23"/>
      <c r="U4219" s="23"/>
      <c r="V4219" s="23"/>
      <c r="W4219" s="23"/>
      <c r="X4219" s="23"/>
      <c r="Y4219" s="23"/>
      <c r="Z4219" s="23"/>
    </row>
    <row r="4220" spans="1:26" ht="13">
      <c r="A4220" s="562" t="s">
        <v>9203</v>
      </c>
      <c r="B4220" s="563" t="s">
        <v>8309</v>
      </c>
      <c r="C4220" s="564" t="s">
        <v>1612</v>
      </c>
      <c r="D4220" s="565">
        <v>40829</v>
      </c>
      <c r="E4220" s="565">
        <v>40837</v>
      </c>
      <c r="F4220" s="566">
        <v>261818</v>
      </c>
      <c r="G4220" s="564" t="s">
        <v>337</v>
      </c>
      <c r="H4220" s="564" t="s">
        <v>337</v>
      </c>
      <c r="I4220" s="564" t="s">
        <v>802</v>
      </c>
      <c r="J4220" s="564" t="s">
        <v>1069</v>
      </c>
      <c r="K4220" s="564" t="s">
        <v>1198</v>
      </c>
      <c r="L4220" s="564" t="s">
        <v>2098</v>
      </c>
      <c r="M4220" s="564" t="s">
        <v>2098</v>
      </c>
      <c r="N4220" s="564" t="s">
        <v>132</v>
      </c>
      <c r="O4220" s="564" t="s">
        <v>2099</v>
      </c>
      <c r="P4220" s="23"/>
      <c r="Q4220" s="23"/>
      <c r="R4220" s="23"/>
      <c r="S4220" s="23"/>
      <c r="T4220" s="23"/>
      <c r="U4220" s="23"/>
      <c r="V4220" s="23"/>
      <c r="W4220" s="23"/>
      <c r="X4220" s="23"/>
      <c r="Y4220" s="23"/>
      <c r="Z4220" s="23"/>
    </row>
    <row r="4221" spans="1:26" ht="13">
      <c r="A4221" s="562" t="s">
        <v>9204</v>
      </c>
      <c r="B4221" s="563" t="s">
        <v>9205</v>
      </c>
      <c r="C4221" s="564" t="s">
        <v>1612</v>
      </c>
      <c r="D4221" s="565">
        <v>40823</v>
      </c>
      <c r="E4221" s="565">
        <v>40844</v>
      </c>
      <c r="F4221" s="566">
        <v>44100</v>
      </c>
      <c r="G4221" s="564" t="s">
        <v>337</v>
      </c>
      <c r="H4221" s="564" t="s">
        <v>337</v>
      </c>
      <c r="I4221" s="564" t="s">
        <v>70</v>
      </c>
      <c r="J4221" s="564" t="s">
        <v>1069</v>
      </c>
      <c r="K4221" s="564" t="s">
        <v>1120</v>
      </c>
      <c r="L4221" s="564" t="s">
        <v>2098</v>
      </c>
      <c r="M4221" s="564" t="s">
        <v>2098</v>
      </c>
      <c r="N4221" s="564" t="s">
        <v>70</v>
      </c>
      <c r="O4221" s="564" t="s">
        <v>2099</v>
      </c>
      <c r="P4221" s="23"/>
      <c r="Q4221" s="23"/>
      <c r="R4221" s="23"/>
      <c r="S4221" s="23"/>
      <c r="T4221" s="23"/>
      <c r="U4221" s="23"/>
      <c r="V4221" s="23"/>
      <c r="W4221" s="23"/>
      <c r="X4221" s="23"/>
      <c r="Y4221" s="23"/>
      <c r="Z4221" s="23"/>
    </row>
    <row r="4222" spans="1:26" ht="13">
      <c r="A4222" s="562" t="s">
        <v>9206</v>
      </c>
      <c r="B4222" s="563" t="s">
        <v>9015</v>
      </c>
      <c r="C4222" s="564" t="s">
        <v>1612</v>
      </c>
      <c r="D4222" s="565">
        <v>40823</v>
      </c>
      <c r="E4222" s="565">
        <v>40830</v>
      </c>
      <c r="F4222" s="566">
        <v>145000</v>
      </c>
      <c r="G4222" s="564" t="s">
        <v>337</v>
      </c>
      <c r="H4222" s="564" t="s">
        <v>337</v>
      </c>
      <c r="I4222" s="564" t="s">
        <v>802</v>
      </c>
      <c r="J4222" s="564" t="s">
        <v>1069</v>
      </c>
      <c r="K4222" s="564" t="s">
        <v>1198</v>
      </c>
      <c r="L4222" s="564" t="s">
        <v>2098</v>
      </c>
      <c r="M4222" s="564" t="s">
        <v>2098</v>
      </c>
      <c r="N4222" s="564" t="s">
        <v>132</v>
      </c>
      <c r="O4222" s="564" t="s">
        <v>2099</v>
      </c>
      <c r="P4222" s="23"/>
      <c r="Q4222" s="23"/>
      <c r="R4222" s="23"/>
      <c r="S4222" s="23"/>
      <c r="T4222" s="23"/>
      <c r="U4222" s="23"/>
      <c r="V4222" s="23"/>
      <c r="W4222" s="23"/>
      <c r="X4222" s="23"/>
      <c r="Y4222" s="23"/>
      <c r="Z4222" s="23"/>
    </row>
    <row r="4223" spans="1:26" ht="13">
      <c r="A4223" s="562" t="s">
        <v>9207</v>
      </c>
      <c r="B4223" s="563" t="s">
        <v>8821</v>
      </c>
      <c r="C4223" s="564" t="s">
        <v>1612</v>
      </c>
      <c r="D4223" s="565">
        <v>40822</v>
      </c>
      <c r="E4223" s="565">
        <v>40837</v>
      </c>
      <c r="F4223" s="566">
        <v>404655000</v>
      </c>
      <c r="G4223" s="564" t="s">
        <v>1856</v>
      </c>
      <c r="H4223" s="564" t="s">
        <v>1856</v>
      </c>
      <c r="I4223" s="564" t="s">
        <v>45</v>
      </c>
      <c r="J4223" s="564" t="s">
        <v>1069</v>
      </c>
      <c r="K4223" s="564" t="s">
        <v>1090</v>
      </c>
      <c r="L4223" s="564" t="s">
        <v>2098</v>
      </c>
      <c r="M4223" s="564" t="s">
        <v>2098</v>
      </c>
      <c r="N4223" s="564" t="s">
        <v>45</v>
      </c>
      <c r="O4223" s="564" t="s">
        <v>2099</v>
      </c>
      <c r="P4223" s="23"/>
      <c r="Q4223" s="23"/>
      <c r="R4223" s="23"/>
      <c r="S4223" s="23"/>
      <c r="T4223" s="23"/>
      <c r="U4223" s="23"/>
      <c r="V4223" s="23"/>
      <c r="W4223" s="23"/>
      <c r="X4223" s="23"/>
      <c r="Y4223" s="23"/>
      <c r="Z4223" s="23"/>
    </row>
    <row r="4224" spans="1:26" ht="13">
      <c r="A4224" s="562" t="s">
        <v>9208</v>
      </c>
      <c r="B4224" s="563" t="s">
        <v>9209</v>
      </c>
      <c r="C4224" s="564" t="s">
        <v>1612</v>
      </c>
      <c r="D4224" s="565">
        <v>40821</v>
      </c>
      <c r="E4224" s="565">
        <v>41820</v>
      </c>
      <c r="F4224" s="566">
        <v>139090</v>
      </c>
      <c r="G4224" s="564" t="s">
        <v>1640</v>
      </c>
      <c r="H4224" s="564" t="s">
        <v>1640</v>
      </c>
      <c r="I4224" s="564" t="s">
        <v>45</v>
      </c>
      <c r="J4224" s="564" t="s">
        <v>1069</v>
      </c>
      <c r="K4224" s="564" t="s">
        <v>1090</v>
      </c>
      <c r="L4224" s="564" t="s">
        <v>2098</v>
      </c>
      <c r="M4224" s="564" t="s">
        <v>2098</v>
      </c>
      <c r="N4224" s="564" t="s">
        <v>45</v>
      </c>
      <c r="O4224" s="564" t="s">
        <v>2099</v>
      </c>
      <c r="P4224" s="23"/>
      <c r="Q4224" s="23"/>
      <c r="R4224" s="23"/>
      <c r="S4224" s="23"/>
      <c r="T4224" s="23"/>
      <c r="U4224" s="23"/>
      <c r="V4224" s="23"/>
      <c r="W4224" s="23"/>
      <c r="X4224" s="23"/>
      <c r="Y4224" s="23"/>
      <c r="Z4224" s="23"/>
    </row>
    <row r="4225" spans="1:26" ht="13">
      <c r="A4225" s="562" t="s">
        <v>9210</v>
      </c>
      <c r="B4225" s="563" t="s">
        <v>9211</v>
      </c>
      <c r="C4225" s="564" t="s">
        <v>1612</v>
      </c>
      <c r="D4225" s="565">
        <v>40816</v>
      </c>
      <c r="E4225" s="565">
        <v>40821</v>
      </c>
      <c r="F4225" s="566">
        <v>8210</v>
      </c>
      <c r="G4225" s="564" t="s">
        <v>337</v>
      </c>
      <c r="H4225" s="564" t="s">
        <v>337</v>
      </c>
      <c r="I4225" s="564" t="s">
        <v>64</v>
      </c>
      <c r="J4225" s="564" t="s">
        <v>1069</v>
      </c>
      <c r="K4225" s="564" t="s">
        <v>1090</v>
      </c>
      <c r="L4225" s="564" t="s">
        <v>2098</v>
      </c>
      <c r="M4225" s="564" t="s">
        <v>2098</v>
      </c>
      <c r="N4225" s="564" t="s">
        <v>64</v>
      </c>
      <c r="O4225" s="564" t="s">
        <v>2099</v>
      </c>
      <c r="P4225" s="23"/>
      <c r="Q4225" s="23"/>
      <c r="R4225" s="23"/>
      <c r="S4225" s="23"/>
      <c r="T4225" s="23"/>
      <c r="U4225" s="23"/>
      <c r="V4225" s="23"/>
      <c r="W4225" s="23"/>
      <c r="X4225" s="23"/>
      <c r="Y4225" s="23"/>
      <c r="Z4225" s="23"/>
    </row>
    <row r="4226" spans="1:26" ht="13">
      <c r="A4226" s="562" t="s">
        <v>9212</v>
      </c>
      <c r="B4226" s="563" t="s">
        <v>9213</v>
      </c>
      <c r="C4226" s="564" t="s">
        <v>2191</v>
      </c>
      <c r="D4226" s="565">
        <v>40816</v>
      </c>
      <c r="E4226" s="565">
        <v>40845</v>
      </c>
      <c r="F4226" s="566">
        <v>61200</v>
      </c>
      <c r="G4226" s="564" t="s">
        <v>1636</v>
      </c>
      <c r="H4226" s="564" t="s">
        <v>1636</v>
      </c>
      <c r="I4226" s="564" t="s">
        <v>1576</v>
      </c>
      <c r="J4226" s="564" t="s">
        <v>1069</v>
      </c>
      <c r="K4226" s="564" t="s">
        <v>1070</v>
      </c>
      <c r="L4226" s="564" t="s">
        <v>2098</v>
      </c>
      <c r="M4226" s="564" t="s">
        <v>2098</v>
      </c>
      <c r="N4226" s="564" t="s">
        <v>1082</v>
      </c>
      <c r="O4226" s="564" t="s">
        <v>2099</v>
      </c>
      <c r="P4226" s="23"/>
      <c r="Q4226" s="23"/>
      <c r="R4226" s="23"/>
      <c r="S4226" s="23"/>
      <c r="T4226" s="23"/>
      <c r="U4226" s="23"/>
      <c r="V4226" s="23"/>
      <c r="W4226" s="23"/>
      <c r="X4226" s="23"/>
      <c r="Y4226" s="23"/>
      <c r="Z4226" s="23"/>
    </row>
    <row r="4227" spans="1:26" ht="13">
      <c r="A4227" s="562" t="s">
        <v>9214</v>
      </c>
      <c r="B4227" s="563" t="s">
        <v>8832</v>
      </c>
      <c r="C4227" s="564" t="s">
        <v>1612</v>
      </c>
      <c r="D4227" s="565">
        <v>40813</v>
      </c>
      <c r="E4227" s="565">
        <v>40823</v>
      </c>
      <c r="F4227" s="566">
        <v>6999070</v>
      </c>
      <c r="G4227" s="564" t="s">
        <v>1856</v>
      </c>
      <c r="H4227" s="564" t="s">
        <v>1856</v>
      </c>
      <c r="I4227" s="564" t="s">
        <v>45</v>
      </c>
      <c r="J4227" s="564" t="s">
        <v>1069</v>
      </c>
      <c r="K4227" s="564" t="s">
        <v>1090</v>
      </c>
      <c r="L4227" s="564" t="s">
        <v>2098</v>
      </c>
      <c r="M4227" s="564" t="s">
        <v>2098</v>
      </c>
      <c r="N4227" s="564" t="s">
        <v>45</v>
      </c>
      <c r="O4227" s="564" t="s">
        <v>2099</v>
      </c>
      <c r="P4227" s="23"/>
      <c r="Q4227" s="23"/>
      <c r="R4227" s="23"/>
      <c r="S4227" s="23"/>
      <c r="T4227" s="23"/>
      <c r="U4227" s="23"/>
      <c r="V4227" s="23"/>
      <c r="W4227" s="23"/>
      <c r="X4227" s="23"/>
      <c r="Y4227" s="23"/>
      <c r="Z4227" s="23"/>
    </row>
    <row r="4228" spans="1:26" ht="13">
      <c r="A4228" s="562" t="s">
        <v>9215</v>
      </c>
      <c r="B4228" s="563" t="s">
        <v>9000</v>
      </c>
      <c r="C4228" s="564" t="s">
        <v>1612</v>
      </c>
      <c r="D4228" s="565">
        <v>40806</v>
      </c>
      <c r="E4228" s="565">
        <v>40816</v>
      </c>
      <c r="F4228" s="566">
        <v>2940</v>
      </c>
      <c r="G4228" s="564" t="s">
        <v>337</v>
      </c>
      <c r="H4228" s="564" t="s">
        <v>337</v>
      </c>
      <c r="I4228" s="564" t="s">
        <v>70</v>
      </c>
      <c r="J4228" s="564" t="s">
        <v>1069</v>
      </c>
      <c r="K4228" s="564" t="s">
        <v>1120</v>
      </c>
      <c r="L4228" s="564" t="s">
        <v>2098</v>
      </c>
      <c r="M4228" s="564" t="s">
        <v>2098</v>
      </c>
      <c r="N4228" s="564" t="s">
        <v>70</v>
      </c>
      <c r="O4228" s="564" t="s">
        <v>2099</v>
      </c>
      <c r="P4228" s="23"/>
      <c r="Q4228" s="23"/>
      <c r="R4228" s="23"/>
      <c r="S4228" s="23"/>
      <c r="T4228" s="23"/>
      <c r="U4228" s="23"/>
      <c r="V4228" s="23"/>
      <c r="W4228" s="23"/>
      <c r="X4228" s="23"/>
      <c r="Y4228" s="23"/>
      <c r="Z4228" s="23"/>
    </row>
    <row r="4229" spans="1:26" ht="13">
      <c r="A4229" s="562" t="s">
        <v>9216</v>
      </c>
      <c r="B4229" s="563" t="s">
        <v>9217</v>
      </c>
      <c r="C4229" s="564" t="s">
        <v>1612</v>
      </c>
      <c r="D4229" s="565">
        <v>40788</v>
      </c>
      <c r="E4229" s="565">
        <v>40816</v>
      </c>
      <c r="F4229" s="566">
        <v>46800</v>
      </c>
      <c r="G4229" s="564" t="s">
        <v>337</v>
      </c>
      <c r="H4229" s="564" t="s">
        <v>337</v>
      </c>
      <c r="I4229" s="564" t="s">
        <v>70</v>
      </c>
      <c r="J4229" s="564" t="s">
        <v>1069</v>
      </c>
      <c r="K4229" s="564" t="s">
        <v>1120</v>
      </c>
      <c r="L4229" s="564" t="s">
        <v>2098</v>
      </c>
      <c r="M4229" s="564" t="s">
        <v>2098</v>
      </c>
      <c r="N4229" s="564" t="s">
        <v>70</v>
      </c>
      <c r="O4229" s="564" t="s">
        <v>2099</v>
      </c>
      <c r="P4229" s="23"/>
      <c r="Q4229" s="23"/>
      <c r="R4229" s="23"/>
      <c r="S4229" s="23"/>
      <c r="T4229" s="23"/>
      <c r="U4229" s="23"/>
      <c r="V4229" s="23"/>
      <c r="W4229" s="23"/>
      <c r="X4229" s="23"/>
      <c r="Y4229" s="23"/>
      <c r="Z4229" s="23"/>
    </row>
    <row r="4230" spans="1:26" ht="13">
      <c r="A4230" s="562" t="s">
        <v>9218</v>
      </c>
      <c r="B4230" s="563" t="s">
        <v>9219</v>
      </c>
      <c r="C4230" s="564" t="s">
        <v>1612</v>
      </c>
      <c r="D4230" s="565">
        <v>40787</v>
      </c>
      <c r="E4230" s="565">
        <v>40795</v>
      </c>
      <c r="F4230" s="566">
        <v>1920</v>
      </c>
      <c r="G4230" s="564" t="s">
        <v>337</v>
      </c>
      <c r="H4230" s="564" t="s">
        <v>337</v>
      </c>
      <c r="I4230" s="564" t="s">
        <v>802</v>
      </c>
      <c r="J4230" s="564" t="s">
        <v>1069</v>
      </c>
      <c r="K4230" s="564" t="s">
        <v>1198</v>
      </c>
      <c r="L4230" s="564" t="s">
        <v>2098</v>
      </c>
      <c r="M4230" s="564" t="s">
        <v>2098</v>
      </c>
      <c r="N4230" s="564" t="s">
        <v>132</v>
      </c>
      <c r="O4230" s="564" t="s">
        <v>2099</v>
      </c>
      <c r="P4230" s="23"/>
      <c r="Q4230" s="23"/>
      <c r="R4230" s="23"/>
      <c r="S4230" s="23"/>
      <c r="T4230" s="23"/>
      <c r="U4230" s="23"/>
      <c r="V4230" s="23"/>
      <c r="W4230" s="23"/>
      <c r="X4230" s="23"/>
      <c r="Y4230" s="23"/>
      <c r="Z4230" s="23"/>
    </row>
    <row r="4231" spans="1:26" ht="13">
      <c r="A4231" s="562" t="s">
        <v>9220</v>
      </c>
      <c r="B4231" s="563" t="s">
        <v>9221</v>
      </c>
      <c r="C4231" s="564" t="s">
        <v>1612</v>
      </c>
      <c r="D4231" s="565">
        <v>40787</v>
      </c>
      <c r="E4231" s="565">
        <v>40795</v>
      </c>
      <c r="F4231" s="566">
        <v>6325</v>
      </c>
      <c r="G4231" s="564" t="s">
        <v>337</v>
      </c>
      <c r="H4231" s="564" t="s">
        <v>337</v>
      </c>
      <c r="I4231" s="564" t="s">
        <v>802</v>
      </c>
      <c r="J4231" s="564" t="s">
        <v>1069</v>
      </c>
      <c r="K4231" s="564" t="s">
        <v>1198</v>
      </c>
      <c r="L4231" s="564" t="s">
        <v>2098</v>
      </c>
      <c r="M4231" s="564" t="s">
        <v>2098</v>
      </c>
      <c r="N4231" s="564" t="s">
        <v>132</v>
      </c>
      <c r="O4231" s="564" t="s">
        <v>2099</v>
      </c>
      <c r="P4231" s="23"/>
      <c r="Q4231" s="23"/>
      <c r="R4231" s="23"/>
      <c r="S4231" s="23"/>
      <c r="T4231" s="23"/>
      <c r="U4231" s="23"/>
      <c r="V4231" s="23"/>
      <c r="W4231" s="23"/>
      <c r="X4231" s="23"/>
      <c r="Y4231" s="23"/>
      <c r="Z4231" s="23"/>
    </row>
    <row r="4232" spans="1:26" ht="13">
      <c r="A4232" s="562" t="s">
        <v>9222</v>
      </c>
      <c r="B4232" s="563" t="s">
        <v>9223</v>
      </c>
      <c r="C4232" s="564" t="s">
        <v>2191</v>
      </c>
      <c r="D4232" s="565">
        <v>40786</v>
      </c>
      <c r="E4232" s="565">
        <v>40877</v>
      </c>
      <c r="F4232" s="566">
        <v>8245226</v>
      </c>
      <c r="G4232" s="564" t="s">
        <v>1636</v>
      </c>
      <c r="H4232" s="564" t="s">
        <v>1636</v>
      </c>
      <c r="I4232" s="564" t="s">
        <v>6222</v>
      </c>
      <c r="J4232" s="564" t="s">
        <v>1069</v>
      </c>
      <c r="K4232" s="564" t="s">
        <v>1070</v>
      </c>
      <c r="L4232" s="564" t="s">
        <v>2098</v>
      </c>
      <c r="M4232" s="564" t="s">
        <v>2098</v>
      </c>
      <c r="N4232" s="564" t="s">
        <v>1082</v>
      </c>
      <c r="O4232" s="564" t="s">
        <v>2099</v>
      </c>
      <c r="P4232" s="23"/>
      <c r="Q4232" s="23"/>
      <c r="R4232" s="23"/>
      <c r="S4232" s="23"/>
      <c r="T4232" s="23"/>
      <c r="U4232" s="23"/>
      <c r="V4232" s="23"/>
      <c r="W4232" s="23"/>
      <c r="X4232" s="23"/>
      <c r="Y4232" s="23"/>
      <c r="Z4232" s="23"/>
    </row>
    <row r="4233" spans="1:26" ht="13">
      <c r="A4233" s="562" t="s">
        <v>9224</v>
      </c>
      <c r="B4233" s="563" t="s">
        <v>9225</v>
      </c>
      <c r="C4233" s="564" t="s">
        <v>1612</v>
      </c>
      <c r="D4233" s="565">
        <v>40780</v>
      </c>
      <c r="E4233" s="565">
        <v>40784</v>
      </c>
      <c r="F4233" s="566">
        <v>6040</v>
      </c>
      <c r="G4233" s="564" t="s">
        <v>337</v>
      </c>
      <c r="H4233" s="564" t="s">
        <v>337</v>
      </c>
      <c r="I4233" s="564" t="s">
        <v>70</v>
      </c>
      <c r="J4233" s="564" t="s">
        <v>1069</v>
      </c>
      <c r="K4233" s="564" t="s">
        <v>1120</v>
      </c>
      <c r="L4233" s="564" t="s">
        <v>2098</v>
      </c>
      <c r="M4233" s="564" t="s">
        <v>2098</v>
      </c>
      <c r="N4233" s="564" t="s">
        <v>70</v>
      </c>
      <c r="O4233" s="564" t="s">
        <v>2099</v>
      </c>
      <c r="P4233" s="23"/>
      <c r="Q4233" s="23"/>
      <c r="R4233" s="23"/>
      <c r="S4233" s="23"/>
      <c r="T4233" s="23"/>
      <c r="U4233" s="23"/>
      <c r="V4233" s="23"/>
      <c r="W4233" s="23"/>
      <c r="X4233" s="23"/>
      <c r="Y4233" s="23"/>
      <c r="Z4233" s="23"/>
    </row>
    <row r="4234" spans="1:26" ht="13">
      <c r="A4234" s="562" t="s">
        <v>9226</v>
      </c>
      <c r="B4234" s="563" t="s">
        <v>9227</v>
      </c>
      <c r="C4234" s="564" t="s">
        <v>1612</v>
      </c>
      <c r="D4234" s="565">
        <v>40780</v>
      </c>
      <c r="E4234" s="565">
        <v>40786</v>
      </c>
      <c r="F4234" s="566">
        <v>98060</v>
      </c>
      <c r="G4234" s="564" t="s">
        <v>8532</v>
      </c>
      <c r="H4234" s="564" t="s">
        <v>8532</v>
      </c>
      <c r="I4234" s="564" t="s">
        <v>45</v>
      </c>
      <c r="J4234" s="564" t="s">
        <v>1069</v>
      </c>
      <c r="K4234" s="564" t="s">
        <v>1090</v>
      </c>
      <c r="L4234" s="564" t="s">
        <v>2098</v>
      </c>
      <c r="M4234" s="564" t="s">
        <v>2098</v>
      </c>
      <c r="N4234" s="564" t="s">
        <v>45</v>
      </c>
      <c r="O4234" s="564" t="s">
        <v>2099</v>
      </c>
      <c r="P4234" s="23"/>
      <c r="Q4234" s="23"/>
      <c r="R4234" s="23"/>
      <c r="S4234" s="23"/>
      <c r="T4234" s="23"/>
      <c r="U4234" s="23"/>
      <c r="V4234" s="23"/>
      <c r="W4234" s="23"/>
      <c r="X4234" s="23"/>
      <c r="Y4234" s="23"/>
      <c r="Z4234" s="23"/>
    </row>
    <row r="4235" spans="1:26" ht="13">
      <c r="A4235" s="562" t="s">
        <v>9228</v>
      </c>
      <c r="B4235" s="563" t="s">
        <v>9000</v>
      </c>
      <c r="C4235" s="564" t="s">
        <v>1612</v>
      </c>
      <c r="D4235" s="565">
        <v>40777</v>
      </c>
      <c r="E4235" s="565">
        <v>40781</v>
      </c>
      <c r="F4235" s="566">
        <v>3020</v>
      </c>
      <c r="G4235" s="564" t="s">
        <v>337</v>
      </c>
      <c r="H4235" s="564" t="s">
        <v>337</v>
      </c>
      <c r="I4235" s="564" t="s">
        <v>70</v>
      </c>
      <c r="J4235" s="564" t="s">
        <v>1069</v>
      </c>
      <c r="K4235" s="564" t="s">
        <v>1120</v>
      </c>
      <c r="L4235" s="564" t="s">
        <v>2098</v>
      </c>
      <c r="M4235" s="564" t="s">
        <v>2098</v>
      </c>
      <c r="N4235" s="564" t="s">
        <v>70</v>
      </c>
      <c r="O4235" s="564" t="s">
        <v>2099</v>
      </c>
      <c r="P4235" s="23"/>
      <c r="Q4235" s="23"/>
      <c r="R4235" s="23"/>
      <c r="S4235" s="23"/>
      <c r="T4235" s="23"/>
      <c r="U4235" s="23"/>
      <c r="V4235" s="23"/>
      <c r="W4235" s="23"/>
      <c r="X4235" s="23"/>
      <c r="Y4235" s="23"/>
      <c r="Z4235" s="23"/>
    </row>
    <row r="4236" spans="1:26" ht="13">
      <c r="A4236" s="562" t="s">
        <v>9229</v>
      </c>
      <c r="B4236" s="563" t="s">
        <v>9230</v>
      </c>
      <c r="C4236" s="564" t="s">
        <v>1612</v>
      </c>
      <c r="D4236" s="565">
        <v>40765</v>
      </c>
      <c r="E4236" s="565">
        <v>40785</v>
      </c>
      <c r="F4236" s="566">
        <v>56000</v>
      </c>
      <c r="G4236" s="564" t="s">
        <v>337</v>
      </c>
      <c r="H4236" s="564" t="s">
        <v>337</v>
      </c>
      <c r="I4236" s="564" t="s">
        <v>802</v>
      </c>
      <c r="J4236" s="564" t="s">
        <v>1069</v>
      </c>
      <c r="K4236" s="564" t="s">
        <v>1198</v>
      </c>
      <c r="L4236" s="564" t="s">
        <v>2098</v>
      </c>
      <c r="M4236" s="564" t="s">
        <v>2098</v>
      </c>
      <c r="N4236" s="564" t="s">
        <v>132</v>
      </c>
      <c r="O4236" s="564" t="s">
        <v>2099</v>
      </c>
      <c r="P4236" s="23"/>
      <c r="Q4236" s="23"/>
      <c r="R4236" s="23"/>
      <c r="S4236" s="23"/>
      <c r="T4236" s="23"/>
      <c r="U4236" s="23"/>
      <c r="V4236" s="23"/>
      <c r="W4236" s="23"/>
      <c r="X4236" s="23"/>
      <c r="Y4236" s="23"/>
      <c r="Z4236" s="23"/>
    </row>
    <row r="4237" spans="1:26" ht="13">
      <c r="A4237" s="562" t="s">
        <v>9231</v>
      </c>
      <c r="B4237" s="563" t="s">
        <v>9232</v>
      </c>
      <c r="C4237" s="564" t="s">
        <v>1612</v>
      </c>
      <c r="D4237" s="565">
        <v>40763</v>
      </c>
      <c r="E4237" s="565">
        <v>40774</v>
      </c>
      <c r="F4237" s="566">
        <v>1080</v>
      </c>
      <c r="G4237" s="564" t="s">
        <v>337</v>
      </c>
      <c r="H4237" s="564" t="s">
        <v>337</v>
      </c>
      <c r="I4237" s="564" t="s">
        <v>802</v>
      </c>
      <c r="J4237" s="564" t="s">
        <v>1069</v>
      </c>
      <c r="K4237" s="564" t="s">
        <v>1198</v>
      </c>
      <c r="L4237" s="564" t="s">
        <v>2098</v>
      </c>
      <c r="M4237" s="564" t="s">
        <v>2098</v>
      </c>
      <c r="N4237" s="564" t="s">
        <v>132</v>
      </c>
      <c r="O4237" s="564" t="s">
        <v>2099</v>
      </c>
      <c r="P4237" s="23"/>
      <c r="Q4237" s="23"/>
      <c r="R4237" s="23"/>
      <c r="S4237" s="23"/>
      <c r="T4237" s="23"/>
      <c r="U4237" s="23"/>
      <c r="V4237" s="23"/>
      <c r="W4237" s="23"/>
      <c r="X4237" s="23"/>
      <c r="Y4237" s="23"/>
      <c r="Z4237" s="23"/>
    </row>
    <row r="4238" spans="1:26" ht="13">
      <c r="A4238" s="562" t="s">
        <v>9233</v>
      </c>
      <c r="B4238" s="563" t="s">
        <v>9091</v>
      </c>
      <c r="C4238" s="564" t="s">
        <v>1612</v>
      </c>
      <c r="D4238" s="565">
        <v>40760</v>
      </c>
      <c r="E4238" s="565">
        <v>40764</v>
      </c>
      <c r="F4238" s="566">
        <v>1800</v>
      </c>
      <c r="G4238" s="564" t="s">
        <v>337</v>
      </c>
      <c r="H4238" s="564" t="s">
        <v>337</v>
      </c>
      <c r="I4238" s="564" t="s">
        <v>70</v>
      </c>
      <c r="J4238" s="564" t="s">
        <v>1069</v>
      </c>
      <c r="K4238" s="564" t="s">
        <v>1120</v>
      </c>
      <c r="L4238" s="564" t="s">
        <v>2098</v>
      </c>
      <c r="M4238" s="564" t="s">
        <v>2098</v>
      </c>
      <c r="N4238" s="564" t="s">
        <v>70</v>
      </c>
      <c r="O4238" s="564" t="s">
        <v>2099</v>
      </c>
      <c r="P4238" s="23"/>
      <c r="Q4238" s="23"/>
      <c r="R4238" s="23"/>
      <c r="S4238" s="23"/>
      <c r="T4238" s="23"/>
      <c r="U4238" s="23"/>
      <c r="V4238" s="23"/>
      <c r="W4238" s="23"/>
      <c r="X4238" s="23"/>
      <c r="Y4238" s="23"/>
      <c r="Z4238" s="23"/>
    </row>
    <row r="4239" spans="1:26" ht="13">
      <c r="A4239" s="562" t="s">
        <v>9234</v>
      </c>
      <c r="B4239" s="563" t="s">
        <v>9235</v>
      </c>
      <c r="C4239" s="564" t="s">
        <v>2191</v>
      </c>
      <c r="D4239" s="565">
        <v>40758</v>
      </c>
      <c r="E4239" s="565">
        <v>40780</v>
      </c>
      <c r="F4239" s="566">
        <v>193980000</v>
      </c>
      <c r="G4239" s="564" t="s">
        <v>1187</v>
      </c>
      <c r="H4239" s="564" t="s">
        <v>1187</v>
      </c>
      <c r="I4239" s="564" t="s">
        <v>7712</v>
      </c>
      <c r="J4239" s="564" t="s">
        <v>1069</v>
      </c>
      <c r="K4239" s="564" t="s">
        <v>1070</v>
      </c>
      <c r="L4239" s="564" t="s">
        <v>2098</v>
      </c>
      <c r="M4239" s="564" t="s">
        <v>2098</v>
      </c>
      <c r="N4239" s="564" t="s">
        <v>1082</v>
      </c>
      <c r="O4239" s="564" t="s">
        <v>2099</v>
      </c>
      <c r="P4239" s="23"/>
      <c r="Q4239" s="23"/>
      <c r="R4239" s="23"/>
      <c r="S4239" s="23"/>
      <c r="T4239" s="23"/>
      <c r="U4239" s="23"/>
      <c r="V4239" s="23"/>
      <c r="W4239" s="23"/>
      <c r="X4239" s="23"/>
      <c r="Y4239" s="23"/>
      <c r="Z4239" s="23"/>
    </row>
    <row r="4240" spans="1:26" ht="13">
      <c r="A4240" s="562" t="s">
        <v>9236</v>
      </c>
      <c r="B4240" s="563" t="s">
        <v>9237</v>
      </c>
      <c r="C4240" s="564" t="s">
        <v>6860</v>
      </c>
      <c r="D4240" s="565">
        <v>40758</v>
      </c>
      <c r="E4240" s="565">
        <v>40724</v>
      </c>
      <c r="F4240" s="566">
        <v>981222</v>
      </c>
      <c r="G4240" s="564" t="s">
        <v>1116</v>
      </c>
      <c r="H4240" s="564" t="s">
        <v>1116</v>
      </c>
      <c r="I4240" s="564" t="s">
        <v>9238</v>
      </c>
      <c r="J4240" s="564" t="s">
        <v>1069</v>
      </c>
      <c r="K4240" s="564" t="s">
        <v>1070</v>
      </c>
      <c r="L4240" s="564" t="s">
        <v>2098</v>
      </c>
      <c r="M4240" s="564" t="s">
        <v>2098</v>
      </c>
      <c r="N4240" s="564" t="s">
        <v>1082</v>
      </c>
      <c r="O4240" s="564" t="s">
        <v>2099</v>
      </c>
      <c r="P4240" s="23"/>
      <c r="Q4240" s="23"/>
      <c r="R4240" s="23"/>
      <c r="S4240" s="23"/>
      <c r="T4240" s="23"/>
      <c r="U4240" s="23"/>
      <c r="V4240" s="23"/>
      <c r="W4240" s="23"/>
      <c r="X4240" s="23"/>
      <c r="Y4240" s="23"/>
      <c r="Z4240" s="23"/>
    </row>
    <row r="4241" spans="1:26" ht="13">
      <c r="A4241" s="562" t="s">
        <v>9239</v>
      </c>
      <c r="B4241" s="563" t="s">
        <v>8309</v>
      </c>
      <c r="C4241" s="564" t="s">
        <v>1612</v>
      </c>
      <c r="D4241" s="565">
        <v>40756</v>
      </c>
      <c r="E4241" s="565">
        <v>40760</v>
      </c>
      <c r="F4241" s="566">
        <v>407273</v>
      </c>
      <c r="G4241" s="564" t="s">
        <v>337</v>
      </c>
      <c r="H4241" s="564" t="s">
        <v>337</v>
      </c>
      <c r="I4241" s="564" t="s">
        <v>802</v>
      </c>
      <c r="J4241" s="564" t="s">
        <v>1069</v>
      </c>
      <c r="K4241" s="564" t="s">
        <v>1198</v>
      </c>
      <c r="L4241" s="564" t="s">
        <v>2098</v>
      </c>
      <c r="M4241" s="564" t="s">
        <v>2098</v>
      </c>
      <c r="N4241" s="564" t="s">
        <v>132</v>
      </c>
      <c r="O4241" s="564" t="s">
        <v>2099</v>
      </c>
      <c r="P4241" s="23"/>
      <c r="Q4241" s="23"/>
      <c r="R4241" s="23"/>
      <c r="S4241" s="23"/>
      <c r="T4241" s="23"/>
      <c r="U4241" s="23"/>
      <c r="V4241" s="23"/>
      <c r="W4241" s="23"/>
      <c r="X4241" s="23"/>
      <c r="Y4241" s="23"/>
      <c r="Z4241" s="23"/>
    </row>
    <row r="4242" spans="1:26" ht="13">
      <c r="A4242" s="562" t="s">
        <v>9240</v>
      </c>
      <c r="B4242" s="563" t="s">
        <v>9241</v>
      </c>
      <c r="C4242" s="564" t="s">
        <v>2191</v>
      </c>
      <c r="D4242" s="565">
        <v>40753</v>
      </c>
      <c r="E4242" s="565">
        <v>40816</v>
      </c>
      <c r="F4242" s="566">
        <v>246789</v>
      </c>
      <c r="G4242" s="564" t="s">
        <v>1636</v>
      </c>
      <c r="H4242" s="564" t="s">
        <v>1636</v>
      </c>
      <c r="I4242" s="564" t="s">
        <v>9242</v>
      </c>
      <c r="J4242" s="564" t="s">
        <v>1069</v>
      </c>
      <c r="K4242" s="564" t="s">
        <v>2878</v>
      </c>
      <c r="L4242" s="564" t="s">
        <v>2098</v>
      </c>
      <c r="M4242" s="564" t="s">
        <v>2098</v>
      </c>
      <c r="N4242" s="564" t="s">
        <v>1082</v>
      </c>
      <c r="O4242" s="564" t="s">
        <v>2099</v>
      </c>
      <c r="P4242" s="23"/>
      <c r="Q4242" s="23"/>
      <c r="R4242" s="23"/>
      <c r="S4242" s="23"/>
      <c r="T4242" s="23"/>
      <c r="U4242" s="23"/>
      <c r="V4242" s="23"/>
      <c r="W4242" s="23"/>
      <c r="X4242" s="23"/>
      <c r="Y4242" s="23"/>
      <c r="Z4242" s="23"/>
    </row>
    <row r="4243" spans="1:26" ht="13">
      <c r="A4243" s="562" t="s">
        <v>9243</v>
      </c>
      <c r="B4243" s="563" t="s">
        <v>9244</v>
      </c>
      <c r="C4243" s="564" t="s">
        <v>1612</v>
      </c>
      <c r="D4243" s="565">
        <v>40754</v>
      </c>
      <c r="E4243" s="565">
        <v>40781</v>
      </c>
      <c r="F4243" s="566">
        <v>931800000</v>
      </c>
      <c r="G4243" s="564" t="s">
        <v>1856</v>
      </c>
      <c r="H4243" s="564" t="s">
        <v>1856</v>
      </c>
      <c r="I4243" s="564" t="s">
        <v>45</v>
      </c>
      <c r="J4243" s="564" t="s">
        <v>1069</v>
      </c>
      <c r="K4243" s="564" t="s">
        <v>1090</v>
      </c>
      <c r="L4243" s="564" t="s">
        <v>2098</v>
      </c>
      <c r="M4243" s="564" t="s">
        <v>2098</v>
      </c>
      <c r="N4243" s="564" t="s">
        <v>45</v>
      </c>
      <c r="O4243" s="564" t="s">
        <v>2099</v>
      </c>
      <c r="P4243" s="23"/>
      <c r="Q4243" s="23"/>
      <c r="R4243" s="23"/>
      <c r="S4243" s="23"/>
      <c r="T4243" s="23"/>
      <c r="U4243" s="23"/>
      <c r="V4243" s="23"/>
      <c r="W4243" s="23"/>
      <c r="X4243" s="23"/>
      <c r="Y4243" s="23"/>
      <c r="Z4243" s="23"/>
    </row>
    <row r="4244" spans="1:26" ht="13">
      <c r="A4244" s="562" t="s">
        <v>9245</v>
      </c>
      <c r="B4244" s="563" t="s">
        <v>9246</v>
      </c>
      <c r="C4244" s="564" t="s">
        <v>2191</v>
      </c>
      <c r="D4244" s="565">
        <v>40753</v>
      </c>
      <c r="E4244" s="565">
        <v>40847</v>
      </c>
      <c r="F4244" s="566">
        <v>1036000</v>
      </c>
      <c r="G4244" s="564" t="s">
        <v>1636</v>
      </c>
      <c r="H4244" s="564" t="s">
        <v>1636</v>
      </c>
      <c r="I4244" s="564" t="s">
        <v>7175</v>
      </c>
      <c r="J4244" s="564" t="s">
        <v>1069</v>
      </c>
      <c r="K4244" s="564" t="s">
        <v>1070</v>
      </c>
      <c r="L4244" s="564" t="s">
        <v>2098</v>
      </c>
      <c r="M4244" s="564" t="s">
        <v>2098</v>
      </c>
      <c r="N4244" s="564" t="s">
        <v>1082</v>
      </c>
      <c r="O4244" s="564" t="s">
        <v>2099</v>
      </c>
      <c r="P4244" s="23"/>
      <c r="Q4244" s="23"/>
      <c r="R4244" s="23"/>
      <c r="S4244" s="23"/>
      <c r="T4244" s="23"/>
      <c r="U4244" s="23"/>
      <c r="V4244" s="23"/>
      <c r="W4244" s="23"/>
      <c r="X4244" s="23"/>
      <c r="Y4244" s="23"/>
      <c r="Z4244" s="23"/>
    </row>
    <row r="4245" spans="1:26" ht="13">
      <c r="A4245" s="562" t="s">
        <v>9247</v>
      </c>
      <c r="B4245" s="563" t="s">
        <v>8425</v>
      </c>
      <c r="C4245" s="564" t="s">
        <v>1612</v>
      </c>
      <c r="D4245" s="565">
        <v>40749</v>
      </c>
      <c r="E4245" s="565">
        <v>40753</v>
      </c>
      <c r="F4245" s="567">
        <v>900</v>
      </c>
      <c r="G4245" s="564" t="s">
        <v>337</v>
      </c>
      <c r="H4245" s="564" t="s">
        <v>337</v>
      </c>
      <c r="I4245" s="564" t="s">
        <v>8539</v>
      </c>
      <c r="J4245" s="564" t="s">
        <v>1069</v>
      </c>
      <c r="K4245" s="564" t="s">
        <v>1070</v>
      </c>
      <c r="L4245" s="564" t="s">
        <v>2098</v>
      </c>
      <c r="M4245" s="564" t="s">
        <v>2098</v>
      </c>
      <c r="N4245" s="564" t="s">
        <v>1073</v>
      </c>
      <c r="O4245" s="564" t="s">
        <v>2099</v>
      </c>
      <c r="P4245" s="23"/>
      <c r="Q4245" s="23"/>
      <c r="R4245" s="23"/>
      <c r="S4245" s="23"/>
      <c r="T4245" s="23"/>
      <c r="U4245" s="23"/>
      <c r="V4245" s="23"/>
      <c r="W4245" s="23"/>
      <c r="X4245" s="23"/>
      <c r="Y4245" s="23"/>
      <c r="Z4245" s="23"/>
    </row>
    <row r="4246" spans="1:26" ht="13">
      <c r="A4246" s="562" t="s">
        <v>9248</v>
      </c>
      <c r="B4246" s="563" t="s">
        <v>9249</v>
      </c>
      <c r="C4246" s="564" t="s">
        <v>1612</v>
      </c>
      <c r="D4246" s="565">
        <v>40746</v>
      </c>
      <c r="E4246" s="565">
        <v>40753</v>
      </c>
      <c r="F4246" s="566">
        <v>12580</v>
      </c>
      <c r="G4246" s="564" t="s">
        <v>1856</v>
      </c>
      <c r="H4246" s="564" t="s">
        <v>1856</v>
      </c>
      <c r="I4246" s="564" t="s">
        <v>9250</v>
      </c>
      <c r="J4246" s="564" t="s">
        <v>1069</v>
      </c>
      <c r="K4246" s="564" t="s">
        <v>1090</v>
      </c>
      <c r="L4246" s="564" t="s">
        <v>2098</v>
      </c>
      <c r="M4246" s="564" t="s">
        <v>2098</v>
      </c>
      <c r="N4246" s="564" t="s">
        <v>45</v>
      </c>
      <c r="O4246" s="564" t="s">
        <v>2099</v>
      </c>
      <c r="P4246" s="23"/>
      <c r="Q4246" s="23"/>
      <c r="R4246" s="23"/>
      <c r="S4246" s="23"/>
      <c r="T4246" s="23"/>
      <c r="U4246" s="23"/>
      <c r="V4246" s="23"/>
      <c r="W4246" s="23"/>
      <c r="X4246" s="23"/>
      <c r="Y4246" s="23"/>
      <c r="Z4246" s="23"/>
    </row>
    <row r="4247" spans="1:26" ht="13">
      <c r="A4247" s="562" t="s">
        <v>9251</v>
      </c>
      <c r="B4247" s="563" t="s">
        <v>9252</v>
      </c>
      <c r="C4247" s="564" t="s">
        <v>1612</v>
      </c>
      <c r="D4247" s="565">
        <v>40746</v>
      </c>
      <c r="E4247" s="565">
        <v>40760</v>
      </c>
      <c r="F4247" s="566">
        <v>43665</v>
      </c>
      <c r="G4247" s="564" t="s">
        <v>337</v>
      </c>
      <c r="H4247" s="564" t="s">
        <v>337</v>
      </c>
      <c r="I4247" s="564" t="s">
        <v>802</v>
      </c>
      <c r="J4247" s="564" t="s">
        <v>1069</v>
      </c>
      <c r="K4247" s="564" t="s">
        <v>1198</v>
      </c>
      <c r="L4247" s="564" t="s">
        <v>2098</v>
      </c>
      <c r="M4247" s="564" t="s">
        <v>2098</v>
      </c>
      <c r="N4247" s="564" t="s">
        <v>132</v>
      </c>
      <c r="O4247" s="564" t="s">
        <v>2099</v>
      </c>
      <c r="P4247" s="23"/>
      <c r="Q4247" s="23"/>
      <c r="R4247" s="23"/>
      <c r="S4247" s="23"/>
      <c r="T4247" s="23"/>
      <c r="U4247" s="23"/>
      <c r="V4247" s="23"/>
      <c r="W4247" s="23"/>
      <c r="X4247" s="23"/>
      <c r="Y4247" s="23"/>
      <c r="Z4247" s="23"/>
    </row>
    <row r="4248" spans="1:26" ht="13">
      <c r="A4248" s="562" t="s">
        <v>9253</v>
      </c>
      <c r="B4248" s="563" t="s">
        <v>8493</v>
      </c>
      <c r="C4248" s="564" t="s">
        <v>1612</v>
      </c>
      <c r="D4248" s="565">
        <v>40745</v>
      </c>
      <c r="E4248" s="565">
        <v>40753</v>
      </c>
      <c r="F4248" s="566">
        <v>1125</v>
      </c>
      <c r="G4248" s="564" t="s">
        <v>337</v>
      </c>
      <c r="H4248" s="564" t="s">
        <v>337</v>
      </c>
      <c r="I4248" s="564" t="s">
        <v>121</v>
      </c>
      <c r="J4248" s="564" t="s">
        <v>1069</v>
      </c>
      <c r="K4248" s="564" t="s">
        <v>1105</v>
      </c>
      <c r="L4248" s="564" t="s">
        <v>2098</v>
      </c>
      <c r="M4248" s="564" t="s">
        <v>2098</v>
      </c>
      <c r="N4248" s="564" t="s">
        <v>1073</v>
      </c>
      <c r="O4248" s="564" t="s">
        <v>2099</v>
      </c>
      <c r="P4248" s="23"/>
      <c r="Q4248" s="23"/>
      <c r="R4248" s="23"/>
      <c r="S4248" s="23"/>
      <c r="T4248" s="23"/>
      <c r="U4248" s="23"/>
      <c r="V4248" s="23"/>
      <c r="W4248" s="23"/>
      <c r="X4248" s="23"/>
      <c r="Y4248" s="23"/>
      <c r="Z4248" s="23"/>
    </row>
    <row r="4249" spans="1:26" ht="13">
      <c r="A4249" s="562" t="s">
        <v>9254</v>
      </c>
      <c r="B4249" s="563" t="s">
        <v>9255</v>
      </c>
      <c r="C4249" s="564" t="s">
        <v>1612</v>
      </c>
      <c r="D4249" s="565">
        <v>40745</v>
      </c>
      <c r="E4249" s="565">
        <v>40753</v>
      </c>
      <c r="F4249" s="566">
        <v>5820</v>
      </c>
      <c r="G4249" s="564" t="s">
        <v>337</v>
      </c>
      <c r="H4249" s="564" t="s">
        <v>337</v>
      </c>
      <c r="I4249" s="564" t="s">
        <v>121</v>
      </c>
      <c r="J4249" s="564" t="s">
        <v>1069</v>
      </c>
      <c r="K4249" s="564" t="s">
        <v>1105</v>
      </c>
      <c r="L4249" s="564" t="s">
        <v>2098</v>
      </c>
      <c r="M4249" s="564" t="s">
        <v>2098</v>
      </c>
      <c r="N4249" s="564" t="s">
        <v>1073</v>
      </c>
      <c r="O4249" s="564" t="s">
        <v>2099</v>
      </c>
      <c r="P4249" s="23"/>
      <c r="Q4249" s="23"/>
      <c r="R4249" s="23"/>
      <c r="S4249" s="23"/>
      <c r="T4249" s="23"/>
      <c r="U4249" s="23"/>
      <c r="V4249" s="23"/>
      <c r="W4249" s="23"/>
      <c r="X4249" s="23"/>
      <c r="Y4249" s="23"/>
      <c r="Z4249" s="23"/>
    </row>
    <row r="4250" spans="1:26" ht="13">
      <c r="A4250" s="562" t="s">
        <v>9256</v>
      </c>
      <c r="B4250" s="563" t="s">
        <v>9257</v>
      </c>
      <c r="C4250" s="564" t="s">
        <v>1612</v>
      </c>
      <c r="D4250" s="565">
        <v>40743</v>
      </c>
      <c r="E4250" s="565">
        <v>40754</v>
      </c>
      <c r="F4250" s="567">
        <v>800</v>
      </c>
      <c r="G4250" s="564" t="s">
        <v>337</v>
      </c>
      <c r="H4250" s="564" t="s">
        <v>337</v>
      </c>
      <c r="I4250" s="564" t="s">
        <v>45</v>
      </c>
      <c r="J4250" s="564" t="s">
        <v>1069</v>
      </c>
      <c r="K4250" s="564" t="s">
        <v>1090</v>
      </c>
      <c r="L4250" s="564" t="s">
        <v>2098</v>
      </c>
      <c r="M4250" s="564" t="s">
        <v>2098</v>
      </c>
      <c r="N4250" s="564" t="s">
        <v>45</v>
      </c>
      <c r="O4250" s="564" t="s">
        <v>2099</v>
      </c>
      <c r="P4250" s="23"/>
      <c r="Q4250" s="23"/>
      <c r="R4250" s="23"/>
      <c r="S4250" s="23"/>
      <c r="T4250" s="23"/>
      <c r="U4250" s="23"/>
      <c r="V4250" s="23"/>
      <c r="W4250" s="23"/>
      <c r="X4250" s="23"/>
      <c r="Y4250" s="23"/>
      <c r="Z4250" s="23"/>
    </row>
    <row r="4251" spans="1:26" ht="13">
      <c r="A4251" s="562" t="s">
        <v>9258</v>
      </c>
      <c r="B4251" s="563" t="s">
        <v>8933</v>
      </c>
      <c r="C4251" s="564" t="s">
        <v>1612</v>
      </c>
      <c r="D4251" s="565">
        <v>40742</v>
      </c>
      <c r="E4251" s="565">
        <v>40753</v>
      </c>
      <c r="F4251" s="566">
        <v>310000</v>
      </c>
      <c r="G4251" s="564" t="s">
        <v>337</v>
      </c>
      <c r="H4251" s="564" t="s">
        <v>337</v>
      </c>
      <c r="I4251" s="564" t="s">
        <v>1918</v>
      </c>
      <c r="J4251" s="564" t="s">
        <v>1069</v>
      </c>
      <c r="K4251" s="564" t="s">
        <v>1070</v>
      </c>
      <c r="L4251" s="564" t="s">
        <v>2098</v>
      </c>
      <c r="M4251" s="564" t="s">
        <v>2098</v>
      </c>
      <c r="N4251" s="564" t="s">
        <v>1073</v>
      </c>
      <c r="O4251" s="564" t="s">
        <v>2099</v>
      </c>
      <c r="P4251" s="23"/>
      <c r="Q4251" s="23"/>
      <c r="R4251" s="23"/>
      <c r="S4251" s="23"/>
      <c r="T4251" s="23"/>
      <c r="U4251" s="23"/>
      <c r="V4251" s="23"/>
      <c r="W4251" s="23"/>
      <c r="X4251" s="23"/>
      <c r="Y4251" s="23"/>
      <c r="Z4251" s="23"/>
    </row>
    <row r="4252" spans="1:26" ht="13">
      <c r="A4252" s="562" t="s">
        <v>9259</v>
      </c>
      <c r="B4252" s="563" t="s">
        <v>8510</v>
      </c>
      <c r="C4252" s="564" t="s">
        <v>1612</v>
      </c>
      <c r="D4252" s="565">
        <v>40739</v>
      </c>
      <c r="E4252" s="565">
        <v>40753</v>
      </c>
      <c r="F4252" s="566">
        <v>755000</v>
      </c>
      <c r="G4252" s="564" t="s">
        <v>337</v>
      </c>
      <c r="H4252" s="564" t="s">
        <v>337</v>
      </c>
      <c r="I4252" s="564" t="s">
        <v>70</v>
      </c>
      <c r="J4252" s="564" t="s">
        <v>1069</v>
      </c>
      <c r="K4252" s="564" t="s">
        <v>1120</v>
      </c>
      <c r="L4252" s="564" t="s">
        <v>2098</v>
      </c>
      <c r="M4252" s="564" t="s">
        <v>2098</v>
      </c>
      <c r="N4252" s="564" t="s">
        <v>70</v>
      </c>
      <c r="O4252" s="564" t="s">
        <v>2099</v>
      </c>
      <c r="P4252" s="23"/>
      <c r="Q4252" s="23"/>
      <c r="R4252" s="23"/>
      <c r="S4252" s="23"/>
      <c r="T4252" s="23"/>
      <c r="U4252" s="23"/>
      <c r="V4252" s="23"/>
      <c r="W4252" s="23"/>
      <c r="X4252" s="23"/>
      <c r="Y4252" s="23"/>
      <c r="Z4252" s="23"/>
    </row>
    <row r="4253" spans="1:26" ht="13">
      <c r="A4253" s="562" t="s">
        <v>9260</v>
      </c>
      <c r="B4253" s="563" t="s">
        <v>9261</v>
      </c>
      <c r="C4253" s="564" t="s">
        <v>1612</v>
      </c>
      <c r="D4253" s="565">
        <v>40739</v>
      </c>
      <c r="E4253" s="565">
        <v>40753</v>
      </c>
      <c r="F4253" s="566">
        <v>18450</v>
      </c>
      <c r="G4253" s="564" t="s">
        <v>337</v>
      </c>
      <c r="H4253" s="564" t="s">
        <v>337</v>
      </c>
      <c r="I4253" s="564" t="s">
        <v>802</v>
      </c>
      <c r="J4253" s="564" t="s">
        <v>1069</v>
      </c>
      <c r="K4253" s="564" t="s">
        <v>1198</v>
      </c>
      <c r="L4253" s="564" t="s">
        <v>2098</v>
      </c>
      <c r="M4253" s="564" t="s">
        <v>2098</v>
      </c>
      <c r="N4253" s="564" t="s">
        <v>132</v>
      </c>
      <c r="O4253" s="564" t="s">
        <v>2099</v>
      </c>
      <c r="P4253" s="23"/>
      <c r="Q4253" s="23"/>
      <c r="R4253" s="23"/>
      <c r="S4253" s="23"/>
      <c r="T4253" s="23"/>
      <c r="U4253" s="23"/>
      <c r="V4253" s="23"/>
      <c r="W4253" s="23"/>
      <c r="X4253" s="23"/>
      <c r="Y4253" s="23"/>
      <c r="Z4253" s="23"/>
    </row>
    <row r="4254" spans="1:26" ht="13">
      <c r="A4254" s="562" t="s">
        <v>9262</v>
      </c>
      <c r="B4254" s="563" t="s">
        <v>9263</v>
      </c>
      <c r="C4254" s="564" t="s">
        <v>1612</v>
      </c>
      <c r="D4254" s="565">
        <v>40735</v>
      </c>
      <c r="E4254" s="565">
        <v>40786</v>
      </c>
      <c r="F4254" s="566">
        <v>26000</v>
      </c>
      <c r="G4254" s="564" t="s">
        <v>1640</v>
      </c>
      <c r="H4254" s="564" t="s">
        <v>1640</v>
      </c>
      <c r="I4254" s="564" t="s">
        <v>257</v>
      </c>
      <c r="J4254" s="564" t="s">
        <v>1069</v>
      </c>
      <c r="K4254" s="564" t="s">
        <v>1209</v>
      </c>
      <c r="L4254" s="564" t="s">
        <v>2098</v>
      </c>
      <c r="M4254" s="564" t="s">
        <v>2098</v>
      </c>
      <c r="N4254" s="564" t="s">
        <v>257</v>
      </c>
      <c r="O4254" s="564" t="s">
        <v>2099</v>
      </c>
      <c r="P4254" s="23"/>
      <c r="Q4254" s="23"/>
      <c r="R4254" s="23"/>
      <c r="S4254" s="23"/>
      <c r="T4254" s="23"/>
      <c r="U4254" s="23"/>
      <c r="V4254" s="23"/>
      <c r="W4254" s="23"/>
      <c r="X4254" s="23"/>
      <c r="Y4254" s="23"/>
      <c r="Z4254" s="23"/>
    </row>
    <row r="4255" spans="1:26" ht="13">
      <c r="A4255" s="562" t="s">
        <v>9264</v>
      </c>
      <c r="B4255" s="563" t="s">
        <v>8462</v>
      </c>
      <c r="C4255" s="564" t="s">
        <v>1612</v>
      </c>
      <c r="D4255" s="565">
        <v>40731</v>
      </c>
      <c r="E4255" s="565">
        <v>40736</v>
      </c>
      <c r="F4255" s="566">
        <v>8000</v>
      </c>
      <c r="G4255" s="564" t="s">
        <v>337</v>
      </c>
      <c r="H4255" s="564" t="s">
        <v>337</v>
      </c>
      <c r="I4255" s="564" t="s">
        <v>70</v>
      </c>
      <c r="J4255" s="564" t="s">
        <v>1069</v>
      </c>
      <c r="K4255" s="564" t="s">
        <v>1120</v>
      </c>
      <c r="L4255" s="564" t="s">
        <v>2098</v>
      </c>
      <c r="M4255" s="564" t="s">
        <v>2098</v>
      </c>
      <c r="N4255" s="564" t="s">
        <v>70</v>
      </c>
      <c r="O4255" s="564" t="s">
        <v>2099</v>
      </c>
      <c r="P4255" s="23"/>
      <c r="Q4255" s="23"/>
      <c r="R4255" s="23"/>
      <c r="S4255" s="23"/>
      <c r="T4255" s="23"/>
      <c r="U4255" s="23"/>
      <c r="V4255" s="23"/>
      <c r="W4255" s="23"/>
      <c r="X4255" s="23"/>
      <c r="Y4255" s="23"/>
      <c r="Z4255" s="23"/>
    </row>
    <row r="4256" spans="1:26" ht="13">
      <c r="A4256" s="562" t="s">
        <v>9265</v>
      </c>
      <c r="B4256" s="563" t="s">
        <v>8806</v>
      </c>
      <c r="C4256" s="564" t="s">
        <v>1612</v>
      </c>
      <c r="D4256" s="565">
        <v>40729</v>
      </c>
      <c r="E4256" s="565">
        <v>40732</v>
      </c>
      <c r="F4256" s="567">
        <v>720</v>
      </c>
      <c r="G4256" s="564" t="s">
        <v>337</v>
      </c>
      <c r="H4256" s="564" t="s">
        <v>337</v>
      </c>
      <c r="I4256" s="564" t="s">
        <v>64</v>
      </c>
      <c r="J4256" s="564" t="s">
        <v>1069</v>
      </c>
      <c r="K4256" s="564" t="s">
        <v>1090</v>
      </c>
      <c r="L4256" s="564" t="s">
        <v>2098</v>
      </c>
      <c r="M4256" s="564" t="s">
        <v>2098</v>
      </c>
      <c r="N4256" s="564" t="s">
        <v>64</v>
      </c>
      <c r="O4256" s="564" t="s">
        <v>2099</v>
      </c>
      <c r="P4256" s="23"/>
      <c r="Q4256" s="23"/>
      <c r="R4256" s="23"/>
      <c r="S4256" s="23"/>
      <c r="T4256" s="23"/>
      <c r="U4256" s="23"/>
      <c r="V4256" s="23"/>
      <c r="W4256" s="23"/>
      <c r="X4256" s="23"/>
      <c r="Y4256" s="23"/>
      <c r="Z4256" s="23"/>
    </row>
    <row r="4257" spans="1:26" ht="13">
      <c r="A4257" s="562" t="s">
        <v>9266</v>
      </c>
      <c r="B4257" s="563" t="s">
        <v>9015</v>
      </c>
      <c r="C4257" s="564" t="s">
        <v>1612</v>
      </c>
      <c r="D4257" s="565">
        <v>40728</v>
      </c>
      <c r="E4257" s="565">
        <v>40729</v>
      </c>
      <c r="F4257" s="566">
        <v>181818</v>
      </c>
      <c r="G4257" s="564" t="s">
        <v>337</v>
      </c>
      <c r="H4257" s="564" t="s">
        <v>337</v>
      </c>
      <c r="I4257" s="564" t="s">
        <v>802</v>
      </c>
      <c r="J4257" s="564" t="s">
        <v>1069</v>
      </c>
      <c r="K4257" s="564" t="s">
        <v>1198</v>
      </c>
      <c r="L4257" s="564" t="s">
        <v>2098</v>
      </c>
      <c r="M4257" s="564" t="s">
        <v>2098</v>
      </c>
      <c r="N4257" s="564" t="s">
        <v>132</v>
      </c>
      <c r="O4257" s="564" t="s">
        <v>2099</v>
      </c>
      <c r="P4257" s="23"/>
      <c r="Q4257" s="23"/>
      <c r="R4257" s="23"/>
      <c r="S4257" s="23"/>
      <c r="T4257" s="23"/>
      <c r="U4257" s="23"/>
      <c r="V4257" s="23"/>
      <c r="W4257" s="23"/>
      <c r="X4257" s="23"/>
      <c r="Y4257" s="23"/>
      <c r="Z4257" s="23"/>
    </row>
    <row r="4258" spans="1:26" ht="13">
      <c r="A4258" s="562" t="s">
        <v>9267</v>
      </c>
      <c r="B4258" s="563" t="s">
        <v>9268</v>
      </c>
      <c r="C4258" s="564" t="s">
        <v>2191</v>
      </c>
      <c r="D4258" s="565">
        <v>40724</v>
      </c>
      <c r="E4258" s="565">
        <v>40753</v>
      </c>
      <c r="F4258" s="566">
        <v>3620000</v>
      </c>
      <c r="G4258" s="564" t="s">
        <v>1636</v>
      </c>
      <c r="H4258" s="564" t="s">
        <v>1636</v>
      </c>
      <c r="I4258" s="564" t="s">
        <v>9269</v>
      </c>
      <c r="J4258" s="564" t="s">
        <v>1069</v>
      </c>
      <c r="K4258" s="564" t="s">
        <v>1070</v>
      </c>
      <c r="L4258" s="564" t="s">
        <v>2098</v>
      </c>
      <c r="M4258" s="564" t="s">
        <v>2098</v>
      </c>
      <c r="N4258" s="564" t="s">
        <v>1082</v>
      </c>
      <c r="O4258" s="564" t="s">
        <v>2099</v>
      </c>
      <c r="P4258" s="23"/>
      <c r="Q4258" s="23"/>
      <c r="R4258" s="23"/>
      <c r="S4258" s="23"/>
      <c r="T4258" s="23"/>
      <c r="U4258" s="23"/>
      <c r="V4258" s="23"/>
      <c r="W4258" s="23"/>
      <c r="X4258" s="23"/>
      <c r="Y4258" s="23"/>
      <c r="Z4258" s="23"/>
    </row>
    <row r="4259" spans="1:26" ht="13">
      <c r="A4259" s="562" t="s">
        <v>9270</v>
      </c>
      <c r="B4259" s="563" t="s">
        <v>9271</v>
      </c>
      <c r="C4259" s="564" t="s">
        <v>1612</v>
      </c>
      <c r="D4259" s="565">
        <v>40724</v>
      </c>
      <c r="E4259" s="565">
        <v>40724</v>
      </c>
      <c r="F4259" s="566">
        <v>9180</v>
      </c>
      <c r="G4259" s="564" t="s">
        <v>337</v>
      </c>
      <c r="H4259" s="564" t="s">
        <v>337</v>
      </c>
      <c r="I4259" s="564" t="s">
        <v>45</v>
      </c>
      <c r="J4259" s="564" t="s">
        <v>1069</v>
      </c>
      <c r="K4259" s="564" t="s">
        <v>1090</v>
      </c>
      <c r="L4259" s="564" t="s">
        <v>2098</v>
      </c>
      <c r="M4259" s="564" t="s">
        <v>2098</v>
      </c>
      <c r="N4259" s="564" t="s">
        <v>45</v>
      </c>
      <c r="O4259" s="564" t="s">
        <v>2099</v>
      </c>
      <c r="P4259" s="23"/>
      <c r="Q4259" s="23"/>
      <c r="R4259" s="23"/>
      <c r="S4259" s="23"/>
      <c r="T4259" s="23"/>
      <c r="U4259" s="23"/>
      <c r="V4259" s="23"/>
      <c r="W4259" s="23"/>
      <c r="X4259" s="23"/>
      <c r="Y4259" s="23"/>
      <c r="Z4259" s="23"/>
    </row>
    <row r="4260" spans="1:26" ht="13">
      <c r="A4260" s="562" t="s">
        <v>9272</v>
      </c>
      <c r="B4260" s="563" t="s">
        <v>9273</v>
      </c>
      <c r="C4260" s="564" t="s">
        <v>1612</v>
      </c>
      <c r="D4260" s="565">
        <v>40724</v>
      </c>
      <c r="E4260" s="565">
        <v>40732</v>
      </c>
      <c r="F4260" s="566">
        <v>2555</v>
      </c>
      <c r="G4260" s="564" t="s">
        <v>337</v>
      </c>
      <c r="H4260" s="564" t="s">
        <v>337</v>
      </c>
      <c r="I4260" s="564" t="s">
        <v>70</v>
      </c>
      <c r="J4260" s="564" t="s">
        <v>1069</v>
      </c>
      <c r="K4260" s="564" t="s">
        <v>1120</v>
      </c>
      <c r="L4260" s="564" t="s">
        <v>2098</v>
      </c>
      <c r="M4260" s="564" t="s">
        <v>2098</v>
      </c>
      <c r="N4260" s="564" t="s">
        <v>70</v>
      </c>
      <c r="O4260" s="564" t="s">
        <v>2099</v>
      </c>
      <c r="P4260" s="23"/>
      <c r="Q4260" s="23"/>
      <c r="R4260" s="23"/>
      <c r="S4260" s="23"/>
      <c r="T4260" s="23"/>
      <c r="U4260" s="23"/>
      <c r="V4260" s="23"/>
      <c r="W4260" s="23"/>
      <c r="X4260" s="23"/>
      <c r="Y4260" s="23"/>
      <c r="Z4260" s="23"/>
    </row>
    <row r="4261" spans="1:26" ht="13">
      <c r="A4261" s="562" t="s">
        <v>9274</v>
      </c>
      <c r="B4261" s="563" t="s">
        <v>9275</v>
      </c>
      <c r="C4261" s="564" t="s">
        <v>1612</v>
      </c>
      <c r="D4261" s="565">
        <v>40723</v>
      </c>
      <c r="E4261" s="565">
        <v>40725</v>
      </c>
      <c r="F4261" s="566">
        <v>1300</v>
      </c>
      <c r="G4261" s="564" t="s">
        <v>337</v>
      </c>
      <c r="H4261" s="564" t="s">
        <v>337</v>
      </c>
      <c r="I4261" s="564" t="s">
        <v>2073</v>
      </c>
      <c r="J4261" s="564" t="s">
        <v>1069</v>
      </c>
      <c r="K4261" s="564" t="s">
        <v>1105</v>
      </c>
      <c r="L4261" s="564" t="s">
        <v>2098</v>
      </c>
      <c r="M4261" s="564" t="s">
        <v>2098</v>
      </c>
      <c r="N4261" s="564" t="s">
        <v>225</v>
      </c>
      <c r="O4261" s="564" t="s">
        <v>2099</v>
      </c>
      <c r="P4261" s="23"/>
      <c r="Q4261" s="23"/>
      <c r="R4261" s="23"/>
      <c r="S4261" s="23"/>
      <c r="T4261" s="23"/>
      <c r="U4261" s="23"/>
      <c r="V4261" s="23"/>
      <c r="W4261" s="23"/>
      <c r="X4261" s="23"/>
      <c r="Y4261" s="23"/>
      <c r="Z4261" s="23"/>
    </row>
    <row r="4262" spans="1:26" ht="13">
      <c r="A4262" s="562" t="s">
        <v>9276</v>
      </c>
      <c r="B4262" s="563" t="s">
        <v>9277</v>
      </c>
      <c r="C4262" s="564" t="s">
        <v>1612</v>
      </c>
      <c r="D4262" s="565">
        <v>40723</v>
      </c>
      <c r="E4262" s="565">
        <v>40724</v>
      </c>
      <c r="F4262" s="567">
        <v>680</v>
      </c>
      <c r="G4262" s="564" t="s">
        <v>337</v>
      </c>
      <c r="H4262" s="564" t="s">
        <v>337</v>
      </c>
      <c r="I4262" s="564" t="s">
        <v>121</v>
      </c>
      <c r="J4262" s="564" t="s">
        <v>1069</v>
      </c>
      <c r="K4262" s="564" t="s">
        <v>1105</v>
      </c>
      <c r="L4262" s="564" t="s">
        <v>2098</v>
      </c>
      <c r="M4262" s="564" t="s">
        <v>2098</v>
      </c>
      <c r="N4262" s="564" t="s">
        <v>1073</v>
      </c>
      <c r="O4262" s="564" t="s">
        <v>2099</v>
      </c>
      <c r="P4262" s="23"/>
      <c r="Q4262" s="23"/>
      <c r="R4262" s="23"/>
      <c r="S4262" s="23"/>
      <c r="T4262" s="23"/>
      <c r="U4262" s="23"/>
      <c r="V4262" s="23"/>
      <c r="W4262" s="23"/>
      <c r="X4262" s="23"/>
      <c r="Y4262" s="23"/>
      <c r="Z4262" s="23"/>
    </row>
    <row r="4263" spans="1:26" ht="13">
      <c r="A4263" s="562" t="s">
        <v>9278</v>
      </c>
      <c r="B4263" s="563" t="s">
        <v>9279</v>
      </c>
      <c r="C4263" s="564" t="s">
        <v>1612</v>
      </c>
      <c r="D4263" s="565">
        <v>40717</v>
      </c>
      <c r="E4263" s="565">
        <v>40722</v>
      </c>
      <c r="F4263" s="566">
        <v>5720</v>
      </c>
      <c r="G4263" s="564" t="s">
        <v>337</v>
      </c>
      <c r="H4263" s="564" t="s">
        <v>337</v>
      </c>
      <c r="I4263" s="564" t="s">
        <v>1821</v>
      </c>
      <c r="J4263" s="564" t="s">
        <v>1069</v>
      </c>
      <c r="K4263" s="564" t="s">
        <v>1120</v>
      </c>
      <c r="L4263" s="564" t="s">
        <v>2098</v>
      </c>
      <c r="M4263" s="564" t="s">
        <v>2098</v>
      </c>
      <c r="N4263" s="564" t="s">
        <v>1073</v>
      </c>
      <c r="O4263" s="564" t="s">
        <v>2099</v>
      </c>
      <c r="P4263" s="23"/>
      <c r="Q4263" s="23"/>
      <c r="R4263" s="23"/>
      <c r="S4263" s="23"/>
      <c r="T4263" s="23"/>
      <c r="U4263" s="23"/>
      <c r="V4263" s="23"/>
      <c r="W4263" s="23"/>
      <c r="X4263" s="23"/>
      <c r="Y4263" s="23"/>
      <c r="Z4263" s="23"/>
    </row>
    <row r="4264" spans="1:26" ht="13">
      <c r="A4264" s="562" t="s">
        <v>9280</v>
      </c>
      <c r="B4264" s="563" t="s">
        <v>9281</v>
      </c>
      <c r="C4264" s="564" t="s">
        <v>2191</v>
      </c>
      <c r="D4264" s="565">
        <v>40717</v>
      </c>
      <c r="E4264" s="565">
        <v>40722</v>
      </c>
      <c r="F4264" s="566">
        <v>43470000</v>
      </c>
      <c r="G4264" s="564" t="s">
        <v>1187</v>
      </c>
      <c r="H4264" s="564" t="s">
        <v>1187</v>
      </c>
      <c r="I4264" s="564" t="s">
        <v>7712</v>
      </c>
      <c r="J4264" s="564" t="s">
        <v>1069</v>
      </c>
      <c r="K4264" s="564" t="s">
        <v>1070</v>
      </c>
      <c r="L4264" s="564" t="s">
        <v>2098</v>
      </c>
      <c r="M4264" s="564" t="s">
        <v>2098</v>
      </c>
      <c r="N4264" s="564" t="s">
        <v>1082</v>
      </c>
      <c r="O4264" s="564" t="s">
        <v>2099</v>
      </c>
      <c r="P4264" s="23"/>
      <c r="Q4264" s="23"/>
      <c r="R4264" s="23"/>
      <c r="S4264" s="23"/>
      <c r="T4264" s="23"/>
      <c r="U4264" s="23"/>
      <c r="V4264" s="23"/>
      <c r="W4264" s="23"/>
      <c r="X4264" s="23"/>
      <c r="Y4264" s="23"/>
      <c r="Z4264" s="23"/>
    </row>
    <row r="4265" spans="1:26" ht="13">
      <c r="A4265" s="562" t="s">
        <v>9282</v>
      </c>
      <c r="B4265" s="563" t="s">
        <v>9283</v>
      </c>
      <c r="C4265" s="564" t="s">
        <v>1612</v>
      </c>
      <c r="D4265" s="565">
        <v>40717</v>
      </c>
      <c r="E4265" s="565">
        <v>40718</v>
      </c>
      <c r="F4265" s="566">
        <v>19892</v>
      </c>
      <c r="G4265" s="564" t="s">
        <v>8532</v>
      </c>
      <c r="H4265" s="564" t="s">
        <v>297</v>
      </c>
      <c r="I4265" s="564" t="s">
        <v>45</v>
      </c>
      <c r="J4265" s="564" t="s">
        <v>1069</v>
      </c>
      <c r="K4265" s="564" t="s">
        <v>1090</v>
      </c>
      <c r="L4265" s="564" t="s">
        <v>2098</v>
      </c>
      <c r="M4265" s="564" t="s">
        <v>2098</v>
      </c>
      <c r="N4265" s="564" t="s">
        <v>45</v>
      </c>
      <c r="O4265" s="564" t="s">
        <v>2099</v>
      </c>
      <c r="P4265" s="23"/>
      <c r="Q4265" s="23"/>
      <c r="R4265" s="23"/>
      <c r="S4265" s="23"/>
      <c r="T4265" s="23"/>
      <c r="U4265" s="23"/>
      <c r="V4265" s="23"/>
      <c r="W4265" s="23"/>
      <c r="X4265" s="23"/>
      <c r="Y4265" s="23"/>
      <c r="Z4265" s="23"/>
    </row>
    <row r="4266" spans="1:26" ht="13">
      <c r="A4266" s="562" t="s">
        <v>9284</v>
      </c>
      <c r="B4266" s="563" t="s">
        <v>9285</v>
      </c>
      <c r="C4266" s="564" t="s">
        <v>1612</v>
      </c>
      <c r="D4266" s="565">
        <v>40715</v>
      </c>
      <c r="E4266" s="565">
        <v>40732</v>
      </c>
      <c r="F4266" s="566">
        <v>44495</v>
      </c>
      <c r="G4266" s="564" t="s">
        <v>1856</v>
      </c>
      <c r="H4266" s="564" t="s">
        <v>1856</v>
      </c>
      <c r="I4266" s="564" t="s">
        <v>45</v>
      </c>
      <c r="J4266" s="564" t="s">
        <v>1069</v>
      </c>
      <c r="K4266" s="564" t="s">
        <v>1090</v>
      </c>
      <c r="L4266" s="564" t="s">
        <v>2098</v>
      </c>
      <c r="M4266" s="564" t="s">
        <v>2098</v>
      </c>
      <c r="N4266" s="564" t="s">
        <v>45</v>
      </c>
      <c r="O4266" s="564" t="s">
        <v>2099</v>
      </c>
      <c r="P4266" s="23"/>
      <c r="Q4266" s="23"/>
      <c r="R4266" s="23"/>
      <c r="S4266" s="23"/>
      <c r="T4266" s="23"/>
      <c r="U4266" s="23"/>
      <c r="V4266" s="23"/>
      <c r="W4266" s="23"/>
      <c r="X4266" s="23"/>
      <c r="Y4266" s="23"/>
      <c r="Z4266" s="23"/>
    </row>
    <row r="4267" spans="1:26" ht="13">
      <c r="A4267" s="562" t="s">
        <v>9286</v>
      </c>
      <c r="B4267" s="563" t="s">
        <v>9287</v>
      </c>
      <c r="C4267" s="564" t="s">
        <v>1612</v>
      </c>
      <c r="D4267" s="565">
        <v>40716</v>
      </c>
      <c r="E4267" s="565">
        <v>40724</v>
      </c>
      <c r="F4267" s="567">
        <v>780</v>
      </c>
      <c r="G4267" s="564" t="s">
        <v>337</v>
      </c>
      <c r="H4267" s="564" t="s">
        <v>337</v>
      </c>
      <c r="I4267" s="564" t="s">
        <v>802</v>
      </c>
      <c r="J4267" s="564" t="s">
        <v>1069</v>
      </c>
      <c r="K4267" s="564" t="s">
        <v>1198</v>
      </c>
      <c r="L4267" s="564" t="s">
        <v>2098</v>
      </c>
      <c r="M4267" s="564" t="s">
        <v>2098</v>
      </c>
      <c r="N4267" s="564" t="s">
        <v>132</v>
      </c>
      <c r="O4267" s="564" t="s">
        <v>2099</v>
      </c>
      <c r="P4267" s="23"/>
      <c r="Q4267" s="23"/>
      <c r="R4267" s="23"/>
      <c r="S4267" s="23"/>
      <c r="T4267" s="23"/>
      <c r="U4267" s="23"/>
      <c r="V4267" s="23"/>
      <c r="W4267" s="23"/>
      <c r="X4267" s="23"/>
      <c r="Y4267" s="23"/>
      <c r="Z4267" s="23"/>
    </row>
    <row r="4268" spans="1:26" ht="13">
      <c r="A4268" s="562" t="s">
        <v>9288</v>
      </c>
      <c r="B4268" s="563" t="s">
        <v>9289</v>
      </c>
      <c r="C4268" s="564" t="s">
        <v>1612</v>
      </c>
      <c r="D4268" s="565">
        <v>40715</v>
      </c>
      <c r="E4268" s="565">
        <v>40718</v>
      </c>
      <c r="F4268" s="566">
        <v>25200</v>
      </c>
      <c r="G4268" s="564" t="s">
        <v>337</v>
      </c>
      <c r="H4268" s="564" t="s">
        <v>337</v>
      </c>
      <c r="I4268" s="564" t="s">
        <v>70</v>
      </c>
      <c r="J4268" s="564" t="s">
        <v>1069</v>
      </c>
      <c r="K4268" s="564" t="s">
        <v>1120</v>
      </c>
      <c r="L4268" s="564" t="s">
        <v>2098</v>
      </c>
      <c r="M4268" s="564" t="s">
        <v>2098</v>
      </c>
      <c r="N4268" s="564" t="s">
        <v>70</v>
      </c>
      <c r="O4268" s="564" t="s">
        <v>2099</v>
      </c>
      <c r="P4268" s="23"/>
      <c r="Q4268" s="23"/>
      <c r="R4268" s="23"/>
      <c r="S4268" s="23"/>
      <c r="T4268" s="23"/>
      <c r="U4268" s="23"/>
      <c r="V4268" s="23"/>
      <c r="W4268" s="23"/>
      <c r="X4268" s="23"/>
      <c r="Y4268" s="23"/>
      <c r="Z4268" s="23"/>
    </row>
    <row r="4269" spans="1:26" ht="13">
      <c r="A4269" s="562" t="s">
        <v>9290</v>
      </c>
      <c r="B4269" s="563" t="s">
        <v>9291</v>
      </c>
      <c r="C4269" s="564" t="s">
        <v>1612</v>
      </c>
      <c r="D4269" s="565">
        <v>40714</v>
      </c>
      <c r="E4269" s="565">
        <v>40718</v>
      </c>
      <c r="F4269" s="566">
        <v>11270000</v>
      </c>
      <c r="G4269" s="564" t="s">
        <v>1157</v>
      </c>
      <c r="H4269" s="564" t="s">
        <v>1157</v>
      </c>
      <c r="I4269" s="564" t="s">
        <v>70</v>
      </c>
      <c r="J4269" s="564" t="s">
        <v>1069</v>
      </c>
      <c r="K4269" s="564" t="s">
        <v>1120</v>
      </c>
      <c r="L4269" s="564" t="s">
        <v>2098</v>
      </c>
      <c r="M4269" s="564" t="s">
        <v>2098</v>
      </c>
      <c r="N4269" s="564" t="s">
        <v>70</v>
      </c>
      <c r="O4269" s="564" t="s">
        <v>2099</v>
      </c>
      <c r="P4269" s="23"/>
      <c r="Q4269" s="23"/>
      <c r="R4269" s="23"/>
      <c r="S4269" s="23"/>
      <c r="T4269" s="23"/>
      <c r="U4269" s="23"/>
      <c r="V4269" s="23"/>
      <c r="W4269" s="23"/>
      <c r="X4269" s="23"/>
      <c r="Y4269" s="23"/>
      <c r="Z4269" s="23"/>
    </row>
    <row r="4270" spans="1:26" ht="13">
      <c r="A4270" s="562" t="s">
        <v>9292</v>
      </c>
      <c r="B4270" s="563" t="s">
        <v>9293</v>
      </c>
      <c r="C4270" s="564" t="s">
        <v>1612</v>
      </c>
      <c r="D4270" s="565">
        <v>40708</v>
      </c>
      <c r="E4270" s="565">
        <v>40716</v>
      </c>
      <c r="F4270" s="566">
        <v>81050</v>
      </c>
      <c r="G4270" s="564" t="s">
        <v>1157</v>
      </c>
      <c r="H4270" s="564" t="s">
        <v>1157</v>
      </c>
      <c r="I4270" s="564" t="s">
        <v>70</v>
      </c>
      <c r="J4270" s="564" t="s">
        <v>1069</v>
      </c>
      <c r="K4270" s="564" t="s">
        <v>1120</v>
      </c>
      <c r="L4270" s="564" t="s">
        <v>2098</v>
      </c>
      <c r="M4270" s="564" t="s">
        <v>2098</v>
      </c>
      <c r="N4270" s="564" t="s">
        <v>70</v>
      </c>
      <c r="O4270" s="564" t="s">
        <v>2099</v>
      </c>
      <c r="P4270" s="23"/>
      <c r="Q4270" s="23"/>
      <c r="R4270" s="23"/>
      <c r="S4270" s="23"/>
      <c r="T4270" s="23"/>
      <c r="U4270" s="23"/>
      <c r="V4270" s="23"/>
      <c r="W4270" s="23"/>
      <c r="X4270" s="23"/>
      <c r="Y4270" s="23"/>
      <c r="Z4270" s="23"/>
    </row>
    <row r="4271" spans="1:26" ht="13">
      <c r="A4271" s="562" t="s">
        <v>9294</v>
      </c>
      <c r="B4271" s="563" t="s">
        <v>9295</v>
      </c>
      <c r="C4271" s="564" t="s">
        <v>2191</v>
      </c>
      <c r="D4271" s="565">
        <v>40711</v>
      </c>
      <c r="E4271" s="565">
        <v>40869</v>
      </c>
      <c r="F4271" s="566">
        <v>368000</v>
      </c>
      <c r="G4271" s="564" t="s">
        <v>7944</v>
      </c>
      <c r="H4271" s="564" t="s">
        <v>7944</v>
      </c>
      <c r="I4271" s="564" t="s">
        <v>9296</v>
      </c>
      <c r="J4271" s="564" t="s">
        <v>1069</v>
      </c>
      <c r="K4271" s="564" t="s">
        <v>1070</v>
      </c>
      <c r="L4271" s="564" t="s">
        <v>2098</v>
      </c>
      <c r="M4271" s="564" t="s">
        <v>2098</v>
      </c>
      <c r="N4271" s="564" t="s">
        <v>1082</v>
      </c>
      <c r="O4271" s="564" t="s">
        <v>2099</v>
      </c>
      <c r="P4271" s="23"/>
      <c r="Q4271" s="23"/>
      <c r="R4271" s="23"/>
      <c r="S4271" s="23"/>
      <c r="T4271" s="23"/>
      <c r="U4271" s="23"/>
      <c r="V4271" s="23"/>
      <c r="W4271" s="23"/>
      <c r="X4271" s="23"/>
      <c r="Y4271" s="23"/>
      <c r="Z4271" s="23"/>
    </row>
    <row r="4272" spans="1:26" ht="13">
      <c r="A4272" s="562" t="s">
        <v>9297</v>
      </c>
      <c r="B4272" s="563" t="s">
        <v>9298</v>
      </c>
      <c r="C4272" s="564" t="s">
        <v>1612</v>
      </c>
      <c r="D4272" s="565">
        <v>40709</v>
      </c>
      <c r="E4272" s="565">
        <v>40722</v>
      </c>
      <c r="F4272" s="566">
        <v>24600</v>
      </c>
      <c r="G4272" s="564" t="s">
        <v>337</v>
      </c>
      <c r="H4272" s="564" t="s">
        <v>337</v>
      </c>
      <c r="I4272" s="564" t="s">
        <v>802</v>
      </c>
      <c r="J4272" s="564" t="s">
        <v>1069</v>
      </c>
      <c r="K4272" s="564" t="s">
        <v>1198</v>
      </c>
      <c r="L4272" s="564" t="s">
        <v>2098</v>
      </c>
      <c r="M4272" s="564" t="s">
        <v>2098</v>
      </c>
      <c r="N4272" s="564" t="s">
        <v>132</v>
      </c>
      <c r="O4272" s="564" t="s">
        <v>2099</v>
      </c>
      <c r="P4272" s="23"/>
      <c r="Q4272" s="23"/>
      <c r="R4272" s="23"/>
      <c r="S4272" s="23"/>
      <c r="T4272" s="23"/>
      <c r="U4272" s="23"/>
      <c r="V4272" s="23"/>
      <c r="W4272" s="23"/>
      <c r="X4272" s="23"/>
      <c r="Y4272" s="23"/>
      <c r="Z4272" s="23"/>
    </row>
    <row r="4273" spans="1:26" ht="13">
      <c r="A4273" s="562" t="s">
        <v>9299</v>
      </c>
      <c r="B4273" s="563" t="s">
        <v>8943</v>
      </c>
      <c r="C4273" s="564" t="s">
        <v>1612</v>
      </c>
      <c r="D4273" s="565">
        <v>40709</v>
      </c>
      <c r="E4273" s="565">
        <v>40721</v>
      </c>
      <c r="F4273" s="566">
        <v>1440</v>
      </c>
      <c r="G4273" s="564" t="s">
        <v>337</v>
      </c>
      <c r="H4273" s="564" t="s">
        <v>337</v>
      </c>
      <c r="I4273" s="564" t="s">
        <v>70</v>
      </c>
      <c r="J4273" s="564" t="s">
        <v>1069</v>
      </c>
      <c r="K4273" s="564" t="s">
        <v>1120</v>
      </c>
      <c r="L4273" s="564" t="s">
        <v>2098</v>
      </c>
      <c r="M4273" s="564" t="s">
        <v>2098</v>
      </c>
      <c r="N4273" s="564" t="s">
        <v>70</v>
      </c>
      <c r="O4273" s="564" t="s">
        <v>2099</v>
      </c>
      <c r="P4273" s="23"/>
      <c r="Q4273" s="23"/>
      <c r="R4273" s="23"/>
      <c r="S4273" s="23"/>
      <c r="T4273" s="23"/>
      <c r="U4273" s="23"/>
      <c r="V4273" s="23"/>
      <c r="W4273" s="23"/>
      <c r="X4273" s="23"/>
      <c r="Y4273" s="23"/>
      <c r="Z4273" s="23"/>
    </row>
    <row r="4274" spans="1:26" ht="13">
      <c r="A4274" s="562" t="s">
        <v>9300</v>
      </c>
      <c r="B4274" s="563" t="s">
        <v>9301</v>
      </c>
      <c r="C4274" s="564" t="s">
        <v>1612</v>
      </c>
      <c r="D4274" s="565">
        <v>40709</v>
      </c>
      <c r="E4274" s="565">
        <v>40725</v>
      </c>
      <c r="F4274" s="567">
        <v>200</v>
      </c>
      <c r="G4274" s="564" t="s">
        <v>337</v>
      </c>
      <c r="H4274" s="564" t="s">
        <v>337</v>
      </c>
      <c r="I4274" s="564" t="s">
        <v>121</v>
      </c>
      <c r="J4274" s="564" t="s">
        <v>1069</v>
      </c>
      <c r="K4274" s="564" t="s">
        <v>1105</v>
      </c>
      <c r="L4274" s="564" t="s">
        <v>2098</v>
      </c>
      <c r="M4274" s="564" t="s">
        <v>2098</v>
      </c>
      <c r="N4274" s="564" t="s">
        <v>1073</v>
      </c>
      <c r="O4274" s="564" t="s">
        <v>2099</v>
      </c>
      <c r="P4274" s="23"/>
      <c r="Q4274" s="23"/>
      <c r="R4274" s="23"/>
      <c r="S4274" s="23"/>
      <c r="T4274" s="23"/>
      <c r="U4274" s="23"/>
      <c r="V4274" s="23"/>
      <c r="W4274" s="23"/>
      <c r="X4274" s="23"/>
      <c r="Y4274" s="23"/>
      <c r="Z4274" s="23"/>
    </row>
    <row r="4275" spans="1:26" ht="13">
      <c r="A4275" s="562" t="s">
        <v>9302</v>
      </c>
      <c r="B4275" s="563" t="s">
        <v>9303</v>
      </c>
      <c r="C4275" s="564" t="s">
        <v>1612</v>
      </c>
      <c r="D4275" s="565">
        <v>40708</v>
      </c>
      <c r="E4275" s="565">
        <v>40718</v>
      </c>
      <c r="F4275" s="566">
        <v>11845</v>
      </c>
      <c r="G4275" s="564" t="s">
        <v>337</v>
      </c>
      <c r="H4275" s="564" t="s">
        <v>337</v>
      </c>
      <c r="I4275" s="564" t="s">
        <v>802</v>
      </c>
      <c r="J4275" s="564" t="s">
        <v>1069</v>
      </c>
      <c r="K4275" s="564" t="s">
        <v>1198</v>
      </c>
      <c r="L4275" s="564" t="s">
        <v>2098</v>
      </c>
      <c r="M4275" s="564" t="s">
        <v>2098</v>
      </c>
      <c r="N4275" s="564" t="s">
        <v>132</v>
      </c>
      <c r="O4275" s="564" t="s">
        <v>2099</v>
      </c>
      <c r="P4275" s="23"/>
      <c r="Q4275" s="23"/>
      <c r="R4275" s="23"/>
      <c r="S4275" s="23"/>
      <c r="T4275" s="23"/>
      <c r="U4275" s="23"/>
      <c r="V4275" s="23"/>
      <c r="W4275" s="23"/>
      <c r="X4275" s="23"/>
      <c r="Y4275" s="23"/>
      <c r="Z4275" s="23"/>
    </row>
    <row r="4276" spans="1:26" ht="13">
      <c r="A4276" s="562" t="s">
        <v>9304</v>
      </c>
      <c r="B4276" s="563" t="s">
        <v>9305</v>
      </c>
      <c r="C4276" s="564" t="s">
        <v>1612</v>
      </c>
      <c r="D4276" s="565">
        <v>40708</v>
      </c>
      <c r="E4276" s="565">
        <v>40715</v>
      </c>
      <c r="F4276" s="566">
        <v>3100</v>
      </c>
      <c r="G4276" s="564" t="s">
        <v>337</v>
      </c>
      <c r="H4276" s="564" t="s">
        <v>337</v>
      </c>
      <c r="I4276" s="564" t="s">
        <v>64</v>
      </c>
      <c r="J4276" s="564" t="s">
        <v>1069</v>
      </c>
      <c r="K4276" s="564" t="s">
        <v>1090</v>
      </c>
      <c r="L4276" s="564" t="s">
        <v>2098</v>
      </c>
      <c r="M4276" s="564" t="s">
        <v>2098</v>
      </c>
      <c r="N4276" s="564" t="s">
        <v>64</v>
      </c>
      <c r="O4276" s="564" t="s">
        <v>2099</v>
      </c>
      <c r="P4276" s="23"/>
      <c r="Q4276" s="23"/>
      <c r="R4276" s="23"/>
      <c r="S4276" s="23"/>
      <c r="T4276" s="23"/>
      <c r="U4276" s="23"/>
      <c r="V4276" s="23"/>
      <c r="W4276" s="23"/>
      <c r="X4276" s="23"/>
      <c r="Y4276" s="23"/>
      <c r="Z4276" s="23"/>
    </row>
    <row r="4277" spans="1:26" ht="13">
      <c r="A4277" s="562" t="s">
        <v>9306</v>
      </c>
      <c r="B4277" s="563" t="s">
        <v>9307</v>
      </c>
      <c r="C4277" s="564" t="s">
        <v>1612</v>
      </c>
      <c r="D4277" s="565">
        <v>40702</v>
      </c>
      <c r="E4277" s="565">
        <v>40711</v>
      </c>
      <c r="F4277" s="566">
        <v>15350000</v>
      </c>
      <c r="G4277" s="564" t="s">
        <v>337</v>
      </c>
      <c r="H4277" s="564" t="s">
        <v>337</v>
      </c>
      <c r="I4277" s="564" t="s">
        <v>802</v>
      </c>
      <c r="J4277" s="564" t="s">
        <v>1069</v>
      </c>
      <c r="K4277" s="564" t="s">
        <v>1198</v>
      </c>
      <c r="L4277" s="564" t="s">
        <v>2098</v>
      </c>
      <c r="M4277" s="564" t="s">
        <v>2098</v>
      </c>
      <c r="N4277" s="564" t="s">
        <v>132</v>
      </c>
      <c r="O4277" s="564" t="s">
        <v>2099</v>
      </c>
      <c r="P4277" s="23"/>
      <c r="Q4277" s="23"/>
      <c r="R4277" s="23"/>
      <c r="S4277" s="23"/>
      <c r="T4277" s="23"/>
      <c r="U4277" s="23"/>
      <c r="V4277" s="23"/>
      <c r="W4277" s="23"/>
      <c r="X4277" s="23"/>
      <c r="Y4277" s="23"/>
      <c r="Z4277" s="23"/>
    </row>
    <row r="4278" spans="1:26" ht="13">
      <c r="A4278" s="562" t="s">
        <v>9308</v>
      </c>
      <c r="B4278" s="563" t="s">
        <v>9309</v>
      </c>
      <c r="C4278" s="564" t="s">
        <v>1612</v>
      </c>
      <c r="D4278" s="565">
        <v>40702</v>
      </c>
      <c r="E4278" s="565">
        <v>40718</v>
      </c>
      <c r="F4278" s="566">
        <v>6640000</v>
      </c>
      <c r="G4278" s="564" t="s">
        <v>337</v>
      </c>
      <c r="H4278" s="564" t="s">
        <v>337</v>
      </c>
      <c r="I4278" s="564" t="s">
        <v>1068</v>
      </c>
      <c r="J4278" s="564" t="s">
        <v>1069</v>
      </c>
      <c r="K4278" s="564" t="s">
        <v>1070</v>
      </c>
      <c r="L4278" s="564" t="s">
        <v>2098</v>
      </c>
      <c r="M4278" s="564" t="s">
        <v>2098</v>
      </c>
      <c r="N4278" s="564" t="s">
        <v>1073</v>
      </c>
      <c r="O4278" s="564" t="s">
        <v>2099</v>
      </c>
      <c r="P4278" s="23"/>
      <c r="Q4278" s="23"/>
      <c r="R4278" s="23"/>
      <c r="S4278" s="23"/>
      <c r="T4278" s="23"/>
      <c r="U4278" s="23"/>
      <c r="V4278" s="23"/>
      <c r="W4278" s="23"/>
      <c r="X4278" s="23"/>
      <c r="Y4278" s="23"/>
      <c r="Z4278" s="23"/>
    </row>
    <row r="4279" spans="1:26" ht="13">
      <c r="A4279" s="562" t="s">
        <v>9310</v>
      </c>
      <c r="B4279" s="563" t="s">
        <v>8931</v>
      </c>
      <c r="C4279" s="564" t="s">
        <v>1612</v>
      </c>
      <c r="D4279" s="565">
        <v>40702</v>
      </c>
      <c r="E4279" s="565">
        <v>40724</v>
      </c>
      <c r="F4279" s="567">
        <v>650</v>
      </c>
      <c r="G4279" s="564" t="s">
        <v>337</v>
      </c>
      <c r="H4279" s="564" t="s">
        <v>337</v>
      </c>
      <c r="I4279" s="564" t="s">
        <v>1230</v>
      </c>
      <c r="J4279" s="564" t="s">
        <v>1069</v>
      </c>
      <c r="K4279" s="564" t="s">
        <v>1090</v>
      </c>
      <c r="L4279" s="564" t="s">
        <v>2098</v>
      </c>
      <c r="M4279" s="564" t="s">
        <v>2098</v>
      </c>
      <c r="N4279" s="564" t="s">
        <v>1073</v>
      </c>
      <c r="O4279" s="564" t="s">
        <v>2099</v>
      </c>
      <c r="P4279" s="23"/>
      <c r="Q4279" s="23"/>
      <c r="R4279" s="23"/>
      <c r="S4279" s="23"/>
      <c r="T4279" s="23"/>
      <c r="U4279" s="23"/>
      <c r="V4279" s="23"/>
      <c r="W4279" s="23"/>
      <c r="X4279" s="23"/>
      <c r="Y4279" s="23"/>
      <c r="Z4279" s="23"/>
    </row>
    <row r="4280" spans="1:26" ht="13">
      <c r="A4280" s="562" t="s">
        <v>9311</v>
      </c>
      <c r="B4280" s="563" t="s">
        <v>9312</v>
      </c>
      <c r="C4280" s="564" t="s">
        <v>1612</v>
      </c>
      <c r="D4280" s="565">
        <v>40701</v>
      </c>
      <c r="E4280" s="565">
        <v>40712</v>
      </c>
      <c r="F4280" s="566">
        <v>32000000</v>
      </c>
      <c r="G4280" s="564" t="s">
        <v>1116</v>
      </c>
      <c r="H4280" s="564" t="s">
        <v>1116</v>
      </c>
      <c r="I4280" s="564" t="s">
        <v>257</v>
      </c>
      <c r="J4280" s="564" t="s">
        <v>1069</v>
      </c>
      <c r="K4280" s="564" t="s">
        <v>1209</v>
      </c>
      <c r="L4280" s="564" t="s">
        <v>2098</v>
      </c>
      <c r="M4280" s="564" t="s">
        <v>2098</v>
      </c>
      <c r="N4280" s="564" t="s">
        <v>257</v>
      </c>
      <c r="O4280" s="564" t="s">
        <v>2099</v>
      </c>
      <c r="P4280" s="23"/>
      <c r="Q4280" s="23"/>
      <c r="R4280" s="23"/>
      <c r="S4280" s="23"/>
      <c r="T4280" s="23"/>
      <c r="U4280" s="23"/>
      <c r="V4280" s="23"/>
      <c r="W4280" s="23"/>
      <c r="X4280" s="23"/>
      <c r="Y4280" s="23"/>
      <c r="Z4280" s="23"/>
    </row>
    <row r="4281" spans="1:26" ht="13">
      <c r="A4281" s="562" t="s">
        <v>9313</v>
      </c>
      <c r="B4281" s="563" t="s">
        <v>9314</v>
      </c>
      <c r="C4281" s="564" t="s">
        <v>2191</v>
      </c>
      <c r="D4281" s="565">
        <v>40701</v>
      </c>
      <c r="E4281" s="565">
        <v>40711</v>
      </c>
      <c r="F4281" s="566">
        <v>161818</v>
      </c>
      <c r="G4281" s="564" t="s">
        <v>297</v>
      </c>
      <c r="H4281" s="564" t="s">
        <v>297</v>
      </c>
      <c r="I4281" s="564" t="s">
        <v>8641</v>
      </c>
      <c r="J4281" s="564" t="s">
        <v>1069</v>
      </c>
      <c r="K4281" s="564" t="s">
        <v>1198</v>
      </c>
      <c r="L4281" s="564" t="s">
        <v>2098</v>
      </c>
      <c r="M4281" s="564" t="s">
        <v>2098</v>
      </c>
      <c r="N4281" s="564" t="s">
        <v>1368</v>
      </c>
      <c r="O4281" s="564" t="s">
        <v>2099</v>
      </c>
      <c r="P4281" s="23"/>
      <c r="Q4281" s="23"/>
      <c r="R4281" s="23"/>
      <c r="S4281" s="23"/>
      <c r="T4281" s="23"/>
      <c r="U4281" s="23"/>
      <c r="V4281" s="23"/>
      <c r="W4281" s="23"/>
      <c r="X4281" s="23"/>
      <c r="Y4281" s="23"/>
      <c r="Z4281" s="23"/>
    </row>
    <row r="4282" spans="1:26" ht="13">
      <c r="A4282" s="562" t="s">
        <v>9315</v>
      </c>
      <c r="B4282" s="563" t="s">
        <v>9316</v>
      </c>
      <c r="C4282" s="564" t="s">
        <v>1612</v>
      </c>
      <c r="D4282" s="565">
        <v>40694</v>
      </c>
      <c r="E4282" s="565">
        <v>40704</v>
      </c>
      <c r="F4282" s="566">
        <v>165000</v>
      </c>
      <c r="G4282" s="564" t="s">
        <v>337</v>
      </c>
      <c r="H4282" s="564" t="s">
        <v>337</v>
      </c>
      <c r="I4282" s="564" t="s">
        <v>802</v>
      </c>
      <c r="J4282" s="564" t="s">
        <v>1069</v>
      </c>
      <c r="K4282" s="564" t="s">
        <v>1198</v>
      </c>
      <c r="L4282" s="564" t="s">
        <v>2098</v>
      </c>
      <c r="M4282" s="564" t="s">
        <v>2098</v>
      </c>
      <c r="N4282" s="564" t="s">
        <v>132</v>
      </c>
      <c r="O4282" s="564" t="s">
        <v>2099</v>
      </c>
      <c r="P4282" s="23"/>
      <c r="Q4282" s="23"/>
      <c r="R4282" s="23"/>
      <c r="S4282" s="23"/>
      <c r="T4282" s="23"/>
      <c r="U4282" s="23"/>
      <c r="V4282" s="23"/>
      <c r="W4282" s="23"/>
      <c r="X4282" s="23"/>
      <c r="Y4282" s="23"/>
      <c r="Z4282" s="23"/>
    </row>
    <row r="4283" spans="1:26" ht="13">
      <c r="A4283" s="562" t="s">
        <v>9317</v>
      </c>
      <c r="B4283" s="563" t="s">
        <v>9318</v>
      </c>
      <c r="C4283" s="564" t="s">
        <v>1612</v>
      </c>
      <c r="D4283" s="565">
        <v>40694</v>
      </c>
      <c r="E4283" s="565">
        <v>40704</v>
      </c>
      <c r="F4283" s="566">
        <v>8820</v>
      </c>
      <c r="G4283" s="564" t="s">
        <v>337</v>
      </c>
      <c r="H4283" s="564" t="s">
        <v>337</v>
      </c>
      <c r="I4283" s="564" t="s">
        <v>64</v>
      </c>
      <c r="J4283" s="564" t="s">
        <v>1069</v>
      </c>
      <c r="K4283" s="564" t="s">
        <v>1090</v>
      </c>
      <c r="L4283" s="564" t="s">
        <v>2098</v>
      </c>
      <c r="M4283" s="564" t="s">
        <v>2098</v>
      </c>
      <c r="N4283" s="564" t="s">
        <v>64</v>
      </c>
      <c r="O4283" s="564" t="s">
        <v>2099</v>
      </c>
      <c r="P4283" s="23"/>
      <c r="Q4283" s="23"/>
      <c r="R4283" s="23"/>
      <c r="S4283" s="23"/>
      <c r="T4283" s="23"/>
      <c r="U4283" s="23"/>
      <c r="V4283" s="23"/>
      <c r="W4283" s="23"/>
      <c r="X4283" s="23"/>
      <c r="Y4283" s="23"/>
      <c r="Z4283" s="23"/>
    </row>
    <row r="4284" spans="1:26" ht="13">
      <c r="A4284" s="562" t="s">
        <v>9319</v>
      </c>
      <c r="B4284" s="563" t="s">
        <v>9320</v>
      </c>
      <c r="C4284" s="564" t="s">
        <v>2191</v>
      </c>
      <c r="D4284" s="565">
        <v>40690</v>
      </c>
      <c r="E4284" s="565">
        <v>40724</v>
      </c>
      <c r="F4284" s="566">
        <v>22000000</v>
      </c>
      <c r="G4284" s="564" t="s">
        <v>1529</v>
      </c>
      <c r="H4284" s="564" t="s">
        <v>1529</v>
      </c>
      <c r="I4284" s="564" t="s">
        <v>9321</v>
      </c>
      <c r="J4284" s="564" t="s">
        <v>1069</v>
      </c>
      <c r="K4284" s="564" t="s">
        <v>1070</v>
      </c>
      <c r="L4284" s="564" t="s">
        <v>2098</v>
      </c>
      <c r="M4284" s="564" t="s">
        <v>2098</v>
      </c>
      <c r="N4284" s="564" t="s">
        <v>1082</v>
      </c>
      <c r="O4284" s="564" t="s">
        <v>2099</v>
      </c>
      <c r="P4284" s="23"/>
      <c r="Q4284" s="23"/>
      <c r="R4284" s="23"/>
      <c r="S4284" s="23"/>
      <c r="T4284" s="23"/>
      <c r="U4284" s="23"/>
      <c r="V4284" s="23"/>
      <c r="W4284" s="23"/>
      <c r="X4284" s="23"/>
      <c r="Y4284" s="23"/>
      <c r="Z4284" s="23"/>
    </row>
    <row r="4285" spans="1:26" ht="13">
      <c r="A4285" s="562" t="s">
        <v>9322</v>
      </c>
      <c r="B4285" s="563" t="s">
        <v>9320</v>
      </c>
      <c r="C4285" s="564" t="s">
        <v>2191</v>
      </c>
      <c r="D4285" s="565">
        <v>40690</v>
      </c>
      <c r="E4285" s="565">
        <v>40724</v>
      </c>
      <c r="F4285" s="566">
        <v>420000000</v>
      </c>
      <c r="G4285" s="564" t="s">
        <v>1529</v>
      </c>
      <c r="H4285" s="564" t="s">
        <v>1529</v>
      </c>
      <c r="I4285" s="564" t="s">
        <v>9323</v>
      </c>
      <c r="J4285" s="564" t="s">
        <v>1069</v>
      </c>
      <c r="K4285" s="564" t="s">
        <v>1070</v>
      </c>
      <c r="L4285" s="564" t="s">
        <v>2098</v>
      </c>
      <c r="M4285" s="564" t="s">
        <v>2098</v>
      </c>
      <c r="N4285" s="564" t="s">
        <v>1082</v>
      </c>
      <c r="O4285" s="564" t="s">
        <v>2099</v>
      </c>
      <c r="P4285" s="23"/>
      <c r="Q4285" s="23"/>
      <c r="R4285" s="23"/>
      <c r="S4285" s="23"/>
      <c r="T4285" s="23"/>
      <c r="U4285" s="23"/>
      <c r="V4285" s="23"/>
      <c r="W4285" s="23"/>
      <c r="X4285" s="23"/>
      <c r="Y4285" s="23"/>
      <c r="Z4285" s="23"/>
    </row>
    <row r="4286" spans="1:26" ht="13">
      <c r="A4286" s="562" t="s">
        <v>9324</v>
      </c>
      <c r="B4286" s="563" t="s">
        <v>7575</v>
      </c>
      <c r="C4286" s="564" t="s">
        <v>1612</v>
      </c>
      <c r="D4286" s="565">
        <v>40689</v>
      </c>
      <c r="E4286" s="565">
        <v>40690</v>
      </c>
      <c r="F4286" s="566">
        <v>2740</v>
      </c>
      <c r="G4286" s="564" t="s">
        <v>337</v>
      </c>
      <c r="H4286" s="564" t="s">
        <v>337</v>
      </c>
      <c r="I4286" s="564" t="s">
        <v>257</v>
      </c>
      <c r="J4286" s="564" t="s">
        <v>1069</v>
      </c>
      <c r="K4286" s="564" t="s">
        <v>1209</v>
      </c>
      <c r="L4286" s="564" t="s">
        <v>2098</v>
      </c>
      <c r="M4286" s="564" t="s">
        <v>2098</v>
      </c>
      <c r="N4286" s="564" t="s">
        <v>257</v>
      </c>
      <c r="O4286" s="564" t="s">
        <v>2099</v>
      </c>
      <c r="P4286" s="23"/>
      <c r="Q4286" s="23"/>
      <c r="R4286" s="23"/>
      <c r="S4286" s="23"/>
      <c r="T4286" s="23"/>
      <c r="U4286" s="23"/>
      <c r="V4286" s="23"/>
      <c r="W4286" s="23"/>
      <c r="X4286" s="23"/>
      <c r="Y4286" s="23"/>
      <c r="Z4286" s="23"/>
    </row>
    <row r="4287" spans="1:26" ht="13">
      <c r="A4287" s="562" t="s">
        <v>9325</v>
      </c>
      <c r="B4287" s="563" t="s">
        <v>9326</v>
      </c>
      <c r="C4287" s="564" t="s">
        <v>1612</v>
      </c>
      <c r="D4287" s="565">
        <v>40688</v>
      </c>
      <c r="E4287" s="565">
        <v>40697</v>
      </c>
      <c r="F4287" s="567">
        <v>980</v>
      </c>
      <c r="G4287" s="564" t="s">
        <v>337</v>
      </c>
      <c r="H4287" s="564" t="s">
        <v>337</v>
      </c>
      <c r="I4287" s="564" t="s">
        <v>64</v>
      </c>
      <c r="J4287" s="564" t="s">
        <v>1069</v>
      </c>
      <c r="K4287" s="564" t="s">
        <v>1090</v>
      </c>
      <c r="L4287" s="564" t="s">
        <v>2098</v>
      </c>
      <c r="M4287" s="564" t="s">
        <v>2098</v>
      </c>
      <c r="N4287" s="564" t="s">
        <v>64</v>
      </c>
      <c r="O4287" s="564" t="s">
        <v>2099</v>
      </c>
      <c r="P4287" s="23"/>
      <c r="Q4287" s="23"/>
      <c r="R4287" s="23"/>
      <c r="S4287" s="23"/>
      <c r="T4287" s="23"/>
      <c r="U4287" s="23"/>
      <c r="V4287" s="23"/>
      <c r="W4287" s="23"/>
      <c r="X4287" s="23"/>
      <c r="Y4287" s="23"/>
      <c r="Z4287" s="23"/>
    </row>
    <row r="4288" spans="1:26" ht="13">
      <c r="A4288" s="562" t="s">
        <v>9327</v>
      </c>
      <c r="B4288" s="563" t="s">
        <v>9328</v>
      </c>
      <c r="C4288" s="564" t="s">
        <v>1612</v>
      </c>
      <c r="D4288" s="565">
        <v>40687</v>
      </c>
      <c r="E4288" s="565">
        <v>40688</v>
      </c>
      <c r="F4288" s="566">
        <v>375000</v>
      </c>
      <c r="G4288" s="564" t="s">
        <v>8532</v>
      </c>
      <c r="H4288" s="564" t="s">
        <v>297</v>
      </c>
      <c r="I4288" s="564" t="s">
        <v>45</v>
      </c>
      <c r="J4288" s="564" t="s">
        <v>1069</v>
      </c>
      <c r="K4288" s="564" t="s">
        <v>1090</v>
      </c>
      <c r="L4288" s="564" t="s">
        <v>2098</v>
      </c>
      <c r="M4288" s="564" t="s">
        <v>2098</v>
      </c>
      <c r="N4288" s="564" t="s">
        <v>45</v>
      </c>
      <c r="O4288" s="564" t="s">
        <v>2099</v>
      </c>
      <c r="P4288" s="23"/>
      <c r="Q4288" s="23"/>
      <c r="R4288" s="23"/>
      <c r="S4288" s="23"/>
      <c r="T4288" s="23"/>
      <c r="U4288" s="23"/>
      <c r="V4288" s="23"/>
      <c r="W4288" s="23"/>
      <c r="X4288" s="23"/>
      <c r="Y4288" s="23"/>
      <c r="Z4288" s="23"/>
    </row>
    <row r="4289" spans="1:26" ht="13">
      <c r="A4289" s="562" t="s">
        <v>9329</v>
      </c>
      <c r="B4289" s="563" t="s">
        <v>9330</v>
      </c>
      <c r="C4289" s="564" t="s">
        <v>1612</v>
      </c>
      <c r="D4289" s="565">
        <v>40686</v>
      </c>
      <c r="E4289" s="565">
        <v>40697</v>
      </c>
      <c r="F4289" s="566">
        <v>11600</v>
      </c>
      <c r="G4289" s="564" t="s">
        <v>337</v>
      </c>
      <c r="H4289" s="564" t="s">
        <v>337</v>
      </c>
      <c r="I4289" s="564" t="s">
        <v>802</v>
      </c>
      <c r="J4289" s="564" t="s">
        <v>1069</v>
      </c>
      <c r="K4289" s="564" t="s">
        <v>1198</v>
      </c>
      <c r="L4289" s="564" t="s">
        <v>2098</v>
      </c>
      <c r="M4289" s="564" t="s">
        <v>2098</v>
      </c>
      <c r="N4289" s="564" t="s">
        <v>132</v>
      </c>
      <c r="O4289" s="564" t="s">
        <v>2099</v>
      </c>
      <c r="P4289" s="23"/>
      <c r="Q4289" s="23"/>
      <c r="R4289" s="23"/>
      <c r="S4289" s="23"/>
      <c r="T4289" s="23"/>
      <c r="U4289" s="23"/>
      <c r="V4289" s="23"/>
      <c r="W4289" s="23"/>
      <c r="X4289" s="23"/>
      <c r="Y4289" s="23"/>
      <c r="Z4289" s="23"/>
    </row>
    <row r="4290" spans="1:26" ht="13">
      <c r="A4290" s="562" t="s">
        <v>9331</v>
      </c>
      <c r="B4290" s="563" t="s">
        <v>9332</v>
      </c>
      <c r="C4290" s="564" t="s">
        <v>1612</v>
      </c>
      <c r="D4290" s="565">
        <v>40682</v>
      </c>
      <c r="E4290" s="565">
        <v>40688</v>
      </c>
      <c r="F4290" s="567">
        <v>700</v>
      </c>
      <c r="G4290" s="564" t="s">
        <v>337</v>
      </c>
      <c r="H4290" s="564" t="s">
        <v>337</v>
      </c>
      <c r="I4290" s="564" t="s">
        <v>45</v>
      </c>
      <c r="J4290" s="564" t="s">
        <v>1069</v>
      </c>
      <c r="K4290" s="564" t="s">
        <v>1090</v>
      </c>
      <c r="L4290" s="564" t="s">
        <v>2098</v>
      </c>
      <c r="M4290" s="564" t="s">
        <v>2098</v>
      </c>
      <c r="N4290" s="564" t="s">
        <v>45</v>
      </c>
      <c r="O4290" s="564" t="s">
        <v>2099</v>
      </c>
      <c r="P4290" s="23"/>
      <c r="Q4290" s="23"/>
      <c r="R4290" s="23"/>
      <c r="S4290" s="23"/>
      <c r="T4290" s="23"/>
      <c r="U4290" s="23"/>
      <c r="V4290" s="23"/>
      <c r="W4290" s="23"/>
      <c r="X4290" s="23"/>
      <c r="Y4290" s="23"/>
      <c r="Z4290" s="23"/>
    </row>
    <row r="4291" spans="1:26" ht="13">
      <c r="A4291" s="562" t="s">
        <v>9333</v>
      </c>
      <c r="B4291" s="563" t="s">
        <v>9334</v>
      </c>
      <c r="C4291" s="564" t="s">
        <v>1612</v>
      </c>
      <c r="D4291" s="565">
        <v>40682</v>
      </c>
      <c r="E4291" s="565">
        <v>40688</v>
      </c>
      <c r="F4291" s="566">
        <v>1525000</v>
      </c>
      <c r="G4291" s="564" t="s">
        <v>337</v>
      </c>
      <c r="H4291" s="564" t="s">
        <v>337</v>
      </c>
      <c r="I4291" s="564" t="s">
        <v>64</v>
      </c>
      <c r="J4291" s="564" t="s">
        <v>1069</v>
      </c>
      <c r="K4291" s="564" t="s">
        <v>1090</v>
      </c>
      <c r="L4291" s="564" t="s">
        <v>2098</v>
      </c>
      <c r="M4291" s="564" t="s">
        <v>2098</v>
      </c>
      <c r="N4291" s="564" t="s">
        <v>64</v>
      </c>
      <c r="O4291" s="564" t="s">
        <v>2099</v>
      </c>
      <c r="P4291" s="23"/>
      <c r="Q4291" s="23"/>
      <c r="R4291" s="23"/>
      <c r="S4291" s="23"/>
      <c r="T4291" s="23"/>
      <c r="U4291" s="23"/>
      <c r="V4291" s="23"/>
      <c r="W4291" s="23"/>
      <c r="X4291" s="23"/>
      <c r="Y4291" s="23"/>
      <c r="Z4291" s="23"/>
    </row>
    <row r="4292" spans="1:26" ht="13">
      <c r="A4292" s="562" t="s">
        <v>9335</v>
      </c>
      <c r="B4292" s="563" t="s">
        <v>9336</v>
      </c>
      <c r="C4292" s="564" t="s">
        <v>1612</v>
      </c>
      <c r="D4292" s="565">
        <v>40681</v>
      </c>
      <c r="E4292" s="565">
        <v>40714</v>
      </c>
      <c r="F4292" s="566">
        <v>7545000</v>
      </c>
      <c r="G4292" s="564" t="s">
        <v>337</v>
      </c>
      <c r="H4292" s="564" t="s">
        <v>337</v>
      </c>
      <c r="I4292" s="564" t="s">
        <v>64</v>
      </c>
      <c r="J4292" s="564" t="s">
        <v>1069</v>
      </c>
      <c r="K4292" s="564" t="s">
        <v>1090</v>
      </c>
      <c r="L4292" s="564" t="s">
        <v>2098</v>
      </c>
      <c r="M4292" s="564" t="s">
        <v>2098</v>
      </c>
      <c r="N4292" s="564" t="s">
        <v>64</v>
      </c>
      <c r="O4292" s="564" t="s">
        <v>2099</v>
      </c>
      <c r="P4292" s="23"/>
      <c r="Q4292" s="23"/>
      <c r="R4292" s="23"/>
      <c r="S4292" s="23"/>
      <c r="T4292" s="23"/>
      <c r="U4292" s="23"/>
      <c r="V4292" s="23"/>
      <c r="W4292" s="23"/>
      <c r="X4292" s="23"/>
      <c r="Y4292" s="23"/>
      <c r="Z4292" s="23"/>
    </row>
    <row r="4293" spans="1:26" ht="13">
      <c r="A4293" s="562" t="s">
        <v>9337</v>
      </c>
      <c r="B4293" s="563" t="s">
        <v>9338</v>
      </c>
      <c r="C4293" s="564" t="s">
        <v>2191</v>
      </c>
      <c r="D4293" s="565">
        <v>40679</v>
      </c>
      <c r="E4293" s="565">
        <v>40688</v>
      </c>
      <c r="F4293" s="566">
        <v>15100</v>
      </c>
      <c r="G4293" s="564" t="s">
        <v>1856</v>
      </c>
      <c r="H4293" s="564" t="s">
        <v>1856</v>
      </c>
      <c r="I4293" s="564" t="s">
        <v>9339</v>
      </c>
      <c r="J4293" s="564" t="s">
        <v>1069</v>
      </c>
      <c r="K4293" s="564" t="s">
        <v>1070</v>
      </c>
      <c r="L4293" s="564" t="s">
        <v>2098</v>
      </c>
      <c r="M4293" s="564" t="s">
        <v>2098</v>
      </c>
      <c r="N4293" s="564" t="s">
        <v>1082</v>
      </c>
      <c r="O4293" s="564" t="s">
        <v>2099</v>
      </c>
      <c r="P4293" s="23"/>
      <c r="Q4293" s="23"/>
      <c r="R4293" s="23"/>
      <c r="S4293" s="23"/>
      <c r="T4293" s="23"/>
      <c r="U4293" s="23"/>
      <c r="V4293" s="23"/>
      <c r="W4293" s="23"/>
      <c r="X4293" s="23"/>
      <c r="Y4293" s="23"/>
      <c r="Z4293" s="23"/>
    </row>
    <row r="4294" spans="1:26" ht="13">
      <c r="A4294" s="562" t="s">
        <v>9340</v>
      </c>
      <c r="B4294" s="563" t="s">
        <v>9341</v>
      </c>
      <c r="C4294" s="564" t="s">
        <v>1612</v>
      </c>
      <c r="D4294" s="565">
        <v>40679</v>
      </c>
      <c r="E4294" s="565">
        <v>40694</v>
      </c>
      <c r="F4294" s="566">
        <v>225833</v>
      </c>
      <c r="G4294" s="564" t="s">
        <v>1856</v>
      </c>
      <c r="H4294" s="564" t="s">
        <v>1856</v>
      </c>
      <c r="I4294" s="564" t="s">
        <v>9250</v>
      </c>
      <c r="J4294" s="564" t="s">
        <v>1069</v>
      </c>
      <c r="K4294" s="564" t="s">
        <v>1090</v>
      </c>
      <c r="L4294" s="564" t="s">
        <v>2098</v>
      </c>
      <c r="M4294" s="564" t="s">
        <v>2098</v>
      </c>
      <c r="N4294" s="564" t="s">
        <v>45</v>
      </c>
      <c r="O4294" s="564" t="s">
        <v>2099</v>
      </c>
      <c r="P4294" s="23"/>
      <c r="Q4294" s="23"/>
      <c r="R4294" s="23"/>
      <c r="S4294" s="23"/>
      <c r="T4294" s="23"/>
      <c r="U4294" s="23"/>
      <c r="V4294" s="23"/>
      <c r="W4294" s="23"/>
      <c r="X4294" s="23"/>
      <c r="Y4294" s="23"/>
      <c r="Z4294" s="23"/>
    </row>
    <row r="4295" spans="1:26" ht="13">
      <c r="A4295" s="562" t="s">
        <v>9342</v>
      </c>
      <c r="B4295" s="563" t="s">
        <v>9343</v>
      </c>
      <c r="C4295" s="564" t="s">
        <v>2191</v>
      </c>
      <c r="D4295" s="565">
        <v>40676</v>
      </c>
      <c r="E4295" s="565">
        <v>40690</v>
      </c>
      <c r="F4295" s="566">
        <v>8070000</v>
      </c>
      <c r="G4295" s="564" t="s">
        <v>1157</v>
      </c>
      <c r="H4295" s="564" t="s">
        <v>1157</v>
      </c>
      <c r="I4295" s="564" t="s">
        <v>9344</v>
      </c>
      <c r="J4295" s="564" t="s">
        <v>1069</v>
      </c>
      <c r="K4295" s="564" t="s">
        <v>1205</v>
      </c>
      <c r="L4295" s="564" t="s">
        <v>2098</v>
      </c>
      <c r="M4295" s="564" t="s">
        <v>2098</v>
      </c>
      <c r="N4295" s="564" t="s">
        <v>1082</v>
      </c>
      <c r="O4295" s="564" t="s">
        <v>2099</v>
      </c>
      <c r="P4295" s="23"/>
      <c r="Q4295" s="23"/>
      <c r="R4295" s="23"/>
      <c r="S4295" s="23"/>
      <c r="T4295" s="23"/>
      <c r="U4295" s="23"/>
      <c r="V4295" s="23"/>
      <c r="W4295" s="23"/>
      <c r="X4295" s="23"/>
      <c r="Y4295" s="23"/>
      <c r="Z4295" s="23"/>
    </row>
    <row r="4296" spans="1:26" ht="13">
      <c r="A4296" s="562" t="s">
        <v>9345</v>
      </c>
      <c r="B4296" s="563" t="s">
        <v>8510</v>
      </c>
      <c r="C4296" s="564" t="s">
        <v>1612</v>
      </c>
      <c r="D4296" s="565">
        <v>40675</v>
      </c>
      <c r="E4296" s="565">
        <v>40688</v>
      </c>
      <c r="F4296" s="566">
        <v>755000</v>
      </c>
      <c r="G4296" s="564" t="s">
        <v>337</v>
      </c>
      <c r="H4296" s="564" t="s">
        <v>337</v>
      </c>
      <c r="I4296" s="564" t="s">
        <v>70</v>
      </c>
      <c r="J4296" s="564" t="s">
        <v>1069</v>
      </c>
      <c r="K4296" s="564" t="s">
        <v>1120</v>
      </c>
      <c r="L4296" s="564" t="s">
        <v>2098</v>
      </c>
      <c r="M4296" s="564" t="s">
        <v>2098</v>
      </c>
      <c r="N4296" s="564" t="s">
        <v>70</v>
      </c>
      <c r="O4296" s="564" t="s">
        <v>2099</v>
      </c>
      <c r="P4296" s="23"/>
      <c r="Q4296" s="23"/>
      <c r="R4296" s="23"/>
      <c r="S4296" s="23"/>
      <c r="T4296" s="23"/>
      <c r="U4296" s="23"/>
      <c r="V4296" s="23"/>
      <c r="W4296" s="23"/>
      <c r="X4296" s="23"/>
      <c r="Y4296" s="23"/>
      <c r="Z4296" s="23"/>
    </row>
    <row r="4297" spans="1:26" ht="13">
      <c r="A4297" s="562" t="s">
        <v>9346</v>
      </c>
      <c r="B4297" s="563" t="s">
        <v>9347</v>
      </c>
      <c r="C4297" s="564" t="s">
        <v>1612</v>
      </c>
      <c r="D4297" s="565">
        <v>40674</v>
      </c>
      <c r="E4297" s="565">
        <v>40683</v>
      </c>
      <c r="F4297" s="566">
        <v>500000</v>
      </c>
      <c r="G4297" s="564" t="s">
        <v>337</v>
      </c>
      <c r="H4297" s="564" t="s">
        <v>337</v>
      </c>
      <c r="I4297" s="564" t="s">
        <v>1247</v>
      </c>
      <c r="J4297" s="564" t="s">
        <v>1069</v>
      </c>
      <c r="K4297" s="564" t="s">
        <v>1070</v>
      </c>
      <c r="L4297" s="564" t="s">
        <v>2098</v>
      </c>
      <c r="M4297" s="564" t="s">
        <v>2098</v>
      </c>
      <c r="N4297" s="564" t="s">
        <v>1073</v>
      </c>
      <c r="O4297" s="564" t="s">
        <v>2099</v>
      </c>
      <c r="P4297" s="23"/>
      <c r="Q4297" s="23"/>
      <c r="R4297" s="23"/>
      <c r="S4297" s="23"/>
      <c r="T4297" s="23"/>
      <c r="U4297" s="23"/>
      <c r="V4297" s="23"/>
      <c r="W4297" s="23"/>
      <c r="X4297" s="23"/>
      <c r="Y4297" s="23"/>
      <c r="Z4297" s="23"/>
    </row>
    <row r="4298" spans="1:26" ht="13">
      <c r="A4298" s="562" t="s">
        <v>9348</v>
      </c>
      <c r="B4298" s="563" t="s">
        <v>9349</v>
      </c>
      <c r="C4298" s="564" t="s">
        <v>6860</v>
      </c>
      <c r="D4298" s="565">
        <v>40674</v>
      </c>
      <c r="E4298" s="565">
        <v>40749</v>
      </c>
      <c r="F4298" s="566">
        <v>359400</v>
      </c>
      <c r="G4298" s="564" t="s">
        <v>1116</v>
      </c>
      <c r="H4298" s="564" t="s">
        <v>1116</v>
      </c>
      <c r="I4298" s="564" t="s">
        <v>9350</v>
      </c>
      <c r="J4298" s="564" t="s">
        <v>1069</v>
      </c>
      <c r="K4298" s="564" t="s">
        <v>1070</v>
      </c>
      <c r="L4298" s="564" t="s">
        <v>2098</v>
      </c>
      <c r="M4298" s="564" t="s">
        <v>2098</v>
      </c>
      <c r="N4298" s="564" t="s">
        <v>1082</v>
      </c>
      <c r="O4298" s="564" t="s">
        <v>2099</v>
      </c>
      <c r="P4298" s="23"/>
      <c r="Q4298" s="23"/>
      <c r="R4298" s="23"/>
      <c r="S4298" s="23"/>
      <c r="T4298" s="23"/>
      <c r="U4298" s="23"/>
      <c r="V4298" s="23"/>
      <c r="W4298" s="23"/>
      <c r="X4298" s="23"/>
      <c r="Y4298" s="23"/>
      <c r="Z4298" s="23"/>
    </row>
    <row r="4299" spans="1:26" ht="13">
      <c r="A4299" s="562" t="s">
        <v>9351</v>
      </c>
      <c r="B4299" s="563" t="s">
        <v>9352</v>
      </c>
      <c r="C4299" s="564" t="s">
        <v>1612</v>
      </c>
      <c r="D4299" s="565">
        <v>40669</v>
      </c>
      <c r="E4299" s="565">
        <v>40676</v>
      </c>
      <c r="F4299" s="566">
        <v>5350000</v>
      </c>
      <c r="G4299" s="564" t="s">
        <v>1856</v>
      </c>
      <c r="H4299" s="564" t="s">
        <v>1856</v>
      </c>
      <c r="I4299" s="564" t="s">
        <v>9250</v>
      </c>
      <c r="J4299" s="564" t="s">
        <v>1069</v>
      </c>
      <c r="K4299" s="564" t="s">
        <v>1090</v>
      </c>
      <c r="L4299" s="564" t="s">
        <v>2098</v>
      </c>
      <c r="M4299" s="564" t="s">
        <v>2098</v>
      </c>
      <c r="N4299" s="564" t="s">
        <v>45</v>
      </c>
      <c r="O4299" s="564" t="s">
        <v>2099</v>
      </c>
      <c r="P4299" s="23"/>
      <c r="Q4299" s="23"/>
      <c r="R4299" s="23"/>
      <c r="S4299" s="23"/>
      <c r="T4299" s="23"/>
      <c r="U4299" s="23"/>
      <c r="V4299" s="23"/>
      <c r="W4299" s="23"/>
      <c r="X4299" s="23"/>
      <c r="Y4299" s="23"/>
      <c r="Z4299" s="23"/>
    </row>
    <row r="4300" spans="1:26" ht="13">
      <c r="A4300" s="562" t="s">
        <v>9353</v>
      </c>
      <c r="B4300" s="563" t="s">
        <v>9354</v>
      </c>
      <c r="C4300" s="564" t="s">
        <v>1612</v>
      </c>
      <c r="D4300" s="565">
        <v>40667</v>
      </c>
      <c r="E4300" s="565">
        <v>40683</v>
      </c>
      <c r="F4300" s="566">
        <v>715000</v>
      </c>
      <c r="G4300" s="564" t="s">
        <v>337</v>
      </c>
      <c r="H4300" s="564" t="s">
        <v>337</v>
      </c>
      <c r="I4300" s="564" t="s">
        <v>64</v>
      </c>
      <c r="J4300" s="564" t="s">
        <v>1069</v>
      </c>
      <c r="K4300" s="564" t="s">
        <v>1090</v>
      </c>
      <c r="L4300" s="564" t="s">
        <v>2098</v>
      </c>
      <c r="M4300" s="564" t="s">
        <v>2098</v>
      </c>
      <c r="N4300" s="564" t="s">
        <v>64</v>
      </c>
      <c r="O4300" s="564" t="s">
        <v>2099</v>
      </c>
      <c r="P4300" s="23"/>
      <c r="Q4300" s="23"/>
      <c r="R4300" s="23"/>
      <c r="S4300" s="23"/>
      <c r="T4300" s="23"/>
      <c r="U4300" s="23"/>
      <c r="V4300" s="23"/>
      <c r="W4300" s="23"/>
      <c r="X4300" s="23"/>
      <c r="Y4300" s="23"/>
      <c r="Z4300" s="23"/>
    </row>
    <row r="4301" spans="1:26" ht="13">
      <c r="A4301" s="562" t="s">
        <v>9355</v>
      </c>
      <c r="B4301" s="563" t="s">
        <v>9356</v>
      </c>
      <c r="C4301" s="564" t="s">
        <v>1612</v>
      </c>
      <c r="D4301" s="565">
        <v>40666</v>
      </c>
      <c r="E4301" s="565">
        <v>40676</v>
      </c>
      <c r="F4301" s="566">
        <v>745000</v>
      </c>
      <c r="G4301" s="564" t="s">
        <v>337</v>
      </c>
      <c r="H4301" s="564" t="s">
        <v>337</v>
      </c>
      <c r="I4301" s="564" t="s">
        <v>802</v>
      </c>
      <c r="J4301" s="564" t="s">
        <v>1069</v>
      </c>
      <c r="K4301" s="564" t="s">
        <v>1198</v>
      </c>
      <c r="L4301" s="564" t="s">
        <v>2098</v>
      </c>
      <c r="M4301" s="564" t="s">
        <v>2098</v>
      </c>
      <c r="N4301" s="564" t="s">
        <v>132</v>
      </c>
      <c r="O4301" s="564" t="s">
        <v>2099</v>
      </c>
      <c r="P4301" s="23"/>
      <c r="Q4301" s="23"/>
      <c r="R4301" s="23"/>
      <c r="S4301" s="23"/>
      <c r="T4301" s="23"/>
      <c r="U4301" s="23"/>
      <c r="V4301" s="23"/>
      <c r="W4301" s="23"/>
      <c r="X4301" s="23"/>
      <c r="Y4301" s="23"/>
      <c r="Z4301" s="23"/>
    </row>
    <row r="4302" spans="1:26" ht="13">
      <c r="A4302" s="562" t="s">
        <v>9357</v>
      </c>
      <c r="B4302" s="563" t="s">
        <v>9130</v>
      </c>
      <c r="C4302" s="564" t="s">
        <v>1612</v>
      </c>
      <c r="D4302" s="565">
        <v>40667</v>
      </c>
      <c r="E4302" s="565">
        <v>40756</v>
      </c>
      <c r="F4302" s="566">
        <v>49500</v>
      </c>
      <c r="G4302" s="564" t="s">
        <v>1636</v>
      </c>
      <c r="H4302" s="564" t="s">
        <v>1636</v>
      </c>
      <c r="I4302" s="564" t="s">
        <v>45</v>
      </c>
      <c r="J4302" s="564" t="s">
        <v>1069</v>
      </c>
      <c r="K4302" s="564" t="s">
        <v>1090</v>
      </c>
      <c r="L4302" s="564" t="s">
        <v>2098</v>
      </c>
      <c r="M4302" s="564" t="s">
        <v>2098</v>
      </c>
      <c r="N4302" s="564" t="s">
        <v>45</v>
      </c>
      <c r="O4302" s="564" t="s">
        <v>2099</v>
      </c>
      <c r="P4302" s="23"/>
      <c r="Q4302" s="23"/>
      <c r="R4302" s="23"/>
      <c r="S4302" s="23"/>
      <c r="T4302" s="23"/>
      <c r="U4302" s="23"/>
      <c r="V4302" s="23"/>
      <c r="W4302" s="23"/>
      <c r="X4302" s="23"/>
      <c r="Y4302" s="23"/>
      <c r="Z4302" s="23"/>
    </row>
    <row r="4303" spans="1:26" ht="13">
      <c r="A4303" s="562" t="s">
        <v>9358</v>
      </c>
      <c r="B4303" s="563" t="s">
        <v>9359</v>
      </c>
      <c r="C4303" s="564" t="s">
        <v>1612</v>
      </c>
      <c r="D4303" s="565">
        <v>40666</v>
      </c>
      <c r="E4303" s="565">
        <v>40672</v>
      </c>
      <c r="F4303" s="566">
        <v>7150000</v>
      </c>
      <c r="G4303" s="564" t="s">
        <v>337</v>
      </c>
      <c r="H4303" s="564" t="s">
        <v>337</v>
      </c>
      <c r="I4303" s="564" t="s">
        <v>1821</v>
      </c>
      <c r="J4303" s="564" t="s">
        <v>1069</v>
      </c>
      <c r="K4303" s="564" t="s">
        <v>1120</v>
      </c>
      <c r="L4303" s="564" t="s">
        <v>2098</v>
      </c>
      <c r="M4303" s="564" t="s">
        <v>2098</v>
      </c>
      <c r="N4303" s="564" t="s">
        <v>1073</v>
      </c>
      <c r="O4303" s="564" t="s">
        <v>2099</v>
      </c>
      <c r="P4303" s="23"/>
      <c r="Q4303" s="23"/>
      <c r="R4303" s="23"/>
      <c r="S4303" s="23"/>
      <c r="T4303" s="23"/>
      <c r="U4303" s="23"/>
      <c r="V4303" s="23"/>
      <c r="W4303" s="23"/>
      <c r="X4303" s="23"/>
      <c r="Y4303" s="23"/>
      <c r="Z4303" s="23"/>
    </row>
    <row r="4304" spans="1:26" ht="13">
      <c r="A4304" s="562" t="s">
        <v>9360</v>
      </c>
      <c r="B4304" s="563" t="s">
        <v>8905</v>
      </c>
      <c r="C4304" s="564" t="s">
        <v>1612</v>
      </c>
      <c r="D4304" s="565">
        <v>40665</v>
      </c>
      <c r="E4304" s="565">
        <v>40669</v>
      </c>
      <c r="F4304" s="566">
        <v>76429</v>
      </c>
      <c r="G4304" s="564" t="s">
        <v>8532</v>
      </c>
      <c r="H4304" s="564" t="s">
        <v>8532</v>
      </c>
      <c r="I4304" s="564" t="s">
        <v>45</v>
      </c>
      <c r="J4304" s="564" t="s">
        <v>1069</v>
      </c>
      <c r="K4304" s="564" t="s">
        <v>1090</v>
      </c>
      <c r="L4304" s="564" t="s">
        <v>2098</v>
      </c>
      <c r="M4304" s="564" t="s">
        <v>2098</v>
      </c>
      <c r="N4304" s="564" t="s">
        <v>45</v>
      </c>
      <c r="O4304" s="564" t="s">
        <v>2099</v>
      </c>
      <c r="P4304" s="23"/>
      <c r="Q4304" s="23"/>
      <c r="R4304" s="23"/>
      <c r="S4304" s="23"/>
      <c r="T4304" s="23"/>
      <c r="U4304" s="23"/>
      <c r="V4304" s="23"/>
      <c r="W4304" s="23"/>
      <c r="X4304" s="23"/>
      <c r="Y4304" s="23"/>
      <c r="Z4304" s="23"/>
    </row>
    <row r="4305" spans="1:26" ht="13">
      <c r="A4305" s="562" t="s">
        <v>9361</v>
      </c>
      <c r="B4305" s="563" t="s">
        <v>9362</v>
      </c>
      <c r="C4305" s="564" t="s">
        <v>2191</v>
      </c>
      <c r="D4305" s="565">
        <v>40662</v>
      </c>
      <c r="E4305" s="565">
        <v>40694</v>
      </c>
      <c r="F4305" s="566">
        <v>600000000</v>
      </c>
      <c r="G4305" s="564" t="s">
        <v>1529</v>
      </c>
      <c r="H4305" s="564" t="s">
        <v>1529</v>
      </c>
      <c r="I4305" s="564" t="s">
        <v>8723</v>
      </c>
      <c r="J4305" s="564" t="s">
        <v>1069</v>
      </c>
      <c r="K4305" s="564" t="s">
        <v>1070</v>
      </c>
      <c r="L4305" s="564" t="s">
        <v>2098</v>
      </c>
      <c r="M4305" s="564" t="s">
        <v>2098</v>
      </c>
      <c r="N4305" s="564" t="s">
        <v>1082</v>
      </c>
      <c r="O4305" s="564" t="s">
        <v>2099</v>
      </c>
      <c r="P4305" s="23"/>
      <c r="Q4305" s="23"/>
      <c r="R4305" s="23"/>
      <c r="S4305" s="23"/>
      <c r="T4305" s="23"/>
      <c r="U4305" s="23"/>
      <c r="V4305" s="23"/>
      <c r="W4305" s="23"/>
      <c r="X4305" s="23"/>
      <c r="Y4305" s="23"/>
      <c r="Z4305" s="23"/>
    </row>
    <row r="4306" spans="1:26" ht="13">
      <c r="A4306" s="562" t="s">
        <v>9363</v>
      </c>
      <c r="B4306" s="563" t="s">
        <v>9364</v>
      </c>
      <c r="C4306" s="564" t="s">
        <v>1612</v>
      </c>
      <c r="D4306" s="565">
        <v>40662</v>
      </c>
      <c r="E4306" s="565">
        <v>40676</v>
      </c>
      <c r="F4306" s="567">
        <v>130</v>
      </c>
      <c r="G4306" s="564" t="s">
        <v>337</v>
      </c>
      <c r="H4306" s="564" t="s">
        <v>337</v>
      </c>
      <c r="I4306" s="564" t="s">
        <v>1161</v>
      </c>
      <c r="J4306" s="564" t="s">
        <v>1069</v>
      </c>
      <c r="K4306" s="564" t="s">
        <v>1090</v>
      </c>
      <c r="L4306" s="564" t="s">
        <v>2098</v>
      </c>
      <c r="M4306" s="564" t="s">
        <v>2098</v>
      </c>
      <c r="N4306" s="564" t="s">
        <v>1073</v>
      </c>
      <c r="O4306" s="564" t="s">
        <v>2099</v>
      </c>
      <c r="P4306" s="23"/>
      <c r="Q4306" s="23"/>
      <c r="R4306" s="23"/>
      <c r="S4306" s="23"/>
      <c r="T4306" s="23"/>
      <c r="U4306" s="23"/>
      <c r="V4306" s="23"/>
      <c r="W4306" s="23"/>
      <c r="X4306" s="23"/>
      <c r="Y4306" s="23"/>
      <c r="Z4306" s="23"/>
    </row>
    <row r="4307" spans="1:26" ht="13">
      <c r="A4307" s="562" t="s">
        <v>9365</v>
      </c>
      <c r="B4307" s="563" t="s">
        <v>9366</v>
      </c>
      <c r="C4307" s="564" t="s">
        <v>1612</v>
      </c>
      <c r="D4307" s="565">
        <v>40662</v>
      </c>
      <c r="E4307" s="565">
        <v>40663</v>
      </c>
      <c r="F4307" s="566">
        <v>61200</v>
      </c>
      <c r="G4307" s="564" t="s">
        <v>8532</v>
      </c>
      <c r="H4307" s="564" t="s">
        <v>297</v>
      </c>
      <c r="I4307" s="564" t="s">
        <v>45</v>
      </c>
      <c r="J4307" s="564" t="s">
        <v>1069</v>
      </c>
      <c r="K4307" s="564" t="s">
        <v>1090</v>
      </c>
      <c r="L4307" s="564" t="s">
        <v>2098</v>
      </c>
      <c r="M4307" s="564" t="s">
        <v>2098</v>
      </c>
      <c r="N4307" s="564" t="s">
        <v>45</v>
      </c>
      <c r="O4307" s="564" t="s">
        <v>2099</v>
      </c>
      <c r="P4307" s="23"/>
      <c r="Q4307" s="23"/>
      <c r="R4307" s="23"/>
      <c r="S4307" s="23"/>
      <c r="T4307" s="23"/>
      <c r="U4307" s="23"/>
      <c r="V4307" s="23"/>
      <c r="W4307" s="23"/>
      <c r="X4307" s="23"/>
      <c r="Y4307" s="23"/>
      <c r="Z4307" s="23"/>
    </row>
    <row r="4308" spans="1:26" ht="13">
      <c r="A4308" s="562" t="s">
        <v>9367</v>
      </c>
      <c r="B4308" s="563" t="s">
        <v>4045</v>
      </c>
      <c r="C4308" s="564" t="s">
        <v>1612</v>
      </c>
      <c r="D4308" s="565">
        <v>40658</v>
      </c>
      <c r="E4308" s="565">
        <v>40662</v>
      </c>
      <c r="F4308" s="566">
        <v>56000</v>
      </c>
      <c r="G4308" s="564" t="s">
        <v>337</v>
      </c>
      <c r="H4308" s="564" t="s">
        <v>337</v>
      </c>
      <c r="I4308" s="564" t="s">
        <v>802</v>
      </c>
      <c r="J4308" s="564" t="s">
        <v>1069</v>
      </c>
      <c r="K4308" s="564" t="s">
        <v>1198</v>
      </c>
      <c r="L4308" s="564" t="s">
        <v>2098</v>
      </c>
      <c r="M4308" s="564" t="s">
        <v>2098</v>
      </c>
      <c r="N4308" s="564" t="s">
        <v>132</v>
      </c>
      <c r="O4308" s="564" t="s">
        <v>2099</v>
      </c>
      <c r="P4308" s="23"/>
      <c r="Q4308" s="23"/>
      <c r="R4308" s="23"/>
      <c r="S4308" s="23"/>
      <c r="T4308" s="23"/>
      <c r="U4308" s="23"/>
      <c r="V4308" s="23"/>
      <c r="W4308" s="23"/>
      <c r="X4308" s="23"/>
      <c r="Y4308" s="23"/>
      <c r="Z4308" s="23"/>
    </row>
    <row r="4309" spans="1:26" ht="13">
      <c r="A4309" s="562" t="s">
        <v>9368</v>
      </c>
      <c r="B4309" s="563" t="s">
        <v>8510</v>
      </c>
      <c r="C4309" s="564" t="s">
        <v>1612</v>
      </c>
      <c r="D4309" s="565">
        <v>40651</v>
      </c>
      <c r="E4309" s="565">
        <v>40653</v>
      </c>
      <c r="F4309" s="567">
        <v>815</v>
      </c>
      <c r="G4309" s="564" t="s">
        <v>337</v>
      </c>
      <c r="H4309" s="564" t="s">
        <v>337</v>
      </c>
      <c r="I4309" s="564" t="s">
        <v>70</v>
      </c>
      <c r="J4309" s="564" t="s">
        <v>1069</v>
      </c>
      <c r="K4309" s="564" t="s">
        <v>1120</v>
      </c>
      <c r="L4309" s="564" t="s">
        <v>2098</v>
      </c>
      <c r="M4309" s="564" t="s">
        <v>2098</v>
      </c>
      <c r="N4309" s="564" t="s">
        <v>70</v>
      </c>
      <c r="O4309" s="564" t="s">
        <v>2099</v>
      </c>
      <c r="P4309" s="23"/>
      <c r="Q4309" s="23"/>
      <c r="R4309" s="23"/>
      <c r="S4309" s="23"/>
      <c r="T4309" s="23"/>
      <c r="U4309" s="23"/>
      <c r="V4309" s="23"/>
      <c r="W4309" s="23"/>
      <c r="X4309" s="23"/>
      <c r="Y4309" s="23"/>
      <c r="Z4309" s="23"/>
    </row>
    <row r="4310" spans="1:26" ht="13">
      <c r="A4310" s="562" t="s">
        <v>9369</v>
      </c>
      <c r="B4310" s="563" t="s">
        <v>9316</v>
      </c>
      <c r="C4310" s="564" t="s">
        <v>1612</v>
      </c>
      <c r="D4310" s="565">
        <v>40645</v>
      </c>
      <c r="E4310" s="565">
        <v>40648</v>
      </c>
      <c r="F4310" s="567">
        <v>230</v>
      </c>
      <c r="G4310" s="564" t="s">
        <v>337</v>
      </c>
      <c r="H4310" s="564" t="s">
        <v>337</v>
      </c>
      <c r="I4310" s="564" t="s">
        <v>802</v>
      </c>
      <c r="J4310" s="564" t="s">
        <v>1069</v>
      </c>
      <c r="K4310" s="564" t="s">
        <v>1198</v>
      </c>
      <c r="L4310" s="564" t="s">
        <v>2098</v>
      </c>
      <c r="M4310" s="564" t="s">
        <v>2098</v>
      </c>
      <c r="N4310" s="564" t="s">
        <v>132</v>
      </c>
      <c r="O4310" s="564" t="s">
        <v>2099</v>
      </c>
      <c r="P4310" s="23"/>
      <c r="Q4310" s="23"/>
      <c r="R4310" s="23"/>
      <c r="S4310" s="23"/>
      <c r="T4310" s="23"/>
      <c r="U4310" s="23"/>
      <c r="V4310" s="23"/>
      <c r="W4310" s="23"/>
      <c r="X4310" s="23"/>
      <c r="Y4310" s="23"/>
      <c r="Z4310" s="23"/>
    </row>
    <row r="4311" spans="1:26" ht="13">
      <c r="A4311" s="562" t="s">
        <v>9370</v>
      </c>
      <c r="B4311" s="563" t="s">
        <v>9371</v>
      </c>
      <c r="C4311" s="564" t="s">
        <v>1612</v>
      </c>
      <c r="D4311" s="565">
        <v>40648</v>
      </c>
      <c r="E4311" s="565">
        <v>40753</v>
      </c>
      <c r="F4311" s="566">
        <v>44700000</v>
      </c>
      <c r="G4311" s="564" t="s">
        <v>1116</v>
      </c>
      <c r="H4311" s="564" t="s">
        <v>1116</v>
      </c>
      <c r="I4311" s="564" t="s">
        <v>45</v>
      </c>
      <c r="J4311" s="564" t="s">
        <v>1069</v>
      </c>
      <c r="K4311" s="564" t="s">
        <v>1090</v>
      </c>
      <c r="L4311" s="564" t="s">
        <v>2098</v>
      </c>
      <c r="M4311" s="564" t="s">
        <v>2098</v>
      </c>
      <c r="N4311" s="564" t="s">
        <v>45</v>
      </c>
      <c r="O4311" s="564" t="s">
        <v>2099</v>
      </c>
      <c r="P4311" s="23"/>
      <c r="Q4311" s="23"/>
      <c r="R4311" s="23"/>
      <c r="S4311" s="23"/>
      <c r="T4311" s="23"/>
      <c r="U4311" s="23"/>
      <c r="V4311" s="23"/>
      <c r="W4311" s="23"/>
      <c r="X4311" s="23"/>
      <c r="Y4311" s="23"/>
      <c r="Z4311" s="23"/>
    </row>
    <row r="4312" spans="1:26" ht="13">
      <c r="A4312" s="562" t="s">
        <v>9372</v>
      </c>
      <c r="B4312" s="563" t="s">
        <v>9373</v>
      </c>
      <c r="C4312" s="564" t="s">
        <v>1612</v>
      </c>
      <c r="D4312" s="565">
        <v>40646</v>
      </c>
      <c r="E4312" s="565">
        <v>40655</v>
      </c>
      <c r="F4312" s="566">
        <v>1430</v>
      </c>
      <c r="G4312" s="564" t="s">
        <v>337</v>
      </c>
      <c r="H4312" s="564" t="s">
        <v>337</v>
      </c>
      <c r="I4312" s="564" t="s">
        <v>64</v>
      </c>
      <c r="J4312" s="564" t="s">
        <v>1069</v>
      </c>
      <c r="K4312" s="564" t="s">
        <v>1090</v>
      </c>
      <c r="L4312" s="564" t="s">
        <v>2098</v>
      </c>
      <c r="M4312" s="564" t="s">
        <v>2098</v>
      </c>
      <c r="N4312" s="564" t="s">
        <v>64</v>
      </c>
      <c r="O4312" s="564" t="s">
        <v>2099</v>
      </c>
      <c r="P4312" s="23"/>
      <c r="Q4312" s="23"/>
      <c r="R4312" s="23"/>
      <c r="S4312" s="23"/>
      <c r="T4312" s="23"/>
      <c r="U4312" s="23"/>
      <c r="V4312" s="23"/>
      <c r="W4312" s="23"/>
      <c r="X4312" s="23"/>
      <c r="Y4312" s="23"/>
      <c r="Z4312" s="23"/>
    </row>
    <row r="4313" spans="1:26" ht="13">
      <c r="A4313" s="562" t="s">
        <v>9374</v>
      </c>
      <c r="B4313" s="563" t="s">
        <v>9375</v>
      </c>
      <c r="C4313" s="564" t="s">
        <v>1612</v>
      </c>
      <c r="D4313" s="565">
        <v>40648</v>
      </c>
      <c r="E4313" s="565">
        <v>40694</v>
      </c>
      <c r="F4313" s="566">
        <v>7360</v>
      </c>
      <c r="G4313" s="564" t="s">
        <v>1640</v>
      </c>
      <c r="H4313" s="564" t="s">
        <v>1640</v>
      </c>
      <c r="I4313" s="564" t="s">
        <v>45</v>
      </c>
      <c r="J4313" s="564" t="s">
        <v>1069</v>
      </c>
      <c r="K4313" s="564" t="s">
        <v>1090</v>
      </c>
      <c r="L4313" s="564" t="s">
        <v>2098</v>
      </c>
      <c r="M4313" s="564" t="s">
        <v>2098</v>
      </c>
      <c r="N4313" s="564" t="s">
        <v>45</v>
      </c>
      <c r="O4313" s="564" t="s">
        <v>2099</v>
      </c>
      <c r="P4313" s="23"/>
      <c r="Q4313" s="23"/>
      <c r="R4313" s="23"/>
      <c r="S4313" s="23"/>
      <c r="T4313" s="23"/>
      <c r="U4313" s="23"/>
      <c r="V4313" s="23"/>
      <c r="W4313" s="23"/>
      <c r="X4313" s="23"/>
      <c r="Y4313" s="23"/>
      <c r="Z4313" s="23"/>
    </row>
    <row r="4314" spans="1:26" ht="13">
      <c r="A4314" s="562" t="s">
        <v>9376</v>
      </c>
      <c r="B4314" s="563" t="s">
        <v>9377</v>
      </c>
      <c r="C4314" s="564" t="s">
        <v>1612</v>
      </c>
      <c r="D4314" s="565">
        <v>40644</v>
      </c>
      <c r="E4314" s="565">
        <v>40653</v>
      </c>
      <c r="F4314" s="566">
        <v>1831500</v>
      </c>
      <c r="G4314" s="564" t="s">
        <v>337</v>
      </c>
      <c r="H4314" s="564" t="s">
        <v>337</v>
      </c>
      <c r="I4314" s="564" t="s">
        <v>1821</v>
      </c>
      <c r="J4314" s="564" t="s">
        <v>1069</v>
      </c>
      <c r="K4314" s="564" t="s">
        <v>1120</v>
      </c>
      <c r="L4314" s="564" t="s">
        <v>2098</v>
      </c>
      <c r="M4314" s="564" t="s">
        <v>2098</v>
      </c>
      <c r="N4314" s="564" t="s">
        <v>1073</v>
      </c>
      <c r="O4314" s="564" t="s">
        <v>2099</v>
      </c>
      <c r="P4314" s="23"/>
      <c r="Q4314" s="23"/>
      <c r="R4314" s="23"/>
      <c r="S4314" s="23"/>
      <c r="T4314" s="23"/>
      <c r="U4314" s="23"/>
      <c r="V4314" s="23"/>
      <c r="W4314" s="23"/>
      <c r="X4314" s="23"/>
      <c r="Y4314" s="23"/>
      <c r="Z4314" s="23"/>
    </row>
    <row r="4315" spans="1:26" ht="13">
      <c r="A4315" s="562" t="s">
        <v>9378</v>
      </c>
      <c r="B4315" s="563" t="s">
        <v>9379</v>
      </c>
      <c r="C4315" s="564" t="s">
        <v>1612</v>
      </c>
      <c r="D4315" s="565">
        <v>40634</v>
      </c>
      <c r="E4315" s="565">
        <v>40633</v>
      </c>
      <c r="F4315" s="566">
        <v>6840</v>
      </c>
      <c r="G4315" s="564" t="s">
        <v>337</v>
      </c>
      <c r="H4315" s="564" t="s">
        <v>337</v>
      </c>
      <c r="I4315" s="564" t="s">
        <v>802</v>
      </c>
      <c r="J4315" s="564" t="s">
        <v>1069</v>
      </c>
      <c r="K4315" s="564" t="s">
        <v>1198</v>
      </c>
      <c r="L4315" s="564" t="s">
        <v>2098</v>
      </c>
      <c r="M4315" s="564" t="s">
        <v>2098</v>
      </c>
      <c r="N4315" s="564" t="s">
        <v>132</v>
      </c>
      <c r="O4315" s="564" t="s">
        <v>2099</v>
      </c>
      <c r="P4315" s="23"/>
      <c r="Q4315" s="23"/>
      <c r="R4315" s="23"/>
      <c r="S4315" s="23"/>
      <c r="T4315" s="23"/>
      <c r="U4315" s="23"/>
      <c r="V4315" s="23"/>
      <c r="W4315" s="23"/>
      <c r="X4315" s="23"/>
      <c r="Y4315" s="23"/>
      <c r="Z4315" s="23"/>
    </row>
    <row r="4316" spans="1:26" ht="13">
      <c r="A4316" s="562" t="s">
        <v>9380</v>
      </c>
      <c r="B4316" s="563" t="s">
        <v>9381</v>
      </c>
      <c r="C4316" s="564" t="s">
        <v>1612</v>
      </c>
      <c r="D4316" s="565">
        <v>40634</v>
      </c>
      <c r="E4316" s="565">
        <v>40648</v>
      </c>
      <c r="F4316" s="567">
        <v>100</v>
      </c>
      <c r="G4316" s="564" t="s">
        <v>337</v>
      </c>
      <c r="H4316" s="564" t="s">
        <v>337</v>
      </c>
      <c r="I4316" s="564" t="s">
        <v>1934</v>
      </c>
      <c r="J4316" s="564" t="s">
        <v>1069</v>
      </c>
      <c r="K4316" s="564" t="s">
        <v>1070</v>
      </c>
      <c r="L4316" s="564" t="s">
        <v>2098</v>
      </c>
      <c r="M4316" s="564" t="s">
        <v>2098</v>
      </c>
      <c r="N4316" s="564" t="s">
        <v>1073</v>
      </c>
      <c r="O4316" s="564" t="s">
        <v>2099</v>
      </c>
      <c r="P4316" s="23"/>
      <c r="Q4316" s="23"/>
      <c r="R4316" s="23"/>
      <c r="S4316" s="23"/>
      <c r="T4316" s="23"/>
      <c r="U4316" s="23"/>
      <c r="V4316" s="23"/>
      <c r="W4316" s="23"/>
      <c r="X4316" s="23"/>
      <c r="Y4316" s="23"/>
      <c r="Z4316" s="23"/>
    </row>
    <row r="4317" spans="1:26" ht="13">
      <c r="A4317" s="562" t="s">
        <v>9382</v>
      </c>
      <c r="B4317" s="563" t="s">
        <v>9182</v>
      </c>
      <c r="C4317" s="564" t="s">
        <v>1612</v>
      </c>
      <c r="D4317" s="565">
        <v>40632</v>
      </c>
      <c r="E4317" s="565">
        <v>40711</v>
      </c>
      <c r="F4317" s="566">
        <v>47456</v>
      </c>
      <c r="G4317" s="564" t="s">
        <v>337</v>
      </c>
      <c r="H4317" s="564" t="s">
        <v>337</v>
      </c>
      <c r="I4317" s="564" t="s">
        <v>45</v>
      </c>
      <c r="J4317" s="564" t="s">
        <v>1069</v>
      </c>
      <c r="K4317" s="564" t="s">
        <v>1090</v>
      </c>
      <c r="L4317" s="564" t="s">
        <v>2098</v>
      </c>
      <c r="M4317" s="564" t="s">
        <v>2098</v>
      </c>
      <c r="N4317" s="564" t="s">
        <v>45</v>
      </c>
      <c r="O4317" s="564" t="s">
        <v>2099</v>
      </c>
      <c r="P4317" s="23"/>
      <c r="Q4317" s="23"/>
      <c r="R4317" s="23"/>
      <c r="S4317" s="23"/>
      <c r="T4317" s="23"/>
      <c r="U4317" s="23"/>
      <c r="V4317" s="23"/>
      <c r="W4317" s="23"/>
      <c r="X4317" s="23"/>
      <c r="Y4317" s="23"/>
      <c r="Z4317" s="23"/>
    </row>
    <row r="4318" spans="1:26" ht="13">
      <c r="A4318" s="562" t="s">
        <v>9383</v>
      </c>
      <c r="B4318" s="563" t="s">
        <v>9384</v>
      </c>
      <c r="C4318" s="564" t="s">
        <v>1612</v>
      </c>
      <c r="D4318" s="565">
        <v>40627</v>
      </c>
      <c r="E4318" s="565">
        <v>40633</v>
      </c>
      <c r="F4318" s="566">
        <v>593642</v>
      </c>
      <c r="G4318" s="564" t="s">
        <v>297</v>
      </c>
      <c r="H4318" s="564" t="s">
        <v>297</v>
      </c>
      <c r="I4318" s="564" t="s">
        <v>7259</v>
      </c>
      <c r="J4318" s="564" t="s">
        <v>1069</v>
      </c>
      <c r="K4318" s="564" t="s">
        <v>1070</v>
      </c>
      <c r="L4318" s="564" t="s">
        <v>2098</v>
      </c>
      <c r="M4318" s="564" t="s">
        <v>2098</v>
      </c>
      <c r="N4318" s="564" t="s">
        <v>1082</v>
      </c>
      <c r="O4318" s="564" t="s">
        <v>2099</v>
      </c>
      <c r="P4318" s="23"/>
      <c r="Q4318" s="23"/>
      <c r="R4318" s="23"/>
      <c r="S4318" s="23"/>
      <c r="T4318" s="23"/>
      <c r="U4318" s="23"/>
      <c r="V4318" s="23"/>
      <c r="W4318" s="23"/>
      <c r="X4318" s="23"/>
      <c r="Y4318" s="23"/>
      <c r="Z4318" s="23"/>
    </row>
    <row r="4319" spans="1:26" ht="13">
      <c r="A4319" s="562" t="s">
        <v>9385</v>
      </c>
      <c r="B4319" s="563" t="s">
        <v>9291</v>
      </c>
      <c r="C4319" s="564" t="s">
        <v>1612</v>
      </c>
      <c r="D4319" s="565">
        <v>40625</v>
      </c>
      <c r="E4319" s="565">
        <v>40633</v>
      </c>
      <c r="F4319" s="566">
        <v>295000</v>
      </c>
      <c r="G4319" s="564" t="s">
        <v>1157</v>
      </c>
      <c r="H4319" s="564" t="s">
        <v>1157</v>
      </c>
      <c r="I4319" s="564" t="s">
        <v>70</v>
      </c>
      <c r="J4319" s="564" t="s">
        <v>1069</v>
      </c>
      <c r="K4319" s="564" t="s">
        <v>1120</v>
      </c>
      <c r="L4319" s="564" t="s">
        <v>2098</v>
      </c>
      <c r="M4319" s="564" t="s">
        <v>2098</v>
      </c>
      <c r="N4319" s="564" t="s">
        <v>70</v>
      </c>
      <c r="O4319" s="564" t="s">
        <v>2099</v>
      </c>
      <c r="P4319" s="23"/>
      <c r="Q4319" s="23"/>
      <c r="R4319" s="23"/>
      <c r="S4319" s="23"/>
      <c r="T4319" s="23"/>
      <c r="U4319" s="23"/>
      <c r="V4319" s="23"/>
      <c r="W4319" s="23"/>
      <c r="X4319" s="23"/>
      <c r="Y4319" s="23"/>
      <c r="Z4319" s="23"/>
    </row>
    <row r="4320" spans="1:26" ht="13">
      <c r="A4320" s="562" t="s">
        <v>9386</v>
      </c>
      <c r="B4320" s="563" t="s">
        <v>8630</v>
      </c>
      <c r="C4320" s="564" t="s">
        <v>1612</v>
      </c>
      <c r="D4320" s="565">
        <v>40626</v>
      </c>
      <c r="E4320" s="565">
        <v>40633</v>
      </c>
      <c r="F4320" s="566">
        <v>2000</v>
      </c>
      <c r="G4320" s="564" t="s">
        <v>337</v>
      </c>
      <c r="H4320" s="564" t="s">
        <v>337</v>
      </c>
      <c r="I4320" s="564" t="s">
        <v>2073</v>
      </c>
      <c r="J4320" s="564" t="s">
        <v>1069</v>
      </c>
      <c r="K4320" s="564" t="s">
        <v>1105</v>
      </c>
      <c r="L4320" s="564" t="s">
        <v>2098</v>
      </c>
      <c r="M4320" s="564" t="s">
        <v>2098</v>
      </c>
      <c r="N4320" s="564" t="s">
        <v>225</v>
      </c>
      <c r="O4320" s="564" t="s">
        <v>2099</v>
      </c>
      <c r="P4320" s="23"/>
      <c r="Q4320" s="23"/>
      <c r="R4320" s="23"/>
      <c r="S4320" s="23"/>
      <c r="T4320" s="23"/>
      <c r="U4320" s="23"/>
      <c r="V4320" s="23"/>
      <c r="W4320" s="23"/>
      <c r="X4320" s="23"/>
      <c r="Y4320" s="23"/>
      <c r="Z4320" s="23"/>
    </row>
    <row r="4321" spans="1:26" ht="13">
      <c r="A4321" s="562" t="s">
        <v>9387</v>
      </c>
      <c r="B4321" s="563" t="s">
        <v>9388</v>
      </c>
      <c r="C4321" s="564" t="s">
        <v>1612</v>
      </c>
      <c r="D4321" s="565">
        <v>40623</v>
      </c>
      <c r="E4321" s="565">
        <v>40633</v>
      </c>
      <c r="F4321" s="566">
        <v>14450</v>
      </c>
      <c r="G4321" s="564" t="s">
        <v>8532</v>
      </c>
      <c r="H4321" s="564" t="s">
        <v>297</v>
      </c>
      <c r="I4321" s="564" t="s">
        <v>45</v>
      </c>
      <c r="J4321" s="564" t="s">
        <v>1069</v>
      </c>
      <c r="K4321" s="564" t="s">
        <v>1090</v>
      </c>
      <c r="L4321" s="564" t="s">
        <v>2098</v>
      </c>
      <c r="M4321" s="564" t="s">
        <v>2098</v>
      </c>
      <c r="N4321" s="564" t="s">
        <v>45</v>
      </c>
      <c r="O4321" s="564" t="s">
        <v>2099</v>
      </c>
      <c r="P4321" s="23"/>
      <c r="Q4321" s="23"/>
      <c r="R4321" s="23"/>
      <c r="S4321" s="23"/>
      <c r="T4321" s="23"/>
      <c r="U4321" s="23"/>
      <c r="V4321" s="23"/>
      <c r="W4321" s="23"/>
      <c r="X4321" s="23"/>
      <c r="Y4321" s="23"/>
      <c r="Z4321" s="23"/>
    </row>
    <row r="4322" spans="1:26" ht="13">
      <c r="A4322" s="562" t="s">
        <v>9389</v>
      </c>
      <c r="B4322" s="563" t="s">
        <v>9390</v>
      </c>
      <c r="C4322" s="564" t="s">
        <v>1612</v>
      </c>
      <c r="D4322" s="565">
        <v>40623</v>
      </c>
      <c r="E4322" s="565">
        <v>40633</v>
      </c>
      <c r="F4322" s="566">
        <v>19602</v>
      </c>
      <c r="G4322" s="564" t="s">
        <v>8532</v>
      </c>
      <c r="H4322" s="564" t="s">
        <v>8532</v>
      </c>
      <c r="I4322" s="564" t="s">
        <v>45</v>
      </c>
      <c r="J4322" s="564" t="s">
        <v>1069</v>
      </c>
      <c r="K4322" s="564" t="s">
        <v>1090</v>
      </c>
      <c r="L4322" s="564" t="s">
        <v>2098</v>
      </c>
      <c r="M4322" s="564" t="s">
        <v>2098</v>
      </c>
      <c r="N4322" s="564" t="s">
        <v>45</v>
      </c>
      <c r="O4322" s="564" t="s">
        <v>2099</v>
      </c>
      <c r="P4322" s="23"/>
      <c r="Q4322" s="23"/>
      <c r="R4322" s="23"/>
      <c r="S4322" s="23"/>
      <c r="T4322" s="23"/>
      <c r="U4322" s="23"/>
      <c r="V4322" s="23"/>
      <c r="W4322" s="23"/>
      <c r="X4322" s="23"/>
      <c r="Y4322" s="23"/>
      <c r="Z4322" s="23"/>
    </row>
    <row r="4323" spans="1:26" ht="13">
      <c r="A4323" s="562" t="s">
        <v>9391</v>
      </c>
      <c r="B4323" s="563" t="s">
        <v>9392</v>
      </c>
      <c r="C4323" s="564" t="s">
        <v>1612</v>
      </c>
      <c r="D4323" s="565">
        <v>40620</v>
      </c>
      <c r="E4323" s="565">
        <v>40633</v>
      </c>
      <c r="F4323" s="566">
        <v>6800</v>
      </c>
      <c r="G4323" s="564" t="s">
        <v>337</v>
      </c>
      <c r="H4323" s="564" t="s">
        <v>337</v>
      </c>
      <c r="I4323" s="564" t="s">
        <v>45</v>
      </c>
      <c r="J4323" s="564" t="s">
        <v>1069</v>
      </c>
      <c r="K4323" s="564" t="s">
        <v>1090</v>
      </c>
      <c r="L4323" s="564" t="s">
        <v>2098</v>
      </c>
      <c r="M4323" s="564" t="s">
        <v>2098</v>
      </c>
      <c r="N4323" s="564" t="s">
        <v>45</v>
      </c>
      <c r="O4323" s="564" t="s">
        <v>2099</v>
      </c>
      <c r="P4323" s="23"/>
      <c r="Q4323" s="23"/>
      <c r="R4323" s="23"/>
      <c r="S4323" s="23"/>
      <c r="T4323" s="23"/>
      <c r="U4323" s="23"/>
      <c r="V4323" s="23"/>
      <c r="W4323" s="23"/>
      <c r="X4323" s="23"/>
      <c r="Y4323" s="23"/>
      <c r="Z4323" s="23"/>
    </row>
    <row r="4324" spans="1:26" ht="13">
      <c r="A4324" s="562" t="s">
        <v>9393</v>
      </c>
      <c r="B4324" s="563" t="s">
        <v>9394</v>
      </c>
      <c r="C4324" s="564" t="s">
        <v>1612</v>
      </c>
      <c r="D4324" s="565">
        <v>40616</v>
      </c>
      <c r="E4324" s="565">
        <v>40662</v>
      </c>
      <c r="F4324" s="567">
        <v>950</v>
      </c>
      <c r="G4324" s="564" t="s">
        <v>337</v>
      </c>
      <c r="H4324" s="564" t="s">
        <v>337</v>
      </c>
      <c r="I4324" s="564" t="s">
        <v>64</v>
      </c>
      <c r="J4324" s="564" t="s">
        <v>1069</v>
      </c>
      <c r="K4324" s="564" t="s">
        <v>1090</v>
      </c>
      <c r="L4324" s="564" t="s">
        <v>2098</v>
      </c>
      <c r="M4324" s="564" t="s">
        <v>2098</v>
      </c>
      <c r="N4324" s="564" t="s">
        <v>64</v>
      </c>
      <c r="O4324" s="564" t="s">
        <v>2099</v>
      </c>
      <c r="P4324" s="23"/>
      <c r="Q4324" s="23"/>
      <c r="R4324" s="23"/>
      <c r="S4324" s="23"/>
      <c r="T4324" s="23"/>
      <c r="U4324" s="23"/>
      <c r="V4324" s="23"/>
      <c r="W4324" s="23"/>
      <c r="X4324" s="23"/>
      <c r="Y4324" s="23"/>
      <c r="Z4324" s="23"/>
    </row>
    <row r="4325" spans="1:26" ht="13">
      <c r="A4325" s="562" t="s">
        <v>9395</v>
      </c>
      <c r="B4325" s="563" t="s">
        <v>9396</v>
      </c>
      <c r="C4325" s="564" t="s">
        <v>1612</v>
      </c>
      <c r="D4325" s="565">
        <v>40612</v>
      </c>
      <c r="E4325" s="565">
        <v>40620</v>
      </c>
      <c r="F4325" s="566">
        <v>3570</v>
      </c>
      <c r="G4325" s="564" t="s">
        <v>337</v>
      </c>
      <c r="H4325" s="564" t="s">
        <v>337</v>
      </c>
      <c r="I4325" s="564" t="s">
        <v>64</v>
      </c>
      <c r="J4325" s="564" t="s">
        <v>1069</v>
      </c>
      <c r="K4325" s="564" t="s">
        <v>1090</v>
      </c>
      <c r="L4325" s="564" t="s">
        <v>2098</v>
      </c>
      <c r="M4325" s="564" t="s">
        <v>2098</v>
      </c>
      <c r="N4325" s="564" t="s">
        <v>64</v>
      </c>
      <c r="O4325" s="564" t="s">
        <v>2099</v>
      </c>
      <c r="P4325" s="23"/>
      <c r="Q4325" s="23"/>
      <c r="R4325" s="23"/>
      <c r="S4325" s="23"/>
      <c r="T4325" s="23"/>
      <c r="U4325" s="23"/>
      <c r="V4325" s="23"/>
      <c r="W4325" s="23"/>
      <c r="X4325" s="23"/>
      <c r="Y4325" s="23"/>
      <c r="Z4325" s="23"/>
    </row>
    <row r="4326" spans="1:26" ht="13">
      <c r="A4326" s="562" t="s">
        <v>9397</v>
      </c>
      <c r="B4326" s="563" t="s">
        <v>9398</v>
      </c>
      <c r="C4326" s="564" t="s">
        <v>1612</v>
      </c>
      <c r="D4326" s="565">
        <v>40612</v>
      </c>
      <c r="E4326" s="565">
        <v>40620</v>
      </c>
      <c r="F4326" s="566">
        <v>20330</v>
      </c>
      <c r="G4326" s="564" t="s">
        <v>337</v>
      </c>
      <c r="H4326" s="564" t="s">
        <v>337</v>
      </c>
      <c r="I4326" s="564" t="s">
        <v>70</v>
      </c>
      <c r="J4326" s="564" t="s">
        <v>1069</v>
      </c>
      <c r="K4326" s="564" t="s">
        <v>1120</v>
      </c>
      <c r="L4326" s="564" t="s">
        <v>2098</v>
      </c>
      <c r="M4326" s="564" t="s">
        <v>2098</v>
      </c>
      <c r="N4326" s="564" t="s">
        <v>70</v>
      </c>
      <c r="O4326" s="564" t="s">
        <v>2099</v>
      </c>
      <c r="P4326" s="23"/>
      <c r="Q4326" s="23"/>
      <c r="R4326" s="23"/>
      <c r="S4326" s="23"/>
      <c r="T4326" s="23"/>
      <c r="U4326" s="23"/>
      <c r="V4326" s="23"/>
      <c r="W4326" s="23"/>
      <c r="X4326" s="23"/>
      <c r="Y4326" s="23"/>
      <c r="Z4326" s="23"/>
    </row>
    <row r="4327" spans="1:26" ht="13">
      <c r="A4327" s="562" t="s">
        <v>9399</v>
      </c>
      <c r="B4327" s="563" t="s">
        <v>9400</v>
      </c>
      <c r="C4327" s="564" t="s">
        <v>1612</v>
      </c>
      <c r="D4327" s="565">
        <v>40611</v>
      </c>
      <c r="E4327" s="565">
        <v>40618</v>
      </c>
      <c r="F4327" s="567">
        <v>800</v>
      </c>
      <c r="G4327" s="564" t="s">
        <v>337</v>
      </c>
      <c r="H4327" s="564" t="s">
        <v>337</v>
      </c>
      <c r="I4327" s="564" t="s">
        <v>2073</v>
      </c>
      <c r="J4327" s="564" t="s">
        <v>1069</v>
      </c>
      <c r="K4327" s="564" t="s">
        <v>1105</v>
      </c>
      <c r="L4327" s="564" t="s">
        <v>2098</v>
      </c>
      <c r="M4327" s="564" t="s">
        <v>2098</v>
      </c>
      <c r="N4327" s="564" t="s">
        <v>225</v>
      </c>
      <c r="O4327" s="564" t="s">
        <v>2099</v>
      </c>
      <c r="P4327" s="23"/>
      <c r="Q4327" s="23"/>
      <c r="R4327" s="23"/>
      <c r="S4327" s="23"/>
      <c r="T4327" s="23"/>
      <c r="U4327" s="23"/>
      <c r="V4327" s="23"/>
      <c r="W4327" s="23"/>
      <c r="X4327" s="23"/>
      <c r="Y4327" s="23"/>
      <c r="Z4327" s="23"/>
    </row>
    <row r="4328" spans="1:26" ht="13">
      <c r="A4328" s="562" t="s">
        <v>9401</v>
      </c>
      <c r="B4328" s="563" t="s">
        <v>9402</v>
      </c>
      <c r="C4328" s="564" t="s">
        <v>2191</v>
      </c>
      <c r="D4328" s="565">
        <v>40606</v>
      </c>
      <c r="E4328" s="565">
        <v>40613</v>
      </c>
      <c r="F4328" s="566">
        <v>16014</v>
      </c>
      <c r="G4328" s="564" t="s">
        <v>297</v>
      </c>
      <c r="H4328" s="564" t="s">
        <v>297</v>
      </c>
      <c r="I4328" s="564" t="s">
        <v>9403</v>
      </c>
      <c r="J4328" s="564" t="s">
        <v>1069</v>
      </c>
      <c r="K4328" s="564" t="s">
        <v>1070</v>
      </c>
      <c r="L4328" s="564" t="s">
        <v>2098</v>
      </c>
      <c r="M4328" s="564" t="s">
        <v>2098</v>
      </c>
      <c r="N4328" s="564" t="s">
        <v>1082</v>
      </c>
      <c r="O4328" s="564" t="s">
        <v>2099</v>
      </c>
      <c r="P4328" s="23"/>
      <c r="Q4328" s="23"/>
      <c r="R4328" s="23"/>
      <c r="S4328" s="23"/>
      <c r="T4328" s="23"/>
      <c r="U4328" s="23"/>
      <c r="V4328" s="23"/>
      <c r="W4328" s="23"/>
      <c r="X4328" s="23"/>
      <c r="Y4328" s="23"/>
      <c r="Z4328" s="23"/>
    </row>
    <row r="4329" spans="1:26" ht="13">
      <c r="A4329" s="562" t="s">
        <v>9404</v>
      </c>
      <c r="B4329" s="563" t="s">
        <v>7740</v>
      </c>
      <c r="C4329" s="564" t="s">
        <v>1612</v>
      </c>
      <c r="D4329" s="565">
        <v>40605</v>
      </c>
      <c r="E4329" s="565">
        <v>40613</v>
      </c>
      <c r="F4329" s="566">
        <v>8000</v>
      </c>
      <c r="G4329" s="564" t="s">
        <v>337</v>
      </c>
      <c r="H4329" s="564" t="s">
        <v>337</v>
      </c>
      <c r="I4329" s="564" t="s">
        <v>257</v>
      </c>
      <c r="J4329" s="564" t="s">
        <v>1069</v>
      </c>
      <c r="K4329" s="564" t="s">
        <v>1209</v>
      </c>
      <c r="L4329" s="564" t="s">
        <v>2098</v>
      </c>
      <c r="M4329" s="564" t="s">
        <v>2098</v>
      </c>
      <c r="N4329" s="564" t="s">
        <v>257</v>
      </c>
      <c r="O4329" s="564" t="s">
        <v>2099</v>
      </c>
      <c r="P4329" s="23"/>
      <c r="Q4329" s="23"/>
      <c r="R4329" s="23"/>
      <c r="S4329" s="23"/>
      <c r="T4329" s="23"/>
      <c r="U4329" s="23"/>
      <c r="V4329" s="23"/>
      <c r="W4329" s="23"/>
      <c r="X4329" s="23"/>
      <c r="Y4329" s="23"/>
      <c r="Z4329" s="23"/>
    </row>
    <row r="4330" spans="1:26" ht="13">
      <c r="A4330" s="562" t="s">
        <v>9405</v>
      </c>
      <c r="B4330" s="563" t="s">
        <v>8582</v>
      </c>
      <c r="C4330" s="564" t="s">
        <v>1612</v>
      </c>
      <c r="D4330" s="565">
        <v>40602</v>
      </c>
      <c r="E4330" s="565">
        <v>40633</v>
      </c>
      <c r="F4330" s="566">
        <v>11640</v>
      </c>
      <c r="G4330" s="564" t="s">
        <v>337</v>
      </c>
      <c r="H4330" s="564" t="s">
        <v>337</v>
      </c>
      <c r="I4330" s="564" t="s">
        <v>802</v>
      </c>
      <c r="J4330" s="564" t="s">
        <v>1069</v>
      </c>
      <c r="K4330" s="564" t="s">
        <v>1198</v>
      </c>
      <c r="L4330" s="564" t="s">
        <v>2098</v>
      </c>
      <c r="M4330" s="564" t="s">
        <v>2098</v>
      </c>
      <c r="N4330" s="564" t="s">
        <v>132</v>
      </c>
      <c r="O4330" s="564" t="s">
        <v>2099</v>
      </c>
      <c r="P4330" s="23"/>
      <c r="Q4330" s="23"/>
      <c r="R4330" s="23"/>
      <c r="S4330" s="23"/>
      <c r="T4330" s="23"/>
      <c r="U4330" s="23"/>
      <c r="V4330" s="23"/>
      <c r="W4330" s="23"/>
      <c r="X4330" s="23"/>
      <c r="Y4330" s="23"/>
      <c r="Z4330" s="23"/>
    </row>
    <row r="4331" spans="1:26" ht="13">
      <c r="A4331" s="562" t="s">
        <v>9406</v>
      </c>
      <c r="B4331" s="563" t="s">
        <v>9407</v>
      </c>
      <c r="C4331" s="564" t="s">
        <v>1612</v>
      </c>
      <c r="D4331" s="565">
        <v>40598</v>
      </c>
      <c r="E4331" s="565">
        <v>40610</v>
      </c>
      <c r="F4331" s="566">
        <v>8550</v>
      </c>
      <c r="G4331" s="564" t="s">
        <v>337</v>
      </c>
      <c r="H4331" s="564" t="s">
        <v>337</v>
      </c>
      <c r="I4331" s="564" t="s">
        <v>802</v>
      </c>
      <c r="J4331" s="564" t="s">
        <v>1069</v>
      </c>
      <c r="K4331" s="564" t="s">
        <v>1198</v>
      </c>
      <c r="L4331" s="564" t="s">
        <v>2098</v>
      </c>
      <c r="M4331" s="564" t="s">
        <v>2098</v>
      </c>
      <c r="N4331" s="564" t="s">
        <v>132</v>
      </c>
      <c r="O4331" s="564" t="s">
        <v>2099</v>
      </c>
      <c r="P4331" s="23"/>
      <c r="Q4331" s="23"/>
      <c r="R4331" s="23"/>
      <c r="S4331" s="23"/>
      <c r="T4331" s="23"/>
      <c r="U4331" s="23"/>
      <c r="V4331" s="23"/>
      <c r="W4331" s="23"/>
      <c r="X4331" s="23"/>
      <c r="Y4331" s="23"/>
      <c r="Z4331" s="23"/>
    </row>
    <row r="4332" spans="1:26" ht="13">
      <c r="A4332" s="562" t="s">
        <v>9408</v>
      </c>
      <c r="B4332" s="563" t="s">
        <v>9409</v>
      </c>
      <c r="C4332" s="564" t="s">
        <v>1612</v>
      </c>
      <c r="D4332" s="565">
        <v>40597</v>
      </c>
      <c r="E4332" s="565">
        <v>40602</v>
      </c>
      <c r="F4332" s="566">
        <v>21272727</v>
      </c>
      <c r="G4332" s="564" t="s">
        <v>337</v>
      </c>
      <c r="H4332" s="564" t="s">
        <v>337</v>
      </c>
      <c r="I4332" s="564" t="s">
        <v>802</v>
      </c>
      <c r="J4332" s="564" t="s">
        <v>1069</v>
      </c>
      <c r="K4332" s="564" t="s">
        <v>1198</v>
      </c>
      <c r="L4332" s="564" t="s">
        <v>2098</v>
      </c>
      <c r="M4332" s="564" t="s">
        <v>2098</v>
      </c>
      <c r="N4332" s="564" t="s">
        <v>132</v>
      </c>
      <c r="O4332" s="564" t="s">
        <v>2099</v>
      </c>
      <c r="P4332" s="23"/>
      <c r="Q4332" s="23"/>
      <c r="R4332" s="23"/>
      <c r="S4332" s="23"/>
      <c r="T4332" s="23"/>
      <c r="U4332" s="23"/>
      <c r="V4332" s="23"/>
      <c r="W4332" s="23"/>
      <c r="X4332" s="23"/>
      <c r="Y4332" s="23"/>
      <c r="Z4332" s="23"/>
    </row>
    <row r="4333" spans="1:26" ht="13">
      <c r="A4333" s="562" t="s">
        <v>9410</v>
      </c>
      <c r="B4333" s="563" t="s">
        <v>9411</v>
      </c>
      <c r="C4333" s="564" t="s">
        <v>1612</v>
      </c>
      <c r="D4333" s="565">
        <v>40596</v>
      </c>
      <c r="E4333" s="565">
        <v>40606</v>
      </c>
      <c r="F4333" s="567">
        <v>625</v>
      </c>
      <c r="G4333" s="564" t="s">
        <v>337</v>
      </c>
      <c r="H4333" s="564" t="s">
        <v>337</v>
      </c>
      <c r="I4333" s="564" t="s">
        <v>70</v>
      </c>
      <c r="J4333" s="564" t="s">
        <v>1069</v>
      </c>
      <c r="K4333" s="564" t="s">
        <v>1120</v>
      </c>
      <c r="L4333" s="564" t="s">
        <v>2098</v>
      </c>
      <c r="M4333" s="564" t="s">
        <v>2098</v>
      </c>
      <c r="N4333" s="564" t="s">
        <v>70</v>
      </c>
      <c r="O4333" s="564" t="s">
        <v>2099</v>
      </c>
      <c r="P4333" s="23"/>
      <c r="Q4333" s="23"/>
      <c r="R4333" s="23"/>
      <c r="S4333" s="23"/>
      <c r="T4333" s="23"/>
      <c r="U4333" s="23"/>
      <c r="V4333" s="23"/>
      <c r="W4333" s="23"/>
      <c r="X4333" s="23"/>
      <c r="Y4333" s="23"/>
      <c r="Z4333" s="23"/>
    </row>
    <row r="4334" spans="1:26" ht="13">
      <c r="A4334" s="562" t="s">
        <v>9412</v>
      </c>
      <c r="B4334" s="563" t="s">
        <v>9413</v>
      </c>
      <c r="C4334" s="564" t="s">
        <v>2191</v>
      </c>
      <c r="D4334" s="565">
        <v>40597</v>
      </c>
      <c r="E4334" s="565">
        <v>40609</v>
      </c>
      <c r="F4334" s="566">
        <v>39618000</v>
      </c>
      <c r="G4334" s="564" t="s">
        <v>1529</v>
      </c>
      <c r="H4334" s="564" t="s">
        <v>1529</v>
      </c>
      <c r="I4334" s="564" t="s">
        <v>9414</v>
      </c>
      <c r="J4334" s="564" t="s">
        <v>1069</v>
      </c>
      <c r="K4334" s="564" t="s">
        <v>1070</v>
      </c>
      <c r="L4334" s="564" t="s">
        <v>2098</v>
      </c>
      <c r="M4334" s="564" t="s">
        <v>2098</v>
      </c>
      <c r="N4334" s="564" t="s">
        <v>1082</v>
      </c>
      <c r="O4334" s="564" t="s">
        <v>2099</v>
      </c>
      <c r="P4334" s="23"/>
      <c r="Q4334" s="23"/>
      <c r="R4334" s="23"/>
      <c r="S4334" s="23"/>
      <c r="T4334" s="23"/>
      <c r="U4334" s="23"/>
      <c r="V4334" s="23"/>
      <c r="W4334" s="23"/>
      <c r="X4334" s="23"/>
      <c r="Y4334" s="23"/>
      <c r="Z4334" s="23"/>
    </row>
    <row r="4335" spans="1:26" ht="13">
      <c r="A4335" s="562" t="s">
        <v>9415</v>
      </c>
      <c r="B4335" s="563" t="s">
        <v>9416</v>
      </c>
      <c r="C4335" s="564" t="s">
        <v>1612</v>
      </c>
      <c r="D4335" s="565">
        <v>40596</v>
      </c>
      <c r="E4335" s="565">
        <v>40609</v>
      </c>
      <c r="F4335" s="567">
        <v>815</v>
      </c>
      <c r="G4335" s="564" t="s">
        <v>337</v>
      </c>
      <c r="H4335" s="564" t="s">
        <v>337</v>
      </c>
      <c r="I4335" s="564" t="s">
        <v>64</v>
      </c>
      <c r="J4335" s="564" t="s">
        <v>1069</v>
      </c>
      <c r="K4335" s="564" t="s">
        <v>1090</v>
      </c>
      <c r="L4335" s="564" t="s">
        <v>2098</v>
      </c>
      <c r="M4335" s="564" t="s">
        <v>2098</v>
      </c>
      <c r="N4335" s="564" t="s">
        <v>64</v>
      </c>
      <c r="O4335" s="564" t="s">
        <v>2099</v>
      </c>
      <c r="P4335" s="23"/>
      <c r="Q4335" s="23"/>
      <c r="R4335" s="23"/>
      <c r="S4335" s="23"/>
      <c r="T4335" s="23"/>
      <c r="U4335" s="23"/>
      <c r="V4335" s="23"/>
      <c r="W4335" s="23"/>
      <c r="X4335" s="23"/>
      <c r="Y4335" s="23"/>
      <c r="Z4335" s="23"/>
    </row>
    <row r="4336" spans="1:26" ht="13">
      <c r="A4336" s="562" t="s">
        <v>9417</v>
      </c>
      <c r="B4336" s="563" t="s">
        <v>8685</v>
      </c>
      <c r="C4336" s="564" t="s">
        <v>1612</v>
      </c>
      <c r="D4336" s="565">
        <v>40596</v>
      </c>
      <c r="E4336" s="565">
        <v>40602</v>
      </c>
      <c r="F4336" s="566">
        <v>500000</v>
      </c>
      <c r="G4336" s="564" t="s">
        <v>1128</v>
      </c>
      <c r="H4336" s="564" t="s">
        <v>1128</v>
      </c>
      <c r="I4336" s="564" t="s">
        <v>2073</v>
      </c>
      <c r="J4336" s="564" t="s">
        <v>1069</v>
      </c>
      <c r="K4336" s="564" t="s">
        <v>1105</v>
      </c>
      <c r="L4336" s="564" t="s">
        <v>2098</v>
      </c>
      <c r="M4336" s="564" t="s">
        <v>2098</v>
      </c>
      <c r="N4336" s="564" t="s">
        <v>225</v>
      </c>
      <c r="O4336" s="564" t="s">
        <v>2099</v>
      </c>
      <c r="P4336" s="23"/>
      <c r="Q4336" s="23"/>
      <c r="R4336" s="23"/>
      <c r="S4336" s="23"/>
      <c r="T4336" s="23"/>
      <c r="U4336" s="23"/>
      <c r="V4336" s="23"/>
      <c r="W4336" s="23"/>
      <c r="X4336" s="23"/>
      <c r="Y4336" s="23"/>
      <c r="Z4336" s="23"/>
    </row>
    <row r="4337" spans="1:26" ht="13">
      <c r="A4337" s="562" t="s">
        <v>9418</v>
      </c>
      <c r="B4337" s="563" t="s">
        <v>9419</v>
      </c>
      <c r="C4337" s="564" t="s">
        <v>1612</v>
      </c>
      <c r="D4337" s="565">
        <v>40595</v>
      </c>
      <c r="E4337" s="565">
        <v>40602</v>
      </c>
      <c r="F4337" s="566">
        <v>1795</v>
      </c>
      <c r="G4337" s="564" t="s">
        <v>337</v>
      </c>
      <c r="H4337" s="564" t="s">
        <v>337</v>
      </c>
      <c r="I4337" s="564" t="s">
        <v>70</v>
      </c>
      <c r="J4337" s="564" t="s">
        <v>1069</v>
      </c>
      <c r="K4337" s="564" t="s">
        <v>1120</v>
      </c>
      <c r="L4337" s="564" t="s">
        <v>2098</v>
      </c>
      <c r="M4337" s="564" t="s">
        <v>2098</v>
      </c>
      <c r="N4337" s="564" t="s">
        <v>70</v>
      </c>
      <c r="O4337" s="564" t="s">
        <v>2099</v>
      </c>
      <c r="P4337" s="23"/>
      <c r="Q4337" s="23"/>
      <c r="R4337" s="23"/>
      <c r="S4337" s="23"/>
      <c r="T4337" s="23"/>
      <c r="U4337" s="23"/>
      <c r="V4337" s="23"/>
      <c r="W4337" s="23"/>
      <c r="X4337" s="23"/>
      <c r="Y4337" s="23"/>
      <c r="Z4337" s="23"/>
    </row>
    <row r="4338" spans="1:26" ht="13">
      <c r="A4338" s="562" t="s">
        <v>9420</v>
      </c>
      <c r="B4338" s="563" t="s">
        <v>9421</v>
      </c>
      <c r="C4338" s="564" t="s">
        <v>1612</v>
      </c>
      <c r="D4338" s="565">
        <v>40592</v>
      </c>
      <c r="E4338" s="565">
        <v>40602</v>
      </c>
      <c r="F4338" s="566">
        <v>1500000</v>
      </c>
      <c r="G4338" s="564" t="s">
        <v>1856</v>
      </c>
      <c r="H4338" s="564" t="s">
        <v>1856</v>
      </c>
      <c r="I4338" s="564" t="s">
        <v>45</v>
      </c>
      <c r="J4338" s="564" t="s">
        <v>1069</v>
      </c>
      <c r="K4338" s="564" t="s">
        <v>1090</v>
      </c>
      <c r="L4338" s="564" t="s">
        <v>2098</v>
      </c>
      <c r="M4338" s="564" t="s">
        <v>2098</v>
      </c>
      <c r="N4338" s="564" t="s">
        <v>45</v>
      </c>
      <c r="O4338" s="564" t="s">
        <v>2099</v>
      </c>
      <c r="P4338" s="23"/>
      <c r="Q4338" s="23"/>
      <c r="R4338" s="23"/>
      <c r="S4338" s="23"/>
      <c r="T4338" s="23"/>
      <c r="U4338" s="23"/>
      <c r="V4338" s="23"/>
      <c r="W4338" s="23"/>
      <c r="X4338" s="23"/>
      <c r="Y4338" s="23"/>
      <c r="Z4338" s="23"/>
    </row>
    <row r="4339" spans="1:26" ht="13">
      <c r="A4339" s="562" t="s">
        <v>9422</v>
      </c>
      <c r="B4339" s="563" t="s">
        <v>9423</v>
      </c>
      <c r="C4339" s="564" t="s">
        <v>1612</v>
      </c>
      <c r="D4339" s="565">
        <v>40591</v>
      </c>
      <c r="E4339" s="565">
        <v>40596</v>
      </c>
      <c r="F4339" s="566">
        <v>1464</v>
      </c>
      <c r="G4339" s="564" t="s">
        <v>337</v>
      </c>
      <c r="H4339" s="564" t="s">
        <v>337</v>
      </c>
      <c r="I4339" s="564" t="s">
        <v>121</v>
      </c>
      <c r="J4339" s="564" t="s">
        <v>1069</v>
      </c>
      <c r="K4339" s="564" t="s">
        <v>1105</v>
      </c>
      <c r="L4339" s="564" t="s">
        <v>2098</v>
      </c>
      <c r="M4339" s="564" t="s">
        <v>2098</v>
      </c>
      <c r="N4339" s="564" t="s">
        <v>1073</v>
      </c>
      <c r="O4339" s="564" t="s">
        <v>2099</v>
      </c>
      <c r="P4339" s="23"/>
      <c r="Q4339" s="23"/>
      <c r="R4339" s="23"/>
      <c r="S4339" s="23"/>
      <c r="T4339" s="23"/>
      <c r="U4339" s="23"/>
      <c r="V4339" s="23"/>
      <c r="W4339" s="23"/>
      <c r="X4339" s="23"/>
      <c r="Y4339" s="23"/>
      <c r="Z4339" s="23"/>
    </row>
    <row r="4340" spans="1:26" ht="13">
      <c r="A4340" s="562" t="s">
        <v>9424</v>
      </c>
      <c r="B4340" s="563" t="s">
        <v>9047</v>
      </c>
      <c r="C4340" s="564" t="s">
        <v>6860</v>
      </c>
      <c r="D4340" s="565">
        <v>40590</v>
      </c>
      <c r="E4340" s="565">
        <v>40599</v>
      </c>
      <c r="F4340" s="566">
        <v>665000</v>
      </c>
      <c r="G4340" s="564" t="s">
        <v>337</v>
      </c>
      <c r="H4340" s="564" t="s">
        <v>337</v>
      </c>
      <c r="I4340" s="564" t="s">
        <v>1966</v>
      </c>
      <c r="J4340" s="564" t="s">
        <v>1069</v>
      </c>
      <c r="K4340" s="564" t="s">
        <v>1070</v>
      </c>
      <c r="L4340" s="564" t="s">
        <v>2098</v>
      </c>
      <c r="M4340" s="564" t="s">
        <v>2098</v>
      </c>
      <c r="N4340" s="564" t="s">
        <v>1082</v>
      </c>
      <c r="O4340" s="564" t="s">
        <v>2099</v>
      </c>
      <c r="P4340" s="23"/>
      <c r="Q4340" s="23"/>
      <c r="R4340" s="23"/>
      <c r="S4340" s="23"/>
      <c r="T4340" s="23"/>
      <c r="U4340" s="23"/>
      <c r="V4340" s="23"/>
      <c r="W4340" s="23"/>
      <c r="X4340" s="23"/>
      <c r="Y4340" s="23"/>
      <c r="Z4340" s="23"/>
    </row>
    <row r="4341" spans="1:26" ht="13">
      <c r="A4341" s="562" t="s">
        <v>9425</v>
      </c>
      <c r="B4341" s="563" t="s">
        <v>9426</v>
      </c>
      <c r="C4341" s="564" t="s">
        <v>1873</v>
      </c>
      <c r="D4341" s="565">
        <v>40588</v>
      </c>
      <c r="E4341" s="565">
        <v>40592</v>
      </c>
      <c r="F4341" s="566">
        <v>3634200</v>
      </c>
      <c r="G4341" s="564" t="s">
        <v>337</v>
      </c>
      <c r="H4341" s="564" t="s">
        <v>337</v>
      </c>
      <c r="I4341" s="564" t="s">
        <v>170</v>
      </c>
      <c r="J4341" s="564" t="s">
        <v>1069</v>
      </c>
      <c r="K4341" s="564" t="s">
        <v>1105</v>
      </c>
      <c r="L4341" s="564" t="s">
        <v>2098</v>
      </c>
      <c r="M4341" s="564" t="s">
        <v>2098</v>
      </c>
      <c r="N4341" s="564" t="s">
        <v>170</v>
      </c>
      <c r="O4341" s="564" t="s">
        <v>2099</v>
      </c>
      <c r="P4341" s="23"/>
      <c r="Q4341" s="23"/>
      <c r="R4341" s="23"/>
      <c r="S4341" s="23"/>
      <c r="T4341" s="23"/>
      <c r="U4341" s="23"/>
      <c r="V4341" s="23"/>
      <c r="W4341" s="23"/>
      <c r="X4341" s="23"/>
      <c r="Y4341" s="23"/>
      <c r="Z4341" s="23"/>
    </row>
    <row r="4342" spans="1:26" ht="13">
      <c r="A4342" s="562" t="s">
        <v>9427</v>
      </c>
      <c r="B4342" s="563" t="s">
        <v>9428</v>
      </c>
      <c r="C4342" s="564" t="s">
        <v>1612</v>
      </c>
      <c r="D4342" s="565">
        <v>40585</v>
      </c>
      <c r="E4342" s="565">
        <v>40633</v>
      </c>
      <c r="F4342" s="566">
        <v>1161000</v>
      </c>
      <c r="G4342" s="564" t="s">
        <v>1157</v>
      </c>
      <c r="H4342" s="564" t="s">
        <v>1157</v>
      </c>
      <c r="I4342" s="564" t="s">
        <v>1821</v>
      </c>
      <c r="J4342" s="564" t="s">
        <v>1069</v>
      </c>
      <c r="K4342" s="564" t="s">
        <v>1120</v>
      </c>
      <c r="L4342" s="564" t="s">
        <v>2098</v>
      </c>
      <c r="M4342" s="564" t="s">
        <v>2098</v>
      </c>
      <c r="N4342" s="564" t="s">
        <v>1073</v>
      </c>
      <c r="O4342" s="564" t="s">
        <v>2099</v>
      </c>
      <c r="P4342" s="23"/>
      <c r="Q4342" s="23"/>
      <c r="R4342" s="23"/>
      <c r="S4342" s="23"/>
      <c r="T4342" s="23"/>
      <c r="U4342" s="23"/>
      <c r="V4342" s="23"/>
      <c r="W4342" s="23"/>
      <c r="X4342" s="23"/>
      <c r="Y4342" s="23"/>
      <c r="Z4342" s="23"/>
    </row>
    <row r="4343" spans="1:26" ht="13">
      <c r="A4343" s="562" t="s">
        <v>9429</v>
      </c>
      <c r="B4343" s="563" t="s">
        <v>8425</v>
      </c>
      <c r="C4343" s="564" t="s">
        <v>1612</v>
      </c>
      <c r="D4343" s="565">
        <v>40585</v>
      </c>
      <c r="E4343" s="565">
        <v>40590</v>
      </c>
      <c r="F4343" s="567">
        <v>980</v>
      </c>
      <c r="G4343" s="564" t="s">
        <v>337</v>
      </c>
      <c r="H4343" s="564" t="s">
        <v>337</v>
      </c>
      <c r="I4343" s="564" t="s">
        <v>70</v>
      </c>
      <c r="J4343" s="564" t="s">
        <v>1069</v>
      </c>
      <c r="K4343" s="564" t="s">
        <v>1120</v>
      </c>
      <c r="L4343" s="564" t="s">
        <v>2098</v>
      </c>
      <c r="M4343" s="564" t="s">
        <v>2098</v>
      </c>
      <c r="N4343" s="564" t="s">
        <v>70</v>
      </c>
      <c r="O4343" s="564" t="s">
        <v>2099</v>
      </c>
      <c r="P4343" s="23"/>
      <c r="Q4343" s="23"/>
      <c r="R4343" s="23"/>
      <c r="S4343" s="23"/>
      <c r="T4343" s="23"/>
      <c r="U4343" s="23"/>
      <c r="V4343" s="23"/>
      <c r="W4343" s="23"/>
      <c r="X4343" s="23"/>
      <c r="Y4343" s="23"/>
      <c r="Z4343" s="23"/>
    </row>
    <row r="4344" spans="1:26" ht="13">
      <c r="A4344" s="562" t="s">
        <v>9430</v>
      </c>
      <c r="B4344" s="563" t="s">
        <v>9431</v>
      </c>
      <c r="C4344" s="564" t="s">
        <v>1612</v>
      </c>
      <c r="D4344" s="565">
        <v>40584</v>
      </c>
      <c r="E4344" s="565">
        <v>40592</v>
      </c>
      <c r="F4344" s="566">
        <v>89255000</v>
      </c>
      <c r="G4344" s="564" t="s">
        <v>1856</v>
      </c>
      <c r="H4344" s="564" t="s">
        <v>1856</v>
      </c>
      <c r="I4344" s="564" t="s">
        <v>9432</v>
      </c>
      <c r="J4344" s="564" t="s">
        <v>1069</v>
      </c>
      <c r="K4344" s="564" t="s">
        <v>1090</v>
      </c>
      <c r="L4344" s="564" t="s">
        <v>2098</v>
      </c>
      <c r="M4344" s="564" t="s">
        <v>2098</v>
      </c>
      <c r="N4344" s="564" t="s">
        <v>45</v>
      </c>
      <c r="O4344" s="564" t="s">
        <v>2099</v>
      </c>
      <c r="P4344" s="23"/>
      <c r="Q4344" s="23"/>
      <c r="R4344" s="23"/>
      <c r="S4344" s="23"/>
      <c r="T4344" s="23"/>
      <c r="U4344" s="23"/>
      <c r="V4344" s="23"/>
      <c r="W4344" s="23"/>
      <c r="X4344" s="23"/>
      <c r="Y4344" s="23"/>
      <c r="Z4344" s="23"/>
    </row>
    <row r="4345" spans="1:26" ht="13">
      <c r="A4345" s="562" t="s">
        <v>9433</v>
      </c>
      <c r="B4345" s="563" t="s">
        <v>9434</v>
      </c>
      <c r="C4345" s="564" t="s">
        <v>1612</v>
      </c>
      <c r="D4345" s="565">
        <v>40584</v>
      </c>
      <c r="E4345" s="565">
        <v>40613</v>
      </c>
      <c r="F4345" s="566">
        <v>26000</v>
      </c>
      <c r="G4345" s="564" t="s">
        <v>1640</v>
      </c>
      <c r="H4345" s="564" t="s">
        <v>1640</v>
      </c>
      <c r="I4345" s="564" t="s">
        <v>257</v>
      </c>
      <c r="J4345" s="564" t="s">
        <v>1069</v>
      </c>
      <c r="K4345" s="564" t="s">
        <v>1209</v>
      </c>
      <c r="L4345" s="564" t="s">
        <v>2098</v>
      </c>
      <c r="M4345" s="564" t="s">
        <v>2098</v>
      </c>
      <c r="N4345" s="564" t="s">
        <v>257</v>
      </c>
      <c r="O4345" s="564" t="s">
        <v>2099</v>
      </c>
      <c r="P4345" s="23"/>
      <c r="Q4345" s="23"/>
      <c r="R4345" s="23"/>
      <c r="S4345" s="23"/>
      <c r="T4345" s="23"/>
      <c r="U4345" s="23"/>
      <c r="V4345" s="23"/>
      <c r="W4345" s="23"/>
      <c r="X4345" s="23"/>
      <c r="Y4345" s="23"/>
      <c r="Z4345" s="23"/>
    </row>
    <row r="4346" spans="1:26" ht="13">
      <c r="A4346" s="562" t="s">
        <v>9435</v>
      </c>
      <c r="B4346" s="563" t="s">
        <v>8806</v>
      </c>
      <c r="C4346" s="564" t="s">
        <v>1612</v>
      </c>
      <c r="D4346" s="565">
        <v>40583</v>
      </c>
      <c r="E4346" s="565">
        <v>40599</v>
      </c>
      <c r="F4346" s="567">
        <v>318</v>
      </c>
      <c r="G4346" s="564" t="s">
        <v>337</v>
      </c>
      <c r="H4346" s="564" t="s">
        <v>337</v>
      </c>
      <c r="I4346" s="564" t="s">
        <v>64</v>
      </c>
      <c r="J4346" s="564" t="s">
        <v>1069</v>
      </c>
      <c r="K4346" s="564" t="s">
        <v>1090</v>
      </c>
      <c r="L4346" s="564" t="s">
        <v>2098</v>
      </c>
      <c r="M4346" s="564" t="s">
        <v>2098</v>
      </c>
      <c r="N4346" s="564" t="s">
        <v>64</v>
      </c>
      <c r="O4346" s="564" t="s">
        <v>2099</v>
      </c>
      <c r="P4346" s="23"/>
      <c r="Q4346" s="23"/>
      <c r="R4346" s="23"/>
      <c r="S4346" s="23"/>
      <c r="T4346" s="23"/>
      <c r="U4346" s="23"/>
      <c r="V4346" s="23"/>
      <c r="W4346" s="23"/>
      <c r="X4346" s="23"/>
      <c r="Y4346" s="23"/>
      <c r="Z4346" s="23"/>
    </row>
    <row r="4347" spans="1:26" ht="13">
      <c r="A4347" s="562" t="s">
        <v>9436</v>
      </c>
      <c r="B4347" s="563" t="s">
        <v>9437</v>
      </c>
      <c r="C4347" s="564" t="s">
        <v>2191</v>
      </c>
      <c r="D4347" s="565">
        <v>40583</v>
      </c>
      <c r="E4347" s="565">
        <v>40599</v>
      </c>
      <c r="F4347" s="566">
        <v>23650000</v>
      </c>
      <c r="G4347" s="564" t="s">
        <v>1123</v>
      </c>
      <c r="H4347" s="564" t="s">
        <v>1123</v>
      </c>
      <c r="I4347" s="564" t="s">
        <v>8659</v>
      </c>
      <c r="J4347" s="564" t="s">
        <v>1069</v>
      </c>
      <c r="K4347" s="564" t="s">
        <v>1205</v>
      </c>
      <c r="L4347" s="564" t="s">
        <v>2098</v>
      </c>
      <c r="M4347" s="564" t="s">
        <v>2098</v>
      </c>
      <c r="N4347" s="564" t="s">
        <v>1073</v>
      </c>
      <c r="O4347" s="564" t="s">
        <v>2099</v>
      </c>
      <c r="P4347" s="23"/>
      <c r="Q4347" s="23"/>
      <c r="R4347" s="23"/>
      <c r="S4347" s="23"/>
      <c r="T4347" s="23"/>
      <c r="U4347" s="23"/>
      <c r="V4347" s="23"/>
      <c r="W4347" s="23"/>
      <c r="X4347" s="23"/>
      <c r="Y4347" s="23"/>
      <c r="Z4347" s="23"/>
    </row>
    <row r="4348" spans="1:26" ht="13">
      <c r="A4348" s="562" t="s">
        <v>9438</v>
      </c>
      <c r="B4348" s="563" t="s">
        <v>9439</v>
      </c>
      <c r="C4348" s="564" t="s">
        <v>1612</v>
      </c>
      <c r="D4348" s="565">
        <v>40581</v>
      </c>
      <c r="E4348" s="565">
        <v>40592</v>
      </c>
      <c r="F4348" s="566">
        <v>2445</v>
      </c>
      <c r="G4348" s="564" t="s">
        <v>337</v>
      </c>
      <c r="H4348" s="564" t="s">
        <v>337</v>
      </c>
      <c r="I4348" s="564" t="s">
        <v>70</v>
      </c>
      <c r="J4348" s="564" t="s">
        <v>1069</v>
      </c>
      <c r="K4348" s="564" t="s">
        <v>1120</v>
      </c>
      <c r="L4348" s="564" t="s">
        <v>2098</v>
      </c>
      <c r="M4348" s="564" t="s">
        <v>2098</v>
      </c>
      <c r="N4348" s="564" t="s">
        <v>70</v>
      </c>
      <c r="O4348" s="564" t="s">
        <v>2099</v>
      </c>
      <c r="P4348" s="23"/>
      <c r="Q4348" s="23"/>
      <c r="R4348" s="23"/>
      <c r="S4348" s="23"/>
      <c r="T4348" s="23"/>
      <c r="U4348" s="23"/>
      <c r="V4348" s="23"/>
      <c r="W4348" s="23"/>
      <c r="X4348" s="23"/>
      <c r="Y4348" s="23"/>
      <c r="Z4348" s="23"/>
    </row>
    <row r="4349" spans="1:26" ht="13">
      <c r="A4349" s="562" t="s">
        <v>9440</v>
      </c>
      <c r="B4349" s="563" t="s">
        <v>8425</v>
      </c>
      <c r="C4349" s="564" t="s">
        <v>1612</v>
      </c>
      <c r="D4349" s="565">
        <v>40574</v>
      </c>
      <c r="E4349" s="565">
        <v>40583</v>
      </c>
      <c r="F4349" s="567">
        <v>980</v>
      </c>
      <c r="G4349" s="564" t="s">
        <v>337</v>
      </c>
      <c r="H4349" s="564" t="s">
        <v>337</v>
      </c>
      <c r="I4349" s="564" t="s">
        <v>70</v>
      </c>
      <c r="J4349" s="564" t="s">
        <v>1069</v>
      </c>
      <c r="K4349" s="564" t="s">
        <v>1120</v>
      </c>
      <c r="L4349" s="564" t="s">
        <v>2098</v>
      </c>
      <c r="M4349" s="564" t="s">
        <v>2098</v>
      </c>
      <c r="N4349" s="564" t="s">
        <v>70</v>
      </c>
      <c r="O4349" s="564" t="s">
        <v>2099</v>
      </c>
      <c r="P4349" s="23"/>
      <c r="Q4349" s="23"/>
      <c r="R4349" s="23"/>
      <c r="S4349" s="23"/>
      <c r="T4349" s="23"/>
      <c r="U4349" s="23"/>
      <c r="V4349" s="23"/>
      <c r="W4349" s="23"/>
      <c r="X4349" s="23"/>
      <c r="Y4349" s="23"/>
      <c r="Z4349" s="23"/>
    </row>
    <row r="4350" spans="1:26" ht="13">
      <c r="A4350" s="562" t="s">
        <v>9441</v>
      </c>
      <c r="B4350" s="563" t="s">
        <v>9442</v>
      </c>
      <c r="C4350" s="564" t="s">
        <v>1612</v>
      </c>
      <c r="D4350" s="565">
        <v>40572</v>
      </c>
      <c r="E4350" s="565">
        <v>40585</v>
      </c>
      <c r="F4350" s="566">
        <v>19667000</v>
      </c>
      <c r="G4350" s="564" t="s">
        <v>1856</v>
      </c>
      <c r="H4350" s="564" t="s">
        <v>1856</v>
      </c>
      <c r="I4350" s="564" t="s">
        <v>45</v>
      </c>
      <c r="J4350" s="564" t="s">
        <v>1069</v>
      </c>
      <c r="K4350" s="564" t="s">
        <v>1090</v>
      </c>
      <c r="L4350" s="564" t="s">
        <v>2098</v>
      </c>
      <c r="M4350" s="564" t="s">
        <v>2098</v>
      </c>
      <c r="N4350" s="564" t="s">
        <v>45</v>
      </c>
      <c r="O4350" s="564" t="s">
        <v>2099</v>
      </c>
      <c r="P4350" s="23"/>
      <c r="Q4350" s="23"/>
      <c r="R4350" s="23"/>
      <c r="S4350" s="23"/>
      <c r="T4350" s="23"/>
      <c r="U4350" s="23"/>
      <c r="V4350" s="23"/>
      <c r="W4350" s="23"/>
      <c r="X4350" s="23"/>
      <c r="Y4350" s="23"/>
      <c r="Z4350" s="23"/>
    </row>
    <row r="4351" spans="1:26" ht="13">
      <c r="A4351" s="562" t="s">
        <v>9443</v>
      </c>
      <c r="B4351" s="563" t="s">
        <v>9444</v>
      </c>
      <c r="C4351" s="564" t="s">
        <v>1612</v>
      </c>
      <c r="D4351" s="565">
        <v>40571</v>
      </c>
      <c r="E4351" s="565">
        <v>40585</v>
      </c>
      <c r="F4351" s="566">
        <v>1085</v>
      </c>
      <c r="G4351" s="564" t="s">
        <v>337</v>
      </c>
      <c r="H4351" s="564" t="s">
        <v>337</v>
      </c>
      <c r="I4351" s="564" t="s">
        <v>802</v>
      </c>
      <c r="J4351" s="564" t="s">
        <v>1069</v>
      </c>
      <c r="K4351" s="564" t="s">
        <v>1198</v>
      </c>
      <c r="L4351" s="564" t="s">
        <v>2098</v>
      </c>
      <c r="M4351" s="564" t="s">
        <v>2098</v>
      </c>
      <c r="N4351" s="564" t="s">
        <v>132</v>
      </c>
      <c r="O4351" s="564" t="s">
        <v>2099</v>
      </c>
      <c r="P4351" s="23"/>
      <c r="Q4351" s="23"/>
      <c r="R4351" s="23"/>
      <c r="S4351" s="23"/>
      <c r="T4351" s="23"/>
      <c r="U4351" s="23"/>
      <c r="V4351" s="23"/>
      <c r="W4351" s="23"/>
      <c r="X4351" s="23"/>
      <c r="Y4351" s="23"/>
      <c r="Z4351" s="23"/>
    </row>
    <row r="4352" spans="1:26" ht="13">
      <c r="A4352" s="562" t="s">
        <v>9445</v>
      </c>
      <c r="B4352" s="563" t="s">
        <v>9446</v>
      </c>
      <c r="C4352" s="564" t="s">
        <v>1612</v>
      </c>
      <c r="D4352" s="565">
        <v>40564</v>
      </c>
      <c r="E4352" s="565">
        <v>40568</v>
      </c>
      <c r="F4352" s="566">
        <v>87623800</v>
      </c>
      <c r="G4352" s="564" t="s">
        <v>337</v>
      </c>
      <c r="H4352" s="564" t="s">
        <v>337</v>
      </c>
      <c r="I4352" s="564" t="s">
        <v>802</v>
      </c>
      <c r="J4352" s="564" t="s">
        <v>1069</v>
      </c>
      <c r="K4352" s="564" t="s">
        <v>1198</v>
      </c>
      <c r="L4352" s="564" t="s">
        <v>2098</v>
      </c>
      <c r="M4352" s="564" t="s">
        <v>2098</v>
      </c>
      <c r="N4352" s="564" t="s">
        <v>132</v>
      </c>
      <c r="O4352" s="564" t="s">
        <v>2099</v>
      </c>
      <c r="P4352" s="23"/>
      <c r="Q4352" s="23"/>
      <c r="R4352" s="23"/>
      <c r="S4352" s="23"/>
      <c r="T4352" s="23"/>
      <c r="U4352" s="23"/>
      <c r="V4352" s="23"/>
      <c r="W4352" s="23"/>
      <c r="X4352" s="23"/>
      <c r="Y4352" s="23"/>
      <c r="Z4352" s="23"/>
    </row>
    <row r="4353" spans="1:26" ht="13">
      <c r="A4353" s="562" t="s">
        <v>9447</v>
      </c>
      <c r="B4353" s="563" t="s">
        <v>9448</v>
      </c>
      <c r="C4353" s="564" t="s">
        <v>1612</v>
      </c>
      <c r="D4353" s="565">
        <v>40562</v>
      </c>
      <c r="E4353" s="565">
        <v>40753</v>
      </c>
      <c r="F4353" s="566">
        <v>94000</v>
      </c>
      <c r="G4353" s="564" t="s">
        <v>1640</v>
      </c>
      <c r="H4353" s="564" t="s">
        <v>1640</v>
      </c>
      <c r="I4353" s="564" t="s">
        <v>45</v>
      </c>
      <c r="J4353" s="564" t="s">
        <v>1069</v>
      </c>
      <c r="K4353" s="564" t="s">
        <v>1090</v>
      </c>
      <c r="L4353" s="564" t="s">
        <v>2098</v>
      </c>
      <c r="M4353" s="564" t="s">
        <v>2098</v>
      </c>
      <c r="N4353" s="564" t="s">
        <v>45</v>
      </c>
      <c r="O4353" s="564" t="s">
        <v>2099</v>
      </c>
      <c r="P4353" s="23"/>
      <c r="Q4353" s="23"/>
      <c r="R4353" s="23"/>
      <c r="S4353" s="23"/>
      <c r="T4353" s="23"/>
      <c r="U4353" s="23"/>
      <c r="V4353" s="23"/>
      <c r="W4353" s="23"/>
      <c r="X4353" s="23"/>
      <c r="Y4353" s="23"/>
      <c r="Z4353" s="23"/>
    </row>
    <row r="4354" spans="1:26" ht="13">
      <c r="A4354" s="562" t="s">
        <v>9449</v>
      </c>
      <c r="B4354" s="563" t="s">
        <v>8425</v>
      </c>
      <c r="C4354" s="564" t="s">
        <v>1612</v>
      </c>
      <c r="D4354" s="565">
        <v>40562</v>
      </c>
      <c r="E4354" s="565">
        <v>40567</v>
      </c>
      <c r="F4354" s="567">
        <v>980</v>
      </c>
      <c r="G4354" s="564" t="s">
        <v>337</v>
      </c>
      <c r="H4354" s="564" t="s">
        <v>337</v>
      </c>
      <c r="I4354" s="564" t="s">
        <v>70</v>
      </c>
      <c r="J4354" s="564" t="s">
        <v>1069</v>
      </c>
      <c r="K4354" s="564" t="s">
        <v>1120</v>
      </c>
      <c r="L4354" s="564" t="s">
        <v>2098</v>
      </c>
      <c r="M4354" s="564" t="s">
        <v>2098</v>
      </c>
      <c r="N4354" s="564" t="s">
        <v>70</v>
      </c>
      <c r="O4354" s="564" t="s">
        <v>2099</v>
      </c>
      <c r="P4354" s="23"/>
      <c r="Q4354" s="23"/>
      <c r="R4354" s="23"/>
      <c r="S4354" s="23"/>
      <c r="T4354" s="23"/>
      <c r="U4354" s="23"/>
      <c r="V4354" s="23"/>
      <c r="W4354" s="23"/>
      <c r="X4354" s="23"/>
      <c r="Y4354" s="23"/>
      <c r="Z4354" s="23"/>
    </row>
    <row r="4355" spans="1:26" ht="13">
      <c r="A4355" s="562" t="s">
        <v>9450</v>
      </c>
      <c r="B4355" s="563" t="s">
        <v>9451</v>
      </c>
      <c r="C4355" s="564" t="s">
        <v>1612</v>
      </c>
      <c r="D4355" s="565">
        <v>40560</v>
      </c>
      <c r="E4355" s="565">
        <v>40574</v>
      </c>
      <c r="F4355" s="566">
        <v>1630</v>
      </c>
      <c r="G4355" s="564" t="s">
        <v>337</v>
      </c>
      <c r="H4355" s="564" t="s">
        <v>337</v>
      </c>
      <c r="I4355" s="564" t="s">
        <v>70</v>
      </c>
      <c r="J4355" s="564" t="s">
        <v>1069</v>
      </c>
      <c r="K4355" s="564" t="s">
        <v>1120</v>
      </c>
      <c r="L4355" s="564" t="s">
        <v>2098</v>
      </c>
      <c r="M4355" s="564" t="s">
        <v>2098</v>
      </c>
      <c r="N4355" s="564" t="s">
        <v>70</v>
      </c>
      <c r="O4355" s="564" t="s">
        <v>2099</v>
      </c>
      <c r="P4355" s="23"/>
      <c r="Q4355" s="23"/>
      <c r="R4355" s="23"/>
      <c r="S4355" s="23"/>
      <c r="T4355" s="23"/>
      <c r="U4355" s="23"/>
      <c r="V4355" s="23"/>
      <c r="W4355" s="23"/>
      <c r="X4355" s="23"/>
      <c r="Y4355" s="23"/>
      <c r="Z4355" s="23"/>
    </row>
    <row r="4356" spans="1:26" ht="13">
      <c r="A4356" s="562" t="s">
        <v>9452</v>
      </c>
      <c r="B4356" s="563" t="s">
        <v>9453</v>
      </c>
      <c r="C4356" s="564" t="s">
        <v>1612</v>
      </c>
      <c r="D4356" s="565">
        <v>40556</v>
      </c>
      <c r="E4356" s="565">
        <v>40568</v>
      </c>
      <c r="F4356" s="566">
        <v>32340</v>
      </c>
      <c r="G4356" s="564" t="s">
        <v>337</v>
      </c>
      <c r="H4356" s="564" t="s">
        <v>337</v>
      </c>
      <c r="I4356" s="564" t="s">
        <v>802</v>
      </c>
      <c r="J4356" s="564" t="s">
        <v>1069</v>
      </c>
      <c r="K4356" s="564" t="s">
        <v>1198</v>
      </c>
      <c r="L4356" s="564" t="s">
        <v>2098</v>
      </c>
      <c r="M4356" s="564" t="s">
        <v>2098</v>
      </c>
      <c r="N4356" s="564" t="s">
        <v>132</v>
      </c>
      <c r="O4356" s="564" t="s">
        <v>2099</v>
      </c>
      <c r="P4356" s="23"/>
      <c r="Q4356" s="23"/>
      <c r="R4356" s="23"/>
      <c r="S4356" s="23"/>
      <c r="T4356" s="23"/>
      <c r="U4356" s="23"/>
      <c r="V4356" s="23"/>
      <c r="W4356" s="23"/>
      <c r="X4356" s="23"/>
      <c r="Y4356" s="23"/>
      <c r="Z4356" s="23"/>
    </row>
    <row r="4357" spans="1:26" ht="13">
      <c r="A4357" s="562" t="s">
        <v>9454</v>
      </c>
      <c r="B4357" s="563" t="s">
        <v>9455</v>
      </c>
      <c r="C4357" s="564" t="s">
        <v>6860</v>
      </c>
      <c r="D4357" s="565">
        <v>40556</v>
      </c>
      <c r="E4357" s="565">
        <v>40584</v>
      </c>
      <c r="F4357" s="566">
        <v>342000000</v>
      </c>
      <c r="G4357" s="564" t="s">
        <v>1116</v>
      </c>
      <c r="H4357" s="564" t="s">
        <v>1116</v>
      </c>
      <c r="I4357" s="564" t="s">
        <v>9050</v>
      </c>
      <c r="J4357" s="564" t="s">
        <v>1069</v>
      </c>
      <c r="K4357" s="564" t="s">
        <v>1205</v>
      </c>
      <c r="L4357" s="564" t="s">
        <v>2098</v>
      </c>
      <c r="M4357" s="564" t="s">
        <v>2098</v>
      </c>
      <c r="N4357" s="564" t="s">
        <v>1082</v>
      </c>
      <c r="O4357" s="564" t="s">
        <v>2099</v>
      </c>
      <c r="P4357" s="23"/>
      <c r="Q4357" s="23"/>
      <c r="R4357" s="23"/>
      <c r="S4357" s="23"/>
      <c r="T4357" s="23"/>
      <c r="U4357" s="23"/>
      <c r="V4357" s="23"/>
      <c r="W4357" s="23"/>
      <c r="X4357" s="23"/>
      <c r="Y4357" s="23"/>
      <c r="Z4357" s="23"/>
    </row>
    <row r="4358" spans="1:26" ht="13">
      <c r="A4358" s="562" t="s">
        <v>9456</v>
      </c>
      <c r="B4358" s="563" t="s">
        <v>9457</v>
      </c>
      <c r="C4358" s="564" t="s">
        <v>2191</v>
      </c>
      <c r="D4358" s="565">
        <v>40556</v>
      </c>
      <c r="E4358" s="565">
        <v>40574</v>
      </c>
      <c r="F4358" s="566">
        <v>138090909</v>
      </c>
      <c r="G4358" s="564" t="s">
        <v>1123</v>
      </c>
      <c r="H4358" s="564" t="s">
        <v>1123</v>
      </c>
      <c r="I4358" s="564" t="s">
        <v>143</v>
      </c>
      <c r="J4358" s="564" t="s">
        <v>1069</v>
      </c>
      <c r="K4358" s="564" t="s">
        <v>1205</v>
      </c>
      <c r="L4358" s="564" t="s">
        <v>2098</v>
      </c>
      <c r="M4358" s="564" t="s">
        <v>2098</v>
      </c>
      <c r="N4358" s="564" t="s">
        <v>1073</v>
      </c>
      <c r="O4358" s="564" t="s">
        <v>2099</v>
      </c>
      <c r="P4358" s="23"/>
      <c r="Q4358" s="23"/>
      <c r="R4358" s="23"/>
      <c r="S4358" s="23"/>
      <c r="T4358" s="23"/>
      <c r="U4358" s="23"/>
      <c r="V4358" s="23"/>
      <c r="W4358" s="23"/>
      <c r="X4358" s="23"/>
      <c r="Y4358" s="23"/>
      <c r="Z4358" s="23"/>
    </row>
    <row r="4359" spans="1:26" ht="13">
      <c r="A4359" s="562" t="s">
        <v>9458</v>
      </c>
      <c r="B4359" s="563" t="s">
        <v>9459</v>
      </c>
      <c r="C4359" s="564" t="s">
        <v>2191</v>
      </c>
      <c r="D4359" s="565">
        <v>40554</v>
      </c>
      <c r="E4359" s="565">
        <v>40602</v>
      </c>
      <c r="F4359" s="566">
        <v>6350000</v>
      </c>
      <c r="G4359" s="564" t="s">
        <v>1123</v>
      </c>
      <c r="H4359" s="564" t="s">
        <v>1123</v>
      </c>
      <c r="I4359" s="564" t="s">
        <v>8659</v>
      </c>
      <c r="J4359" s="564" t="s">
        <v>1069</v>
      </c>
      <c r="K4359" s="564" t="s">
        <v>1205</v>
      </c>
      <c r="L4359" s="564" t="s">
        <v>2098</v>
      </c>
      <c r="M4359" s="564" t="s">
        <v>2098</v>
      </c>
      <c r="N4359" s="564" t="s">
        <v>1073</v>
      </c>
      <c r="O4359" s="564" t="s">
        <v>2099</v>
      </c>
      <c r="P4359" s="23"/>
      <c r="Q4359" s="23"/>
      <c r="R4359" s="23"/>
      <c r="S4359" s="23"/>
      <c r="T4359" s="23"/>
      <c r="U4359" s="23"/>
      <c r="V4359" s="23"/>
      <c r="W4359" s="23"/>
      <c r="X4359" s="23"/>
      <c r="Y4359" s="23"/>
      <c r="Z4359" s="23"/>
    </row>
    <row r="4360" spans="1:26" ht="13">
      <c r="A4360" s="562" t="s">
        <v>9460</v>
      </c>
      <c r="B4360" s="563" t="s">
        <v>9091</v>
      </c>
      <c r="C4360" s="564" t="s">
        <v>1612</v>
      </c>
      <c r="D4360" s="565">
        <v>40554</v>
      </c>
      <c r="E4360" s="565">
        <v>40560</v>
      </c>
      <c r="F4360" s="566">
        <v>1960</v>
      </c>
      <c r="G4360" s="564" t="s">
        <v>337</v>
      </c>
      <c r="H4360" s="564" t="s">
        <v>337</v>
      </c>
      <c r="I4360" s="564" t="s">
        <v>70</v>
      </c>
      <c r="J4360" s="564" t="s">
        <v>1069</v>
      </c>
      <c r="K4360" s="564" t="s">
        <v>1120</v>
      </c>
      <c r="L4360" s="564" t="s">
        <v>2098</v>
      </c>
      <c r="M4360" s="564" t="s">
        <v>2098</v>
      </c>
      <c r="N4360" s="564" t="s">
        <v>70</v>
      </c>
      <c r="O4360" s="564" t="s">
        <v>2099</v>
      </c>
      <c r="P4360" s="23"/>
      <c r="Q4360" s="23"/>
      <c r="R4360" s="23"/>
      <c r="S4360" s="23"/>
      <c r="T4360" s="23"/>
      <c r="U4360" s="23"/>
      <c r="V4360" s="23"/>
      <c r="W4360" s="23"/>
      <c r="X4360" s="23"/>
      <c r="Y4360" s="23"/>
      <c r="Z4360" s="23"/>
    </row>
    <row r="4361" spans="1:26" ht="13">
      <c r="A4361" s="562" t="s">
        <v>9461</v>
      </c>
      <c r="B4361" s="563" t="s">
        <v>9439</v>
      </c>
      <c r="C4361" s="564" t="s">
        <v>1612</v>
      </c>
      <c r="D4361" s="565">
        <v>40554</v>
      </c>
      <c r="E4361" s="565">
        <v>40563</v>
      </c>
      <c r="F4361" s="566">
        <v>2445</v>
      </c>
      <c r="G4361" s="564" t="s">
        <v>337</v>
      </c>
      <c r="H4361" s="564" t="s">
        <v>337</v>
      </c>
      <c r="I4361" s="564" t="s">
        <v>70</v>
      </c>
      <c r="J4361" s="564" t="s">
        <v>1069</v>
      </c>
      <c r="K4361" s="564" t="s">
        <v>1120</v>
      </c>
      <c r="L4361" s="564" t="s">
        <v>2098</v>
      </c>
      <c r="M4361" s="564" t="s">
        <v>2098</v>
      </c>
      <c r="N4361" s="564" t="s">
        <v>70</v>
      </c>
      <c r="O4361" s="564" t="s">
        <v>2099</v>
      </c>
      <c r="P4361" s="23"/>
      <c r="Q4361" s="23"/>
      <c r="R4361" s="23"/>
      <c r="S4361" s="23"/>
      <c r="T4361" s="23"/>
      <c r="U4361" s="23"/>
      <c r="V4361" s="23"/>
      <c r="W4361" s="23"/>
      <c r="X4361" s="23"/>
      <c r="Y4361" s="23"/>
      <c r="Z4361" s="23"/>
    </row>
    <row r="4362" spans="1:26" ht="13">
      <c r="A4362" s="562" t="s">
        <v>9462</v>
      </c>
      <c r="B4362" s="563" t="s">
        <v>9463</v>
      </c>
      <c r="C4362" s="564" t="s">
        <v>1612</v>
      </c>
      <c r="D4362" s="565">
        <v>40553</v>
      </c>
      <c r="E4362" s="565">
        <v>40557</v>
      </c>
      <c r="F4362" s="566">
        <v>4500</v>
      </c>
      <c r="G4362" s="564" t="s">
        <v>337</v>
      </c>
      <c r="H4362" s="564" t="s">
        <v>337</v>
      </c>
      <c r="I4362" s="564" t="s">
        <v>1821</v>
      </c>
      <c r="J4362" s="564" t="s">
        <v>1069</v>
      </c>
      <c r="K4362" s="564" t="s">
        <v>1120</v>
      </c>
      <c r="L4362" s="564" t="s">
        <v>2098</v>
      </c>
      <c r="M4362" s="564" t="s">
        <v>2098</v>
      </c>
      <c r="N4362" s="564" t="s">
        <v>1073</v>
      </c>
      <c r="O4362" s="564" t="s">
        <v>2099</v>
      </c>
      <c r="P4362" s="23"/>
      <c r="Q4362" s="23"/>
      <c r="R4362" s="23"/>
      <c r="S4362" s="23"/>
      <c r="T4362" s="23"/>
      <c r="U4362" s="23"/>
      <c r="V4362" s="23"/>
      <c r="W4362" s="23"/>
      <c r="X4362" s="23"/>
      <c r="Y4362" s="23"/>
      <c r="Z4362" s="23"/>
    </row>
    <row r="4363" spans="1:26" ht="13">
      <c r="A4363" s="562" t="s">
        <v>9464</v>
      </c>
      <c r="B4363" s="563" t="s">
        <v>9465</v>
      </c>
      <c r="C4363" s="564" t="s">
        <v>2191</v>
      </c>
      <c r="D4363" s="565">
        <v>40553</v>
      </c>
      <c r="E4363" s="565">
        <v>40633</v>
      </c>
      <c r="F4363" s="566">
        <v>109090909</v>
      </c>
      <c r="G4363" s="564" t="s">
        <v>297</v>
      </c>
      <c r="H4363" s="564" t="s">
        <v>297</v>
      </c>
      <c r="I4363" s="564" t="s">
        <v>9466</v>
      </c>
      <c r="J4363" s="564" t="s">
        <v>1069</v>
      </c>
      <c r="K4363" s="564" t="s">
        <v>1198</v>
      </c>
      <c r="L4363" s="564" t="s">
        <v>2098</v>
      </c>
      <c r="M4363" s="564" t="s">
        <v>2098</v>
      </c>
      <c r="N4363" s="564" t="s">
        <v>1368</v>
      </c>
      <c r="O4363" s="564" t="s">
        <v>2099</v>
      </c>
      <c r="P4363" s="23"/>
      <c r="Q4363" s="23"/>
      <c r="R4363" s="23"/>
      <c r="S4363" s="23"/>
      <c r="T4363" s="23"/>
      <c r="U4363" s="23"/>
      <c r="V4363" s="23"/>
      <c r="W4363" s="23"/>
      <c r="X4363" s="23"/>
      <c r="Y4363" s="23"/>
      <c r="Z4363" s="23"/>
    </row>
    <row r="4364" spans="1:26" ht="13">
      <c r="A4364" s="562" t="s">
        <v>9467</v>
      </c>
      <c r="B4364" s="563" t="s">
        <v>9468</v>
      </c>
      <c r="C4364" s="564" t="s">
        <v>1612</v>
      </c>
      <c r="D4364" s="565">
        <v>40549</v>
      </c>
      <c r="E4364" s="565">
        <v>40560</v>
      </c>
      <c r="F4364" s="566">
        <v>23520</v>
      </c>
      <c r="G4364" s="564" t="s">
        <v>337</v>
      </c>
      <c r="H4364" s="564" t="s">
        <v>337</v>
      </c>
      <c r="I4364" s="564" t="s">
        <v>70</v>
      </c>
      <c r="J4364" s="564" t="s">
        <v>1069</v>
      </c>
      <c r="K4364" s="564" t="s">
        <v>1120</v>
      </c>
      <c r="L4364" s="564" t="s">
        <v>2098</v>
      </c>
      <c r="M4364" s="564" t="s">
        <v>2098</v>
      </c>
      <c r="N4364" s="564" t="s">
        <v>70</v>
      </c>
      <c r="O4364" s="564" t="s">
        <v>2099</v>
      </c>
      <c r="P4364" s="23"/>
      <c r="Q4364" s="23"/>
      <c r="R4364" s="23"/>
      <c r="S4364" s="23"/>
      <c r="T4364" s="23"/>
      <c r="U4364" s="23"/>
      <c r="V4364" s="23"/>
      <c r="W4364" s="23"/>
      <c r="X4364" s="23"/>
      <c r="Y4364" s="23"/>
      <c r="Z4364" s="23"/>
    </row>
    <row r="4365" spans="1:26" ht="13">
      <c r="A4365" s="562" t="s">
        <v>9469</v>
      </c>
      <c r="B4365" s="563" t="s">
        <v>9470</v>
      </c>
      <c r="C4365" s="564" t="s">
        <v>2191</v>
      </c>
      <c r="D4365" s="565">
        <v>40547</v>
      </c>
      <c r="E4365" s="565">
        <v>40633</v>
      </c>
      <c r="F4365" s="566">
        <v>223500</v>
      </c>
      <c r="G4365" s="564" t="s">
        <v>1636</v>
      </c>
      <c r="H4365" s="564" t="s">
        <v>1636</v>
      </c>
      <c r="I4365" s="564" t="s">
        <v>7175</v>
      </c>
      <c r="J4365" s="564" t="s">
        <v>1069</v>
      </c>
      <c r="K4365" s="564" t="s">
        <v>1070</v>
      </c>
      <c r="L4365" s="564" t="s">
        <v>2098</v>
      </c>
      <c r="M4365" s="564" t="s">
        <v>2098</v>
      </c>
      <c r="N4365" s="564" t="s">
        <v>1082</v>
      </c>
      <c r="O4365" s="564" t="s">
        <v>2099</v>
      </c>
      <c r="P4365" s="23"/>
      <c r="Q4365" s="23"/>
      <c r="R4365" s="23"/>
      <c r="S4365" s="23"/>
      <c r="T4365" s="23"/>
      <c r="U4365" s="23"/>
      <c r="V4365" s="23"/>
      <c r="W4365" s="23"/>
      <c r="X4365" s="23"/>
      <c r="Y4365" s="23"/>
      <c r="Z4365" s="23"/>
    </row>
    <row r="4366" spans="1:26" ht="13">
      <c r="A4366" s="562" t="s">
        <v>9471</v>
      </c>
      <c r="B4366" s="563" t="s">
        <v>9071</v>
      </c>
      <c r="C4366" s="564" t="s">
        <v>1612</v>
      </c>
      <c r="D4366" s="565">
        <v>40547</v>
      </c>
      <c r="E4366" s="565">
        <v>40557</v>
      </c>
      <c r="F4366" s="566">
        <v>205567</v>
      </c>
      <c r="G4366" s="564" t="s">
        <v>297</v>
      </c>
      <c r="H4366" s="564" t="s">
        <v>297</v>
      </c>
      <c r="I4366" s="564" t="s">
        <v>45</v>
      </c>
      <c r="J4366" s="564" t="s">
        <v>1069</v>
      </c>
      <c r="K4366" s="564" t="s">
        <v>1090</v>
      </c>
      <c r="L4366" s="564" t="s">
        <v>2098</v>
      </c>
      <c r="M4366" s="564" t="s">
        <v>2098</v>
      </c>
      <c r="N4366" s="564" t="s">
        <v>45</v>
      </c>
      <c r="O4366" s="564" t="s">
        <v>2099</v>
      </c>
      <c r="P4366" s="23"/>
      <c r="Q4366" s="23"/>
      <c r="R4366" s="23"/>
      <c r="S4366" s="23"/>
      <c r="T4366" s="23"/>
      <c r="U4366" s="23"/>
      <c r="V4366" s="23"/>
      <c r="W4366" s="23"/>
      <c r="X4366" s="23"/>
      <c r="Y4366" s="23"/>
      <c r="Z4366" s="23"/>
    </row>
    <row r="4367" spans="1:26" ht="13">
      <c r="A4367" s="562" t="s">
        <v>9472</v>
      </c>
      <c r="B4367" s="563" t="s">
        <v>9473</v>
      </c>
      <c r="C4367" s="564" t="s">
        <v>1612</v>
      </c>
      <c r="D4367" s="565">
        <v>40546</v>
      </c>
      <c r="E4367" s="565">
        <v>40548</v>
      </c>
      <c r="F4367" s="566">
        <v>6200</v>
      </c>
      <c r="G4367" s="564" t="s">
        <v>337</v>
      </c>
      <c r="H4367" s="564" t="s">
        <v>337</v>
      </c>
      <c r="I4367" s="564" t="s">
        <v>802</v>
      </c>
      <c r="J4367" s="564" t="s">
        <v>1069</v>
      </c>
      <c r="K4367" s="564" t="s">
        <v>1198</v>
      </c>
      <c r="L4367" s="564" t="s">
        <v>2098</v>
      </c>
      <c r="M4367" s="564" t="s">
        <v>2098</v>
      </c>
      <c r="N4367" s="564" t="s">
        <v>132</v>
      </c>
      <c r="O4367" s="564" t="s">
        <v>2099</v>
      </c>
      <c r="P4367" s="23"/>
      <c r="Q4367" s="23"/>
      <c r="R4367" s="23"/>
      <c r="S4367" s="23"/>
      <c r="T4367" s="23"/>
      <c r="U4367" s="23"/>
      <c r="V4367" s="23"/>
      <c r="W4367" s="23"/>
      <c r="X4367" s="23"/>
      <c r="Y4367" s="23"/>
      <c r="Z4367" s="23"/>
    </row>
    <row r="4368" spans="1:26" ht="13">
      <c r="A4368" s="562" t="s">
        <v>9474</v>
      </c>
      <c r="B4368" s="563" t="s">
        <v>9475</v>
      </c>
      <c r="C4368" s="564" t="s">
        <v>1612</v>
      </c>
      <c r="D4368" s="565">
        <v>40546</v>
      </c>
      <c r="E4368" s="565">
        <v>40526</v>
      </c>
      <c r="F4368" s="566">
        <v>1820</v>
      </c>
      <c r="G4368" s="564" t="s">
        <v>337</v>
      </c>
      <c r="H4368" s="564" t="s">
        <v>337</v>
      </c>
      <c r="I4368" s="564" t="s">
        <v>70</v>
      </c>
      <c r="J4368" s="564" t="s">
        <v>1069</v>
      </c>
      <c r="K4368" s="564" t="s">
        <v>1120</v>
      </c>
      <c r="L4368" s="564" t="s">
        <v>2098</v>
      </c>
      <c r="M4368" s="564" t="s">
        <v>2098</v>
      </c>
      <c r="N4368" s="564" t="s">
        <v>70</v>
      </c>
      <c r="O4368" s="564" t="s">
        <v>2099</v>
      </c>
      <c r="P4368" s="23"/>
      <c r="Q4368" s="23"/>
      <c r="R4368" s="23"/>
      <c r="S4368" s="23"/>
      <c r="T4368" s="23"/>
      <c r="U4368" s="23"/>
      <c r="V4368" s="23"/>
      <c r="W4368" s="23"/>
      <c r="X4368" s="23"/>
      <c r="Y4368" s="23"/>
      <c r="Z4368" s="23"/>
    </row>
    <row r="4369" spans="1:26" ht="13">
      <c r="A4369" s="562" t="s">
        <v>9476</v>
      </c>
      <c r="B4369" s="563" t="s">
        <v>9477</v>
      </c>
      <c r="C4369" s="564" t="s">
        <v>1612</v>
      </c>
      <c r="D4369" s="565">
        <v>40539</v>
      </c>
      <c r="E4369" s="565">
        <v>40633</v>
      </c>
      <c r="F4369" s="566">
        <v>456200000</v>
      </c>
      <c r="G4369" s="564" t="s">
        <v>1856</v>
      </c>
      <c r="H4369" s="564" t="s">
        <v>1856</v>
      </c>
      <c r="I4369" s="564" t="s">
        <v>9432</v>
      </c>
      <c r="J4369" s="564" t="s">
        <v>1069</v>
      </c>
      <c r="K4369" s="564" t="s">
        <v>1090</v>
      </c>
      <c r="L4369" s="564" t="s">
        <v>2098</v>
      </c>
      <c r="M4369" s="564" t="s">
        <v>2098</v>
      </c>
      <c r="N4369" s="564" t="s">
        <v>45</v>
      </c>
      <c r="O4369" s="564" t="s">
        <v>2099</v>
      </c>
      <c r="P4369" s="23"/>
      <c r="Q4369" s="23"/>
      <c r="R4369" s="23"/>
      <c r="S4369" s="23"/>
      <c r="T4369" s="23"/>
      <c r="U4369" s="23"/>
      <c r="V4369" s="23"/>
      <c r="W4369" s="23"/>
      <c r="X4369" s="23"/>
      <c r="Y4369" s="23"/>
      <c r="Z4369" s="23"/>
    </row>
    <row r="4370" spans="1:26" ht="13">
      <c r="A4370" s="562" t="s">
        <v>9478</v>
      </c>
      <c r="B4370" s="563" t="s">
        <v>9479</v>
      </c>
      <c r="C4370" s="564" t="s">
        <v>1612</v>
      </c>
      <c r="D4370" s="565">
        <v>40539</v>
      </c>
      <c r="E4370" s="565">
        <v>40547</v>
      </c>
      <c r="F4370" s="566">
        <v>5000</v>
      </c>
      <c r="G4370" s="564" t="s">
        <v>9480</v>
      </c>
      <c r="H4370" s="564" t="s">
        <v>9480</v>
      </c>
      <c r="I4370" s="564" t="s">
        <v>1161</v>
      </c>
      <c r="J4370" s="564" t="s">
        <v>1069</v>
      </c>
      <c r="K4370" s="564" t="s">
        <v>1090</v>
      </c>
      <c r="L4370" s="564" t="s">
        <v>2098</v>
      </c>
      <c r="M4370" s="564" t="s">
        <v>2098</v>
      </c>
      <c r="N4370" s="564" t="s">
        <v>1073</v>
      </c>
      <c r="O4370" s="564" t="s">
        <v>2099</v>
      </c>
      <c r="P4370" s="23"/>
      <c r="Q4370" s="23"/>
      <c r="R4370" s="23"/>
      <c r="S4370" s="23"/>
      <c r="T4370" s="23"/>
      <c r="U4370" s="23"/>
      <c r="V4370" s="23"/>
      <c r="W4370" s="23"/>
      <c r="X4370" s="23"/>
      <c r="Y4370" s="23"/>
      <c r="Z4370" s="23"/>
    </row>
    <row r="4371" spans="1:26" ht="13">
      <c r="A4371" s="562" t="s">
        <v>9481</v>
      </c>
      <c r="B4371" s="563" t="s">
        <v>9482</v>
      </c>
      <c r="C4371" s="564" t="s">
        <v>1612</v>
      </c>
      <c r="D4371" s="565">
        <v>40536</v>
      </c>
      <c r="E4371" s="565">
        <v>40550</v>
      </c>
      <c r="F4371" s="566">
        <v>1380</v>
      </c>
      <c r="G4371" s="564" t="s">
        <v>337</v>
      </c>
      <c r="H4371" s="564" t="s">
        <v>337</v>
      </c>
      <c r="I4371" s="564" t="s">
        <v>802</v>
      </c>
      <c r="J4371" s="564" t="s">
        <v>1069</v>
      </c>
      <c r="K4371" s="564" t="s">
        <v>1198</v>
      </c>
      <c r="L4371" s="564" t="s">
        <v>2098</v>
      </c>
      <c r="M4371" s="564" t="s">
        <v>2098</v>
      </c>
      <c r="N4371" s="564" t="s">
        <v>132</v>
      </c>
      <c r="O4371" s="564" t="s">
        <v>2099</v>
      </c>
      <c r="P4371" s="23"/>
      <c r="Q4371" s="23"/>
      <c r="R4371" s="23"/>
      <c r="S4371" s="23"/>
      <c r="T4371" s="23"/>
      <c r="U4371" s="23"/>
      <c r="V4371" s="23"/>
      <c r="W4371" s="23"/>
      <c r="X4371" s="23"/>
      <c r="Y4371" s="23"/>
      <c r="Z4371" s="23"/>
    </row>
    <row r="4372" spans="1:26" ht="13">
      <c r="A4372" s="562" t="s">
        <v>9483</v>
      </c>
      <c r="B4372" s="563" t="s">
        <v>9147</v>
      </c>
      <c r="C4372" s="564" t="s">
        <v>1873</v>
      </c>
      <c r="D4372" s="565">
        <v>40539</v>
      </c>
      <c r="E4372" s="565">
        <v>40542</v>
      </c>
      <c r="F4372" s="566">
        <v>12630</v>
      </c>
      <c r="G4372" s="564" t="s">
        <v>1636</v>
      </c>
      <c r="H4372" s="564" t="s">
        <v>1636</v>
      </c>
      <c r="I4372" s="564" t="s">
        <v>170</v>
      </c>
      <c r="J4372" s="564" t="s">
        <v>1069</v>
      </c>
      <c r="K4372" s="564" t="s">
        <v>1105</v>
      </c>
      <c r="L4372" s="564" t="s">
        <v>2098</v>
      </c>
      <c r="M4372" s="564" t="s">
        <v>2098</v>
      </c>
      <c r="N4372" s="564" t="s">
        <v>170</v>
      </c>
      <c r="O4372" s="564" t="s">
        <v>2099</v>
      </c>
      <c r="P4372" s="23"/>
      <c r="Q4372" s="23"/>
      <c r="R4372" s="23"/>
      <c r="S4372" s="23"/>
      <c r="T4372" s="23"/>
      <c r="U4372" s="23"/>
      <c r="V4372" s="23"/>
      <c r="W4372" s="23"/>
      <c r="X4372" s="23"/>
      <c r="Y4372" s="23"/>
      <c r="Z4372" s="23"/>
    </row>
    <row r="4373" spans="1:26" ht="13">
      <c r="A4373" s="562" t="s">
        <v>9484</v>
      </c>
      <c r="B4373" s="563" t="s">
        <v>9485</v>
      </c>
      <c r="C4373" s="564" t="s">
        <v>2191</v>
      </c>
      <c r="D4373" s="565">
        <v>40534</v>
      </c>
      <c r="E4373" s="565">
        <v>40560</v>
      </c>
      <c r="F4373" s="566">
        <v>216621000</v>
      </c>
      <c r="G4373" s="564" t="s">
        <v>1187</v>
      </c>
      <c r="H4373" s="564" t="s">
        <v>1187</v>
      </c>
      <c r="I4373" s="564" t="s">
        <v>9486</v>
      </c>
      <c r="J4373" s="564" t="s">
        <v>1069</v>
      </c>
      <c r="K4373" s="564" t="s">
        <v>1205</v>
      </c>
      <c r="L4373" s="564" t="s">
        <v>2098</v>
      </c>
      <c r="M4373" s="564" t="s">
        <v>2098</v>
      </c>
      <c r="N4373" s="564" t="s">
        <v>1368</v>
      </c>
      <c r="O4373" s="564" t="s">
        <v>2099</v>
      </c>
      <c r="P4373" s="23"/>
      <c r="Q4373" s="23"/>
      <c r="R4373" s="23"/>
      <c r="S4373" s="23"/>
      <c r="T4373" s="23"/>
      <c r="U4373" s="23"/>
      <c r="V4373" s="23"/>
      <c r="W4373" s="23"/>
      <c r="X4373" s="23"/>
      <c r="Y4373" s="23"/>
      <c r="Z4373" s="23"/>
    </row>
    <row r="4374" spans="1:26" ht="13">
      <c r="A4374" s="562" t="s">
        <v>9487</v>
      </c>
      <c r="B4374" s="563" t="s">
        <v>9488</v>
      </c>
      <c r="C4374" s="564" t="s">
        <v>1612</v>
      </c>
      <c r="D4374" s="565">
        <v>40534</v>
      </c>
      <c r="E4374" s="565">
        <v>40548</v>
      </c>
      <c r="F4374" s="567">
        <v>815</v>
      </c>
      <c r="G4374" s="564" t="s">
        <v>337</v>
      </c>
      <c r="H4374" s="564" t="s">
        <v>337</v>
      </c>
      <c r="I4374" s="564" t="s">
        <v>70</v>
      </c>
      <c r="J4374" s="564" t="s">
        <v>1069</v>
      </c>
      <c r="K4374" s="564" t="s">
        <v>1120</v>
      </c>
      <c r="L4374" s="564" t="s">
        <v>2098</v>
      </c>
      <c r="M4374" s="564" t="s">
        <v>2098</v>
      </c>
      <c r="N4374" s="564" t="s">
        <v>70</v>
      </c>
      <c r="O4374" s="564" t="s">
        <v>2099</v>
      </c>
      <c r="P4374" s="23"/>
      <c r="Q4374" s="23"/>
      <c r="R4374" s="23"/>
      <c r="S4374" s="23"/>
      <c r="T4374" s="23"/>
      <c r="U4374" s="23"/>
      <c r="V4374" s="23"/>
      <c r="W4374" s="23"/>
      <c r="X4374" s="23"/>
      <c r="Y4374" s="23"/>
      <c r="Z4374" s="23"/>
    </row>
    <row r="4375" spans="1:26" ht="13">
      <c r="A4375" s="562" t="s">
        <v>9489</v>
      </c>
      <c r="B4375" s="563" t="s">
        <v>9490</v>
      </c>
      <c r="C4375" s="564" t="s">
        <v>1612</v>
      </c>
      <c r="D4375" s="565">
        <v>40533</v>
      </c>
      <c r="E4375" s="565">
        <v>40543</v>
      </c>
      <c r="F4375" s="566">
        <v>109008000</v>
      </c>
      <c r="G4375" s="564" t="s">
        <v>1157</v>
      </c>
      <c r="H4375" s="564" t="s">
        <v>1157</v>
      </c>
      <c r="I4375" s="564" t="s">
        <v>70</v>
      </c>
      <c r="J4375" s="564" t="s">
        <v>1069</v>
      </c>
      <c r="K4375" s="564" t="s">
        <v>1120</v>
      </c>
      <c r="L4375" s="564" t="s">
        <v>2098</v>
      </c>
      <c r="M4375" s="564" t="s">
        <v>2098</v>
      </c>
      <c r="N4375" s="564" t="s">
        <v>70</v>
      </c>
      <c r="O4375" s="564" t="s">
        <v>2099</v>
      </c>
      <c r="P4375" s="23"/>
      <c r="Q4375" s="23"/>
      <c r="R4375" s="23"/>
      <c r="S4375" s="23"/>
      <c r="T4375" s="23"/>
      <c r="U4375" s="23"/>
      <c r="V4375" s="23"/>
      <c r="W4375" s="23"/>
      <c r="X4375" s="23"/>
      <c r="Y4375" s="23"/>
      <c r="Z4375" s="23"/>
    </row>
    <row r="4376" spans="1:26" ht="13">
      <c r="A4376" s="562" t="s">
        <v>9491</v>
      </c>
      <c r="B4376" s="563" t="s">
        <v>9492</v>
      </c>
      <c r="C4376" s="564" t="s">
        <v>1612</v>
      </c>
      <c r="D4376" s="565">
        <v>40532</v>
      </c>
      <c r="E4376" s="565">
        <v>40536</v>
      </c>
      <c r="F4376" s="567">
        <v>360</v>
      </c>
      <c r="G4376" s="564" t="s">
        <v>337</v>
      </c>
      <c r="H4376" s="564" t="s">
        <v>337</v>
      </c>
      <c r="I4376" s="564" t="s">
        <v>1821</v>
      </c>
      <c r="J4376" s="564" t="s">
        <v>1069</v>
      </c>
      <c r="K4376" s="564" t="s">
        <v>1120</v>
      </c>
      <c r="L4376" s="564" t="s">
        <v>2098</v>
      </c>
      <c r="M4376" s="564" t="s">
        <v>2098</v>
      </c>
      <c r="N4376" s="564" t="s">
        <v>1073</v>
      </c>
      <c r="O4376" s="564" t="s">
        <v>2099</v>
      </c>
      <c r="P4376" s="23"/>
      <c r="Q4376" s="23"/>
      <c r="R4376" s="23"/>
      <c r="S4376" s="23"/>
      <c r="T4376" s="23"/>
      <c r="U4376" s="23"/>
      <c r="V4376" s="23"/>
      <c r="W4376" s="23"/>
      <c r="X4376" s="23"/>
      <c r="Y4376" s="23"/>
      <c r="Z4376" s="23"/>
    </row>
    <row r="4377" spans="1:26" ht="13">
      <c r="A4377" s="562" t="s">
        <v>9493</v>
      </c>
      <c r="B4377" s="563" t="s">
        <v>9494</v>
      </c>
      <c r="C4377" s="564" t="s">
        <v>1612</v>
      </c>
      <c r="D4377" s="565">
        <v>40529</v>
      </c>
      <c r="E4377" s="565">
        <v>40536</v>
      </c>
      <c r="F4377" s="566">
        <v>646500</v>
      </c>
      <c r="G4377" s="564" t="s">
        <v>337</v>
      </c>
      <c r="H4377" s="564" t="s">
        <v>337</v>
      </c>
      <c r="I4377" s="564" t="s">
        <v>2073</v>
      </c>
      <c r="J4377" s="564" t="s">
        <v>1069</v>
      </c>
      <c r="K4377" s="564" t="s">
        <v>1105</v>
      </c>
      <c r="L4377" s="564" t="s">
        <v>2098</v>
      </c>
      <c r="M4377" s="564" t="s">
        <v>2098</v>
      </c>
      <c r="N4377" s="564" t="s">
        <v>225</v>
      </c>
      <c r="O4377" s="564" t="s">
        <v>2099</v>
      </c>
      <c r="P4377" s="23"/>
      <c r="Q4377" s="23"/>
      <c r="R4377" s="23"/>
      <c r="S4377" s="23"/>
      <c r="T4377" s="23"/>
      <c r="U4377" s="23"/>
      <c r="V4377" s="23"/>
      <c r="W4377" s="23"/>
      <c r="X4377" s="23"/>
      <c r="Y4377" s="23"/>
      <c r="Z4377" s="23"/>
    </row>
    <row r="4378" spans="1:26" ht="13">
      <c r="A4378" s="562" t="s">
        <v>9495</v>
      </c>
      <c r="B4378" s="563" t="s">
        <v>9400</v>
      </c>
      <c r="C4378" s="564" t="s">
        <v>1612</v>
      </c>
      <c r="D4378" s="565">
        <v>40529</v>
      </c>
      <c r="E4378" s="565">
        <v>40540</v>
      </c>
      <c r="F4378" s="567">
        <v>646</v>
      </c>
      <c r="G4378" s="564" t="s">
        <v>337</v>
      </c>
      <c r="H4378" s="564" t="s">
        <v>337</v>
      </c>
      <c r="I4378" s="564" t="s">
        <v>2073</v>
      </c>
      <c r="J4378" s="564" t="s">
        <v>1069</v>
      </c>
      <c r="K4378" s="564" t="s">
        <v>1105</v>
      </c>
      <c r="L4378" s="564" t="s">
        <v>2098</v>
      </c>
      <c r="M4378" s="564" t="s">
        <v>2098</v>
      </c>
      <c r="N4378" s="564" t="s">
        <v>225</v>
      </c>
      <c r="O4378" s="564" t="s">
        <v>2099</v>
      </c>
      <c r="P4378" s="23"/>
      <c r="Q4378" s="23"/>
      <c r="R4378" s="23"/>
      <c r="S4378" s="23"/>
      <c r="T4378" s="23"/>
      <c r="U4378" s="23"/>
      <c r="V4378" s="23"/>
      <c r="W4378" s="23"/>
      <c r="X4378" s="23"/>
      <c r="Y4378" s="23"/>
      <c r="Z4378" s="23"/>
    </row>
    <row r="4379" spans="1:26" ht="13">
      <c r="A4379" s="562" t="s">
        <v>9496</v>
      </c>
      <c r="B4379" s="563" t="s">
        <v>9497</v>
      </c>
      <c r="C4379" s="564" t="s">
        <v>1612</v>
      </c>
      <c r="D4379" s="565">
        <v>40529</v>
      </c>
      <c r="E4379" s="565">
        <v>40543</v>
      </c>
      <c r="F4379" s="566">
        <v>709443000</v>
      </c>
      <c r="G4379" s="564" t="s">
        <v>297</v>
      </c>
      <c r="H4379" s="564" t="s">
        <v>297</v>
      </c>
      <c r="I4379" s="564" t="s">
        <v>7259</v>
      </c>
      <c r="J4379" s="564" t="s">
        <v>1069</v>
      </c>
      <c r="K4379" s="564" t="s">
        <v>1070</v>
      </c>
      <c r="L4379" s="564" t="s">
        <v>2098</v>
      </c>
      <c r="M4379" s="564" t="s">
        <v>2098</v>
      </c>
      <c r="N4379" s="564" t="s">
        <v>1082</v>
      </c>
      <c r="O4379" s="564" t="s">
        <v>2099</v>
      </c>
      <c r="P4379" s="23"/>
      <c r="Q4379" s="23"/>
      <c r="R4379" s="23"/>
      <c r="S4379" s="23"/>
      <c r="T4379" s="23"/>
      <c r="U4379" s="23"/>
      <c r="V4379" s="23"/>
      <c r="W4379" s="23"/>
      <c r="X4379" s="23"/>
      <c r="Y4379" s="23"/>
      <c r="Z4379" s="23"/>
    </row>
    <row r="4380" spans="1:26" ht="13">
      <c r="A4380" s="562" t="s">
        <v>9498</v>
      </c>
      <c r="B4380" s="563" t="s">
        <v>9499</v>
      </c>
      <c r="C4380" s="564" t="s">
        <v>1612</v>
      </c>
      <c r="D4380" s="565">
        <v>40526</v>
      </c>
      <c r="E4380" s="565">
        <v>40543</v>
      </c>
      <c r="F4380" s="566">
        <v>13412000</v>
      </c>
      <c r="G4380" s="564" t="s">
        <v>1157</v>
      </c>
      <c r="H4380" s="564" t="s">
        <v>1157</v>
      </c>
      <c r="I4380" s="564" t="s">
        <v>70</v>
      </c>
      <c r="J4380" s="564" t="s">
        <v>1069</v>
      </c>
      <c r="K4380" s="564" t="s">
        <v>1120</v>
      </c>
      <c r="L4380" s="564" t="s">
        <v>2098</v>
      </c>
      <c r="M4380" s="564" t="s">
        <v>2098</v>
      </c>
      <c r="N4380" s="564" t="s">
        <v>70</v>
      </c>
      <c r="O4380" s="564" t="s">
        <v>2099</v>
      </c>
      <c r="P4380" s="23"/>
      <c r="Q4380" s="23"/>
      <c r="R4380" s="23"/>
      <c r="S4380" s="23"/>
      <c r="T4380" s="23"/>
      <c r="U4380" s="23"/>
      <c r="V4380" s="23"/>
      <c r="W4380" s="23"/>
      <c r="X4380" s="23"/>
      <c r="Y4380" s="23"/>
      <c r="Z4380" s="23"/>
    </row>
    <row r="4381" spans="1:26" ht="13">
      <c r="A4381" s="562" t="s">
        <v>9500</v>
      </c>
      <c r="B4381" s="563" t="s">
        <v>9488</v>
      </c>
      <c r="C4381" s="564" t="s">
        <v>1612</v>
      </c>
      <c r="D4381" s="565">
        <v>40528</v>
      </c>
      <c r="E4381" s="565">
        <v>40542</v>
      </c>
      <c r="F4381" s="567">
        <v>815</v>
      </c>
      <c r="G4381" s="564" t="s">
        <v>337</v>
      </c>
      <c r="H4381" s="564" t="s">
        <v>337</v>
      </c>
      <c r="I4381" s="564" t="s">
        <v>70</v>
      </c>
      <c r="J4381" s="564" t="s">
        <v>1069</v>
      </c>
      <c r="K4381" s="564" t="s">
        <v>1120</v>
      </c>
      <c r="L4381" s="564" t="s">
        <v>2098</v>
      </c>
      <c r="M4381" s="564" t="s">
        <v>2098</v>
      </c>
      <c r="N4381" s="564" t="s">
        <v>70</v>
      </c>
      <c r="O4381" s="564" t="s">
        <v>2099</v>
      </c>
      <c r="P4381" s="23"/>
      <c r="Q4381" s="23"/>
      <c r="R4381" s="23"/>
      <c r="S4381" s="23"/>
      <c r="T4381" s="23"/>
      <c r="U4381" s="23"/>
      <c r="V4381" s="23"/>
      <c r="W4381" s="23"/>
      <c r="X4381" s="23"/>
      <c r="Y4381" s="23"/>
      <c r="Z4381" s="23"/>
    </row>
    <row r="4382" spans="1:26" ht="13">
      <c r="A4382" s="562" t="s">
        <v>9501</v>
      </c>
      <c r="B4382" s="563" t="s">
        <v>8560</v>
      </c>
      <c r="C4382" s="564" t="s">
        <v>1612</v>
      </c>
      <c r="D4382" s="565">
        <v>40528</v>
      </c>
      <c r="E4382" s="565">
        <v>40536</v>
      </c>
      <c r="F4382" s="567">
        <v>960</v>
      </c>
      <c r="G4382" s="564" t="s">
        <v>337</v>
      </c>
      <c r="H4382" s="564" t="s">
        <v>337</v>
      </c>
      <c r="I4382" s="564" t="s">
        <v>802</v>
      </c>
      <c r="J4382" s="564" t="s">
        <v>1069</v>
      </c>
      <c r="K4382" s="564" t="s">
        <v>1198</v>
      </c>
      <c r="L4382" s="564" t="s">
        <v>2098</v>
      </c>
      <c r="M4382" s="564" t="s">
        <v>2098</v>
      </c>
      <c r="N4382" s="564" t="s">
        <v>132</v>
      </c>
      <c r="O4382" s="564" t="s">
        <v>2099</v>
      </c>
      <c r="P4382" s="23"/>
      <c r="Q4382" s="23"/>
      <c r="R4382" s="23"/>
      <c r="S4382" s="23"/>
      <c r="T4382" s="23"/>
      <c r="U4382" s="23"/>
      <c r="V4382" s="23"/>
      <c r="W4382" s="23"/>
      <c r="X4382" s="23"/>
      <c r="Y4382" s="23"/>
      <c r="Z4382" s="23"/>
    </row>
    <row r="4383" spans="1:26" ht="13">
      <c r="A4383" s="562" t="s">
        <v>9502</v>
      </c>
      <c r="B4383" s="563" t="s">
        <v>9503</v>
      </c>
      <c r="C4383" s="564" t="s">
        <v>2191</v>
      </c>
      <c r="D4383" s="565">
        <v>40518</v>
      </c>
      <c r="E4383" s="565">
        <v>40532</v>
      </c>
      <c r="F4383" s="566">
        <v>137750000</v>
      </c>
      <c r="G4383" s="564" t="s">
        <v>1187</v>
      </c>
      <c r="H4383" s="564" t="s">
        <v>1187</v>
      </c>
      <c r="I4383" s="564" t="s">
        <v>9486</v>
      </c>
      <c r="J4383" s="564" t="s">
        <v>1069</v>
      </c>
      <c r="K4383" s="564" t="s">
        <v>1205</v>
      </c>
      <c r="L4383" s="564" t="s">
        <v>2098</v>
      </c>
      <c r="M4383" s="564" t="s">
        <v>2098</v>
      </c>
      <c r="N4383" s="564" t="s">
        <v>1368</v>
      </c>
      <c r="O4383" s="564" t="s">
        <v>2099</v>
      </c>
      <c r="P4383" s="23"/>
      <c r="Q4383" s="23"/>
      <c r="R4383" s="23"/>
      <c r="S4383" s="23"/>
      <c r="T4383" s="23"/>
      <c r="U4383" s="23"/>
      <c r="V4383" s="23"/>
      <c r="W4383" s="23"/>
      <c r="X4383" s="23"/>
      <c r="Y4383" s="23"/>
      <c r="Z4383" s="23"/>
    </row>
    <row r="4384" spans="1:26" ht="13">
      <c r="A4384" s="562" t="s">
        <v>9504</v>
      </c>
      <c r="B4384" s="563" t="s">
        <v>9505</v>
      </c>
      <c r="C4384" s="564" t="s">
        <v>2191</v>
      </c>
      <c r="D4384" s="565">
        <v>40515</v>
      </c>
      <c r="E4384" s="565">
        <v>40543</v>
      </c>
      <c r="F4384" s="566">
        <v>71000</v>
      </c>
      <c r="G4384" s="564" t="s">
        <v>1636</v>
      </c>
      <c r="H4384" s="564" t="s">
        <v>1636</v>
      </c>
      <c r="I4384" s="564" t="s">
        <v>9506</v>
      </c>
      <c r="J4384" s="564" t="s">
        <v>1069</v>
      </c>
      <c r="K4384" s="564" t="s">
        <v>1070</v>
      </c>
      <c r="L4384" s="564" t="s">
        <v>2098</v>
      </c>
      <c r="M4384" s="564" t="s">
        <v>2098</v>
      </c>
      <c r="N4384" s="564" t="s">
        <v>1082</v>
      </c>
      <c r="O4384" s="564" t="s">
        <v>2099</v>
      </c>
      <c r="P4384" s="23"/>
      <c r="Q4384" s="23"/>
      <c r="R4384" s="23"/>
      <c r="S4384" s="23"/>
      <c r="T4384" s="23"/>
      <c r="U4384" s="23"/>
      <c r="V4384" s="23"/>
      <c r="W4384" s="23"/>
      <c r="X4384" s="23"/>
      <c r="Y4384" s="23"/>
      <c r="Z4384" s="23"/>
    </row>
    <row r="4385" spans="1:26" ht="13">
      <c r="A4385" s="562" t="s">
        <v>9507</v>
      </c>
      <c r="B4385" s="563" t="s">
        <v>9508</v>
      </c>
      <c r="C4385" s="564" t="s">
        <v>1612</v>
      </c>
      <c r="D4385" s="565">
        <v>40515</v>
      </c>
      <c r="E4385" s="565">
        <v>40522</v>
      </c>
      <c r="F4385" s="566">
        <v>1108</v>
      </c>
      <c r="G4385" s="564" t="s">
        <v>297</v>
      </c>
      <c r="H4385" s="564" t="s">
        <v>297</v>
      </c>
      <c r="I4385" s="564" t="s">
        <v>7259</v>
      </c>
      <c r="J4385" s="564" t="s">
        <v>1069</v>
      </c>
      <c r="K4385" s="564" t="s">
        <v>1070</v>
      </c>
      <c r="L4385" s="564" t="s">
        <v>2098</v>
      </c>
      <c r="M4385" s="564" t="s">
        <v>2098</v>
      </c>
      <c r="N4385" s="564" t="s">
        <v>1082</v>
      </c>
      <c r="O4385" s="564" t="s">
        <v>2099</v>
      </c>
      <c r="P4385" s="23"/>
      <c r="Q4385" s="23"/>
      <c r="R4385" s="23"/>
      <c r="S4385" s="23"/>
      <c r="T4385" s="23"/>
      <c r="U4385" s="23"/>
      <c r="V4385" s="23"/>
      <c r="W4385" s="23"/>
      <c r="X4385" s="23"/>
      <c r="Y4385" s="23"/>
      <c r="Z4385" s="23"/>
    </row>
    <row r="4386" spans="1:26" ht="13">
      <c r="A4386" s="562" t="s">
        <v>9509</v>
      </c>
      <c r="B4386" s="563" t="s">
        <v>9510</v>
      </c>
      <c r="C4386" s="564" t="s">
        <v>2191</v>
      </c>
      <c r="D4386" s="565">
        <v>40515</v>
      </c>
      <c r="E4386" s="565">
        <v>40536</v>
      </c>
      <c r="F4386" s="566">
        <v>19700</v>
      </c>
      <c r="G4386" s="564" t="s">
        <v>1636</v>
      </c>
      <c r="H4386" s="564" t="s">
        <v>1636</v>
      </c>
      <c r="I4386" s="564" t="s">
        <v>7259</v>
      </c>
      <c r="J4386" s="564" t="s">
        <v>1069</v>
      </c>
      <c r="K4386" s="564" t="s">
        <v>1070</v>
      </c>
      <c r="L4386" s="564" t="s">
        <v>2098</v>
      </c>
      <c r="M4386" s="564" t="s">
        <v>2098</v>
      </c>
      <c r="N4386" s="564" t="s">
        <v>1082</v>
      </c>
      <c r="O4386" s="564" t="s">
        <v>2099</v>
      </c>
      <c r="P4386" s="23"/>
      <c r="Q4386" s="23"/>
      <c r="R4386" s="23"/>
      <c r="S4386" s="23"/>
      <c r="T4386" s="23"/>
      <c r="U4386" s="23"/>
      <c r="V4386" s="23"/>
      <c r="W4386" s="23"/>
      <c r="X4386" s="23"/>
      <c r="Y4386" s="23"/>
      <c r="Z4386" s="23"/>
    </row>
    <row r="4387" spans="1:26" ht="13">
      <c r="A4387" s="562" t="s">
        <v>9511</v>
      </c>
      <c r="B4387" s="563" t="s">
        <v>9512</v>
      </c>
      <c r="C4387" s="564" t="s">
        <v>1612</v>
      </c>
      <c r="D4387" s="565">
        <v>40513</v>
      </c>
      <c r="E4387" s="565">
        <v>40515</v>
      </c>
      <c r="F4387" s="566">
        <v>9050</v>
      </c>
      <c r="G4387" s="564" t="s">
        <v>337</v>
      </c>
      <c r="H4387" s="564" t="s">
        <v>337</v>
      </c>
      <c r="I4387" s="564" t="s">
        <v>1821</v>
      </c>
      <c r="J4387" s="564" t="s">
        <v>1069</v>
      </c>
      <c r="K4387" s="564" t="s">
        <v>1120</v>
      </c>
      <c r="L4387" s="564" t="s">
        <v>2098</v>
      </c>
      <c r="M4387" s="564" t="s">
        <v>2098</v>
      </c>
      <c r="N4387" s="564" t="s">
        <v>1073</v>
      </c>
      <c r="O4387" s="564" t="s">
        <v>2099</v>
      </c>
      <c r="P4387" s="23"/>
      <c r="Q4387" s="23"/>
      <c r="R4387" s="23"/>
      <c r="S4387" s="23"/>
      <c r="T4387" s="23"/>
      <c r="U4387" s="23"/>
      <c r="V4387" s="23"/>
      <c r="W4387" s="23"/>
      <c r="X4387" s="23"/>
      <c r="Y4387" s="23"/>
      <c r="Z4387" s="23"/>
    </row>
    <row r="4388" spans="1:26" ht="13">
      <c r="A4388" s="562" t="s">
        <v>9513</v>
      </c>
      <c r="B4388" s="563" t="s">
        <v>5647</v>
      </c>
      <c r="C4388" s="564" t="s">
        <v>1612</v>
      </c>
      <c r="D4388" s="565">
        <v>40511</v>
      </c>
      <c r="E4388" s="565">
        <v>40522</v>
      </c>
      <c r="F4388" s="566">
        <v>1630</v>
      </c>
      <c r="G4388" s="564" t="s">
        <v>337</v>
      </c>
      <c r="H4388" s="564" t="s">
        <v>337</v>
      </c>
      <c r="I4388" s="564" t="s">
        <v>70</v>
      </c>
      <c r="J4388" s="564" t="s">
        <v>1069</v>
      </c>
      <c r="K4388" s="564" t="s">
        <v>1120</v>
      </c>
      <c r="L4388" s="564" t="s">
        <v>2098</v>
      </c>
      <c r="M4388" s="564" t="s">
        <v>2098</v>
      </c>
      <c r="N4388" s="564" t="s">
        <v>70</v>
      </c>
      <c r="O4388" s="564" t="s">
        <v>2099</v>
      </c>
      <c r="P4388" s="23"/>
      <c r="Q4388" s="23"/>
      <c r="R4388" s="23"/>
      <c r="S4388" s="23"/>
      <c r="T4388" s="23"/>
      <c r="U4388" s="23"/>
      <c r="V4388" s="23"/>
      <c r="W4388" s="23"/>
      <c r="X4388" s="23"/>
      <c r="Y4388" s="23"/>
      <c r="Z4388" s="23"/>
    </row>
    <row r="4389" spans="1:26" ht="13">
      <c r="A4389" s="562" t="s">
        <v>9514</v>
      </c>
      <c r="B4389" s="563" t="s">
        <v>9515</v>
      </c>
      <c r="C4389" s="564" t="s">
        <v>1612</v>
      </c>
      <c r="D4389" s="565">
        <v>40506</v>
      </c>
      <c r="E4389" s="565">
        <v>40511</v>
      </c>
      <c r="F4389" s="566">
        <v>560909</v>
      </c>
      <c r="G4389" s="564" t="s">
        <v>337</v>
      </c>
      <c r="H4389" s="564" t="s">
        <v>337</v>
      </c>
      <c r="I4389" s="564" t="s">
        <v>802</v>
      </c>
      <c r="J4389" s="564" t="s">
        <v>1069</v>
      </c>
      <c r="K4389" s="564" t="s">
        <v>1198</v>
      </c>
      <c r="L4389" s="564" t="s">
        <v>2098</v>
      </c>
      <c r="M4389" s="564" t="s">
        <v>2098</v>
      </c>
      <c r="N4389" s="564" t="s">
        <v>132</v>
      </c>
      <c r="O4389" s="564" t="s">
        <v>2099</v>
      </c>
      <c r="P4389" s="23"/>
      <c r="Q4389" s="23"/>
      <c r="R4389" s="23"/>
      <c r="S4389" s="23"/>
      <c r="T4389" s="23"/>
      <c r="U4389" s="23"/>
      <c r="V4389" s="23"/>
      <c r="W4389" s="23"/>
      <c r="X4389" s="23"/>
      <c r="Y4389" s="23"/>
      <c r="Z4389" s="23"/>
    </row>
    <row r="4390" spans="1:26" ht="13">
      <c r="A4390" s="562" t="s">
        <v>9516</v>
      </c>
      <c r="B4390" s="563" t="s">
        <v>9517</v>
      </c>
      <c r="C4390" s="564" t="s">
        <v>1612</v>
      </c>
      <c r="D4390" s="565">
        <v>40505</v>
      </c>
      <c r="E4390" s="565">
        <v>40512</v>
      </c>
      <c r="F4390" s="567">
        <v>340</v>
      </c>
      <c r="G4390" s="564" t="s">
        <v>337</v>
      </c>
      <c r="H4390" s="564" t="s">
        <v>337</v>
      </c>
      <c r="I4390" s="564" t="s">
        <v>2073</v>
      </c>
      <c r="J4390" s="564" t="s">
        <v>1069</v>
      </c>
      <c r="K4390" s="564" t="s">
        <v>1105</v>
      </c>
      <c r="L4390" s="564" t="s">
        <v>2098</v>
      </c>
      <c r="M4390" s="564" t="s">
        <v>2098</v>
      </c>
      <c r="N4390" s="564" t="s">
        <v>225</v>
      </c>
      <c r="O4390" s="564" t="s">
        <v>2099</v>
      </c>
      <c r="P4390" s="23"/>
      <c r="Q4390" s="23"/>
      <c r="R4390" s="23"/>
      <c r="S4390" s="23"/>
      <c r="T4390" s="23"/>
      <c r="U4390" s="23"/>
      <c r="V4390" s="23"/>
      <c r="W4390" s="23"/>
      <c r="X4390" s="23"/>
      <c r="Y4390" s="23"/>
      <c r="Z4390" s="23"/>
    </row>
    <row r="4391" spans="1:26" ht="13">
      <c r="A4391" s="562" t="s">
        <v>9518</v>
      </c>
      <c r="B4391" s="563" t="s">
        <v>9519</v>
      </c>
      <c r="C4391" s="564" t="s">
        <v>1612</v>
      </c>
      <c r="D4391" s="565">
        <v>40501</v>
      </c>
      <c r="E4391" s="565">
        <v>40506</v>
      </c>
      <c r="F4391" s="566">
        <v>2440</v>
      </c>
      <c r="G4391" s="564" t="s">
        <v>337</v>
      </c>
      <c r="H4391" s="564" t="s">
        <v>337</v>
      </c>
      <c r="I4391" s="564" t="s">
        <v>70</v>
      </c>
      <c r="J4391" s="564" t="s">
        <v>1069</v>
      </c>
      <c r="K4391" s="564" t="s">
        <v>1120</v>
      </c>
      <c r="L4391" s="564" t="s">
        <v>2098</v>
      </c>
      <c r="M4391" s="564" t="s">
        <v>2098</v>
      </c>
      <c r="N4391" s="564" t="s">
        <v>70</v>
      </c>
      <c r="O4391" s="564" t="s">
        <v>2099</v>
      </c>
      <c r="P4391" s="23"/>
      <c r="Q4391" s="23"/>
      <c r="R4391" s="23"/>
      <c r="S4391" s="23"/>
      <c r="T4391" s="23"/>
      <c r="U4391" s="23"/>
      <c r="V4391" s="23"/>
      <c r="W4391" s="23"/>
      <c r="X4391" s="23"/>
      <c r="Y4391" s="23"/>
      <c r="Z4391" s="23"/>
    </row>
    <row r="4392" spans="1:26" ht="13">
      <c r="A4392" s="562" t="s">
        <v>9520</v>
      </c>
      <c r="B4392" s="563" t="s">
        <v>9521</v>
      </c>
      <c r="C4392" s="564" t="s">
        <v>1612</v>
      </c>
      <c r="D4392" s="565">
        <v>40500</v>
      </c>
      <c r="E4392" s="565">
        <v>40504</v>
      </c>
      <c r="F4392" s="566">
        <v>8680</v>
      </c>
      <c r="G4392" s="564" t="s">
        <v>337</v>
      </c>
      <c r="H4392" s="564" t="s">
        <v>337</v>
      </c>
      <c r="I4392" s="564" t="s">
        <v>1781</v>
      </c>
      <c r="J4392" s="564" t="s">
        <v>1069</v>
      </c>
      <c r="K4392" s="564" t="s">
        <v>1070</v>
      </c>
      <c r="L4392" s="564" t="s">
        <v>2098</v>
      </c>
      <c r="M4392" s="564" t="s">
        <v>2098</v>
      </c>
      <c r="N4392" s="564" t="s">
        <v>1073</v>
      </c>
      <c r="O4392" s="564" t="s">
        <v>2099</v>
      </c>
      <c r="P4392" s="23"/>
      <c r="Q4392" s="23"/>
      <c r="R4392" s="23"/>
      <c r="S4392" s="23"/>
      <c r="T4392" s="23"/>
      <c r="U4392" s="23"/>
      <c r="V4392" s="23"/>
      <c r="W4392" s="23"/>
      <c r="X4392" s="23"/>
      <c r="Y4392" s="23"/>
      <c r="Z4392" s="23"/>
    </row>
    <row r="4393" spans="1:26" ht="13">
      <c r="A4393" s="562" t="s">
        <v>9522</v>
      </c>
      <c r="B4393" s="563" t="s">
        <v>5647</v>
      </c>
      <c r="C4393" s="564" t="s">
        <v>1612</v>
      </c>
      <c r="D4393" s="565">
        <v>40499</v>
      </c>
      <c r="E4393" s="565">
        <v>40511</v>
      </c>
      <c r="F4393" s="566">
        <v>1630</v>
      </c>
      <c r="G4393" s="564" t="s">
        <v>337</v>
      </c>
      <c r="H4393" s="564" t="s">
        <v>337</v>
      </c>
      <c r="I4393" s="564" t="s">
        <v>70</v>
      </c>
      <c r="J4393" s="564" t="s">
        <v>1069</v>
      </c>
      <c r="K4393" s="564" t="s">
        <v>1120</v>
      </c>
      <c r="L4393" s="564" t="s">
        <v>2098</v>
      </c>
      <c r="M4393" s="564" t="s">
        <v>2098</v>
      </c>
      <c r="N4393" s="564" t="s">
        <v>70</v>
      </c>
      <c r="O4393" s="564" t="s">
        <v>2099</v>
      </c>
      <c r="P4393" s="23"/>
      <c r="Q4393" s="23"/>
      <c r="R4393" s="23"/>
      <c r="S4393" s="23"/>
      <c r="T4393" s="23"/>
      <c r="U4393" s="23"/>
      <c r="V4393" s="23"/>
      <c r="W4393" s="23"/>
      <c r="X4393" s="23"/>
      <c r="Y4393" s="23"/>
      <c r="Z4393" s="23"/>
    </row>
    <row r="4394" spans="1:26" ht="13">
      <c r="A4394" s="562" t="s">
        <v>9523</v>
      </c>
      <c r="B4394" s="563" t="s">
        <v>9524</v>
      </c>
      <c r="C4394" s="564" t="s">
        <v>1612</v>
      </c>
      <c r="D4394" s="565">
        <v>40498</v>
      </c>
      <c r="E4394" s="565">
        <v>40512</v>
      </c>
      <c r="F4394" s="566">
        <v>5510</v>
      </c>
      <c r="G4394" s="564" t="s">
        <v>297</v>
      </c>
      <c r="H4394" s="564" t="s">
        <v>297</v>
      </c>
      <c r="I4394" s="564" t="s">
        <v>45</v>
      </c>
      <c r="J4394" s="564" t="s">
        <v>1069</v>
      </c>
      <c r="K4394" s="564" t="s">
        <v>1090</v>
      </c>
      <c r="L4394" s="564" t="s">
        <v>2098</v>
      </c>
      <c r="M4394" s="564" t="s">
        <v>2098</v>
      </c>
      <c r="N4394" s="564" t="s">
        <v>45</v>
      </c>
      <c r="O4394" s="564" t="s">
        <v>2099</v>
      </c>
      <c r="P4394" s="23"/>
      <c r="Q4394" s="23"/>
      <c r="R4394" s="23"/>
      <c r="S4394" s="23"/>
      <c r="T4394" s="23"/>
      <c r="U4394" s="23"/>
      <c r="V4394" s="23"/>
      <c r="W4394" s="23"/>
      <c r="X4394" s="23"/>
      <c r="Y4394" s="23"/>
      <c r="Z4394" s="23"/>
    </row>
    <row r="4395" spans="1:26" ht="13">
      <c r="A4395" s="562" t="s">
        <v>9525</v>
      </c>
      <c r="B4395" s="563" t="s">
        <v>5647</v>
      </c>
      <c r="C4395" s="564" t="s">
        <v>1612</v>
      </c>
      <c r="D4395" s="565">
        <v>40497</v>
      </c>
      <c r="E4395" s="565">
        <v>40508</v>
      </c>
      <c r="F4395" s="566">
        <v>1630</v>
      </c>
      <c r="G4395" s="564" t="s">
        <v>337</v>
      </c>
      <c r="H4395" s="564" t="s">
        <v>337</v>
      </c>
      <c r="I4395" s="564" t="s">
        <v>70</v>
      </c>
      <c r="J4395" s="564" t="s">
        <v>1069</v>
      </c>
      <c r="K4395" s="564" t="s">
        <v>1120</v>
      </c>
      <c r="L4395" s="564" t="s">
        <v>2098</v>
      </c>
      <c r="M4395" s="564" t="s">
        <v>2098</v>
      </c>
      <c r="N4395" s="564" t="s">
        <v>70</v>
      </c>
      <c r="O4395" s="564" t="s">
        <v>2099</v>
      </c>
      <c r="P4395" s="23"/>
      <c r="Q4395" s="23"/>
      <c r="R4395" s="23"/>
      <c r="S4395" s="23"/>
      <c r="T4395" s="23"/>
      <c r="U4395" s="23"/>
      <c r="V4395" s="23"/>
      <c r="W4395" s="23"/>
      <c r="X4395" s="23"/>
      <c r="Y4395" s="23"/>
      <c r="Z4395" s="23"/>
    </row>
    <row r="4396" spans="1:26" ht="13">
      <c r="A4396" s="562" t="s">
        <v>9526</v>
      </c>
      <c r="B4396" s="563" t="s">
        <v>9154</v>
      </c>
      <c r="C4396" s="564" t="s">
        <v>1612</v>
      </c>
      <c r="D4396" s="565">
        <v>40493</v>
      </c>
      <c r="E4396" s="565">
        <v>40512</v>
      </c>
      <c r="F4396" s="566">
        <v>5200</v>
      </c>
      <c r="G4396" s="564" t="s">
        <v>337</v>
      </c>
      <c r="H4396" s="564" t="s">
        <v>337</v>
      </c>
      <c r="I4396" s="564" t="s">
        <v>1781</v>
      </c>
      <c r="J4396" s="564" t="s">
        <v>1069</v>
      </c>
      <c r="K4396" s="564" t="s">
        <v>1070</v>
      </c>
      <c r="L4396" s="564" t="s">
        <v>2098</v>
      </c>
      <c r="M4396" s="564" t="s">
        <v>2098</v>
      </c>
      <c r="N4396" s="564" t="s">
        <v>1073</v>
      </c>
      <c r="O4396" s="564" t="s">
        <v>2099</v>
      </c>
      <c r="P4396" s="23"/>
      <c r="Q4396" s="23"/>
      <c r="R4396" s="23"/>
      <c r="S4396" s="23"/>
      <c r="T4396" s="23"/>
      <c r="U4396" s="23"/>
      <c r="V4396" s="23"/>
      <c r="W4396" s="23"/>
      <c r="X4396" s="23"/>
      <c r="Y4396" s="23"/>
      <c r="Z4396" s="23"/>
    </row>
    <row r="4397" spans="1:26" ht="13">
      <c r="A4397" s="562" t="s">
        <v>9527</v>
      </c>
      <c r="B4397" s="563" t="s">
        <v>9528</v>
      </c>
      <c r="C4397" s="564" t="s">
        <v>2191</v>
      </c>
      <c r="D4397" s="565">
        <v>40490</v>
      </c>
      <c r="E4397" s="565">
        <v>40573</v>
      </c>
      <c r="F4397" s="566">
        <v>17700000</v>
      </c>
      <c r="G4397" s="564" t="s">
        <v>1123</v>
      </c>
      <c r="H4397" s="564" t="s">
        <v>1123</v>
      </c>
      <c r="I4397" s="564" t="s">
        <v>8659</v>
      </c>
      <c r="J4397" s="564" t="s">
        <v>1069</v>
      </c>
      <c r="K4397" s="564" t="s">
        <v>1205</v>
      </c>
      <c r="L4397" s="564" t="s">
        <v>2098</v>
      </c>
      <c r="M4397" s="564" t="s">
        <v>2098</v>
      </c>
      <c r="N4397" s="564" t="s">
        <v>1073</v>
      </c>
      <c r="O4397" s="564" t="s">
        <v>2099</v>
      </c>
      <c r="P4397" s="23"/>
      <c r="Q4397" s="23"/>
      <c r="R4397" s="23"/>
      <c r="S4397" s="23"/>
      <c r="T4397" s="23"/>
      <c r="U4397" s="23"/>
      <c r="V4397" s="23"/>
      <c r="W4397" s="23"/>
      <c r="X4397" s="23"/>
      <c r="Y4397" s="23"/>
      <c r="Z4397" s="23"/>
    </row>
    <row r="4398" spans="1:26" ht="13">
      <c r="A4398" s="562" t="s">
        <v>9529</v>
      </c>
      <c r="B4398" s="563" t="s">
        <v>9448</v>
      </c>
      <c r="C4398" s="564" t="s">
        <v>1612</v>
      </c>
      <c r="D4398" s="565">
        <v>40487</v>
      </c>
      <c r="E4398" s="565">
        <v>40528</v>
      </c>
      <c r="F4398" s="566">
        <v>6000000</v>
      </c>
      <c r="G4398" s="564" t="s">
        <v>1640</v>
      </c>
      <c r="H4398" s="564" t="s">
        <v>1640</v>
      </c>
      <c r="I4398" s="564" t="s">
        <v>45</v>
      </c>
      <c r="J4398" s="564" t="s">
        <v>1069</v>
      </c>
      <c r="K4398" s="564" t="s">
        <v>1090</v>
      </c>
      <c r="L4398" s="564" t="s">
        <v>2098</v>
      </c>
      <c r="M4398" s="564" t="s">
        <v>2098</v>
      </c>
      <c r="N4398" s="564" t="s">
        <v>45</v>
      </c>
      <c r="O4398" s="564" t="s">
        <v>2099</v>
      </c>
      <c r="P4398" s="23"/>
      <c r="Q4398" s="23"/>
      <c r="R4398" s="23"/>
      <c r="S4398" s="23"/>
      <c r="T4398" s="23"/>
      <c r="U4398" s="23"/>
      <c r="V4398" s="23"/>
      <c r="W4398" s="23"/>
      <c r="X4398" s="23"/>
      <c r="Y4398" s="23"/>
      <c r="Z4398" s="23"/>
    </row>
    <row r="4399" spans="1:26" ht="13">
      <c r="A4399" s="562" t="s">
        <v>9530</v>
      </c>
      <c r="B4399" s="563" t="s">
        <v>9531</v>
      </c>
      <c r="C4399" s="564" t="s">
        <v>1612</v>
      </c>
      <c r="D4399" s="565">
        <v>40487</v>
      </c>
      <c r="E4399" s="565">
        <v>40499</v>
      </c>
      <c r="F4399" s="566">
        <v>1630</v>
      </c>
      <c r="G4399" s="564" t="s">
        <v>337</v>
      </c>
      <c r="H4399" s="564" t="s">
        <v>337</v>
      </c>
      <c r="I4399" s="564" t="s">
        <v>64</v>
      </c>
      <c r="J4399" s="564" t="s">
        <v>1069</v>
      </c>
      <c r="K4399" s="564" t="s">
        <v>1090</v>
      </c>
      <c r="L4399" s="564" t="s">
        <v>2098</v>
      </c>
      <c r="M4399" s="564" t="s">
        <v>2098</v>
      </c>
      <c r="N4399" s="564" t="s">
        <v>64</v>
      </c>
      <c r="O4399" s="564" t="s">
        <v>2099</v>
      </c>
      <c r="P4399" s="23"/>
      <c r="Q4399" s="23"/>
      <c r="R4399" s="23"/>
      <c r="S4399" s="23"/>
      <c r="T4399" s="23"/>
      <c r="U4399" s="23"/>
      <c r="V4399" s="23"/>
      <c r="W4399" s="23"/>
      <c r="X4399" s="23"/>
      <c r="Y4399" s="23"/>
      <c r="Z4399" s="23"/>
    </row>
    <row r="4400" spans="1:26" ht="13">
      <c r="A4400" s="562" t="s">
        <v>9532</v>
      </c>
      <c r="B4400" s="563" t="s">
        <v>9533</v>
      </c>
      <c r="C4400" s="564" t="s">
        <v>1612</v>
      </c>
      <c r="D4400" s="565">
        <v>40485</v>
      </c>
      <c r="E4400" s="565">
        <v>40506</v>
      </c>
      <c r="F4400" s="566">
        <v>5319800</v>
      </c>
      <c r="G4400" s="564" t="s">
        <v>1123</v>
      </c>
      <c r="H4400" s="564" t="s">
        <v>1123</v>
      </c>
      <c r="I4400" s="564" t="s">
        <v>257</v>
      </c>
      <c r="J4400" s="564" t="s">
        <v>1069</v>
      </c>
      <c r="K4400" s="564" t="s">
        <v>1209</v>
      </c>
      <c r="L4400" s="564" t="s">
        <v>2098</v>
      </c>
      <c r="M4400" s="564" t="s">
        <v>2098</v>
      </c>
      <c r="N4400" s="564" t="s">
        <v>257</v>
      </c>
      <c r="O4400" s="564" t="s">
        <v>2099</v>
      </c>
      <c r="P4400" s="23"/>
      <c r="Q4400" s="23"/>
      <c r="R4400" s="23"/>
      <c r="S4400" s="23"/>
      <c r="T4400" s="23"/>
      <c r="U4400" s="23"/>
      <c r="V4400" s="23"/>
      <c r="W4400" s="23"/>
      <c r="X4400" s="23"/>
      <c r="Y4400" s="23"/>
      <c r="Z4400" s="23"/>
    </row>
    <row r="4401" spans="1:26" ht="13">
      <c r="A4401" s="562" t="s">
        <v>9534</v>
      </c>
      <c r="B4401" s="563" t="s">
        <v>9400</v>
      </c>
      <c r="C4401" s="564" t="s">
        <v>1612</v>
      </c>
      <c r="D4401" s="565">
        <v>40487</v>
      </c>
      <c r="E4401" s="565">
        <v>40494</v>
      </c>
      <c r="F4401" s="567">
        <v>225</v>
      </c>
      <c r="G4401" s="564" t="s">
        <v>337</v>
      </c>
      <c r="H4401" s="564" t="s">
        <v>337</v>
      </c>
      <c r="I4401" s="564" t="s">
        <v>2073</v>
      </c>
      <c r="J4401" s="564" t="s">
        <v>1069</v>
      </c>
      <c r="K4401" s="564" t="s">
        <v>1105</v>
      </c>
      <c r="L4401" s="564" t="s">
        <v>2098</v>
      </c>
      <c r="M4401" s="564" t="s">
        <v>2098</v>
      </c>
      <c r="N4401" s="564" t="s">
        <v>225</v>
      </c>
      <c r="O4401" s="564" t="s">
        <v>2099</v>
      </c>
      <c r="P4401" s="23"/>
      <c r="Q4401" s="23"/>
      <c r="R4401" s="23"/>
      <c r="S4401" s="23"/>
      <c r="T4401" s="23"/>
      <c r="U4401" s="23"/>
      <c r="V4401" s="23"/>
      <c r="W4401" s="23"/>
      <c r="X4401" s="23"/>
      <c r="Y4401" s="23"/>
      <c r="Z4401" s="23"/>
    </row>
    <row r="4402" spans="1:26" ht="13">
      <c r="A4402" s="562" t="s">
        <v>9535</v>
      </c>
      <c r="B4402" s="563" t="s">
        <v>9488</v>
      </c>
      <c r="C4402" s="564" t="s">
        <v>1612</v>
      </c>
      <c r="D4402" s="565">
        <v>40487</v>
      </c>
      <c r="E4402" s="565">
        <v>40501</v>
      </c>
      <c r="F4402" s="567">
        <v>815</v>
      </c>
      <c r="G4402" s="564" t="s">
        <v>337</v>
      </c>
      <c r="H4402" s="564" t="s">
        <v>337</v>
      </c>
      <c r="I4402" s="564" t="s">
        <v>70</v>
      </c>
      <c r="J4402" s="564" t="s">
        <v>1069</v>
      </c>
      <c r="K4402" s="564" t="s">
        <v>1120</v>
      </c>
      <c r="L4402" s="564" t="s">
        <v>2098</v>
      </c>
      <c r="M4402" s="564" t="s">
        <v>2098</v>
      </c>
      <c r="N4402" s="564" t="s">
        <v>70</v>
      </c>
      <c r="O4402" s="564" t="s">
        <v>2099</v>
      </c>
      <c r="P4402" s="23"/>
      <c r="Q4402" s="23"/>
      <c r="R4402" s="23"/>
      <c r="S4402" s="23"/>
      <c r="T4402" s="23"/>
      <c r="U4402" s="23"/>
      <c r="V4402" s="23"/>
      <c r="W4402" s="23"/>
      <c r="X4402" s="23"/>
      <c r="Y4402" s="23"/>
      <c r="Z4402" s="23"/>
    </row>
    <row r="4403" spans="1:26" ht="13">
      <c r="A4403" s="562" t="s">
        <v>9536</v>
      </c>
      <c r="B4403" s="563" t="s">
        <v>9537</v>
      </c>
      <c r="C4403" s="564" t="s">
        <v>1612</v>
      </c>
      <c r="D4403" s="565">
        <v>40487</v>
      </c>
      <c r="E4403" s="565">
        <v>40490</v>
      </c>
      <c r="F4403" s="566">
        <v>2880</v>
      </c>
      <c r="G4403" s="564" t="s">
        <v>337</v>
      </c>
      <c r="H4403" s="564" t="s">
        <v>337</v>
      </c>
      <c r="I4403" s="564" t="s">
        <v>70</v>
      </c>
      <c r="J4403" s="564" t="s">
        <v>1069</v>
      </c>
      <c r="K4403" s="564" t="s">
        <v>1120</v>
      </c>
      <c r="L4403" s="564" t="s">
        <v>2098</v>
      </c>
      <c r="M4403" s="564" t="s">
        <v>2098</v>
      </c>
      <c r="N4403" s="564" t="s">
        <v>70</v>
      </c>
      <c r="O4403" s="564" t="s">
        <v>2099</v>
      </c>
      <c r="P4403" s="23"/>
      <c r="Q4403" s="23"/>
      <c r="R4403" s="23"/>
      <c r="S4403" s="23"/>
      <c r="T4403" s="23"/>
      <c r="U4403" s="23"/>
      <c r="V4403" s="23"/>
      <c r="W4403" s="23"/>
      <c r="X4403" s="23"/>
      <c r="Y4403" s="23"/>
      <c r="Z4403" s="23"/>
    </row>
    <row r="4404" spans="1:26" ht="13">
      <c r="A4404" s="562" t="s">
        <v>9538</v>
      </c>
      <c r="B4404" s="563" t="s">
        <v>9539</v>
      </c>
      <c r="C4404" s="564" t="s">
        <v>2191</v>
      </c>
      <c r="D4404" s="565">
        <v>40483</v>
      </c>
      <c r="E4404" s="565">
        <v>40494</v>
      </c>
      <c r="F4404" s="566">
        <v>1970000</v>
      </c>
      <c r="G4404" s="564" t="s">
        <v>297</v>
      </c>
      <c r="H4404" s="564" t="s">
        <v>297</v>
      </c>
      <c r="I4404" s="564" t="s">
        <v>9540</v>
      </c>
      <c r="J4404" s="564" t="s">
        <v>1069</v>
      </c>
      <c r="K4404" s="564" t="s">
        <v>1070</v>
      </c>
      <c r="L4404" s="564" t="s">
        <v>2098</v>
      </c>
      <c r="M4404" s="564" t="s">
        <v>2098</v>
      </c>
      <c r="N4404" s="564" t="s">
        <v>1082</v>
      </c>
      <c r="O4404" s="564" t="s">
        <v>2099</v>
      </c>
      <c r="P4404" s="23"/>
      <c r="Q4404" s="23"/>
      <c r="R4404" s="23"/>
      <c r="S4404" s="23"/>
      <c r="T4404" s="23"/>
      <c r="U4404" s="23"/>
      <c r="V4404" s="23"/>
      <c r="W4404" s="23"/>
      <c r="X4404" s="23"/>
      <c r="Y4404" s="23"/>
      <c r="Z4404" s="23"/>
    </row>
    <row r="4405" spans="1:26" ht="13">
      <c r="A4405" s="562" t="s">
        <v>9541</v>
      </c>
      <c r="B4405" s="563" t="s">
        <v>9542</v>
      </c>
      <c r="C4405" s="564" t="s">
        <v>1612</v>
      </c>
      <c r="D4405" s="565">
        <v>40483</v>
      </c>
      <c r="E4405" s="565">
        <v>40483</v>
      </c>
      <c r="F4405" s="566">
        <v>74000</v>
      </c>
      <c r="G4405" s="564" t="s">
        <v>337</v>
      </c>
      <c r="H4405" s="564" t="s">
        <v>337</v>
      </c>
      <c r="I4405" s="564" t="s">
        <v>45</v>
      </c>
      <c r="J4405" s="564" t="s">
        <v>1069</v>
      </c>
      <c r="K4405" s="564" t="s">
        <v>1090</v>
      </c>
      <c r="L4405" s="564" t="s">
        <v>2098</v>
      </c>
      <c r="M4405" s="564" t="s">
        <v>2098</v>
      </c>
      <c r="N4405" s="564" t="s">
        <v>45</v>
      </c>
      <c r="O4405" s="564" t="s">
        <v>2099</v>
      </c>
      <c r="P4405" s="23"/>
      <c r="Q4405" s="23"/>
      <c r="R4405" s="23"/>
      <c r="S4405" s="23"/>
      <c r="T4405" s="23"/>
      <c r="U4405" s="23"/>
      <c r="V4405" s="23"/>
      <c r="W4405" s="23"/>
      <c r="X4405" s="23"/>
      <c r="Y4405" s="23"/>
      <c r="Z4405" s="23"/>
    </row>
    <row r="4406" spans="1:26" ht="13">
      <c r="A4406" s="562" t="s">
        <v>9543</v>
      </c>
      <c r="B4406" s="563" t="s">
        <v>9544</v>
      </c>
      <c r="C4406" s="564" t="s">
        <v>1612</v>
      </c>
      <c r="D4406" s="565">
        <v>40479</v>
      </c>
      <c r="E4406" s="565">
        <v>40497</v>
      </c>
      <c r="F4406" s="566">
        <v>7200</v>
      </c>
      <c r="G4406" s="564" t="s">
        <v>337</v>
      </c>
      <c r="H4406" s="564" t="s">
        <v>337</v>
      </c>
      <c r="I4406" s="564" t="s">
        <v>802</v>
      </c>
      <c r="J4406" s="564" t="s">
        <v>1069</v>
      </c>
      <c r="K4406" s="564" t="s">
        <v>1198</v>
      </c>
      <c r="L4406" s="564" t="s">
        <v>2098</v>
      </c>
      <c r="M4406" s="564" t="s">
        <v>2098</v>
      </c>
      <c r="N4406" s="564" t="s">
        <v>132</v>
      </c>
      <c r="O4406" s="564" t="s">
        <v>2099</v>
      </c>
      <c r="P4406" s="23"/>
      <c r="Q4406" s="23"/>
      <c r="R4406" s="23"/>
      <c r="S4406" s="23"/>
      <c r="T4406" s="23"/>
      <c r="U4406" s="23"/>
      <c r="V4406" s="23"/>
      <c r="W4406" s="23"/>
      <c r="X4406" s="23"/>
      <c r="Y4406" s="23"/>
      <c r="Z4406" s="23"/>
    </row>
    <row r="4407" spans="1:26" ht="13">
      <c r="A4407" s="562" t="s">
        <v>9545</v>
      </c>
      <c r="B4407" s="563" t="s">
        <v>9546</v>
      </c>
      <c r="C4407" s="564" t="s">
        <v>6860</v>
      </c>
      <c r="D4407" s="565">
        <v>40479</v>
      </c>
      <c r="E4407" s="565">
        <v>40648</v>
      </c>
      <c r="F4407" s="566">
        <v>1044750</v>
      </c>
      <c r="G4407" s="564" t="s">
        <v>1116</v>
      </c>
      <c r="H4407" s="564" t="s">
        <v>1116</v>
      </c>
      <c r="I4407" s="564" t="s">
        <v>9238</v>
      </c>
      <c r="J4407" s="564" t="s">
        <v>1069</v>
      </c>
      <c r="K4407" s="564" t="s">
        <v>1070</v>
      </c>
      <c r="L4407" s="564" t="s">
        <v>2098</v>
      </c>
      <c r="M4407" s="564" t="s">
        <v>2098</v>
      </c>
      <c r="N4407" s="564" t="s">
        <v>1082</v>
      </c>
      <c r="O4407" s="564" t="s">
        <v>2099</v>
      </c>
      <c r="P4407" s="23"/>
      <c r="Q4407" s="23"/>
      <c r="R4407" s="23"/>
      <c r="S4407" s="23"/>
      <c r="T4407" s="23"/>
      <c r="U4407" s="23"/>
      <c r="V4407" s="23"/>
      <c r="W4407" s="23"/>
      <c r="X4407" s="23"/>
      <c r="Y4407" s="23"/>
      <c r="Z4407" s="23"/>
    </row>
    <row r="4408" spans="1:26" ht="13">
      <c r="A4408" s="562" t="s">
        <v>9547</v>
      </c>
      <c r="B4408" s="563" t="s">
        <v>9548</v>
      </c>
      <c r="C4408" s="564" t="s">
        <v>1612</v>
      </c>
      <c r="D4408" s="565">
        <v>40478</v>
      </c>
      <c r="E4408" s="565">
        <v>40494</v>
      </c>
      <c r="F4408" s="566">
        <v>15000</v>
      </c>
      <c r="G4408" s="564" t="s">
        <v>297</v>
      </c>
      <c r="H4408" s="564" t="s">
        <v>297</v>
      </c>
      <c r="I4408" s="564" t="s">
        <v>45</v>
      </c>
      <c r="J4408" s="564" t="s">
        <v>1069</v>
      </c>
      <c r="K4408" s="564" t="s">
        <v>1090</v>
      </c>
      <c r="L4408" s="564" t="s">
        <v>2098</v>
      </c>
      <c r="M4408" s="564" t="s">
        <v>2098</v>
      </c>
      <c r="N4408" s="564" t="s">
        <v>45</v>
      </c>
      <c r="O4408" s="564" t="s">
        <v>2099</v>
      </c>
      <c r="P4408" s="23"/>
      <c r="Q4408" s="23"/>
      <c r="R4408" s="23"/>
      <c r="S4408" s="23"/>
      <c r="T4408" s="23"/>
      <c r="U4408" s="23"/>
      <c r="V4408" s="23"/>
      <c r="W4408" s="23"/>
      <c r="X4408" s="23"/>
      <c r="Y4408" s="23"/>
      <c r="Z4408" s="23"/>
    </row>
    <row r="4409" spans="1:26" ht="13">
      <c r="A4409" s="562" t="s">
        <v>9549</v>
      </c>
      <c r="B4409" s="563" t="s">
        <v>9550</v>
      </c>
      <c r="C4409" s="564" t="s">
        <v>1612</v>
      </c>
      <c r="D4409" s="565">
        <v>40478</v>
      </c>
      <c r="E4409" s="565">
        <v>40494</v>
      </c>
      <c r="F4409" s="566">
        <v>2255</v>
      </c>
      <c r="G4409" s="564" t="s">
        <v>337</v>
      </c>
      <c r="H4409" s="564" t="s">
        <v>337</v>
      </c>
      <c r="I4409" s="564" t="s">
        <v>70</v>
      </c>
      <c r="J4409" s="564" t="s">
        <v>1069</v>
      </c>
      <c r="K4409" s="564" t="s">
        <v>1120</v>
      </c>
      <c r="L4409" s="564" t="s">
        <v>2098</v>
      </c>
      <c r="M4409" s="564" t="s">
        <v>2098</v>
      </c>
      <c r="N4409" s="564" t="s">
        <v>70</v>
      </c>
      <c r="O4409" s="564" t="s">
        <v>2099</v>
      </c>
      <c r="P4409" s="23"/>
      <c r="Q4409" s="23"/>
      <c r="R4409" s="23"/>
      <c r="S4409" s="23"/>
      <c r="T4409" s="23"/>
      <c r="U4409" s="23"/>
      <c r="V4409" s="23"/>
      <c r="W4409" s="23"/>
      <c r="X4409" s="23"/>
      <c r="Y4409" s="23"/>
      <c r="Z4409" s="23"/>
    </row>
    <row r="4410" spans="1:26" ht="13">
      <c r="A4410" s="562" t="s">
        <v>9551</v>
      </c>
      <c r="B4410" s="563" t="s">
        <v>9552</v>
      </c>
      <c r="C4410" s="564" t="s">
        <v>2191</v>
      </c>
      <c r="D4410" s="565">
        <v>40478</v>
      </c>
      <c r="E4410" s="565">
        <v>40480</v>
      </c>
      <c r="F4410" s="566">
        <v>1227000000</v>
      </c>
      <c r="G4410" s="564" t="s">
        <v>1187</v>
      </c>
      <c r="H4410" s="564" t="s">
        <v>1187</v>
      </c>
      <c r="I4410" s="564" t="s">
        <v>9553</v>
      </c>
      <c r="J4410" s="564" t="s">
        <v>1069</v>
      </c>
      <c r="K4410" s="564" t="s">
        <v>1070</v>
      </c>
      <c r="L4410" s="564" t="s">
        <v>2098</v>
      </c>
      <c r="M4410" s="564" t="s">
        <v>2098</v>
      </c>
      <c r="N4410" s="564" t="s">
        <v>1082</v>
      </c>
      <c r="O4410" s="564" t="s">
        <v>2099</v>
      </c>
      <c r="P4410" s="23"/>
      <c r="Q4410" s="23"/>
      <c r="R4410" s="23"/>
      <c r="S4410" s="23"/>
      <c r="T4410" s="23"/>
      <c r="U4410" s="23"/>
      <c r="V4410" s="23"/>
      <c r="W4410" s="23"/>
      <c r="X4410" s="23"/>
      <c r="Y4410" s="23"/>
      <c r="Z4410" s="23"/>
    </row>
    <row r="4411" spans="1:26" ht="13">
      <c r="A4411" s="562" t="s">
        <v>9554</v>
      </c>
      <c r="B4411" s="563" t="s">
        <v>9555</v>
      </c>
      <c r="C4411" s="564" t="s">
        <v>1612</v>
      </c>
      <c r="D4411" s="565">
        <v>40477</v>
      </c>
      <c r="E4411" s="565">
        <v>40485</v>
      </c>
      <c r="F4411" s="566">
        <v>1292</v>
      </c>
      <c r="G4411" s="564" t="s">
        <v>337</v>
      </c>
      <c r="H4411" s="564" t="s">
        <v>337</v>
      </c>
      <c r="I4411" s="564" t="s">
        <v>2073</v>
      </c>
      <c r="J4411" s="564" t="s">
        <v>1069</v>
      </c>
      <c r="K4411" s="564" t="s">
        <v>1105</v>
      </c>
      <c r="L4411" s="564" t="s">
        <v>2098</v>
      </c>
      <c r="M4411" s="564" t="s">
        <v>2098</v>
      </c>
      <c r="N4411" s="564" t="s">
        <v>225</v>
      </c>
      <c r="O4411" s="564" t="s">
        <v>2099</v>
      </c>
      <c r="P4411" s="23"/>
      <c r="Q4411" s="23"/>
      <c r="R4411" s="23"/>
      <c r="S4411" s="23"/>
      <c r="T4411" s="23"/>
      <c r="U4411" s="23"/>
      <c r="V4411" s="23"/>
      <c r="W4411" s="23"/>
      <c r="X4411" s="23"/>
      <c r="Y4411" s="23"/>
      <c r="Z4411" s="23"/>
    </row>
    <row r="4412" spans="1:26" ht="13">
      <c r="A4412" s="562" t="s">
        <v>9556</v>
      </c>
      <c r="B4412" s="563" t="s">
        <v>9557</v>
      </c>
      <c r="C4412" s="564" t="s">
        <v>2191</v>
      </c>
      <c r="D4412" s="565">
        <v>40476</v>
      </c>
      <c r="E4412" s="565">
        <v>40480</v>
      </c>
      <c r="F4412" s="566">
        <v>2850000</v>
      </c>
      <c r="G4412" s="564" t="s">
        <v>1529</v>
      </c>
      <c r="H4412" s="564" t="s">
        <v>1529</v>
      </c>
      <c r="I4412" s="564" t="s">
        <v>1771</v>
      </c>
      <c r="J4412" s="564" t="s">
        <v>1069</v>
      </c>
      <c r="K4412" s="564" t="s">
        <v>1070</v>
      </c>
      <c r="L4412" s="564" t="s">
        <v>2098</v>
      </c>
      <c r="M4412" s="564" t="s">
        <v>2098</v>
      </c>
      <c r="N4412" s="564" t="s">
        <v>1082</v>
      </c>
      <c r="O4412" s="564" t="s">
        <v>2099</v>
      </c>
      <c r="P4412" s="23"/>
      <c r="Q4412" s="23"/>
      <c r="R4412" s="23"/>
      <c r="S4412" s="23"/>
      <c r="T4412" s="23"/>
      <c r="U4412" s="23"/>
      <c r="V4412" s="23"/>
      <c r="W4412" s="23"/>
      <c r="X4412" s="23"/>
      <c r="Y4412" s="23"/>
      <c r="Z4412" s="23"/>
    </row>
    <row r="4413" spans="1:26" ht="13">
      <c r="A4413" s="562" t="s">
        <v>9558</v>
      </c>
      <c r="B4413" s="563" t="s">
        <v>9559</v>
      </c>
      <c r="C4413" s="564" t="s">
        <v>1612</v>
      </c>
      <c r="D4413" s="565">
        <v>40472</v>
      </c>
      <c r="E4413" s="565">
        <v>40479</v>
      </c>
      <c r="F4413" s="566">
        <v>1140</v>
      </c>
      <c r="G4413" s="564" t="s">
        <v>337</v>
      </c>
      <c r="H4413" s="564" t="s">
        <v>337</v>
      </c>
      <c r="I4413" s="564" t="s">
        <v>64</v>
      </c>
      <c r="J4413" s="564" t="s">
        <v>1069</v>
      </c>
      <c r="K4413" s="564" t="s">
        <v>1090</v>
      </c>
      <c r="L4413" s="564" t="s">
        <v>2098</v>
      </c>
      <c r="M4413" s="564" t="s">
        <v>2098</v>
      </c>
      <c r="N4413" s="564" t="s">
        <v>64</v>
      </c>
      <c r="O4413" s="564" t="s">
        <v>2099</v>
      </c>
      <c r="P4413" s="23"/>
      <c r="Q4413" s="23"/>
      <c r="R4413" s="23"/>
      <c r="S4413" s="23"/>
      <c r="T4413" s="23"/>
      <c r="U4413" s="23"/>
      <c r="V4413" s="23"/>
      <c r="W4413" s="23"/>
      <c r="X4413" s="23"/>
      <c r="Y4413" s="23"/>
      <c r="Z4413" s="23"/>
    </row>
    <row r="4414" spans="1:26" ht="13">
      <c r="A4414" s="562" t="s">
        <v>9560</v>
      </c>
      <c r="B4414" s="563" t="s">
        <v>9561</v>
      </c>
      <c r="C4414" s="564" t="s">
        <v>1612</v>
      </c>
      <c r="D4414" s="565">
        <v>40472</v>
      </c>
      <c r="E4414" s="565">
        <v>40479</v>
      </c>
      <c r="F4414" s="566">
        <v>65909091</v>
      </c>
      <c r="G4414" s="564" t="s">
        <v>337</v>
      </c>
      <c r="H4414" s="564" t="s">
        <v>337</v>
      </c>
      <c r="I4414" s="564" t="s">
        <v>802</v>
      </c>
      <c r="J4414" s="564" t="s">
        <v>1069</v>
      </c>
      <c r="K4414" s="564" t="s">
        <v>1198</v>
      </c>
      <c r="L4414" s="564" t="s">
        <v>2098</v>
      </c>
      <c r="M4414" s="564" t="s">
        <v>2098</v>
      </c>
      <c r="N4414" s="564" t="s">
        <v>132</v>
      </c>
      <c r="O4414" s="564" t="s">
        <v>2099</v>
      </c>
      <c r="P4414" s="23"/>
      <c r="Q4414" s="23"/>
      <c r="R4414" s="23"/>
      <c r="S4414" s="23"/>
      <c r="T4414" s="23"/>
      <c r="U4414" s="23"/>
      <c r="V4414" s="23"/>
      <c r="W4414" s="23"/>
      <c r="X4414" s="23"/>
      <c r="Y4414" s="23"/>
      <c r="Z4414" s="23"/>
    </row>
    <row r="4415" spans="1:26" ht="13">
      <c r="A4415" s="562" t="s">
        <v>9562</v>
      </c>
      <c r="B4415" s="563" t="s">
        <v>9182</v>
      </c>
      <c r="C4415" s="564" t="s">
        <v>1612</v>
      </c>
      <c r="D4415" s="565">
        <v>40471</v>
      </c>
      <c r="E4415" s="565">
        <v>40543</v>
      </c>
      <c r="F4415" s="566">
        <v>39600</v>
      </c>
      <c r="G4415" s="564" t="s">
        <v>337</v>
      </c>
      <c r="H4415" s="564" t="s">
        <v>337</v>
      </c>
      <c r="I4415" s="564" t="s">
        <v>45</v>
      </c>
      <c r="J4415" s="564" t="s">
        <v>1069</v>
      </c>
      <c r="K4415" s="564" t="s">
        <v>1090</v>
      </c>
      <c r="L4415" s="564" t="s">
        <v>2098</v>
      </c>
      <c r="M4415" s="564" t="s">
        <v>2098</v>
      </c>
      <c r="N4415" s="564" t="s">
        <v>45</v>
      </c>
      <c r="O4415" s="564" t="s">
        <v>2099</v>
      </c>
      <c r="P4415" s="23"/>
      <c r="Q4415" s="23"/>
      <c r="R4415" s="23"/>
      <c r="S4415" s="23"/>
      <c r="T4415" s="23"/>
      <c r="U4415" s="23"/>
      <c r="V4415" s="23"/>
      <c r="W4415" s="23"/>
      <c r="X4415" s="23"/>
      <c r="Y4415" s="23"/>
      <c r="Z4415" s="23"/>
    </row>
    <row r="4416" spans="1:26" ht="13">
      <c r="A4416" s="562" t="s">
        <v>9563</v>
      </c>
      <c r="B4416" s="563" t="s">
        <v>9564</v>
      </c>
      <c r="C4416" s="564" t="s">
        <v>1612</v>
      </c>
      <c r="D4416" s="565">
        <v>40465</v>
      </c>
      <c r="E4416" s="565">
        <v>40478</v>
      </c>
      <c r="F4416" s="566">
        <v>1630</v>
      </c>
      <c r="G4416" s="564" t="s">
        <v>337</v>
      </c>
      <c r="H4416" s="564" t="s">
        <v>337</v>
      </c>
      <c r="I4416" s="564" t="s">
        <v>70</v>
      </c>
      <c r="J4416" s="564" t="s">
        <v>1069</v>
      </c>
      <c r="K4416" s="564" t="s">
        <v>1120</v>
      </c>
      <c r="L4416" s="564" t="s">
        <v>2098</v>
      </c>
      <c r="M4416" s="564" t="s">
        <v>2098</v>
      </c>
      <c r="N4416" s="564" t="s">
        <v>70</v>
      </c>
      <c r="O4416" s="564" t="s">
        <v>2099</v>
      </c>
      <c r="P4416" s="23"/>
      <c r="Q4416" s="23"/>
      <c r="R4416" s="23"/>
      <c r="S4416" s="23"/>
      <c r="T4416" s="23"/>
      <c r="U4416" s="23"/>
      <c r="V4416" s="23"/>
      <c r="W4416" s="23"/>
      <c r="X4416" s="23"/>
      <c r="Y4416" s="23"/>
      <c r="Z4416" s="23"/>
    </row>
    <row r="4417" spans="1:26" ht="13">
      <c r="A4417" s="562" t="s">
        <v>9565</v>
      </c>
      <c r="B4417" s="563" t="s">
        <v>9566</v>
      </c>
      <c r="C4417" s="564" t="s">
        <v>2191</v>
      </c>
      <c r="D4417" s="565">
        <v>40464</v>
      </c>
      <c r="E4417" s="565">
        <v>40543</v>
      </c>
      <c r="F4417" s="566">
        <v>156611000</v>
      </c>
      <c r="G4417" s="564" t="s">
        <v>1856</v>
      </c>
      <c r="H4417" s="564" t="s">
        <v>1856</v>
      </c>
      <c r="I4417" s="564" t="s">
        <v>9567</v>
      </c>
      <c r="J4417" s="564" t="s">
        <v>1069</v>
      </c>
      <c r="K4417" s="564" t="s">
        <v>1070</v>
      </c>
      <c r="L4417" s="564" t="s">
        <v>2098</v>
      </c>
      <c r="M4417" s="564" t="s">
        <v>2098</v>
      </c>
      <c r="N4417" s="564" t="s">
        <v>1082</v>
      </c>
      <c r="O4417" s="564" t="s">
        <v>2099</v>
      </c>
      <c r="P4417" s="23"/>
      <c r="Q4417" s="23"/>
      <c r="R4417" s="23"/>
      <c r="S4417" s="23"/>
      <c r="T4417" s="23"/>
      <c r="U4417" s="23"/>
      <c r="V4417" s="23"/>
      <c r="W4417" s="23"/>
      <c r="X4417" s="23"/>
      <c r="Y4417" s="23"/>
      <c r="Z4417" s="23"/>
    </row>
    <row r="4418" spans="1:26" ht="13">
      <c r="A4418" s="562" t="s">
        <v>9568</v>
      </c>
      <c r="B4418" s="563" t="s">
        <v>9569</v>
      </c>
      <c r="C4418" s="564" t="s">
        <v>1612</v>
      </c>
      <c r="D4418" s="565">
        <v>40464</v>
      </c>
      <c r="E4418" s="565">
        <v>40478</v>
      </c>
      <c r="F4418" s="566">
        <v>4345</v>
      </c>
      <c r="G4418" s="564" t="s">
        <v>337</v>
      </c>
      <c r="H4418" s="564" t="s">
        <v>337</v>
      </c>
      <c r="I4418" s="564" t="s">
        <v>64</v>
      </c>
      <c r="J4418" s="564" t="s">
        <v>1069</v>
      </c>
      <c r="K4418" s="564" t="s">
        <v>1090</v>
      </c>
      <c r="L4418" s="564" t="s">
        <v>2098</v>
      </c>
      <c r="M4418" s="564" t="s">
        <v>2098</v>
      </c>
      <c r="N4418" s="564" t="s">
        <v>64</v>
      </c>
      <c r="O4418" s="564" t="s">
        <v>2099</v>
      </c>
      <c r="P4418" s="23"/>
      <c r="Q4418" s="23"/>
      <c r="R4418" s="23"/>
      <c r="S4418" s="23"/>
      <c r="T4418" s="23"/>
      <c r="U4418" s="23"/>
      <c r="V4418" s="23"/>
      <c r="W4418" s="23"/>
      <c r="X4418" s="23"/>
      <c r="Y4418" s="23"/>
      <c r="Z4418" s="23"/>
    </row>
    <row r="4419" spans="1:26" ht="13">
      <c r="A4419" s="562" t="s">
        <v>9570</v>
      </c>
      <c r="B4419" s="563" t="s">
        <v>9571</v>
      </c>
      <c r="C4419" s="564" t="s">
        <v>2191</v>
      </c>
      <c r="D4419" s="565">
        <v>40463</v>
      </c>
      <c r="E4419" s="565">
        <v>40483</v>
      </c>
      <c r="F4419" s="566">
        <v>796363636</v>
      </c>
      <c r="G4419" s="564" t="s">
        <v>297</v>
      </c>
      <c r="H4419" s="564" t="s">
        <v>297</v>
      </c>
      <c r="I4419" s="564" t="s">
        <v>9099</v>
      </c>
      <c r="J4419" s="564" t="s">
        <v>1069</v>
      </c>
      <c r="K4419" s="564" t="s">
        <v>1198</v>
      </c>
      <c r="L4419" s="564" t="s">
        <v>2098</v>
      </c>
      <c r="M4419" s="564" t="s">
        <v>2098</v>
      </c>
      <c r="N4419" s="564" t="s">
        <v>1368</v>
      </c>
      <c r="O4419" s="564" t="s">
        <v>2099</v>
      </c>
      <c r="P4419" s="23"/>
      <c r="Q4419" s="23"/>
      <c r="R4419" s="23"/>
      <c r="S4419" s="23"/>
      <c r="T4419" s="23"/>
      <c r="U4419" s="23"/>
      <c r="V4419" s="23"/>
      <c r="W4419" s="23"/>
      <c r="X4419" s="23"/>
      <c r="Y4419" s="23"/>
      <c r="Z4419" s="23"/>
    </row>
    <row r="4420" spans="1:26" ht="13">
      <c r="A4420" s="562" t="s">
        <v>9572</v>
      </c>
      <c r="B4420" s="563" t="s">
        <v>9573</v>
      </c>
      <c r="C4420" s="564" t="s">
        <v>1612</v>
      </c>
      <c r="D4420" s="565">
        <v>40462</v>
      </c>
      <c r="E4420" s="565">
        <v>40480</v>
      </c>
      <c r="F4420" s="566">
        <v>47950</v>
      </c>
      <c r="G4420" s="564" t="s">
        <v>9480</v>
      </c>
      <c r="H4420" s="564" t="s">
        <v>9480</v>
      </c>
      <c r="I4420" s="564" t="s">
        <v>45</v>
      </c>
      <c r="J4420" s="564" t="s">
        <v>1069</v>
      </c>
      <c r="K4420" s="564" t="s">
        <v>1090</v>
      </c>
      <c r="L4420" s="564" t="s">
        <v>2098</v>
      </c>
      <c r="M4420" s="564" t="s">
        <v>2098</v>
      </c>
      <c r="N4420" s="564" t="s">
        <v>45</v>
      </c>
      <c r="O4420" s="564" t="s">
        <v>2099</v>
      </c>
      <c r="P4420" s="23"/>
      <c r="Q4420" s="23"/>
      <c r="R4420" s="23"/>
      <c r="S4420" s="23"/>
      <c r="T4420" s="23"/>
      <c r="U4420" s="23"/>
      <c r="V4420" s="23"/>
      <c r="W4420" s="23"/>
      <c r="X4420" s="23"/>
      <c r="Y4420" s="23"/>
      <c r="Z4420" s="23"/>
    </row>
    <row r="4421" spans="1:26" ht="13">
      <c r="A4421" s="562" t="s">
        <v>9574</v>
      </c>
      <c r="B4421" s="563" t="s">
        <v>9575</v>
      </c>
      <c r="C4421" s="564" t="s">
        <v>2191</v>
      </c>
      <c r="D4421" s="565">
        <v>40459</v>
      </c>
      <c r="E4421" s="565">
        <v>40460</v>
      </c>
      <c r="F4421" s="566">
        <v>26950000</v>
      </c>
      <c r="G4421" s="564" t="s">
        <v>1529</v>
      </c>
      <c r="H4421" s="564" t="s">
        <v>1529</v>
      </c>
      <c r="I4421" s="564" t="s">
        <v>1771</v>
      </c>
      <c r="J4421" s="564" t="s">
        <v>1069</v>
      </c>
      <c r="K4421" s="564" t="s">
        <v>1070</v>
      </c>
      <c r="L4421" s="564" t="s">
        <v>2098</v>
      </c>
      <c r="M4421" s="564" t="s">
        <v>2098</v>
      </c>
      <c r="N4421" s="564" t="s">
        <v>1082</v>
      </c>
      <c r="O4421" s="564" t="s">
        <v>2099</v>
      </c>
      <c r="P4421" s="23"/>
      <c r="Q4421" s="23"/>
      <c r="R4421" s="23"/>
      <c r="S4421" s="23"/>
      <c r="T4421" s="23"/>
      <c r="U4421" s="23"/>
      <c r="V4421" s="23"/>
      <c r="W4421" s="23"/>
      <c r="X4421" s="23"/>
      <c r="Y4421" s="23"/>
      <c r="Z4421" s="23"/>
    </row>
    <row r="4422" spans="1:26" ht="13">
      <c r="A4422" s="562" t="s">
        <v>9576</v>
      </c>
      <c r="B4422" s="563" t="s">
        <v>9577</v>
      </c>
      <c r="C4422" s="564" t="s">
        <v>1612</v>
      </c>
      <c r="D4422" s="565">
        <v>40457</v>
      </c>
      <c r="E4422" s="565">
        <v>40464</v>
      </c>
      <c r="F4422" s="566">
        <v>2545454</v>
      </c>
      <c r="G4422" s="564" t="s">
        <v>337</v>
      </c>
      <c r="H4422" s="564" t="s">
        <v>337</v>
      </c>
      <c r="I4422" s="564" t="s">
        <v>802</v>
      </c>
      <c r="J4422" s="564" t="s">
        <v>1069</v>
      </c>
      <c r="K4422" s="564" t="s">
        <v>1198</v>
      </c>
      <c r="L4422" s="564" t="s">
        <v>2098</v>
      </c>
      <c r="M4422" s="564" t="s">
        <v>2098</v>
      </c>
      <c r="N4422" s="564" t="s">
        <v>132</v>
      </c>
      <c r="O4422" s="564" t="s">
        <v>2099</v>
      </c>
      <c r="P4422" s="23"/>
      <c r="Q4422" s="23"/>
      <c r="R4422" s="23"/>
      <c r="S4422" s="23"/>
      <c r="T4422" s="23"/>
      <c r="U4422" s="23"/>
      <c r="V4422" s="23"/>
      <c r="W4422" s="23"/>
      <c r="X4422" s="23"/>
      <c r="Y4422" s="23"/>
      <c r="Z4422" s="23"/>
    </row>
    <row r="4423" spans="1:26" ht="13">
      <c r="A4423" s="562" t="s">
        <v>9578</v>
      </c>
      <c r="B4423" s="563" t="s">
        <v>9579</v>
      </c>
      <c r="C4423" s="564" t="s">
        <v>2191</v>
      </c>
      <c r="D4423" s="565">
        <v>40451</v>
      </c>
      <c r="E4423" s="565">
        <v>40502</v>
      </c>
      <c r="F4423" s="566">
        <v>200000000</v>
      </c>
      <c r="G4423" s="564" t="s">
        <v>1187</v>
      </c>
      <c r="H4423" s="564" t="s">
        <v>1187</v>
      </c>
      <c r="I4423" s="564" t="s">
        <v>9580</v>
      </c>
      <c r="J4423" s="564" t="s">
        <v>1069</v>
      </c>
      <c r="K4423" s="564" t="s">
        <v>1070</v>
      </c>
      <c r="L4423" s="564" t="s">
        <v>2098</v>
      </c>
      <c r="M4423" s="564" t="s">
        <v>2098</v>
      </c>
      <c r="N4423" s="564" t="s">
        <v>1082</v>
      </c>
      <c r="O4423" s="564" t="s">
        <v>2099</v>
      </c>
      <c r="P4423" s="23"/>
      <c r="Q4423" s="23"/>
      <c r="R4423" s="23"/>
      <c r="S4423" s="23"/>
      <c r="T4423" s="23"/>
      <c r="U4423" s="23"/>
      <c r="V4423" s="23"/>
      <c r="W4423" s="23"/>
      <c r="X4423" s="23"/>
      <c r="Y4423" s="23"/>
      <c r="Z4423" s="23"/>
    </row>
    <row r="4424" spans="1:26" ht="13">
      <c r="A4424" s="562" t="s">
        <v>9581</v>
      </c>
      <c r="B4424" s="563" t="s">
        <v>9582</v>
      </c>
      <c r="C4424" s="564" t="s">
        <v>1612</v>
      </c>
      <c r="D4424" s="565">
        <v>40452</v>
      </c>
      <c r="E4424" s="565">
        <v>40466</v>
      </c>
      <c r="F4424" s="566">
        <v>1107731</v>
      </c>
      <c r="G4424" s="564" t="s">
        <v>297</v>
      </c>
      <c r="H4424" s="564" t="s">
        <v>297</v>
      </c>
      <c r="I4424" s="564" t="s">
        <v>45</v>
      </c>
      <c r="J4424" s="564" t="s">
        <v>1069</v>
      </c>
      <c r="K4424" s="564" t="s">
        <v>1090</v>
      </c>
      <c r="L4424" s="564" t="s">
        <v>2098</v>
      </c>
      <c r="M4424" s="564" t="s">
        <v>2098</v>
      </c>
      <c r="N4424" s="564" t="s">
        <v>45</v>
      </c>
      <c r="O4424" s="564" t="s">
        <v>2099</v>
      </c>
      <c r="P4424" s="23"/>
      <c r="Q4424" s="23"/>
      <c r="R4424" s="23"/>
      <c r="S4424" s="23"/>
      <c r="T4424" s="23"/>
      <c r="U4424" s="23"/>
      <c r="V4424" s="23"/>
      <c r="W4424" s="23"/>
      <c r="X4424" s="23"/>
      <c r="Y4424" s="23"/>
      <c r="Z4424" s="23"/>
    </row>
    <row r="4425" spans="1:26" ht="13">
      <c r="A4425" s="562" t="s">
        <v>9583</v>
      </c>
      <c r="B4425" s="563" t="s">
        <v>9584</v>
      </c>
      <c r="C4425" s="564" t="s">
        <v>1612</v>
      </c>
      <c r="D4425" s="565">
        <v>40448</v>
      </c>
      <c r="E4425" s="565">
        <v>40451</v>
      </c>
      <c r="F4425" s="566">
        <v>14050000</v>
      </c>
      <c r="G4425" s="564" t="s">
        <v>1529</v>
      </c>
      <c r="H4425" s="564" t="s">
        <v>1529</v>
      </c>
      <c r="I4425" s="564" t="s">
        <v>9585</v>
      </c>
      <c r="J4425" s="564" t="s">
        <v>1069</v>
      </c>
      <c r="K4425" s="564" t="s">
        <v>1070</v>
      </c>
      <c r="L4425" s="564" t="s">
        <v>2098</v>
      </c>
      <c r="M4425" s="564" t="s">
        <v>2098</v>
      </c>
      <c r="N4425" s="564" t="s">
        <v>1082</v>
      </c>
      <c r="O4425" s="564" t="s">
        <v>2099</v>
      </c>
      <c r="P4425" s="23"/>
      <c r="Q4425" s="23"/>
      <c r="R4425" s="23"/>
      <c r="S4425" s="23"/>
      <c r="T4425" s="23"/>
      <c r="U4425" s="23"/>
      <c r="V4425" s="23"/>
      <c r="W4425" s="23"/>
      <c r="X4425" s="23"/>
      <c r="Y4425" s="23"/>
      <c r="Z4425" s="23"/>
    </row>
    <row r="4426" spans="1:26" ht="13">
      <c r="A4426" s="562" t="s">
        <v>9586</v>
      </c>
      <c r="B4426" s="563" t="s">
        <v>8821</v>
      </c>
      <c r="C4426" s="564" t="s">
        <v>1612</v>
      </c>
      <c r="D4426" s="565">
        <v>40435</v>
      </c>
      <c r="E4426" s="565">
        <v>40449</v>
      </c>
      <c r="F4426" s="566">
        <v>404655</v>
      </c>
      <c r="G4426" s="564" t="s">
        <v>1856</v>
      </c>
      <c r="H4426" s="564" t="s">
        <v>297</v>
      </c>
      <c r="I4426" s="564" t="s">
        <v>45</v>
      </c>
      <c r="J4426" s="564" t="s">
        <v>1069</v>
      </c>
      <c r="K4426" s="564" t="s">
        <v>1090</v>
      </c>
      <c r="L4426" s="564" t="s">
        <v>2098</v>
      </c>
      <c r="M4426" s="564" t="s">
        <v>2098</v>
      </c>
      <c r="N4426" s="564" t="s">
        <v>45</v>
      </c>
      <c r="O4426" s="564" t="s">
        <v>2099</v>
      </c>
      <c r="P4426" s="23"/>
      <c r="Q4426" s="23"/>
      <c r="R4426" s="23"/>
      <c r="S4426" s="23"/>
      <c r="T4426" s="23"/>
      <c r="U4426" s="23"/>
      <c r="V4426" s="23"/>
      <c r="W4426" s="23"/>
      <c r="X4426" s="23"/>
      <c r="Y4426" s="23"/>
      <c r="Z4426" s="23"/>
    </row>
    <row r="4427" spans="1:26" ht="13">
      <c r="A4427" s="562" t="s">
        <v>9587</v>
      </c>
      <c r="B4427" s="563" t="s">
        <v>9588</v>
      </c>
      <c r="C4427" s="564" t="s">
        <v>1612</v>
      </c>
      <c r="D4427" s="565">
        <v>40437</v>
      </c>
      <c r="E4427" s="565">
        <v>40451</v>
      </c>
      <c r="F4427" s="566">
        <v>3750</v>
      </c>
      <c r="G4427" s="564" t="s">
        <v>297</v>
      </c>
      <c r="H4427" s="564" t="s">
        <v>297</v>
      </c>
      <c r="I4427" s="564" t="s">
        <v>7259</v>
      </c>
      <c r="J4427" s="564" t="s">
        <v>1069</v>
      </c>
      <c r="K4427" s="564" t="s">
        <v>1070</v>
      </c>
      <c r="L4427" s="564" t="s">
        <v>2098</v>
      </c>
      <c r="M4427" s="564" t="s">
        <v>2098</v>
      </c>
      <c r="N4427" s="564" t="s">
        <v>1082</v>
      </c>
      <c r="O4427" s="564" t="s">
        <v>2099</v>
      </c>
      <c r="P4427" s="23"/>
      <c r="Q4427" s="23"/>
      <c r="R4427" s="23"/>
      <c r="S4427" s="23"/>
      <c r="T4427" s="23"/>
      <c r="U4427" s="23"/>
      <c r="V4427" s="23"/>
      <c r="W4427" s="23"/>
      <c r="X4427" s="23"/>
      <c r="Y4427" s="23"/>
      <c r="Z4427" s="23"/>
    </row>
    <row r="4428" spans="1:26" ht="13">
      <c r="A4428" s="562" t="s">
        <v>9589</v>
      </c>
      <c r="B4428" s="563" t="s">
        <v>9590</v>
      </c>
      <c r="C4428" s="564" t="s">
        <v>1612</v>
      </c>
      <c r="D4428" s="565">
        <v>40441</v>
      </c>
      <c r="E4428" s="565">
        <v>40459</v>
      </c>
      <c r="F4428" s="566">
        <v>27600</v>
      </c>
      <c r="G4428" s="564" t="s">
        <v>297</v>
      </c>
      <c r="H4428" s="564" t="s">
        <v>297</v>
      </c>
      <c r="I4428" s="564" t="s">
        <v>7259</v>
      </c>
      <c r="J4428" s="564" t="s">
        <v>1069</v>
      </c>
      <c r="K4428" s="564" t="s">
        <v>1070</v>
      </c>
      <c r="L4428" s="564" t="s">
        <v>2098</v>
      </c>
      <c r="M4428" s="564" t="s">
        <v>2098</v>
      </c>
      <c r="N4428" s="564" t="s">
        <v>1082</v>
      </c>
      <c r="O4428" s="564" t="s">
        <v>2099</v>
      </c>
      <c r="P4428" s="23"/>
      <c r="Q4428" s="23"/>
      <c r="R4428" s="23"/>
      <c r="S4428" s="23"/>
      <c r="T4428" s="23"/>
      <c r="U4428" s="23"/>
      <c r="V4428" s="23"/>
      <c r="W4428" s="23"/>
      <c r="X4428" s="23"/>
      <c r="Y4428" s="23"/>
      <c r="Z4428" s="23"/>
    </row>
    <row r="4429" spans="1:26" ht="13">
      <c r="A4429" s="562" t="s">
        <v>9591</v>
      </c>
      <c r="B4429" s="563" t="s">
        <v>9592</v>
      </c>
      <c r="C4429" s="564" t="s">
        <v>2191</v>
      </c>
      <c r="D4429" s="565">
        <v>40435</v>
      </c>
      <c r="E4429" s="565">
        <v>40451</v>
      </c>
      <c r="F4429" s="566">
        <v>36363637</v>
      </c>
      <c r="G4429" s="564" t="s">
        <v>297</v>
      </c>
      <c r="H4429" s="564" t="s">
        <v>297</v>
      </c>
      <c r="I4429" s="564" t="s">
        <v>9593</v>
      </c>
      <c r="J4429" s="564" t="s">
        <v>1069</v>
      </c>
      <c r="K4429" s="564" t="s">
        <v>1198</v>
      </c>
      <c r="L4429" s="564" t="s">
        <v>2098</v>
      </c>
      <c r="M4429" s="564" t="s">
        <v>2098</v>
      </c>
      <c r="N4429" s="564" t="s">
        <v>1082</v>
      </c>
      <c r="O4429" s="564" t="s">
        <v>2099</v>
      </c>
      <c r="P4429" s="23"/>
      <c r="Q4429" s="23"/>
      <c r="R4429" s="23"/>
      <c r="S4429" s="23"/>
      <c r="T4429" s="23"/>
      <c r="U4429" s="23"/>
      <c r="V4429" s="23"/>
      <c r="W4429" s="23"/>
      <c r="X4429" s="23"/>
      <c r="Y4429" s="23"/>
      <c r="Z4429" s="23"/>
    </row>
    <row r="4430" spans="1:26" ht="13">
      <c r="A4430" s="562" t="s">
        <v>9594</v>
      </c>
      <c r="B4430" s="563" t="s">
        <v>9595</v>
      </c>
      <c r="C4430" s="564" t="s">
        <v>2191</v>
      </c>
      <c r="D4430" s="565">
        <v>40435</v>
      </c>
      <c r="E4430" s="565">
        <v>40451</v>
      </c>
      <c r="F4430" s="566">
        <v>45454546</v>
      </c>
      <c r="G4430" s="564" t="s">
        <v>297</v>
      </c>
      <c r="H4430" s="564" t="s">
        <v>297</v>
      </c>
      <c r="I4430" s="564" t="s">
        <v>9596</v>
      </c>
      <c r="J4430" s="564" t="s">
        <v>1069</v>
      </c>
      <c r="K4430" s="564" t="s">
        <v>1070</v>
      </c>
      <c r="L4430" s="564" t="s">
        <v>2098</v>
      </c>
      <c r="M4430" s="564" t="s">
        <v>2098</v>
      </c>
      <c r="N4430" s="564" t="s">
        <v>1082</v>
      </c>
      <c r="O4430" s="564" t="s">
        <v>2099</v>
      </c>
      <c r="P4430" s="23"/>
      <c r="Q4430" s="23"/>
      <c r="R4430" s="23"/>
      <c r="S4430" s="23"/>
      <c r="T4430" s="23"/>
      <c r="U4430" s="23"/>
      <c r="V4430" s="23"/>
      <c r="W4430" s="23"/>
      <c r="X4430" s="23"/>
      <c r="Y4430" s="23"/>
      <c r="Z4430" s="23"/>
    </row>
    <row r="4431" spans="1:26" ht="13">
      <c r="A4431" s="562" t="s">
        <v>9597</v>
      </c>
      <c r="B4431" s="563" t="s">
        <v>9508</v>
      </c>
      <c r="C4431" s="564" t="s">
        <v>1612</v>
      </c>
      <c r="D4431" s="565">
        <v>40435</v>
      </c>
      <c r="E4431" s="565">
        <v>40441</v>
      </c>
      <c r="F4431" s="566">
        <v>1635</v>
      </c>
      <c r="G4431" s="564" t="s">
        <v>297</v>
      </c>
      <c r="H4431" s="564" t="s">
        <v>297</v>
      </c>
      <c r="I4431" s="564" t="s">
        <v>7259</v>
      </c>
      <c r="J4431" s="564" t="s">
        <v>1069</v>
      </c>
      <c r="K4431" s="564" t="s">
        <v>1070</v>
      </c>
      <c r="L4431" s="564" t="s">
        <v>2098</v>
      </c>
      <c r="M4431" s="564" t="s">
        <v>2098</v>
      </c>
      <c r="N4431" s="564" t="s">
        <v>1082</v>
      </c>
      <c r="O4431" s="564" t="s">
        <v>2099</v>
      </c>
      <c r="P4431" s="23"/>
      <c r="Q4431" s="23"/>
      <c r="R4431" s="23"/>
      <c r="S4431" s="23"/>
      <c r="T4431" s="23"/>
      <c r="U4431" s="23"/>
      <c r="V4431" s="23"/>
      <c r="W4431" s="23"/>
      <c r="X4431" s="23"/>
      <c r="Y4431" s="23"/>
      <c r="Z4431" s="23"/>
    </row>
    <row r="4432" spans="1:26" ht="13">
      <c r="A4432" s="562" t="s">
        <v>9598</v>
      </c>
      <c r="B4432" s="563" t="s">
        <v>9599</v>
      </c>
      <c r="C4432" s="564" t="s">
        <v>2191</v>
      </c>
      <c r="D4432" s="565">
        <v>40435</v>
      </c>
      <c r="E4432" s="565">
        <v>40450</v>
      </c>
      <c r="F4432" s="566">
        <v>224277500</v>
      </c>
      <c r="G4432" s="564" t="s">
        <v>1636</v>
      </c>
      <c r="H4432" s="564" t="s">
        <v>1636</v>
      </c>
      <c r="I4432" s="564" t="s">
        <v>9600</v>
      </c>
      <c r="J4432" s="564" t="s">
        <v>1069</v>
      </c>
      <c r="K4432" s="564" t="s">
        <v>1070</v>
      </c>
      <c r="L4432" s="564" t="s">
        <v>2098</v>
      </c>
      <c r="M4432" s="564" t="s">
        <v>2098</v>
      </c>
      <c r="N4432" s="564" t="s">
        <v>1082</v>
      </c>
      <c r="O4432" s="564" t="s">
        <v>2099</v>
      </c>
      <c r="P4432" s="23"/>
      <c r="Q4432" s="23"/>
      <c r="R4432" s="23"/>
      <c r="S4432" s="23"/>
      <c r="T4432" s="23"/>
      <c r="U4432" s="23"/>
      <c r="V4432" s="23"/>
      <c r="W4432" s="23"/>
      <c r="X4432" s="23"/>
      <c r="Y4432" s="23"/>
      <c r="Z4432" s="23"/>
    </row>
    <row r="4433" spans="1:26" ht="13">
      <c r="A4433" s="562" t="s">
        <v>9601</v>
      </c>
      <c r="B4433" s="563" t="s">
        <v>9602</v>
      </c>
      <c r="C4433" s="564" t="s">
        <v>2191</v>
      </c>
      <c r="D4433" s="565">
        <v>40434</v>
      </c>
      <c r="E4433" s="565">
        <v>40437</v>
      </c>
      <c r="F4433" s="566">
        <v>518000</v>
      </c>
      <c r="G4433" s="564" t="s">
        <v>1636</v>
      </c>
      <c r="H4433" s="564" t="s">
        <v>1636</v>
      </c>
      <c r="I4433" s="564" t="s">
        <v>9603</v>
      </c>
      <c r="J4433" s="564" t="s">
        <v>1069</v>
      </c>
      <c r="K4433" s="564" t="s">
        <v>1070</v>
      </c>
      <c r="L4433" s="564" t="s">
        <v>2098</v>
      </c>
      <c r="M4433" s="564" t="s">
        <v>2098</v>
      </c>
      <c r="N4433" s="564" t="s">
        <v>1082</v>
      </c>
      <c r="O4433" s="564" t="s">
        <v>2099</v>
      </c>
      <c r="P4433" s="23"/>
      <c r="Q4433" s="23"/>
      <c r="R4433" s="23"/>
      <c r="S4433" s="23"/>
      <c r="T4433" s="23"/>
      <c r="U4433" s="23"/>
      <c r="V4433" s="23"/>
      <c r="W4433" s="23"/>
      <c r="X4433" s="23"/>
      <c r="Y4433" s="23"/>
      <c r="Z4433" s="23"/>
    </row>
    <row r="4434" spans="1:26" ht="13">
      <c r="A4434" s="562" t="s">
        <v>9604</v>
      </c>
      <c r="B4434" s="563" t="s">
        <v>9605</v>
      </c>
      <c r="C4434" s="564" t="s">
        <v>1612</v>
      </c>
      <c r="D4434" s="565">
        <v>40431</v>
      </c>
      <c r="E4434" s="565">
        <v>40466</v>
      </c>
      <c r="F4434" s="566">
        <v>4232</v>
      </c>
      <c r="G4434" s="564" t="s">
        <v>337</v>
      </c>
      <c r="H4434" s="564" t="s">
        <v>337</v>
      </c>
      <c r="I4434" s="564" t="s">
        <v>64</v>
      </c>
      <c r="J4434" s="564" t="s">
        <v>1069</v>
      </c>
      <c r="K4434" s="564" t="s">
        <v>1090</v>
      </c>
      <c r="L4434" s="564" t="s">
        <v>2098</v>
      </c>
      <c r="M4434" s="564" t="s">
        <v>2098</v>
      </c>
      <c r="N4434" s="564" t="s">
        <v>64</v>
      </c>
      <c r="O4434" s="564" t="s">
        <v>2099</v>
      </c>
      <c r="P4434" s="23"/>
      <c r="Q4434" s="23"/>
      <c r="R4434" s="23"/>
      <c r="S4434" s="23"/>
      <c r="T4434" s="23"/>
      <c r="U4434" s="23"/>
      <c r="V4434" s="23"/>
      <c r="W4434" s="23"/>
      <c r="X4434" s="23"/>
      <c r="Y4434" s="23"/>
      <c r="Z4434" s="23"/>
    </row>
    <row r="4435" spans="1:26" ht="13">
      <c r="A4435" s="562" t="s">
        <v>9606</v>
      </c>
      <c r="B4435" s="563" t="s">
        <v>9607</v>
      </c>
      <c r="C4435" s="564" t="s">
        <v>1612</v>
      </c>
      <c r="D4435" s="565">
        <v>40431</v>
      </c>
      <c r="E4435" s="565">
        <v>40445</v>
      </c>
      <c r="F4435" s="566">
        <v>3420</v>
      </c>
      <c r="G4435" s="564" t="s">
        <v>337</v>
      </c>
      <c r="H4435" s="564" t="s">
        <v>337</v>
      </c>
      <c r="I4435" s="564" t="s">
        <v>802</v>
      </c>
      <c r="J4435" s="564" t="s">
        <v>1069</v>
      </c>
      <c r="K4435" s="564" t="s">
        <v>1198</v>
      </c>
      <c r="L4435" s="564" t="s">
        <v>2098</v>
      </c>
      <c r="M4435" s="564" t="s">
        <v>2098</v>
      </c>
      <c r="N4435" s="564" t="s">
        <v>132</v>
      </c>
      <c r="O4435" s="564" t="s">
        <v>2099</v>
      </c>
      <c r="P4435" s="23"/>
      <c r="Q4435" s="23"/>
      <c r="R4435" s="23"/>
      <c r="S4435" s="23"/>
      <c r="T4435" s="23"/>
      <c r="U4435" s="23"/>
      <c r="V4435" s="23"/>
      <c r="W4435" s="23"/>
      <c r="X4435" s="23"/>
      <c r="Y4435" s="23"/>
      <c r="Z4435" s="23"/>
    </row>
    <row r="4436" spans="1:26" ht="13">
      <c r="A4436" s="562" t="s">
        <v>9608</v>
      </c>
      <c r="B4436" s="563" t="s">
        <v>9564</v>
      </c>
      <c r="C4436" s="564" t="s">
        <v>1612</v>
      </c>
      <c r="D4436" s="565">
        <v>40430</v>
      </c>
      <c r="E4436" s="565">
        <v>40445</v>
      </c>
      <c r="F4436" s="566">
        <v>1630</v>
      </c>
      <c r="G4436" s="564" t="s">
        <v>337</v>
      </c>
      <c r="H4436" s="564" t="s">
        <v>337</v>
      </c>
      <c r="I4436" s="564" t="s">
        <v>70</v>
      </c>
      <c r="J4436" s="564" t="s">
        <v>1069</v>
      </c>
      <c r="K4436" s="564" t="s">
        <v>1120</v>
      </c>
      <c r="L4436" s="564" t="s">
        <v>2098</v>
      </c>
      <c r="M4436" s="564" t="s">
        <v>2098</v>
      </c>
      <c r="N4436" s="564" t="s">
        <v>70</v>
      </c>
      <c r="O4436" s="564" t="s">
        <v>2099</v>
      </c>
      <c r="P4436" s="23"/>
      <c r="Q4436" s="23"/>
      <c r="R4436" s="23"/>
      <c r="S4436" s="23"/>
      <c r="T4436" s="23"/>
      <c r="U4436" s="23"/>
      <c r="V4436" s="23"/>
      <c r="W4436" s="23"/>
      <c r="X4436" s="23"/>
      <c r="Y4436" s="23"/>
      <c r="Z4436" s="23"/>
    </row>
    <row r="4437" spans="1:26" ht="13">
      <c r="A4437" s="562" t="s">
        <v>9609</v>
      </c>
      <c r="B4437" s="563" t="s">
        <v>9610</v>
      </c>
      <c r="C4437" s="564" t="s">
        <v>1612</v>
      </c>
      <c r="D4437" s="565">
        <v>40428</v>
      </c>
      <c r="E4437" s="565">
        <v>40431</v>
      </c>
      <c r="F4437" s="566">
        <v>2500</v>
      </c>
      <c r="G4437" s="564" t="s">
        <v>297</v>
      </c>
      <c r="H4437" s="564" t="s">
        <v>297</v>
      </c>
      <c r="I4437" s="564" t="s">
        <v>7259</v>
      </c>
      <c r="J4437" s="564" t="s">
        <v>1069</v>
      </c>
      <c r="K4437" s="564" t="s">
        <v>1070</v>
      </c>
      <c r="L4437" s="564" t="s">
        <v>2098</v>
      </c>
      <c r="M4437" s="564" t="s">
        <v>2098</v>
      </c>
      <c r="N4437" s="564" t="s">
        <v>1082</v>
      </c>
      <c r="O4437" s="564" t="s">
        <v>2099</v>
      </c>
      <c r="P4437" s="23"/>
      <c r="Q4437" s="23"/>
      <c r="R4437" s="23"/>
      <c r="S4437" s="23"/>
      <c r="T4437" s="23"/>
      <c r="U4437" s="23"/>
      <c r="V4437" s="23"/>
      <c r="W4437" s="23"/>
      <c r="X4437" s="23"/>
      <c r="Y4437" s="23"/>
      <c r="Z4437" s="23"/>
    </row>
    <row r="4438" spans="1:26" ht="13">
      <c r="A4438" s="562" t="s">
        <v>9611</v>
      </c>
      <c r="B4438" s="563" t="s">
        <v>9612</v>
      </c>
      <c r="C4438" s="564" t="s">
        <v>2191</v>
      </c>
      <c r="D4438" s="565">
        <v>40427</v>
      </c>
      <c r="E4438" s="565">
        <v>40484</v>
      </c>
      <c r="F4438" s="566">
        <v>56250</v>
      </c>
      <c r="G4438" s="564" t="s">
        <v>1636</v>
      </c>
      <c r="H4438" s="564" t="s">
        <v>1636</v>
      </c>
      <c r="I4438" s="564" t="s">
        <v>1576</v>
      </c>
      <c r="J4438" s="564" t="s">
        <v>1069</v>
      </c>
      <c r="K4438" s="564" t="s">
        <v>1070</v>
      </c>
      <c r="L4438" s="564" t="s">
        <v>2098</v>
      </c>
      <c r="M4438" s="564" t="s">
        <v>2098</v>
      </c>
      <c r="N4438" s="564" t="s">
        <v>1082</v>
      </c>
      <c r="O4438" s="564" t="s">
        <v>2099</v>
      </c>
      <c r="P4438" s="23"/>
      <c r="Q4438" s="23"/>
      <c r="R4438" s="23"/>
      <c r="S4438" s="23"/>
      <c r="T4438" s="23"/>
      <c r="U4438" s="23"/>
      <c r="V4438" s="23"/>
      <c r="W4438" s="23"/>
      <c r="X4438" s="23"/>
      <c r="Y4438" s="23"/>
      <c r="Z4438" s="23"/>
    </row>
    <row r="4439" spans="1:26" ht="13">
      <c r="A4439" s="562" t="s">
        <v>9613</v>
      </c>
      <c r="B4439" s="563" t="s">
        <v>9614</v>
      </c>
      <c r="C4439" s="564" t="s">
        <v>1612</v>
      </c>
      <c r="D4439" s="565">
        <v>40427</v>
      </c>
      <c r="E4439" s="565">
        <v>40424</v>
      </c>
      <c r="F4439" s="566">
        <v>555427000</v>
      </c>
      <c r="G4439" s="564" t="s">
        <v>1856</v>
      </c>
      <c r="H4439" s="564" t="s">
        <v>1856</v>
      </c>
      <c r="I4439" s="564" t="s">
        <v>45</v>
      </c>
      <c r="J4439" s="564" t="s">
        <v>1069</v>
      </c>
      <c r="K4439" s="564" t="s">
        <v>1090</v>
      </c>
      <c r="L4439" s="564" t="s">
        <v>2098</v>
      </c>
      <c r="M4439" s="564" t="s">
        <v>2098</v>
      </c>
      <c r="N4439" s="564" t="s">
        <v>45</v>
      </c>
      <c r="O4439" s="564" t="s">
        <v>2099</v>
      </c>
      <c r="P4439" s="23"/>
      <c r="Q4439" s="23"/>
      <c r="R4439" s="23"/>
      <c r="S4439" s="23"/>
      <c r="T4439" s="23"/>
      <c r="U4439" s="23"/>
      <c r="V4439" s="23"/>
      <c r="W4439" s="23"/>
      <c r="X4439" s="23"/>
      <c r="Y4439" s="23"/>
      <c r="Z4439" s="23"/>
    </row>
    <row r="4440" spans="1:26" ht="13">
      <c r="A4440" s="562" t="s">
        <v>9615</v>
      </c>
      <c r="B4440" s="563" t="s">
        <v>9616</v>
      </c>
      <c r="C4440" s="564" t="s">
        <v>1612</v>
      </c>
      <c r="D4440" s="565">
        <v>40422</v>
      </c>
      <c r="E4440" s="565">
        <v>40434</v>
      </c>
      <c r="F4440" s="567">
        <v>815</v>
      </c>
      <c r="G4440" s="564" t="s">
        <v>337</v>
      </c>
      <c r="H4440" s="564" t="s">
        <v>337</v>
      </c>
      <c r="I4440" s="564" t="s">
        <v>70</v>
      </c>
      <c r="J4440" s="564" t="s">
        <v>1069</v>
      </c>
      <c r="K4440" s="564" t="s">
        <v>1120</v>
      </c>
      <c r="L4440" s="564" t="s">
        <v>2098</v>
      </c>
      <c r="M4440" s="564" t="s">
        <v>2098</v>
      </c>
      <c r="N4440" s="564" t="s">
        <v>70</v>
      </c>
      <c r="O4440" s="564" t="s">
        <v>2099</v>
      </c>
      <c r="P4440" s="23"/>
      <c r="Q4440" s="23"/>
      <c r="R4440" s="23"/>
      <c r="S4440" s="23"/>
      <c r="T4440" s="23"/>
      <c r="U4440" s="23"/>
      <c r="V4440" s="23"/>
      <c r="W4440" s="23"/>
      <c r="X4440" s="23"/>
      <c r="Y4440" s="23"/>
      <c r="Z4440" s="23"/>
    </row>
    <row r="4441" spans="1:26" ht="13">
      <c r="A4441" s="562" t="s">
        <v>9617</v>
      </c>
      <c r="B4441" s="563" t="s">
        <v>9618</v>
      </c>
      <c r="C4441" s="564" t="s">
        <v>2191</v>
      </c>
      <c r="D4441" s="565">
        <v>40421</v>
      </c>
      <c r="E4441" s="565">
        <v>40451</v>
      </c>
      <c r="F4441" s="566">
        <v>227420000</v>
      </c>
      <c r="G4441" s="564" t="s">
        <v>1636</v>
      </c>
      <c r="H4441" s="564" t="s">
        <v>1636</v>
      </c>
      <c r="I4441" s="564" t="s">
        <v>9600</v>
      </c>
      <c r="J4441" s="564" t="s">
        <v>1069</v>
      </c>
      <c r="K4441" s="564" t="s">
        <v>1070</v>
      </c>
      <c r="L4441" s="564" t="s">
        <v>2098</v>
      </c>
      <c r="M4441" s="564" t="s">
        <v>2098</v>
      </c>
      <c r="N4441" s="564" t="s">
        <v>1082</v>
      </c>
      <c r="O4441" s="564" t="s">
        <v>2099</v>
      </c>
      <c r="P4441" s="23"/>
      <c r="Q4441" s="23"/>
      <c r="R4441" s="23"/>
      <c r="S4441" s="23"/>
      <c r="T4441" s="23"/>
      <c r="U4441" s="23"/>
      <c r="V4441" s="23"/>
      <c r="W4441" s="23"/>
      <c r="X4441" s="23"/>
      <c r="Y4441" s="23"/>
      <c r="Z4441" s="23"/>
    </row>
    <row r="4442" spans="1:26" ht="13">
      <c r="A4442" s="562" t="s">
        <v>9619</v>
      </c>
      <c r="B4442" s="563" t="s">
        <v>9620</v>
      </c>
      <c r="C4442" s="564" t="s">
        <v>2191</v>
      </c>
      <c r="D4442" s="565">
        <v>40421</v>
      </c>
      <c r="E4442" s="565">
        <v>40428</v>
      </c>
      <c r="F4442" s="566">
        <v>130000000</v>
      </c>
      <c r="G4442" s="564" t="s">
        <v>1636</v>
      </c>
      <c r="H4442" s="564" t="s">
        <v>1636</v>
      </c>
      <c r="I4442" s="564" t="s">
        <v>6222</v>
      </c>
      <c r="J4442" s="564" t="s">
        <v>1069</v>
      </c>
      <c r="K4442" s="564" t="s">
        <v>1070</v>
      </c>
      <c r="L4442" s="564" t="s">
        <v>2098</v>
      </c>
      <c r="M4442" s="564" t="s">
        <v>2098</v>
      </c>
      <c r="N4442" s="564" t="s">
        <v>1082</v>
      </c>
      <c r="O4442" s="564" t="s">
        <v>2099</v>
      </c>
      <c r="P4442" s="23"/>
      <c r="Q4442" s="23"/>
      <c r="R4442" s="23"/>
      <c r="S4442" s="23"/>
      <c r="T4442" s="23"/>
      <c r="U4442" s="23"/>
      <c r="V4442" s="23"/>
      <c r="W4442" s="23"/>
      <c r="X4442" s="23"/>
      <c r="Y4442" s="23"/>
      <c r="Z4442" s="23"/>
    </row>
    <row r="4443" spans="1:26" ht="13">
      <c r="A4443" s="562" t="s">
        <v>9621</v>
      </c>
      <c r="B4443" s="563" t="s">
        <v>9622</v>
      </c>
      <c r="C4443" s="564" t="s">
        <v>1612</v>
      </c>
      <c r="D4443" s="565">
        <v>40417</v>
      </c>
      <c r="E4443" s="565">
        <v>40424</v>
      </c>
      <c r="F4443" s="566">
        <v>105814</v>
      </c>
      <c r="G4443" s="564" t="s">
        <v>297</v>
      </c>
      <c r="H4443" s="564" t="s">
        <v>297</v>
      </c>
      <c r="I4443" s="564" t="s">
        <v>45</v>
      </c>
      <c r="J4443" s="564" t="s">
        <v>1069</v>
      </c>
      <c r="K4443" s="564" t="s">
        <v>1090</v>
      </c>
      <c r="L4443" s="564" t="s">
        <v>2098</v>
      </c>
      <c r="M4443" s="564" t="s">
        <v>2098</v>
      </c>
      <c r="N4443" s="564" t="s">
        <v>45</v>
      </c>
      <c r="O4443" s="564" t="s">
        <v>2099</v>
      </c>
      <c r="P4443" s="23"/>
      <c r="Q4443" s="23"/>
      <c r="R4443" s="23"/>
      <c r="S4443" s="23"/>
      <c r="T4443" s="23"/>
      <c r="U4443" s="23"/>
      <c r="V4443" s="23"/>
      <c r="W4443" s="23"/>
      <c r="X4443" s="23"/>
      <c r="Y4443" s="23"/>
      <c r="Z4443" s="23"/>
    </row>
    <row r="4444" spans="1:26" ht="13">
      <c r="A4444" s="562" t="s">
        <v>9623</v>
      </c>
      <c r="B4444" s="563" t="s">
        <v>9624</v>
      </c>
      <c r="C4444" s="564" t="s">
        <v>1612</v>
      </c>
      <c r="D4444" s="565">
        <v>40416</v>
      </c>
      <c r="E4444" s="565">
        <v>40421</v>
      </c>
      <c r="F4444" s="566">
        <v>1200</v>
      </c>
      <c r="G4444" s="564" t="s">
        <v>337</v>
      </c>
      <c r="H4444" s="564" t="s">
        <v>337</v>
      </c>
      <c r="I4444" s="564" t="s">
        <v>121</v>
      </c>
      <c r="J4444" s="564" t="s">
        <v>1069</v>
      </c>
      <c r="K4444" s="564" t="s">
        <v>1105</v>
      </c>
      <c r="L4444" s="564" t="s">
        <v>2098</v>
      </c>
      <c r="M4444" s="564" t="s">
        <v>2098</v>
      </c>
      <c r="N4444" s="564" t="s">
        <v>1073</v>
      </c>
      <c r="O4444" s="564" t="s">
        <v>2099</v>
      </c>
      <c r="P4444" s="23"/>
      <c r="Q4444" s="23"/>
      <c r="R4444" s="23"/>
      <c r="S4444" s="23"/>
      <c r="T4444" s="23"/>
      <c r="U4444" s="23"/>
      <c r="V4444" s="23"/>
      <c r="W4444" s="23"/>
      <c r="X4444" s="23"/>
      <c r="Y4444" s="23"/>
      <c r="Z4444" s="23"/>
    </row>
    <row r="4445" spans="1:26" ht="13">
      <c r="A4445" s="562" t="s">
        <v>9625</v>
      </c>
      <c r="B4445" s="563" t="s">
        <v>9626</v>
      </c>
      <c r="C4445" s="564" t="s">
        <v>1612</v>
      </c>
      <c r="D4445" s="565">
        <v>40413</v>
      </c>
      <c r="E4445" s="565">
        <v>40427</v>
      </c>
      <c r="F4445" s="566">
        <v>2445</v>
      </c>
      <c r="G4445" s="564" t="s">
        <v>337</v>
      </c>
      <c r="H4445" s="564" t="s">
        <v>337</v>
      </c>
      <c r="I4445" s="564" t="s">
        <v>70</v>
      </c>
      <c r="J4445" s="564" t="s">
        <v>1069</v>
      </c>
      <c r="K4445" s="564" t="s">
        <v>1120</v>
      </c>
      <c r="L4445" s="564" t="s">
        <v>2098</v>
      </c>
      <c r="M4445" s="564" t="s">
        <v>2098</v>
      </c>
      <c r="N4445" s="564" t="s">
        <v>70</v>
      </c>
      <c r="O4445" s="564" t="s">
        <v>2099</v>
      </c>
      <c r="P4445" s="23"/>
      <c r="Q4445" s="23"/>
      <c r="R4445" s="23"/>
      <c r="S4445" s="23"/>
      <c r="T4445" s="23"/>
      <c r="U4445" s="23"/>
      <c r="V4445" s="23"/>
      <c r="W4445" s="23"/>
      <c r="X4445" s="23"/>
      <c r="Y4445" s="23"/>
      <c r="Z4445" s="23"/>
    </row>
    <row r="4446" spans="1:26" ht="13">
      <c r="A4446" s="562" t="s">
        <v>9627</v>
      </c>
      <c r="B4446" s="563" t="s">
        <v>9628</v>
      </c>
      <c r="C4446" s="564" t="s">
        <v>1612</v>
      </c>
      <c r="D4446" s="565">
        <v>40413</v>
      </c>
      <c r="E4446" s="565">
        <v>40416</v>
      </c>
      <c r="F4446" s="566">
        <v>5640</v>
      </c>
      <c r="G4446" s="564" t="s">
        <v>337</v>
      </c>
      <c r="H4446" s="564" t="s">
        <v>337</v>
      </c>
      <c r="I4446" s="564" t="s">
        <v>121</v>
      </c>
      <c r="J4446" s="564" t="s">
        <v>1069</v>
      </c>
      <c r="K4446" s="564" t="s">
        <v>1105</v>
      </c>
      <c r="L4446" s="564" t="s">
        <v>2098</v>
      </c>
      <c r="M4446" s="564" t="s">
        <v>2098</v>
      </c>
      <c r="N4446" s="564" t="s">
        <v>1073</v>
      </c>
      <c r="O4446" s="564" t="s">
        <v>2099</v>
      </c>
      <c r="P4446" s="23"/>
      <c r="Q4446" s="23"/>
      <c r="R4446" s="23"/>
      <c r="S4446" s="23"/>
      <c r="T4446" s="23"/>
      <c r="U4446" s="23"/>
      <c r="V4446" s="23"/>
      <c r="W4446" s="23"/>
      <c r="X4446" s="23"/>
      <c r="Y4446" s="23"/>
      <c r="Z4446" s="23"/>
    </row>
    <row r="4447" spans="1:26" ht="13">
      <c r="A4447" s="562" t="s">
        <v>9629</v>
      </c>
      <c r="B4447" s="563" t="s">
        <v>9630</v>
      </c>
      <c r="C4447" s="564" t="s">
        <v>2191</v>
      </c>
      <c r="D4447" s="565">
        <v>40410</v>
      </c>
      <c r="E4447" s="565">
        <v>40469</v>
      </c>
      <c r="F4447" s="566">
        <v>59217</v>
      </c>
      <c r="G4447" s="564" t="s">
        <v>1636</v>
      </c>
      <c r="H4447" s="564" t="s">
        <v>1636</v>
      </c>
      <c r="I4447" s="564" t="s">
        <v>9631</v>
      </c>
      <c r="J4447" s="564" t="s">
        <v>1069</v>
      </c>
      <c r="K4447" s="564" t="s">
        <v>1070</v>
      </c>
      <c r="L4447" s="564" t="s">
        <v>2098</v>
      </c>
      <c r="M4447" s="564" t="s">
        <v>2098</v>
      </c>
      <c r="N4447" s="564" t="s">
        <v>1082</v>
      </c>
      <c r="O4447" s="564" t="s">
        <v>2099</v>
      </c>
      <c r="P4447" s="23"/>
      <c r="Q4447" s="23"/>
      <c r="R4447" s="23"/>
      <c r="S4447" s="23"/>
      <c r="T4447" s="23"/>
      <c r="U4447" s="23"/>
      <c r="V4447" s="23"/>
      <c r="W4447" s="23"/>
      <c r="X4447" s="23"/>
      <c r="Y4447" s="23"/>
      <c r="Z4447" s="23"/>
    </row>
    <row r="4448" spans="1:26" ht="13">
      <c r="A4448" s="562" t="s">
        <v>9632</v>
      </c>
      <c r="B4448" s="563" t="s">
        <v>9633</v>
      </c>
      <c r="C4448" s="564" t="s">
        <v>1612</v>
      </c>
      <c r="D4448" s="565">
        <v>40409</v>
      </c>
      <c r="E4448" s="565">
        <v>40421</v>
      </c>
      <c r="F4448" s="566">
        <v>4890</v>
      </c>
      <c r="G4448" s="564" t="s">
        <v>337</v>
      </c>
      <c r="H4448" s="564" t="s">
        <v>337</v>
      </c>
      <c r="I4448" s="564" t="s">
        <v>70</v>
      </c>
      <c r="J4448" s="564" t="s">
        <v>1069</v>
      </c>
      <c r="K4448" s="564" t="s">
        <v>1120</v>
      </c>
      <c r="L4448" s="564" t="s">
        <v>2098</v>
      </c>
      <c r="M4448" s="564" t="s">
        <v>2098</v>
      </c>
      <c r="N4448" s="564" t="s">
        <v>70</v>
      </c>
      <c r="O4448" s="564" t="s">
        <v>2099</v>
      </c>
      <c r="P4448" s="23"/>
      <c r="Q4448" s="23"/>
      <c r="R4448" s="23"/>
      <c r="S4448" s="23"/>
      <c r="T4448" s="23"/>
      <c r="U4448" s="23"/>
      <c r="V4448" s="23"/>
      <c r="W4448" s="23"/>
      <c r="X4448" s="23"/>
      <c r="Y4448" s="23"/>
      <c r="Z4448" s="23"/>
    </row>
    <row r="4449" spans="1:26" ht="13">
      <c r="A4449" s="562" t="s">
        <v>9634</v>
      </c>
      <c r="B4449" s="563" t="s">
        <v>9635</v>
      </c>
      <c r="C4449" s="564" t="s">
        <v>1612</v>
      </c>
      <c r="D4449" s="565">
        <v>40409</v>
      </c>
      <c r="E4449" s="565">
        <v>40466</v>
      </c>
      <c r="F4449" s="566">
        <v>16928</v>
      </c>
      <c r="G4449" s="564" t="s">
        <v>337</v>
      </c>
      <c r="H4449" s="564" t="s">
        <v>337</v>
      </c>
      <c r="I4449" s="564" t="s">
        <v>64</v>
      </c>
      <c r="J4449" s="564" t="s">
        <v>1069</v>
      </c>
      <c r="K4449" s="564" t="s">
        <v>1090</v>
      </c>
      <c r="L4449" s="564" t="s">
        <v>2098</v>
      </c>
      <c r="M4449" s="564" t="s">
        <v>2098</v>
      </c>
      <c r="N4449" s="564" t="s">
        <v>64</v>
      </c>
      <c r="O4449" s="564" t="s">
        <v>2099</v>
      </c>
      <c r="P4449" s="23"/>
      <c r="Q4449" s="23"/>
      <c r="R4449" s="23"/>
      <c r="S4449" s="23"/>
      <c r="T4449" s="23"/>
      <c r="U4449" s="23"/>
      <c r="V4449" s="23"/>
      <c r="W4449" s="23"/>
      <c r="X4449" s="23"/>
      <c r="Y4449" s="23"/>
      <c r="Z4449" s="23"/>
    </row>
    <row r="4450" spans="1:26" ht="13">
      <c r="A4450" s="562" t="s">
        <v>9636</v>
      </c>
      <c r="B4450" s="563" t="s">
        <v>9637</v>
      </c>
      <c r="C4450" s="564" t="s">
        <v>1612</v>
      </c>
      <c r="D4450" s="565">
        <v>40408</v>
      </c>
      <c r="E4450" s="565">
        <v>40415</v>
      </c>
      <c r="F4450" s="566">
        <v>2310</v>
      </c>
      <c r="G4450" s="564" t="s">
        <v>337</v>
      </c>
      <c r="H4450" s="564" t="s">
        <v>337</v>
      </c>
      <c r="I4450" s="564" t="s">
        <v>802</v>
      </c>
      <c r="J4450" s="564" t="s">
        <v>1069</v>
      </c>
      <c r="K4450" s="564" t="s">
        <v>1198</v>
      </c>
      <c r="L4450" s="564" t="s">
        <v>2098</v>
      </c>
      <c r="M4450" s="564" t="s">
        <v>2098</v>
      </c>
      <c r="N4450" s="564" t="s">
        <v>132</v>
      </c>
      <c r="O4450" s="564" t="s">
        <v>2099</v>
      </c>
      <c r="P4450" s="23"/>
      <c r="Q4450" s="23"/>
      <c r="R4450" s="23"/>
      <c r="S4450" s="23"/>
      <c r="T4450" s="23"/>
      <c r="U4450" s="23"/>
      <c r="V4450" s="23"/>
      <c r="W4450" s="23"/>
      <c r="X4450" s="23"/>
      <c r="Y4450" s="23"/>
      <c r="Z4450" s="23"/>
    </row>
    <row r="4451" spans="1:26" ht="13">
      <c r="A4451" s="562" t="s">
        <v>9638</v>
      </c>
      <c r="B4451" s="563" t="s">
        <v>9639</v>
      </c>
      <c r="C4451" s="564" t="s">
        <v>1612</v>
      </c>
      <c r="D4451" s="565">
        <v>40408</v>
      </c>
      <c r="E4451" s="565">
        <v>40415</v>
      </c>
      <c r="F4451" s="567">
        <v>326</v>
      </c>
      <c r="G4451" s="564" t="s">
        <v>337</v>
      </c>
      <c r="H4451" s="564" t="s">
        <v>337</v>
      </c>
      <c r="I4451" s="564" t="s">
        <v>64</v>
      </c>
      <c r="J4451" s="564" t="s">
        <v>1069</v>
      </c>
      <c r="K4451" s="564" t="s">
        <v>1090</v>
      </c>
      <c r="L4451" s="564" t="s">
        <v>2098</v>
      </c>
      <c r="M4451" s="564" t="s">
        <v>2098</v>
      </c>
      <c r="N4451" s="564" t="s">
        <v>64</v>
      </c>
      <c r="O4451" s="564" t="s">
        <v>2099</v>
      </c>
      <c r="P4451" s="23"/>
      <c r="Q4451" s="23"/>
      <c r="R4451" s="23"/>
      <c r="S4451" s="23"/>
      <c r="T4451" s="23"/>
      <c r="U4451" s="23"/>
      <c r="V4451" s="23"/>
      <c r="W4451" s="23"/>
      <c r="X4451" s="23"/>
      <c r="Y4451" s="23"/>
      <c r="Z4451" s="23"/>
    </row>
    <row r="4452" spans="1:26" ht="13">
      <c r="A4452" s="562" t="s">
        <v>9640</v>
      </c>
      <c r="B4452" s="563" t="s">
        <v>9641</v>
      </c>
      <c r="C4452" s="564" t="s">
        <v>1612</v>
      </c>
      <c r="D4452" s="565">
        <v>40407</v>
      </c>
      <c r="E4452" s="565">
        <v>40417</v>
      </c>
      <c r="F4452" s="566">
        <v>5000</v>
      </c>
      <c r="G4452" s="564" t="s">
        <v>297</v>
      </c>
      <c r="H4452" s="564" t="s">
        <v>297</v>
      </c>
      <c r="I4452" s="564" t="s">
        <v>7259</v>
      </c>
      <c r="J4452" s="564" t="s">
        <v>1069</v>
      </c>
      <c r="K4452" s="564" t="s">
        <v>1070</v>
      </c>
      <c r="L4452" s="564" t="s">
        <v>2098</v>
      </c>
      <c r="M4452" s="564" t="s">
        <v>2098</v>
      </c>
      <c r="N4452" s="564" t="s">
        <v>1082</v>
      </c>
      <c r="O4452" s="564" t="s">
        <v>2099</v>
      </c>
      <c r="P4452" s="23"/>
      <c r="Q4452" s="23"/>
      <c r="R4452" s="23"/>
      <c r="S4452" s="23"/>
      <c r="T4452" s="23"/>
      <c r="U4452" s="23"/>
      <c r="V4452" s="23"/>
      <c r="W4452" s="23"/>
      <c r="X4452" s="23"/>
      <c r="Y4452" s="23"/>
      <c r="Z4452" s="23"/>
    </row>
    <row r="4453" spans="1:26" ht="13">
      <c r="A4453" s="562" t="s">
        <v>9642</v>
      </c>
      <c r="B4453" s="563" t="s">
        <v>9569</v>
      </c>
      <c r="C4453" s="564" t="s">
        <v>1612</v>
      </c>
      <c r="D4453" s="565">
        <v>40403</v>
      </c>
      <c r="E4453" s="565">
        <v>40410</v>
      </c>
      <c r="F4453" s="566">
        <v>4420</v>
      </c>
      <c r="G4453" s="564" t="s">
        <v>337</v>
      </c>
      <c r="H4453" s="564" t="s">
        <v>337</v>
      </c>
      <c r="I4453" s="564" t="s">
        <v>64</v>
      </c>
      <c r="J4453" s="564" t="s">
        <v>1069</v>
      </c>
      <c r="K4453" s="564" t="s">
        <v>1090</v>
      </c>
      <c r="L4453" s="564" t="s">
        <v>2098</v>
      </c>
      <c r="M4453" s="564" t="s">
        <v>2098</v>
      </c>
      <c r="N4453" s="564" t="s">
        <v>64</v>
      </c>
      <c r="O4453" s="564" t="s">
        <v>2099</v>
      </c>
      <c r="P4453" s="23"/>
      <c r="Q4453" s="23"/>
      <c r="R4453" s="23"/>
      <c r="S4453" s="23"/>
      <c r="T4453" s="23"/>
      <c r="U4453" s="23"/>
      <c r="V4453" s="23"/>
      <c r="W4453" s="23"/>
      <c r="X4453" s="23"/>
      <c r="Y4453" s="23"/>
      <c r="Z4453" s="23"/>
    </row>
    <row r="4454" spans="1:26" ht="13">
      <c r="A4454" s="562" t="s">
        <v>9643</v>
      </c>
      <c r="B4454" s="563" t="s">
        <v>9644</v>
      </c>
      <c r="C4454" s="564" t="s">
        <v>1612</v>
      </c>
      <c r="D4454" s="565">
        <v>40400</v>
      </c>
      <c r="E4454" s="565">
        <v>40403</v>
      </c>
      <c r="F4454" s="566">
        <v>1160</v>
      </c>
      <c r="G4454" s="564" t="s">
        <v>337</v>
      </c>
      <c r="H4454" s="564" t="s">
        <v>337</v>
      </c>
      <c r="I4454" s="564" t="s">
        <v>64</v>
      </c>
      <c r="J4454" s="564" t="s">
        <v>1069</v>
      </c>
      <c r="K4454" s="564" t="s">
        <v>1090</v>
      </c>
      <c r="L4454" s="564" t="s">
        <v>2098</v>
      </c>
      <c r="M4454" s="564" t="s">
        <v>2098</v>
      </c>
      <c r="N4454" s="564" t="s">
        <v>64</v>
      </c>
      <c r="O4454" s="564" t="s">
        <v>2099</v>
      </c>
      <c r="P4454" s="23"/>
      <c r="Q4454" s="23"/>
      <c r="R4454" s="23"/>
      <c r="S4454" s="23"/>
      <c r="T4454" s="23"/>
      <c r="U4454" s="23"/>
      <c r="V4454" s="23"/>
      <c r="W4454" s="23"/>
      <c r="X4454" s="23"/>
      <c r="Y4454" s="23"/>
      <c r="Z4454" s="23"/>
    </row>
    <row r="4455" spans="1:26" ht="13">
      <c r="A4455" s="562" t="s">
        <v>9645</v>
      </c>
      <c r="B4455" s="563" t="s">
        <v>9626</v>
      </c>
      <c r="C4455" s="564" t="s">
        <v>1612</v>
      </c>
      <c r="D4455" s="565">
        <v>40401</v>
      </c>
      <c r="E4455" s="565">
        <v>40413</v>
      </c>
      <c r="F4455" s="566">
        <v>2445</v>
      </c>
      <c r="G4455" s="564" t="s">
        <v>337</v>
      </c>
      <c r="H4455" s="564" t="s">
        <v>337</v>
      </c>
      <c r="I4455" s="564" t="s">
        <v>70</v>
      </c>
      <c r="J4455" s="564" t="s">
        <v>1069</v>
      </c>
      <c r="K4455" s="564" t="s">
        <v>1120</v>
      </c>
      <c r="L4455" s="564" t="s">
        <v>2098</v>
      </c>
      <c r="M4455" s="564" t="s">
        <v>2098</v>
      </c>
      <c r="N4455" s="564" t="s">
        <v>70</v>
      </c>
      <c r="O4455" s="564" t="s">
        <v>2099</v>
      </c>
      <c r="P4455" s="23"/>
      <c r="Q4455" s="23"/>
      <c r="R4455" s="23"/>
      <c r="S4455" s="23"/>
      <c r="T4455" s="23"/>
      <c r="U4455" s="23"/>
      <c r="V4455" s="23"/>
      <c r="W4455" s="23"/>
      <c r="X4455" s="23"/>
      <c r="Y4455" s="23"/>
      <c r="Z4455" s="23"/>
    </row>
    <row r="4456" spans="1:26" ht="13">
      <c r="A4456" s="562" t="s">
        <v>9646</v>
      </c>
      <c r="B4456" s="563" t="s">
        <v>9647</v>
      </c>
      <c r="C4456" s="564" t="s">
        <v>2191</v>
      </c>
      <c r="D4456" s="565">
        <v>40399</v>
      </c>
      <c r="E4456" s="565">
        <v>40403</v>
      </c>
      <c r="F4456" s="566">
        <v>85620000</v>
      </c>
      <c r="G4456" s="564" t="s">
        <v>1123</v>
      </c>
      <c r="H4456" s="564" t="s">
        <v>1123</v>
      </c>
      <c r="I4456" s="564" t="s">
        <v>9648</v>
      </c>
      <c r="J4456" s="564" t="s">
        <v>1069</v>
      </c>
      <c r="K4456" s="564" t="s">
        <v>1070</v>
      </c>
      <c r="L4456" s="564" t="s">
        <v>2098</v>
      </c>
      <c r="M4456" s="564" t="s">
        <v>2098</v>
      </c>
      <c r="N4456" s="564" t="s">
        <v>1082</v>
      </c>
      <c r="O4456" s="564" t="s">
        <v>2099</v>
      </c>
      <c r="P4456" s="23"/>
      <c r="Q4456" s="23"/>
      <c r="R4456" s="23"/>
      <c r="S4456" s="23"/>
      <c r="T4456" s="23"/>
      <c r="U4456" s="23"/>
      <c r="V4456" s="23"/>
      <c r="W4456" s="23"/>
      <c r="X4456" s="23"/>
      <c r="Y4456" s="23"/>
      <c r="Z4456" s="23"/>
    </row>
    <row r="4457" spans="1:26" ht="13">
      <c r="A4457" s="562" t="s">
        <v>9649</v>
      </c>
      <c r="B4457" s="563" t="s">
        <v>9650</v>
      </c>
      <c r="C4457" s="564" t="s">
        <v>1612</v>
      </c>
      <c r="D4457" s="565">
        <v>40395</v>
      </c>
      <c r="E4457" s="565">
        <v>40408</v>
      </c>
      <c r="F4457" s="566">
        <v>60788000</v>
      </c>
      <c r="G4457" s="564" t="s">
        <v>1856</v>
      </c>
      <c r="H4457" s="564" t="s">
        <v>1856</v>
      </c>
      <c r="I4457" s="564" t="s">
        <v>9432</v>
      </c>
      <c r="J4457" s="564" t="s">
        <v>1069</v>
      </c>
      <c r="K4457" s="564" t="s">
        <v>1090</v>
      </c>
      <c r="L4457" s="564" t="s">
        <v>2098</v>
      </c>
      <c r="M4457" s="564" t="s">
        <v>2098</v>
      </c>
      <c r="N4457" s="564" t="s">
        <v>45</v>
      </c>
      <c r="O4457" s="564" t="s">
        <v>2099</v>
      </c>
      <c r="P4457" s="23"/>
      <c r="Q4457" s="23"/>
      <c r="R4457" s="23"/>
      <c r="S4457" s="23"/>
      <c r="T4457" s="23"/>
      <c r="U4457" s="23"/>
      <c r="V4457" s="23"/>
      <c r="W4457" s="23"/>
      <c r="X4457" s="23"/>
      <c r="Y4457" s="23"/>
      <c r="Z4457" s="23"/>
    </row>
    <row r="4458" spans="1:26" ht="13">
      <c r="A4458" s="562" t="s">
        <v>9651</v>
      </c>
      <c r="B4458" s="563" t="s">
        <v>9652</v>
      </c>
      <c r="C4458" s="564" t="s">
        <v>2191</v>
      </c>
      <c r="D4458" s="565">
        <v>40394</v>
      </c>
      <c r="E4458" s="565">
        <v>40403</v>
      </c>
      <c r="F4458" s="566">
        <v>17800000</v>
      </c>
      <c r="G4458" s="564" t="s">
        <v>1123</v>
      </c>
      <c r="H4458" s="564" t="s">
        <v>1123</v>
      </c>
      <c r="I4458" s="564" t="s">
        <v>141</v>
      </c>
      <c r="J4458" s="564" t="s">
        <v>1069</v>
      </c>
      <c r="K4458" s="564" t="s">
        <v>1205</v>
      </c>
      <c r="L4458" s="564" t="s">
        <v>2098</v>
      </c>
      <c r="M4458" s="564" t="s">
        <v>2098</v>
      </c>
      <c r="N4458" s="564" t="s">
        <v>1073</v>
      </c>
      <c r="O4458" s="564" t="s">
        <v>2099</v>
      </c>
      <c r="P4458" s="23"/>
      <c r="Q4458" s="23"/>
      <c r="R4458" s="23"/>
      <c r="S4458" s="23"/>
      <c r="T4458" s="23"/>
      <c r="U4458" s="23"/>
      <c r="V4458" s="23"/>
      <c r="W4458" s="23"/>
      <c r="X4458" s="23"/>
      <c r="Y4458" s="23"/>
      <c r="Z4458" s="23"/>
    </row>
    <row r="4459" spans="1:26" ht="13">
      <c r="A4459" s="562" t="s">
        <v>9653</v>
      </c>
      <c r="B4459" s="563" t="s">
        <v>9564</v>
      </c>
      <c r="C4459" s="564" t="s">
        <v>1612</v>
      </c>
      <c r="D4459" s="565">
        <v>40394</v>
      </c>
      <c r="E4459" s="565">
        <v>40403</v>
      </c>
      <c r="F4459" s="566">
        <v>1630</v>
      </c>
      <c r="G4459" s="564" t="s">
        <v>337</v>
      </c>
      <c r="H4459" s="564" t="s">
        <v>337</v>
      </c>
      <c r="I4459" s="564" t="s">
        <v>70</v>
      </c>
      <c r="J4459" s="564" t="s">
        <v>1069</v>
      </c>
      <c r="K4459" s="564" t="s">
        <v>1120</v>
      </c>
      <c r="L4459" s="564" t="s">
        <v>2098</v>
      </c>
      <c r="M4459" s="564" t="s">
        <v>2098</v>
      </c>
      <c r="N4459" s="564" t="s">
        <v>70</v>
      </c>
      <c r="O4459" s="564" t="s">
        <v>2099</v>
      </c>
      <c r="P4459" s="23"/>
      <c r="Q4459" s="23"/>
      <c r="R4459" s="23"/>
      <c r="S4459" s="23"/>
      <c r="T4459" s="23"/>
      <c r="U4459" s="23"/>
      <c r="V4459" s="23"/>
      <c r="W4459" s="23"/>
      <c r="X4459" s="23"/>
      <c r="Y4459" s="23"/>
      <c r="Z4459" s="23"/>
    </row>
    <row r="4460" spans="1:26" ht="13">
      <c r="A4460" s="562" t="s">
        <v>9654</v>
      </c>
      <c r="B4460" s="563" t="s">
        <v>9655</v>
      </c>
      <c r="C4460" s="564" t="s">
        <v>1612</v>
      </c>
      <c r="D4460" s="565">
        <v>40389</v>
      </c>
      <c r="E4460" s="565">
        <v>40396</v>
      </c>
      <c r="F4460" s="566">
        <v>141000</v>
      </c>
      <c r="G4460" s="564" t="s">
        <v>337</v>
      </c>
      <c r="H4460" s="564" t="s">
        <v>337</v>
      </c>
      <c r="I4460" s="564" t="s">
        <v>70</v>
      </c>
      <c r="J4460" s="564" t="s">
        <v>1069</v>
      </c>
      <c r="K4460" s="564" t="s">
        <v>1120</v>
      </c>
      <c r="L4460" s="564" t="s">
        <v>2098</v>
      </c>
      <c r="M4460" s="564" t="s">
        <v>2098</v>
      </c>
      <c r="N4460" s="564" t="s">
        <v>70</v>
      </c>
      <c r="O4460" s="564" t="s">
        <v>2099</v>
      </c>
      <c r="P4460" s="23"/>
      <c r="Q4460" s="23"/>
      <c r="R4460" s="23"/>
      <c r="S4460" s="23"/>
      <c r="T4460" s="23"/>
      <c r="U4460" s="23"/>
      <c r="V4460" s="23"/>
      <c r="W4460" s="23"/>
      <c r="X4460" s="23"/>
      <c r="Y4460" s="23"/>
      <c r="Z4460" s="23"/>
    </row>
    <row r="4461" spans="1:26" ht="13">
      <c r="A4461" s="562" t="s">
        <v>9656</v>
      </c>
      <c r="B4461" s="563" t="s">
        <v>9657</v>
      </c>
      <c r="C4461" s="564" t="s">
        <v>1612</v>
      </c>
      <c r="D4461" s="565">
        <v>40389</v>
      </c>
      <c r="E4461" s="565">
        <v>40396</v>
      </c>
      <c r="F4461" s="566">
        <v>215000</v>
      </c>
      <c r="G4461" s="564" t="s">
        <v>337</v>
      </c>
      <c r="H4461" s="564" t="s">
        <v>337</v>
      </c>
      <c r="I4461" s="564" t="s">
        <v>45</v>
      </c>
      <c r="J4461" s="564" t="s">
        <v>1069</v>
      </c>
      <c r="K4461" s="564" t="s">
        <v>1090</v>
      </c>
      <c r="L4461" s="564" t="s">
        <v>2098</v>
      </c>
      <c r="M4461" s="564" t="s">
        <v>2098</v>
      </c>
      <c r="N4461" s="564" t="s">
        <v>45</v>
      </c>
      <c r="O4461" s="564" t="s">
        <v>2099</v>
      </c>
      <c r="P4461" s="23"/>
      <c r="Q4461" s="23"/>
      <c r="R4461" s="23"/>
      <c r="S4461" s="23"/>
      <c r="T4461" s="23"/>
      <c r="U4461" s="23"/>
      <c r="V4461" s="23"/>
      <c r="W4461" s="23"/>
      <c r="X4461" s="23"/>
      <c r="Y4461" s="23"/>
      <c r="Z4461" s="23"/>
    </row>
    <row r="4462" spans="1:26" ht="13">
      <c r="A4462" s="562" t="s">
        <v>9658</v>
      </c>
      <c r="B4462" s="563" t="s">
        <v>9659</v>
      </c>
      <c r="C4462" s="564" t="s">
        <v>2191</v>
      </c>
      <c r="D4462" s="565">
        <v>40392</v>
      </c>
      <c r="E4462" s="565">
        <v>40417</v>
      </c>
      <c r="F4462" s="566">
        <v>94961</v>
      </c>
      <c r="G4462" s="564" t="s">
        <v>1636</v>
      </c>
      <c r="H4462" s="564" t="s">
        <v>1636</v>
      </c>
      <c r="I4462" s="564" t="s">
        <v>6222</v>
      </c>
      <c r="J4462" s="564" t="s">
        <v>1069</v>
      </c>
      <c r="K4462" s="564" t="s">
        <v>1070</v>
      </c>
      <c r="L4462" s="564" t="s">
        <v>2098</v>
      </c>
      <c r="M4462" s="564" t="s">
        <v>2098</v>
      </c>
      <c r="N4462" s="564" t="s">
        <v>1082</v>
      </c>
      <c r="O4462" s="564" t="s">
        <v>2099</v>
      </c>
      <c r="P4462" s="23"/>
      <c r="Q4462" s="23"/>
      <c r="R4462" s="23"/>
      <c r="S4462" s="23"/>
      <c r="T4462" s="23"/>
      <c r="U4462" s="23"/>
      <c r="V4462" s="23"/>
      <c r="W4462" s="23"/>
      <c r="X4462" s="23"/>
      <c r="Y4462" s="23"/>
      <c r="Z4462" s="23"/>
    </row>
    <row r="4463" spans="1:26" ht="13">
      <c r="A4463" s="562" t="s">
        <v>9660</v>
      </c>
      <c r="B4463" s="563" t="s">
        <v>9661</v>
      </c>
      <c r="C4463" s="564" t="s">
        <v>1612</v>
      </c>
      <c r="D4463" s="565">
        <v>40388</v>
      </c>
      <c r="E4463" s="565">
        <v>40397</v>
      </c>
      <c r="F4463" s="566">
        <v>14920</v>
      </c>
      <c r="G4463" s="564" t="s">
        <v>297</v>
      </c>
      <c r="H4463" s="564" t="s">
        <v>297</v>
      </c>
      <c r="I4463" s="564" t="s">
        <v>7259</v>
      </c>
      <c r="J4463" s="564" t="s">
        <v>1069</v>
      </c>
      <c r="K4463" s="564" t="s">
        <v>1070</v>
      </c>
      <c r="L4463" s="564" t="s">
        <v>2098</v>
      </c>
      <c r="M4463" s="564" t="s">
        <v>2098</v>
      </c>
      <c r="N4463" s="564" t="s">
        <v>1082</v>
      </c>
      <c r="O4463" s="564" t="s">
        <v>2099</v>
      </c>
      <c r="P4463" s="23"/>
      <c r="Q4463" s="23"/>
      <c r="R4463" s="23"/>
      <c r="S4463" s="23"/>
      <c r="T4463" s="23"/>
      <c r="U4463" s="23"/>
      <c r="V4463" s="23"/>
      <c r="W4463" s="23"/>
      <c r="X4463" s="23"/>
      <c r="Y4463" s="23"/>
      <c r="Z4463" s="23"/>
    </row>
    <row r="4464" spans="1:26" ht="13">
      <c r="A4464" s="562" t="s">
        <v>9662</v>
      </c>
      <c r="B4464" s="563" t="s">
        <v>9130</v>
      </c>
      <c r="C4464" s="564" t="s">
        <v>1612</v>
      </c>
      <c r="D4464" s="565">
        <v>40387</v>
      </c>
      <c r="E4464" s="565">
        <v>40478</v>
      </c>
      <c r="F4464" s="566">
        <v>49500</v>
      </c>
      <c r="G4464" s="564" t="s">
        <v>1636</v>
      </c>
      <c r="H4464" s="564" t="s">
        <v>1636</v>
      </c>
      <c r="I4464" s="564" t="s">
        <v>45</v>
      </c>
      <c r="J4464" s="564" t="s">
        <v>1069</v>
      </c>
      <c r="K4464" s="564" t="s">
        <v>1090</v>
      </c>
      <c r="L4464" s="564" t="s">
        <v>2098</v>
      </c>
      <c r="M4464" s="564" t="s">
        <v>2098</v>
      </c>
      <c r="N4464" s="564" t="s">
        <v>45</v>
      </c>
      <c r="O4464" s="564" t="s">
        <v>2099</v>
      </c>
      <c r="P4464" s="23"/>
      <c r="Q4464" s="23"/>
      <c r="R4464" s="23"/>
      <c r="S4464" s="23"/>
      <c r="T4464" s="23"/>
      <c r="U4464" s="23"/>
      <c r="V4464" s="23"/>
      <c r="W4464" s="23"/>
      <c r="X4464" s="23"/>
      <c r="Y4464" s="23"/>
      <c r="Z4464" s="23"/>
    </row>
    <row r="4465" spans="1:26" ht="13">
      <c r="A4465" s="562" t="s">
        <v>9663</v>
      </c>
      <c r="B4465" s="563" t="s">
        <v>9564</v>
      </c>
      <c r="C4465" s="564" t="s">
        <v>1612</v>
      </c>
      <c r="D4465" s="565">
        <v>40386</v>
      </c>
      <c r="E4465" s="565">
        <v>40396</v>
      </c>
      <c r="F4465" s="566">
        <v>1630</v>
      </c>
      <c r="G4465" s="564" t="s">
        <v>337</v>
      </c>
      <c r="H4465" s="564" t="s">
        <v>337</v>
      </c>
      <c r="I4465" s="564" t="s">
        <v>70</v>
      </c>
      <c r="J4465" s="564" t="s">
        <v>1069</v>
      </c>
      <c r="K4465" s="564" t="s">
        <v>1120</v>
      </c>
      <c r="L4465" s="564" t="s">
        <v>2098</v>
      </c>
      <c r="M4465" s="564" t="s">
        <v>2098</v>
      </c>
      <c r="N4465" s="564" t="s">
        <v>70</v>
      </c>
      <c r="O4465" s="564" t="s">
        <v>2099</v>
      </c>
      <c r="P4465" s="23"/>
      <c r="Q4465" s="23"/>
      <c r="R4465" s="23"/>
      <c r="S4465" s="23"/>
      <c r="T4465" s="23"/>
      <c r="U4465" s="23"/>
      <c r="V4465" s="23"/>
      <c r="W4465" s="23"/>
      <c r="X4465" s="23"/>
      <c r="Y4465" s="23"/>
      <c r="Z4465" s="23"/>
    </row>
    <row r="4466" spans="1:26" ht="13">
      <c r="A4466" s="562" t="s">
        <v>9664</v>
      </c>
      <c r="B4466" s="563" t="s">
        <v>9665</v>
      </c>
      <c r="C4466" s="564" t="s">
        <v>1612</v>
      </c>
      <c r="D4466" s="565">
        <v>40378</v>
      </c>
      <c r="E4466" s="565">
        <v>40389</v>
      </c>
      <c r="F4466" s="566">
        <v>4275</v>
      </c>
      <c r="G4466" s="564" t="s">
        <v>337</v>
      </c>
      <c r="H4466" s="564" t="s">
        <v>337</v>
      </c>
      <c r="I4466" s="564" t="s">
        <v>802</v>
      </c>
      <c r="J4466" s="564" t="s">
        <v>1069</v>
      </c>
      <c r="K4466" s="564" t="s">
        <v>1198</v>
      </c>
      <c r="L4466" s="564" t="s">
        <v>2098</v>
      </c>
      <c r="M4466" s="564" t="s">
        <v>2098</v>
      </c>
      <c r="N4466" s="564" t="s">
        <v>132</v>
      </c>
      <c r="O4466" s="564" t="s">
        <v>2099</v>
      </c>
      <c r="P4466" s="23"/>
      <c r="Q4466" s="23"/>
      <c r="R4466" s="23"/>
      <c r="S4466" s="23"/>
      <c r="T4466" s="23"/>
      <c r="U4466" s="23"/>
      <c r="V4466" s="23"/>
      <c r="W4466" s="23"/>
      <c r="X4466" s="23"/>
      <c r="Y4466" s="23"/>
      <c r="Z4466" s="23"/>
    </row>
    <row r="4467" spans="1:26" ht="13">
      <c r="A4467" s="562" t="s">
        <v>9666</v>
      </c>
      <c r="B4467" s="563" t="s">
        <v>9667</v>
      </c>
      <c r="C4467" s="564" t="s">
        <v>1612</v>
      </c>
      <c r="D4467" s="565">
        <v>40378</v>
      </c>
      <c r="E4467" s="565">
        <v>40387</v>
      </c>
      <c r="F4467" s="566">
        <v>1058000</v>
      </c>
      <c r="G4467" s="564" t="s">
        <v>337</v>
      </c>
      <c r="H4467" s="564" t="s">
        <v>337</v>
      </c>
      <c r="I4467" s="564" t="s">
        <v>1230</v>
      </c>
      <c r="J4467" s="564" t="s">
        <v>1069</v>
      </c>
      <c r="K4467" s="564" t="s">
        <v>1090</v>
      </c>
      <c r="L4467" s="564" t="s">
        <v>2098</v>
      </c>
      <c r="M4467" s="564" t="s">
        <v>2098</v>
      </c>
      <c r="N4467" s="564" t="s">
        <v>1073</v>
      </c>
      <c r="O4467" s="564" t="s">
        <v>2099</v>
      </c>
      <c r="P4467" s="23"/>
      <c r="Q4467" s="23"/>
      <c r="R4467" s="23"/>
      <c r="S4467" s="23"/>
      <c r="T4467" s="23"/>
      <c r="U4467" s="23"/>
      <c r="V4467" s="23"/>
      <c r="W4467" s="23"/>
      <c r="X4467" s="23"/>
      <c r="Y4467" s="23"/>
      <c r="Z4467" s="23"/>
    </row>
    <row r="4468" spans="1:26" ht="13">
      <c r="A4468" s="562" t="s">
        <v>9668</v>
      </c>
      <c r="B4468" s="563" t="s">
        <v>9669</v>
      </c>
      <c r="C4468" s="564" t="s">
        <v>1612</v>
      </c>
      <c r="D4468" s="565">
        <v>40378</v>
      </c>
      <c r="E4468" s="565">
        <v>40387</v>
      </c>
      <c r="F4468" s="566">
        <v>310000</v>
      </c>
      <c r="G4468" s="564" t="s">
        <v>337</v>
      </c>
      <c r="H4468" s="564" t="s">
        <v>337</v>
      </c>
      <c r="I4468" s="564" t="s">
        <v>1918</v>
      </c>
      <c r="J4468" s="564" t="s">
        <v>1069</v>
      </c>
      <c r="K4468" s="564" t="s">
        <v>1070</v>
      </c>
      <c r="L4468" s="564" t="s">
        <v>2098</v>
      </c>
      <c r="M4468" s="564" t="s">
        <v>2098</v>
      </c>
      <c r="N4468" s="564" t="s">
        <v>1073</v>
      </c>
      <c r="O4468" s="564" t="s">
        <v>2099</v>
      </c>
      <c r="P4468" s="23"/>
      <c r="Q4468" s="23"/>
      <c r="R4468" s="23"/>
      <c r="S4468" s="23"/>
      <c r="T4468" s="23"/>
      <c r="U4468" s="23"/>
      <c r="V4468" s="23"/>
      <c r="W4468" s="23"/>
      <c r="X4468" s="23"/>
      <c r="Y4468" s="23"/>
      <c r="Z4468" s="23"/>
    </row>
    <row r="4469" spans="1:26" ht="13">
      <c r="A4469" s="562" t="s">
        <v>9670</v>
      </c>
      <c r="B4469" s="563" t="s">
        <v>9671</v>
      </c>
      <c r="C4469" s="564" t="s">
        <v>1612</v>
      </c>
      <c r="D4469" s="565">
        <v>40375</v>
      </c>
      <c r="E4469" s="565">
        <v>40387</v>
      </c>
      <c r="F4469" s="567">
        <v>815</v>
      </c>
      <c r="G4469" s="564" t="s">
        <v>337</v>
      </c>
      <c r="H4469" s="564" t="s">
        <v>337</v>
      </c>
      <c r="I4469" s="564" t="s">
        <v>64</v>
      </c>
      <c r="J4469" s="564" t="s">
        <v>1069</v>
      </c>
      <c r="K4469" s="564" t="s">
        <v>1090</v>
      </c>
      <c r="L4469" s="564" t="s">
        <v>2098</v>
      </c>
      <c r="M4469" s="564" t="s">
        <v>2098</v>
      </c>
      <c r="N4469" s="564" t="s">
        <v>64</v>
      </c>
      <c r="O4469" s="564" t="s">
        <v>2099</v>
      </c>
      <c r="P4469" s="23"/>
      <c r="Q4469" s="23"/>
      <c r="R4469" s="23"/>
      <c r="S4469" s="23"/>
      <c r="T4469" s="23"/>
      <c r="U4469" s="23"/>
      <c r="V4469" s="23"/>
      <c r="W4469" s="23"/>
      <c r="X4469" s="23"/>
      <c r="Y4469" s="23"/>
      <c r="Z4469" s="23"/>
    </row>
    <row r="4470" spans="1:26" ht="13">
      <c r="A4470" s="562" t="s">
        <v>9672</v>
      </c>
      <c r="B4470" s="563" t="s">
        <v>9673</v>
      </c>
      <c r="C4470" s="564" t="s">
        <v>2191</v>
      </c>
      <c r="D4470" s="565">
        <v>40374</v>
      </c>
      <c r="E4470" s="565">
        <v>40390</v>
      </c>
      <c r="F4470" s="566">
        <v>12500000</v>
      </c>
      <c r="G4470" s="564" t="s">
        <v>1636</v>
      </c>
      <c r="H4470" s="564" t="s">
        <v>1636</v>
      </c>
      <c r="I4470" s="564" t="s">
        <v>9674</v>
      </c>
      <c r="J4470" s="564" t="s">
        <v>1069</v>
      </c>
      <c r="K4470" s="564" t="s">
        <v>1070</v>
      </c>
      <c r="L4470" s="564" t="s">
        <v>2098</v>
      </c>
      <c r="M4470" s="564" t="s">
        <v>2098</v>
      </c>
      <c r="N4470" s="564" t="s">
        <v>1082</v>
      </c>
      <c r="O4470" s="564" t="s">
        <v>2099</v>
      </c>
      <c r="P4470" s="23"/>
      <c r="Q4470" s="23"/>
      <c r="R4470" s="23"/>
      <c r="S4470" s="23"/>
      <c r="T4470" s="23"/>
      <c r="U4470" s="23"/>
      <c r="V4470" s="23"/>
      <c r="W4470" s="23"/>
      <c r="X4470" s="23"/>
      <c r="Y4470" s="23"/>
      <c r="Z4470" s="23"/>
    </row>
    <row r="4471" spans="1:26" ht="13">
      <c r="A4471" s="562" t="s">
        <v>9675</v>
      </c>
      <c r="B4471" s="563" t="s">
        <v>9676</v>
      </c>
      <c r="C4471" s="564" t="s">
        <v>1612</v>
      </c>
      <c r="D4471" s="565">
        <v>40372</v>
      </c>
      <c r="E4471" s="565">
        <v>40382</v>
      </c>
      <c r="F4471" s="566">
        <v>5515</v>
      </c>
      <c r="G4471" s="564" t="s">
        <v>337</v>
      </c>
      <c r="H4471" s="564" t="s">
        <v>337</v>
      </c>
      <c r="I4471" s="564" t="s">
        <v>70</v>
      </c>
      <c r="J4471" s="564" t="s">
        <v>1069</v>
      </c>
      <c r="K4471" s="564" t="s">
        <v>1120</v>
      </c>
      <c r="L4471" s="564" t="s">
        <v>2098</v>
      </c>
      <c r="M4471" s="564" t="s">
        <v>2098</v>
      </c>
      <c r="N4471" s="564" t="s">
        <v>70</v>
      </c>
      <c r="O4471" s="564" t="s">
        <v>2099</v>
      </c>
      <c r="P4471" s="23"/>
      <c r="Q4471" s="23"/>
      <c r="R4471" s="23"/>
      <c r="S4471" s="23"/>
      <c r="T4471" s="23"/>
      <c r="U4471" s="23"/>
      <c r="V4471" s="23"/>
      <c r="W4471" s="23"/>
      <c r="X4471" s="23"/>
      <c r="Y4471" s="23"/>
      <c r="Z4471" s="23"/>
    </row>
    <row r="4472" spans="1:26" ht="13">
      <c r="A4472" s="562" t="s">
        <v>9677</v>
      </c>
      <c r="B4472" s="563" t="s">
        <v>9678</v>
      </c>
      <c r="C4472" s="564" t="s">
        <v>1612</v>
      </c>
      <c r="D4472" s="565">
        <v>40372</v>
      </c>
      <c r="E4472" s="565">
        <v>40375</v>
      </c>
      <c r="F4472" s="566">
        <v>8000</v>
      </c>
      <c r="G4472" s="564" t="s">
        <v>337</v>
      </c>
      <c r="H4472" s="564" t="s">
        <v>337</v>
      </c>
      <c r="I4472" s="564" t="s">
        <v>70</v>
      </c>
      <c r="J4472" s="564" t="s">
        <v>1069</v>
      </c>
      <c r="K4472" s="564" t="s">
        <v>1120</v>
      </c>
      <c r="L4472" s="564" t="s">
        <v>2098</v>
      </c>
      <c r="M4472" s="564" t="s">
        <v>2098</v>
      </c>
      <c r="N4472" s="564" t="s">
        <v>70</v>
      </c>
      <c r="O4472" s="564" t="s">
        <v>2099</v>
      </c>
      <c r="P4472" s="23"/>
      <c r="Q4472" s="23"/>
      <c r="R4472" s="23"/>
      <c r="S4472" s="23"/>
      <c r="T4472" s="23"/>
      <c r="U4472" s="23"/>
      <c r="V4472" s="23"/>
      <c r="W4472" s="23"/>
      <c r="X4472" s="23"/>
      <c r="Y4472" s="23"/>
      <c r="Z4472" s="23"/>
    </row>
    <row r="4473" spans="1:26" ht="13">
      <c r="A4473" s="562" t="s">
        <v>9679</v>
      </c>
      <c r="B4473" s="563" t="s">
        <v>9400</v>
      </c>
      <c r="C4473" s="564" t="s">
        <v>1612</v>
      </c>
      <c r="D4473" s="565">
        <v>40367</v>
      </c>
      <c r="E4473" s="565">
        <v>40378</v>
      </c>
      <c r="F4473" s="567">
        <v>646</v>
      </c>
      <c r="G4473" s="564" t="s">
        <v>337</v>
      </c>
      <c r="H4473" s="564" t="s">
        <v>337</v>
      </c>
      <c r="I4473" s="564" t="s">
        <v>2073</v>
      </c>
      <c r="J4473" s="564" t="s">
        <v>1069</v>
      </c>
      <c r="K4473" s="564" t="s">
        <v>1105</v>
      </c>
      <c r="L4473" s="564" t="s">
        <v>2098</v>
      </c>
      <c r="M4473" s="564" t="s">
        <v>2098</v>
      </c>
      <c r="N4473" s="564" t="s">
        <v>225</v>
      </c>
      <c r="O4473" s="564" t="s">
        <v>2099</v>
      </c>
      <c r="P4473" s="23"/>
      <c r="Q4473" s="23"/>
      <c r="R4473" s="23"/>
      <c r="S4473" s="23"/>
      <c r="T4473" s="23"/>
      <c r="U4473" s="23"/>
      <c r="V4473" s="23"/>
      <c r="W4473" s="23"/>
      <c r="X4473" s="23"/>
      <c r="Y4473" s="23"/>
      <c r="Z4473" s="23"/>
    </row>
    <row r="4474" spans="1:26" ht="13">
      <c r="A4474" s="562" t="s">
        <v>9680</v>
      </c>
      <c r="B4474" s="563" t="s">
        <v>9681</v>
      </c>
      <c r="C4474" s="564" t="s">
        <v>1612</v>
      </c>
      <c r="D4474" s="565">
        <v>40364</v>
      </c>
      <c r="E4474" s="565">
        <v>40375</v>
      </c>
      <c r="F4474" s="567">
        <v>815</v>
      </c>
      <c r="G4474" s="564" t="s">
        <v>337</v>
      </c>
      <c r="H4474" s="564" t="s">
        <v>337</v>
      </c>
      <c r="I4474" s="564" t="s">
        <v>70</v>
      </c>
      <c r="J4474" s="564" t="s">
        <v>1069</v>
      </c>
      <c r="K4474" s="564" t="s">
        <v>1120</v>
      </c>
      <c r="L4474" s="564" t="s">
        <v>2098</v>
      </c>
      <c r="M4474" s="564" t="s">
        <v>2098</v>
      </c>
      <c r="N4474" s="564" t="s">
        <v>70</v>
      </c>
      <c r="O4474" s="564" t="s">
        <v>2099</v>
      </c>
      <c r="P4474" s="23"/>
      <c r="Q4474" s="23"/>
      <c r="R4474" s="23"/>
      <c r="S4474" s="23"/>
      <c r="T4474" s="23"/>
      <c r="U4474" s="23"/>
      <c r="V4474" s="23"/>
      <c r="W4474" s="23"/>
      <c r="X4474" s="23"/>
      <c r="Y4474" s="23"/>
      <c r="Z4474" s="23"/>
    </row>
    <row r="4475" spans="1:26" ht="13">
      <c r="A4475" s="562" t="s">
        <v>9682</v>
      </c>
      <c r="B4475" s="563" t="s">
        <v>9683</v>
      </c>
      <c r="C4475" s="564" t="s">
        <v>6860</v>
      </c>
      <c r="D4475" s="565">
        <v>40359</v>
      </c>
      <c r="E4475" s="565">
        <v>40406</v>
      </c>
      <c r="F4475" s="566">
        <v>1149000</v>
      </c>
      <c r="G4475" s="564" t="s">
        <v>1116</v>
      </c>
      <c r="H4475" s="564" t="s">
        <v>1116</v>
      </c>
      <c r="I4475" s="564" t="s">
        <v>6951</v>
      </c>
      <c r="J4475" s="564" t="s">
        <v>1069</v>
      </c>
      <c r="K4475" s="564" t="s">
        <v>1070</v>
      </c>
      <c r="L4475" s="564" t="s">
        <v>2098</v>
      </c>
      <c r="M4475" s="564" t="s">
        <v>2098</v>
      </c>
      <c r="N4475" s="564" t="s">
        <v>1082</v>
      </c>
      <c r="O4475" s="564" t="s">
        <v>2099</v>
      </c>
      <c r="P4475" s="23"/>
      <c r="Q4475" s="23"/>
      <c r="R4475" s="23"/>
      <c r="S4475" s="23"/>
      <c r="T4475" s="23"/>
      <c r="U4475" s="23"/>
      <c r="V4475" s="23"/>
      <c r="W4475" s="23"/>
      <c r="X4475" s="23"/>
      <c r="Y4475" s="23"/>
      <c r="Z4475" s="23"/>
    </row>
    <row r="4476" spans="1:26" ht="13">
      <c r="A4476" s="562" t="s">
        <v>9684</v>
      </c>
      <c r="B4476" s="563" t="s">
        <v>9685</v>
      </c>
      <c r="C4476" s="564" t="s">
        <v>2191</v>
      </c>
      <c r="D4476" s="565">
        <v>40358</v>
      </c>
      <c r="E4476" s="565">
        <v>40359</v>
      </c>
      <c r="F4476" s="566">
        <v>185455</v>
      </c>
      <c r="G4476" s="564" t="s">
        <v>297</v>
      </c>
      <c r="H4476" s="564" t="s">
        <v>297</v>
      </c>
      <c r="I4476" s="564" t="s">
        <v>9686</v>
      </c>
      <c r="J4476" s="564" t="s">
        <v>1069</v>
      </c>
      <c r="K4476" s="564" t="s">
        <v>1070</v>
      </c>
      <c r="L4476" s="564" t="s">
        <v>2098</v>
      </c>
      <c r="M4476" s="564" t="s">
        <v>2098</v>
      </c>
      <c r="N4476" s="564" t="s">
        <v>1082</v>
      </c>
      <c r="O4476" s="564" t="s">
        <v>2099</v>
      </c>
      <c r="P4476" s="23"/>
      <c r="Q4476" s="23"/>
      <c r="R4476" s="23"/>
      <c r="S4476" s="23"/>
      <c r="T4476" s="23"/>
      <c r="U4476" s="23"/>
      <c r="V4476" s="23"/>
      <c r="W4476" s="23"/>
      <c r="X4476" s="23"/>
      <c r="Y4476" s="23"/>
      <c r="Z4476" s="23"/>
    </row>
    <row r="4477" spans="1:26" ht="13">
      <c r="A4477" s="562" t="s">
        <v>9687</v>
      </c>
      <c r="B4477" s="563" t="s">
        <v>9688</v>
      </c>
      <c r="C4477" s="564" t="s">
        <v>2191</v>
      </c>
      <c r="D4477" s="565">
        <v>40358</v>
      </c>
      <c r="E4477" s="565">
        <v>40359</v>
      </c>
      <c r="F4477" s="566">
        <v>82880860</v>
      </c>
      <c r="G4477" s="564" t="s">
        <v>297</v>
      </c>
      <c r="H4477" s="564" t="s">
        <v>297</v>
      </c>
      <c r="I4477" s="564" t="s">
        <v>9689</v>
      </c>
      <c r="J4477" s="564" t="s">
        <v>1069</v>
      </c>
      <c r="K4477" s="564" t="s">
        <v>1070</v>
      </c>
      <c r="L4477" s="564" t="s">
        <v>2098</v>
      </c>
      <c r="M4477" s="564" t="s">
        <v>2098</v>
      </c>
      <c r="N4477" s="564" t="s">
        <v>1082</v>
      </c>
      <c r="O4477" s="564" t="s">
        <v>2099</v>
      </c>
      <c r="P4477" s="23"/>
      <c r="Q4477" s="23"/>
      <c r="R4477" s="23"/>
      <c r="S4477" s="23"/>
      <c r="T4477" s="23"/>
      <c r="U4477" s="23"/>
      <c r="V4477" s="23"/>
      <c r="W4477" s="23"/>
      <c r="X4477" s="23"/>
      <c r="Y4477" s="23"/>
      <c r="Z4477" s="23"/>
    </row>
    <row r="4478" spans="1:26" ht="13">
      <c r="A4478" s="562" t="s">
        <v>9690</v>
      </c>
      <c r="B4478" s="563" t="s">
        <v>9691</v>
      </c>
      <c r="C4478" s="564" t="s">
        <v>1612</v>
      </c>
      <c r="D4478" s="565">
        <v>40358</v>
      </c>
      <c r="E4478" s="565">
        <v>40338</v>
      </c>
      <c r="F4478" s="566">
        <v>1440</v>
      </c>
      <c r="G4478" s="564" t="s">
        <v>337</v>
      </c>
      <c r="H4478" s="564" t="s">
        <v>337</v>
      </c>
      <c r="I4478" s="564" t="s">
        <v>70</v>
      </c>
      <c r="J4478" s="564" t="s">
        <v>1069</v>
      </c>
      <c r="K4478" s="564" t="s">
        <v>1120</v>
      </c>
      <c r="L4478" s="564" t="s">
        <v>2098</v>
      </c>
      <c r="M4478" s="564" t="s">
        <v>2098</v>
      </c>
      <c r="N4478" s="564" t="s">
        <v>70</v>
      </c>
      <c r="O4478" s="564" t="s">
        <v>2099</v>
      </c>
      <c r="P4478" s="23"/>
      <c r="Q4478" s="23"/>
      <c r="R4478" s="23"/>
      <c r="S4478" s="23"/>
      <c r="T4478" s="23"/>
      <c r="U4478" s="23"/>
      <c r="V4478" s="23"/>
      <c r="W4478" s="23"/>
      <c r="X4478" s="23"/>
      <c r="Y4478" s="23"/>
      <c r="Z4478" s="23"/>
    </row>
    <row r="4479" spans="1:26" ht="13">
      <c r="A4479" s="562" t="s">
        <v>9692</v>
      </c>
      <c r="B4479" s="563" t="s">
        <v>9693</v>
      </c>
      <c r="C4479" s="564" t="s">
        <v>1612</v>
      </c>
      <c r="D4479" s="565">
        <v>40357</v>
      </c>
      <c r="E4479" s="565">
        <v>40368</v>
      </c>
      <c r="F4479" s="566">
        <v>8150</v>
      </c>
      <c r="G4479" s="564" t="s">
        <v>337</v>
      </c>
      <c r="H4479" s="564" t="s">
        <v>337</v>
      </c>
      <c r="I4479" s="564" t="s">
        <v>1821</v>
      </c>
      <c r="J4479" s="564" t="s">
        <v>1069</v>
      </c>
      <c r="K4479" s="564" t="s">
        <v>1120</v>
      </c>
      <c r="L4479" s="564" t="s">
        <v>2098</v>
      </c>
      <c r="M4479" s="564" t="s">
        <v>2098</v>
      </c>
      <c r="N4479" s="564" t="s">
        <v>1073</v>
      </c>
      <c r="O4479" s="564" t="s">
        <v>2099</v>
      </c>
      <c r="P4479" s="23"/>
      <c r="Q4479" s="23"/>
      <c r="R4479" s="23"/>
      <c r="S4479" s="23"/>
      <c r="T4479" s="23"/>
      <c r="U4479" s="23"/>
      <c r="V4479" s="23"/>
      <c r="W4479" s="23"/>
      <c r="X4479" s="23"/>
      <c r="Y4479" s="23"/>
      <c r="Z4479" s="23"/>
    </row>
    <row r="4480" spans="1:26" ht="13">
      <c r="A4480" s="562" t="s">
        <v>9694</v>
      </c>
      <c r="B4480" s="563" t="s">
        <v>9695</v>
      </c>
      <c r="C4480" s="564" t="s">
        <v>1612</v>
      </c>
      <c r="D4480" s="565">
        <v>40357</v>
      </c>
      <c r="E4480" s="565">
        <v>40359</v>
      </c>
      <c r="F4480" s="566">
        <v>8390190000</v>
      </c>
      <c r="G4480" s="564" t="s">
        <v>337</v>
      </c>
      <c r="H4480" s="564" t="s">
        <v>337</v>
      </c>
      <c r="I4480" s="564" t="s">
        <v>45</v>
      </c>
      <c r="J4480" s="564" t="s">
        <v>1069</v>
      </c>
      <c r="K4480" s="564" t="s">
        <v>1090</v>
      </c>
      <c r="L4480" s="564" t="s">
        <v>2098</v>
      </c>
      <c r="M4480" s="564" t="s">
        <v>2098</v>
      </c>
      <c r="N4480" s="564" t="s">
        <v>45</v>
      </c>
      <c r="O4480" s="564" t="s">
        <v>2099</v>
      </c>
      <c r="P4480" s="23"/>
      <c r="Q4480" s="23"/>
      <c r="R4480" s="23"/>
      <c r="S4480" s="23"/>
      <c r="T4480" s="23"/>
      <c r="U4480" s="23"/>
      <c r="V4480" s="23"/>
      <c r="W4480" s="23"/>
      <c r="X4480" s="23"/>
      <c r="Y4480" s="23"/>
      <c r="Z4480" s="23"/>
    </row>
    <row r="4481" spans="1:26" ht="13">
      <c r="A4481" s="562" t="s">
        <v>9696</v>
      </c>
      <c r="B4481" s="563" t="s">
        <v>9697</v>
      </c>
      <c r="C4481" s="564" t="s">
        <v>1612</v>
      </c>
      <c r="D4481" s="565">
        <v>40352</v>
      </c>
      <c r="E4481" s="565">
        <v>40354</v>
      </c>
      <c r="F4481" s="566">
        <v>1440</v>
      </c>
      <c r="G4481" s="564" t="s">
        <v>337</v>
      </c>
      <c r="H4481" s="564" t="s">
        <v>337</v>
      </c>
      <c r="I4481" s="564" t="s">
        <v>70</v>
      </c>
      <c r="J4481" s="564" t="s">
        <v>1069</v>
      </c>
      <c r="K4481" s="564" t="s">
        <v>1120</v>
      </c>
      <c r="L4481" s="564" t="s">
        <v>2098</v>
      </c>
      <c r="M4481" s="564" t="s">
        <v>2098</v>
      </c>
      <c r="N4481" s="564" t="s">
        <v>70</v>
      </c>
      <c r="O4481" s="564" t="s">
        <v>2099</v>
      </c>
      <c r="P4481" s="23"/>
      <c r="Q4481" s="23"/>
      <c r="R4481" s="23"/>
      <c r="S4481" s="23"/>
      <c r="T4481" s="23"/>
      <c r="U4481" s="23"/>
      <c r="V4481" s="23"/>
      <c r="W4481" s="23"/>
      <c r="X4481" s="23"/>
      <c r="Y4481" s="23"/>
      <c r="Z4481" s="23"/>
    </row>
    <row r="4482" spans="1:26" ht="13">
      <c r="A4482" s="562" t="s">
        <v>9698</v>
      </c>
      <c r="B4482" s="563" t="s">
        <v>9699</v>
      </c>
      <c r="C4482" s="564" t="s">
        <v>1612</v>
      </c>
      <c r="D4482" s="565">
        <v>40353</v>
      </c>
      <c r="E4482" s="565">
        <v>40359</v>
      </c>
      <c r="F4482" s="566">
        <v>20241</v>
      </c>
      <c r="G4482" s="564" t="s">
        <v>297</v>
      </c>
      <c r="H4482" s="564" t="s">
        <v>297</v>
      </c>
      <c r="I4482" s="564" t="s">
        <v>45</v>
      </c>
      <c r="J4482" s="564" t="s">
        <v>1069</v>
      </c>
      <c r="K4482" s="564" t="s">
        <v>1090</v>
      </c>
      <c r="L4482" s="564" t="s">
        <v>2098</v>
      </c>
      <c r="M4482" s="564" t="s">
        <v>2098</v>
      </c>
      <c r="N4482" s="564" t="s">
        <v>45</v>
      </c>
      <c r="O4482" s="564" t="s">
        <v>2099</v>
      </c>
      <c r="P4482" s="23"/>
      <c r="Q4482" s="23"/>
      <c r="R4482" s="23"/>
      <c r="S4482" s="23"/>
      <c r="T4482" s="23"/>
      <c r="U4482" s="23"/>
      <c r="V4482" s="23"/>
      <c r="W4482" s="23"/>
      <c r="X4482" s="23"/>
      <c r="Y4482" s="23"/>
      <c r="Z4482" s="23"/>
    </row>
    <row r="4483" spans="1:26" ht="13">
      <c r="A4483" s="562" t="s">
        <v>9700</v>
      </c>
      <c r="B4483" s="563" t="s">
        <v>9701</v>
      </c>
      <c r="C4483" s="564" t="s">
        <v>2191</v>
      </c>
      <c r="D4483" s="565">
        <v>40347</v>
      </c>
      <c r="E4483" s="565">
        <v>40389</v>
      </c>
      <c r="F4483" s="566">
        <v>27140000</v>
      </c>
      <c r="G4483" s="564" t="s">
        <v>1123</v>
      </c>
      <c r="H4483" s="564" t="s">
        <v>1123</v>
      </c>
      <c r="I4483" s="564" t="s">
        <v>8659</v>
      </c>
      <c r="J4483" s="564" t="s">
        <v>1069</v>
      </c>
      <c r="K4483" s="564" t="s">
        <v>1205</v>
      </c>
      <c r="L4483" s="564" t="s">
        <v>2098</v>
      </c>
      <c r="M4483" s="564" t="s">
        <v>2098</v>
      </c>
      <c r="N4483" s="564" t="s">
        <v>1073</v>
      </c>
      <c r="O4483" s="564" t="s">
        <v>2099</v>
      </c>
      <c r="P4483" s="23"/>
      <c r="Q4483" s="23"/>
      <c r="R4483" s="23"/>
      <c r="S4483" s="23"/>
      <c r="T4483" s="23"/>
      <c r="U4483" s="23"/>
      <c r="V4483" s="23"/>
      <c r="W4483" s="23"/>
      <c r="X4483" s="23"/>
      <c r="Y4483" s="23"/>
      <c r="Z4483" s="23"/>
    </row>
    <row r="4484" spans="1:26" ht="13">
      <c r="A4484" s="562" t="s">
        <v>9702</v>
      </c>
      <c r="B4484" s="563" t="s">
        <v>9703</v>
      </c>
      <c r="C4484" s="564" t="s">
        <v>2191</v>
      </c>
      <c r="D4484" s="565">
        <v>40344</v>
      </c>
      <c r="E4484" s="565">
        <v>40353</v>
      </c>
      <c r="F4484" s="566">
        <v>3500</v>
      </c>
      <c r="G4484" s="564" t="s">
        <v>1145</v>
      </c>
      <c r="H4484" s="564" t="s">
        <v>1145</v>
      </c>
      <c r="I4484" s="564" t="s">
        <v>9704</v>
      </c>
      <c r="J4484" s="564" t="s">
        <v>1069</v>
      </c>
      <c r="K4484" s="564" t="s">
        <v>1070</v>
      </c>
      <c r="L4484" s="564" t="s">
        <v>2098</v>
      </c>
      <c r="M4484" s="564" t="s">
        <v>2098</v>
      </c>
      <c r="N4484" s="564" t="s">
        <v>1082</v>
      </c>
      <c r="O4484" s="564" t="s">
        <v>2099</v>
      </c>
      <c r="P4484" s="23"/>
      <c r="Q4484" s="23"/>
      <c r="R4484" s="23"/>
      <c r="S4484" s="23"/>
      <c r="T4484" s="23"/>
      <c r="U4484" s="23"/>
      <c r="V4484" s="23"/>
      <c r="W4484" s="23"/>
      <c r="X4484" s="23"/>
      <c r="Y4484" s="23"/>
      <c r="Z4484" s="23"/>
    </row>
    <row r="4485" spans="1:26" ht="13">
      <c r="A4485" s="562" t="s">
        <v>9705</v>
      </c>
      <c r="B4485" s="563" t="s">
        <v>9706</v>
      </c>
      <c r="C4485" s="564" t="s">
        <v>2191</v>
      </c>
      <c r="D4485" s="565">
        <v>40344</v>
      </c>
      <c r="E4485" s="565">
        <v>40346</v>
      </c>
      <c r="F4485" s="566">
        <v>45000000</v>
      </c>
      <c r="G4485" s="564" t="s">
        <v>1856</v>
      </c>
      <c r="H4485" s="564" t="s">
        <v>1856</v>
      </c>
      <c r="I4485" s="564" t="s">
        <v>9674</v>
      </c>
      <c r="J4485" s="564" t="s">
        <v>1069</v>
      </c>
      <c r="K4485" s="564" t="s">
        <v>1205</v>
      </c>
      <c r="L4485" s="564" t="s">
        <v>2098</v>
      </c>
      <c r="M4485" s="564" t="s">
        <v>2098</v>
      </c>
      <c r="N4485" s="564" t="s">
        <v>1082</v>
      </c>
      <c r="O4485" s="564" t="s">
        <v>2099</v>
      </c>
      <c r="P4485" s="23"/>
      <c r="Q4485" s="23"/>
      <c r="R4485" s="23"/>
      <c r="S4485" s="23"/>
      <c r="T4485" s="23"/>
      <c r="U4485" s="23"/>
      <c r="V4485" s="23"/>
      <c r="W4485" s="23"/>
      <c r="X4485" s="23"/>
      <c r="Y4485" s="23"/>
      <c r="Z4485" s="23"/>
    </row>
    <row r="4486" spans="1:26" ht="13">
      <c r="A4486" s="562" t="s">
        <v>9707</v>
      </c>
      <c r="B4486" s="563" t="s">
        <v>9708</v>
      </c>
      <c r="C4486" s="564" t="s">
        <v>1612</v>
      </c>
      <c r="D4486" s="565">
        <v>40344</v>
      </c>
      <c r="E4486" s="565">
        <v>40352</v>
      </c>
      <c r="F4486" s="566">
        <v>1630</v>
      </c>
      <c r="G4486" s="564" t="s">
        <v>337</v>
      </c>
      <c r="H4486" s="564" t="s">
        <v>337</v>
      </c>
      <c r="I4486" s="564" t="s">
        <v>64</v>
      </c>
      <c r="J4486" s="564" t="s">
        <v>1069</v>
      </c>
      <c r="K4486" s="564" t="s">
        <v>1090</v>
      </c>
      <c r="L4486" s="564" t="s">
        <v>2098</v>
      </c>
      <c r="M4486" s="564" t="s">
        <v>2098</v>
      </c>
      <c r="N4486" s="564" t="s">
        <v>64</v>
      </c>
      <c r="O4486" s="564" t="s">
        <v>2099</v>
      </c>
      <c r="P4486" s="23"/>
      <c r="Q4486" s="23"/>
      <c r="R4486" s="23"/>
      <c r="S4486" s="23"/>
      <c r="T4486" s="23"/>
      <c r="U4486" s="23"/>
      <c r="V4486" s="23"/>
      <c r="W4486" s="23"/>
      <c r="X4486" s="23"/>
      <c r="Y4486" s="23"/>
      <c r="Z4486" s="23"/>
    </row>
    <row r="4487" spans="1:26" ht="13">
      <c r="A4487" s="562" t="s">
        <v>9709</v>
      </c>
      <c r="B4487" s="563" t="s">
        <v>9710</v>
      </c>
      <c r="C4487" s="564" t="s">
        <v>1612</v>
      </c>
      <c r="D4487" s="565">
        <v>40340</v>
      </c>
      <c r="E4487" s="565">
        <v>40352</v>
      </c>
      <c r="F4487" s="566">
        <v>10670</v>
      </c>
      <c r="G4487" s="564" t="s">
        <v>297</v>
      </c>
      <c r="H4487" s="564" t="s">
        <v>297</v>
      </c>
      <c r="I4487" s="564" t="s">
        <v>7259</v>
      </c>
      <c r="J4487" s="564" t="s">
        <v>1069</v>
      </c>
      <c r="K4487" s="564" t="s">
        <v>1070</v>
      </c>
      <c r="L4487" s="564" t="s">
        <v>2098</v>
      </c>
      <c r="M4487" s="564" t="s">
        <v>2098</v>
      </c>
      <c r="N4487" s="564" t="s">
        <v>1082</v>
      </c>
      <c r="O4487" s="564" t="s">
        <v>2099</v>
      </c>
      <c r="P4487" s="23"/>
      <c r="Q4487" s="23"/>
      <c r="R4487" s="23"/>
      <c r="S4487" s="23"/>
      <c r="T4487" s="23"/>
      <c r="U4487" s="23"/>
      <c r="V4487" s="23"/>
      <c r="W4487" s="23"/>
      <c r="X4487" s="23"/>
      <c r="Y4487" s="23"/>
      <c r="Z4487" s="23"/>
    </row>
    <row r="4488" spans="1:26" ht="13">
      <c r="A4488" s="562" t="s">
        <v>9711</v>
      </c>
      <c r="B4488" s="563" t="s">
        <v>9712</v>
      </c>
      <c r="C4488" s="564" t="s">
        <v>1612</v>
      </c>
      <c r="D4488" s="565">
        <v>40339</v>
      </c>
      <c r="E4488" s="565">
        <v>40347</v>
      </c>
      <c r="F4488" s="566">
        <v>3260</v>
      </c>
      <c r="G4488" s="564" t="s">
        <v>337</v>
      </c>
      <c r="H4488" s="564" t="s">
        <v>337</v>
      </c>
      <c r="I4488" s="564" t="s">
        <v>70</v>
      </c>
      <c r="J4488" s="564" t="s">
        <v>1069</v>
      </c>
      <c r="K4488" s="564" t="s">
        <v>1120</v>
      </c>
      <c r="L4488" s="564" t="s">
        <v>2098</v>
      </c>
      <c r="M4488" s="564" t="s">
        <v>2098</v>
      </c>
      <c r="N4488" s="564" t="s">
        <v>70</v>
      </c>
      <c r="O4488" s="564" t="s">
        <v>2099</v>
      </c>
      <c r="P4488" s="23"/>
      <c r="Q4488" s="23"/>
      <c r="R4488" s="23"/>
      <c r="S4488" s="23"/>
      <c r="T4488" s="23"/>
      <c r="U4488" s="23"/>
      <c r="V4488" s="23"/>
      <c r="W4488" s="23"/>
      <c r="X4488" s="23"/>
      <c r="Y4488" s="23"/>
      <c r="Z4488" s="23"/>
    </row>
    <row r="4489" spans="1:26" ht="13">
      <c r="A4489" s="562" t="s">
        <v>9713</v>
      </c>
      <c r="B4489" s="563" t="s">
        <v>9714</v>
      </c>
      <c r="C4489" s="564" t="s">
        <v>1612</v>
      </c>
      <c r="D4489" s="565">
        <v>40337</v>
      </c>
      <c r="E4489" s="565">
        <v>40339</v>
      </c>
      <c r="F4489" s="566">
        <v>1440</v>
      </c>
      <c r="G4489" s="564" t="s">
        <v>337</v>
      </c>
      <c r="H4489" s="564" t="s">
        <v>337</v>
      </c>
      <c r="I4489" s="564" t="s">
        <v>70</v>
      </c>
      <c r="J4489" s="564" t="s">
        <v>1069</v>
      </c>
      <c r="K4489" s="564" t="s">
        <v>1120</v>
      </c>
      <c r="L4489" s="564" t="s">
        <v>2098</v>
      </c>
      <c r="M4489" s="564" t="s">
        <v>2098</v>
      </c>
      <c r="N4489" s="564" t="s">
        <v>70</v>
      </c>
      <c r="O4489" s="564" t="s">
        <v>2099</v>
      </c>
      <c r="P4489" s="23"/>
      <c r="Q4489" s="23"/>
      <c r="R4489" s="23"/>
      <c r="S4489" s="23"/>
      <c r="T4489" s="23"/>
      <c r="U4489" s="23"/>
      <c r="V4489" s="23"/>
      <c r="W4489" s="23"/>
      <c r="X4489" s="23"/>
      <c r="Y4489" s="23"/>
      <c r="Z4489" s="23"/>
    </row>
    <row r="4490" spans="1:26" ht="13">
      <c r="A4490" s="562" t="s">
        <v>9715</v>
      </c>
      <c r="B4490" s="563" t="s">
        <v>9716</v>
      </c>
      <c r="C4490" s="564" t="s">
        <v>2191</v>
      </c>
      <c r="D4490" s="565">
        <v>40332</v>
      </c>
      <c r="E4490" s="565">
        <v>40336</v>
      </c>
      <c r="F4490" s="566">
        <v>96807890</v>
      </c>
      <c r="G4490" s="564" t="s">
        <v>297</v>
      </c>
      <c r="H4490" s="564" t="s">
        <v>297</v>
      </c>
      <c r="I4490" s="564" t="s">
        <v>9717</v>
      </c>
      <c r="J4490" s="564" t="s">
        <v>1069</v>
      </c>
      <c r="K4490" s="564" t="s">
        <v>1070</v>
      </c>
      <c r="L4490" s="564" t="s">
        <v>2098</v>
      </c>
      <c r="M4490" s="564" t="s">
        <v>2098</v>
      </c>
      <c r="N4490" s="564" t="s">
        <v>1082</v>
      </c>
      <c r="O4490" s="564" t="s">
        <v>2099</v>
      </c>
      <c r="P4490" s="23"/>
      <c r="Q4490" s="23"/>
      <c r="R4490" s="23"/>
      <c r="S4490" s="23"/>
      <c r="T4490" s="23"/>
      <c r="U4490" s="23"/>
      <c r="V4490" s="23"/>
      <c r="W4490" s="23"/>
      <c r="X4490" s="23"/>
      <c r="Y4490" s="23"/>
      <c r="Z4490" s="23"/>
    </row>
    <row r="4491" spans="1:26" ht="13">
      <c r="A4491" s="562" t="s">
        <v>9718</v>
      </c>
      <c r="B4491" s="563" t="s">
        <v>9681</v>
      </c>
      <c r="C4491" s="564" t="s">
        <v>1612</v>
      </c>
      <c r="D4491" s="565">
        <v>40329</v>
      </c>
      <c r="E4491" s="565">
        <v>40338</v>
      </c>
      <c r="F4491" s="567">
        <v>815</v>
      </c>
      <c r="G4491" s="564" t="s">
        <v>337</v>
      </c>
      <c r="H4491" s="564" t="s">
        <v>337</v>
      </c>
      <c r="I4491" s="564" t="s">
        <v>70</v>
      </c>
      <c r="J4491" s="564" t="s">
        <v>1069</v>
      </c>
      <c r="K4491" s="564" t="s">
        <v>1120</v>
      </c>
      <c r="L4491" s="564" t="s">
        <v>2098</v>
      </c>
      <c r="M4491" s="564" t="s">
        <v>2098</v>
      </c>
      <c r="N4491" s="564" t="s">
        <v>70</v>
      </c>
      <c r="O4491" s="564" t="s">
        <v>2099</v>
      </c>
      <c r="P4491" s="23"/>
      <c r="Q4491" s="23"/>
      <c r="R4491" s="23"/>
      <c r="S4491" s="23"/>
      <c r="T4491" s="23"/>
      <c r="U4491" s="23"/>
      <c r="V4491" s="23"/>
      <c r="W4491" s="23"/>
      <c r="X4491" s="23"/>
      <c r="Y4491" s="23"/>
      <c r="Z4491" s="23"/>
    </row>
    <row r="4492" spans="1:26" ht="13">
      <c r="A4492" s="562" t="s">
        <v>9719</v>
      </c>
      <c r="B4492" s="563" t="s">
        <v>9720</v>
      </c>
      <c r="C4492" s="564" t="s">
        <v>2191</v>
      </c>
      <c r="D4492" s="565">
        <v>40329</v>
      </c>
      <c r="E4492" s="565">
        <v>40343</v>
      </c>
      <c r="F4492" s="566">
        <v>471000000</v>
      </c>
      <c r="G4492" s="564" t="s">
        <v>1636</v>
      </c>
      <c r="H4492" s="564" t="s">
        <v>1636</v>
      </c>
      <c r="I4492" s="564" t="s">
        <v>9721</v>
      </c>
      <c r="J4492" s="564" t="s">
        <v>1069</v>
      </c>
      <c r="K4492" s="564" t="s">
        <v>1070</v>
      </c>
      <c r="L4492" s="564" t="s">
        <v>2098</v>
      </c>
      <c r="M4492" s="564" t="s">
        <v>2098</v>
      </c>
      <c r="N4492" s="564" t="s">
        <v>1082</v>
      </c>
      <c r="O4492" s="564" t="s">
        <v>2099</v>
      </c>
      <c r="P4492" s="23"/>
      <c r="Q4492" s="23"/>
      <c r="R4492" s="23"/>
      <c r="S4492" s="23"/>
      <c r="T4492" s="23"/>
      <c r="U4492" s="23"/>
      <c r="V4492" s="23"/>
      <c r="W4492" s="23"/>
      <c r="X4492" s="23"/>
      <c r="Y4492" s="23"/>
      <c r="Z4492" s="23"/>
    </row>
    <row r="4493" spans="1:26" ht="13">
      <c r="A4493" s="562" t="s">
        <v>9722</v>
      </c>
      <c r="B4493" s="563" t="s">
        <v>9723</v>
      </c>
      <c r="C4493" s="564" t="s">
        <v>2191</v>
      </c>
      <c r="D4493" s="565">
        <v>40326</v>
      </c>
      <c r="E4493" s="565">
        <v>40344</v>
      </c>
      <c r="F4493" s="566">
        <v>237000000</v>
      </c>
      <c r="G4493" s="564" t="s">
        <v>1187</v>
      </c>
      <c r="H4493" s="564" t="s">
        <v>1187</v>
      </c>
      <c r="I4493" s="564" t="s">
        <v>9717</v>
      </c>
      <c r="J4493" s="564" t="s">
        <v>1069</v>
      </c>
      <c r="K4493" s="564" t="s">
        <v>1070</v>
      </c>
      <c r="L4493" s="564" t="s">
        <v>2098</v>
      </c>
      <c r="M4493" s="564" t="s">
        <v>2098</v>
      </c>
      <c r="N4493" s="564" t="s">
        <v>1082</v>
      </c>
      <c r="O4493" s="564" t="s">
        <v>2099</v>
      </c>
      <c r="P4493" s="23"/>
      <c r="Q4493" s="23"/>
      <c r="R4493" s="23"/>
      <c r="S4493" s="23"/>
      <c r="T4493" s="23"/>
      <c r="U4493" s="23"/>
      <c r="V4493" s="23"/>
      <c r="W4493" s="23"/>
      <c r="X4493" s="23"/>
      <c r="Y4493" s="23"/>
      <c r="Z4493" s="23"/>
    </row>
    <row r="4494" spans="1:26" ht="13">
      <c r="A4494" s="562" t="s">
        <v>9724</v>
      </c>
      <c r="B4494" s="563" t="s">
        <v>9725</v>
      </c>
      <c r="C4494" s="564" t="s">
        <v>2191</v>
      </c>
      <c r="D4494" s="565">
        <v>40326</v>
      </c>
      <c r="E4494" s="565">
        <v>40329</v>
      </c>
      <c r="F4494" s="566">
        <v>122265000</v>
      </c>
      <c r="G4494" s="564" t="s">
        <v>1521</v>
      </c>
      <c r="H4494" s="564" t="s">
        <v>1521</v>
      </c>
      <c r="I4494" s="564" t="s">
        <v>9726</v>
      </c>
      <c r="J4494" s="564" t="s">
        <v>1069</v>
      </c>
      <c r="K4494" s="564" t="s">
        <v>1802</v>
      </c>
      <c r="L4494" s="564" t="s">
        <v>2098</v>
      </c>
      <c r="M4494" s="564" t="s">
        <v>2098</v>
      </c>
      <c r="N4494" s="564" t="s">
        <v>1082</v>
      </c>
      <c r="O4494" s="564" t="s">
        <v>2099</v>
      </c>
      <c r="P4494" s="23"/>
      <c r="Q4494" s="23"/>
      <c r="R4494" s="23"/>
      <c r="S4494" s="23"/>
      <c r="T4494" s="23"/>
      <c r="U4494" s="23"/>
      <c r="V4494" s="23"/>
      <c r="W4494" s="23"/>
      <c r="X4494" s="23"/>
      <c r="Y4494" s="23"/>
      <c r="Z4494" s="23"/>
    </row>
    <row r="4495" spans="1:26" ht="13">
      <c r="A4495" s="562" t="s">
        <v>9727</v>
      </c>
      <c r="B4495" s="563" t="s">
        <v>9728</v>
      </c>
      <c r="C4495" s="564" t="s">
        <v>2191</v>
      </c>
      <c r="D4495" s="565">
        <v>40325</v>
      </c>
      <c r="E4495" s="565">
        <v>40421</v>
      </c>
      <c r="F4495" s="566">
        <v>296363636</v>
      </c>
      <c r="G4495" s="564" t="s">
        <v>1123</v>
      </c>
      <c r="H4495" s="564" t="s">
        <v>1123</v>
      </c>
      <c r="I4495" s="564" t="s">
        <v>143</v>
      </c>
      <c r="J4495" s="564" t="s">
        <v>1069</v>
      </c>
      <c r="K4495" s="564" t="s">
        <v>1205</v>
      </c>
      <c r="L4495" s="564" t="s">
        <v>2098</v>
      </c>
      <c r="M4495" s="564" t="s">
        <v>2098</v>
      </c>
      <c r="N4495" s="564" t="s">
        <v>1073</v>
      </c>
      <c r="O4495" s="564" t="s">
        <v>2099</v>
      </c>
      <c r="P4495" s="23"/>
      <c r="Q4495" s="23"/>
      <c r="R4495" s="23"/>
      <c r="S4495" s="23"/>
      <c r="T4495" s="23"/>
      <c r="U4495" s="23"/>
      <c r="V4495" s="23"/>
      <c r="W4495" s="23"/>
      <c r="X4495" s="23"/>
      <c r="Y4495" s="23"/>
      <c r="Z4495" s="23"/>
    </row>
    <row r="4496" spans="1:26" ht="13">
      <c r="A4496" s="562" t="s">
        <v>9729</v>
      </c>
      <c r="B4496" s="563" t="s">
        <v>9400</v>
      </c>
      <c r="C4496" s="564" t="s">
        <v>1612</v>
      </c>
      <c r="D4496" s="565">
        <v>40323</v>
      </c>
      <c r="E4496" s="565">
        <v>40324</v>
      </c>
      <c r="F4496" s="567">
        <v>885</v>
      </c>
      <c r="G4496" s="564" t="s">
        <v>337</v>
      </c>
      <c r="H4496" s="564" t="s">
        <v>337</v>
      </c>
      <c r="I4496" s="564" t="s">
        <v>2073</v>
      </c>
      <c r="J4496" s="564" t="s">
        <v>1069</v>
      </c>
      <c r="K4496" s="564" t="s">
        <v>1105</v>
      </c>
      <c r="L4496" s="564" t="s">
        <v>2098</v>
      </c>
      <c r="M4496" s="564" t="s">
        <v>2098</v>
      </c>
      <c r="N4496" s="564" t="s">
        <v>225</v>
      </c>
      <c r="O4496" s="564" t="s">
        <v>2099</v>
      </c>
      <c r="P4496" s="23"/>
      <c r="Q4496" s="23"/>
      <c r="R4496" s="23"/>
      <c r="S4496" s="23"/>
      <c r="T4496" s="23"/>
      <c r="U4496" s="23"/>
      <c r="V4496" s="23"/>
      <c r="W4496" s="23"/>
      <c r="X4496" s="23"/>
      <c r="Y4496" s="23"/>
      <c r="Z4496" s="23"/>
    </row>
    <row r="4497" spans="1:26" ht="13">
      <c r="A4497" s="562" t="s">
        <v>9730</v>
      </c>
      <c r="B4497" s="563" t="s">
        <v>9731</v>
      </c>
      <c r="C4497" s="564" t="s">
        <v>1612</v>
      </c>
      <c r="D4497" s="565">
        <v>40322</v>
      </c>
      <c r="E4497" s="565">
        <v>40329</v>
      </c>
      <c r="F4497" s="567">
        <v>980</v>
      </c>
      <c r="G4497" s="564" t="s">
        <v>337</v>
      </c>
      <c r="H4497" s="564" t="s">
        <v>337</v>
      </c>
      <c r="I4497" s="564" t="s">
        <v>64</v>
      </c>
      <c r="J4497" s="564" t="s">
        <v>1069</v>
      </c>
      <c r="K4497" s="564" t="s">
        <v>1090</v>
      </c>
      <c r="L4497" s="564" t="s">
        <v>2098</v>
      </c>
      <c r="M4497" s="564" t="s">
        <v>2098</v>
      </c>
      <c r="N4497" s="564" t="s">
        <v>64</v>
      </c>
      <c r="O4497" s="564" t="s">
        <v>2099</v>
      </c>
      <c r="P4497" s="23"/>
      <c r="Q4497" s="23"/>
      <c r="R4497" s="23"/>
      <c r="S4497" s="23"/>
      <c r="T4497" s="23"/>
      <c r="U4497" s="23"/>
      <c r="V4497" s="23"/>
      <c r="W4497" s="23"/>
      <c r="X4497" s="23"/>
      <c r="Y4497" s="23"/>
      <c r="Z4497" s="23"/>
    </row>
    <row r="4498" spans="1:26" ht="13">
      <c r="A4498" s="562" t="s">
        <v>9732</v>
      </c>
      <c r="B4498" s="563" t="s">
        <v>9733</v>
      </c>
      <c r="C4498" s="564" t="s">
        <v>1612</v>
      </c>
      <c r="D4498" s="565">
        <v>40322</v>
      </c>
      <c r="E4498" s="565">
        <v>40329</v>
      </c>
      <c r="F4498" s="566">
        <v>15700000</v>
      </c>
      <c r="G4498" s="564" t="s">
        <v>337</v>
      </c>
      <c r="H4498" s="564" t="s">
        <v>337</v>
      </c>
      <c r="I4498" s="564" t="s">
        <v>802</v>
      </c>
      <c r="J4498" s="564" t="s">
        <v>1069</v>
      </c>
      <c r="K4498" s="564" t="s">
        <v>1198</v>
      </c>
      <c r="L4498" s="564" t="s">
        <v>2098</v>
      </c>
      <c r="M4498" s="564" t="s">
        <v>2098</v>
      </c>
      <c r="N4498" s="564" t="s">
        <v>132</v>
      </c>
      <c r="O4498" s="564" t="s">
        <v>2099</v>
      </c>
      <c r="P4498" s="23"/>
      <c r="Q4498" s="23"/>
      <c r="R4498" s="23"/>
      <c r="S4498" s="23"/>
      <c r="T4498" s="23"/>
      <c r="U4498" s="23"/>
      <c r="V4498" s="23"/>
      <c r="W4498" s="23"/>
      <c r="X4498" s="23"/>
      <c r="Y4498" s="23"/>
      <c r="Z4498" s="23"/>
    </row>
    <row r="4499" spans="1:26" ht="13">
      <c r="A4499" s="562" t="s">
        <v>9734</v>
      </c>
      <c r="B4499" s="563" t="s">
        <v>9735</v>
      </c>
      <c r="C4499" s="564" t="s">
        <v>1612</v>
      </c>
      <c r="D4499" s="565">
        <v>40311</v>
      </c>
      <c r="E4499" s="565">
        <v>40312</v>
      </c>
      <c r="F4499" s="566">
        <v>2112000</v>
      </c>
      <c r="G4499" s="564" t="s">
        <v>337</v>
      </c>
      <c r="H4499" s="564" t="s">
        <v>337</v>
      </c>
      <c r="I4499" s="564" t="s">
        <v>1068</v>
      </c>
      <c r="J4499" s="564" t="s">
        <v>1069</v>
      </c>
      <c r="K4499" s="564" t="s">
        <v>1070</v>
      </c>
      <c r="L4499" s="564" t="s">
        <v>2098</v>
      </c>
      <c r="M4499" s="564" t="s">
        <v>2098</v>
      </c>
      <c r="N4499" s="564" t="s">
        <v>1073</v>
      </c>
      <c r="O4499" s="564" t="s">
        <v>2099</v>
      </c>
      <c r="P4499" s="23"/>
      <c r="Q4499" s="23"/>
      <c r="R4499" s="23"/>
      <c r="S4499" s="23"/>
      <c r="T4499" s="23"/>
      <c r="U4499" s="23"/>
      <c r="V4499" s="23"/>
      <c r="W4499" s="23"/>
      <c r="X4499" s="23"/>
      <c r="Y4499" s="23"/>
      <c r="Z4499" s="23"/>
    </row>
    <row r="4500" spans="1:26" ht="13">
      <c r="A4500" s="562" t="s">
        <v>9736</v>
      </c>
      <c r="B4500" s="563" t="s">
        <v>9737</v>
      </c>
      <c r="C4500" s="564" t="s">
        <v>1612</v>
      </c>
      <c r="D4500" s="565">
        <v>40309</v>
      </c>
      <c r="E4500" s="565">
        <v>40329</v>
      </c>
      <c r="F4500" s="566">
        <v>662273</v>
      </c>
      <c r="G4500" s="564" t="s">
        <v>337</v>
      </c>
      <c r="H4500" s="564" t="s">
        <v>337</v>
      </c>
      <c r="I4500" s="564" t="s">
        <v>802</v>
      </c>
      <c r="J4500" s="564" t="s">
        <v>1069</v>
      </c>
      <c r="K4500" s="564" t="s">
        <v>1198</v>
      </c>
      <c r="L4500" s="564" t="s">
        <v>2098</v>
      </c>
      <c r="M4500" s="564" t="s">
        <v>2098</v>
      </c>
      <c r="N4500" s="564" t="s">
        <v>132</v>
      </c>
      <c r="O4500" s="564" t="s">
        <v>2099</v>
      </c>
      <c r="P4500" s="23"/>
      <c r="Q4500" s="23"/>
      <c r="R4500" s="23"/>
      <c r="S4500" s="23"/>
      <c r="T4500" s="23"/>
      <c r="U4500" s="23"/>
      <c r="V4500" s="23"/>
      <c r="W4500" s="23"/>
      <c r="X4500" s="23"/>
      <c r="Y4500" s="23"/>
      <c r="Z4500" s="23"/>
    </row>
    <row r="4501" spans="1:26" ht="13">
      <c r="A4501" s="562" t="s">
        <v>9738</v>
      </c>
      <c r="B4501" s="563" t="s">
        <v>9739</v>
      </c>
      <c r="C4501" s="564" t="s">
        <v>1612</v>
      </c>
      <c r="D4501" s="565">
        <v>40308</v>
      </c>
      <c r="E4501" s="565">
        <v>40322</v>
      </c>
      <c r="F4501" s="566">
        <v>1630</v>
      </c>
      <c r="G4501" s="564" t="s">
        <v>337</v>
      </c>
      <c r="H4501" s="564" t="s">
        <v>337</v>
      </c>
      <c r="I4501" s="564" t="s">
        <v>70</v>
      </c>
      <c r="J4501" s="564" t="s">
        <v>1069</v>
      </c>
      <c r="K4501" s="564" t="s">
        <v>1120</v>
      </c>
      <c r="L4501" s="564" t="s">
        <v>2098</v>
      </c>
      <c r="M4501" s="564" t="s">
        <v>2098</v>
      </c>
      <c r="N4501" s="564" t="s">
        <v>70</v>
      </c>
      <c r="O4501" s="564" t="s">
        <v>2099</v>
      </c>
      <c r="P4501" s="23"/>
      <c r="Q4501" s="23"/>
      <c r="R4501" s="23"/>
      <c r="S4501" s="23"/>
      <c r="T4501" s="23"/>
      <c r="U4501" s="23"/>
      <c r="V4501" s="23"/>
      <c r="W4501" s="23"/>
      <c r="X4501" s="23"/>
      <c r="Y4501" s="23"/>
      <c r="Z4501" s="23"/>
    </row>
    <row r="4502" spans="1:26" ht="13">
      <c r="A4502" s="562" t="s">
        <v>9740</v>
      </c>
      <c r="B4502" s="563" t="s">
        <v>9741</v>
      </c>
      <c r="C4502" s="564" t="s">
        <v>1612</v>
      </c>
      <c r="D4502" s="565">
        <v>40305</v>
      </c>
      <c r="E4502" s="565">
        <v>40312</v>
      </c>
      <c r="F4502" s="566">
        <v>33500000</v>
      </c>
      <c r="G4502" s="564" t="s">
        <v>1856</v>
      </c>
      <c r="H4502" s="564" t="s">
        <v>1856</v>
      </c>
      <c r="I4502" s="564" t="s">
        <v>9250</v>
      </c>
      <c r="J4502" s="564" t="s">
        <v>1069</v>
      </c>
      <c r="K4502" s="564" t="s">
        <v>1090</v>
      </c>
      <c r="L4502" s="564" t="s">
        <v>2098</v>
      </c>
      <c r="M4502" s="564" t="s">
        <v>2098</v>
      </c>
      <c r="N4502" s="564" t="s">
        <v>45</v>
      </c>
      <c r="O4502" s="564" t="s">
        <v>2099</v>
      </c>
      <c r="P4502" s="23"/>
      <c r="Q4502" s="23"/>
      <c r="R4502" s="23"/>
      <c r="S4502" s="23"/>
      <c r="T4502" s="23"/>
      <c r="U4502" s="23"/>
      <c r="V4502" s="23"/>
      <c r="W4502" s="23"/>
      <c r="X4502" s="23"/>
      <c r="Y4502" s="23"/>
      <c r="Z4502" s="23"/>
    </row>
    <row r="4503" spans="1:26" ht="13">
      <c r="A4503" s="562" t="s">
        <v>9742</v>
      </c>
      <c r="B4503" s="563" t="s">
        <v>9328</v>
      </c>
      <c r="C4503" s="564" t="s">
        <v>1612</v>
      </c>
      <c r="D4503" s="565">
        <v>40301</v>
      </c>
      <c r="E4503" s="565">
        <v>40312</v>
      </c>
      <c r="F4503" s="566">
        <v>390000</v>
      </c>
      <c r="G4503" s="564" t="s">
        <v>297</v>
      </c>
      <c r="H4503" s="564" t="s">
        <v>297</v>
      </c>
      <c r="I4503" s="564" t="s">
        <v>45</v>
      </c>
      <c r="J4503" s="564" t="s">
        <v>1069</v>
      </c>
      <c r="K4503" s="564" t="s">
        <v>1090</v>
      </c>
      <c r="L4503" s="564" t="s">
        <v>2098</v>
      </c>
      <c r="M4503" s="564" t="s">
        <v>2098</v>
      </c>
      <c r="N4503" s="564" t="s">
        <v>45</v>
      </c>
      <c r="O4503" s="564" t="s">
        <v>2099</v>
      </c>
      <c r="P4503" s="23"/>
      <c r="Q4503" s="23"/>
      <c r="R4503" s="23"/>
      <c r="S4503" s="23"/>
      <c r="T4503" s="23"/>
      <c r="U4503" s="23"/>
      <c r="V4503" s="23"/>
      <c r="W4503" s="23"/>
      <c r="X4503" s="23"/>
      <c r="Y4503" s="23"/>
      <c r="Z4503" s="23"/>
    </row>
    <row r="4504" spans="1:26" ht="13">
      <c r="A4504" s="562" t="s">
        <v>9743</v>
      </c>
      <c r="B4504" s="563" t="s">
        <v>9744</v>
      </c>
      <c r="C4504" s="564" t="s">
        <v>1612</v>
      </c>
      <c r="D4504" s="565">
        <v>40297</v>
      </c>
      <c r="E4504" s="565">
        <v>40310</v>
      </c>
      <c r="F4504" s="566">
        <v>1980</v>
      </c>
      <c r="G4504" s="564" t="s">
        <v>337</v>
      </c>
      <c r="H4504" s="564" t="s">
        <v>337</v>
      </c>
      <c r="I4504" s="564" t="s">
        <v>1821</v>
      </c>
      <c r="J4504" s="564" t="s">
        <v>1069</v>
      </c>
      <c r="K4504" s="564" t="s">
        <v>1120</v>
      </c>
      <c r="L4504" s="564" t="s">
        <v>2098</v>
      </c>
      <c r="M4504" s="564" t="s">
        <v>2098</v>
      </c>
      <c r="N4504" s="564" t="s">
        <v>1073</v>
      </c>
      <c r="O4504" s="564" t="s">
        <v>2099</v>
      </c>
      <c r="P4504" s="23"/>
      <c r="Q4504" s="23"/>
      <c r="R4504" s="23"/>
      <c r="S4504" s="23"/>
      <c r="T4504" s="23"/>
      <c r="U4504" s="23"/>
      <c r="V4504" s="23"/>
      <c r="W4504" s="23"/>
      <c r="X4504" s="23"/>
      <c r="Y4504" s="23"/>
      <c r="Z4504" s="23"/>
    </row>
    <row r="4505" spans="1:26" ht="13">
      <c r="A4505" s="562" t="s">
        <v>9745</v>
      </c>
      <c r="B4505" s="563" t="s">
        <v>9746</v>
      </c>
      <c r="C4505" s="564" t="s">
        <v>1612</v>
      </c>
      <c r="D4505" s="565">
        <v>40298</v>
      </c>
      <c r="E4505" s="565">
        <v>40312</v>
      </c>
      <c r="F4505" s="566">
        <v>76429</v>
      </c>
      <c r="G4505" s="564" t="s">
        <v>297</v>
      </c>
      <c r="H4505" s="564" t="s">
        <v>297</v>
      </c>
      <c r="I4505" s="564" t="s">
        <v>45</v>
      </c>
      <c r="J4505" s="564" t="s">
        <v>1069</v>
      </c>
      <c r="K4505" s="564" t="s">
        <v>1090</v>
      </c>
      <c r="L4505" s="564" t="s">
        <v>2098</v>
      </c>
      <c r="M4505" s="564" t="s">
        <v>2098</v>
      </c>
      <c r="N4505" s="564" t="s">
        <v>45</v>
      </c>
      <c r="O4505" s="564" t="s">
        <v>2099</v>
      </c>
      <c r="P4505" s="23"/>
      <c r="Q4505" s="23"/>
      <c r="R4505" s="23"/>
      <c r="S4505" s="23"/>
      <c r="T4505" s="23"/>
      <c r="U4505" s="23"/>
      <c r="V4505" s="23"/>
      <c r="W4505" s="23"/>
      <c r="X4505" s="23"/>
      <c r="Y4505" s="23"/>
      <c r="Z4505" s="23"/>
    </row>
    <row r="4506" spans="1:26" ht="13">
      <c r="A4506" s="562" t="s">
        <v>9747</v>
      </c>
      <c r="B4506" s="563" t="s">
        <v>9366</v>
      </c>
      <c r="C4506" s="564" t="s">
        <v>1612</v>
      </c>
      <c r="D4506" s="565">
        <v>40298</v>
      </c>
      <c r="E4506" s="565">
        <v>40312</v>
      </c>
      <c r="F4506" s="566">
        <v>61200</v>
      </c>
      <c r="G4506" s="564" t="s">
        <v>297</v>
      </c>
      <c r="H4506" s="564" t="s">
        <v>297</v>
      </c>
      <c r="I4506" s="564" t="s">
        <v>45</v>
      </c>
      <c r="J4506" s="564" t="s">
        <v>1069</v>
      </c>
      <c r="K4506" s="564" t="s">
        <v>1090</v>
      </c>
      <c r="L4506" s="564" t="s">
        <v>2098</v>
      </c>
      <c r="M4506" s="564" t="s">
        <v>2098</v>
      </c>
      <c r="N4506" s="564" t="s">
        <v>45</v>
      </c>
      <c r="O4506" s="564" t="s">
        <v>2099</v>
      </c>
      <c r="P4506" s="23"/>
      <c r="Q4506" s="23"/>
      <c r="R4506" s="23"/>
      <c r="S4506" s="23"/>
      <c r="T4506" s="23"/>
      <c r="U4506" s="23"/>
      <c r="V4506" s="23"/>
      <c r="W4506" s="23"/>
      <c r="X4506" s="23"/>
      <c r="Y4506" s="23"/>
      <c r="Z4506" s="23"/>
    </row>
    <row r="4507" spans="1:26" ht="13">
      <c r="A4507" s="562" t="s">
        <v>9748</v>
      </c>
      <c r="B4507" s="563" t="s">
        <v>9749</v>
      </c>
      <c r="C4507" s="564" t="s">
        <v>1612</v>
      </c>
      <c r="D4507" s="565">
        <v>40297</v>
      </c>
      <c r="E4507" s="565">
        <v>40298</v>
      </c>
      <c r="F4507" s="566">
        <v>202000000</v>
      </c>
      <c r="G4507" s="564" t="s">
        <v>1856</v>
      </c>
      <c r="H4507" s="564" t="s">
        <v>1856</v>
      </c>
      <c r="I4507" s="564" t="s">
        <v>45</v>
      </c>
      <c r="J4507" s="564" t="s">
        <v>1069</v>
      </c>
      <c r="K4507" s="564" t="s">
        <v>1090</v>
      </c>
      <c r="L4507" s="564" t="s">
        <v>2098</v>
      </c>
      <c r="M4507" s="564" t="s">
        <v>2098</v>
      </c>
      <c r="N4507" s="564" t="s">
        <v>45</v>
      </c>
      <c r="O4507" s="564" t="s">
        <v>2099</v>
      </c>
      <c r="P4507" s="23"/>
      <c r="Q4507" s="23"/>
      <c r="R4507" s="23"/>
      <c r="S4507" s="23"/>
      <c r="T4507" s="23"/>
      <c r="U4507" s="23"/>
      <c r="V4507" s="23"/>
      <c r="W4507" s="23"/>
      <c r="X4507" s="23"/>
      <c r="Y4507" s="23"/>
      <c r="Z4507" s="23"/>
    </row>
    <row r="4508" spans="1:26" ht="13">
      <c r="A4508" s="562" t="s">
        <v>9750</v>
      </c>
      <c r="B4508" s="563" t="s">
        <v>9751</v>
      </c>
      <c r="C4508" s="564" t="s">
        <v>2191</v>
      </c>
      <c r="D4508" s="565">
        <v>40296</v>
      </c>
      <c r="E4508" s="565">
        <v>40329</v>
      </c>
      <c r="F4508" s="566">
        <v>355460000</v>
      </c>
      <c r="G4508" s="564" t="s">
        <v>1636</v>
      </c>
      <c r="H4508" s="564" t="s">
        <v>1636</v>
      </c>
      <c r="I4508" s="564" t="s">
        <v>1842</v>
      </c>
      <c r="J4508" s="564" t="s">
        <v>1069</v>
      </c>
      <c r="K4508" s="564" t="s">
        <v>1070</v>
      </c>
      <c r="L4508" s="564" t="s">
        <v>2098</v>
      </c>
      <c r="M4508" s="564" t="s">
        <v>2098</v>
      </c>
      <c r="N4508" s="564" t="s">
        <v>1082</v>
      </c>
      <c r="O4508" s="564" t="s">
        <v>2099</v>
      </c>
      <c r="P4508" s="23"/>
      <c r="Q4508" s="23"/>
      <c r="R4508" s="23"/>
      <c r="S4508" s="23"/>
      <c r="T4508" s="23"/>
      <c r="U4508" s="23"/>
      <c r="V4508" s="23"/>
      <c r="W4508" s="23"/>
      <c r="X4508" s="23"/>
      <c r="Y4508" s="23"/>
      <c r="Z4508" s="23"/>
    </row>
    <row r="4509" spans="1:26" ht="13">
      <c r="A4509" s="562" t="s">
        <v>9752</v>
      </c>
      <c r="B4509" s="563" t="s">
        <v>9753</v>
      </c>
      <c r="C4509" s="564" t="s">
        <v>1612</v>
      </c>
      <c r="D4509" s="565">
        <v>40294</v>
      </c>
      <c r="E4509" s="565">
        <v>40305</v>
      </c>
      <c r="F4509" s="566">
        <v>21000</v>
      </c>
      <c r="G4509" s="564" t="s">
        <v>1856</v>
      </c>
      <c r="H4509" s="564" t="s">
        <v>1856</v>
      </c>
      <c r="I4509" s="564" t="s">
        <v>45</v>
      </c>
      <c r="J4509" s="564" t="s">
        <v>1069</v>
      </c>
      <c r="K4509" s="564" t="s">
        <v>1090</v>
      </c>
      <c r="L4509" s="564" t="s">
        <v>2098</v>
      </c>
      <c r="M4509" s="564" t="s">
        <v>2098</v>
      </c>
      <c r="N4509" s="564" t="s">
        <v>45</v>
      </c>
      <c r="O4509" s="564" t="s">
        <v>2099</v>
      </c>
      <c r="P4509" s="23"/>
      <c r="Q4509" s="23"/>
      <c r="R4509" s="23"/>
      <c r="S4509" s="23"/>
      <c r="T4509" s="23"/>
      <c r="U4509" s="23"/>
      <c r="V4509" s="23"/>
      <c r="W4509" s="23"/>
      <c r="X4509" s="23"/>
      <c r="Y4509" s="23"/>
      <c r="Z4509" s="23"/>
    </row>
    <row r="4510" spans="1:26" ht="13">
      <c r="A4510" s="562" t="s">
        <v>9754</v>
      </c>
      <c r="B4510" s="563" t="s">
        <v>9755</v>
      </c>
      <c r="C4510" s="564" t="s">
        <v>1612</v>
      </c>
      <c r="D4510" s="565">
        <v>40294</v>
      </c>
      <c r="E4510" s="565">
        <v>40315</v>
      </c>
      <c r="F4510" s="566">
        <v>2255</v>
      </c>
      <c r="G4510" s="564" t="s">
        <v>337</v>
      </c>
      <c r="H4510" s="564" t="s">
        <v>337</v>
      </c>
      <c r="I4510" s="564" t="s">
        <v>70</v>
      </c>
      <c r="J4510" s="564" t="s">
        <v>1069</v>
      </c>
      <c r="K4510" s="564" t="s">
        <v>1120</v>
      </c>
      <c r="L4510" s="564" t="s">
        <v>2098</v>
      </c>
      <c r="M4510" s="564" t="s">
        <v>2098</v>
      </c>
      <c r="N4510" s="564" t="s">
        <v>70</v>
      </c>
      <c r="O4510" s="564" t="s">
        <v>2099</v>
      </c>
      <c r="P4510" s="23"/>
      <c r="Q4510" s="23"/>
      <c r="R4510" s="23"/>
      <c r="S4510" s="23"/>
      <c r="T4510" s="23"/>
      <c r="U4510" s="23"/>
      <c r="V4510" s="23"/>
      <c r="W4510" s="23"/>
      <c r="X4510" s="23"/>
      <c r="Y4510" s="23"/>
      <c r="Z4510" s="23"/>
    </row>
    <row r="4511" spans="1:26" ht="13">
      <c r="A4511" s="562" t="s">
        <v>9756</v>
      </c>
      <c r="B4511" s="563" t="s">
        <v>9757</v>
      </c>
      <c r="C4511" s="564" t="s">
        <v>1612</v>
      </c>
      <c r="D4511" s="565">
        <v>40289</v>
      </c>
      <c r="E4511" s="565">
        <v>40298</v>
      </c>
      <c r="F4511" s="567">
        <v>670</v>
      </c>
      <c r="G4511" s="564" t="s">
        <v>337</v>
      </c>
      <c r="H4511" s="564" t="s">
        <v>337</v>
      </c>
      <c r="I4511" s="564" t="s">
        <v>70</v>
      </c>
      <c r="J4511" s="564" t="s">
        <v>1069</v>
      </c>
      <c r="K4511" s="564" t="s">
        <v>1120</v>
      </c>
      <c r="L4511" s="564" t="s">
        <v>2098</v>
      </c>
      <c r="M4511" s="564" t="s">
        <v>2098</v>
      </c>
      <c r="N4511" s="564" t="s">
        <v>70</v>
      </c>
      <c r="O4511" s="564" t="s">
        <v>2099</v>
      </c>
      <c r="P4511" s="23"/>
      <c r="Q4511" s="23"/>
      <c r="R4511" s="23"/>
      <c r="S4511" s="23"/>
      <c r="T4511" s="23"/>
      <c r="U4511" s="23"/>
      <c r="V4511" s="23"/>
      <c r="W4511" s="23"/>
      <c r="X4511" s="23"/>
      <c r="Y4511" s="23"/>
      <c r="Z4511" s="23"/>
    </row>
    <row r="4512" spans="1:26" ht="13">
      <c r="A4512" s="562" t="s">
        <v>9758</v>
      </c>
      <c r="B4512" s="563" t="s">
        <v>9739</v>
      </c>
      <c r="C4512" s="564" t="s">
        <v>1612</v>
      </c>
      <c r="D4512" s="565">
        <v>40287</v>
      </c>
      <c r="E4512" s="565">
        <v>40301</v>
      </c>
      <c r="F4512" s="566">
        <v>1630</v>
      </c>
      <c r="G4512" s="564" t="s">
        <v>337</v>
      </c>
      <c r="H4512" s="564" t="s">
        <v>337</v>
      </c>
      <c r="I4512" s="564" t="s">
        <v>70</v>
      </c>
      <c r="J4512" s="564" t="s">
        <v>1069</v>
      </c>
      <c r="K4512" s="564" t="s">
        <v>1120</v>
      </c>
      <c r="L4512" s="564" t="s">
        <v>2098</v>
      </c>
      <c r="M4512" s="564" t="s">
        <v>2098</v>
      </c>
      <c r="N4512" s="564" t="s">
        <v>70</v>
      </c>
      <c r="O4512" s="564" t="s">
        <v>2099</v>
      </c>
      <c r="P4512" s="23"/>
      <c r="Q4512" s="23"/>
      <c r="R4512" s="23"/>
      <c r="S4512" s="23"/>
      <c r="T4512" s="23"/>
      <c r="U4512" s="23"/>
      <c r="V4512" s="23"/>
      <c r="W4512" s="23"/>
      <c r="X4512" s="23"/>
      <c r="Y4512" s="23"/>
      <c r="Z4512" s="23"/>
    </row>
    <row r="4513" spans="1:26" ht="13">
      <c r="A4513" s="562" t="s">
        <v>9759</v>
      </c>
      <c r="B4513" s="563" t="s">
        <v>9760</v>
      </c>
      <c r="C4513" s="564" t="s">
        <v>1612</v>
      </c>
      <c r="D4513" s="565">
        <v>40282</v>
      </c>
      <c r="E4513" s="565">
        <v>40289</v>
      </c>
      <c r="F4513" s="567">
        <v>190</v>
      </c>
      <c r="G4513" s="564" t="s">
        <v>337</v>
      </c>
      <c r="H4513" s="564" t="s">
        <v>337</v>
      </c>
      <c r="I4513" s="564" t="s">
        <v>64</v>
      </c>
      <c r="J4513" s="564" t="s">
        <v>1069</v>
      </c>
      <c r="K4513" s="564" t="s">
        <v>1090</v>
      </c>
      <c r="L4513" s="564" t="s">
        <v>2098</v>
      </c>
      <c r="M4513" s="564" t="s">
        <v>2098</v>
      </c>
      <c r="N4513" s="564" t="s">
        <v>64</v>
      </c>
      <c r="O4513" s="564" t="s">
        <v>2099</v>
      </c>
      <c r="P4513" s="23"/>
      <c r="Q4513" s="23"/>
      <c r="R4513" s="23"/>
      <c r="S4513" s="23"/>
      <c r="T4513" s="23"/>
      <c r="U4513" s="23"/>
      <c r="V4513" s="23"/>
      <c r="W4513" s="23"/>
      <c r="X4513" s="23"/>
      <c r="Y4513" s="23"/>
      <c r="Z4513" s="23"/>
    </row>
    <row r="4514" spans="1:26" ht="13">
      <c r="A4514" s="562" t="s">
        <v>9761</v>
      </c>
      <c r="B4514" s="563" t="s">
        <v>9762</v>
      </c>
      <c r="C4514" s="564" t="s">
        <v>1873</v>
      </c>
      <c r="D4514" s="565">
        <v>40283</v>
      </c>
      <c r="E4514" s="565">
        <v>40287</v>
      </c>
      <c r="F4514" s="566">
        <v>4055</v>
      </c>
      <c r="G4514" s="564" t="s">
        <v>337</v>
      </c>
      <c r="H4514" s="564" t="s">
        <v>337</v>
      </c>
      <c r="I4514" s="564" t="s">
        <v>170</v>
      </c>
      <c r="J4514" s="564" t="s">
        <v>1069</v>
      </c>
      <c r="K4514" s="564" t="s">
        <v>1105</v>
      </c>
      <c r="L4514" s="564" t="s">
        <v>2098</v>
      </c>
      <c r="M4514" s="564" t="s">
        <v>2098</v>
      </c>
      <c r="N4514" s="564" t="s">
        <v>170</v>
      </c>
      <c r="O4514" s="564" t="s">
        <v>2099</v>
      </c>
      <c r="P4514" s="23"/>
      <c r="Q4514" s="23"/>
      <c r="R4514" s="23"/>
      <c r="S4514" s="23"/>
      <c r="T4514" s="23"/>
      <c r="U4514" s="23"/>
      <c r="V4514" s="23"/>
      <c r="W4514" s="23"/>
      <c r="X4514" s="23"/>
      <c r="Y4514" s="23"/>
      <c r="Z4514" s="23"/>
    </row>
    <row r="4515" spans="1:26" ht="13">
      <c r="A4515" s="562" t="s">
        <v>9763</v>
      </c>
      <c r="B4515" s="563" t="s">
        <v>9764</v>
      </c>
      <c r="C4515" s="564" t="s">
        <v>1612</v>
      </c>
      <c r="D4515" s="565">
        <v>40282</v>
      </c>
      <c r="E4515" s="565">
        <v>40289</v>
      </c>
      <c r="F4515" s="567">
        <v>490</v>
      </c>
      <c r="G4515" s="564" t="s">
        <v>337</v>
      </c>
      <c r="H4515" s="564" t="s">
        <v>337</v>
      </c>
      <c r="I4515" s="564" t="s">
        <v>64</v>
      </c>
      <c r="J4515" s="564" t="s">
        <v>1069</v>
      </c>
      <c r="K4515" s="564" t="s">
        <v>1090</v>
      </c>
      <c r="L4515" s="564" t="s">
        <v>2098</v>
      </c>
      <c r="M4515" s="564" t="s">
        <v>2098</v>
      </c>
      <c r="N4515" s="564" t="s">
        <v>64</v>
      </c>
      <c r="O4515" s="564" t="s">
        <v>2099</v>
      </c>
      <c r="P4515" s="23"/>
      <c r="Q4515" s="23"/>
      <c r="R4515" s="23"/>
      <c r="S4515" s="23"/>
      <c r="T4515" s="23"/>
      <c r="U4515" s="23"/>
      <c r="V4515" s="23"/>
      <c r="W4515" s="23"/>
      <c r="X4515" s="23"/>
      <c r="Y4515" s="23"/>
      <c r="Z4515" s="23"/>
    </row>
    <row r="4516" spans="1:26" ht="13">
      <c r="A4516" s="562" t="s">
        <v>9765</v>
      </c>
      <c r="B4516" s="563" t="s">
        <v>9400</v>
      </c>
      <c r="C4516" s="564" t="s">
        <v>1612</v>
      </c>
      <c r="D4516" s="565">
        <v>40280</v>
      </c>
      <c r="E4516" s="565">
        <v>40291</v>
      </c>
      <c r="F4516" s="567">
        <v>925</v>
      </c>
      <c r="G4516" s="564" t="s">
        <v>337</v>
      </c>
      <c r="H4516" s="564" t="s">
        <v>337</v>
      </c>
      <c r="I4516" s="564" t="s">
        <v>2073</v>
      </c>
      <c r="J4516" s="564" t="s">
        <v>1069</v>
      </c>
      <c r="K4516" s="564" t="s">
        <v>1105</v>
      </c>
      <c r="L4516" s="564" t="s">
        <v>2098</v>
      </c>
      <c r="M4516" s="564" t="s">
        <v>2098</v>
      </c>
      <c r="N4516" s="564" t="s">
        <v>225</v>
      </c>
      <c r="O4516" s="564" t="s">
        <v>2099</v>
      </c>
      <c r="P4516" s="23"/>
      <c r="Q4516" s="23"/>
      <c r="R4516" s="23"/>
      <c r="S4516" s="23"/>
      <c r="T4516" s="23"/>
      <c r="U4516" s="23"/>
      <c r="V4516" s="23"/>
      <c r="W4516" s="23"/>
      <c r="X4516" s="23"/>
      <c r="Y4516" s="23"/>
      <c r="Z4516" s="23"/>
    </row>
    <row r="4517" spans="1:26" ht="13">
      <c r="A4517" s="562" t="s">
        <v>9766</v>
      </c>
      <c r="B4517" s="563" t="s">
        <v>9767</v>
      </c>
      <c r="C4517" s="564" t="s">
        <v>1612</v>
      </c>
      <c r="D4517" s="565">
        <v>40276</v>
      </c>
      <c r="E4517" s="565">
        <v>40284</v>
      </c>
      <c r="F4517" s="567">
        <v>150</v>
      </c>
      <c r="G4517" s="564" t="s">
        <v>337</v>
      </c>
      <c r="H4517" s="564" t="s">
        <v>337</v>
      </c>
      <c r="I4517" s="564" t="s">
        <v>1934</v>
      </c>
      <c r="J4517" s="564" t="s">
        <v>1069</v>
      </c>
      <c r="K4517" s="564" t="s">
        <v>1070</v>
      </c>
      <c r="L4517" s="564" t="s">
        <v>2098</v>
      </c>
      <c r="M4517" s="564" t="s">
        <v>2098</v>
      </c>
      <c r="N4517" s="564" t="s">
        <v>1073</v>
      </c>
      <c r="O4517" s="564" t="s">
        <v>2099</v>
      </c>
      <c r="P4517" s="23"/>
      <c r="Q4517" s="23"/>
      <c r="R4517" s="23"/>
      <c r="S4517" s="23"/>
      <c r="T4517" s="23"/>
      <c r="U4517" s="23"/>
      <c r="V4517" s="23"/>
      <c r="W4517" s="23"/>
      <c r="X4517" s="23"/>
      <c r="Y4517" s="23"/>
      <c r="Z4517" s="23"/>
    </row>
    <row r="4518" spans="1:26" ht="13">
      <c r="A4518" s="562" t="s">
        <v>9768</v>
      </c>
      <c r="B4518" s="563" t="s">
        <v>9769</v>
      </c>
      <c r="C4518" s="564" t="s">
        <v>2191</v>
      </c>
      <c r="D4518" s="565">
        <v>40275</v>
      </c>
      <c r="E4518" s="565">
        <v>40329</v>
      </c>
      <c r="F4518" s="566">
        <v>51000000</v>
      </c>
      <c r="G4518" s="564" t="s">
        <v>1123</v>
      </c>
      <c r="H4518" s="564" t="s">
        <v>1123</v>
      </c>
      <c r="I4518" s="564" t="s">
        <v>9770</v>
      </c>
      <c r="J4518" s="564" t="s">
        <v>1069</v>
      </c>
      <c r="K4518" s="564" t="s">
        <v>1070</v>
      </c>
      <c r="L4518" s="564" t="s">
        <v>2098</v>
      </c>
      <c r="M4518" s="564" t="s">
        <v>2098</v>
      </c>
      <c r="N4518" s="564" t="s">
        <v>1082</v>
      </c>
      <c r="O4518" s="564" t="s">
        <v>2099</v>
      </c>
      <c r="P4518" s="23"/>
      <c r="Q4518" s="23"/>
      <c r="R4518" s="23"/>
      <c r="S4518" s="23"/>
      <c r="T4518" s="23"/>
      <c r="U4518" s="23"/>
      <c r="V4518" s="23"/>
      <c r="W4518" s="23"/>
      <c r="X4518" s="23"/>
      <c r="Y4518" s="23"/>
      <c r="Z4518" s="23"/>
    </row>
    <row r="4519" spans="1:26" ht="13">
      <c r="A4519" s="562" t="s">
        <v>9771</v>
      </c>
      <c r="B4519" s="563" t="s">
        <v>9673</v>
      </c>
      <c r="C4519" s="564" t="s">
        <v>2191</v>
      </c>
      <c r="D4519" s="565">
        <v>40275</v>
      </c>
      <c r="E4519" s="565">
        <v>40291</v>
      </c>
      <c r="F4519" s="566">
        <v>45000000</v>
      </c>
      <c r="G4519" s="564" t="s">
        <v>1636</v>
      </c>
      <c r="H4519" s="564" t="s">
        <v>1636</v>
      </c>
      <c r="I4519" s="564" t="s">
        <v>9506</v>
      </c>
      <c r="J4519" s="564" t="s">
        <v>1069</v>
      </c>
      <c r="K4519" s="564" t="s">
        <v>1070</v>
      </c>
      <c r="L4519" s="564" t="s">
        <v>2098</v>
      </c>
      <c r="M4519" s="564" t="s">
        <v>2098</v>
      </c>
      <c r="N4519" s="564" t="s">
        <v>1082</v>
      </c>
      <c r="O4519" s="564" t="s">
        <v>2099</v>
      </c>
      <c r="P4519" s="23"/>
      <c r="Q4519" s="23"/>
      <c r="R4519" s="23"/>
      <c r="S4519" s="23"/>
      <c r="T4519" s="23"/>
      <c r="U4519" s="23"/>
      <c r="V4519" s="23"/>
      <c r="W4519" s="23"/>
      <c r="X4519" s="23"/>
      <c r="Y4519" s="23"/>
      <c r="Z4519" s="23"/>
    </row>
    <row r="4520" spans="1:26" ht="13">
      <c r="A4520" s="562" t="s">
        <v>9772</v>
      </c>
      <c r="B4520" s="563" t="s">
        <v>9773</v>
      </c>
      <c r="C4520" s="564" t="s">
        <v>1612</v>
      </c>
      <c r="D4520" s="565">
        <v>40273</v>
      </c>
      <c r="E4520" s="565">
        <v>40298</v>
      </c>
      <c r="F4520" s="566">
        <v>61804000</v>
      </c>
      <c r="G4520" s="564" t="s">
        <v>337</v>
      </c>
      <c r="H4520" s="564" t="s">
        <v>337</v>
      </c>
      <c r="I4520" s="564" t="s">
        <v>802</v>
      </c>
      <c r="J4520" s="564" t="s">
        <v>1069</v>
      </c>
      <c r="K4520" s="564" t="s">
        <v>1198</v>
      </c>
      <c r="L4520" s="564" t="s">
        <v>2098</v>
      </c>
      <c r="M4520" s="564" t="s">
        <v>2098</v>
      </c>
      <c r="N4520" s="564" t="s">
        <v>132</v>
      </c>
      <c r="O4520" s="564" t="s">
        <v>2099</v>
      </c>
      <c r="P4520" s="23"/>
      <c r="Q4520" s="23"/>
      <c r="R4520" s="23"/>
      <c r="S4520" s="23"/>
      <c r="T4520" s="23"/>
      <c r="U4520" s="23"/>
      <c r="V4520" s="23"/>
      <c r="W4520" s="23"/>
      <c r="X4520" s="23"/>
      <c r="Y4520" s="23"/>
      <c r="Z4520" s="23"/>
    </row>
    <row r="4521" spans="1:26" ht="13">
      <c r="A4521" s="562" t="s">
        <v>9774</v>
      </c>
      <c r="B4521" s="563" t="s">
        <v>9775</v>
      </c>
      <c r="C4521" s="564" t="s">
        <v>1612</v>
      </c>
      <c r="D4521" s="565">
        <v>40273</v>
      </c>
      <c r="E4521" s="565">
        <v>40284</v>
      </c>
      <c r="F4521" s="566">
        <v>49790</v>
      </c>
      <c r="G4521" s="564" t="s">
        <v>337</v>
      </c>
      <c r="H4521" s="564" t="s">
        <v>337</v>
      </c>
      <c r="I4521" s="564" t="s">
        <v>45</v>
      </c>
      <c r="J4521" s="564" t="s">
        <v>1069</v>
      </c>
      <c r="K4521" s="564" t="s">
        <v>1090</v>
      </c>
      <c r="L4521" s="564" t="s">
        <v>2098</v>
      </c>
      <c r="M4521" s="564" t="s">
        <v>2098</v>
      </c>
      <c r="N4521" s="564" t="s">
        <v>45</v>
      </c>
      <c r="O4521" s="564" t="s">
        <v>2099</v>
      </c>
      <c r="P4521" s="23"/>
      <c r="Q4521" s="23"/>
      <c r="R4521" s="23"/>
      <c r="S4521" s="23"/>
      <c r="T4521" s="23"/>
      <c r="U4521" s="23"/>
      <c r="V4521" s="23"/>
      <c r="W4521" s="23"/>
      <c r="X4521" s="23"/>
      <c r="Y4521" s="23"/>
      <c r="Z4521" s="23"/>
    </row>
    <row r="4522" spans="1:26" ht="13">
      <c r="A4522" s="562" t="s">
        <v>9776</v>
      </c>
      <c r="B4522" s="563" t="s">
        <v>9681</v>
      </c>
      <c r="C4522" s="564" t="s">
        <v>1612</v>
      </c>
      <c r="D4522" s="565">
        <v>40273</v>
      </c>
      <c r="E4522" s="565">
        <v>40277</v>
      </c>
      <c r="F4522" s="567">
        <v>815</v>
      </c>
      <c r="G4522" s="564" t="s">
        <v>337</v>
      </c>
      <c r="H4522" s="564" t="s">
        <v>337</v>
      </c>
      <c r="I4522" s="564" t="s">
        <v>70</v>
      </c>
      <c r="J4522" s="564" t="s">
        <v>1069</v>
      </c>
      <c r="K4522" s="564" t="s">
        <v>1120</v>
      </c>
      <c r="L4522" s="564" t="s">
        <v>2098</v>
      </c>
      <c r="M4522" s="564" t="s">
        <v>2098</v>
      </c>
      <c r="N4522" s="564" t="s">
        <v>70</v>
      </c>
      <c r="O4522" s="564" t="s">
        <v>2099</v>
      </c>
      <c r="P4522" s="23"/>
      <c r="Q4522" s="23"/>
      <c r="R4522" s="23"/>
      <c r="S4522" s="23"/>
      <c r="T4522" s="23"/>
      <c r="U4522" s="23"/>
      <c r="V4522" s="23"/>
      <c r="W4522" s="23"/>
      <c r="X4522" s="23"/>
      <c r="Y4522" s="23"/>
      <c r="Z4522" s="23"/>
    </row>
    <row r="4523" spans="1:26" ht="13">
      <c r="A4523" s="562" t="s">
        <v>9777</v>
      </c>
      <c r="B4523" s="563" t="s">
        <v>9778</v>
      </c>
      <c r="C4523" s="564" t="s">
        <v>2191</v>
      </c>
      <c r="D4523" s="565">
        <v>40268</v>
      </c>
      <c r="E4523" s="565">
        <v>40359</v>
      </c>
      <c r="F4523" s="566">
        <v>447000</v>
      </c>
      <c r="G4523" s="564" t="s">
        <v>1636</v>
      </c>
      <c r="H4523" s="564" t="s">
        <v>1636</v>
      </c>
      <c r="I4523" s="564" t="s">
        <v>7175</v>
      </c>
      <c r="J4523" s="564" t="s">
        <v>1069</v>
      </c>
      <c r="K4523" s="564" t="s">
        <v>1070</v>
      </c>
      <c r="L4523" s="564" t="s">
        <v>2098</v>
      </c>
      <c r="M4523" s="564" t="s">
        <v>2098</v>
      </c>
      <c r="N4523" s="564" t="s">
        <v>1082</v>
      </c>
      <c r="O4523" s="564" t="s">
        <v>2099</v>
      </c>
      <c r="P4523" s="23"/>
      <c r="Q4523" s="23"/>
      <c r="R4523" s="23"/>
      <c r="S4523" s="23"/>
      <c r="T4523" s="23"/>
      <c r="U4523" s="23"/>
      <c r="V4523" s="23"/>
      <c r="W4523" s="23"/>
      <c r="X4523" s="23"/>
      <c r="Y4523" s="23"/>
      <c r="Z4523" s="23"/>
    </row>
    <row r="4524" spans="1:26" ht="13">
      <c r="A4524" s="562" t="s">
        <v>9779</v>
      </c>
      <c r="B4524" s="563" t="s">
        <v>9780</v>
      </c>
      <c r="C4524" s="564" t="s">
        <v>1612</v>
      </c>
      <c r="D4524" s="565">
        <v>40268</v>
      </c>
      <c r="E4524" s="565">
        <v>40275</v>
      </c>
      <c r="F4524" s="566">
        <v>2346000</v>
      </c>
      <c r="G4524" s="564" t="s">
        <v>337</v>
      </c>
      <c r="H4524" s="564" t="s">
        <v>337</v>
      </c>
      <c r="I4524" s="564" t="s">
        <v>2073</v>
      </c>
      <c r="J4524" s="564" t="s">
        <v>1069</v>
      </c>
      <c r="K4524" s="564" t="s">
        <v>1105</v>
      </c>
      <c r="L4524" s="564" t="s">
        <v>2098</v>
      </c>
      <c r="M4524" s="564" t="s">
        <v>2098</v>
      </c>
      <c r="N4524" s="564" t="s">
        <v>225</v>
      </c>
      <c r="O4524" s="564" t="s">
        <v>2099</v>
      </c>
      <c r="P4524" s="23"/>
      <c r="Q4524" s="23"/>
      <c r="R4524" s="23"/>
      <c r="S4524" s="23"/>
      <c r="T4524" s="23"/>
      <c r="U4524" s="23"/>
      <c r="V4524" s="23"/>
      <c r="W4524" s="23"/>
      <c r="X4524" s="23"/>
      <c r="Y4524" s="23"/>
      <c r="Z4524" s="23"/>
    </row>
    <row r="4525" spans="1:26" ht="13">
      <c r="A4525" s="562" t="s">
        <v>9781</v>
      </c>
      <c r="B4525" s="563" t="s">
        <v>9782</v>
      </c>
      <c r="C4525" s="564" t="s">
        <v>2191</v>
      </c>
      <c r="D4525" s="565">
        <v>40267</v>
      </c>
      <c r="E4525" s="565">
        <v>40270</v>
      </c>
      <c r="F4525" s="567">
        <v>480</v>
      </c>
      <c r="G4525" s="564" t="s">
        <v>337</v>
      </c>
      <c r="H4525" s="564" t="s">
        <v>337</v>
      </c>
      <c r="I4525" s="564" t="s">
        <v>7259</v>
      </c>
      <c r="J4525" s="564" t="s">
        <v>1069</v>
      </c>
      <c r="K4525" s="564" t="s">
        <v>1070</v>
      </c>
      <c r="L4525" s="564" t="s">
        <v>2098</v>
      </c>
      <c r="M4525" s="564" t="s">
        <v>2098</v>
      </c>
      <c r="N4525" s="564" t="s">
        <v>1082</v>
      </c>
      <c r="O4525" s="564" t="s">
        <v>2099</v>
      </c>
      <c r="P4525" s="23"/>
      <c r="Q4525" s="23"/>
      <c r="R4525" s="23"/>
      <c r="S4525" s="23"/>
      <c r="T4525" s="23"/>
      <c r="U4525" s="23"/>
      <c r="V4525" s="23"/>
      <c r="W4525" s="23"/>
      <c r="X4525" s="23"/>
      <c r="Y4525" s="23"/>
      <c r="Z4525" s="23"/>
    </row>
    <row r="4526" spans="1:26" ht="13">
      <c r="A4526" s="562" t="s">
        <v>9783</v>
      </c>
      <c r="B4526" s="563" t="s">
        <v>9784</v>
      </c>
      <c r="C4526" s="564" t="s">
        <v>1612</v>
      </c>
      <c r="D4526" s="565">
        <v>40266</v>
      </c>
      <c r="E4526" s="565">
        <v>40276</v>
      </c>
      <c r="F4526" s="566">
        <v>5705</v>
      </c>
      <c r="G4526" s="564" t="s">
        <v>337</v>
      </c>
      <c r="H4526" s="564" t="s">
        <v>337</v>
      </c>
      <c r="I4526" s="564" t="s">
        <v>70</v>
      </c>
      <c r="J4526" s="564" t="s">
        <v>1069</v>
      </c>
      <c r="K4526" s="564" t="s">
        <v>1120</v>
      </c>
      <c r="L4526" s="564" t="s">
        <v>2098</v>
      </c>
      <c r="M4526" s="564" t="s">
        <v>2098</v>
      </c>
      <c r="N4526" s="564" t="s">
        <v>70</v>
      </c>
      <c r="O4526" s="564" t="s">
        <v>2099</v>
      </c>
      <c r="P4526" s="23"/>
      <c r="Q4526" s="23"/>
      <c r="R4526" s="23"/>
      <c r="S4526" s="23"/>
      <c r="T4526" s="23"/>
      <c r="U4526" s="23"/>
      <c r="V4526" s="23"/>
      <c r="W4526" s="23"/>
      <c r="X4526" s="23"/>
      <c r="Y4526" s="23"/>
      <c r="Z4526" s="23"/>
    </row>
    <row r="4527" spans="1:26" ht="13">
      <c r="A4527" s="562" t="s">
        <v>9785</v>
      </c>
      <c r="B4527" s="563" t="s">
        <v>9388</v>
      </c>
      <c r="C4527" s="564" t="s">
        <v>1612</v>
      </c>
      <c r="D4527" s="565">
        <v>40266</v>
      </c>
      <c r="E4527" s="565">
        <v>40268</v>
      </c>
      <c r="F4527" s="566">
        <v>14450</v>
      </c>
      <c r="G4527" s="564" t="s">
        <v>297</v>
      </c>
      <c r="H4527" s="564" t="s">
        <v>297</v>
      </c>
      <c r="I4527" s="564" t="s">
        <v>45</v>
      </c>
      <c r="J4527" s="564" t="s">
        <v>1069</v>
      </c>
      <c r="K4527" s="564" t="s">
        <v>1090</v>
      </c>
      <c r="L4527" s="564" t="s">
        <v>2098</v>
      </c>
      <c r="M4527" s="564" t="s">
        <v>2098</v>
      </c>
      <c r="N4527" s="564" t="s">
        <v>45</v>
      </c>
      <c r="O4527" s="564" t="s">
        <v>2099</v>
      </c>
      <c r="P4527" s="23"/>
      <c r="Q4527" s="23"/>
      <c r="R4527" s="23"/>
      <c r="S4527" s="23"/>
      <c r="T4527" s="23"/>
      <c r="U4527" s="23"/>
      <c r="V4527" s="23"/>
      <c r="W4527" s="23"/>
      <c r="X4527" s="23"/>
      <c r="Y4527" s="23"/>
      <c r="Z4527" s="23"/>
    </row>
    <row r="4528" spans="1:26" ht="13">
      <c r="A4528" s="562" t="s">
        <v>9786</v>
      </c>
      <c r="B4528" s="563" t="s">
        <v>9787</v>
      </c>
      <c r="C4528" s="564" t="s">
        <v>1612</v>
      </c>
      <c r="D4528" s="565">
        <v>40256</v>
      </c>
      <c r="E4528" s="565">
        <v>40277</v>
      </c>
      <c r="F4528" s="566">
        <v>1635000</v>
      </c>
      <c r="G4528" s="564" t="s">
        <v>337</v>
      </c>
      <c r="H4528" s="564" t="s">
        <v>337</v>
      </c>
      <c r="I4528" s="564" t="s">
        <v>64</v>
      </c>
      <c r="J4528" s="564" t="s">
        <v>1069</v>
      </c>
      <c r="K4528" s="564" t="s">
        <v>1090</v>
      </c>
      <c r="L4528" s="564" t="s">
        <v>2098</v>
      </c>
      <c r="M4528" s="564" t="s">
        <v>2098</v>
      </c>
      <c r="N4528" s="564" t="s">
        <v>64</v>
      </c>
      <c r="O4528" s="564" t="s">
        <v>2099</v>
      </c>
      <c r="P4528" s="23"/>
      <c r="Q4528" s="23"/>
      <c r="R4528" s="23"/>
      <c r="S4528" s="23"/>
      <c r="T4528" s="23"/>
      <c r="U4528" s="23"/>
      <c r="V4528" s="23"/>
      <c r="W4528" s="23"/>
      <c r="X4528" s="23"/>
      <c r="Y4528" s="23"/>
      <c r="Z4528" s="23"/>
    </row>
    <row r="4529" spans="1:26" ht="13">
      <c r="A4529" s="562" t="s">
        <v>9788</v>
      </c>
      <c r="B4529" s="563" t="s">
        <v>9789</v>
      </c>
      <c r="C4529" s="564" t="s">
        <v>1612</v>
      </c>
      <c r="D4529" s="565">
        <v>40254</v>
      </c>
      <c r="E4529" s="565">
        <v>40268</v>
      </c>
      <c r="F4529" s="566">
        <v>5574000</v>
      </c>
      <c r="G4529" s="564" t="s">
        <v>337</v>
      </c>
      <c r="H4529" s="564" t="s">
        <v>337</v>
      </c>
      <c r="I4529" s="564" t="s">
        <v>802</v>
      </c>
      <c r="J4529" s="564" t="s">
        <v>1069</v>
      </c>
      <c r="K4529" s="564" t="s">
        <v>1198</v>
      </c>
      <c r="L4529" s="564" t="s">
        <v>2098</v>
      </c>
      <c r="M4529" s="564" t="s">
        <v>2098</v>
      </c>
      <c r="N4529" s="564" t="s">
        <v>132</v>
      </c>
      <c r="O4529" s="564" t="s">
        <v>2099</v>
      </c>
      <c r="P4529" s="23"/>
      <c r="Q4529" s="23"/>
      <c r="R4529" s="23"/>
      <c r="S4529" s="23"/>
      <c r="T4529" s="23"/>
      <c r="U4529" s="23"/>
      <c r="V4529" s="23"/>
      <c r="W4529" s="23"/>
      <c r="X4529" s="23"/>
      <c r="Y4529" s="23"/>
      <c r="Z4529" s="23"/>
    </row>
    <row r="4530" spans="1:26" ht="13">
      <c r="A4530" s="562" t="s">
        <v>9790</v>
      </c>
      <c r="B4530" s="563" t="s">
        <v>9791</v>
      </c>
      <c r="C4530" s="564" t="s">
        <v>2191</v>
      </c>
      <c r="D4530" s="565">
        <v>40249</v>
      </c>
      <c r="E4530" s="565">
        <v>40253</v>
      </c>
      <c r="F4530" s="566">
        <v>26985</v>
      </c>
      <c r="G4530" s="564" t="s">
        <v>1145</v>
      </c>
      <c r="H4530" s="564" t="s">
        <v>1145</v>
      </c>
      <c r="I4530" s="564" t="s">
        <v>9792</v>
      </c>
      <c r="J4530" s="564" t="s">
        <v>1069</v>
      </c>
      <c r="K4530" s="564" t="s">
        <v>1198</v>
      </c>
      <c r="L4530" s="564" t="s">
        <v>2098</v>
      </c>
      <c r="M4530" s="564" t="s">
        <v>2098</v>
      </c>
      <c r="N4530" s="564" t="s">
        <v>2543</v>
      </c>
      <c r="O4530" s="564" t="s">
        <v>2099</v>
      </c>
      <c r="P4530" s="23"/>
      <c r="Q4530" s="23"/>
      <c r="R4530" s="23"/>
      <c r="S4530" s="23"/>
      <c r="T4530" s="23"/>
      <c r="U4530" s="23"/>
      <c r="V4530" s="23"/>
      <c r="W4530" s="23"/>
      <c r="X4530" s="23"/>
      <c r="Y4530" s="23"/>
      <c r="Z4530" s="23"/>
    </row>
    <row r="4531" spans="1:26" ht="13">
      <c r="A4531" s="562" t="s">
        <v>9793</v>
      </c>
      <c r="B4531" s="563" t="s">
        <v>9794</v>
      </c>
      <c r="C4531" s="564" t="s">
        <v>1873</v>
      </c>
      <c r="D4531" s="565">
        <v>40249</v>
      </c>
      <c r="E4531" s="565">
        <v>40256</v>
      </c>
      <c r="F4531" s="566">
        <v>2190</v>
      </c>
      <c r="G4531" s="564" t="s">
        <v>337</v>
      </c>
      <c r="H4531" s="564" t="s">
        <v>337</v>
      </c>
      <c r="I4531" s="564" t="s">
        <v>170</v>
      </c>
      <c r="J4531" s="564" t="s">
        <v>1069</v>
      </c>
      <c r="K4531" s="564" t="s">
        <v>1105</v>
      </c>
      <c r="L4531" s="564" t="s">
        <v>2098</v>
      </c>
      <c r="M4531" s="564" t="s">
        <v>2098</v>
      </c>
      <c r="N4531" s="564" t="s">
        <v>170</v>
      </c>
      <c r="O4531" s="564" t="s">
        <v>2099</v>
      </c>
      <c r="P4531" s="23"/>
      <c r="Q4531" s="23"/>
      <c r="R4531" s="23"/>
      <c r="S4531" s="23"/>
      <c r="T4531" s="23"/>
      <c r="U4531" s="23"/>
      <c r="V4531" s="23"/>
      <c r="W4531" s="23"/>
      <c r="X4531" s="23"/>
      <c r="Y4531" s="23"/>
      <c r="Z4531" s="23"/>
    </row>
    <row r="4532" spans="1:26" ht="13">
      <c r="A4532" s="562" t="s">
        <v>9795</v>
      </c>
      <c r="B4532" s="563" t="s">
        <v>9796</v>
      </c>
      <c r="C4532" s="564" t="s">
        <v>2191</v>
      </c>
      <c r="D4532" s="565">
        <v>40246</v>
      </c>
      <c r="E4532" s="565">
        <v>40253</v>
      </c>
      <c r="F4532" s="566">
        <v>665000</v>
      </c>
      <c r="G4532" s="564" t="s">
        <v>337</v>
      </c>
      <c r="H4532" s="564" t="s">
        <v>1145</v>
      </c>
      <c r="I4532" s="564" t="s">
        <v>1966</v>
      </c>
      <c r="J4532" s="564" t="s">
        <v>1069</v>
      </c>
      <c r="K4532" s="564" t="s">
        <v>1070</v>
      </c>
      <c r="L4532" s="564" t="s">
        <v>2098</v>
      </c>
      <c r="M4532" s="564" t="s">
        <v>2098</v>
      </c>
      <c r="N4532" s="564" t="s">
        <v>1082</v>
      </c>
      <c r="O4532" s="564" t="s">
        <v>2099</v>
      </c>
      <c r="P4532" s="23"/>
      <c r="Q4532" s="23"/>
      <c r="R4532" s="23"/>
      <c r="S4532" s="23"/>
      <c r="T4532" s="23"/>
      <c r="U4532" s="23"/>
      <c r="V4532" s="23"/>
      <c r="W4532" s="23"/>
      <c r="X4532" s="23"/>
      <c r="Y4532" s="23"/>
      <c r="Z4532" s="23"/>
    </row>
    <row r="4533" spans="1:26" ht="13">
      <c r="A4533" s="562" t="s">
        <v>9797</v>
      </c>
      <c r="B4533" s="563" t="s">
        <v>9798</v>
      </c>
      <c r="C4533" s="564" t="s">
        <v>1612</v>
      </c>
      <c r="D4533" s="565">
        <v>40242</v>
      </c>
      <c r="E4533" s="565">
        <v>40268</v>
      </c>
      <c r="F4533" s="566">
        <v>147000</v>
      </c>
      <c r="G4533" s="564" t="s">
        <v>297</v>
      </c>
      <c r="H4533" s="564" t="s">
        <v>297</v>
      </c>
      <c r="I4533" s="564" t="s">
        <v>802</v>
      </c>
      <c r="J4533" s="564" t="s">
        <v>1069</v>
      </c>
      <c r="K4533" s="564" t="s">
        <v>1198</v>
      </c>
      <c r="L4533" s="564" t="s">
        <v>2098</v>
      </c>
      <c r="M4533" s="564" t="s">
        <v>2098</v>
      </c>
      <c r="N4533" s="564" t="s">
        <v>132</v>
      </c>
      <c r="O4533" s="564" t="s">
        <v>2099</v>
      </c>
      <c r="P4533" s="23"/>
      <c r="Q4533" s="23"/>
      <c r="R4533" s="23"/>
      <c r="S4533" s="23"/>
      <c r="T4533" s="23"/>
      <c r="U4533" s="23"/>
      <c r="V4533" s="23"/>
      <c r="W4533" s="23"/>
      <c r="X4533" s="23"/>
      <c r="Y4533" s="23"/>
      <c r="Z4533" s="23"/>
    </row>
    <row r="4534" spans="1:26" ht="13">
      <c r="A4534" s="562" t="s">
        <v>9799</v>
      </c>
      <c r="B4534" s="563" t="s">
        <v>9800</v>
      </c>
      <c r="C4534" s="564" t="s">
        <v>1612</v>
      </c>
      <c r="D4534" s="565">
        <v>40242</v>
      </c>
      <c r="E4534" s="565">
        <v>40263</v>
      </c>
      <c r="F4534" s="566">
        <v>5755000</v>
      </c>
      <c r="G4534" s="564" t="s">
        <v>337</v>
      </c>
      <c r="H4534" s="564" t="s">
        <v>297</v>
      </c>
      <c r="I4534" s="564" t="s">
        <v>802</v>
      </c>
      <c r="J4534" s="564" t="s">
        <v>1069</v>
      </c>
      <c r="K4534" s="564" t="s">
        <v>1198</v>
      </c>
      <c r="L4534" s="564" t="s">
        <v>2098</v>
      </c>
      <c r="M4534" s="564" t="s">
        <v>2098</v>
      </c>
      <c r="N4534" s="564" t="s">
        <v>132</v>
      </c>
      <c r="O4534" s="564" t="s">
        <v>2099</v>
      </c>
      <c r="P4534" s="23"/>
      <c r="Q4534" s="23"/>
      <c r="R4534" s="23"/>
      <c r="S4534" s="23"/>
      <c r="T4534" s="23"/>
      <c r="U4534" s="23"/>
      <c r="V4534" s="23"/>
      <c r="W4534" s="23"/>
      <c r="X4534" s="23"/>
      <c r="Y4534" s="23"/>
      <c r="Z4534" s="23"/>
    </row>
    <row r="4535" spans="1:26" ht="13">
      <c r="A4535" s="562" t="s">
        <v>9801</v>
      </c>
      <c r="B4535" s="563" t="s">
        <v>9802</v>
      </c>
      <c r="C4535" s="564" t="s">
        <v>1612</v>
      </c>
      <c r="D4535" s="565">
        <v>40240</v>
      </c>
      <c r="E4535" s="565">
        <v>40252</v>
      </c>
      <c r="F4535" s="566">
        <v>49500000</v>
      </c>
      <c r="G4535" s="564" t="s">
        <v>1116</v>
      </c>
      <c r="H4535" s="564" t="s">
        <v>1116</v>
      </c>
      <c r="I4535" s="564" t="s">
        <v>45</v>
      </c>
      <c r="J4535" s="564" t="s">
        <v>1069</v>
      </c>
      <c r="K4535" s="564" t="s">
        <v>1090</v>
      </c>
      <c r="L4535" s="564" t="s">
        <v>2098</v>
      </c>
      <c r="M4535" s="564" t="s">
        <v>2098</v>
      </c>
      <c r="N4535" s="564" t="s">
        <v>45</v>
      </c>
      <c r="O4535" s="564" t="s">
        <v>2099</v>
      </c>
      <c r="P4535" s="23"/>
      <c r="Q4535" s="23"/>
      <c r="R4535" s="23"/>
      <c r="S4535" s="23"/>
      <c r="T4535" s="23"/>
      <c r="U4535" s="23"/>
      <c r="V4535" s="23"/>
      <c r="W4535" s="23"/>
      <c r="X4535" s="23"/>
      <c r="Y4535" s="23"/>
      <c r="Z4535" s="23"/>
    </row>
    <row r="4536" spans="1:26" ht="13">
      <c r="A4536" s="562" t="s">
        <v>9803</v>
      </c>
      <c r="B4536" s="563" t="s">
        <v>9804</v>
      </c>
      <c r="C4536" s="564" t="s">
        <v>1612</v>
      </c>
      <c r="D4536" s="565">
        <v>40239</v>
      </c>
      <c r="E4536" s="565">
        <v>40256</v>
      </c>
      <c r="F4536" s="566">
        <v>384800</v>
      </c>
      <c r="G4536" s="564" t="s">
        <v>297</v>
      </c>
      <c r="H4536" s="564" t="s">
        <v>297</v>
      </c>
      <c r="I4536" s="564" t="s">
        <v>7259</v>
      </c>
      <c r="J4536" s="564" t="s">
        <v>1069</v>
      </c>
      <c r="K4536" s="564" t="s">
        <v>1070</v>
      </c>
      <c r="L4536" s="564" t="s">
        <v>2098</v>
      </c>
      <c r="M4536" s="564" t="s">
        <v>2098</v>
      </c>
      <c r="N4536" s="564" t="s">
        <v>1082</v>
      </c>
      <c r="O4536" s="564" t="s">
        <v>2099</v>
      </c>
      <c r="P4536" s="23"/>
      <c r="Q4536" s="23"/>
      <c r="R4536" s="23"/>
      <c r="S4536" s="23"/>
      <c r="T4536" s="23"/>
      <c r="U4536" s="23"/>
      <c r="V4536" s="23"/>
      <c r="W4536" s="23"/>
      <c r="X4536" s="23"/>
      <c r="Y4536" s="23"/>
      <c r="Z4536" s="23"/>
    </row>
    <row r="4537" spans="1:26" ht="13">
      <c r="A4537" s="562" t="s">
        <v>9805</v>
      </c>
      <c r="B4537" s="563" t="s">
        <v>9806</v>
      </c>
      <c r="C4537" s="564" t="s">
        <v>1612</v>
      </c>
      <c r="D4537" s="565">
        <v>40240</v>
      </c>
      <c r="E4537" s="565">
        <v>40359</v>
      </c>
      <c r="F4537" s="566">
        <v>461000</v>
      </c>
      <c r="G4537" s="564" t="s">
        <v>1856</v>
      </c>
      <c r="H4537" s="564" t="s">
        <v>1856</v>
      </c>
      <c r="I4537" s="564" t="s">
        <v>45</v>
      </c>
      <c r="J4537" s="564" t="s">
        <v>1069</v>
      </c>
      <c r="K4537" s="564" t="s">
        <v>1090</v>
      </c>
      <c r="L4537" s="564" t="s">
        <v>2098</v>
      </c>
      <c r="M4537" s="564" t="s">
        <v>2098</v>
      </c>
      <c r="N4537" s="564" t="s">
        <v>45</v>
      </c>
      <c r="O4537" s="564" t="s">
        <v>2099</v>
      </c>
      <c r="P4537" s="23"/>
      <c r="Q4537" s="23"/>
      <c r="R4537" s="23"/>
      <c r="S4537" s="23"/>
      <c r="T4537" s="23"/>
      <c r="U4537" s="23"/>
      <c r="V4537" s="23"/>
      <c r="W4537" s="23"/>
      <c r="X4537" s="23"/>
      <c r="Y4537" s="23"/>
      <c r="Z4537" s="23"/>
    </row>
    <row r="4538" spans="1:26" ht="13">
      <c r="A4538" s="562" t="s">
        <v>9807</v>
      </c>
      <c r="B4538" s="563" t="s">
        <v>9808</v>
      </c>
      <c r="C4538" s="564" t="s">
        <v>1612</v>
      </c>
      <c r="D4538" s="565">
        <v>40235</v>
      </c>
      <c r="E4538" s="565">
        <v>40235</v>
      </c>
      <c r="F4538" s="566">
        <v>44000000</v>
      </c>
      <c r="G4538" s="564" t="s">
        <v>1856</v>
      </c>
      <c r="H4538" s="564" t="s">
        <v>1856</v>
      </c>
      <c r="I4538" s="564" t="s">
        <v>45</v>
      </c>
      <c r="J4538" s="564" t="s">
        <v>1069</v>
      </c>
      <c r="K4538" s="564" t="s">
        <v>1090</v>
      </c>
      <c r="L4538" s="564" t="s">
        <v>2098</v>
      </c>
      <c r="M4538" s="564" t="s">
        <v>2098</v>
      </c>
      <c r="N4538" s="564" t="s">
        <v>45</v>
      </c>
      <c r="O4538" s="564" t="s">
        <v>2099</v>
      </c>
      <c r="P4538" s="23"/>
      <c r="Q4538" s="23"/>
      <c r="R4538" s="23"/>
      <c r="S4538" s="23"/>
      <c r="T4538" s="23"/>
      <c r="U4538" s="23"/>
      <c r="V4538" s="23"/>
      <c r="W4538" s="23"/>
      <c r="X4538" s="23"/>
      <c r="Y4538" s="23"/>
      <c r="Z4538" s="23"/>
    </row>
    <row r="4539" spans="1:26" ht="13">
      <c r="A4539" s="562" t="s">
        <v>9809</v>
      </c>
      <c r="B4539" s="563" t="s">
        <v>9739</v>
      </c>
      <c r="C4539" s="564" t="s">
        <v>1612</v>
      </c>
      <c r="D4539" s="565">
        <v>40235</v>
      </c>
      <c r="E4539" s="565">
        <v>40249</v>
      </c>
      <c r="F4539" s="566">
        <v>1630</v>
      </c>
      <c r="G4539" s="564" t="s">
        <v>337</v>
      </c>
      <c r="H4539" s="564" t="s">
        <v>337</v>
      </c>
      <c r="I4539" s="564" t="s">
        <v>70</v>
      </c>
      <c r="J4539" s="564" t="s">
        <v>1069</v>
      </c>
      <c r="K4539" s="564" t="s">
        <v>1120</v>
      </c>
      <c r="L4539" s="564" t="s">
        <v>2098</v>
      </c>
      <c r="M4539" s="564" t="s">
        <v>2098</v>
      </c>
      <c r="N4539" s="564" t="s">
        <v>70</v>
      </c>
      <c r="O4539" s="564" t="s">
        <v>2099</v>
      </c>
      <c r="P4539" s="23"/>
      <c r="Q4539" s="23"/>
      <c r="R4539" s="23"/>
      <c r="S4539" s="23"/>
      <c r="T4539" s="23"/>
      <c r="U4539" s="23"/>
      <c r="V4539" s="23"/>
      <c r="W4539" s="23"/>
      <c r="X4539" s="23"/>
      <c r="Y4539" s="23"/>
      <c r="Z4539" s="23"/>
    </row>
    <row r="4540" spans="1:26" ht="13">
      <c r="A4540" s="562" t="s">
        <v>9810</v>
      </c>
      <c r="B4540" s="563" t="s">
        <v>9811</v>
      </c>
      <c r="C4540" s="564" t="s">
        <v>1612</v>
      </c>
      <c r="D4540" s="565">
        <v>40226</v>
      </c>
      <c r="E4540" s="565">
        <v>40235</v>
      </c>
      <c r="F4540" s="566">
        <v>2445</v>
      </c>
      <c r="G4540" s="564" t="s">
        <v>337</v>
      </c>
      <c r="H4540" s="564" t="s">
        <v>337</v>
      </c>
      <c r="I4540" s="564" t="s">
        <v>70</v>
      </c>
      <c r="J4540" s="564" t="s">
        <v>1069</v>
      </c>
      <c r="K4540" s="564" t="s">
        <v>1120</v>
      </c>
      <c r="L4540" s="564" t="s">
        <v>2098</v>
      </c>
      <c r="M4540" s="564" t="s">
        <v>2098</v>
      </c>
      <c r="N4540" s="564" t="s">
        <v>70</v>
      </c>
      <c r="O4540" s="564" t="s">
        <v>2099</v>
      </c>
      <c r="P4540" s="23"/>
      <c r="Q4540" s="23"/>
      <c r="R4540" s="23"/>
      <c r="S4540" s="23"/>
      <c r="T4540" s="23"/>
      <c r="U4540" s="23"/>
      <c r="V4540" s="23"/>
      <c r="W4540" s="23"/>
      <c r="X4540" s="23"/>
      <c r="Y4540" s="23"/>
      <c r="Z4540" s="23"/>
    </row>
    <row r="4541" spans="1:26" ht="13">
      <c r="A4541" s="562" t="s">
        <v>9812</v>
      </c>
      <c r="B4541" s="563" t="s">
        <v>9813</v>
      </c>
      <c r="C4541" s="564" t="s">
        <v>2191</v>
      </c>
      <c r="D4541" s="565">
        <v>40227</v>
      </c>
      <c r="E4541" s="565">
        <v>40329</v>
      </c>
      <c r="F4541" s="566">
        <v>9802000</v>
      </c>
      <c r="G4541" s="564" t="s">
        <v>1123</v>
      </c>
      <c r="H4541" s="564" t="s">
        <v>1123</v>
      </c>
      <c r="I4541" s="564" t="s">
        <v>8659</v>
      </c>
      <c r="J4541" s="564" t="s">
        <v>1069</v>
      </c>
      <c r="K4541" s="564" t="s">
        <v>1205</v>
      </c>
      <c r="L4541" s="564" t="s">
        <v>2098</v>
      </c>
      <c r="M4541" s="564" t="s">
        <v>2098</v>
      </c>
      <c r="N4541" s="564" t="s">
        <v>1073</v>
      </c>
      <c r="O4541" s="564" t="s">
        <v>2099</v>
      </c>
      <c r="P4541" s="23"/>
      <c r="Q4541" s="23"/>
      <c r="R4541" s="23"/>
      <c r="S4541" s="23"/>
      <c r="T4541" s="23"/>
      <c r="U4541" s="23"/>
      <c r="V4541" s="23"/>
      <c r="W4541" s="23"/>
      <c r="X4541" s="23"/>
      <c r="Y4541" s="23"/>
      <c r="Z4541" s="23"/>
    </row>
    <row r="4542" spans="1:26" ht="13">
      <c r="A4542" s="562" t="s">
        <v>9814</v>
      </c>
      <c r="B4542" s="563" t="s">
        <v>9815</v>
      </c>
      <c r="C4542" s="564" t="s">
        <v>1612</v>
      </c>
      <c r="D4542" s="565">
        <v>40227</v>
      </c>
      <c r="E4542" s="565">
        <v>40235</v>
      </c>
      <c r="F4542" s="566">
        <v>85795</v>
      </c>
      <c r="G4542" s="564" t="s">
        <v>297</v>
      </c>
      <c r="H4542" s="564" t="s">
        <v>297</v>
      </c>
      <c r="I4542" s="564" t="s">
        <v>802</v>
      </c>
      <c r="J4542" s="564" t="s">
        <v>1069</v>
      </c>
      <c r="K4542" s="564" t="s">
        <v>1198</v>
      </c>
      <c r="L4542" s="564" t="s">
        <v>2098</v>
      </c>
      <c r="M4542" s="564" t="s">
        <v>2098</v>
      </c>
      <c r="N4542" s="564" t="s">
        <v>132</v>
      </c>
      <c r="O4542" s="564" t="s">
        <v>2099</v>
      </c>
      <c r="P4542" s="23"/>
      <c r="Q4542" s="23"/>
      <c r="R4542" s="23"/>
      <c r="S4542" s="23"/>
      <c r="T4542" s="23"/>
      <c r="U4542" s="23"/>
      <c r="V4542" s="23"/>
      <c r="W4542" s="23"/>
      <c r="X4542" s="23"/>
      <c r="Y4542" s="23"/>
      <c r="Z4542" s="23"/>
    </row>
    <row r="4543" spans="1:26" ht="13">
      <c r="A4543" s="562" t="s">
        <v>9816</v>
      </c>
      <c r="B4543" s="563" t="s">
        <v>9817</v>
      </c>
      <c r="C4543" s="564" t="s">
        <v>1612</v>
      </c>
      <c r="D4543" s="565">
        <v>40228</v>
      </c>
      <c r="E4543" s="565">
        <v>40239</v>
      </c>
      <c r="F4543" s="566">
        <v>25080</v>
      </c>
      <c r="G4543" s="564" t="s">
        <v>297</v>
      </c>
      <c r="H4543" s="564" t="s">
        <v>297</v>
      </c>
      <c r="I4543" s="564" t="s">
        <v>7259</v>
      </c>
      <c r="J4543" s="564" t="s">
        <v>1069</v>
      </c>
      <c r="K4543" s="564" t="s">
        <v>1070</v>
      </c>
      <c r="L4543" s="564" t="s">
        <v>2098</v>
      </c>
      <c r="M4543" s="564" t="s">
        <v>2098</v>
      </c>
      <c r="N4543" s="564" t="s">
        <v>1082</v>
      </c>
      <c r="O4543" s="564" t="s">
        <v>2099</v>
      </c>
      <c r="P4543" s="23"/>
      <c r="Q4543" s="23"/>
      <c r="R4543" s="23"/>
      <c r="S4543" s="23"/>
      <c r="T4543" s="23"/>
      <c r="U4543" s="23"/>
      <c r="V4543" s="23"/>
      <c r="W4543" s="23"/>
      <c r="X4543" s="23"/>
      <c r="Y4543" s="23"/>
      <c r="Z4543" s="23"/>
    </row>
    <row r="4544" spans="1:26" ht="13">
      <c r="A4544" s="562" t="s">
        <v>9818</v>
      </c>
      <c r="B4544" s="563" t="s">
        <v>9819</v>
      </c>
      <c r="C4544" s="564" t="s">
        <v>1612</v>
      </c>
      <c r="D4544" s="565">
        <v>40226</v>
      </c>
      <c r="E4544" s="565">
        <v>40237</v>
      </c>
      <c r="F4544" s="566">
        <v>8850000</v>
      </c>
      <c r="G4544" s="564" t="s">
        <v>1116</v>
      </c>
      <c r="H4544" s="564" t="s">
        <v>1116</v>
      </c>
      <c r="I4544" s="564" t="s">
        <v>45</v>
      </c>
      <c r="J4544" s="564" t="s">
        <v>1069</v>
      </c>
      <c r="K4544" s="564" t="s">
        <v>1090</v>
      </c>
      <c r="L4544" s="564" t="s">
        <v>2098</v>
      </c>
      <c r="M4544" s="564" t="s">
        <v>2098</v>
      </c>
      <c r="N4544" s="564" t="s">
        <v>45</v>
      </c>
      <c r="O4544" s="564" t="s">
        <v>2099</v>
      </c>
      <c r="P4544" s="23"/>
      <c r="Q4544" s="23"/>
      <c r="R4544" s="23"/>
      <c r="S4544" s="23"/>
      <c r="T4544" s="23"/>
      <c r="U4544" s="23"/>
      <c r="V4544" s="23"/>
      <c r="W4544" s="23"/>
      <c r="X4544" s="23"/>
      <c r="Y4544" s="23"/>
      <c r="Z4544" s="23"/>
    </row>
    <row r="4545" spans="1:26" ht="13">
      <c r="A4545" s="562" t="s">
        <v>9820</v>
      </c>
      <c r="B4545" s="563" t="s">
        <v>9821</v>
      </c>
      <c r="C4545" s="564" t="s">
        <v>2191</v>
      </c>
      <c r="D4545" s="565">
        <v>40226</v>
      </c>
      <c r="E4545" s="565">
        <v>40240</v>
      </c>
      <c r="F4545" s="566">
        <v>17220</v>
      </c>
      <c r="G4545" s="564" t="s">
        <v>1636</v>
      </c>
      <c r="H4545" s="564" t="s">
        <v>1636</v>
      </c>
      <c r="I4545" s="564" t="s">
        <v>9506</v>
      </c>
      <c r="J4545" s="564" t="s">
        <v>1069</v>
      </c>
      <c r="K4545" s="564" t="s">
        <v>1070</v>
      </c>
      <c r="L4545" s="564" t="s">
        <v>2098</v>
      </c>
      <c r="M4545" s="564" t="s">
        <v>2098</v>
      </c>
      <c r="N4545" s="564" t="s">
        <v>1082</v>
      </c>
      <c r="O4545" s="564" t="s">
        <v>2099</v>
      </c>
      <c r="P4545" s="23"/>
      <c r="Q4545" s="23"/>
      <c r="R4545" s="23"/>
      <c r="S4545" s="23"/>
      <c r="T4545" s="23"/>
      <c r="U4545" s="23"/>
      <c r="V4545" s="23"/>
      <c r="W4545" s="23"/>
      <c r="X4545" s="23"/>
      <c r="Y4545" s="23"/>
      <c r="Z4545" s="23"/>
    </row>
    <row r="4546" spans="1:26" ht="13">
      <c r="A4546" s="562" t="s">
        <v>9822</v>
      </c>
      <c r="B4546" s="563" t="s">
        <v>9823</v>
      </c>
      <c r="C4546" s="564" t="s">
        <v>1612</v>
      </c>
      <c r="D4546" s="565">
        <v>40225</v>
      </c>
      <c r="E4546" s="565">
        <v>40231</v>
      </c>
      <c r="F4546" s="566">
        <v>350000</v>
      </c>
      <c r="G4546" s="564" t="s">
        <v>1123</v>
      </c>
      <c r="H4546" s="564" t="s">
        <v>1123</v>
      </c>
      <c r="I4546" s="564" t="s">
        <v>64</v>
      </c>
      <c r="J4546" s="564" t="s">
        <v>1069</v>
      </c>
      <c r="K4546" s="564" t="s">
        <v>1090</v>
      </c>
      <c r="L4546" s="564" t="s">
        <v>2098</v>
      </c>
      <c r="M4546" s="564" t="s">
        <v>2098</v>
      </c>
      <c r="N4546" s="564" t="s">
        <v>64</v>
      </c>
      <c r="O4546" s="564" t="s">
        <v>2099</v>
      </c>
      <c r="P4546" s="23"/>
      <c r="Q4546" s="23"/>
      <c r="R4546" s="23"/>
      <c r="S4546" s="23"/>
      <c r="T4546" s="23"/>
      <c r="U4546" s="23"/>
      <c r="V4546" s="23"/>
      <c r="W4546" s="23"/>
      <c r="X4546" s="23"/>
      <c r="Y4546" s="23"/>
      <c r="Z4546" s="23"/>
    </row>
    <row r="4547" spans="1:26" ht="13">
      <c r="A4547" s="562" t="s">
        <v>9824</v>
      </c>
      <c r="B4547" s="563" t="s">
        <v>9825</v>
      </c>
      <c r="C4547" s="564" t="s">
        <v>1873</v>
      </c>
      <c r="D4547" s="565">
        <v>40217</v>
      </c>
      <c r="E4547" s="565">
        <v>40228</v>
      </c>
      <c r="F4547" s="566">
        <v>2539200</v>
      </c>
      <c r="G4547" s="564" t="s">
        <v>337</v>
      </c>
      <c r="H4547" s="564" t="s">
        <v>337</v>
      </c>
      <c r="I4547" s="564" t="s">
        <v>170</v>
      </c>
      <c r="J4547" s="564" t="s">
        <v>1069</v>
      </c>
      <c r="K4547" s="564" t="s">
        <v>1105</v>
      </c>
      <c r="L4547" s="564" t="s">
        <v>2098</v>
      </c>
      <c r="M4547" s="564" t="s">
        <v>2098</v>
      </c>
      <c r="N4547" s="564" t="s">
        <v>170</v>
      </c>
      <c r="O4547" s="564" t="s">
        <v>2099</v>
      </c>
      <c r="P4547" s="23"/>
      <c r="Q4547" s="23"/>
      <c r="R4547" s="23"/>
      <c r="S4547" s="23"/>
      <c r="T4547" s="23"/>
      <c r="U4547" s="23"/>
      <c r="V4547" s="23"/>
      <c r="W4547" s="23"/>
      <c r="X4547" s="23"/>
      <c r="Y4547" s="23"/>
      <c r="Z4547" s="23"/>
    </row>
    <row r="4548" spans="1:26" ht="13">
      <c r="A4548" s="562" t="s">
        <v>9826</v>
      </c>
      <c r="B4548" s="563" t="s">
        <v>9827</v>
      </c>
      <c r="C4548" s="564" t="s">
        <v>1612</v>
      </c>
      <c r="D4548" s="565">
        <v>40213</v>
      </c>
      <c r="E4548" s="565">
        <v>40268</v>
      </c>
      <c r="F4548" s="566">
        <v>3880000</v>
      </c>
      <c r="G4548" s="564" t="s">
        <v>1116</v>
      </c>
      <c r="H4548" s="564" t="s">
        <v>1116</v>
      </c>
      <c r="I4548" s="564" t="s">
        <v>45</v>
      </c>
      <c r="J4548" s="564" t="s">
        <v>1069</v>
      </c>
      <c r="K4548" s="564" t="s">
        <v>1090</v>
      </c>
      <c r="L4548" s="564" t="s">
        <v>2098</v>
      </c>
      <c r="M4548" s="564" t="s">
        <v>2098</v>
      </c>
      <c r="N4548" s="564" t="s">
        <v>45</v>
      </c>
      <c r="O4548" s="564" t="s">
        <v>2099</v>
      </c>
      <c r="P4548" s="23"/>
      <c r="Q4548" s="23"/>
      <c r="R4548" s="23"/>
      <c r="S4548" s="23"/>
      <c r="T4548" s="23"/>
      <c r="U4548" s="23"/>
      <c r="V4548" s="23"/>
      <c r="W4548" s="23"/>
      <c r="X4548" s="23"/>
      <c r="Y4548" s="23"/>
      <c r="Z4548" s="23"/>
    </row>
    <row r="4549" spans="1:26" ht="13">
      <c r="A4549" s="562" t="s">
        <v>9828</v>
      </c>
      <c r="B4549" s="563" t="s">
        <v>9739</v>
      </c>
      <c r="C4549" s="564" t="s">
        <v>1612</v>
      </c>
      <c r="D4549" s="565">
        <v>40213</v>
      </c>
      <c r="E4549" s="565">
        <v>40228</v>
      </c>
      <c r="F4549" s="566">
        <v>1630</v>
      </c>
      <c r="G4549" s="564" t="s">
        <v>297</v>
      </c>
      <c r="H4549" s="564" t="s">
        <v>297</v>
      </c>
      <c r="I4549" s="564" t="s">
        <v>70</v>
      </c>
      <c r="J4549" s="564" t="s">
        <v>1069</v>
      </c>
      <c r="K4549" s="564" t="s">
        <v>1120</v>
      </c>
      <c r="L4549" s="564" t="s">
        <v>2098</v>
      </c>
      <c r="M4549" s="564" t="s">
        <v>2098</v>
      </c>
      <c r="N4549" s="564" t="s">
        <v>70</v>
      </c>
      <c r="O4549" s="564" t="s">
        <v>2099</v>
      </c>
      <c r="P4549" s="23"/>
      <c r="Q4549" s="23"/>
      <c r="R4549" s="23"/>
      <c r="S4549" s="23"/>
      <c r="T4549" s="23"/>
      <c r="U4549" s="23"/>
      <c r="V4549" s="23"/>
      <c r="W4549" s="23"/>
      <c r="X4549" s="23"/>
      <c r="Y4549" s="23"/>
      <c r="Z4549" s="23"/>
    </row>
    <row r="4550" spans="1:26" ht="13">
      <c r="A4550" s="562" t="s">
        <v>9829</v>
      </c>
      <c r="B4550" s="563" t="s">
        <v>9830</v>
      </c>
      <c r="C4550" s="564" t="s">
        <v>1612</v>
      </c>
      <c r="D4550" s="565">
        <v>40211</v>
      </c>
      <c r="E4550" s="565">
        <v>40228</v>
      </c>
      <c r="F4550" s="566">
        <v>9593</v>
      </c>
      <c r="G4550" s="564" t="s">
        <v>297</v>
      </c>
      <c r="H4550" s="564" t="s">
        <v>297</v>
      </c>
      <c r="I4550" s="564" t="s">
        <v>802</v>
      </c>
      <c r="J4550" s="564" t="s">
        <v>1069</v>
      </c>
      <c r="K4550" s="564" t="s">
        <v>1198</v>
      </c>
      <c r="L4550" s="564" t="s">
        <v>2098</v>
      </c>
      <c r="M4550" s="564" t="s">
        <v>2098</v>
      </c>
      <c r="N4550" s="564" t="s">
        <v>132</v>
      </c>
      <c r="O4550" s="564" t="s">
        <v>2099</v>
      </c>
      <c r="P4550" s="23"/>
      <c r="Q4550" s="23"/>
      <c r="R4550" s="23"/>
      <c r="S4550" s="23"/>
      <c r="T4550" s="23"/>
      <c r="U4550" s="23"/>
      <c r="V4550" s="23"/>
      <c r="W4550" s="23"/>
      <c r="X4550" s="23"/>
      <c r="Y4550" s="23"/>
      <c r="Z4550" s="23"/>
    </row>
    <row r="4551" spans="1:26" ht="13">
      <c r="A4551" s="562" t="s">
        <v>9831</v>
      </c>
      <c r="B4551" s="563" t="s">
        <v>9832</v>
      </c>
      <c r="C4551" s="564" t="s">
        <v>1612</v>
      </c>
      <c r="D4551" s="565">
        <v>40212</v>
      </c>
      <c r="E4551" s="565">
        <v>40225</v>
      </c>
      <c r="F4551" s="566">
        <v>7636364</v>
      </c>
      <c r="G4551" s="564" t="s">
        <v>297</v>
      </c>
      <c r="H4551" s="564" t="s">
        <v>297</v>
      </c>
      <c r="I4551" s="564" t="s">
        <v>802</v>
      </c>
      <c r="J4551" s="564" t="s">
        <v>1069</v>
      </c>
      <c r="K4551" s="564" t="s">
        <v>1198</v>
      </c>
      <c r="L4551" s="564" t="s">
        <v>2098</v>
      </c>
      <c r="M4551" s="564" t="s">
        <v>2098</v>
      </c>
      <c r="N4551" s="564" t="s">
        <v>132</v>
      </c>
      <c r="O4551" s="564" t="s">
        <v>2099</v>
      </c>
      <c r="P4551" s="23"/>
      <c r="Q4551" s="23"/>
      <c r="R4551" s="23"/>
      <c r="S4551" s="23"/>
      <c r="T4551" s="23"/>
      <c r="U4551" s="23"/>
      <c r="V4551" s="23"/>
      <c r="W4551" s="23"/>
      <c r="X4551" s="23"/>
      <c r="Y4551" s="23"/>
      <c r="Z4551" s="23"/>
    </row>
    <row r="4552" spans="1:26" ht="13">
      <c r="A4552" s="562" t="s">
        <v>9833</v>
      </c>
      <c r="B4552" s="563" t="s">
        <v>9834</v>
      </c>
      <c r="C4552" s="564" t="s">
        <v>2191</v>
      </c>
      <c r="D4552" s="565">
        <v>40210</v>
      </c>
      <c r="E4552" s="565">
        <v>40221</v>
      </c>
      <c r="F4552" s="566">
        <v>36800000</v>
      </c>
      <c r="G4552" s="564" t="s">
        <v>1123</v>
      </c>
      <c r="H4552" s="564" t="s">
        <v>1123</v>
      </c>
      <c r="I4552" s="564" t="s">
        <v>8659</v>
      </c>
      <c r="J4552" s="564" t="s">
        <v>1069</v>
      </c>
      <c r="K4552" s="564" t="s">
        <v>1205</v>
      </c>
      <c r="L4552" s="564" t="s">
        <v>2098</v>
      </c>
      <c r="M4552" s="564" t="s">
        <v>2098</v>
      </c>
      <c r="N4552" s="564" t="s">
        <v>1073</v>
      </c>
      <c r="O4552" s="564" t="s">
        <v>2099</v>
      </c>
      <c r="P4552" s="23"/>
      <c r="Q4552" s="23"/>
      <c r="R4552" s="23"/>
      <c r="S4552" s="23"/>
      <c r="T4552" s="23"/>
      <c r="U4552" s="23"/>
      <c r="V4552" s="23"/>
      <c r="W4552" s="23"/>
      <c r="X4552" s="23"/>
      <c r="Y4552" s="23"/>
      <c r="Z4552" s="23"/>
    </row>
    <row r="4553" spans="1:26" ht="13">
      <c r="A4553" s="562" t="s">
        <v>9835</v>
      </c>
      <c r="B4553" s="563" t="s">
        <v>9836</v>
      </c>
      <c r="C4553" s="564" t="s">
        <v>1612</v>
      </c>
      <c r="D4553" s="565">
        <v>40206</v>
      </c>
      <c r="E4553" s="565">
        <v>40221</v>
      </c>
      <c r="F4553" s="566">
        <v>6210</v>
      </c>
      <c r="G4553" s="564" t="s">
        <v>297</v>
      </c>
      <c r="H4553" s="564" t="s">
        <v>297</v>
      </c>
      <c r="I4553" s="564" t="s">
        <v>802</v>
      </c>
      <c r="J4553" s="564" t="s">
        <v>1069</v>
      </c>
      <c r="K4553" s="564" t="s">
        <v>1198</v>
      </c>
      <c r="L4553" s="564" t="s">
        <v>2098</v>
      </c>
      <c r="M4553" s="564" t="s">
        <v>2098</v>
      </c>
      <c r="N4553" s="564" t="s">
        <v>132</v>
      </c>
      <c r="O4553" s="564" t="s">
        <v>2099</v>
      </c>
      <c r="P4553" s="23"/>
      <c r="Q4553" s="23"/>
      <c r="R4553" s="23"/>
      <c r="S4553" s="23"/>
      <c r="T4553" s="23"/>
      <c r="U4553" s="23"/>
      <c r="V4553" s="23"/>
      <c r="W4553" s="23"/>
      <c r="X4553" s="23"/>
      <c r="Y4553" s="23"/>
      <c r="Z4553" s="23"/>
    </row>
    <row r="4554" spans="1:26" ht="13">
      <c r="A4554" s="562" t="s">
        <v>9837</v>
      </c>
      <c r="B4554" s="563" t="s">
        <v>9071</v>
      </c>
      <c r="C4554" s="564" t="s">
        <v>1612</v>
      </c>
      <c r="D4554" s="565">
        <v>40203</v>
      </c>
      <c r="E4554" s="565">
        <v>40208</v>
      </c>
      <c r="F4554" s="566">
        <v>205567</v>
      </c>
      <c r="G4554" s="564" t="s">
        <v>297</v>
      </c>
      <c r="H4554" s="564" t="s">
        <v>297</v>
      </c>
      <c r="I4554" s="564" t="s">
        <v>45</v>
      </c>
      <c r="J4554" s="564" t="s">
        <v>1069</v>
      </c>
      <c r="K4554" s="564" t="s">
        <v>1090</v>
      </c>
      <c r="L4554" s="564" t="s">
        <v>2098</v>
      </c>
      <c r="M4554" s="564" t="s">
        <v>2098</v>
      </c>
      <c r="N4554" s="564" t="s">
        <v>45</v>
      </c>
      <c r="O4554" s="564" t="s">
        <v>2099</v>
      </c>
      <c r="P4554" s="23"/>
      <c r="Q4554" s="23"/>
      <c r="R4554" s="23"/>
      <c r="S4554" s="23"/>
      <c r="T4554" s="23"/>
      <c r="U4554" s="23"/>
      <c r="V4554" s="23"/>
      <c r="W4554" s="23"/>
      <c r="X4554" s="23"/>
      <c r="Y4554" s="23"/>
      <c r="Z4554" s="23"/>
    </row>
    <row r="4555" spans="1:26" ht="13">
      <c r="A4555" s="562" t="s">
        <v>9838</v>
      </c>
      <c r="B4555" s="563" t="s">
        <v>9839</v>
      </c>
      <c r="C4555" s="564" t="s">
        <v>1612</v>
      </c>
      <c r="D4555" s="565">
        <v>40203</v>
      </c>
      <c r="E4555" s="565">
        <v>40212</v>
      </c>
      <c r="F4555" s="566">
        <v>3061</v>
      </c>
      <c r="G4555" s="564" t="s">
        <v>297</v>
      </c>
      <c r="H4555" s="564" t="s">
        <v>297</v>
      </c>
      <c r="I4555" s="564" t="s">
        <v>802</v>
      </c>
      <c r="J4555" s="564" t="s">
        <v>1069</v>
      </c>
      <c r="K4555" s="564" t="s">
        <v>1198</v>
      </c>
      <c r="L4555" s="564" t="s">
        <v>2098</v>
      </c>
      <c r="M4555" s="564" t="s">
        <v>2098</v>
      </c>
      <c r="N4555" s="564" t="s">
        <v>132</v>
      </c>
      <c r="O4555" s="564" t="s">
        <v>2099</v>
      </c>
      <c r="P4555" s="23"/>
      <c r="Q4555" s="23"/>
      <c r="R4555" s="23"/>
      <c r="S4555" s="23"/>
      <c r="T4555" s="23"/>
      <c r="U4555" s="23"/>
      <c r="V4555" s="23"/>
      <c r="W4555" s="23"/>
      <c r="X4555" s="23"/>
      <c r="Y4555" s="23"/>
      <c r="Z4555" s="23"/>
    </row>
    <row r="4556" spans="1:26" ht="13">
      <c r="A4556" s="562" t="s">
        <v>9840</v>
      </c>
      <c r="B4556" s="563" t="s">
        <v>9841</v>
      </c>
      <c r="C4556" s="564" t="s">
        <v>1612</v>
      </c>
      <c r="D4556" s="565">
        <v>40197</v>
      </c>
      <c r="E4556" s="565">
        <v>40207</v>
      </c>
      <c r="F4556" s="566">
        <v>25835</v>
      </c>
      <c r="G4556" s="564" t="s">
        <v>297</v>
      </c>
      <c r="H4556" s="564" t="s">
        <v>297</v>
      </c>
      <c r="I4556" s="564" t="s">
        <v>802</v>
      </c>
      <c r="J4556" s="564" t="s">
        <v>1069</v>
      </c>
      <c r="K4556" s="564" t="s">
        <v>1198</v>
      </c>
      <c r="L4556" s="564" t="s">
        <v>2098</v>
      </c>
      <c r="M4556" s="564" t="s">
        <v>2098</v>
      </c>
      <c r="N4556" s="564" t="s">
        <v>132</v>
      </c>
      <c r="O4556" s="564" t="s">
        <v>2099</v>
      </c>
      <c r="P4556" s="23"/>
      <c r="Q4556" s="23"/>
      <c r="R4556" s="23"/>
      <c r="S4556" s="23"/>
      <c r="T4556" s="23"/>
      <c r="U4556" s="23"/>
      <c r="V4556" s="23"/>
      <c r="W4556" s="23"/>
      <c r="X4556" s="23"/>
      <c r="Y4556" s="23"/>
      <c r="Z4556" s="23"/>
    </row>
    <row r="4557" spans="1:26" ht="13">
      <c r="A4557" s="562" t="s">
        <v>9842</v>
      </c>
      <c r="B4557" s="563" t="s">
        <v>9843</v>
      </c>
      <c r="C4557" s="564" t="s">
        <v>1612</v>
      </c>
      <c r="D4557" s="565">
        <v>40191</v>
      </c>
      <c r="E4557" s="565">
        <v>40200</v>
      </c>
      <c r="F4557" s="566">
        <v>98000</v>
      </c>
      <c r="G4557" s="564" t="s">
        <v>297</v>
      </c>
      <c r="H4557" s="564" t="s">
        <v>297</v>
      </c>
      <c r="I4557" s="564" t="s">
        <v>45</v>
      </c>
      <c r="J4557" s="564" t="s">
        <v>1069</v>
      </c>
      <c r="K4557" s="564" t="s">
        <v>1090</v>
      </c>
      <c r="L4557" s="564" t="s">
        <v>2098</v>
      </c>
      <c r="M4557" s="564" t="s">
        <v>2098</v>
      </c>
      <c r="N4557" s="564" t="s">
        <v>45</v>
      </c>
      <c r="O4557" s="564" t="s">
        <v>2099</v>
      </c>
      <c r="P4557" s="23"/>
      <c r="Q4557" s="23"/>
      <c r="R4557" s="23"/>
      <c r="S4557" s="23"/>
      <c r="T4557" s="23"/>
      <c r="U4557" s="23"/>
      <c r="V4557" s="23"/>
      <c r="W4557" s="23"/>
      <c r="X4557" s="23"/>
      <c r="Y4557" s="23"/>
      <c r="Z4557" s="23"/>
    </row>
    <row r="4558" spans="1:26" ht="13">
      <c r="A4558" s="562" t="s">
        <v>9844</v>
      </c>
      <c r="B4558" s="563" t="s">
        <v>9845</v>
      </c>
      <c r="C4558" s="564" t="s">
        <v>1612</v>
      </c>
      <c r="D4558" s="565">
        <v>40192</v>
      </c>
      <c r="E4558" s="565">
        <v>40207</v>
      </c>
      <c r="F4558" s="567">
        <v>855</v>
      </c>
      <c r="G4558" s="564" t="s">
        <v>297</v>
      </c>
      <c r="H4558" s="564" t="s">
        <v>297</v>
      </c>
      <c r="I4558" s="564" t="s">
        <v>802</v>
      </c>
      <c r="J4558" s="564" t="s">
        <v>1069</v>
      </c>
      <c r="K4558" s="564" t="s">
        <v>1198</v>
      </c>
      <c r="L4558" s="564" t="s">
        <v>2098</v>
      </c>
      <c r="M4558" s="564" t="s">
        <v>2098</v>
      </c>
      <c r="N4558" s="564" t="s">
        <v>132</v>
      </c>
      <c r="O4558" s="564" t="s">
        <v>2099</v>
      </c>
      <c r="P4558" s="23"/>
      <c r="Q4558" s="23"/>
      <c r="R4558" s="23"/>
      <c r="S4558" s="23"/>
      <c r="T4558" s="23"/>
      <c r="U4558" s="23"/>
      <c r="V4558" s="23"/>
      <c r="W4558" s="23"/>
      <c r="X4558" s="23"/>
      <c r="Y4558" s="23"/>
      <c r="Z4558" s="23"/>
    </row>
    <row r="4559" spans="1:26" ht="13">
      <c r="A4559" s="562" t="s">
        <v>9846</v>
      </c>
      <c r="B4559" s="563" t="s">
        <v>7980</v>
      </c>
      <c r="C4559" s="564" t="s">
        <v>1612</v>
      </c>
      <c r="D4559" s="565">
        <v>40192</v>
      </c>
      <c r="E4559" s="565">
        <v>40207</v>
      </c>
      <c r="F4559" s="566">
        <v>1220</v>
      </c>
      <c r="G4559" s="564" t="s">
        <v>297</v>
      </c>
      <c r="H4559" s="564" t="s">
        <v>297</v>
      </c>
      <c r="I4559" s="564" t="s">
        <v>121</v>
      </c>
      <c r="J4559" s="564" t="s">
        <v>1069</v>
      </c>
      <c r="K4559" s="564" t="s">
        <v>1105</v>
      </c>
      <c r="L4559" s="564" t="s">
        <v>2098</v>
      </c>
      <c r="M4559" s="564" t="s">
        <v>2098</v>
      </c>
      <c r="N4559" s="564" t="s">
        <v>1073</v>
      </c>
      <c r="O4559" s="564" t="s">
        <v>2099</v>
      </c>
      <c r="P4559" s="23"/>
      <c r="Q4559" s="23"/>
      <c r="R4559" s="23"/>
      <c r="S4559" s="23"/>
      <c r="T4559" s="23"/>
      <c r="U4559" s="23"/>
      <c r="V4559" s="23"/>
      <c r="W4559" s="23"/>
      <c r="X4559" s="23"/>
      <c r="Y4559" s="23"/>
      <c r="Z4559" s="23"/>
    </row>
    <row r="4560" spans="1:26" ht="13">
      <c r="A4560" s="562" t="s">
        <v>9847</v>
      </c>
      <c r="B4560" s="563" t="s">
        <v>9848</v>
      </c>
      <c r="C4560" s="564" t="s">
        <v>1612</v>
      </c>
      <c r="D4560" s="565">
        <v>40189</v>
      </c>
      <c r="E4560" s="565">
        <v>40200</v>
      </c>
      <c r="F4560" s="566">
        <v>8550</v>
      </c>
      <c r="G4560" s="564" t="s">
        <v>297</v>
      </c>
      <c r="H4560" s="564" t="s">
        <v>297</v>
      </c>
      <c r="I4560" s="564" t="s">
        <v>802</v>
      </c>
      <c r="J4560" s="564" t="s">
        <v>1069</v>
      </c>
      <c r="K4560" s="564" t="s">
        <v>1198</v>
      </c>
      <c r="L4560" s="564" t="s">
        <v>2098</v>
      </c>
      <c r="M4560" s="564" t="s">
        <v>2098</v>
      </c>
      <c r="N4560" s="564" t="s">
        <v>132</v>
      </c>
      <c r="O4560" s="564" t="s">
        <v>2099</v>
      </c>
      <c r="P4560" s="23"/>
      <c r="Q4560" s="23"/>
      <c r="R4560" s="23"/>
      <c r="S4560" s="23"/>
      <c r="T4560" s="23"/>
      <c r="U4560" s="23"/>
      <c r="V4560" s="23"/>
      <c r="W4560" s="23"/>
      <c r="X4560" s="23"/>
      <c r="Y4560" s="23"/>
      <c r="Z4560" s="23"/>
    </row>
    <row r="4561" spans="1:26" ht="13">
      <c r="A4561" s="562" t="s">
        <v>9849</v>
      </c>
      <c r="B4561" s="563" t="s">
        <v>9850</v>
      </c>
      <c r="C4561" s="564" t="s">
        <v>1612</v>
      </c>
      <c r="D4561" s="565">
        <v>40186</v>
      </c>
      <c r="E4561" s="565">
        <v>40199</v>
      </c>
      <c r="F4561" s="566">
        <v>4075</v>
      </c>
      <c r="G4561" s="564" t="s">
        <v>297</v>
      </c>
      <c r="H4561" s="564" t="s">
        <v>297</v>
      </c>
      <c r="I4561" s="564" t="s">
        <v>1821</v>
      </c>
      <c r="J4561" s="564" t="s">
        <v>1069</v>
      </c>
      <c r="K4561" s="564" t="s">
        <v>1120</v>
      </c>
      <c r="L4561" s="564" t="s">
        <v>2098</v>
      </c>
      <c r="M4561" s="564" t="s">
        <v>2098</v>
      </c>
      <c r="N4561" s="564" t="s">
        <v>1073</v>
      </c>
      <c r="O4561" s="564" t="s">
        <v>2099</v>
      </c>
      <c r="P4561" s="23"/>
      <c r="Q4561" s="23"/>
      <c r="R4561" s="23"/>
      <c r="S4561" s="23"/>
      <c r="T4561" s="23"/>
      <c r="U4561" s="23"/>
      <c r="V4561" s="23"/>
      <c r="W4561" s="23"/>
      <c r="X4561" s="23"/>
      <c r="Y4561" s="23"/>
      <c r="Z4561" s="23"/>
    </row>
    <row r="4562" spans="1:26" ht="13">
      <c r="A4562" s="562" t="s">
        <v>9851</v>
      </c>
      <c r="B4562" s="563" t="s">
        <v>9852</v>
      </c>
      <c r="C4562" s="564" t="s">
        <v>1612</v>
      </c>
      <c r="D4562" s="565">
        <v>40182</v>
      </c>
      <c r="E4562" s="565">
        <v>40178</v>
      </c>
      <c r="F4562" s="566">
        <v>79994000</v>
      </c>
      <c r="G4562" s="564" t="s">
        <v>297</v>
      </c>
      <c r="H4562" s="564" t="s">
        <v>297</v>
      </c>
      <c r="I4562" s="564" t="s">
        <v>802</v>
      </c>
      <c r="J4562" s="564" t="s">
        <v>1069</v>
      </c>
      <c r="K4562" s="564" t="s">
        <v>1198</v>
      </c>
      <c r="L4562" s="564" t="s">
        <v>2098</v>
      </c>
      <c r="M4562" s="564" t="s">
        <v>2098</v>
      </c>
      <c r="N4562" s="564" t="s">
        <v>132</v>
      </c>
      <c r="O4562" s="564" t="s">
        <v>2099</v>
      </c>
      <c r="P4562" s="23"/>
      <c r="Q4562" s="23"/>
      <c r="R4562" s="23"/>
      <c r="S4562" s="23"/>
      <c r="T4562" s="23"/>
      <c r="U4562" s="23"/>
      <c r="V4562" s="23"/>
      <c r="W4562" s="23"/>
      <c r="X4562" s="23"/>
      <c r="Y4562" s="23"/>
      <c r="Z4562" s="23"/>
    </row>
    <row r="4563" spans="1:26" ht="13">
      <c r="A4563" s="562" t="s">
        <v>9853</v>
      </c>
      <c r="B4563" s="563" t="s">
        <v>9854</v>
      </c>
      <c r="C4563" s="564" t="s">
        <v>9855</v>
      </c>
      <c r="D4563" s="565">
        <v>39916</v>
      </c>
      <c r="E4563" s="565">
        <v>39948</v>
      </c>
      <c r="F4563" s="566">
        <v>1629409</v>
      </c>
      <c r="G4563" s="564" t="s">
        <v>297</v>
      </c>
      <c r="H4563" s="564"/>
      <c r="I4563" s="564" t="s">
        <v>45</v>
      </c>
      <c r="J4563" s="564" t="s">
        <v>1069</v>
      </c>
      <c r="K4563" s="564" t="s">
        <v>1090</v>
      </c>
      <c r="L4563" s="564" t="s">
        <v>2098</v>
      </c>
      <c r="M4563" s="564" t="s">
        <v>2098</v>
      </c>
      <c r="N4563" s="564" t="s">
        <v>45</v>
      </c>
      <c r="O4563" s="564" t="s">
        <v>2099</v>
      </c>
      <c r="P4563" s="23"/>
      <c r="Q4563" s="23"/>
      <c r="R4563" s="23"/>
      <c r="S4563" s="23"/>
      <c r="T4563" s="23"/>
      <c r="U4563" s="23"/>
      <c r="V4563" s="23"/>
      <c r="W4563" s="23"/>
      <c r="X4563" s="23"/>
      <c r="Y4563" s="23"/>
      <c r="Z4563" s="23"/>
    </row>
    <row r="4564" spans="1:26" ht="13">
      <c r="A4564" s="562" t="s">
        <v>9856</v>
      </c>
      <c r="B4564" s="563" t="s">
        <v>9857</v>
      </c>
      <c r="C4564" s="564" t="s">
        <v>8539</v>
      </c>
      <c r="D4564" s="565">
        <v>39917</v>
      </c>
      <c r="E4564" s="565">
        <v>39920</v>
      </c>
      <c r="F4564" s="567">
        <v>137</v>
      </c>
      <c r="G4564" s="564" t="s">
        <v>297</v>
      </c>
      <c r="H4564" s="564"/>
      <c r="I4564" s="564" t="s">
        <v>64</v>
      </c>
      <c r="J4564" s="564" t="s">
        <v>1069</v>
      </c>
      <c r="K4564" s="564" t="s">
        <v>1090</v>
      </c>
      <c r="L4564" s="564" t="s">
        <v>2098</v>
      </c>
      <c r="M4564" s="564" t="s">
        <v>2098</v>
      </c>
      <c r="N4564" s="564" t="s">
        <v>64</v>
      </c>
      <c r="O4564" s="564" t="s">
        <v>2099</v>
      </c>
      <c r="P4564" s="23"/>
      <c r="Q4564" s="23"/>
      <c r="R4564" s="23"/>
      <c r="S4564" s="23"/>
      <c r="T4564" s="23"/>
      <c r="U4564" s="23"/>
      <c r="V4564" s="23"/>
      <c r="W4564" s="23"/>
      <c r="X4564" s="23"/>
      <c r="Y4564" s="23"/>
      <c r="Z4564" s="23"/>
    </row>
    <row r="4565" spans="1:26" ht="13">
      <c r="A4565" s="562" t="s">
        <v>9858</v>
      </c>
      <c r="B4565" s="563" t="s">
        <v>9859</v>
      </c>
      <c r="C4565" s="564" t="s">
        <v>8539</v>
      </c>
      <c r="D4565" s="565">
        <v>39888</v>
      </c>
      <c r="E4565" s="565">
        <v>39933</v>
      </c>
      <c r="F4565" s="566">
        <v>6677250</v>
      </c>
      <c r="G4565" s="564" t="s">
        <v>2168</v>
      </c>
      <c r="H4565" s="564"/>
      <c r="I4565" s="564" t="s">
        <v>9860</v>
      </c>
      <c r="J4565" s="564" t="s">
        <v>1069</v>
      </c>
      <c r="K4565" s="564" t="s">
        <v>1070</v>
      </c>
      <c r="L4565" s="564" t="s">
        <v>2098</v>
      </c>
      <c r="M4565" s="564" t="s">
        <v>2098</v>
      </c>
      <c r="N4565" s="564" t="s">
        <v>1082</v>
      </c>
      <c r="O4565" s="564" t="s">
        <v>2099</v>
      </c>
      <c r="P4565" s="23"/>
      <c r="Q4565" s="23"/>
      <c r="R4565" s="23"/>
      <c r="S4565" s="23"/>
      <c r="T4565" s="23"/>
      <c r="U4565" s="23"/>
      <c r="V4565" s="23"/>
      <c r="W4565" s="23"/>
      <c r="X4565" s="23"/>
      <c r="Y4565" s="23"/>
      <c r="Z4565" s="23"/>
    </row>
    <row r="4566" spans="1:26" ht="13">
      <c r="A4566" s="562" t="s">
        <v>9861</v>
      </c>
      <c r="B4566" s="563" t="s">
        <v>9862</v>
      </c>
      <c r="C4566" s="564" t="s">
        <v>9855</v>
      </c>
      <c r="D4566" s="565">
        <v>39883</v>
      </c>
      <c r="E4566" s="565">
        <v>39892</v>
      </c>
      <c r="F4566" s="567">
        <v>638</v>
      </c>
      <c r="G4566" s="564" t="s">
        <v>297</v>
      </c>
      <c r="H4566" s="564"/>
      <c r="I4566" s="564" t="s">
        <v>170</v>
      </c>
      <c r="J4566" s="564" t="s">
        <v>1069</v>
      </c>
      <c r="K4566" s="564" t="s">
        <v>1105</v>
      </c>
      <c r="L4566" s="564" t="s">
        <v>2098</v>
      </c>
      <c r="M4566" s="564" t="s">
        <v>2098</v>
      </c>
      <c r="N4566" s="564" t="s">
        <v>170</v>
      </c>
      <c r="O4566" s="564" t="s">
        <v>2099</v>
      </c>
      <c r="P4566" s="23"/>
      <c r="Q4566" s="23"/>
      <c r="R4566" s="23"/>
      <c r="S4566" s="23"/>
      <c r="T4566" s="23"/>
      <c r="U4566" s="23"/>
      <c r="V4566" s="23"/>
      <c r="W4566" s="23"/>
      <c r="X4566" s="23"/>
      <c r="Y4566" s="23"/>
      <c r="Z4566" s="23"/>
    </row>
    <row r="4567" spans="1:26" ht="13">
      <c r="A4567" s="562" t="s">
        <v>9863</v>
      </c>
      <c r="B4567" s="563" t="s">
        <v>9864</v>
      </c>
      <c r="C4567" s="564" t="s">
        <v>9855</v>
      </c>
      <c r="D4567" s="565">
        <v>39883</v>
      </c>
      <c r="E4567" s="565">
        <v>39899</v>
      </c>
      <c r="F4567" s="566">
        <v>2346000</v>
      </c>
      <c r="G4567" s="564" t="s">
        <v>297</v>
      </c>
      <c r="H4567" s="564"/>
      <c r="I4567" s="564" t="s">
        <v>2073</v>
      </c>
      <c r="J4567" s="564" t="s">
        <v>1069</v>
      </c>
      <c r="K4567" s="564" t="s">
        <v>1105</v>
      </c>
      <c r="L4567" s="564" t="s">
        <v>2098</v>
      </c>
      <c r="M4567" s="564" t="s">
        <v>2098</v>
      </c>
      <c r="N4567" s="564" t="s">
        <v>225</v>
      </c>
      <c r="O4567" s="564" t="s">
        <v>2099</v>
      </c>
      <c r="P4567" s="23"/>
      <c r="Q4567" s="23"/>
      <c r="R4567" s="23"/>
      <c r="S4567" s="23"/>
      <c r="T4567" s="23"/>
      <c r="U4567" s="23"/>
      <c r="V4567" s="23"/>
      <c r="W4567" s="23"/>
      <c r="X4567" s="23"/>
      <c r="Y4567" s="23"/>
      <c r="Z4567" s="23"/>
    </row>
    <row r="4568" spans="1:26" ht="13">
      <c r="A4568" s="562" t="s">
        <v>9865</v>
      </c>
      <c r="B4568" s="563" t="s">
        <v>9866</v>
      </c>
      <c r="C4568" s="564" t="s">
        <v>8539</v>
      </c>
      <c r="D4568" s="565">
        <v>39909</v>
      </c>
      <c r="E4568" s="565">
        <v>39927</v>
      </c>
      <c r="F4568" s="566">
        <v>23190</v>
      </c>
      <c r="G4568" s="564" t="s">
        <v>297</v>
      </c>
      <c r="H4568" s="564"/>
      <c r="I4568" s="564" t="s">
        <v>802</v>
      </c>
      <c r="J4568" s="564" t="s">
        <v>1069</v>
      </c>
      <c r="K4568" s="564" t="s">
        <v>1198</v>
      </c>
      <c r="L4568" s="564" t="s">
        <v>2098</v>
      </c>
      <c r="M4568" s="564" t="s">
        <v>2098</v>
      </c>
      <c r="N4568" s="564" t="s">
        <v>132</v>
      </c>
      <c r="O4568" s="564" t="s">
        <v>2099</v>
      </c>
      <c r="P4568" s="23"/>
      <c r="Q4568" s="23"/>
      <c r="R4568" s="23"/>
      <c r="S4568" s="23"/>
      <c r="T4568" s="23"/>
      <c r="U4568" s="23"/>
      <c r="V4568" s="23"/>
      <c r="W4568" s="23"/>
      <c r="X4568" s="23"/>
      <c r="Y4568" s="23"/>
      <c r="Z4568" s="23"/>
    </row>
    <row r="4569" spans="1:26" ht="13">
      <c r="A4569" s="562" t="s">
        <v>9867</v>
      </c>
      <c r="B4569" s="563" t="s">
        <v>9868</v>
      </c>
      <c r="C4569" s="564" t="s">
        <v>8539</v>
      </c>
      <c r="D4569" s="565">
        <v>39905</v>
      </c>
      <c r="E4569" s="565">
        <v>39911</v>
      </c>
      <c r="F4569" s="566">
        <v>10988</v>
      </c>
      <c r="G4569" s="564" t="s">
        <v>297</v>
      </c>
      <c r="H4569" s="564"/>
      <c r="I4569" s="564" t="s">
        <v>802</v>
      </c>
      <c r="J4569" s="564" t="s">
        <v>1069</v>
      </c>
      <c r="K4569" s="564" t="s">
        <v>1198</v>
      </c>
      <c r="L4569" s="564" t="s">
        <v>2098</v>
      </c>
      <c r="M4569" s="564" t="s">
        <v>2098</v>
      </c>
      <c r="N4569" s="564" t="s">
        <v>132</v>
      </c>
      <c r="O4569" s="564" t="s">
        <v>2099</v>
      </c>
      <c r="P4569" s="23"/>
      <c r="Q4569" s="23"/>
      <c r="R4569" s="23"/>
      <c r="S4569" s="23"/>
      <c r="T4569" s="23"/>
      <c r="U4569" s="23"/>
      <c r="V4569" s="23"/>
      <c r="W4569" s="23"/>
      <c r="X4569" s="23"/>
      <c r="Y4569" s="23"/>
      <c r="Z4569" s="23"/>
    </row>
    <row r="4570" spans="1:26" ht="13">
      <c r="A4570" s="562" t="s">
        <v>9869</v>
      </c>
      <c r="B4570" s="563" t="s">
        <v>9870</v>
      </c>
      <c r="C4570" s="564" t="s">
        <v>8539</v>
      </c>
      <c r="D4570" s="565">
        <v>39904</v>
      </c>
      <c r="E4570" s="565">
        <v>39913</v>
      </c>
      <c r="F4570" s="566">
        <v>2310</v>
      </c>
      <c r="G4570" s="564" t="s">
        <v>297</v>
      </c>
      <c r="H4570" s="564"/>
      <c r="I4570" s="564" t="s">
        <v>64</v>
      </c>
      <c r="J4570" s="564" t="s">
        <v>1069</v>
      </c>
      <c r="K4570" s="564" t="s">
        <v>1090</v>
      </c>
      <c r="L4570" s="564" t="s">
        <v>2098</v>
      </c>
      <c r="M4570" s="564" t="s">
        <v>2098</v>
      </c>
      <c r="N4570" s="564" t="s">
        <v>64</v>
      </c>
      <c r="O4570" s="564" t="s">
        <v>2099</v>
      </c>
      <c r="P4570" s="23"/>
      <c r="Q4570" s="23"/>
      <c r="R4570" s="23"/>
      <c r="S4570" s="23"/>
      <c r="T4570" s="23"/>
      <c r="U4570" s="23"/>
      <c r="V4570" s="23"/>
      <c r="W4570" s="23"/>
      <c r="X4570" s="23"/>
      <c r="Y4570" s="23"/>
      <c r="Z4570" s="23"/>
    </row>
    <row r="4571" spans="1:26" ht="13">
      <c r="A4571" s="562" t="s">
        <v>9871</v>
      </c>
      <c r="B4571" s="563" t="s">
        <v>9872</v>
      </c>
      <c r="C4571" s="564" t="s">
        <v>8539</v>
      </c>
      <c r="D4571" s="565">
        <v>39904</v>
      </c>
      <c r="E4571" s="565">
        <v>39913</v>
      </c>
      <c r="F4571" s="567">
        <v>690</v>
      </c>
      <c r="G4571" s="564" t="s">
        <v>297</v>
      </c>
      <c r="H4571" s="564"/>
      <c r="I4571" s="564" t="s">
        <v>64</v>
      </c>
      <c r="J4571" s="564" t="s">
        <v>1069</v>
      </c>
      <c r="K4571" s="564" t="s">
        <v>1090</v>
      </c>
      <c r="L4571" s="564" t="s">
        <v>2098</v>
      </c>
      <c r="M4571" s="564" t="s">
        <v>2098</v>
      </c>
      <c r="N4571" s="564" t="s">
        <v>64</v>
      </c>
      <c r="O4571" s="564" t="s">
        <v>2099</v>
      </c>
      <c r="P4571" s="23"/>
      <c r="Q4571" s="23"/>
      <c r="R4571" s="23"/>
      <c r="S4571" s="23"/>
      <c r="T4571" s="23"/>
      <c r="U4571" s="23"/>
      <c r="V4571" s="23"/>
      <c r="W4571" s="23"/>
      <c r="X4571" s="23"/>
      <c r="Y4571" s="23"/>
      <c r="Z4571" s="23"/>
    </row>
    <row r="4572" spans="1:26" ht="13">
      <c r="A4572" s="562" t="s">
        <v>9873</v>
      </c>
      <c r="B4572" s="563" t="s">
        <v>9874</v>
      </c>
      <c r="C4572" s="564" t="s">
        <v>8539</v>
      </c>
      <c r="D4572" s="565">
        <v>39902</v>
      </c>
      <c r="E4572" s="565">
        <v>39906</v>
      </c>
      <c r="F4572" s="566">
        <v>770000</v>
      </c>
      <c r="G4572" s="564" t="s">
        <v>297</v>
      </c>
      <c r="H4572" s="564"/>
      <c r="I4572" s="564" t="s">
        <v>64</v>
      </c>
      <c r="J4572" s="564" t="s">
        <v>1069</v>
      </c>
      <c r="K4572" s="564" t="s">
        <v>1090</v>
      </c>
      <c r="L4572" s="564" t="s">
        <v>2098</v>
      </c>
      <c r="M4572" s="564" t="s">
        <v>2098</v>
      </c>
      <c r="N4572" s="564" t="s">
        <v>64</v>
      </c>
      <c r="O4572" s="564" t="s">
        <v>2099</v>
      </c>
      <c r="P4572" s="23"/>
      <c r="Q4572" s="23"/>
      <c r="R4572" s="23"/>
      <c r="S4572" s="23"/>
      <c r="T4572" s="23"/>
      <c r="U4572" s="23"/>
      <c r="V4572" s="23"/>
      <c r="W4572" s="23"/>
      <c r="X4572" s="23"/>
      <c r="Y4572" s="23"/>
      <c r="Z4572" s="23"/>
    </row>
    <row r="4573" spans="1:26" ht="13">
      <c r="A4573" s="562" t="s">
        <v>9875</v>
      </c>
      <c r="B4573" s="563" t="s">
        <v>9876</v>
      </c>
      <c r="C4573" s="564" t="s">
        <v>8539</v>
      </c>
      <c r="D4573" s="565">
        <v>39902</v>
      </c>
      <c r="E4573" s="565">
        <v>39906</v>
      </c>
      <c r="F4573" s="566">
        <v>1700</v>
      </c>
      <c r="G4573" s="564" t="s">
        <v>297</v>
      </c>
      <c r="H4573" s="564"/>
      <c r="I4573" s="564" t="s">
        <v>7259</v>
      </c>
      <c r="J4573" s="564" t="s">
        <v>1069</v>
      </c>
      <c r="K4573" s="564" t="s">
        <v>1070</v>
      </c>
      <c r="L4573" s="564" t="s">
        <v>2098</v>
      </c>
      <c r="M4573" s="564" t="s">
        <v>2098</v>
      </c>
      <c r="N4573" s="564" t="s">
        <v>1082</v>
      </c>
      <c r="O4573" s="564" t="s">
        <v>2099</v>
      </c>
      <c r="P4573" s="23"/>
      <c r="Q4573" s="23"/>
      <c r="R4573" s="23"/>
      <c r="S4573" s="23"/>
      <c r="T4573" s="23"/>
      <c r="U4573" s="23"/>
      <c r="V4573" s="23"/>
      <c r="W4573" s="23"/>
      <c r="X4573" s="23"/>
      <c r="Y4573" s="23"/>
      <c r="Z4573" s="23"/>
    </row>
    <row r="4574" spans="1:26" ht="13">
      <c r="A4574" s="562" t="s">
        <v>9877</v>
      </c>
      <c r="B4574" s="563" t="s">
        <v>9878</v>
      </c>
      <c r="C4574" s="564" t="s">
        <v>8539</v>
      </c>
      <c r="D4574" s="565">
        <v>39902</v>
      </c>
      <c r="E4574" s="565">
        <v>39906</v>
      </c>
      <c r="F4574" s="567">
        <v>770</v>
      </c>
      <c r="G4574" s="564" t="s">
        <v>297</v>
      </c>
      <c r="H4574" s="564"/>
      <c r="I4574" s="564" t="s">
        <v>64</v>
      </c>
      <c r="J4574" s="564" t="s">
        <v>1069</v>
      </c>
      <c r="K4574" s="564" t="s">
        <v>1090</v>
      </c>
      <c r="L4574" s="564" t="s">
        <v>2098</v>
      </c>
      <c r="M4574" s="564" t="s">
        <v>2098</v>
      </c>
      <c r="N4574" s="564" t="s">
        <v>64</v>
      </c>
      <c r="O4574" s="564" t="s">
        <v>2099</v>
      </c>
      <c r="P4574" s="23"/>
      <c r="Q4574" s="23"/>
      <c r="R4574" s="23"/>
      <c r="S4574" s="23"/>
      <c r="T4574" s="23"/>
      <c r="U4574" s="23"/>
      <c r="V4574" s="23"/>
      <c r="W4574" s="23"/>
      <c r="X4574" s="23"/>
      <c r="Y4574" s="23"/>
      <c r="Z4574" s="23"/>
    </row>
    <row r="4575" spans="1:26" ht="13">
      <c r="A4575" s="562" t="s">
        <v>9879</v>
      </c>
      <c r="B4575" s="563" t="s">
        <v>9880</v>
      </c>
      <c r="C4575" s="564" t="s">
        <v>8539</v>
      </c>
      <c r="D4575" s="565">
        <v>39898</v>
      </c>
      <c r="E4575" s="565">
        <v>39904</v>
      </c>
      <c r="F4575" s="566">
        <v>1250</v>
      </c>
      <c r="G4575" s="564" t="s">
        <v>297</v>
      </c>
      <c r="H4575" s="564"/>
      <c r="I4575" s="564" t="s">
        <v>121</v>
      </c>
      <c r="J4575" s="564" t="s">
        <v>1069</v>
      </c>
      <c r="K4575" s="564" t="s">
        <v>1105</v>
      </c>
      <c r="L4575" s="564" t="s">
        <v>2098</v>
      </c>
      <c r="M4575" s="564" t="s">
        <v>2098</v>
      </c>
      <c r="N4575" s="564" t="s">
        <v>1073</v>
      </c>
      <c r="O4575" s="564" t="s">
        <v>2099</v>
      </c>
      <c r="P4575" s="23"/>
      <c r="Q4575" s="23"/>
      <c r="R4575" s="23"/>
      <c r="S4575" s="23"/>
      <c r="T4575" s="23"/>
      <c r="U4575" s="23"/>
      <c r="V4575" s="23"/>
      <c r="W4575" s="23"/>
      <c r="X4575" s="23"/>
      <c r="Y4575" s="23"/>
      <c r="Z4575" s="23"/>
    </row>
    <row r="4576" spans="1:26" ht="13">
      <c r="A4576" s="562" t="s">
        <v>9881</v>
      </c>
      <c r="B4576" s="563" t="s">
        <v>9882</v>
      </c>
      <c r="C4576" s="564" t="s">
        <v>8539</v>
      </c>
      <c r="D4576" s="565">
        <v>39897</v>
      </c>
      <c r="E4576" s="565">
        <v>39918</v>
      </c>
      <c r="F4576" s="566">
        <v>70120</v>
      </c>
      <c r="G4576" s="564" t="s">
        <v>297</v>
      </c>
      <c r="H4576" s="564"/>
      <c r="I4576" s="564" t="s">
        <v>802</v>
      </c>
      <c r="J4576" s="564" t="s">
        <v>1069</v>
      </c>
      <c r="K4576" s="564" t="s">
        <v>1198</v>
      </c>
      <c r="L4576" s="564" t="s">
        <v>2098</v>
      </c>
      <c r="M4576" s="564" t="s">
        <v>2098</v>
      </c>
      <c r="N4576" s="564" t="s">
        <v>132</v>
      </c>
      <c r="O4576" s="564" t="s">
        <v>2099</v>
      </c>
      <c r="P4576" s="23"/>
      <c r="Q4576" s="23"/>
      <c r="R4576" s="23"/>
      <c r="S4576" s="23"/>
      <c r="T4576" s="23"/>
      <c r="U4576" s="23"/>
      <c r="V4576" s="23"/>
      <c r="W4576" s="23"/>
      <c r="X4576" s="23"/>
      <c r="Y4576" s="23"/>
      <c r="Z4576" s="23"/>
    </row>
    <row r="4577" spans="1:26" ht="13">
      <c r="A4577" s="562" t="s">
        <v>9883</v>
      </c>
      <c r="B4577" s="563" t="s">
        <v>9884</v>
      </c>
      <c r="C4577" s="564" t="s">
        <v>9855</v>
      </c>
      <c r="D4577" s="565">
        <v>39896</v>
      </c>
      <c r="E4577" s="565">
        <v>40178</v>
      </c>
      <c r="F4577" s="566">
        <v>37500000</v>
      </c>
      <c r="G4577" s="564" t="s">
        <v>1187</v>
      </c>
      <c r="H4577" s="564"/>
      <c r="I4577" s="564" t="s">
        <v>9885</v>
      </c>
      <c r="J4577" s="564" t="s">
        <v>1069</v>
      </c>
      <c r="K4577" s="564" t="s">
        <v>1070</v>
      </c>
      <c r="L4577" s="564" t="s">
        <v>2098</v>
      </c>
      <c r="M4577" s="564" t="s">
        <v>2098</v>
      </c>
      <c r="N4577" s="564" t="s">
        <v>1082</v>
      </c>
      <c r="O4577" s="564" t="s">
        <v>2099</v>
      </c>
      <c r="P4577" s="23"/>
      <c r="Q4577" s="23"/>
      <c r="R4577" s="23"/>
      <c r="S4577" s="23"/>
      <c r="T4577" s="23"/>
      <c r="U4577" s="23"/>
      <c r="V4577" s="23"/>
      <c r="W4577" s="23"/>
      <c r="X4577" s="23"/>
      <c r="Y4577" s="23"/>
      <c r="Z4577" s="23"/>
    </row>
    <row r="4578" spans="1:26" ht="13">
      <c r="A4578" s="562" t="s">
        <v>9886</v>
      </c>
      <c r="B4578" s="563" t="s">
        <v>9887</v>
      </c>
      <c r="C4578" s="564" t="s">
        <v>8539</v>
      </c>
      <c r="D4578" s="565">
        <v>39893</v>
      </c>
      <c r="E4578" s="565">
        <v>39899</v>
      </c>
      <c r="F4578" s="566">
        <v>105338000</v>
      </c>
      <c r="G4578" s="564" t="s">
        <v>1856</v>
      </c>
      <c r="H4578" s="564"/>
      <c r="I4578" s="564" t="s">
        <v>1826</v>
      </c>
      <c r="J4578" s="564" t="s">
        <v>1069</v>
      </c>
      <c r="K4578" s="564" t="s">
        <v>1070</v>
      </c>
      <c r="L4578" s="564" t="s">
        <v>2098</v>
      </c>
      <c r="M4578" s="564" t="s">
        <v>2098</v>
      </c>
      <c r="N4578" s="564" t="s">
        <v>1082</v>
      </c>
      <c r="O4578" s="564" t="s">
        <v>2099</v>
      </c>
      <c r="P4578" s="23"/>
      <c r="Q4578" s="23"/>
      <c r="R4578" s="23"/>
      <c r="S4578" s="23"/>
      <c r="T4578" s="23"/>
      <c r="U4578" s="23"/>
      <c r="V4578" s="23"/>
      <c r="W4578" s="23"/>
      <c r="X4578" s="23"/>
      <c r="Y4578" s="23"/>
      <c r="Z4578" s="23"/>
    </row>
    <row r="4579" spans="1:26" ht="13">
      <c r="A4579" s="562" t="s">
        <v>9888</v>
      </c>
      <c r="B4579" s="563" t="s">
        <v>9862</v>
      </c>
      <c r="C4579" s="564" t="s">
        <v>9855</v>
      </c>
      <c r="D4579" s="565">
        <v>39890</v>
      </c>
      <c r="E4579" s="565">
        <v>39899</v>
      </c>
      <c r="F4579" s="566">
        <v>3400</v>
      </c>
      <c r="G4579" s="564" t="s">
        <v>297</v>
      </c>
      <c r="H4579" s="564"/>
      <c r="I4579" s="564" t="s">
        <v>170</v>
      </c>
      <c r="J4579" s="564" t="s">
        <v>1069</v>
      </c>
      <c r="K4579" s="564" t="s">
        <v>1105</v>
      </c>
      <c r="L4579" s="564" t="s">
        <v>2098</v>
      </c>
      <c r="M4579" s="564" t="s">
        <v>2098</v>
      </c>
      <c r="N4579" s="564" t="s">
        <v>170</v>
      </c>
      <c r="O4579" s="564" t="s">
        <v>2099</v>
      </c>
      <c r="P4579" s="23"/>
      <c r="Q4579" s="23"/>
      <c r="R4579" s="23"/>
      <c r="S4579" s="23"/>
      <c r="T4579" s="23"/>
      <c r="U4579" s="23"/>
      <c r="V4579" s="23"/>
      <c r="W4579" s="23"/>
      <c r="X4579" s="23"/>
      <c r="Y4579" s="23"/>
      <c r="Z4579" s="23"/>
    </row>
    <row r="4580" spans="1:26" ht="13">
      <c r="A4580" s="562" t="s">
        <v>9889</v>
      </c>
      <c r="B4580" s="563" t="s">
        <v>9890</v>
      </c>
      <c r="C4580" s="564" t="s">
        <v>8539</v>
      </c>
      <c r="D4580" s="565">
        <v>39890</v>
      </c>
      <c r="E4580" s="565">
        <v>39903</v>
      </c>
      <c r="F4580" s="566">
        <v>7370</v>
      </c>
      <c r="G4580" s="564" t="s">
        <v>297</v>
      </c>
      <c r="H4580" s="564"/>
      <c r="I4580" s="564" t="s">
        <v>64</v>
      </c>
      <c r="J4580" s="564" t="s">
        <v>1069</v>
      </c>
      <c r="K4580" s="564" t="s">
        <v>1090</v>
      </c>
      <c r="L4580" s="564" t="s">
        <v>2098</v>
      </c>
      <c r="M4580" s="564" t="s">
        <v>2098</v>
      </c>
      <c r="N4580" s="564" t="s">
        <v>64</v>
      </c>
      <c r="O4580" s="564" t="s">
        <v>2099</v>
      </c>
      <c r="P4580" s="23"/>
      <c r="Q4580" s="23"/>
      <c r="R4580" s="23"/>
      <c r="S4580" s="23"/>
      <c r="T4580" s="23"/>
      <c r="U4580" s="23"/>
      <c r="V4580" s="23"/>
      <c r="W4580" s="23"/>
      <c r="X4580" s="23"/>
      <c r="Y4580" s="23"/>
      <c r="Z4580" s="23"/>
    </row>
    <row r="4581" spans="1:26" ht="13">
      <c r="A4581" s="562" t="s">
        <v>9891</v>
      </c>
      <c r="B4581" s="563" t="s">
        <v>9892</v>
      </c>
      <c r="C4581" s="564" t="s">
        <v>8539</v>
      </c>
      <c r="D4581" s="565">
        <v>39888</v>
      </c>
      <c r="E4581" s="565">
        <v>39891</v>
      </c>
      <c r="F4581" s="566">
        <v>2426</v>
      </c>
      <c r="G4581" s="564" t="s">
        <v>297</v>
      </c>
      <c r="H4581" s="564"/>
      <c r="I4581" s="564" t="s">
        <v>9893</v>
      </c>
      <c r="J4581" s="564" t="s">
        <v>1069</v>
      </c>
      <c r="K4581" s="564" t="s">
        <v>1070</v>
      </c>
      <c r="L4581" s="564" t="s">
        <v>2098</v>
      </c>
      <c r="M4581" s="564" t="s">
        <v>2098</v>
      </c>
      <c r="N4581" s="564" t="s">
        <v>1082</v>
      </c>
      <c r="O4581" s="564" t="s">
        <v>2099</v>
      </c>
      <c r="P4581" s="23"/>
      <c r="Q4581" s="23"/>
      <c r="R4581" s="23"/>
      <c r="S4581" s="23"/>
      <c r="T4581" s="23"/>
      <c r="U4581" s="23"/>
      <c r="V4581" s="23"/>
      <c r="W4581" s="23"/>
      <c r="X4581" s="23"/>
      <c r="Y4581" s="23"/>
      <c r="Z4581" s="23"/>
    </row>
    <row r="4582" spans="1:26" ht="13">
      <c r="A4582" s="562" t="s">
        <v>9894</v>
      </c>
      <c r="B4582" s="563" t="s">
        <v>9895</v>
      </c>
      <c r="C4582" s="564" t="s">
        <v>9855</v>
      </c>
      <c r="D4582" s="565">
        <v>39878</v>
      </c>
      <c r="E4582" s="565">
        <v>39885</v>
      </c>
      <c r="F4582" s="566">
        <v>384800</v>
      </c>
      <c r="G4582" s="564" t="s">
        <v>297</v>
      </c>
      <c r="H4582" s="564"/>
      <c r="I4582" s="564" t="s">
        <v>7259</v>
      </c>
      <c r="J4582" s="564" t="s">
        <v>1069</v>
      </c>
      <c r="K4582" s="564" t="s">
        <v>1070</v>
      </c>
      <c r="L4582" s="564" t="s">
        <v>2098</v>
      </c>
      <c r="M4582" s="564" t="s">
        <v>2098</v>
      </c>
      <c r="N4582" s="564" t="s">
        <v>1082</v>
      </c>
      <c r="O4582" s="564" t="s">
        <v>2099</v>
      </c>
      <c r="P4582" s="23"/>
      <c r="Q4582" s="23"/>
      <c r="R4582" s="23"/>
      <c r="S4582" s="23"/>
      <c r="T4582" s="23"/>
      <c r="U4582" s="23"/>
      <c r="V4582" s="23"/>
      <c r="W4582" s="23"/>
      <c r="X4582" s="23"/>
      <c r="Y4582" s="23"/>
      <c r="Z4582" s="23"/>
    </row>
    <row r="4583" spans="1:26" ht="13">
      <c r="A4583" s="562" t="s">
        <v>9896</v>
      </c>
      <c r="B4583" s="563" t="s">
        <v>9897</v>
      </c>
      <c r="C4583" s="564" t="s">
        <v>8539</v>
      </c>
      <c r="D4583" s="565">
        <v>39876</v>
      </c>
      <c r="E4583" s="565">
        <v>39933</v>
      </c>
      <c r="F4583" s="566">
        <v>1500</v>
      </c>
      <c r="G4583" s="564" t="s">
        <v>2168</v>
      </c>
      <c r="H4583" s="564"/>
      <c r="I4583" s="564" t="s">
        <v>9674</v>
      </c>
      <c r="J4583" s="564" t="s">
        <v>1069</v>
      </c>
      <c r="K4583" s="564" t="s">
        <v>1070</v>
      </c>
      <c r="L4583" s="564" t="s">
        <v>2098</v>
      </c>
      <c r="M4583" s="564" t="s">
        <v>2098</v>
      </c>
      <c r="N4583" s="564" t="s">
        <v>1082</v>
      </c>
      <c r="O4583" s="564" t="s">
        <v>2099</v>
      </c>
      <c r="P4583" s="23"/>
      <c r="Q4583" s="23"/>
      <c r="R4583" s="23"/>
      <c r="S4583" s="23"/>
      <c r="T4583" s="23"/>
      <c r="U4583" s="23"/>
      <c r="V4583" s="23"/>
      <c r="W4583" s="23"/>
      <c r="X4583" s="23"/>
      <c r="Y4583" s="23"/>
      <c r="Z4583" s="23"/>
    </row>
    <row r="4584" spans="1:26" ht="13">
      <c r="A4584" s="562" t="s">
        <v>9898</v>
      </c>
      <c r="B4584" s="563" t="s">
        <v>9899</v>
      </c>
      <c r="C4584" s="564" t="s">
        <v>9855</v>
      </c>
      <c r="D4584" s="565">
        <v>39876</v>
      </c>
      <c r="E4584" s="565">
        <v>39885</v>
      </c>
      <c r="F4584" s="566">
        <v>5510</v>
      </c>
      <c r="G4584" s="564" t="s">
        <v>297</v>
      </c>
      <c r="H4584" s="564"/>
      <c r="I4584" s="564" t="s">
        <v>9250</v>
      </c>
      <c r="J4584" s="564" t="s">
        <v>1069</v>
      </c>
      <c r="K4584" s="564" t="s">
        <v>1090</v>
      </c>
      <c r="L4584" s="564" t="s">
        <v>2098</v>
      </c>
      <c r="M4584" s="564" t="s">
        <v>2098</v>
      </c>
      <c r="N4584" s="564" t="s">
        <v>45</v>
      </c>
      <c r="O4584" s="564" t="s">
        <v>2099</v>
      </c>
      <c r="P4584" s="23"/>
      <c r="Q4584" s="23"/>
      <c r="R4584" s="23"/>
      <c r="S4584" s="23"/>
      <c r="T4584" s="23"/>
      <c r="U4584" s="23"/>
      <c r="V4584" s="23"/>
      <c r="W4584" s="23"/>
      <c r="X4584" s="23"/>
      <c r="Y4584" s="23"/>
      <c r="Z4584" s="23"/>
    </row>
    <row r="4585" spans="1:26" ht="13">
      <c r="A4585" s="562" t="s">
        <v>9900</v>
      </c>
      <c r="B4585" s="563" t="s">
        <v>9901</v>
      </c>
      <c r="C4585" s="564" t="s">
        <v>1612</v>
      </c>
      <c r="D4585" s="565">
        <v>40176</v>
      </c>
      <c r="E4585" s="565">
        <v>40186</v>
      </c>
      <c r="F4585" s="566">
        <v>2550</v>
      </c>
      <c r="G4585" s="564" t="s">
        <v>297</v>
      </c>
      <c r="H4585" s="564" t="s">
        <v>297</v>
      </c>
      <c r="I4585" s="564" t="s">
        <v>1918</v>
      </c>
      <c r="J4585" s="564" t="s">
        <v>1069</v>
      </c>
      <c r="K4585" s="564" t="s">
        <v>1070</v>
      </c>
      <c r="L4585" s="564" t="s">
        <v>2098</v>
      </c>
      <c r="M4585" s="564" t="s">
        <v>2098</v>
      </c>
      <c r="N4585" s="564" t="s">
        <v>1073</v>
      </c>
      <c r="O4585" s="564" t="s">
        <v>2099</v>
      </c>
      <c r="P4585" s="23"/>
      <c r="Q4585" s="23"/>
      <c r="R4585" s="23"/>
      <c r="S4585" s="23"/>
      <c r="T4585" s="23"/>
      <c r="U4585" s="23"/>
      <c r="V4585" s="23"/>
      <c r="W4585" s="23"/>
      <c r="X4585" s="23"/>
      <c r="Y4585" s="23"/>
      <c r="Z4585" s="23"/>
    </row>
    <row r="4586" spans="1:26" ht="13">
      <c r="A4586" s="562" t="s">
        <v>9902</v>
      </c>
      <c r="B4586" s="563" t="s">
        <v>9903</v>
      </c>
      <c r="C4586" s="564" t="s">
        <v>2191</v>
      </c>
      <c r="D4586" s="565">
        <v>40176</v>
      </c>
      <c r="E4586" s="565">
        <v>40186</v>
      </c>
      <c r="F4586" s="567">
        <v>250</v>
      </c>
      <c r="G4586" s="564" t="s">
        <v>297</v>
      </c>
      <c r="H4586" s="564" t="s">
        <v>297</v>
      </c>
      <c r="I4586" s="564" t="s">
        <v>1966</v>
      </c>
      <c r="J4586" s="564" t="s">
        <v>1069</v>
      </c>
      <c r="K4586" s="564" t="s">
        <v>1070</v>
      </c>
      <c r="L4586" s="564" t="s">
        <v>2098</v>
      </c>
      <c r="M4586" s="564" t="s">
        <v>2098</v>
      </c>
      <c r="N4586" s="564" t="s">
        <v>1082</v>
      </c>
      <c r="O4586" s="564" t="s">
        <v>2099</v>
      </c>
      <c r="P4586" s="23"/>
      <c r="Q4586" s="23"/>
      <c r="R4586" s="23"/>
      <c r="S4586" s="23"/>
      <c r="T4586" s="23"/>
      <c r="U4586" s="23"/>
      <c r="V4586" s="23"/>
      <c r="W4586" s="23"/>
      <c r="X4586" s="23"/>
      <c r="Y4586" s="23"/>
      <c r="Z4586" s="23"/>
    </row>
    <row r="4587" spans="1:26" ht="13">
      <c r="A4587" s="562" t="s">
        <v>9904</v>
      </c>
      <c r="B4587" s="563" t="s">
        <v>9154</v>
      </c>
      <c r="C4587" s="564" t="s">
        <v>1612</v>
      </c>
      <c r="D4587" s="565">
        <v>40171</v>
      </c>
      <c r="E4587" s="565">
        <v>40178</v>
      </c>
      <c r="F4587" s="566">
        <v>6622500</v>
      </c>
      <c r="G4587" s="564" t="s">
        <v>297</v>
      </c>
      <c r="H4587" s="564"/>
      <c r="I4587" s="564" t="s">
        <v>1781</v>
      </c>
      <c r="J4587" s="564" t="s">
        <v>1069</v>
      </c>
      <c r="K4587" s="564" t="s">
        <v>1070</v>
      </c>
      <c r="L4587" s="564" t="s">
        <v>2098</v>
      </c>
      <c r="M4587" s="564" t="s">
        <v>2098</v>
      </c>
      <c r="N4587" s="564" t="s">
        <v>1073</v>
      </c>
      <c r="O4587" s="564" t="s">
        <v>2099</v>
      </c>
      <c r="P4587" s="23"/>
      <c r="Q4587" s="23"/>
      <c r="R4587" s="23"/>
      <c r="S4587" s="23"/>
      <c r="T4587" s="23"/>
      <c r="U4587" s="23"/>
      <c r="V4587" s="23"/>
      <c r="W4587" s="23"/>
      <c r="X4587" s="23"/>
      <c r="Y4587" s="23"/>
      <c r="Z4587" s="23"/>
    </row>
    <row r="4588" spans="1:26" ht="13">
      <c r="A4588" s="562" t="s">
        <v>9905</v>
      </c>
      <c r="B4588" s="563" t="s">
        <v>9906</v>
      </c>
      <c r="C4588" s="564" t="s">
        <v>1612</v>
      </c>
      <c r="D4588" s="565">
        <v>40171</v>
      </c>
      <c r="E4588" s="565">
        <v>40178</v>
      </c>
      <c r="F4588" s="567">
        <v>290</v>
      </c>
      <c r="G4588" s="564" t="s">
        <v>297</v>
      </c>
      <c r="H4588" s="564" t="s">
        <v>297</v>
      </c>
      <c r="I4588" s="564" t="s">
        <v>121</v>
      </c>
      <c r="J4588" s="564" t="s">
        <v>1069</v>
      </c>
      <c r="K4588" s="564" t="s">
        <v>1105</v>
      </c>
      <c r="L4588" s="564" t="s">
        <v>2098</v>
      </c>
      <c r="M4588" s="564" t="s">
        <v>2098</v>
      </c>
      <c r="N4588" s="564" t="s">
        <v>1073</v>
      </c>
      <c r="O4588" s="564" t="s">
        <v>2099</v>
      </c>
      <c r="P4588" s="23"/>
      <c r="Q4588" s="23"/>
      <c r="R4588" s="23"/>
      <c r="S4588" s="23"/>
      <c r="T4588" s="23"/>
      <c r="U4588" s="23"/>
      <c r="V4588" s="23"/>
      <c r="W4588" s="23"/>
      <c r="X4588" s="23"/>
      <c r="Y4588" s="23"/>
      <c r="Z4588" s="23"/>
    </row>
    <row r="4589" spans="1:26" ht="13">
      <c r="A4589" s="562" t="s">
        <v>9907</v>
      </c>
      <c r="B4589" s="563" t="s">
        <v>9908</v>
      </c>
      <c r="C4589" s="564" t="s">
        <v>1612</v>
      </c>
      <c r="D4589" s="565">
        <v>40175</v>
      </c>
      <c r="E4589" s="565">
        <v>40193</v>
      </c>
      <c r="F4589" s="566">
        <v>13075000</v>
      </c>
      <c r="G4589" s="564" t="s">
        <v>297</v>
      </c>
      <c r="H4589" s="564" t="s">
        <v>297</v>
      </c>
      <c r="I4589" s="564" t="s">
        <v>802</v>
      </c>
      <c r="J4589" s="564" t="s">
        <v>1069</v>
      </c>
      <c r="K4589" s="564" t="s">
        <v>1198</v>
      </c>
      <c r="L4589" s="564" t="s">
        <v>2098</v>
      </c>
      <c r="M4589" s="564" t="s">
        <v>2098</v>
      </c>
      <c r="N4589" s="564" t="s">
        <v>132</v>
      </c>
      <c r="O4589" s="564" t="s">
        <v>2099</v>
      </c>
      <c r="P4589" s="23"/>
      <c r="Q4589" s="23"/>
      <c r="R4589" s="23"/>
      <c r="S4589" s="23"/>
      <c r="T4589" s="23"/>
      <c r="U4589" s="23"/>
      <c r="V4589" s="23"/>
      <c r="W4589" s="23"/>
      <c r="X4589" s="23"/>
      <c r="Y4589" s="23"/>
      <c r="Z4589" s="23"/>
    </row>
    <row r="4590" spans="1:26" ht="13">
      <c r="A4590" s="562" t="s">
        <v>9909</v>
      </c>
      <c r="B4590" s="563" t="s">
        <v>9910</v>
      </c>
      <c r="C4590" s="564" t="s">
        <v>2191</v>
      </c>
      <c r="D4590" s="565">
        <v>40171</v>
      </c>
      <c r="E4590" s="565">
        <v>40178</v>
      </c>
      <c r="F4590" s="566">
        <v>1700000</v>
      </c>
      <c r="G4590" s="564" t="s">
        <v>1636</v>
      </c>
      <c r="H4590" s="564"/>
      <c r="I4590" s="564" t="s">
        <v>9911</v>
      </c>
      <c r="J4590" s="564" t="s">
        <v>1069</v>
      </c>
      <c r="K4590" s="564" t="s">
        <v>1070</v>
      </c>
      <c r="L4590" s="564" t="s">
        <v>2098</v>
      </c>
      <c r="M4590" s="564" t="s">
        <v>2098</v>
      </c>
      <c r="N4590" s="564" t="s">
        <v>1082</v>
      </c>
      <c r="O4590" s="564" t="s">
        <v>2099</v>
      </c>
      <c r="P4590" s="23"/>
      <c r="Q4590" s="23"/>
      <c r="R4590" s="23"/>
      <c r="S4590" s="23"/>
      <c r="T4590" s="23"/>
      <c r="U4590" s="23"/>
      <c r="V4590" s="23"/>
      <c r="W4590" s="23"/>
      <c r="X4590" s="23"/>
      <c r="Y4590" s="23"/>
      <c r="Z4590" s="23"/>
    </row>
    <row r="4591" spans="1:26" ht="13">
      <c r="A4591" s="562" t="s">
        <v>9912</v>
      </c>
      <c r="B4591" s="563" t="s">
        <v>9913</v>
      </c>
      <c r="C4591" s="564" t="s">
        <v>1612</v>
      </c>
      <c r="D4591" s="565">
        <v>40170</v>
      </c>
      <c r="E4591" s="565">
        <v>40178</v>
      </c>
      <c r="F4591" s="566">
        <v>43500000</v>
      </c>
      <c r="G4591" s="564" t="s">
        <v>1157</v>
      </c>
      <c r="H4591" s="564"/>
      <c r="I4591" s="564" t="s">
        <v>2073</v>
      </c>
      <c r="J4591" s="564" t="s">
        <v>1069</v>
      </c>
      <c r="K4591" s="564" t="s">
        <v>1105</v>
      </c>
      <c r="L4591" s="564" t="s">
        <v>2098</v>
      </c>
      <c r="M4591" s="564" t="s">
        <v>2098</v>
      </c>
      <c r="N4591" s="564" t="s">
        <v>225</v>
      </c>
      <c r="O4591" s="564" t="s">
        <v>2099</v>
      </c>
      <c r="P4591" s="23"/>
      <c r="Q4591" s="23"/>
      <c r="R4591" s="23"/>
      <c r="S4591" s="23"/>
      <c r="T4591" s="23"/>
      <c r="U4591" s="23"/>
      <c r="V4591" s="23"/>
      <c r="W4591" s="23"/>
      <c r="X4591" s="23"/>
      <c r="Y4591" s="23"/>
      <c r="Z4591" s="23"/>
    </row>
    <row r="4592" spans="1:26" ht="13">
      <c r="A4592" s="562" t="s">
        <v>9914</v>
      </c>
      <c r="B4592" s="563" t="s">
        <v>9915</v>
      </c>
      <c r="C4592" s="564" t="s">
        <v>1873</v>
      </c>
      <c r="D4592" s="565">
        <v>40164</v>
      </c>
      <c r="E4592" s="565">
        <v>40170</v>
      </c>
      <c r="F4592" s="566">
        <v>68000000</v>
      </c>
      <c r="G4592" s="564" t="s">
        <v>1636</v>
      </c>
      <c r="H4592" s="564"/>
      <c r="I4592" s="564" t="s">
        <v>170</v>
      </c>
      <c r="J4592" s="564" t="s">
        <v>1069</v>
      </c>
      <c r="K4592" s="564" t="s">
        <v>1105</v>
      </c>
      <c r="L4592" s="564" t="s">
        <v>2098</v>
      </c>
      <c r="M4592" s="564" t="s">
        <v>2098</v>
      </c>
      <c r="N4592" s="564" t="s">
        <v>170</v>
      </c>
      <c r="O4592" s="564" t="s">
        <v>2099</v>
      </c>
      <c r="P4592" s="23"/>
      <c r="Q4592" s="23"/>
      <c r="R4592" s="23"/>
      <c r="S4592" s="23"/>
      <c r="T4592" s="23"/>
      <c r="U4592" s="23"/>
      <c r="V4592" s="23"/>
      <c r="W4592" s="23"/>
      <c r="X4592" s="23"/>
      <c r="Y4592" s="23"/>
      <c r="Z4592" s="23"/>
    </row>
    <row r="4593" spans="1:26" ht="13">
      <c r="A4593" s="562" t="s">
        <v>9916</v>
      </c>
      <c r="B4593" s="563" t="s">
        <v>9917</v>
      </c>
      <c r="C4593" s="564" t="s">
        <v>1612</v>
      </c>
      <c r="D4593" s="565">
        <v>40165</v>
      </c>
      <c r="E4593" s="565">
        <v>40178</v>
      </c>
      <c r="F4593" s="566">
        <v>1930</v>
      </c>
      <c r="G4593" s="564" t="s">
        <v>297</v>
      </c>
      <c r="H4593" s="564" t="s">
        <v>1157</v>
      </c>
      <c r="I4593" s="564" t="s">
        <v>2073</v>
      </c>
      <c r="J4593" s="564" t="s">
        <v>1069</v>
      </c>
      <c r="K4593" s="564" t="s">
        <v>1105</v>
      </c>
      <c r="L4593" s="564" t="s">
        <v>2098</v>
      </c>
      <c r="M4593" s="564" t="s">
        <v>2098</v>
      </c>
      <c r="N4593" s="564" t="s">
        <v>225</v>
      </c>
      <c r="O4593" s="564" t="s">
        <v>2099</v>
      </c>
      <c r="P4593" s="23"/>
      <c r="Q4593" s="23"/>
      <c r="R4593" s="23"/>
      <c r="S4593" s="23"/>
      <c r="T4593" s="23"/>
      <c r="U4593" s="23"/>
      <c r="V4593" s="23"/>
      <c r="W4593" s="23"/>
      <c r="X4593" s="23"/>
      <c r="Y4593" s="23"/>
      <c r="Z4593" s="23"/>
    </row>
    <row r="4594" spans="1:26" ht="13">
      <c r="A4594" s="562" t="s">
        <v>9918</v>
      </c>
      <c r="B4594" s="563" t="s">
        <v>9681</v>
      </c>
      <c r="C4594" s="564" t="s">
        <v>1612</v>
      </c>
      <c r="D4594" s="565">
        <v>40168</v>
      </c>
      <c r="E4594" s="565">
        <v>40178</v>
      </c>
      <c r="F4594" s="567">
        <v>815</v>
      </c>
      <c r="G4594" s="564" t="s">
        <v>297</v>
      </c>
      <c r="H4594" s="564" t="s">
        <v>297</v>
      </c>
      <c r="I4594" s="564" t="s">
        <v>70</v>
      </c>
      <c r="J4594" s="564" t="s">
        <v>1069</v>
      </c>
      <c r="K4594" s="564" t="s">
        <v>1120</v>
      </c>
      <c r="L4594" s="564" t="s">
        <v>2098</v>
      </c>
      <c r="M4594" s="564" t="s">
        <v>2098</v>
      </c>
      <c r="N4594" s="564" t="s">
        <v>70</v>
      </c>
      <c r="O4594" s="564" t="s">
        <v>2099</v>
      </c>
      <c r="P4594" s="23"/>
      <c r="Q4594" s="23"/>
      <c r="R4594" s="23"/>
      <c r="S4594" s="23"/>
      <c r="T4594" s="23"/>
      <c r="U4594" s="23"/>
      <c r="V4594" s="23"/>
      <c r="W4594" s="23"/>
      <c r="X4594" s="23"/>
      <c r="Y4594" s="23"/>
      <c r="Z4594" s="23"/>
    </row>
    <row r="4595" spans="1:26" ht="13">
      <c r="A4595" s="562" t="s">
        <v>9919</v>
      </c>
      <c r="B4595" s="563" t="s">
        <v>9920</v>
      </c>
      <c r="C4595" s="564" t="s">
        <v>1612</v>
      </c>
      <c r="D4595" s="565">
        <v>40162</v>
      </c>
      <c r="E4595" s="565">
        <v>40178</v>
      </c>
      <c r="F4595" s="566">
        <v>132845</v>
      </c>
      <c r="G4595" s="564" t="s">
        <v>297</v>
      </c>
      <c r="H4595" s="564" t="s">
        <v>297</v>
      </c>
      <c r="I4595" s="564" t="s">
        <v>70</v>
      </c>
      <c r="J4595" s="564" t="s">
        <v>1069</v>
      </c>
      <c r="K4595" s="564" t="s">
        <v>1120</v>
      </c>
      <c r="L4595" s="564" t="s">
        <v>2098</v>
      </c>
      <c r="M4595" s="564" t="s">
        <v>2098</v>
      </c>
      <c r="N4595" s="564" t="s">
        <v>70</v>
      </c>
      <c r="O4595" s="564" t="s">
        <v>2099</v>
      </c>
      <c r="P4595" s="23"/>
      <c r="Q4595" s="23"/>
      <c r="R4595" s="23"/>
      <c r="S4595" s="23"/>
      <c r="T4595" s="23"/>
      <c r="U4595" s="23"/>
      <c r="V4595" s="23"/>
      <c r="W4595" s="23"/>
      <c r="X4595" s="23"/>
      <c r="Y4595" s="23"/>
      <c r="Z4595" s="23"/>
    </row>
    <row r="4596" spans="1:26" ht="13">
      <c r="A4596" s="562" t="s">
        <v>9921</v>
      </c>
      <c r="B4596" s="563" t="s">
        <v>9784</v>
      </c>
      <c r="C4596" s="564" t="s">
        <v>1612</v>
      </c>
      <c r="D4596" s="565">
        <v>40163</v>
      </c>
      <c r="E4596" s="565">
        <v>40177</v>
      </c>
      <c r="F4596" s="566">
        <v>5705</v>
      </c>
      <c r="G4596" s="564" t="s">
        <v>297</v>
      </c>
      <c r="H4596" s="564" t="s">
        <v>297</v>
      </c>
      <c r="I4596" s="564" t="s">
        <v>70</v>
      </c>
      <c r="J4596" s="564" t="s">
        <v>1069</v>
      </c>
      <c r="K4596" s="564" t="s">
        <v>1120</v>
      </c>
      <c r="L4596" s="564" t="s">
        <v>2098</v>
      </c>
      <c r="M4596" s="564" t="s">
        <v>2098</v>
      </c>
      <c r="N4596" s="564" t="s">
        <v>70</v>
      </c>
      <c r="O4596" s="564" t="s">
        <v>2099</v>
      </c>
      <c r="P4596" s="23"/>
      <c r="Q4596" s="23"/>
      <c r="R4596" s="23"/>
      <c r="S4596" s="23"/>
      <c r="T4596" s="23"/>
      <c r="U4596" s="23"/>
      <c r="V4596" s="23"/>
      <c r="W4596" s="23"/>
      <c r="X4596" s="23"/>
      <c r="Y4596" s="23"/>
      <c r="Z4596" s="23"/>
    </row>
    <row r="4597" spans="1:26" ht="13">
      <c r="A4597" s="562" t="s">
        <v>9922</v>
      </c>
      <c r="B4597" s="563" t="s">
        <v>9923</v>
      </c>
      <c r="C4597" s="564" t="s">
        <v>1612</v>
      </c>
      <c r="D4597" s="565">
        <v>40149</v>
      </c>
      <c r="E4597" s="565">
        <v>40157</v>
      </c>
      <c r="F4597" s="566">
        <v>6950</v>
      </c>
      <c r="G4597" s="564" t="s">
        <v>297</v>
      </c>
      <c r="H4597" s="564"/>
      <c r="I4597" s="564" t="s">
        <v>70</v>
      </c>
      <c r="J4597" s="564" t="s">
        <v>1069</v>
      </c>
      <c r="K4597" s="564" t="s">
        <v>1120</v>
      </c>
      <c r="L4597" s="564" t="s">
        <v>2098</v>
      </c>
      <c r="M4597" s="564" t="s">
        <v>2098</v>
      </c>
      <c r="N4597" s="564" t="s">
        <v>70</v>
      </c>
      <c r="O4597" s="564" t="s">
        <v>2099</v>
      </c>
      <c r="P4597" s="23"/>
      <c r="Q4597" s="23"/>
      <c r="R4597" s="23"/>
      <c r="S4597" s="23"/>
      <c r="T4597" s="23"/>
      <c r="U4597" s="23"/>
      <c r="V4597" s="23"/>
      <c r="W4597" s="23"/>
      <c r="X4597" s="23"/>
      <c r="Y4597" s="23"/>
      <c r="Z4597" s="23"/>
    </row>
    <row r="4598" spans="1:26" ht="13">
      <c r="A4598" s="562" t="s">
        <v>9924</v>
      </c>
      <c r="B4598" s="563" t="s">
        <v>9681</v>
      </c>
      <c r="C4598" s="564" t="s">
        <v>1612</v>
      </c>
      <c r="D4598" s="565">
        <v>40154</v>
      </c>
      <c r="E4598" s="565">
        <v>40165</v>
      </c>
      <c r="F4598" s="567">
        <v>815</v>
      </c>
      <c r="G4598" s="564" t="s">
        <v>297</v>
      </c>
      <c r="H4598" s="564"/>
      <c r="I4598" s="564" t="s">
        <v>70</v>
      </c>
      <c r="J4598" s="564" t="s">
        <v>1069</v>
      </c>
      <c r="K4598" s="564" t="s">
        <v>1120</v>
      </c>
      <c r="L4598" s="564" t="s">
        <v>2098</v>
      </c>
      <c r="M4598" s="564" t="s">
        <v>2098</v>
      </c>
      <c r="N4598" s="564" t="s">
        <v>70</v>
      </c>
      <c r="O4598" s="564" t="s">
        <v>2099</v>
      </c>
      <c r="P4598" s="23"/>
      <c r="Q4598" s="23"/>
      <c r="R4598" s="23"/>
      <c r="S4598" s="23"/>
      <c r="T4598" s="23"/>
      <c r="U4598" s="23"/>
      <c r="V4598" s="23"/>
      <c r="W4598" s="23"/>
      <c r="X4598" s="23"/>
      <c r="Y4598" s="23"/>
      <c r="Z4598" s="23"/>
    </row>
    <row r="4599" spans="1:26" ht="13">
      <c r="A4599" s="562" t="s">
        <v>9925</v>
      </c>
      <c r="B4599" s="563" t="s">
        <v>9926</v>
      </c>
      <c r="C4599" s="564" t="s">
        <v>1612</v>
      </c>
      <c r="D4599" s="565">
        <v>40154</v>
      </c>
      <c r="E4599" s="565">
        <v>40162</v>
      </c>
      <c r="F4599" s="566">
        <v>2440</v>
      </c>
      <c r="G4599" s="564" t="s">
        <v>297</v>
      </c>
      <c r="H4599" s="564"/>
      <c r="I4599" s="564" t="s">
        <v>121</v>
      </c>
      <c r="J4599" s="564" t="s">
        <v>1069</v>
      </c>
      <c r="K4599" s="564" t="s">
        <v>1105</v>
      </c>
      <c r="L4599" s="564" t="s">
        <v>2098</v>
      </c>
      <c r="M4599" s="564" t="s">
        <v>2098</v>
      </c>
      <c r="N4599" s="564" t="s">
        <v>1073</v>
      </c>
      <c r="O4599" s="564" t="s">
        <v>2099</v>
      </c>
      <c r="P4599" s="23"/>
      <c r="Q4599" s="23"/>
      <c r="R4599" s="23"/>
      <c r="S4599" s="23"/>
      <c r="T4599" s="23"/>
      <c r="U4599" s="23"/>
      <c r="V4599" s="23"/>
      <c r="W4599" s="23"/>
      <c r="X4599" s="23"/>
      <c r="Y4599" s="23"/>
      <c r="Z4599" s="23"/>
    </row>
    <row r="4600" spans="1:26" ht="13">
      <c r="A4600" s="562" t="s">
        <v>9927</v>
      </c>
      <c r="B4600" s="563" t="s">
        <v>9811</v>
      </c>
      <c r="C4600" s="564" t="s">
        <v>1612</v>
      </c>
      <c r="D4600" s="565">
        <v>40149</v>
      </c>
      <c r="E4600" s="565">
        <v>40158</v>
      </c>
      <c r="F4600" s="566">
        <v>2445</v>
      </c>
      <c r="G4600" s="564" t="s">
        <v>297</v>
      </c>
      <c r="H4600" s="564"/>
      <c r="I4600" s="564" t="s">
        <v>70</v>
      </c>
      <c r="J4600" s="564" t="s">
        <v>1069</v>
      </c>
      <c r="K4600" s="564" t="s">
        <v>1120</v>
      </c>
      <c r="L4600" s="564" t="s">
        <v>2098</v>
      </c>
      <c r="M4600" s="564" t="s">
        <v>2098</v>
      </c>
      <c r="N4600" s="564" t="s">
        <v>70</v>
      </c>
      <c r="O4600" s="564" t="s">
        <v>2099</v>
      </c>
      <c r="P4600" s="23"/>
      <c r="Q4600" s="23"/>
      <c r="R4600" s="23"/>
      <c r="S4600" s="23"/>
      <c r="T4600" s="23"/>
      <c r="U4600" s="23"/>
      <c r="V4600" s="23"/>
      <c r="W4600" s="23"/>
      <c r="X4600" s="23"/>
      <c r="Y4600" s="23"/>
      <c r="Z4600" s="23"/>
    </row>
    <row r="4601" spans="1:26" ht="13">
      <c r="A4601" s="562" t="s">
        <v>9928</v>
      </c>
      <c r="B4601" s="563" t="s">
        <v>9929</v>
      </c>
      <c r="C4601" s="564" t="s">
        <v>1612</v>
      </c>
      <c r="D4601" s="565">
        <v>40147</v>
      </c>
      <c r="E4601" s="565">
        <v>40157</v>
      </c>
      <c r="F4601" s="566">
        <v>2545456</v>
      </c>
      <c r="G4601" s="564" t="s">
        <v>297</v>
      </c>
      <c r="H4601" s="564"/>
      <c r="I4601" s="564" t="s">
        <v>802</v>
      </c>
      <c r="J4601" s="564" t="s">
        <v>1069</v>
      </c>
      <c r="K4601" s="564" t="s">
        <v>1198</v>
      </c>
      <c r="L4601" s="564" t="s">
        <v>2098</v>
      </c>
      <c r="M4601" s="564" t="s">
        <v>2098</v>
      </c>
      <c r="N4601" s="564" t="s">
        <v>132</v>
      </c>
      <c r="O4601" s="564" t="s">
        <v>2099</v>
      </c>
      <c r="P4601" s="23"/>
      <c r="Q4601" s="23"/>
      <c r="R4601" s="23"/>
      <c r="S4601" s="23"/>
      <c r="T4601" s="23"/>
      <c r="U4601" s="23"/>
      <c r="V4601" s="23"/>
      <c r="W4601" s="23"/>
      <c r="X4601" s="23"/>
      <c r="Y4601" s="23"/>
      <c r="Z4601" s="23"/>
    </row>
    <row r="4602" spans="1:26" ht="13">
      <c r="A4602" s="562" t="s">
        <v>9930</v>
      </c>
      <c r="B4602" s="563" t="s">
        <v>9681</v>
      </c>
      <c r="C4602" s="564" t="s">
        <v>1612</v>
      </c>
      <c r="D4602" s="565">
        <v>40148</v>
      </c>
      <c r="E4602" s="565">
        <v>40156</v>
      </c>
      <c r="F4602" s="566">
        <v>1005</v>
      </c>
      <c r="G4602" s="564" t="s">
        <v>297</v>
      </c>
      <c r="H4602" s="564" t="s">
        <v>297</v>
      </c>
      <c r="I4602" s="564" t="s">
        <v>70</v>
      </c>
      <c r="J4602" s="564" t="s">
        <v>1069</v>
      </c>
      <c r="K4602" s="564" t="s">
        <v>1120</v>
      </c>
      <c r="L4602" s="564" t="s">
        <v>2098</v>
      </c>
      <c r="M4602" s="564" t="s">
        <v>2098</v>
      </c>
      <c r="N4602" s="564" t="s">
        <v>70</v>
      </c>
      <c r="O4602" s="564" t="s">
        <v>2099</v>
      </c>
      <c r="P4602" s="23"/>
      <c r="Q4602" s="23"/>
      <c r="R4602" s="23"/>
      <c r="S4602" s="23"/>
      <c r="T4602" s="23"/>
      <c r="U4602" s="23"/>
      <c r="V4602" s="23"/>
      <c r="W4602" s="23"/>
      <c r="X4602" s="23"/>
      <c r="Y4602" s="23"/>
      <c r="Z4602" s="23"/>
    </row>
    <row r="4603" spans="1:26" ht="13">
      <c r="A4603" s="562" t="s">
        <v>9931</v>
      </c>
      <c r="B4603" s="563" t="s">
        <v>9811</v>
      </c>
      <c r="C4603" s="564" t="s">
        <v>1612</v>
      </c>
      <c r="D4603" s="565">
        <v>40147</v>
      </c>
      <c r="E4603" s="565">
        <v>40154</v>
      </c>
      <c r="F4603" s="566">
        <v>2445</v>
      </c>
      <c r="G4603" s="564" t="s">
        <v>297</v>
      </c>
      <c r="H4603" s="564"/>
      <c r="I4603" s="564" t="s">
        <v>70</v>
      </c>
      <c r="J4603" s="564" t="s">
        <v>1069</v>
      </c>
      <c r="K4603" s="564" t="s">
        <v>1120</v>
      </c>
      <c r="L4603" s="564" t="s">
        <v>2098</v>
      </c>
      <c r="M4603" s="564" t="s">
        <v>2098</v>
      </c>
      <c r="N4603" s="564" t="s">
        <v>70</v>
      </c>
      <c r="O4603" s="564" t="s">
        <v>2099</v>
      </c>
      <c r="P4603" s="23"/>
      <c r="Q4603" s="23"/>
      <c r="R4603" s="23"/>
      <c r="S4603" s="23"/>
      <c r="T4603" s="23"/>
      <c r="U4603" s="23"/>
      <c r="V4603" s="23"/>
      <c r="W4603" s="23"/>
      <c r="X4603" s="23"/>
      <c r="Y4603" s="23"/>
      <c r="Z4603" s="23"/>
    </row>
    <row r="4604" spans="1:26" ht="13">
      <c r="A4604" s="562" t="s">
        <v>9932</v>
      </c>
      <c r="B4604" s="563" t="s">
        <v>9933</v>
      </c>
      <c r="C4604" s="564" t="s">
        <v>1612</v>
      </c>
      <c r="D4604" s="565">
        <v>40148</v>
      </c>
      <c r="E4604" s="565">
        <v>40157</v>
      </c>
      <c r="F4604" s="566">
        <v>1045</v>
      </c>
      <c r="G4604" s="564" t="s">
        <v>297</v>
      </c>
      <c r="H4604" s="564"/>
      <c r="I4604" s="564" t="s">
        <v>802</v>
      </c>
      <c r="J4604" s="564" t="s">
        <v>1069</v>
      </c>
      <c r="K4604" s="564" t="s">
        <v>1198</v>
      </c>
      <c r="L4604" s="564" t="s">
        <v>2098</v>
      </c>
      <c r="M4604" s="564" t="s">
        <v>2098</v>
      </c>
      <c r="N4604" s="564" t="s">
        <v>132</v>
      </c>
      <c r="O4604" s="564" t="s">
        <v>2099</v>
      </c>
      <c r="P4604" s="23"/>
      <c r="Q4604" s="23"/>
      <c r="R4604" s="23"/>
      <c r="S4604" s="23"/>
      <c r="T4604" s="23"/>
      <c r="U4604" s="23"/>
      <c r="V4604" s="23"/>
      <c r="W4604" s="23"/>
      <c r="X4604" s="23"/>
      <c r="Y4604" s="23"/>
      <c r="Z4604" s="23"/>
    </row>
    <row r="4605" spans="1:26" ht="13">
      <c r="A4605" s="562" t="s">
        <v>9934</v>
      </c>
      <c r="B4605" s="563" t="s">
        <v>9811</v>
      </c>
      <c r="C4605" s="564" t="s">
        <v>1612</v>
      </c>
      <c r="D4605" s="565">
        <v>40140</v>
      </c>
      <c r="E4605" s="565">
        <v>40147</v>
      </c>
      <c r="F4605" s="566">
        <v>2445</v>
      </c>
      <c r="G4605" s="564" t="s">
        <v>297</v>
      </c>
      <c r="H4605" s="564"/>
      <c r="I4605" s="564" t="s">
        <v>70</v>
      </c>
      <c r="J4605" s="564" t="s">
        <v>1069</v>
      </c>
      <c r="K4605" s="564" t="s">
        <v>1120</v>
      </c>
      <c r="L4605" s="564" t="s">
        <v>2098</v>
      </c>
      <c r="M4605" s="564" t="s">
        <v>2098</v>
      </c>
      <c r="N4605" s="564" t="s">
        <v>70</v>
      </c>
      <c r="O4605" s="564" t="s">
        <v>2099</v>
      </c>
      <c r="P4605" s="23"/>
      <c r="Q4605" s="23"/>
      <c r="R4605" s="23"/>
      <c r="S4605" s="23"/>
      <c r="T4605" s="23"/>
      <c r="U4605" s="23"/>
      <c r="V4605" s="23"/>
      <c r="W4605" s="23"/>
      <c r="X4605" s="23"/>
      <c r="Y4605" s="23"/>
      <c r="Z4605" s="23"/>
    </row>
    <row r="4606" spans="1:26" ht="13">
      <c r="A4606" s="562" t="s">
        <v>9935</v>
      </c>
      <c r="B4606" s="563" t="s">
        <v>9936</v>
      </c>
      <c r="C4606" s="564" t="s">
        <v>1612</v>
      </c>
      <c r="D4606" s="565">
        <v>40137</v>
      </c>
      <c r="E4606" s="565">
        <v>40147</v>
      </c>
      <c r="F4606" s="566">
        <v>5510</v>
      </c>
      <c r="G4606" s="564" t="s">
        <v>297</v>
      </c>
      <c r="H4606" s="564"/>
      <c r="I4606" s="564" t="s">
        <v>45</v>
      </c>
      <c r="J4606" s="564" t="s">
        <v>1069</v>
      </c>
      <c r="K4606" s="564" t="s">
        <v>1090</v>
      </c>
      <c r="L4606" s="564" t="s">
        <v>2098</v>
      </c>
      <c r="M4606" s="564" t="s">
        <v>2098</v>
      </c>
      <c r="N4606" s="564" t="s">
        <v>45</v>
      </c>
      <c r="O4606" s="564" t="s">
        <v>2099</v>
      </c>
      <c r="P4606" s="23"/>
      <c r="Q4606" s="23"/>
      <c r="R4606" s="23"/>
      <c r="S4606" s="23"/>
      <c r="T4606" s="23"/>
      <c r="U4606" s="23"/>
      <c r="V4606" s="23"/>
      <c r="W4606" s="23"/>
      <c r="X4606" s="23"/>
      <c r="Y4606" s="23"/>
      <c r="Z4606" s="23"/>
    </row>
    <row r="4607" spans="1:26" ht="13">
      <c r="A4607" s="562" t="s">
        <v>9937</v>
      </c>
      <c r="B4607" s="563" t="s">
        <v>9938</v>
      </c>
      <c r="C4607" s="564" t="s">
        <v>1612</v>
      </c>
      <c r="D4607" s="565">
        <v>40130</v>
      </c>
      <c r="E4607" s="565">
        <v>40137</v>
      </c>
      <c r="F4607" s="566">
        <v>40000</v>
      </c>
      <c r="G4607" s="564" t="s">
        <v>297</v>
      </c>
      <c r="H4607" s="564"/>
      <c r="I4607" s="564" t="s">
        <v>802</v>
      </c>
      <c r="J4607" s="564" t="s">
        <v>1069</v>
      </c>
      <c r="K4607" s="564" t="s">
        <v>1198</v>
      </c>
      <c r="L4607" s="564" t="s">
        <v>2098</v>
      </c>
      <c r="M4607" s="564" t="s">
        <v>2098</v>
      </c>
      <c r="N4607" s="564" t="s">
        <v>132</v>
      </c>
      <c r="O4607" s="564" t="s">
        <v>2099</v>
      </c>
      <c r="P4607" s="23"/>
      <c r="Q4607" s="23"/>
      <c r="R4607" s="23"/>
      <c r="S4607" s="23"/>
      <c r="T4607" s="23"/>
      <c r="U4607" s="23"/>
      <c r="V4607" s="23"/>
      <c r="W4607" s="23"/>
      <c r="X4607" s="23"/>
      <c r="Y4607" s="23"/>
      <c r="Z4607" s="23"/>
    </row>
    <row r="4608" spans="1:26" ht="13">
      <c r="A4608" s="562" t="s">
        <v>9939</v>
      </c>
      <c r="B4608" s="563" t="s">
        <v>9940</v>
      </c>
      <c r="C4608" s="564" t="s">
        <v>1612</v>
      </c>
      <c r="D4608" s="565">
        <v>40133</v>
      </c>
      <c r="E4608" s="565">
        <v>40137</v>
      </c>
      <c r="F4608" s="566">
        <v>3260</v>
      </c>
      <c r="G4608" s="564" t="s">
        <v>297</v>
      </c>
      <c r="H4608" s="564"/>
      <c r="I4608" s="564" t="s">
        <v>70</v>
      </c>
      <c r="J4608" s="564" t="s">
        <v>1069</v>
      </c>
      <c r="K4608" s="564" t="s">
        <v>1120</v>
      </c>
      <c r="L4608" s="564" t="s">
        <v>2098</v>
      </c>
      <c r="M4608" s="564" t="s">
        <v>2098</v>
      </c>
      <c r="N4608" s="564" t="s">
        <v>70</v>
      </c>
      <c r="O4608" s="564" t="s">
        <v>2099</v>
      </c>
      <c r="P4608" s="23"/>
      <c r="Q4608" s="23"/>
      <c r="R4608" s="23"/>
      <c r="S4608" s="23"/>
      <c r="T4608" s="23"/>
      <c r="U4608" s="23"/>
      <c r="V4608" s="23"/>
      <c r="W4608" s="23"/>
      <c r="X4608" s="23"/>
      <c r="Y4608" s="23"/>
      <c r="Z4608" s="23"/>
    </row>
    <row r="4609" spans="1:26" ht="13">
      <c r="A4609" s="562" t="s">
        <v>9941</v>
      </c>
      <c r="B4609" s="563" t="s">
        <v>9942</v>
      </c>
      <c r="C4609" s="564" t="s">
        <v>1612</v>
      </c>
      <c r="D4609" s="565">
        <v>40127</v>
      </c>
      <c r="E4609" s="565">
        <v>40135</v>
      </c>
      <c r="F4609" s="566">
        <v>2255</v>
      </c>
      <c r="G4609" s="564" t="s">
        <v>297</v>
      </c>
      <c r="H4609" s="564"/>
      <c r="I4609" s="564" t="s">
        <v>70</v>
      </c>
      <c r="J4609" s="564" t="s">
        <v>1069</v>
      </c>
      <c r="K4609" s="564" t="s">
        <v>1120</v>
      </c>
      <c r="L4609" s="564" t="s">
        <v>2098</v>
      </c>
      <c r="M4609" s="564" t="s">
        <v>2098</v>
      </c>
      <c r="N4609" s="564" t="s">
        <v>70</v>
      </c>
      <c r="O4609" s="564" t="s">
        <v>2099</v>
      </c>
      <c r="P4609" s="23"/>
      <c r="Q4609" s="23"/>
      <c r="R4609" s="23"/>
      <c r="S4609" s="23"/>
      <c r="T4609" s="23"/>
      <c r="U4609" s="23"/>
      <c r="V4609" s="23"/>
      <c r="W4609" s="23"/>
      <c r="X4609" s="23"/>
      <c r="Y4609" s="23"/>
      <c r="Z4609" s="23"/>
    </row>
    <row r="4610" spans="1:26" ht="13">
      <c r="A4610" s="562" t="s">
        <v>9943</v>
      </c>
      <c r="B4610" s="563" t="s">
        <v>9944</v>
      </c>
      <c r="C4610" s="564" t="s">
        <v>1873</v>
      </c>
      <c r="D4610" s="565">
        <v>40127</v>
      </c>
      <c r="E4610" s="565">
        <v>40137</v>
      </c>
      <c r="F4610" s="566">
        <v>1722</v>
      </c>
      <c r="G4610" s="564" t="s">
        <v>297</v>
      </c>
      <c r="H4610" s="564"/>
      <c r="I4610" s="564" t="s">
        <v>170</v>
      </c>
      <c r="J4610" s="564" t="s">
        <v>1069</v>
      </c>
      <c r="K4610" s="564" t="s">
        <v>1105</v>
      </c>
      <c r="L4610" s="564" t="s">
        <v>2098</v>
      </c>
      <c r="M4610" s="564" t="s">
        <v>2098</v>
      </c>
      <c r="N4610" s="564" t="s">
        <v>170</v>
      </c>
      <c r="O4610" s="564" t="s">
        <v>2099</v>
      </c>
      <c r="P4610" s="23"/>
      <c r="Q4610" s="23"/>
      <c r="R4610" s="23"/>
      <c r="S4610" s="23"/>
      <c r="T4610" s="23"/>
      <c r="U4610" s="23"/>
      <c r="V4610" s="23"/>
      <c r="W4610" s="23"/>
      <c r="X4610" s="23"/>
      <c r="Y4610" s="23"/>
      <c r="Z4610" s="23"/>
    </row>
    <row r="4611" spans="1:26" ht="13">
      <c r="A4611" s="562" t="s">
        <v>9945</v>
      </c>
      <c r="B4611" s="563" t="s">
        <v>9821</v>
      </c>
      <c r="C4611" s="564" t="s">
        <v>2191</v>
      </c>
      <c r="D4611" s="565">
        <v>40123</v>
      </c>
      <c r="E4611" s="565">
        <v>40141</v>
      </c>
      <c r="F4611" s="566">
        <v>18000</v>
      </c>
      <c r="G4611" s="564" t="s">
        <v>1636</v>
      </c>
      <c r="H4611" s="564"/>
      <c r="I4611" s="564" t="s">
        <v>9946</v>
      </c>
      <c r="J4611" s="564" t="s">
        <v>1069</v>
      </c>
      <c r="K4611" s="564" t="s">
        <v>1070</v>
      </c>
      <c r="L4611" s="564" t="s">
        <v>2098</v>
      </c>
      <c r="M4611" s="564" t="s">
        <v>2098</v>
      </c>
      <c r="N4611" s="564" t="s">
        <v>1082</v>
      </c>
      <c r="O4611" s="564" t="s">
        <v>2099</v>
      </c>
      <c r="P4611" s="23"/>
      <c r="Q4611" s="23"/>
      <c r="R4611" s="23"/>
      <c r="S4611" s="23"/>
      <c r="T4611" s="23"/>
      <c r="U4611" s="23"/>
      <c r="V4611" s="23"/>
      <c r="W4611" s="23"/>
      <c r="X4611" s="23"/>
      <c r="Y4611" s="23"/>
      <c r="Z4611" s="23"/>
    </row>
    <row r="4612" spans="1:26" ht="13">
      <c r="A4612" s="562" t="s">
        <v>9947</v>
      </c>
      <c r="B4612" s="563" t="s">
        <v>9948</v>
      </c>
      <c r="C4612" s="564" t="s">
        <v>1612</v>
      </c>
      <c r="D4612" s="565">
        <v>40120</v>
      </c>
      <c r="E4612" s="565">
        <v>40128</v>
      </c>
      <c r="F4612" s="566">
        <v>3260</v>
      </c>
      <c r="G4612" s="564" t="s">
        <v>297</v>
      </c>
      <c r="H4612" s="564"/>
      <c r="I4612" s="564" t="s">
        <v>70</v>
      </c>
      <c r="J4612" s="564" t="s">
        <v>1069</v>
      </c>
      <c r="K4612" s="564" t="s">
        <v>1120</v>
      </c>
      <c r="L4612" s="564" t="s">
        <v>2098</v>
      </c>
      <c r="M4612" s="564" t="s">
        <v>2098</v>
      </c>
      <c r="N4612" s="564" t="s">
        <v>70</v>
      </c>
      <c r="O4612" s="564" t="s">
        <v>2099</v>
      </c>
      <c r="P4612" s="23"/>
      <c r="Q4612" s="23"/>
      <c r="R4612" s="23"/>
      <c r="S4612" s="23"/>
      <c r="T4612" s="23"/>
      <c r="U4612" s="23"/>
      <c r="V4612" s="23"/>
      <c r="W4612" s="23"/>
      <c r="X4612" s="23"/>
      <c r="Y4612" s="23"/>
      <c r="Z4612" s="23"/>
    </row>
    <row r="4613" spans="1:26" ht="13">
      <c r="A4613" s="562" t="s">
        <v>9949</v>
      </c>
      <c r="B4613" s="563" t="s">
        <v>9950</v>
      </c>
      <c r="C4613" s="564" t="s">
        <v>1612</v>
      </c>
      <c r="D4613" s="565">
        <v>40122</v>
      </c>
      <c r="E4613" s="565">
        <v>40130</v>
      </c>
      <c r="F4613" s="566">
        <v>27160</v>
      </c>
      <c r="G4613" s="564" t="s">
        <v>297</v>
      </c>
      <c r="H4613" s="564"/>
      <c r="I4613" s="564" t="s">
        <v>802</v>
      </c>
      <c r="J4613" s="564" t="s">
        <v>1069</v>
      </c>
      <c r="K4613" s="564" t="s">
        <v>1198</v>
      </c>
      <c r="L4613" s="564" t="s">
        <v>2098</v>
      </c>
      <c r="M4613" s="564" t="s">
        <v>2098</v>
      </c>
      <c r="N4613" s="564" t="s">
        <v>132</v>
      </c>
      <c r="O4613" s="564" t="s">
        <v>2099</v>
      </c>
      <c r="P4613" s="23"/>
      <c r="Q4613" s="23"/>
      <c r="R4613" s="23"/>
      <c r="S4613" s="23"/>
      <c r="T4613" s="23"/>
      <c r="U4613" s="23"/>
      <c r="V4613" s="23"/>
      <c r="W4613" s="23"/>
      <c r="X4613" s="23"/>
      <c r="Y4613" s="23"/>
      <c r="Z4613" s="23"/>
    </row>
    <row r="4614" spans="1:26" ht="13">
      <c r="A4614" s="562" t="s">
        <v>9951</v>
      </c>
      <c r="B4614" s="563" t="s">
        <v>9952</v>
      </c>
      <c r="C4614" s="564" t="s">
        <v>2191</v>
      </c>
      <c r="D4614" s="565">
        <v>40119</v>
      </c>
      <c r="E4614" s="565">
        <v>40130</v>
      </c>
      <c r="F4614" s="566">
        <v>8090909</v>
      </c>
      <c r="G4614" s="564" t="s">
        <v>1912</v>
      </c>
      <c r="H4614" s="564"/>
      <c r="I4614" s="564" t="s">
        <v>8659</v>
      </c>
      <c r="J4614" s="564" t="s">
        <v>1069</v>
      </c>
      <c r="K4614" s="564" t="s">
        <v>1205</v>
      </c>
      <c r="L4614" s="564" t="s">
        <v>2098</v>
      </c>
      <c r="M4614" s="564" t="s">
        <v>2098</v>
      </c>
      <c r="N4614" s="564" t="s">
        <v>1073</v>
      </c>
      <c r="O4614" s="564" t="s">
        <v>2099</v>
      </c>
      <c r="P4614" s="23"/>
      <c r="Q4614" s="23"/>
      <c r="R4614" s="23"/>
      <c r="S4614" s="23"/>
      <c r="T4614" s="23"/>
      <c r="U4614" s="23"/>
      <c r="V4614" s="23"/>
      <c r="W4614" s="23"/>
      <c r="X4614" s="23"/>
      <c r="Y4614" s="23"/>
      <c r="Z4614" s="23"/>
    </row>
    <row r="4615" spans="1:26" ht="13">
      <c r="A4615" s="562" t="s">
        <v>9953</v>
      </c>
      <c r="B4615" s="563" t="s">
        <v>9954</v>
      </c>
      <c r="C4615" s="564" t="s">
        <v>1612</v>
      </c>
      <c r="D4615" s="565">
        <v>40116</v>
      </c>
      <c r="E4615" s="565">
        <v>40130</v>
      </c>
      <c r="F4615" s="566">
        <v>3030</v>
      </c>
      <c r="G4615" s="564" t="s">
        <v>297</v>
      </c>
      <c r="H4615" s="564"/>
      <c r="I4615" s="564" t="s">
        <v>64</v>
      </c>
      <c r="J4615" s="564" t="s">
        <v>1069</v>
      </c>
      <c r="K4615" s="564" t="s">
        <v>1090</v>
      </c>
      <c r="L4615" s="564" t="s">
        <v>2098</v>
      </c>
      <c r="M4615" s="564" t="s">
        <v>2098</v>
      </c>
      <c r="N4615" s="564" t="s">
        <v>64</v>
      </c>
      <c r="O4615" s="564" t="s">
        <v>2099</v>
      </c>
      <c r="P4615" s="23"/>
      <c r="Q4615" s="23"/>
      <c r="R4615" s="23"/>
      <c r="S4615" s="23"/>
      <c r="T4615" s="23"/>
      <c r="U4615" s="23"/>
      <c r="V4615" s="23"/>
      <c r="W4615" s="23"/>
      <c r="X4615" s="23"/>
      <c r="Y4615" s="23"/>
      <c r="Z4615" s="23"/>
    </row>
    <row r="4616" spans="1:26" ht="13">
      <c r="A4616" s="562" t="s">
        <v>9955</v>
      </c>
      <c r="B4616" s="563" t="s">
        <v>9956</v>
      </c>
      <c r="C4616" s="564" t="s">
        <v>1612</v>
      </c>
      <c r="D4616" s="565">
        <v>40114</v>
      </c>
      <c r="E4616" s="565">
        <v>40123</v>
      </c>
      <c r="F4616" s="566">
        <v>4075</v>
      </c>
      <c r="G4616" s="564" t="s">
        <v>297</v>
      </c>
      <c r="H4616" s="564"/>
      <c r="I4616" s="564" t="s">
        <v>70</v>
      </c>
      <c r="J4616" s="564" t="s">
        <v>1069</v>
      </c>
      <c r="K4616" s="564" t="s">
        <v>1120</v>
      </c>
      <c r="L4616" s="564" t="s">
        <v>2098</v>
      </c>
      <c r="M4616" s="564" t="s">
        <v>2098</v>
      </c>
      <c r="N4616" s="564" t="s">
        <v>70</v>
      </c>
      <c r="O4616" s="564" t="s">
        <v>2099</v>
      </c>
      <c r="P4616" s="23"/>
      <c r="Q4616" s="23"/>
      <c r="R4616" s="23"/>
      <c r="S4616" s="23"/>
      <c r="T4616" s="23"/>
      <c r="U4616" s="23"/>
      <c r="V4616" s="23"/>
      <c r="W4616" s="23"/>
      <c r="X4616" s="23"/>
      <c r="Y4616" s="23"/>
      <c r="Z4616" s="23"/>
    </row>
    <row r="4617" spans="1:26" ht="13">
      <c r="A4617" s="562" t="s">
        <v>9957</v>
      </c>
      <c r="B4617" s="563" t="s">
        <v>9958</v>
      </c>
      <c r="C4617" s="564" t="s">
        <v>2191</v>
      </c>
      <c r="D4617" s="565">
        <v>40113</v>
      </c>
      <c r="E4617" s="565">
        <v>40133</v>
      </c>
      <c r="F4617" s="566">
        <v>13200</v>
      </c>
      <c r="G4617" s="564" t="s">
        <v>1636</v>
      </c>
      <c r="H4617" s="564"/>
      <c r="I4617" s="564" t="s">
        <v>9631</v>
      </c>
      <c r="J4617" s="564" t="s">
        <v>1069</v>
      </c>
      <c r="K4617" s="564" t="s">
        <v>1070</v>
      </c>
      <c r="L4617" s="564" t="s">
        <v>2098</v>
      </c>
      <c r="M4617" s="564" t="s">
        <v>2098</v>
      </c>
      <c r="N4617" s="564" t="s">
        <v>1082</v>
      </c>
      <c r="O4617" s="564" t="s">
        <v>2099</v>
      </c>
      <c r="P4617" s="23"/>
      <c r="Q4617" s="23"/>
      <c r="R4617" s="23"/>
      <c r="S4617" s="23"/>
      <c r="T4617" s="23"/>
      <c r="U4617" s="23"/>
      <c r="V4617" s="23"/>
      <c r="W4617" s="23"/>
      <c r="X4617" s="23"/>
      <c r="Y4617" s="23"/>
      <c r="Z4617" s="23"/>
    </row>
    <row r="4618" spans="1:26" ht="13">
      <c r="A4618" s="562" t="s">
        <v>9959</v>
      </c>
      <c r="B4618" s="563" t="s">
        <v>9960</v>
      </c>
      <c r="C4618" s="564" t="s">
        <v>1612</v>
      </c>
      <c r="D4618" s="565">
        <v>40115</v>
      </c>
      <c r="E4618" s="565">
        <v>40123</v>
      </c>
      <c r="F4618" s="566">
        <v>21870</v>
      </c>
      <c r="G4618" s="564" t="s">
        <v>297</v>
      </c>
      <c r="H4618" s="564" t="s">
        <v>297</v>
      </c>
      <c r="I4618" s="564" t="s">
        <v>802</v>
      </c>
      <c r="J4618" s="564" t="s">
        <v>1069</v>
      </c>
      <c r="K4618" s="564" t="s">
        <v>1198</v>
      </c>
      <c r="L4618" s="564" t="s">
        <v>2098</v>
      </c>
      <c r="M4618" s="564" t="s">
        <v>2098</v>
      </c>
      <c r="N4618" s="564" t="s">
        <v>132</v>
      </c>
      <c r="O4618" s="564" t="s">
        <v>2099</v>
      </c>
      <c r="P4618" s="23"/>
      <c r="Q4618" s="23"/>
      <c r="R4618" s="23"/>
      <c r="S4618" s="23"/>
      <c r="T4618" s="23"/>
      <c r="U4618" s="23"/>
      <c r="V4618" s="23"/>
      <c r="W4618" s="23"/>
      <c r="X4618" s="23"/>
      <c r="Y4618" s="23"/>
      <c r="Z4618" s="23"/>
    </row>
    <row r="4619" spans="1:26" ht="13">
      <c r="A4619" s="562" t="s">
        <v>9961</v>
      </c>
      <c r="B4619" s="563" t="s">
        <v>9962</v>
      </c>
      <c r="C4619" s="564" t="s">
        <v>1612</v>
      </c>
      <c r="D4619" s="565">
        <v>40108</v>
      </c>
      <c r="E4619" s="565">
        <v>40086</v>
      </c>
      <c r="F4619" s="567">
        <v>760</v>
      </c>
      <c r="G4619" s="564" t="s">
        <v>297</v>
      </c>
      <c r="H4619" s="564"/>
      <c r="I4619" s="564" t="s">
        <v>2073</v>
      </c>
      <c r="J4619" s="564" t="s">
        <v>1069</v>
      </c>
      <c r="K4619" s="564" t="s">
        <v>1105</v>
      </c>
      <c r="L4619" s="564" t="s">
        <v>2098</v>
      </c>
      <c r="M4619" s="564" t="s">
        <v>2098</v>
      </c>
      <c r="N4619" s="564" t="s">
        <v>225</v>
      </c>
      <c r="O4619" s="564" t="s">
        <v>2099</v>
      </c>
      <c r="P4619" s="23"/>
      <c r="Q4619" s="23"/>
      <c r="R4619" s="23"/>
      <c r="S4619" s="23"/>
      <c r="T4619" s="23"/>
      <c r="U4619" s="23"/>
      <c r="V4619" s="23"/>
      <c r="W4619" s="23"/>
      <c r="X4619" s="23"/>
      <c r="Y4619" s="23"/>
      <c r="Z4619" s="23"/>
    </row>
    <row r="4620" spans="1:26" ht="13">
      <c r="A4620" s="562" t="s">
        <v>9963</v>
      </c>
      <c r="B4620" s="563" t="s">
        <v>9964</v>
      </c>
      <c r="C4620" s="564" t="s">
        <v>1612</v>
      </c>
      <c r="D4620" s="565">
        <v>40107</v>
      </c>
      <c r="E4620" s="565">
        <v>40112</v>
      </c>
      <c r="F4620" s="566">
        <v>5000</v>
      </c>
      <c r="G4620" s="564" t="s">
        <v>297</v>
      </c>
      <c r="H4620" s="564"/>
      <c r="I4620" s="564" t="s">
        <v>45</v>
      </c>
      <c r="J4620" s="564" t="s">
        <v>1069</v>
      </c>
      <c r="K4620" s="564" t="s">
        <v>1090</v>
      </c>
      <c r="L4620" s="564" t="s">
        <v>2098</v>
      </c>
      <c r="M4620" s="564" t="s">
        <v>2098</v>
      </c>
      <c r="N4620" s="564" t="s">
        <v>45</v>
      </c>
      <c r="O4620" s="564" t="s">
        <v>2099</v>
      </c>
      <c r="P4620" s="23"/>
      <c r="Q4620" s="23"/>
      <c r="R4620" s="23"/>
      <c r="S4620" s="23"/>
      <c r="T4620" s="23"/>
      <c r="U4620" s="23"/>
      <c r="V4620" s="23"/>
      <c r="W4620" s="23"/>
      <c r="X4620" s="23"/>
      <c r="Y4620" s="23"/>
      <c r="Z4620" s="23"/>
    </row>
    <row r="4621" spans="1:26" ht="13">
      <c r="A4621" s="562" t="s">
        <v>9965</v>
      </c>
      <c r="B4621" s="563" t="s">
        <v>9966</v>
      </c>
      <c r="C4621" s="564" t="s">
        <v>1612</v>
      </c>
      <c r="D4621" s="565">
        <v>40100</v>
      </c>
      <c r="E4621" s="565">
        <v>40109</v>
      </c>
      <c r="F4621" s="566">
        <v>4900000</v>
      </c>
      <c r="G4621" s="564" t="s">
        <v>1912</v>
      </c>
      <c r="H4621" s="564"/>
      <c r="I4621" s="564" t="s">
        <v>257</v>
      </c>
      <c r="J4621" s="564" t="s">
        <v>1069</v>
      </c>
      <c r="K4621" s="564" t="s">
        <v>1209</v>
      </c>
      <c r="L4621" s="564" t="s">
        <v>2098</v>
      </c>
      <c r="M4621" s="564" t="s">
        <v>2098</v>
      </c>
      <c r="N4621" s="564" t="s">
        <v>257</v>
      </c>
      <c r="O4621" s="564" t="s">
        <v>2099</v>
      </c>
      <c r="P4621" s="23"/>
      <c r="Q4621" s="23"/>
      <c r="R4621" s="23"/>
      <c r="S4621" s="23"/>
      <c r="T4621" s="23"/>
      <c r="U4621" s="23"/>
      <c r="V4621" s="23"/>
      <c r="W4621" s="23"/>
      <c r="X4621" s="23"/>
      <c r="Y4621" s="23"/>
      <c r="Z4621" s="23"/>
    </row>
    <row r="4622" spans="1:26" ht="13">
      <c r="A4622" s="562" t="s">
        <v>9967</v>
      </c>
      <c r="B4622" s="563" t="s">
        <v>9968</v>
      </c>
      <c r="C4622" s="564" t="s">
        <v>1612</v>
      </c>
      <c r="D4622" s="565">
        <v>40100</v>
      </c>
      <c r="E4622" s="565">
        <v>40106</v>
      </c>
      <c r="F4622" s="566">
        <v>5935</v>
      </c>
      <c r="G4622" s="564" t="s">
        <v>297</v>
      </c>
      <c r="H4622" s="564"/>
      <c r="I4622" s="564" t="s">
        <v>70</v>
      </c>
      <c r="J4622" s="564" t="s">
        <v>1069</v>
      </c>
      <c r="K4622" s="564" t="s">
        <v>1120</v>
      </c>
      <c r="L4622" s="564" t="s">
        <v>2098</v>
      </c>
      <c r="M4622" s="564" t="s">
        <v>2098</v>
      </c>
      <c r="N4622" s="564" t="s">
        <v>70</v>
      </c>
      <c r="O4622" s="564" t="s">
        <v>2099</v>
      </c>
      <c r="P4622" s="23"/>
      <c r="Q4622" s="23"/>
      <c r="R4622" s="23"/>
      <c r="S4622" s="23"/>
      <c r="T4622" s="23"/>
      <c r="U4622" s="23"/>
      <c r="V4622" s="23"/>
      <c r="W4622" s="23"/>
      <c r="X4622" s="23"/>
      <c r="Y4622" s="23"/>
      <c r="Z4622" s="23"/>
    </row>
    <row r="4623" spans="1:26" ht="13">
      <c r="A4623" s="562" t="s">
        <v>9969</v>
      </c>
      <c r="B4623" s="563" t="s">
        <v>9970</v>
      </c>
      <c r="C4623" s="564" t="s">
        <v>1612</v>
      </c>
      <c r="D4623" s="565">
        <v>40100</v>
      </c>
      <c r="E4623" s="565">
        <v>40117</v>
      </c>
      <c r="F4623" s="566">
        <v>38577273</v>
      </c>
      <c r="G4623" s="564" t="s">
        <v>297</v>
      </c>
      <c r="H4623" s="564" t="s">
        <v>297</v>
      </c>
      <c r="I4623" s="564" t="s">
        <v>802</v>
      </c>
      <c r="J4623" s="564" t="s">
        <v>1069</v>
      </c>
      <c r="K4623" s="564" t="s">
        <v>1198</v>
      </c>
      <c r="L4623" s="564" t="s">
        <v>2098</v>
      </c>
      <c r="M4623" s="564" t="s">
        <v>2098</v>
      </c>
      <c r="N4623" s="564" t="s">
        <v>132</v>
      </c>
      <c r="O4623" s="564" t="s">
        <v>2099</v>
      </c>
      <c r="P4623" s="23"/>
      <c r="Q4623" s="23"/>
      <c r="R4623" s="23"/>
      <c r="S4623" s="23"/>
      <c r="T4623" s="23"/>
      <c r="U4623" s="23"/>
      <c r="V4623" s="23"/>
      <c r="W4623" s="23"/>
      <c r="X4623" s="23"/>
      <c r="Y4623" s="23"/>
      <c r="Z4623" s="23"/>
    </row>
    <row r="4624" spans="1:26" ht="13">
      <c r="A4624" s="562" t="s">
        <v>9971</v>
      </c>
      <c r="B4624" s="563" t="s">
        <v>9972</v>
      </c>
      <c r="C4624" s="564" t="s">
        <v>1612</v>
      </c>
      <c r="D4624" s="565">
        <v>40093</v>
      </c>
      <c r="E4624" s="565">
        <v>40107</v>
      </c>
      <c r="F4624" s="566">
        <v>1750</v>
      </c>
      <c r="G4624" s="564" t="s">
        <v>297</v>
      </c>
      <c r="H4624" s="564"/>
      <c r="I4624" s="564" t="s">
        <v>64</v>
      </c>
      <c r="J4624" s="564" t="s">
        <v>1069</v>
      </c>
      <c r="K4624" s="564" t="s">
        <v>1090</v>
      </c>
      <c r="L4624" s="564" t="s">
        <v>2098</v>
      </c>
      <c r="M4624" s="564" t="s">
        <v>2098</v>
      </c>
      <c r="N4624" s="564" t="s">
        <v>64</v>
      </c>
      <c r="O4624" s="564" t="s">
        <v>2099</v>
      </c>
      <c r="P4624" s="23"/>
      <c r="Q4624" s="23"/>
      <c r="R4624" s="23"/>
      <c r="S4624" s="23"/>
      <c r="T4624" s="23"/>
      <c r="U4624" s="23"/>
      <c r="V4624" s="23"/>
      <c r="W4624" s="23"/>
      <c r="X4624" s="23"/>
      <c r="Y4624" s="23"/>
      <c r="Z4624" s="23"/>
    </row>
    <row r="4625" spans="1:26" ht="13">
      <c r="A4625" s="562" t="s">
        <v>9973</v>
      </c>
      <c r="B4625" s="563" t="s">
        <v>9974</v>
      </c>
      <c r="C4625" s="564" t="s">
        <v>1612</v>
      </c>
      <c r="D4625" s="565">
        <v>40094</v>
      </c>
      <c r="E4625" s="565">
        <v>40102</v>
      </c>
      <c r="F4625" s="566">
        <v>2900000</v>
      </c>
      <c r="G4625" s="564" t="s">
        <v>1912</v>
      </c>
      <c r="H4625" s="564"/>
      <c r="I4625" s="564" t="s">
        <v>64</v>
      </c>
      <c r="J4625" s="564" t="s">
        <v>1069</v>
      </c>
      <c r="K4625" s="564" t="s">
        <v>1090</v>
      </c>
      <c r="L4625" s="564" t="s">
        <v>2098</v>
      </c>
      <c r="M4625" s="564" t="s">
        <v>2098</v>
      </c>
      <c r="N4625" s="564" t="s">
        <v>64</v>
      </c>
      <c r="O4625" s="564" t="s">
        <v>2099</v>
      </c>
      <c r="P4625" s="23"/>
      <c r="Q4625" s="23"/>
      <c r="R4625" s="23"/>
      <c r="S4625" s="23"/>
      <c r="T4625" s="23"/>
      <c r="U4625" s="23"/>
      <c r="V4625" s="23"/>
      <c r="W4625" s="23"/>
      <c r="X4625" s="23"/>
      <c r="Y4625" s="23"/>
      <c r="Z4625" s="23"/>
    </row>
    <row r="4626" spans="1:26" ht="13">
      <c r="A4626" s="562" t="s">
        <v>9975</v>
      </c>
      <c r="B4626" s="563" t="s">
        <v>9976</v>
      </c>
      <c r="C4626" s="564" t="s">
        <v>1612</v>
      </c>
      <c r="D4626" s="565">
        <v>40079</v>
      </c>
      <c r="E4626" s="565">
        <v>40117</v>
      </c>
      <c r="F4626" s="566">
        <v>2480985</v>
      </c>
      <c r="G4626" s="564" t="s">
        <v>1856</v>
      </c>
      <c r="H4626" s="564"/>
      <c r="I4626" s="564" t="s">
        <v>45</v>
      </c>
      <c r="J4626" s="564" t="s">
        <v>1069</v>
      </c>
      <c r="K4626" s="564" t="s">
        <v>1090</v>
      </c>
      <c r="L4626" s="564" t="s">
        <v>2098</v>
      </c>
      <c r="M4626" s="564" t="s">
        <v>2098</v>
      </c>
      <c r="N4626" s="564" t="s">
        <v>45</v>
      </c>
      <c r="O4626" s="564" t="s">
        <v>2099</v>
      </c>
      <c r="P4626" s="23"/>
      <c r="Q4626" s="23"/>
      <c r="R4626" s="23"/>
      <c r="S4626" s="23"/>
      <c r="T4626" s="23"/>
      <c r="U4626" s="23"/>
      <c r="V4626" s="23"/>
      <c r="W4626" s="23"/>
      <c r="X4626" s="23"/>
      <c r="Y4626" s="23"/>
      <c r="Z4626" s="23"/>
    </row>
    <row r="4627" spans="1:26" ht="13">
      <c r="A4627" s="562" t="s">
        <v>9977</v>
      </c>
      <c r="B4627" s="563" t="s">
        <v>9978</v>
      </c>
      <c r="C4627" s="564" t="s">
        <v>1873</v>
      </c>
      <c r="D4627" s="565">
        <v>40078</v>
      </c>
      <c r="E4627" s="565">
        <v>40086</v>
      </c>
      <c r="F4627" s="566">
        <v>14800</v>
      </c>
      <c r="G4627" s="564" t="s">
        <v>297</v>
      </c>
      <c r="H4627" s="564"/>
      <c r="I4627" s="564" t="s">
        <v>170</v>
      </c>
      <c r="J4627" s="564" t="s">
        <v>1069</v>
      </c>
      <c r="K4627" s="564" t="s">
        <v>1105</v>
      </c>
      <c r="L4627" s="564" t="s">
        <v>2098</v>
      </c>
      <c r="M4627" s="564" t="s">
        <v>2098</v>
      </c>
      <c r="N4627" s="564" t="s">
        <v>170</v>
      </c>
      <c r="O4627" s="564" t="s">
        <v>2099</v>
      </c>
      <c r="P4627" s="23"/>
      <c r="Q4627" s="23"/>
      <c r="R4627" s="23"/>
      <c r="S4627" s="23"/>
      <c r="T4627" s="23"/>
      <c r="U4627" s="23"/>
      <c r="V4627" s="23"/>
      <c r="W4627" s="23"/>
      <c r="X4627" s="23"/>
      <c r="Y4627" s="23"/>
      <c r="Z4627" s="23"/>
    </row>
    <row r="4628" spans="1:26" ht="13">
      <c r="A4628" s="562" t="s">
        <v>9979</v>
      </c>
      <c r="B4628" s="563" t="s">
        <v>9980</v>
      </c>
      <c r="C4628" s="564" t="s">
        <v>2191</v>
      </c>
      <c r="D4628" s="565">
        <v>40074</v>
      </c>
      <c r="E4628" s="565">
        <v>40086</v>
      </c>
      <c r="F4628" s="566">
        <v>1350</v>
      </c>
      <c r="G4628" s="564" t="s">
        <v>297</v>
      </c>
      <c r="H4628" s="564"/>
      <c r="I4628" s="564" t="s">
        <v>9981</v>
      </c>
      <c r="J4628" s="564" t="s">
        <v>1069</v>
      </c>
      <c r="K4628" s="564" t="s">
        <v>1105</v>
      </c>
      <c r="L4628" s="564" t="s">
        <v>2098</v>
      </c>
      <c r="M4628" s="564" t="s">
        <v>2098</v>
      </c>
      <c r="N4628" s="564" t="s">
        <v>1082</v>
      </c>
      <c r="O4628" s="564" t="s">
        <v>2099</v>
      </c>
      <c r="P4628" s="23"/>
      <c r="Q4628" s="23"/>
      <c r="R4628" s="23"/>
      <c r="S4628" s="23"/>
      <c r="T4628" s="23"/>
      <c r="U4628" s="23"/>
      <c r="V4628" s="23"/>
      <c r="W4628" s="23"/>
      <c r="X4628" s="23"/>
      <c r="Y4628" s="23"/>
      <c r="Z4628" s="23"/>
    </row>
    <row r="4629" spans="1:26" ht="13">
      <c r="A4629" s="562" t="s">
        <v>9982</v>
      </c>
      <c r="B4629" s="563" t="s">
        <v>9983</v>
      </c>
      <c r="C4629" s="564" t="s">
        <v>2191</v>
      </c>
      <c r="D4629" s="565">
        <v>40073</v>
      </c>
      <c r="E4629" s="565">
        <v>40074</v>
      </c>
      <c r="F4629" s="566">
        <v>32300000</v>
      </c>
      <c r="G4629" s="564" t="s">
        <v>1912</v>
      </c>
      <c r="H4629" s="564"/>
      <c r="I4629" s="564" t="s">
        <v>8659</v>
      </c>
      <c r="J4629" s="564" t="s">
        <v>1069</v>
      </c>
      <c r="K4629" s="564" t="s">
        <v>1205</v>
      </c>
      <c r="L4629" s="564" t="s">
        <v>2098</v>
      </c>
      <c r="M4629" s="564" t="s">
        <v>2098</v>
      </c>
      <c r="N4629" s="564" t="s">
        <v>1073</v>
      </c>
      <c r="O4629" s="564" t="s">
        <v>2099</v>
      </c>
      <c r="P4629" s="23"/>
      <c r="Q4629" s="23"/>
      <c r="R4629" s="23"/>
      <c r="S4629" s="23"/>
      <c r="T4629" s="23"/>
      <c r="U4629" s="23"/>
      <c r="V4629" s="23"/>
      <c r="W4629" s="23"/>
      <c r="X4629" s="23"/>
      <c r="Y4629" s="23"/>
      <c r="Z4629" s="23"/>
    </row>
    <row r="4630" spans="1:26" ht="13">
      <c r="A4630" s="562" t="s">
        <v>9984</v>
      </c>
      <c r="B4630" s="563" t="s">
        <v>9985</v>
      </c>
      <c r="C4630" s="564" t="s">
        <v>1612</v>
      </c>
      <c r="D4630" s="565">
        <v>40067</v>
      </c>
      <c r="E4630" s="565">
        <v>40079</v>
      </c>
      <c r="F4630" s="566">
        <v>24615</v>
      </c>
      <c r="G4630" s="564" t="s">
        <v>297</v>
      </c>
      <c r="H4630" s="564"/>
      <c r="I4630" s="564" t="s">
        <v>802</v>
      </c>
      <c r="J4630" s="564" t="s">
        <v>1069</v>
      </c>
      <c r="K4630" s="564" t="s">
        <v>1198</v>
      </c>
      <c r="L4630" s="564" t="s">
        <v>2098</v>
      </c>
      <c r="M4630" s="564" t="s">
        <v>2098</v>
      </c>
      <c r="N4630" s="564" t="s">
        <v>132</v>
      </c>
      <c r="O4630" s="564" t="s">
        <v>2099</v>
      </c>
      <c r="P4630" s="23"/>
      <c r="Q4630" s="23"/>
      <c r="R4630" s="23"/>
      <c r="S4630" s="23"/>
      <c r="T4630" s="23"/>
      <c r="U4630" s="23"/>
      <c r="V4630" s="23"/>
      <c r="W4630" s="23"/>
      <c r="X4630" s="23"/>
      <c r="Y4630" s="23"/>
      <c r="Z4630" s="23"/>
    </row>
    <row r="4631" spans="1:26" ht="13">
      <c r="A4631" s="562" t="s">
        <v>9986</v>
      </c>
      <c r="B4631" s="563" t="s">
        <v>9987</v>
      </c>
      <c r="C4631" s="564" t="s">
        <v>1612</v>
      </c>
      <c r="D4631" s="565">
        <v>40068</v>
      </c>
      <c r="E4631" s="565">
        <v>40074</v>
      </c>
      <c r="F4631" s="566">
        <v>11869</v>
      </c>
      <c r="G4631" s="564" t="s">
        <v>297</v>
      </c>
      <c r="H4631" s="564"/>
      <c r="I4631" s="564" t="s">
        <v>7259</v>
      </c>
      <c r="J4631" s="564" t="s">
        <v>1069</v>
      </c>
      <c r="K4631" s="564" t="s">
        <v>1070</v>
      </c>
      <c r="L4631" s="564" t="s">
        <v>2098</v>
      </c>
      <c r="M4631" s="564" t="s">
        <v>2098</v>
      </c>
      <c r="N4631" s="564" t="s">
        <v>1082</v>
      </c>
      <c r="O4631" s="564" t="s">
        <v>2099</v>
      </c>
      <c r="P4631" s="23"/>
      <c r="Q4631" s="23"/>
      <c r="R4631" s="23"/>
      <c r="S4631" s="23"/>
      <c r="T4631" s="23"/>
      <c r="U4631" s="23"/>
      <c r="V4631" s="23"/>
      <c r="W4631" s="23"/>
      <c r="X4631" s="23"/>
      <c r="Y4631" s="23"/>
      <c r="Z4631" s="23"/>
    </row>
    <row r="4632" spans="1:26" ht="13">
      <c r="A4632" s="562" t="s">
        <v>9988</v>
      </c>
      <c r="B4632" s="563" t="s">
        <v>9989</v>
      </c>
      <c r="C4632" s="564" t="s">
        <v>1612</v>
      </c>
      <c r="D4632" s="565">
        <v>40063</v>
      </c>
      <c r="E4632" s="565">
        <v>40116</v>
      </c>
      <c r="F4632" s="566">
        <v>7121</v>
      </c>
      <c r="G4632" s="564" t="s">
        <v>297</v>
      </c>
      <c r="H4632" s="564"/>
      <c r="I4632" s="564" t="s">
        <v>64</v>
      </c>
      <c r="J4632" s="564" t="s">
        <v>1069</v>
      </c>
      <c r="K4632" s="564" t="s">
        <v>1090</v>
      </c>
      <c r="L4632" s="564" t="s">
        <v>2098</v>
      </c>
      <c r="M4632" s="564" t="s">
        <v>2098</v>
      </c>
      <c r="N4632" s="564" t="s">
        <v>64</v>
      </c>
      <c r="O4632" s="564" t="s">
        <v>2099</v>
      </c>
      <c r="P4632" s="23"/>
      <c r="Q4632" s="23"/>
      <c r="R4632" s="23"/>
      <c r="S4632" s="23"/>
      <c r="T4632" s="23"/>
      <c r="U4632" s="23"/>
      <c r="V4632" s="23"/>
      <c r="W4632" s="23"/>
      <c r="X4632" s="23"/>
      <c r="Y4632" s="23"/>
      <c r="Z4632" s="23"/>
    </row>
    <row r="4633" spans="1:26" ht="13">
      <c r="A4633" s="562" t="s">
        <v>9990</v>
      </c>
      <c r="B4633" s="563" t="s">
        <v>9991</v>
      </c>
      <c r="C4633" s="564" t="s">
        <v>1612</v>
      </c>
      <c r="D4633" s="565">
        <v>40060</v>
      </c>
      <c r="E4633" s="565">
        <v>40065</v>
      </c>
      <c r="F4633" s="566">
        <v>1630</v>
      </c>
      <c r="G4633" s="564" t="s">
        <v>297</v>
      </c>
      <c r="H4633" s="564"/>
      <c r="I4633" s="564" t="s">
        <v>70</v>
      </c>
      <c r="J4633" s="564" t="s">
        <v>1069</v>
      </c>
      <c r="K4633" s="564" t="s">
        <v>1120</v>
      </c>
      <c r="L4633" s="564" t="s">
        <v>2098</v>
      </c>
      <c r="M4633" s="564" t="s">
        <v>2098</v>
      </c>
      <c r="N4633" s="564" t="s">
        <v>70</v>
      </c>
      <c r="O4633" s="564" t="s">
        <v>2099</v>
      </c>
      <c r="P4633" s="23"/>
      <c r="Q4633" s="23"/>
      <c r="R4633" s="23"/>
      <c r="S4633" s="23"/>
      <c r="T4633" s="23"/>
      <c r="U4633" s="23"/>
      <c r="V4633" s="23"/>
      <c r="W4633" s="23"/>
      <c r="X4633" s="23"/>
      <c r="Y4633" s="23"/>
      <c r="Z4633" s="23"/>
    </row>
    <row r="4634" spans="1:26" ht="13">
      <c r="A4634" s="562" t="s">
        <v>9992</v>
      </c>
      <c r="B4634" s="563" t="s">
        <v>9993</v>
      </c>
      <c r="C4634" s="564" t="s">
        <v>1612</v>
      </c>
      <c r="D4634" s="565">
        <v>40059</v>
      </c>
      <c r="E4634" s="565">
        <v>40072</v>
      </c>
      <c r="F4634" s="566">
        <v>6532500</v>
      </c>
      <c r="G4634" s="564" t="s">
        <v>297</v>
      </c>
      <c r="H4634" s="564"/>
      <c r="I4634" s="564" t="s">
        <v>64</v>
      </c>
      <c r="J4634" s="564" t="s">
        <v>1069</v>
      </c>
      <c r="K4634" s="564" t="s">
        <v>1090</v>
      </c>
      <c r="L4634" s="564" t="s">
        <v>2098</v>
      </c>
      <c r="M4634" s="564" t="s">
        <v>2098</v>
      </c>
      <c r="N4634" s="564" t="s">
        <v>64</v>
      </c>
      <c r="O4634" s="564" t="s">
        <v>2099</v>
      </c>
      <c r="P4634" s="23"/>
      <c r="Q4634" s="23"/>
      <c r="R4634" s="23"/>
      <c r="S4634" s="23"/>
      <c r="T4634" s="23"/>
      <c r="U4634" s="23"/>
      <c r="V4634" s="23"/>
      <c r="W4634" s="23"/>
      <c r="X4634" s="23"/>
      <c r="Y4634" s="23"/>
      <c r="Z4634" s="23"/>
    </row>
    <row r="4635" spans="1:26" ht="13">
      <c r="A4635" s="562" t="s">
        <v>9994</v>
      </c>
      <c r="B4635" s="563" t="s">
        <v>9995</v>
      </c>
      <c r="C4635" s="564" t="s">
        <v>1612</v>
      </c>
      <c r="D4635" s="565">
        <v>40056</v>
      </c>
      <c r="E4635" s="565">
        <v>40067</v>
      </c>
      <c r="F4635" s="566">
        <v>3990</v>
      </c>
      <c r="G4635" s="564" t="s">
        <v>297</v>
      </c>
      <c r="H4635" s="564"/>
      <c r="I4635" s="564" t="s">
        <v>802</v>
      </c>
      <c r="J4635" s="564" t="s">
        <v>1069</v>
      </c>
      <c r="K4635" s="564" t="s">
        <v>1198</v>
      </c>
      <c r="L4635" s="564" t="s">
        <v>2098</v>
      </c>
      <c r="M4635" s="564" t="s">
        <v>2098</v>
      </c>
      <c r="N4635" s="564" t="s">
        <v>132</v>
      </c>
      <c r="O4635" s="564" t="s">
        <v>2099</v>
      </c>
      <c r="P4635" s="23"/>
      <c r="Q4635" s="23"/>
      <c r="R4635" s="23"/>
      <c r="S4635" s="23"/>
      <c r="T4635" s="23"/>
      <c r="U4635" s="23"/>
      <c r="V4635" s="23"/>
      <c r="W4635" s="23"/>
      <c r="X4635" s="23"/>
      <c r="Y4635" s="23"/>
      <c r="Z4635" s="23"/>
    </row>
    <row r="4636" spans="1:26" ht="13">
      <c r="A4636" s="562" t="s">
        <v>9996</v>
      </c>
      <c r="B4636" s="563" t="s">
        <v>9997</v>
      </c>
      <c r="C4636" s="564" t="s">
        <v>1612</v>
      </c>
      <c r="D4636" s="565">
        <v>40050</v>
      </c>
      <c r="E4636" s="565">
        <v>40060</v>
      </c>
      <c r="F4636" s="566">
        <v>4180</v>
      </c>
      <c r="G4636" s="564" t="s">
        <v>297</v>
      </c>
      <c r="H4636" s="564"/>
      <c r="I4636" s="564" t="s">
        <v>802</v>
      </c>
      <c r="J4636" s="564" t="s">
        <v>1069</v>
      </c>
      <c r="K4636" s="564" t="s">
        <v>1198</v>
      </c>
      <c r="L4636" s="564" t="s">
        <v>2098</v>
      </c>
      <c r="M4636" s="564" t="s">
        <v>2098</v>
      </c>
      <c r="N4636" s="564" t="s">
        <v>132</v>
      </c>
      <c r="O4636" s="564" t="s">
        <v>2099</v>
      </c>
      <c r="P4636" s="23"/>
      <c r="Q4636" s="23"/>
      <c r="R4636" s="23"/>
      <c r="S4636" s="23"/>
      <c r="T4636" s="23"/>
      <c r="U4636" s="23"/>
      <c r="V4636" s="23"/>
      <c r="W4636" s="23"/>
      <c r="X4636" s="23"/>
      <c r="Y4636" s="23"/>
      <c r="Z4636" s="23"/>
    </row>
    <row r="4637" spans="1:26" ht="13">
      <c r="A4637" s="562" t="s">
        <v>9998</v>
      </c>
      <c r="B4637" s="563" t="s">
        <v>9999</v>
      </c>
      <c r="C4637" s="564" t="s">
        <v>6860</v>
      </c>
      <c r="D4637" s="565">
        <v>40046</v>
      </c>
      <c r="E4637" s="565">
        <v>40147</v>
      </c>
      <c r="F4637" s="566">
        <v>300000000</v>
      </c>
      <c r="G4637" s="564" t="s">
        <v>1640</v>
      </c>
      <c r="H4637" s="564"/>
      <c r="I4637" s="564" t="s">
        <v>10000</v>
      </c>
      <c r="J4637" s="564" t="s">
        <v>1069</v>
      </c>
      <c r="K4637" s="564" t="s">
        <v>1070</v>
      </c>
      <c r="L4637" s="564" t="s">
        <v>2098</v>
      </c>
      <c r="M4637" s="564" t="s">
        <v>2098</v>
      </c>
      <c r="N4637" s="564" t="s">
        <v>1082</v>
      </c>
      <c r="O4637" s="564" t="s">
        <v>2099</v>
      </c>
      <c r="P4637" s="23"/>
      <c r="Q4637" s="23"/>
      <c r="R4637" s="23"/>
      <c r="S4637" s="23"/>
      <c r="T4637" s="23"/>
      <c r="U4637" s="23"/>
      <c r="V4637" s="23"/>
      <c r="W4637" s="23"/>
      <c r="X4637" s="23"/>
      <c r="Y4637" s="23"/>
      <c r="Z4637" s="23"/>
    </row>
    <row r="4638" spans="1:26" ht="13">
      <c r="A4638" s="562" t="s">
        <v>10001</v>
      </c>
      <c r="B4638" s="563" t="s">
        <v>10002</v>
      </c>
      <c r="C4638" s="564" t="s">
        <v>1612</v>
      </c>
      <c r="D4638" s="565">
        <v>40045</v>
      </c>
      <c r="E4638" s="565">
        <v>40025</v>
      </c>
      <c r="F4638" s="567">
        <v>495</v>
      </c>
      <c r="G4638" s="564" t="s">
        <v>297</v>
      </c>
      <c r="H4638" s="564"/>
      <c r="I4638" s="564" t="s">
        <v>64</v>
      </c>
      <c r="J4638" s="564" t="s">
        <v>1069</v>
      </c>
      <c r="K4638" s="564" t="s">
        <v>1090</v>
      </c>
      <c r="L4638" s="564" t="s">
        <v>2098</v>
      </c>
      <c r="M4638" s="564" t="s">
        <v>2098</v>
      </c>
      <c r="N4638" s="564" t="s">
        <v>64</v>
      </c>
      <c r="O4638" s="564" t="s">
        <v>2099</v>
      </c>
      <c r="P4638" s="23"/>
      <c r="Q4638" s="23"/>
      <c r="R4638" s="23"/>
      <c r="S4638" s="23"/>
      <c r="T4638" s="23"/>
      <c r="U4638" s="23"/>
      <c r="V4638" s="23"/>
      <c r="W4638" s="23"/>
      <c r="X4638" s="23"/>
      <c r="Y4638" s="23"/>
      <c r="Z4638" s="23"/>
    </row>
    <row r="4639" spans="1:26" ht="13">
      <c r="A4639" s="562" t="s">
        <v>10003</v>
      </c>
      <c r="B4639" s="563" t="s">
        <v>10004</v>
      </c>
      <c r="C4639" s="564" t="s">
        <v>1612</v>
      </c>
      <c r="D4639" s="565">
        <v>40046</v>
      </c>
      <c r="E4639" s="565">
        <v>40057</v>
      </c>
      <c r="F4639" s="566">
        <v>1630</v>
      </c>
      <c r="G4639" s="564" t="s">
        <v>297</v>
      </c>
      <c r="H4639" s="564"/>
      <c r="I4639" s="564" t="s">
        <v>64</v>
      </c>
      <c r="J4639" s="564" t="s">
        <v>1069</v>
      </c>
      <c r="K4639" s="564" t="s">
        <v>1090</v>
      </c>
      <c r="L4639" s="564" t="s">
        <v>2098</v>
      </c>
      <c r="M4639" s="564" t="s">
        <v>2098</v>
      </c>
      <c r="N4639" s="564" t="s">
        <v>64</v>
      </c>
      <c r="O4639" s="564" t="s">
        <v>2099</v>
      </c>
      <c r="P4639" s="23"/>
      <c r="Q4639" s="23"/>
      <c r="R4639" s="23"/>
      <c r="S4639" s="23"/>
      <c r="T4639" s="23"/>
      <c r="U4639" s="23"/>
      <c r="V4639" s="23"/>
      <c r="W4639" s="23"/>
      <c r="X4639" s="23"/>
      <c r="Y4639" s="23"/>
      <c r="Z4639" s="23"/>
    </row>
    <row r="4640" spans="1:26" ht="13">
      <c r="A4640" s="562" t="s">
        <v>10005</v>
      </c>
      <c r="B4640" s="563" t="s">
        <v>10006</v>
      </c>
      <c r="C4640" s="564" t="s">
        <v>1612</v>
      </c>
      <c r="D4640" s="565">
        <v>40046</v>
      </c>
      <c r="E4640" s="565">
        <v>40056</v>
      </c>
      <c r="F4640" s="567">
        <v>580</v>
      </c>
      <c r="G4640" s="564" t="s">
        <v>297</v>
      </c>
      <c r="H4640" s="564"/>
      <c r="I4640" s="564" t="s">
        <v>121</v>
      </c>
      <c r="J4640" s="564" t="s">
        <v>1069</v>
      </c>
      <c r="K4640" s="564" t="s">
        <v>1105</v>
      </c>
      <c r="L4640" s="564" t="s">
        <v>2098</v>
      </c>
      <c r="M4640" s="564" t="s">
        <v>2098</v>
      </c>
      <c r="N4640" s="564" t="s">
        <v>1073</v>
      </c>
      <c r="O4640" s="564" t="s">
        <v>2099</v>
      </c>
      <c r="P4640" s="23"/>
      <c r="Q4640" s="23"/>
      <c r="R4640" s="23"/>
      <c r="S4640" s="23"/>
      <c r="T4640" s="23"/>
      <c r="U4640" s="23"/>
      <c r="V4640" s="23"/>
      <c r="W4640" s="23"/>
      <c r="X4640" s="23"/>
      <c r="Y4640" s="23"/>
      <c r="Z4640" s="23"/>
    </row>
    <row r="4641" spans="1:26" ht="13">
      <c r="A4641" s="562" t="s">
        <v>10007</v>
      </c>
      <c r="B4641" s="563" t="s">
        <v>10008</v>
      </c>
      <c r="C4641" s="564" t="s">
        <v>1612</v>
      </c>
      <c r="D4641" s="565">
        <v>40042</v>
      </c>
      <c r="E4641" s="565">
        <v>40046</v>
      </c>
      <c r="F4641" s="566">
        <v>15600</v>
      </c>
      <c r="G4641" s="564" t="s">
        <v>1636</v>
      </c>
      <c r="H4641" s="564"/>
      <c r="I4641" s="564" t="s">
        <v>45</v>
      </c>
      <c r="J4641" s="564" t="s">
        <v>1069</v>
      </c>
      <c r="K4641" s="564" t="s">
        <v>1090</v>
      </c>
      <c r="L4641" s="564" t="s">
        <v>2098</v>
      </c>
      <c r="M4641" s="564" t="s">
        <v>2098</v>
      </c>
      <c r="N4641" s="564" t="s">
        <v>45</v>
      </c>
      <c r="O4641" s="564" t="s">
        <v>2099</v>
      </c>
      <c r="P4641" s="23"/>
      <c r="Q4641" s="23"/>
      <c r="R4641" s="23"/>
      <c r="S4641" s="23"/>
      <c r="T4641" s="23"/>
      <c r="U4641" s="23"/>
      <c r="V4641" s="23"/>
      <c r="W4641" s="23"/>
      <c r="X4641" s="23"/>
      <c r="Y4641" s="23"/>
      <c r="Z4641" s="23"/>
    </row>
    <row r="4642" spans="1:26" ht="13">
      <c r="A4642" s="562" t="s">
        <v>10009</v>
      </c>
      <c r="B4642" s="563" t="s">
        <v>9739</v>
      </c>
      <c r="C4642" s="564" t="s">
        <v>1612</v>
      </c>
      <c r="D4642" s="565">
        <v>40035</v>
      </c>
      <c r="E4642" s="565">
        <v>40042</v>
      </c>
      <c r="F4642" s="566">
        <v>1630</v>
      </c>
      <c r="G4642" s="564" t="s">
        <v>297</v>
      </c>
      <c r="H4642" s="564"/>
      <c r="I4642" s="564" t="s">
        <v>70</v>
      </c>
      <c r="J4642" s="564" t="s">
        <v>1069</v>
      </c>
      <c r="K4642" s="564" t="s">
        <v>1120</v>
      </c>
      <c r="L4642" s="564" t="s">
        <v>2098</v>
      </c>
      <c r="M4642" s="564" t="s">
        <v>2098</v>
      </c>
      <c r="N4642" s="564" t="s">
        <v>70</v>
      </c>
      <c r="O4642" s="564" t="s">
        <v>2099</v>
      </c>
      <c r="P4642" s="23"/>
      <c r="Q4642" s="23"/>
      <c r="R4642" s="23"/>
      <c r="S4642" s="23"/>
      <c r="T4642" s="23"/>
      <c r="U4642" s="23"/>
      <c r="V4642" s="23"/>
      <c r="W4642" s="23"/>
      <c r="X4642" s="23"/>
      <c r="Y4642" s="23"/>
      <c r="Z4642" s="23"/>
    </row>
    <row r="4643" spans="1:26" ht="13">
      <c r="A4643" s="562" t="s">
        <v>10010</v>
      </c>
      <c r="B4643" s="563" t="s">
        <v>9628</v>
      </c>
      <c r="C4643" s="564" t="s">
        <v>1612</v>
      </c>
      <c r="D4643" s="565">
        <v>40029</v>
      </c>
      <c r="E4643" s="565">
        <v>40046</v>
      </c>
      <c r="F4643" s="566">
        <v>5409</v>
      </c>
      <c r="G4643" s="564" t="s">
        <v>297</v>
      </c>
      <c r="H4643" s="564" t="s">
        <v>297</v>
      </c>
      <c r="I4643" s="564" t="s">
        <v>121</v>
      </c>
      <c r="J4643" s="564" t="s">
        <v>1069</v>
      </c>
      <c r="K4643" s="564" t="s">
        <v>1105</v>
      </c>
      <c r="L4643" s="564" t="s">
        <v>2098</v>
      </c>
      <c r="M4643" s="564" t="s">
        <v>2098</v>
      </c>
      <c r="N4643" s="564" t="s">
        <v>1073</v>
      </c>
      <c r="O4643" s="564" t="s">
        <v>2099</v>
      </c>
      <c r="P4643" s="23"/>
      <c r="Q4643" s="23"/>
      <c r="R4643" s="23"/>
      <c r="S4643" s="23"/>
      <c r="T4643" s="23"/>
      <c r="U4643" s="23"/>
      <c r="V4643" s="23"/>
      <c r="W4643" s="23"/>
      <c r="X4643" s="23"/>
      <c r="Y4643" s="23"/>
      <c r="Z4643" s="23"/>
    </row>
    <row r="4644" spans="1:26" ht="13">
      <c r="A4644" s="562" t="s">
        <v>10011</v>
      </c>
      <c r="B4644" s="563" t="s">
        <v>10012</v>
      </c>
      <c r="C4644" s="564" t="s">
        <v>1612</v>
      </c>
      <c r="D4644" s="565">
        <v>40025</v>
      </c>
      <c r="E4644" s="565">
        <v>40008</v>
      </c>
      <c r="F4644" s="566">
        <v>8900</v>
      </c>
      <c r="G4644" s="564" t="s">
        <v>297</v>
      </c>
      <c r="H4644" s="564"/>
      <c r="I4644" s="564" t="s">
        <v>802</v>
      </c>
      <c r="J4644" s="564" t="s">
        <v>1069</v>
      </c>
      <c r="K4644" s="564" t="s">
        <v>1198</v>
      </c>
      <c r="L4644" s="564" t="s">
        <v>2098</v>
      </c>
      <c r="M4644" s="564" t="s">
        <v>2098</v>
      </c>
      <c r="N4644" s="564" t="s">
        <v>132</v>
      </c>
      <c r="O4644" s="564" t="s">
        <v>2099</v>
      </c>
      <c r="P4644" s="23"/>
      <c r="Q4644" s="23"/>
      <c r="R4644" s="23"/>
      <c r="S4644" s="23"/>
      <c r="T4644" s="23"/>
      <c r="U4644" s="23"/>
      <c r="V4644" s="23"/>
      <c r="W4644" s="23"/>
      <c r="X4644" s="23"/>
      <c r="Y4644" s="23"/>
      <c r="Z4644" s="23"/>
    </row>
    <row r="4645" spans="1:26" ht="13">
      <c r="A4645" s="562" t="s">
        <v>10013</v>
      </c>
      <c r="B4645" s="563" t="s">
        <v>10014</v>
      </c>
      <c r="C4645" s="564" t="s">
        <v>1612</v>
      </c>
      <c r="D4645" s="565">
        <v>40025</v>
      </c>
      <c r="E4645" s="565">
        <v>40035</v>
      </c>
      <c r="F4645" s="566">
        <v>1465</v>
      </c>
      <c r="G4645" s="564" t="s">
        <v>297</v>
      </c>
      <c r="H4645" s="564"/>
      <c r="I4645" s="564" t="s">
        <v>802</v>
      </c>
      <c r="J4645" s="564" t="s">
        <v>1069</v>
      </c>
      <c r="K4645" s="564" t="s">
        <v>1198</v>
      </c>
      <c r="L4645" s="564" t="s">
        <v>2098</v>
      </c>
      <c r="M4645" s="564" t="s">
        <v>2098</v>
      </c>
      <c r="N4645" s="564" t="s">
        <v>132</v>
      </c>
      <c r="O4645" s="564" t="s">
        <v>2099</v>
      </c>
      <c r="P4645" s="23"/>
      <c r="Q4645" s="23"/>
      <c r="R4645" s="23"/>
      <c r="S4645" s="23"/>
      <c r="T4645" s="23"/>
      <c r="U4645" s="23"/>
      <c r="V4645" s="23"/>
      <c r="W4645" s="23"/>
      <c r="X4645" s="23"/>
      <c r="Y4645" s="23"/>
      <c r="Z4645" s="23"/>
    </row>
    <row r="4646" spans="1:26" ht="13">
      <c r="A4646" s="562" t="s">
        <v>10015</v>
      </c>
      <c r="B4646" s="563" t="s">
        <v>10016</v>
      </c>
      <c r="C4646" s="564" t="s">
        <v>1612</v>
      </c>
      <c r="D4646" s="565">
        <v>40017</v>
      </c>
      <c r="E4646" s="565">
        <v>40046</v>
      </c>
      <c r="F4646" s="566">
        <v>960000</v>
      </c>
      <c r="G4646" s="564" t="s">
        <v>297</v>
      </c>
      <c r="H4646" s="564"/>
      <c r="I4646" s="564" t="s">
        <v>45</v>
      </c>
      <c r="J4646" s="564" t="s">
        <v>1069</v>
      </c>
      <c r="K4646" s="564" t="s">
        <v>1090</v>
      </c>
      <c r="L4646" s="564" t="s">
        <v>2098</v>
      </c>
      <c r="M4646" s="564" t="s">
        <v>2098</v>
      </c>
      <c r="N4646" s="564" t="s">
        <v>45</v>
      </c>
      <c r="O4646" s="564" t="s">
        <v>2099</v>
      </c>
      <c r="P4646" s="23"/>
      <c r="Q4646" s="23"/>
      <c r="R4646" s="23"/>
      <c r="S4646" s="23"/>
      <c r="T4646" s="23"/>
      <c r="U4646" s="23"/>
      <c r="V4646" s="23"/>
      <c r="W4646" s="23"/>
      <c r="X4646" s="23"/>
      <c r="Y4646" s="23"/>
      <c r="Z4646" s="23"/>
    </row>
    <row r="4647" spans="1:26" ht="13">
      <c r="A4647" s="562" t="s">
        <v>10017</v>
      </c>
      <c r="B4647" s="563" t="s">
        <v>10018</v>
      </c>
      <c r="C4647" s="564" t="s">
        <v>1612</v>
      </c>
      <c r="D4647" s="565">
        <v>40017</v>
      </c>
      <c r="E4647" s="565">
        <v>40025</v>
      </c>
      <c r="F4647" s="566">
        <v>7670000</v>
      </c>
      <c r="G4647" s="564" t="s">
        <v>1157</v>
      </c>
      <c r="H4647" s="564"/>
      <c r="I4647" s="564" t="s">
        <v>70</v>
      </c>
      <c r="J4647" s="564" t="s">
        <v>1069</v>
      </c>
      <c r="K4647" s="564" t="s">
        <v>1120</v>
      </c>
      <c r="L4647" s="564" t="s">
        <v>2098</v>
      </c>
      <c r="M4647" s="564" t="s">
        <v>2098</v>
      </c>
      <c r="N4647" s="564" t="s">
        <v>70</v>
      </c>
      <c r="O4647" s="564" t="s">
        <v>2099</v>
      </c>
      <c r="P4647" s="23"/>
      <c r="Q4647" s="23"/>
      <c r="R4647" s="23"/>
      <c r="S4647" s="23"/>
      <c r="T4647" s="23"/>
      <c r="U4647" s="23"/>
      <c r="V4647" s="23"/>
      <c r="W4647" s="23"/>
      <c r="X4647" s="23"/>
      <c r="Y4647" s="23"/>
      <c r="Z4647" s="23"/>
    </row>
    <row r="4648" spans="1:26" ht="13">
      <c r="A4648" s="562" t="s">
        <v>10019</v>
      </c>
      <c r="B4648" s="563" t="s">
        <v>10020</v>
      </c>
      <c r="C4648" s="564" t="s">
        <v>1612</v>
      </c>
      <c r="D4648" s="565">
        <v>40014</v>
      </c>
      <c r="E4648" s="565">
        <v>40016</v>
      </c>
      <c r="F4648" s="566">
        <v>1375000</v>
      </c>
      <c r="G4648" s="564" t="s">
        <v>1157</v>
      </c>
      <c r="H4648" s="564"/>
      <c r="I4648" s="564" t="s">
        <v>70</v>
      </c>
      <c r="J4648" s="564" t="s">
        <v>1069</v>
      </c>
      <c r="K4648" s="564" t="s">
        <v>1120</v>
      </c>
      <c r="L4648" s="564" t="s">
        <v>2098</v>
      </c>
      <c r="M4648" s="564" t="s">
        <v>2098</v>
      </c>
      <c r="N4648" s="564" t="s">
        <v>70</v>
      </c>
      <c r="O4648" s="564" t="s">
        <v>2099</v>
      </c>
      <c r="P4648" s="23"/>
      <c r="Q4648" s="23"/>
      <c r="R4648" s="23"/>
      <c r="S4648" s="23"/>
      <c r="T4648" s="23"/>
      <c r="U4648" s="23"/>
      <c r="V4648" s="23"/>
      <c r="W4648" s="23"/>
      <c r="X4648" s="23"/>
      <c r="Y4648" s="23"/>
      <c r="Z4648" s="23"/>
    </row>
    <row r="4649" spans="1:26" ht="13">
      <c r="A4649" s="562" t="s">
        <v>10021</v>
      </c>
      <c r="B4649" s="563" t="s">
        <v>10022</v>
      </c>
      <c r="C4649" s="564" t="s">
        <v>1612</v>
      </c>
      <c r="D4649" s="565">
        <v>40014</v>
      </c>
      <c r="E4649" s="565">
        <v>40018</v>
      </c>
      <c r="F4649" s="566">
        <v>4075</v>
      </c>
      <c r="G4649" s="564" t="s">
        <v>297</v>
      </c>
      <c r="H4649" s="564"/>
      <c r="I4649" s="564" t="s">
        <v>70</v>
      </c>
      <c r="J4649" s="564" t="s">
        <v>1069</v>
      </c>
      <c r="K4649" s="564" t="s">
        <v>1120</v>
      </c>
      <c r="L4649" s="564" t="s">
        <v>2098</v>
      </c>
      <c r="M4649" s="564" t="s">
        <v>2098</v>
      </c>
      <c r="N4649" s="564" t="s">
        <v>70</v>
      </c>
      <c r="O4649" s="564" t="s">
        <v>2099</v>
      </c>
      <c r="P4649" s="23"/>
      <c r="Q4649" s="23"/>
      <c r="R4649" s="23"/>
      <c r="S4649" s="23"/>
      <c r="T4649" s="23"/>
      <c r="U4649" s="23"/>
      <c r="V4649" s="23"/>
      <c r="W4649" s="23"/>
      <c r="X4649" s="23"/>
      <c r="Y4649" s="23"/>
      <c r="Z4649" s="23"/>
    </row>
    <row r="4650" spans="1:26" ht="13">
      <c r="A4650" s="562" t="s">
        <v>10023</v>
      </c>
      <c r="B4650" s="563" t="s">
        <v>10024</v>
      </c>
      <c r="C4650" s="564" t="s">
        <v>1612</v>
      </c>
      <c r="D4650" s="565">
        <v>40008</v>
      </c>
      <c r="E4650" s="565">
        <v>40022</v>
      </c>
      <c r="F4650" s="566">
        <v>38900</v>
      </c>
      <c r="G4650" s="564" t="s">
        <v>297</v>
      </c>
      <c r="H4650" s="564"/>
      <c r="I4650" s="564" t="s">
        <v>45</v>
      </c>
      <c r="J4650" s="564" t="s">
        <v>1069</v>
      </c>
      <c r="K4650" s="564" t="s">
        <v>1090</v>
      </c>
      <c r="L4650" s="564" t="s">
        <v>2098</v>
      </c>
      <c r="M4650" s="564" t="s">
        <v>2098</v>
      </c>
      <c r="N4650" s="564" t="s">
        <v>45</v>
      </c>
      <c r="O4650" s="564" t="s">
        <v>2099</v>
      </c>
      <c r="P4650" s="23"/>
      <c r="Q4650" s="23"/>
      <c r="R4650" s="23"/>
      <c r="S4650" s="23"/>
      <c r="T4650" s="23"/>
      <c r="U4650" s="23"/>
      <c r="V4650" s="23"/>
      <c r="W4650" s="23"/>
      <c r="X4650" s="23"/>
      <c r="Y4650" s="23"/>
      <c r="Z4650" s="23"/>
    </row>
    <row r="4651" spans="1:26" ht="13">
      <c r="A4651" s="562" t="s">
        <v>10025</v>
      </c>
      <c r="B4651" s="563" t="s">
        <v>10026</v>
      </c>
      <c r="C4651" s="564" t="s">
        <v>1612</v>
      </c>
      <c r="D4651" s="565">
        <v>40008</v>
      </c>
      <c r="E4651" s="565">
        <v>40015</v>
      </c>
      <c r="F4651" s="566">
        <v>1062600</v>
      </c>
      <c r="G4651" s="564" t="s">
        <v>297</v>
      </c>
      <c r="H4651" s="564"/>
      <c r="I4651" s="564" t="s">
        <v>1230</v>
      </c>
      <c r="J4651" s="564" t="s">
        <v>1069</v>
      </c>
      <c r="K4651" s="564" t="s">
        <v>1090</v>
      </c>
      <c r="L4651" s="564" t="s">
        <v>2098</v>
      </c>
      <c r="M4651" s="564" t="s">
        <v>2098</v>
      </c>
      <c r="N4651" s="564" t="s">
        <v>1073</v>
      </c>
      <c r="O4651" s="564" t="s">
        <v>2099</v>
      </c>
      <c r="P4651" s="23"/>
      <c r="Q4651" s="23"/>
      <c r="R4651" s="23"/>
      <c r="S4651" s="23"/>
      <c r="T4651" s="23"/>
      <c r="U4651" s="23"/>
      <c r="V4651" s="23"/>
      <c r="W4651" s="23"/>
      <c r="X4651" s="23"/>
      <c r="Y4651" s="23"/>
      <c r="Z4651" s="23"/>
    </row>
    <row r="4652" spans="1:26" ht="13">
      <c r="A4652" s="562" t="s">
        <v>10027</v>
      </c>
      <c r="B4652" s="563" t="s">
        <v>10028</v>
      </c>
      <c r="C4652" s="564" t="s">
        <v>1612</v>
      </c>
      <c r="D4652" s="565">
        <v>40008</v>
      </c>
      <c r="E4652" s="565">
        <v>40022</v>
      </c>
      <c r="F4652" s="566">
        <v>4765</v>
      </c>
      <c r="G4652" s="564" t="s">
        <v>297</v>
      </c>
      <c r="H4652" s="564"/>
      <c r="I4652" s="564" t="s">
        <v>7259</v>
      </c>
      <c r="J4652" s="564" t="s">
        <v>1069</v>
      </c>
      <c r="K4652" s="564" t="s">
        <v>1070</v>
      </c>
      <c r="L4652" s="564" t="s">
        <v>2098</v>
      </c>
      <c r="M4652" s="564" t="s">
        <v>2098</v>
      </c>
      <c r="N4652" s="564" t="s">
        <v>1082</v>
      </c>
      <c r="O4652" s="564" t="s">
        <v>2099</v>
      </c>
      <c r="P4652" s="23"/>
      <c r="Q4652" s="23"/>
      <c r="R4652" s="23"/>
      <c r="S4652" s="23"/>
      <c r="T4652" s="23"/>
      <c r="U4652" s="23"/>
      <c r="V4652" s="23"/>
      <c r="W4652" s="23"/>
      <c r="X4652" s="23"/>
      <c r="Y4652" s="23"/>
      <c r="Z4652" s="23"/>
    </row>
    <row r="4653" spans="1:26" ht="13">
      <c r="A4653" s="562" t="s">
        <v>10029</v>
      </c>
      <c r="B4653" s="563" t="s">
        <v>10030</v>
      </c>
      <c r="C4653" s="564" t="s">
        <v>1873</v>
      </c>
      <c r="D4653" s="565">
        <v>40008</v>
      </c>
      <c r="E4653" s="565">
        <v>40018</v>
      </c>
      <c r="F4653" s="566">
        <v>9208800</v>
      </c>
      <c r="G4653" s="564" t="s">
        <v>297</v>
      </c>
      <c r="H4653" s="564"/>
      <c r="I4653" s="564" t="s">
        <v>170</v>
      </c>
      <c r="J4653" s="564" t="s">
        <v>1069</v>
      </c>
      <c r="K4653" s="564" t="s">
        <v>1105</v>
      </c>
      <c r="L4653" s="564" t="s">
        <v>2098</v>
      </c>
      <c r="M4653" s="564" t="s">
        <v>2098</v>
      </c>
      <c r="N4653" s="564" t="s">
        <v>170</v>
      </c>
      <c r="O4653" s="564" t="s">
        <v>2099</v>
      </c>
      <c r="P4653" s="23"/>
      <c r="Q4653" s="23"/>
      <c r="R4653" s="23"/>
      <c r="S4653" s="23"/>
      <c r="T4653" s="23"/>
      <c r="U4653" s="23"/>
      <c r="V4653" s="23"/>
      <c r="W4653" s="23"/>
      <c r="X4653" s="23"/>
      <c r="Y4653" s="23"/>
      <c r="Z4653" s="23"/>
    </row>
    <row r="4654" spans="1:26" ht="13">
      <c r="A4654" s="562" t="s">
        <v>10031</v>
      </c>
      <c r="B4654" s="563" t="s">
        <v>10032</v>
      </c>
      <c r="C4654" s="564" t="s">
        <v>1612</v>
      </c>
      <c r="D4654" s="565">
        <v>40008</v>
      </c>
      <c r="E4654" s="565">
        <v>40014</v>
      </c>
      <c r="F4654" s="566">
        <v>9182</v>
      </c>
      <c r="G4654" s="564" t="s">
        <v>297</v>
      </c>
      <c r="H4654" s="564"/>
      <c r="I4654" s="564" t="s">
        <v>64</v>
      </c>
      <c r="J4654" s="564" t="s">
        <v>1069</v>
      </c>
      <c r="K4654" s="564" t="s">
        <v>1090</v>
      </c>
      <c r="L4654" s="564" t="s">
        <v>2098</v>
      </c>
      <c r="M4654" s="564" t="s">
        <v>2098</v>
      </c>
      <c r="N4654" s="564" t="s">
        <v>64</v>
      </c>
      <c r="O4654" s="564" t="s">
        <v>2099</v>
      </c>
      <c r="P4654" s="23"/>
      <c r="Q4654" s="23"/>
      <c r="R4654" s="23"/>
      <c r="S4654" s="23"/>
      <c r="T4654" s="23"/>
      <c r="U4654" s="23"/>
      <c r="V4654" s="23"/>
      <c r="W4654" s="23"/>
      <c r="X4654" s="23"/>
      <c r="Y4654" s="23"/>
      <c r="Z4654" s="23"/>
    </row>
    <row r="4655" spans="1:26" ht="13">
      <c r="A4655" s="562" t="s">
        <v>10033</v>
      </c>
      <c r="B4655" s="563" t="s">
        <v>10034</v>
      </c>
      <c r="C4655" s="564" t="s">
        <v>1612</v>
      </c>
      <c r="D4655" s="565">
        <v>40004</v>
      </c>
      <c r="E4655" s="565">
        <v>40011</v>
      </c>
      <c r="F4655" s="567">
        <v>380</v>
      </c>
      <c r="G4655" s="564" t="s">
        <v>297</v>
      </c>
      <c r="H4655" s="564"/>
      <c r="I4655" s="564" t="s">
        <v>1918</v>
      </c>
      <c r="J4655" s="564" t="s">
        <v>1069</v>
      </c>
      <c r="K4655" s="564" t="s">
        <v>1070</v>
      </c>
      <c r="L4655" s="564" t="s">
        <v>2098</v>
      </c>
      <c r="M4655" s="564" t="s">
        <v>2098</v>
      </c>
      <c r="N4655" s="564" t="s">
        <v>1073</v>
      </c>
      <c r="O4655" s="564" t="s">
        <v>2099</v>
      </c>
      <c r="P4655" s="23"/>
      <c r="Q4655" s="23"/>
      <c r="R4655" s="23"/>
      <c r="S4655" s="23"/>
      <c r="T4655" s="23"/>
      <c r="U4655" s="23"/>
      <c r="V4655" s="23"/>
      <c r="W4655" s="23"/>
      <c r="X4655" s="23"/>
      <c r="Y4655" s="23"/>
      <c r="Z4655" s="23"/>
    </row>
    <row r="4656" spans="1:26" ht="13">
      <c r="A4656" s="562" t="s">
        <v>10035</v>
      </c>
      <c r="B4656" s="563" t="s">
        <v>10036</v>
      </c>
      <c r="C4656" s="564" t="s">
        <v>1612</v>
      </c>
      <c r="D4656" s="565">
        <v>40007</v>
      </c>
      <c r="E4656" s="565">
        <v>40011</v>
      </c>
      <c r="F4656" s="566">
        <v>8000</v>
      </c>
      <c r="G4656" s="564" t="s">
        <v>297</v>
      </c>
      <c r="H4656" s="564"/>
      <c r="I4656" s="564" t="s">
        <v>70</v>
      </c>
      <c r="J4656" s="564" t="s">
        <v>1069</v>
      </c>
      <c r="K4656" s="564" t="s">
        <v>1120</v>
      </c>
      <c r="L4656" s="564" t="s">
        <v>2098</v>
      </c>
      <c r="M4656" s="564" t="s">
        <v>2098</v>
      </c>
      <c r="N4656" s="564" t="s">
        <v>70</v>
      </c>
      <c r="O4656" s="564" t="s">
        <v>2099</v>
      </c>
      <c r="P4656" s="23"/>
      <c r="Q4656" s="23"/>
      <c r="R4656" s="23"/>
      <c r="S4656" s="23"/>
      <c r="T4656" s="23"/>
      <c r="U4656" s="23"/>
      <c r="V4656" s="23"/>
      <c r="W4656" s="23"/>
      <c r="X4656" s="23"/>
      <c r="Y4656" s="23"/>
      <c r="Z4656" s="23"/>
    </row>
    <row r="4657" spans="1:26" ht="13">
      <c r="A4657" s="562" t="s">
        <v>10037</v>
      </c>
      <c r="B4657" s="563" t="s">
        <v>10038</v>
      </c>
      <c r="C4657" s="564" t="s">
        <v>1612</v>
      </c>
      <c r="D4657" s="565">
        <v>40000</v>
      </c>
      <c r="E4657" s="565">
        <v>40028</v>
      </c>
      <c r="F4657" s="566">
        <v>1680</v>
      </c>
      <c r="G4657" s="564" t="s">
        <v>1636</v>
      </c>
      <c r="H4657" s="564"/>
      <c r="I4657" s="564" t="s">
        <v>45</v>
      </c>
      <c r="J4657" s="564" t="s">
        <v>1069</v>
      </c>
      <c r="K4657" s="564" t="s">
        <v>1090</v>
      </c>
      <c r="L4657" s="564" t="s">
        <v>2098</v>
      </c>
      <c r="M4657" s="564" t="s">
        <v>2098</v>
      </c>
      <c r="N4657" s="564" t="s">
        <v>45</v>
      </c>
      <c r="O4657" s="564" t="s">
        <v>2099</v>
      </c>
      <c r="P4657" s="23"/>
      <c r="Q4657" s="23"/>
      <c r="R4657" s="23"/>
      <c r="S4657" s="23"/>
      <c r="T4657" s="23"/>
      <c r="U4657" s="23"/>
      <c r="V4657" s="23"/>
      <c r="W4657" s="23"/>
      <c r="X4657" s="23"/>
      <c r="Y4657" s="23"/>
      <c r="Z4657" s="23"/>
    </row>
    <row r="4658" spans="1:26" ht="13">
      <c r="A4658" s="562" t="s">
        <v>10039</v>
      </c>
      <c r="B4658" s="563" t="s">
        <v>10040</v>
      </c>
      <c r="C4658" s="564" t="s">
        <v>1612</v>
      </c>
      <c r="D4658" s="565">
        <v>40000</v>
      </c>
      <c r="E4658" s="565">
        <v>40025</v>
      </c>
      <c r="F4658" s="566">
        <v>8680</v>
      </c>
      <c r="G4658" s="564" t="s">
        <v>297</v>
      </c>
      <c r="H4658" s="564"/>
      <c r="I4658" s="564" t="s">
        <v>45</v>
      </c>
      <c r="J4658" s="564" t="s">
        <v>1069</v>
      </c>
      <c r="K4658" s="564" t="s">
        <v>1090</v>
      </c>
      <c r="L4658" s="564" t="s">
        <v>2098</v>
      </c>
      <c r="M4658" s="564" t="s">
        <v>2098</v>
      </c>
      <c r="N4658" s="564" t="s">
        <v>45</v>
      </c>
      <c r="O4658" s="564" t="s">
        <v>2099</v>
      </c>
      <c r="P4658" s="23"/>
      <c r="Q4658" s="23"/>
      <c r="R4658" s="23"/>
      <c r="S4658" s="23"/>
      <c r="T4658" s="23"/>
      <c r="U4658" s="23"/>
      <c r="V4658" s="23"/>
      <c r="W4658" s="23"/>
      <c r="X4658" s="23"/>
      <c r="Y4658" s="23"/>
      <c r="Z4658" s="23"/>
    </row>
    <row r="4659" spans="1:26" ht="13">
      <c r="A4659" s="562" t="s">
        <v>10041</v>
      </c>
      <c r="B4659" s="563" t="s">
        <v>10042</v>
      </c>
      <c r="C4659" s="564" t="s">
        <v>2191</v>
      </c>
      <c r="D4659" s="565">
        <v>40000</v>
      </c>
      <c r="E4659" s="565">
        <v>40004</v>
      </c>
      <c r="F4659" s="566">
        <v>1567500</v>
      </c>
      <c r="G4659" s="564" t="s">
        <v>297</v>
      </c>
      <c r="H4659" s="564"/>
      <c r="I4659" s="564" t="s">
        <v>10043</v>
      </c>
      <c r="J4659" s="564" t="s">
        <v>1069</v>
      </c>
      <c r="K4659" s="564" t="s">
        <v>1120</v>
      </c>
      <c r="L4659" s="564" t="s">
        <v>2098</v>
      </c>
      <c r="M4659" s="564" t="s">
        <v>2098</v>
      </c>
      <c r="N4659" s="564" t="s">
        <v>1082</v>
      </c>
      <c r="O4659" s="564" t="s">
        <v>2099</v>
      </c>
      <c r="P4659" s="23"/>
      <c r="Q4659" s="23"/>
      <c r="R4659" s="23"/>
      <c r="S4659" s="23"/>
      <c r="T4659" s="23"/>
      <c r="U4659" s="23"/>
      <c r="V4659" s="23"/>
      <c r="W4659" s="23"/>
      <c r="X4659" s="23"/>
      <c r="Y4659" s="23"/>
      <c r="Z4659" s="23"/>
    </row>
    <row r="4660" spans="1:26" ht="13">
      <c r="A4660" s="562" t="s">
        <v>10044</v>
      </c>
      <c r="B4660" s="563" t="s">
        <v>10020</v>
      </c>
      <c r="C4660" s="564" t="s">
        <v>1612</v>
      </c>
      <c r="D4660" s="565">
        <v>39997</v>
      </c>
      <c r="E4660" s="565">
        <v>40000</v>
      </c>
      <c r="F4660" s="566">
        <v>1443750</v>
      </c>
      <c r="G4660" s="564" t="s">
        <v>1157</v>
      </c>
      <c r="H4660" s="564"/>
      <c r="I4660" s="564" t="s">
        <v>70</v>
      </c>
      <c r="J4660" s="564" t="s">
        <v>1069</v>
      </c>
      <c r="K4660" s="564" t="s">
        <v>1120</v>
      </c>
      <c r="L4660" s="564" t="s">
        <v>2098</v>
      </c>
      <c r="M4660" s="564" t="s">
        <v>2098</v>
      </c>
      <c r="N4660" s="564" t="s">
        <v>70</v>
      </c>
      <c r="O4660" s="564" t="s">
        <v>2099</v>
      </c>
      <c r="P4660" s="23"/>
      <c r="Q4660" s="23"/>
      <c r="R4660" s="23"/>
      <c r="S4660" s="23"/>
      <c r="T4660" s="23"/>
      <c r="U4660" s="23"/>
      <c r="V4660" s="23"/>
      <c r="W4660" s="23"/>
      <c r="X4660" s="23"/>
      <c r="Y4660" s="23"/>
      <c r="Z4660" s="23"/>
    </row>
    <row r="4661" spans="1:26" ht="13">
      <c r="A4661" s="562" t="s">
        <v>10045</v>
      </c>
      <c r="B4661" s="563" t="s">
        <v>10046</v>
      </c>
      <c r="C4661" s="564" t="s">
        <v>2191</v>
      </c>
      <c r="D4661" s="565">
        <v>39996</v>
      </c>
      <c r="E4661" s="565">
        <v>40004</v>
      </c>
      <c r="F4661" s="566">
        <v>261250</v>
      </c>
      <c r="G4661" s="564" t="s">
        <v>297</v>
      </c>
      <c r="H4661" s="564"/>
      <c r="I4661" s="564" t="s">
        <v>10047</v>
      </c>
      <c r="J4661" s="564" t="s">
        <v>1069</v>
      </c>
      <c r="K4661" s="564" t="s">
        <v>1070</v>
      </c>
      <c r="L4661" s="564" t="s">
        <v>2098</v>
      </c>
      <c r="M4661" s="564" t="s">
        <v>2098</v>
      </c>
      <c r="N4661" s="564" t="s">
        <v>1368</v>
      </c>
      <c r="O4661" s="564" t="s">
        <v>2099</v>
      </c>
      <c r="P4661" s="23"/>
      <c r="Q4661" s="23"/>
      <c r="R4661" s="23"/>
      <c r="S4661" s="23"/>
      <c r="T4661" s="23"/>
      <c r="U4661" s="23"/>
      <c r="V4661" s="23"/>
      <c r="W4661" s="23"/>
      <c r="X4661" s="23"/>
      <c r="Y4661" s="23"/>
      <c r="Z4661" s="23"/>
    </row>
    <row r="4662" spans="1:26" ht="13">
      <c r="A4662" s="562" t="s">
        <v>10048</v>
      </c>
      <c r="B4662" s="563" t="s">
        <v>9739</v>
      </c>
      <c r="C4662" s="564" t="s">
        <v>1612</v>
      </c>
      <c r="D4662" s="565">
        <v>39996</v>
      </c>
      <c r="E4662" s="565">
        <v>40002</v>
      </c>
      <c r="F4662" s="566">
        <v>1630</v>
      </c>
      <c r="G4662" s="564" t="s">
        <v>297</v>
      </c>
      <c r="H4662" s="564"/>
      <c r="I4662" s="564" t="s">
        <v>70</v>
      </c>
      <c r="J4662" s="564" t="s">
        <v>1069</v>
      </c>
      <c r="K4662" s="564" t="s">
        <v>1120</v>
      </c>
      <c r="L4662" s="564" t="s">
        <v>2098</v>
      </c>
      <c r="M4662" s="564" t="s">
        <v>2098</v>
      </c>
      <c r="N4662" s="564" t="s">
        <v>70</v>
      </c>
      <c r="O4662" s="564" t="s">
        <v>2099</v>
      </c>
      <c r="P4662" s="23"/>
      <c r="Q4662" s="23"/>
      <c r="R4662" s="23"/>
      <c r="S4662" s="23"/>
      <c r="T4662" s="23"/>
      <c r="U4662" s="23"/>
      <c r="V4662" s="23"/>
      <c r="W4662" s="23"/>
      <c r="X4662" s="23"/>
      <c r="Y4662" s="23"/>
      <c r="Z4662" s="23"/>
    </row>
    <row r="4663" spans="1:26" ht="13">
      <c r="A4663" s="562" t="s">
        <v>10049</v>
      </c>
      <c r="B4663" s="563" t="s">
        <v>10050</v>
      </c>
      <c r="C4663" s="564" t="s">
        <v>1612</v>
      </c>
      <c r="D4663" s="565">
        <v>39995</v>
      </c>
      <c r="E4663" s="565">
        <v>40004</v>
      </c>
      <c r="F4663" s="566">
        <v>17831</v>
      </c>
      <c r="G4663" s="564" t="s">
        <v>297</v>
      </c>
      <c r="H4663" s="564"/>
      <c r="I4663" s="564" t="s">
        <v>1918</v>
      </c>
      <c r="J4663" s="564" t="s">
        <v>1069</v>
      </c>
      <c r="K4663" s="564" t="s">
        <v>1070</v>
      </c>
      <c r="L4663" s="564" t="s">
        <v>2098</v>
      </c>
      <c r="M4663" s="564" t="s">
        <v>2098</v>
      </c>
      <c r="N4663" s="564" t="s">
        <v>1073</v>
      </c>
      <c r="O4663" s="564" t="s">
        <v>2099</v>
      </c>
      <c r="P4663" s="23"/>
      <c r="Q4663" s="23"/>
      <c r="R4663" s="23"/>
      <c r="S4663" s="23"/>
      <c r="T4663" s="23"/>
      <c r="U4663" s="23"/>
      <c r="V4663" s="23"/>
      <c r="W4663" s="23"/>
      <c r="X4663" s="23"/>
      <c r="Y4663" s="23"/>
      <c r="Z4663" s="23"/>
    </row>
    <row r="4664" spans="1:26" ht="13">
      <c r="A4664" s="562" t="s">
        <v>10051</v>
      </c>
      <c r="B4664" s="563" t="s">
        <v>10052</v>
      </c>
      <c r="C4664" s="564" t="s">
        <v>1612</v>
      </c>
      <c r="D4664" s="565">
        <v>39994</v>
      </c>
      <c r="E4664" s="565">
        <v>40004</v>
      </c>
      <c r="F4664" s="566">
        <v>25863750</v>
      </c>
      <c r="G4664" s="564" t="s">
        <v>297</v>
      </c>
      <c r="H4664" s="564"/>
      <c r="I4664" s="564" t="s">
        <v>10053</v>
      </c>
      <c r="J4664" s="564" t="s">
        <v>1069</v>
      </c>
      <c r="K4664" s="564" t="s">
        <v>1070</v>
      </c>
      <c r="L4664" s="564" t="s">
        <v>2098</v>
      </c>
      <c r="M4664" s="564" t="s">
        <v>2098</v>
      </c>
      <c r="N4664" s="564" t="s">
        <v>1082</v>
      </c>
      <c r="O4664" s="564" t="s">
        <v>2099</v>
      </c>
      <c r="P4664" s="23"/>
      <c r="Q4664" s="23"/>
      <c r="R4664" s="23"/>
      <c r="S4664" s="23"/>
      <c r="T4664" s="23"/>
      <c r="U4664" s="23"/>
      <c r="V4664" s="23"/>
      <c r="W4664" s="23"/>
      <c r="X4664" s="23"/>
      <c r="Y4664" s="23"/>
      <c r="Z4664" s="23"/>
    </row>
    <row r="4665" spans="1:26" ht="13">
      <c r="A4665" s="562" t="s">
        <v>10054</v>
      </c>
      <c r="B4665" s="563" t="s">
        <v>10055</v>
      </c>
      <c r="C4665" s="564" t="s">
        <v>1612</v>
      </c>
      <c r="D4665" s="565">
        <v>39993</v>
      </c>
      <c r="E4665" s="565">
        <v>40001</v>
      </c>
      <c r="F4665" s="566">
        <v>2980</v>
      </c>
      <c r="G4665" s="564" t="s">
        <v>297</v>
      </c>
      <c r="H4665" s="564"/>
      <c r="I4665" s="564" t="s">
        <v>802</v>
      </c>
      <c r="J4665" s="564" t="s">
        <v>1069</v>
      </c>
      <c r="K4665" s="564" t="s">
        <v>1198</v>
      </c>
      <c r="L4665" s="564" t="s">
        <v>2098</v>
      </c>
      <c r="M4665" s="564" t="s">
        <v>2098</v>
      </c>
      <c r="N4665" s="564" t="s">
        <v>132</v>
      </c>
      <c r="O4665" s="564" t="s">
        <v>2099</v>
      </c>
      <c r="P4665" s="23"/>
      <c r="Q4665" s="23"/>
      <c r="R4665" s="23"/>
      <c r="S4665" s="23"/>
      <c r="T4665" s="23"/>
      <c r="U4665" s="23"/>
      <c r="V4665" s="23"/>
      <c r="W4665" s="23"/>
      <c r="X4665" s="23"/>
      <c r="Y4665" s="23"/>
      <c r="Z4665" s="23"/>
    </row>
    <row r="4666" spans="1:26" ht="13">
      <c r="A4666" s="562" t="s">
        <v>10056</v>
      </c>
      <c r="B4666" s="563" t="s">
        <v>10057</v>
      </c>
      <c r="C4666" s="564" t="s">
        <v>1612</v>
      </c>
      <c r="D4666" s="565">
        <v>39993</v>
      </c>
      <c r="E4666" s="565">
        <v>40004</v>
      </c>
      <c r="F4666" s="566">
        <v>16981250</v>
      </c>
      <c r="G4666" s="564" t="s">
        <v>297</v>
      </c>
      <c r="H4666" s="564"/>
      <c r="I4666" s="564" t="s">
        <v>1821</v>
      </c>
      <c r="J4666" s="564" t="s">
        <v>1069</v>
      </c>
      <c r="K4666" s="564" t="s">
        <v>1120</v>
      </c>
      <c r="L4666" s="564" t="s">
        <v>2098</v>
      </c>
      <c r="M4666" s="564" t="s">
        <v>2098</v>
      </c>
      <c r="N4666" s="564" t="s">
        <v>1073</v>
      </c>
      <c r="O4666" s="564" t="s">
        <v>2099</v>
      </c>
      <c r="P4666" s="23"/>
      <c r="Q4666" s="23"/>
      <c r="R4666" s="23"/>
      <c r="S4666" s="23"/>
      <c r="T4666" s="23"/>
      <c r="U4666" s="23"/>
      <c r="V4666" s="23"/>
      <c r="W4666" s="23"/>
      <c r="X4666" s="23"/>
      <c r="Y4666" s="23"/>
      <c r="Z4666" s="23"/>
    </row>
    <row r="4667" spans="1:26" ht="13">
      <c r="A4667" s="562" t="s">
        <v>10058</v>
      </c>
      <c r="B4667" s="563" t="s">
        <v>10059</v>
      </c>
      <c r="C4667" s="564" t="s">
        <v>1612</v>
      </c>
      <c r="D4667" s="565">
        <v>39993</v>
      </c>
      <c r="E4667" s="565">
        <v>40004</v>
      </c>
      <c r="F4667" s="566">
        <v>1306250</v>
      </c>
      <c r="G4667" s="564" t="s">
        <v>297</v>
      </c>
      <c r="H4667" s="564"/>
      <c r="I4667" s="564" t="s">
        <v>1934</v>
      </c>
      <c r="J4667" s="564" t="s">
        <v>1069</v>
      </c>
      <c r="K4667" s="564" t="s">
        <v>1120</v>
      </c>
      <c r="L4667" s="564" t="s">
        <v>2098</v>
      </c>
      <c r="M4667" s="564" t="s">
        <v>2098</v>
      </c>
      <c r="N4667" s="564" t="s">
        <v>1073</v>
      </c>
      <c r="O4667" s="564" t="s">
        <v>2099</v>
      </c>
      <c r="P4667" s="23"/>
      <c r="Q4667" s="23"/>
      <c r="R4667" s="23"/>
      <c r="S4667" s="23"/>
      <c r="T4667" s="23"/>
      <c r="U4667" s="23"/>
      <c r="V4667" s="23"/>
      <c r="W4667" s="23"/>
      <c r="X4667" s="23"/>
      <c r="Y4667" s="23"/>
      <c r="Z4667" s="23"/>
    </row>
    <row r="4668" spans="1:26" ht="13">
      <c r="A4668" s="562" t="s">
        <v>10060</v>
      </c>
      <c r="B4668" s="563" t="s">
        <v>10061</v>
      </c>
      <c r="C4668" s="564" t="s">
        <v>1612</v>
      </c>
      <c r="D4668" s="565">
        <v>39993</v>
      </c>
      <c r="E4668" s="565">
        <v>40000</v>
      </c>
      <c r="F4668" s="566">
        <v>9350</v>
      </c>
      <c r="G4668" s="564" t="s">
        <v>297</v>
      </c>
      <c r="H4668" s="564"/>
      <c r="I4668" s="564" t="s">
        <v>45</v>
      </c>
      <c r="J4668" s="564" t="s">
        <v>1069</v>
      </c>
      <c r="K4668" s="564" t="s">
        <v>1090</v>
      </c>
      <c r="L4668" s="564" t="s">
        <v>2098</v>
      </c>
      <c r="M4668" s="564" t="s">
        <v>2098</v>
      </c>
      <c r="N4668" s="564" t="s">
        <v>45</v>
      </c>
      <c r="O4668" s="564" t="s">
        <v>2099</v>
      </c>
      <c r="P4668" s="23"/>
      <c r="Q4668" s="23"/>
      <c r="R4668" s="23"/>
      <c r="S4668" s="23"/>
      <c r="T4668" s="23"/>
      <c r="U4668" s="23"/>
      <c r="V4668" s="23"/>
      <c r="W4668" s="23"/>
      <c r="X4668" s="23"/>
      <c r="Y4668" s="23"/>
      <c r="Z4668" s="23"/>
    </row>
    <row r="4669" spans="1:26" ht="13">
      <c r="A4669" s="562" t="s">
        <v>10062</v>
      </c>
      <c r="B4669" s="563" t="s">
        <v>10063</v>
      </c>
      <c r="C4669" s="564" t="s">
        <v>6860</v>
      </c>
      <c r="D4669" s="565">
        <v>39993</v>
      </c>
      <c r="E4669" s="565">
        <v>39993</v>
      </c>
      <c r="F4669" s="566">
        <v>19892</v>
      </c>
      <c r="G4669" s="564" t="s">
        <v>1640</v>
      </c>
      <c r="H4669" s="564"/>
      <c r="I4669" s="564" t="s">
        <v>7259</v>
      </c>
      <c r="J4669" s="564" t="s">
        <v>1069</v>
      </c>
      <c r="K4669" s="564" t="s">
        <v>1070</v>
      </c>
      <c r="L4669" s="564" t="s">
        <v>2098</v>
      </c>
      <c r="M4669" s="564" t="s">
        <v>2098</v>
      </c>
      <c r="N4669" s="564" t="s">
        <v>1082</v>
      </c>
      <c r="O4669" s="564" t="s">
        <v>2099</v>
      </c>
      <c r="P4669" s="23"/>
      <c r="Q4669" s="23"/>
      <c r="R4669" s="23"/>
      <c r="S4669" s="23"/>
      <c r="T4669" s="23"/>
      <c r="U4669" s="23"/>
      <c r="V4669" s="23"/>
      <c r="W4669" s="23"/>
      <c r="X4669" s="23"/>
      <c r="Y4669" s="23"/>
      <c r="Z4669" s="23"/>
    </row>
    <row r="4670" spans="1:26" ht="13">
      <c r="A4670" s="562" t="s">
        <v>10064</v>
      </c>
      <c r="B4670" s="563" t="s">
        <v>10065</v>
      </c>
      <c r="C4670" s="564" t="s">
        <v>1612</v>
      </c>
      <c r="D4670" s="565">
        <v>39993</v>
      </c>
      <c r="E4670" s="565">
        <v>39997</v>
      </c>
      <c r="F4670" s="566">
        <v>1005</v>
      </c>
      <c r="G4670" s="564" t="s">
        <v>297</v>
      </c>
      <c r="H4670" s="564"/>
      <c r="I4670" s="564" t="s">
        <v>70</v>
      </c>
      <c r="J4670" s="564" t="s">
        <v>1069</v>
      </c>
      <c r="K4670" s="564" t="s">
        <v>1120</v>
      </c>
      <c r="L4670" s="564" t="s">
        <v>2098</v>
      </c>
      <c r="M4670" s="564" t="s">
        <v>2098</v>
      </c>
      <c r="N4670" s="564" t="s">
        <v>70</v>
      </c>
      <c r="O4670" s="564" t="s">
        <v>2099</v>
      </c>
      <c r="P4670" s="23"/>
      <c r="Q4670" s="23"/>
      <c r="R4670" s="23"/>
      <c r="S4670" s="23"/>
      <c r="T4670" s="23"/>
      <c r="U4670" s="23"/>
      <c r="V4670" s="23"/>
      <c r="W4670" s="23"/>
      <c r="X4670" s="23"/>
      <c r="Y4670" s="23"/>
      <c r="Z4670" s="23"/>
    </row>
    <row r="4671" spans="1:26" ht="13">
      <c r="A4671" s="562" t="s">
        <v>10066</v>
      </c>
      <c r="B4671" s="563" t="s">
        <v>10067</v>
      </c>
      <c r="C4671" s="564" t="s">
        <v>1612</v>
      </c>
      <c r="D4671" s="565">
        <v>39988</v>
      </c>
      <c r="E4671" s="565">
        <v>39997</v>
      </c>
      <c r="F4671" s="566">
        <v>40909091</v>
      </c>
      <c r="G4671" s="564" t="s">
        <v>297</v>
      </c>
      <c r="H4671" s="564"/>
      <c r="I4671" s="564" t="s">
        <v>802</v>
      </c>
      <c r="J4671" s="564" t="s">
        <v>1069</v>
      </c>
      <c r="K4671" s="564" t="s">
        <v>1198</v>
      </c>
      <c r="L4671" s="564" t="s">
        <v>2098</v>
      </c>
      <c r="M4671" s="564" t="s">
        <v>2098</v>
      </c>
      <c r="N4671" s="564" t="s">
        <v>132</v>
      </c>
      <c r="O4671" s="564" t="s">
        <v>2099</v>
      </c>
      <c r="P4671" s="23"/>
      <c r="Q4671" s="23"/>
      <c r="R4671" s="23"/>
      <c r="S4671" s="23"/>
      <c r="T4671" s="23"/>
      <c r="U4671" s="23"/>
      <c r="V4671" s="23"/>
      <c r="W4671" s="23"/>
      <c r="X4671" s="23"/>
      <c r="Y4671" s="23"/>
      <c r="Z4671" s="23"/>
    </row>
    <row r="4672" spans="1:26" ht="13">
      <c r="A4672" s="562" t="s">
        <v>10068</v>
      </c>
      <c r="B4672" s="563" t="s">
        <v>10069</v>
      </c>
      <c r="C4672" s="564" t="s">
        <v>1612</v>
      </c>
      <c r="D4672" s="565">
        <v>39988</v>
      </c>
      <c r="E4672" s="565">
        <v>39994</v>
      </c>
      <c r="F4672" s="566">
        <v>13010</v>
      </c>
      <c r="G4672" s="564" t="s">
        <v>297</v>
      </c>
      <c r="H4672" s="564"/>
      <c r="I4672" s="564" t="s">
        <v>45</v>
      </c>
      <c r="J4672" s="564" t="s">
        <v>1069</v>
      </c>
      <c r="K4672" s="564" t="s">
        <v>1090</v>
      </c>
      <c r="L4672" s="564" t="s">
        <v>2098</v>
      </c>
      <c r="M4672" s="564" t="s">
        <v>2098</v>
      </c>
      <c r="N4672" s="564" t="s">
        <v>45</v>
      </c>
      <c r="O4672" s="564" t="s">
        <v>2099</v>
      </c>
      <c r="P4672" s="23"/>
      <c r="Q4672" s="23"/>
      <c r="R4672" s="23"/>
      <c r="S4672" s="23"/>
      <c r="T4672" s="23"/>
      <c r="U4672" s="23"/>
      <c r="V4672" s="23"/>
      <c r="W4672" s="23"/>
      <c r="X4672" s="23"/>
      <c r="Y4672" s="23"/>
      <c r="Z4672" s="23"/>
    </row>
    <row r="4673" spans="1:26" ht="13">
      <c r="A4673" s="562" t="s">
        <v>10070</v>
      </c>
      <c r="B4673" s="563" t="s">
        <v>10071</v>
      </c>
      <c r="C4673" s="564" t="s">
        <v>1612</v>
      </c>
      <c r="D4673" s="565">
        <v>39987</v>
      </c>
      <c r="E4673" s="565">
        <v>39994</v>
      </c>
      <c r="F4673" s="566">
        <v>23092</v>
      </c>
      <c r="G4673" s="564" t="s">
        <v>297</v>
      </c>
      <c r="H4673" s="564"/>
      <c r="I4673" s="564" t="s">
        <v>45</v>
      </c>
      <c r="J4673" s="564" t="s">
        <v>1069</v>
      </c>
      <c r="K4673" s="564" t="s">
        <v>1090</v>
      </c>
      <c r="L4673" s="564" t="s">
        <v>2098</v>
      </c>
      <c r="M4673" s="564" t="s">
        <v>2098</v>
      </c>
      <c r="N4673" s="564" t="s">
        <v>45</v>
      </c>
      <c r="O4673" s="564" t="s">
        <v>2099</v>
      </c>
      <c r="P4673" s="23"/>
      <c r="Q4673" s="23"/>
      <c r="R4673" s="23"/>
      <c r="S4673" s="23"/>
      <c r="T4673" s="23"/>
      <c r="U4673" s="23"/>
      <c r="V4673" s="23"/>
      <c r="W4673" s="23"/>
      <c r="X4673" s="23"/>
      <c r="Y4673" s="23"/>
      <c r="Z4673" s="23"/>
    </row>
    <row r="4674" spans="1:26" ht="13">
      <c r="A4674" s="562" t="s">
        <v>10072</v>
      </c>
      <c r="B4674" s="563" t="s">
        <v>10073</v>
      </c>
      <c r="C4674" s="564" t="s">
        <v>2191</v>
      </c>
      <c r="D4674" s="565">
        <v>39983</v>
      </c>
      <c r="E4674" s="565">
        <v>39994</v>
      </c>
      <c r="F4674" s="566">
        <v>8900</v>
      </c>
      <c r="G4674" s="564" t="s">
        <v>297</v>
      </c>
      <c r="H4674" s="564"/>
      <c r="I4674" s="564" t="s">
        <v>10074</v>
      </c>
      <c r="J4674" s="564" t="s">
        <v>1069</v>
      </c>
      <c r="K4674" s="564" t="s">
        <v>1070</v>
      </c>
      <c r="L4674" s="564" t="s">
        <v>2098</v>
      </c>
      <c r="M4674" s="564" t="s">
        <v>2098</v>
      </c>
      <c r="N4674" s="564" t="s">
        <v>1368</v>
      </c>
      <c r="O4674" s="564" t="s">
        <v>2099</v>
      </c>
      <c r="P4674" s="23"/>
      <c r="Q4674" s="23"/>
      <c r="R4674" s="23"/>
      <c r="S4674" s="23"/>
      <c r="T4674" s="23"/>
      <c r="U4674" s="23"/>
      <c r="V4674" s="23"/>
      <c r="W4674" s="23"/>
      <c r="X4674" s="23"/>
      <c r="Y4674" s="23"/>
      <c r="Z4674" s="23"/>
    </row>
    <row r="4675" spans="1:26" ht="13">
      <c r="A4675" s="562" t="s">
        <v>10075</v>
      </c>
      <c r="B4675" s="563" t="s">
        <v>10076</v>
      </c>
      <c r="C4675" s="564" t="s">
        <v>1612</v>
      </c>
      <c r="D4675" s="565">
        <v>39974</v>
      </c>
      <c r="E4675" s="565">
        <v>39981</v>
      </c>
      <c r="F4675" s="566">
        <v>6520</v>
      </c>
      <c r="G4675" s="564" t="s">
        <v>297</v>
      </c>
      <c r="H4675" s="564"/>
      <c r="I4675" s="564" t="s">
        <v>70</v>
      </c>
      <c r="J4675" s="564" t="s">
        <v>1069</v>
      </c>
      <c r="K4675" s="564" t="s">
        <v>1120</v>
      </c>
      <c r="L4675" s="564" t="s">
        <v>2098</v>
      </c>
      <c r="M4675" s="564" t="s">
        <v>2098</v>
      </c>
      <c r="N4675" s="564" t="s">
        <v>70</v>
      </c>
      <c r="O4675" s="564" t="s">
        <v>2099</v>
      </c>
      <c r="P4675" s="23"/>
      <c r="Q4675" s="23"/>
      <c r="R4675" s="23"/>
      <c r="S4675" s="23"/>
      <c r="T4675" s="23"/>
      <c r="U4675" s="23"/>
      <c r="V4675" s="23"/>
      <c r="W4675" s="23"/>
      <c r="X4675" s="23"/>
      <c r="Y4675" s="23"/>
      <c r="Z4675" s="23"/>
    </row>
    <row r="4676" spans="1:26" ht="13">
      <c r="A4676" s="562" t="s">
        <v>10077</v>
      </c>
      <c r="B4676" s="563" t="s">
        <v>10078</v>
      </c>
      <c r="C4676" s="564" t="s">
        <v>1612</v>
      </c>
      <c r="D4676" s="565">
        <v>39974</v>
      </c>
      <c r="E4676" s="565">
        <v>39981</v>
      </c>
      <c r="F4676" s="566">
        <v>4890</v>
      </c>
      <c r="G4676" s="564" t="s">
        <v>297</v>
      </c>
      <c r="H4676" s="564"/>
      <c r="I4676" s="564" t="s">
        <v>70</v>
      </c>
      <c r="J4676" s="564" t="s">
        <v>1069</v>
      </c>
      <c r="K4676" s="564" t="s">
        <v>1120</v>
      </c>
      <c r="L4676" s="564" t="s">
        <v>2098</v>
      </c>
      <c r="M4676" s="564" t="s">
        <v>2098</v>
      </c>
      <c r="N4676" s="564" t="s">
        <v>70</v>
      </c>
      <c r="O4676" s="564" t="s">
        <v>2099</v>
      </c>
      <c r="P4676" s="23"/>
      <c r="Q4676" s="23"/>
      <c r="R4676" s="23"/>
      <c r="S4676" s="23"/>
      <c r="T4676" s="23"/>
      <c r="U4676" s="23"/>
      <c r="V4676" s="23"/>
      <c r="W4676" s="23"/>
      <c r="X4676" s="23"/>
      <c r="Y4676" s="23"/>
      <c r="Z4676" s="23"/>
    </row>
    <row r="4677" spans="1:26" ht="13">
      <c r="A4677" s="562" t="s">
        <v>10079</v>
      </c>
      <c r="B4677" s="563" t="s">
        <v>10080</v>
      </c>
      <c r="C4677" s="564" t="s">
        <v>1612</v>
      </c>
      <c r="D4677" s="565">
        <v>39973</v>
      </c>
      <c r="E4677" s="565">
        <v>39983</v>
      </c>
      <c r="F4677" s="566">
        <v>3360</v>
      </c>
      <c r="G4677" s="564" t="s">
        <v>297</v>
      </c>
      <c r="H4677" s="564"/>
      <c r="I4677" s="564" t="s">
        <v>64</v>
      </c>
      <c r="J4677" s="564" t="s">
        <v>1069</v>
      </c>
      <c r="K4677" s="564" t="s">
        <v>1090</v>
      </c>
      <c r="L4677" s="564" t="s">
        <v>2098</v>
      </c>
      <c r="M4677" s="564" t="s">
        <v>2098</v>
      </c>
      <c r="N4677" s="564" t="s">
        <v>64</v>
      </c>
      <c r="O4677" s="564" t="s">
        <v>2099</v>
      </c>
      <c r="P4677" s="23"/>
      <c r="Q4677" s="23"/>
      <c r="R4677" s="23"/>
      <c r="S4677" s="23"/>
      <c r="T4677" s="23"/>
      <c r="U4677" s="23"/>
      <c r="V4677" s="23"/>
      <c r="W4677" s="23"/>
      <c r="X4677" s="23"/>
      <c r="Y4677" s="23"/>
      <c r="Z4677" s="23"/>
    </row>
    <row r="4678" spans="1:26" ht="13">
      <c r="A4678" s="562" t="s">
        <v>10081</v>
      </c>
      <c r="B4678" s="563" t="s">
        <v>10082</v>
      </c>
      <c r="C4678" s="564" t="s">
        <v>1612</v>
      </c>
      <c r="D4678" s="565">
        <v>39973</v>
      </c>
      <c r="E4678" s="565">
        <v>39981</v>
      </c>
      <c r="F4678" s="566">
        <v>1000</v>
      </c>
      <c r="G4678" s="564" t="s">
        <v>297</v>
      </c>
      <c r="H4678" s="564"/>
      <c r="I4678" s="564" t="s">
        <v>2073</v>
      </c>
      <c r="J4678" s="564" t="s">
        <v>1069</v>
      </c>
      <c r="K4678" s="564" t="s">
        <v>1105</v>
      </c>
      <c r="L4678" s="564" t="s">
        <v>2098</v>
      </c>
      <c r="M4678" s="564" t="s">
        <v>2098</v>
      </c>
      <c r="N4678" s="564" t="s">
        <v>225</v>
      </c>
      <c r="O4678" s="564" t="s">
        <v>2099</v>
      </c>
      <c r="P4678" s="23"/>
      <c r="Q4678" s="23"/>
      <c r="R4678" s="23"/>
      <c r="S4678" s="23"/>
      <c r="T4678" s="23"/>
      <c r="U4678" s="23"/>
      <c r="V4678" s="23"/>
      <c r="W4678" s="23"/>
      <c r="X4678" s="23"/>
      <c r="Y4678" s="23"/>
      <c r="Z4678" s="23"/>
    </row>
    <row r="4679" spans="1:26" ht="13">
      <c r="A4679" s="562" t="s">
        <v>10083</v>
      </c>
      <c r="B4679" s="563" t="s">
        <v>10084</v>
      </c>
      <c r="C4679" s="564" t="s">
        <v>6860</v>
      </c>
      <c r="D4679" s="565">
        <v>39967</v>
      </c>
      <c r="E4679" s="565">
        <v>39979</v>
      </c>
      <c r="F4679" s="566">
        <v>20000</v>
      </c>
      <c r="G4679" s="564" t="s">
        <v>1640</v>
      </c>
      <c r="H4679" s="564"/>
      <c r="I4679" s="564" t="s">
        <v>7259</v>
      </c>
      <c r="J4679" s="564" t="s">
        <v>1069</v>
      </c>
      <c r="K4679" s="564" t="s">
        <v>1070</v>
      </c>
      <c r="L4679" s="564" t="s">
        <v>2098</v>
      </c>
      <c r="M4679" s="564" t="s">
        <v>2098</v>
      </c>
      <c r="N4679" s="564" t="s">
        <v>1082</v>
      </c>
      <c r="O4679" s="564" t="s">
        <v>2099</v>
      </c>
      <c r="P4679" s="23"/>
      <c r="Q4679" s="23"/>
      <c r="R4679" s="23"/>
      <c r="S4679" s="23"/>
      <c r="T4679" s="23"/>
      <c r="U4679" s="23"/>
      <c r="V4679" s="23"/>
      <c r="W4679" s="23"/>
      <c r="X4679" s="23"/>
      <c r="Y4679" s="23"/>
      <c r="Z4679" s="23"/>
    </row>
    <row r="4680" spans="1:26" ht="13">
      <c r="A4680" s="562" t="s">
        <v>10085</v>
      </c>
      <c r="B4680" s="563" t="s">
        <v>10086</v>
      </c>
      <c r="C4680" s="564" t="s">
        <v>2191</v>
      </c>
      <c r="D4680" s="565">
        <v>39968</v>
      </c>
      <c r="E4680" s="565">
        <v>39976</v>
      </c>
      <c r="F4680" s="566">
        <v>10904300</v>
      </c>
      <c r="G4680" s="564" t="s">
        <v>297</v>
      </c>
      <c r="H4680" s="564"/>
      <c r="I4680" s="564" t="s">
        <v>7616</v>
      </c>
      <c r="J4680" s="564" t="s">
        <v>1069</v>
      </c>
      <c r="K4680" s="564" t="s">
        <v>1070</v>
      </c>
      <c r="L4680" s="564" t="s">
        <v>2098</v>
      </c>
      <c r="M4680" s="564" t="s">
        <v>2098</v>
      </c>
      <c r="N4680" s="564" t="s">
        <v>1082</v>
      </c>
      <c r="O4680" s="564" t="s">
        <v>2099</v>
      </c>
      <c r="P4680" s="23"/>
      <c r="Q4680" s="23"/>
      <c r="R4680" s="23"/>
      <c r="S4680" s="23"/>
      <c r="T4680" s="23"/>
      <c r="U4680" s="23"/>
      <c r="V4680" s="23"/>
      <c r="W4680" s="23"/>
      <c r="X4680" s="23"/>
      <c r="Y4680" s="23"/>
      <c r="Z4680" s="23"/>
    </row>
    <row r="4681" spans="1:26" ht="13">
      <c r="A4681" s="562" t="s">
        <v>10087</v>
      </c>
      <c r="B4681" s="563" t="s">
        <v>10088</v>
      </c>
      <c r="C4681" s="564" t="s">
        <v>1612</v>
      </c>
      <c r="D4681" s="565">
        <v>39968</v>
      </c>
      <c r="E4681" s="565">
        <v>39976</v>
      </c>
      <c r="F4681" s="567">
        <v>145</v>
      </c>
      <c r="G4681" s="564" t="s">
        <v>297</v>
      </c>
      <c r="H4681" s="564"/>
      <c r="I4681" s="564" t="s">
        <v>1934</v>
      </c>
      <c r="J4681" s="564" t="s">
        <v>1069</v>
      </c>
      <c r="K4681" s="564" t="s">
        <v>1070</v>
      </c>
      <c r="L4681" s="564" t="s">
        <v>2098</v>
      </c>
      <c r="M4681" s="564" t="s">
        <v>2098</v>
      </c>
      <c r="N4681" s="564" t="s">
        <v>1073</v>
      </c>
      <c r="O4681" s="564" t="s">
        <v>2099</v>
      </c>
      <c r="P4681" s="23"/>
      <c r="Q4681" s="23"/>
      <c r="R4681" s="23"/>
      <c r="S4681" s="23"/>
      <c r="T4681" s="23"/>
      <c r="U4681" s="23"/>
      <c r="V4681" s="23"/>
      <c r="W4681" s="23"/>
      <c r="X4681" s="23"/>
      <c r="Y4681" s="23"/>
      <c r="Z4681" s="23"/>
    </row>
    <row r="4682" spans="1:26" ht="13">
      <c r="A4682" s="562" t="s">
        <v>10089</v>
      </c>
      <c r="B4682" s="563" t="s">
        <v>10090</v>
      </c>
      <c r="C4682" s="564" t="s">
        <v>1612</v>
      </c>
      <c r="D4682" s="565">
        <v>39966</v>
      </c>
      <c r="E4682" s="565">
        <v>39969</v>
      </c>
      <c r="F4682" s="566">
        <v>2580</v>
      </c>
      <c r="G4682" s="564" t="s">
        <v>297</v>
      </c>
      <c r="H4682" s="564"/>
      <c r="I4682" s="564" t="s">
        <v>257</v>
      </c>
      <c r="J4682" s="564" t="s">
        <v>1069</v>
      </c>
      <c r="K4682" s="564" t="s">
        <v>1209</v>
      </c>
      <c r="L4682" s="564" t="s">
        <v>2098</v>
      </c>
      <c r="M4682" s="564" t="s">
        <v>2098</v>
      </c>
      <c r="N4682" s="564" t="s">
        <v>257</v>
      </c>
      <c r="O4682" s="564" t="s">
        <v>2099</v>
      </c>
      <c r="P4682" s="23"/>
      <c r="Q4682" s="23"/>
      <c r="R4682" s="23"/>
      <c r="S4682" s="23"/>
      <c r="T4682" s="23"/>
      <c r="U4682" s="23"/>
      <c r="V4682" s="23"/>
      <c r="W4682" s="23"/>
      <c r="X4682" s="23"/>
      <c r="Y4682" s="23"/>
      <c r="Z4682" s="23"/>
    </row>
    <row r="4683" spans="1:26" ht="13">
      <c r="A4683" s="562" t="s">
        <v>10091</v>
      </c>
      <c r="B4683" s="563" t="s">
        <v>10092</v>
      </c>
      <c r="C4683" s="564" t="s">
        <v>1612</v>
      </c>
      <c r="D4683" s="565">
        <v>39966</v>
      </c>
      <c r="E4683" s="565">
        <v>39976</v>
      </c>
      <c r="F4683" s="566">
        <v>1232000</v>
      </c>
      <c r="G4683" s="564" t="s">
        <v>297</v>
      </c>
      <c r="H4683" s="564"/>
      <c r="I4683" s="564" t="s">
        <v>64</v>
      </c>
      <c r="J4683" s="564" t="s">
        <v>1069</v>
      </c>
      <c r="K4683" s="564" t="s">
        <v>1090</v>
      </c>
      <c r="L4683" s="564" t="s">
        <v>2098</v>
      </c>
      <c r="M4683" s="564" t="s">
        <v>2098</v>
      </c>
      <c r="N4683" s="564" t="s">
        <v>64</v>
      </c>
      <c r="O4683" s="564" t="s">
        <v>2099</v>
      </c>
      <c r="P4683" s="23"/>
      <c r="Q4683" s="23"/>
      <c r="R4683" s="23"/>
      <c r="S4683" s="23"/>
      <c r="T4683" s="23"/>
      <c r="U4683" s="23"/>
      <c r="V4683" s="23"/>
      <c r="W4683" s="23"/>
      <c r="X4683" s="23"/>
      <c r="Y4683" s="23"/>
      <c r="Z4683" s="23"/>
    </row>
    <row r="4684" spans="1:26" ht="13">
      <c r="A4684" s="562" t="s">
        <v>10093</v>
      </c>
      <c r="B4684" s="563" t="s">
        <v>10094</v>
      </c>
      <c r="C4684" s="564" t="s">
        <v>1612</v>
      </c>
      <c r="D4684" s="565">
        <v>39962</v>
      </c>
      <c r="E4684" s="565">
        <v>39947</v>
      </c>
      <c r="F4684" s="566">
        <v>148500000</v>
      </c>
      <c r="G4684" s="564" t="s">
        <v>1157</v>
      </c>
      <c r="H4684" s="564" t="s">
        <v>1157</v>
      </c>
      <c r="I4684" s="564" t="s">
        <v>70</v>
      </c>
      <c r="J4684" s="564" t="s">
        <v>1069</v>
      </c>
      <c r="K4684" s="564" t="s">
        <v>1120</v>
      </c>
      <c r="L4684" s="564" t="s">
        <v>2098</v>
      </c>
      <c r="M4684" s="564" t="s">
        <v>2098</v>
      </c>
      <c r="N4684" s="564" t="s">
        <v>70</v>
      </c>
      <c r="O4684" s="564" t="s">
        <v>2099</v>
      </c>
      <c r="P4684" s="23"/>
      <c r="Q4684" s="23"/>
      <c r="R4684" s="23"/>
      <c r="S4684" s="23"/>
      <c r="T4684" s="23"/>
      <c r="U4684" s="23"/>
      <c r="V4684" s="23"/>
      <c r="W4684" s="23"/>
      <c r="X4684" s="23"/>
      <c r="Y4684" s="23"/>
      <c r="Z4684" s="23"/>
    </row>
    <row r="4685" spans="1:26" ht="13">
      <c r="A4685" s="562" t="s">
        <v>10095</v>
      </c>
      <c r="B4685" s="563" t="s">
        <v>10096</v>
      </c>
      <c r="C4685" s="564" t="s">
        <v>1612</v>
      </c>
      <c r="D4685" s="565">
        <v>39962</v>
      </c>
      <c r="E4685" s="565">
        <v>39990</v>
      </c>
      <c r="F4685" s="566">
        <v>4950000</v>
      </c>
      <c r="G4685" s="564" t="s">
        <v>1157</v>
      </c>
      <c r="H4685" s="564"/>
      <c r="I4685" s="564" t="s">
        <v>1821</v>
      </c>
      <c r="J4685" s="564" t="s">
        <v>1069</v>
      </c>
      <c r="K4685" s="564" t="s">
        <v>1120</v>
      </c>
      <c r="L4685" s="564" t="s">
        <v>2098</v>
      </c>
      <c r="M4685" s="564" t="s">
        <v>2098</v>
      </c>
      <c r="N4685" s="564" t="s">
        <v>1073</v>
      </c>
      <c r="O4685" s="564" t="s">
        <v>2099</v>
      </c>
      <c r="P4685" s="23"/>
      <c r="Q4685" s="23"/>
      <c r="R4685" s="23"/>
      <c r="S4685" s="23"/>
      <c r="T4685" s="23"/>
      <c r="U4685" s="23"/>
      <c r="V4685" s="23"/>
      <c r="W4685" s="23"/>
      <c r="X4685" s="23"/>
      <c r="Y4685" s="23"/>
      <c r="Z4685" s="23"/>
    </row>
    <row r="4686" spans="1:26" ht="13">
      <c r="A4686" s="562" t="s">
        <v>10097</v>
      </c>
      <c r="B4686" s="563" t="s">
        <v>10098</v>
      </c>
      <c r="C4686" s="564" t="s">
        <v>1612</v>
      </c>
      <c r="D4686" s="565">
        <v>39959</v>
      </c>
      <c r="E4686" s="565">
        <v>39969</v>
      </c>
      <c r="F4686" s="566">
        <v>509065</v>
      </c>
      <c r="G4686" s="564" t="s">
        <v>297</v>
      </c>
      <c r="H4686" s="564"/>
      <c r="I4686" s="564" t="s">
        <v>7259</v>
      </c>
      <c r="J4686" s="564" t="s">
        <v>1069</v>
      </c>
      <c r="K4686" s="564" t="s">
        <v>1070</v>
      </c>
      <c r="L4686" s="564" t="s">
        <v>2098</v>
      </c>
      <c r="M4686" s="564" t="s">
        <v>2098</v>
      </c>
      <c r="N4686" s="564" t="s">
        <v>1082</v>
      </c>
      <c r="O4686" s="564" t="s">
        <v>2099</v>
      </c>
      <c r="P4686" s="23"/>
      <c r="Q4686" s="23"/>
      <c r="R4686" s="23"/>
      <c r="S4686" s="23"/>
      <c r="T4686" s="23"/>
      <c r="U4686" s="23"/>
      <c r="V4686" s="23"/>
      <c r="W4686" s="23"/>
      <c r="X4686" s="23"/>
      <c r="Y4686" s="23"/>
      <c r="Z4686" s="23"/>
    </row>
    <row r="4687" spans="1:26" ht="13">
      <c r="A4687" s="562" t="s">
        <v>10099</v>
      </c>
      <c r="B4687" s="563" t="s">
        <v>10100</v>
      </c>
      <c r="C4687" s="564" t="s">
        <v>2191</v>
      </c>
      <c r="D4687" s="565">
        <v>39959</v>
      </c>
      <c r="E4687" s="565">
        <v>40025</v>
      </c>
      <c r="F4687" s="566">
        <v>4500</v>
      </c>
      <c r="G4687" s="564" t="s">
        <v>1636</v>
      </c>
      <c r="H4687" s="564"/>
      <c r="I4687" s="564" t="s">
        <v>10101</v>
      </c>
      <c r="J4687" s="564" t="s">
        <v>1069</v>
      </c>
      <c r="K4687" s="564" t="s">
        <v>1070</v>
      </c>
      <c r="L4687" s="564" t="s">
        <v>2098</v>
      </c>
      <c r="M4687" s="564" t="s">
        <v>2098</v>
      </c>
      <c r="N4687" s="564" t="s">
        <v>1082</v>
      </c>
      <c r="O4687" s="564" t="s">
        <v>2099</v>
      </c>
      <c r="P4687" s="23"/>
      <c r="Q4687" s="23"/>
      <c r="R4687" s="23"/>
      <c r="S4687" s="23"/>
      <c r="T4687" s="23"/>
      <c r="U4687" s="23"/>
      <c r="V4687" s="23"/>
      <c r="W4687" s="23"/>
      <c r="X4687" s="23"/>
      <c r="Y4687" s="23"/>
      <c r="Z4687" s="23"/>
    </row>
    <row r="4688" spans="1:26" ht="13">
      <c r="A4688" s="562" t="s">
        <v>10102</v>
      </c>
      <c r="B4688" s="563" t="s">
        <v>10103</v>
      </c>
      <c r="C4688" s="564" t="s">
        <v>1612</v>
      </c>
      <c r="D4688" s="565">
        <v>39955</v>
      </c>
      <c r="E4688" s="565">
        <v>39983</v>
      </c>
      <c r="F4688" s="566">
        <v>16925</v>
      </c>
      <c r="G4688" s="564" t="s">
        <v>297</v>
      </c>
      <c r="H4688" s="564"/>
      <c r="I4688" s="564" t="s">
        <v>802</v>
      </c>
      <c r="J4688" s="564" t="s">
        <v>1069</v>
      </c>
      <c r="K4688" s="564" t="s">
        <v>1198</v>
      </c>
      <c r="L4688" s="564" t="s">
        <v>2098</v>
      </c>
      <c r="M4688" s="564" t="s">
        <v>2098</v>
      </c>
      <c r="N4688" s="564" t="s">
        <v>132</v>
      </c>
      <c r="O4688" s="564" t="s">
        <v>2099</v>
      </c>
      <c r="P4688" s="23"/>
      <c r="Q4688" s="23"/>
      <c r="R4688" s="23"/>
      <c r="S4688" s="23"/>
      <c r="T4688" s="23"/>
      <c r="U4688" s="23"/>
      <c r="V4688" s="23"/>
      <c r="W4688" s="23"/>
      <c r="X4688" s="23"/>
      <c r="Y4688" s="23"/>
      <c r="Z4688" s="23"/>
    </row>
    <row r="4689" spans="1:26" ht="13">
      <c r="A4689" s="562" t="s">
        <v>10104</v>
      </c>
      <c r="B4689" s="563" t="s">
        <v>10105</v>
      </c>
      <c r="C4689" s="564" t="s">
        <v>1612</v>
      </c>
      <c r="D4689" s="565">
        <v>39954</v>
      </c>
      <c r="E4689" s="565">
        <v>39962</v>
      </c>
      <c r="F4689" s="566">
        <v>12975</v>
      </c>
      <c r="G4689" s="564" t="s">
        <v>297</v>
      </c>
      <c r="H4689" s="564"/>
      <c r="I4689" s="564" t="s">
        <v>802</v>
      </c>
      <c r="J4689" s="564" t="s">
        <v>1069</v>
      </c>
      <c r="K4689" s="564" t="s">
        <v>1198</v>
      </c>
      <c r="L4689" s="564" t="s">
        <v>2098</v>
      </c>
      <c r="M4689" s="564" t="s">
        <v>2098</v>
      </c>
      <c r="N4689" s="564" t="s">
        <v>132</v>
      </c>
      <c r="O4689" s="564" t="s">
        <v>2099</v>
      </c>
      <c r="P4689" s="23"/>
      <c r="Q4689" s="23"/>
      <c r="R4689" s="23"/>
      <c r="S4689" s="23"/>
      <c r="T4689" s="23"/>
      <c r="U4689" s="23"/>
      <c r="V4689" s="23"/>
      <c r="W4689" s="23"/>
      <c r="X4689" s="23"/>
      <c r="Y4689" s="23"/>
      <c r="Z4689" s="23"/>
    </row>
    <row r="4690" spans="1:26" ht="13">
      <c r="A4690" s="562" t="s">
        <v>10106</v>
      </c>
      <c r="B4690" s="563" t="s">
        <v>10107</v>
      </c>
      <c r="C4690" s="564" t="s">
        <v>1612</v>
      </c>
      <c r="D4690" s="565">
        <v>39954</v>
      </c>
      <c r="E4690" s="565">
        <v>39962</v>
      </c>
      <c r="F4690" s="566">
        <v>9054</v>
      </c>
      <c r="G4690" s="564" t="s">
        <v>297</v>
      </c>
      <c r="H4690" s="564"/>
      <c r="I4690" s="564" t="s">
        <v>70</v>
      </c>
      <c r="J4690" s="564" t="s">
        <v>1069</v>
      </c>
      <c r="K4690" s="564" t="s">
        <v>1120</v>
      </c>
      <c r="L4690" s="564" t="s">
        <v>2098</v>
      </c>
      <c r="M4690" s="564" t="s">
        <v>2098</v>
      </c>
      <c r="N4690" s="564" t="s">
        <v>70</v>
      </c>
      <c r="O4690" s="564" t="s">
        <v>2099</v>
      </c>
      <c r="P4690" s="23"/>
      <c r="Q4690" s="23"/>
      <c r="R4690" s="23"/>
      <c r="S4690" s="23"/>
      <c r="T4690" s="23"/>
      <c r="U4690" s="23"/>
      <c r="V4690" s="23"/>
      <c r="W4690" s="23"/>
      <c r="X4690" s="23"/>
      <c r="Y4690" s="23"/>
      <c r="Z4690" s="23"/>
    </row>
    <row r="4691" spans="1:26" ht="13">
      <c r="A4691" s="562" t="s">
        <v>10108</v>
      </c>
      <c r="B4691" s="563" t="s">
        <v>10014</v>
      </c>
      <c r="C4691" s="564" t="s">
        <v>1612</v>
      </c>
      <c r="D4691" s="565">
        <v>39952</v>
      </c>
      <c r="E4691" s="565">
        <v>39962</v>
      </c>
      <c r="F4691" s="566">
        <v>8908</v>
      </c>
      <c r="G4691" s="564" t="s">
        <v>297</v>
      </c>
      <c r="H4691" s="564"/>
      <c r="I4691" s="564" t="s">
        <v>802</v>
      </c>
      <c r="J4691" s="564" t="s">
        <v>1069</v>
      </c>
      <c r="K4691" s="564" t="s">
        <v>1198</v>
      </c>
      <c r="L4691" s="564" t="s">
        <v>2098</v>
      </c>
      <c r="M4691" s="564" t="s">
        <v>2098</v>
      </c>
      <c r="N4691" s="564" t="s">
        <v>132</v>
      </c>
      <c r="O4691" s="564" t="s">
        <v>2099</v>
      </c>
      <c r="P4691" s="23"/>
      <c r="Q4691" s="23"/>
      <c r="R4691" s="23"/>
      <c r="S4691" s="23"/>
      <c r="T4691" s="23"/>
      <c r="U4691" s="23"/>
      <c r="V4691" s="23"/>
      <c r="W4691" s="23"/>
      <c r="X4691" s="23"/>
      <c r="Y4691" s="23"/>
      <c r="Z4691" s="23"/>
    </row>
    <row r="4692" spans="1:26" ht="13">
      <c r="A4692" s="562" t="s">
        <v>10109</v>
      </c>
      <c r="B4692" s="563" t="s">
        <v>10110</v>
      </c>
      <c r="C4692" s="564" t="s">
        <v>1612</v>
      </c>
      <c r="D4692" s="565">
        <v>39948</v>
      </c>
      <c r="E4692" s="565">
        <v>39955</v>
      </c>
      <c r="F4692" s="566">
        <v>390000</v>
      </c>
      <c r="G4692" s="564" t="s">
        <v>297</v>
      </c>
      <c r="H4692" s="564"/>
      <c r="I4692" s="564" t="s">
        <v>45</v>
      </c>
      <c r="J4692" s="564" t="s">
        <v>1069</v>
      </c>
      <c r="K4692" s="564" t="s">
        <v>1090</v>
      </c>
      <c r="L4692" s="564" t="s">
        <v>2098</v>
      </c>
      <c r="M4692" s="564" t="s">
        <v>2098</v>
      </c>
      <c r="N4692" s="564" t="s">
        <v>45</v>
      </c>
      <c r="O4692" s="564" t="s">
        <v>2099</v>
      </c>
      <c r="P4692" s="23"/>
      <c r="Q4692" s="23"/>
      <c r="R4692" s="23"/>
      <c r="S4692" s="23"/>
      <c r="T4692" s="23"/>
      <c r="U4692" s="23"/>
      <c r="V4692" s="23"/>
      <c r="W4692" s="23"/>
      <c r="X4692" s="23"/>
      <c r="Y4692" s="23"/>
      <c r="Z4692" s="23"/>
    </row>
    <row r="4693" spans="1:26" ht="13">
      <c r="A4693" s="562" t="s">
        <v>10111</v>
      </c>
      <c r="B4693" s="563" t="s">
        <v>10112</v>
      </c>
      <c r="C4693" s="564" t="s">
        <v>1612</v>
      </c>
      <c r="D4693" s="565">
        <v>39947</v>
      </c>
      <c r="E4693" s="565">
        <v>39983</v>
      </c>
      <c r="F4693" s="566">
        <v>19000000</v>
      </c>
      <c r="G4693" s="564" t="s">
        <v>1856</v>
      </c>
      <c r="H4693" s="564"/>
      <c r="I4693" s="564" t="s">
        <v>45</v>
      </c>
      <c r="J4693" s="564" t="s">
        <v>1069</v>
      </c>
      <c r="K4693" s="564" t="s">
        <v>1090</v>
      </c>
      <c r="L4693" s="564" t="s">
        <v>2098</v>
      </c>
      <c r="M4693" s="564" t="s">
        <v>2098</v>
      </c>
      <c r="N4693" s="564" t="s">
        <v>45</v>
      </c>
      <c r="O4693" s="564" t="s">
        <v>2099</v>
      </c>
      <c r="P4693" s="23"/>
      <c r="Q4693" s="23"/>
      <c r="R4693" s="23"/>
      <c r="S4693" s="23"/>
      <c r="T4693" s="23"/>
      <c r="U4693" s="23"/>
      <c r="V4693" s="23"/>
      <c r="W4693" s="23"/>
      <c r="X4693" s="23"/>
      <c r="Y4693" s="23"/>
      <c r="Z4693" s="23"/>
    </row>
    <row r="4694" spans="1:26" ht="13">
      <c r="A4694" s="562" t="s">
        <v>10113</v>
      </c>
      <c r="B4694" s="563" t="s">
        <v>10114</v>
      </c>
      <c r="C4694" s="564" t="s">
        <v>1612</v>
      </c>
      <c r="D4694" s="565">
        <v>39947</v>
      </c>
      <c r="E4694" s="565">
        <v>39955</v>
      </c>
      <c r="F4694" s="567">
        <v>350</v>
      </c>
      <c r="G4694" s="564" t="s">
        <v>297</v>
      </c>
      <c r="H4694" s="564"/>
      <c r="I4694" s="564" t="s">
        <v>2073</v>
      </c>
      <c r="J4694" s="564" t="s">
        <v>1069</v>
      </c>
      <c r="K4694" s="564" t="s">
        <v>1105</v>
      </c>
      <c r="L4694" s="564" t="s">
        <v>2098</v>
      </c>
      <c r="M4694" s="564" t="s">
        <v>2098</v>
      </c>
      <c r="N4694" s="564" t="s">
        <v>225</v>
      </c>
      <c r="O4694" s="564" t="s">
        <v>2099</v>
      </c>
      <c r="P4694" s="23"/>
      <c r="Q4694" s="23"/>
      <c r="R4694" s="23"/>
      <c r="S4694" s="23"/>
      <c r="T4694" s="23"/>
      <c r="U4694" s="23"/>
      <c r="V4694" s="23"/>
      <c r="W4694" s="23"/>
      <c r="X4694" s="23"/>
      <c r="Y4694" s="23"/>
      <c r="Z4694" s="23"/>
    </row>
    <row r="4695" spans="1:26" ht="13">
      <c r="A4695" s="562" t="s">
        <v>10115</v>
      </c>
      <c r="B4695" s="563" t="s">
        <v>9757</v>
      </c>
      <c r="C4695" s="564" t="s">
        <v>1612</v>
      </c>
      <c r="D4695" s="565">
        <v>39946</v>
      </c>
      <c r="E4695" s="565">
        <v>39955</v>
      </c>
      <c r="F4695" s="567">
        <v>250</v>
      </c>
      <c r="G4695" s="564" t="s">
        <v>297</v>
      </c>
      <c r="H4695" s="564"/>
      <c r="I4695" s="564" t="s">
        <v>70</v>
      </c>
      <c r="J4695" s="564" t="s">
        <v>1069</v>
      </c>
      <c r="K4695" s="564" t="s">
        <v>1120</v>
      </c>
      <c r="L4695" s="564" t="s">
        <v>2098</v>
      </c>
      <c r="M4695" s="564" t="s">
        <v>2098</v>
      </c>
      <c r="N4695" s="564" t="s">
        <v>70</v>
      </c>
      <c r="O4695" s="564" t="s">
        <v>2099</v>
      </c>
      <c r="P4695" s="23"/>
      <c r="Q4695" s="23"/>
      <c r="R4695" s="23"/>
      <c r="S4695" s="23"/>
      <c r="T4695" s="23"/>
      <c r="U4695" s="23"/>
      <c r="V4695" s="23"/>
      <c r="W4695" s="23"/>
      <c r="X4695" s="23"/>
      <c r="Y4695" s="23"/>
      <c r="Z4695" s="23"/>
    </row>
    <row r="4696" spans="1:26" ht="13">
      <c r="A4696" s="562" t="s">
        <v>10116</v>
      </c>
      <c r="B4696" s="563" t="s">
        <v>10117</v>
      </c>
      <c r="C4696" s="564" t="s">
        <v>1612</v>
      </c>
      <c r="D4696" s="565">
        <v>39946</v>
      </c>
      <c r="E4696" s="565">
        <v>39955</v>
      </c>
      <c r="F4696" s="566">
        <v>7380</v>
      </c>
      <c r="G4696" s="564" t="s">
        <v>297</v>
      </c>
      <c r="H4696" s="564"/>
      <c r="I4696" s="564" t="s">
        <v>45</v>
      </c>
      <c r="J4696" s="564" t="s">
        <v>1069</v>
      </c>
      <c r="K4696" s="564" t="s">
        <v>1090</v>
      </c>
      <c r="L4696" s="564" t="s">
        <v>2098</v>
      </c>
      <c r="M4696" s="564" t="s">
        <v>2098</v>
      </c>
      <c r="N4696" s="564" t="s">
        <v>45</v>
      </c>
      <c r="O4696" s="564" t="s">
        <v>2099</v>
      </c>
      <c r="P4696" s="23"/>
      <c r="Q4696" s="23"/>
      <c r="R4696" s="23"/>
      <c r="S4696" s="23"/>
      <c r="T4696" s="23"/>
      <c r="U4696" s="23"/>
      <c r="V4696" s="23"/>
      <c r="W4696" s="23"/>
      <c r="X4696" s="23"/>
      <c r="Y4696" s="23"/>
      <c r="Z4696" s="23"/>
    </row>
    <row r="4697" spans="1:26" ht="13">
      <c r="A4697" s="562" t="s">
        <v>10118</v>
      </c>
      <c r="B4697" s="563" t="s">
        <v>9784</v>
      </c>
      <c r="C4697" s="564" t="s">
        <v>1612</v>
      </c>
      <c r="D4697" s="565">
        <v>39945</v>
      </c>
      <c r="E4697" s="565">
        <v>39962</v>
      </c>
      <c r="F4697" s="566">
        <v>5614</v>
      </c>
      <c r="G4697" s="564" t="s">
        <v>297</v>
      </c>
      <c r="H4697" s="564"/>
      <c r="I4697" s="564" t="s">
        <v>70</v>
      </c>
      <c r="J4697" s="564" t="s">
        <v>1069</v>
      </c>
      <c r="K4697" s="564" t="s">
        <v>1120</v>
      </c>
      <c r="L4697" s="564" t="s">
        <v>2098</v>
      </c>
      <c r="M4697" s="564" t="s">
        <v>2098</v>
      </c>
      <c r="N4697" s="564" t="s">
        <v>70</v>
      </c>
      <c r="O4697" s="564" t="s">
        <v>2099</v>
      </c>
      <c r="P4697" s="23"/>
      <c r="Q4697" s="23"/>
      <c r="R4697" s="23"/>
      <c r="S4697" s="23"/>
      <c r="T4697" s="23"/>
      <c r="U4697" s="23"/>
      <c r="V4697" s="23"/>
      <c r="W4697" s="23"/>
      <c r="X4697" s="23"/>
      <c r="Y4697" s="23"/>
      <c r="Z4697" s="23"/>
    </row>
    <row r="4698" spans="1:26" ht="13">
      <c r="A4698" s="562" t="s">
        <v>10119</v>
      </c>
      <c r="B4698" s="563" t="s">
        <v>10120</v>
      </c>
      <c r="C4698" s="564" t="s">
        <v>1612</v>
      </c>
      <c r="D4698" s="565">
        <v>39941</v>
      </c>
      <c r="E4698" s="565">
        <v>39948</v>
      </c>
      <c r="F4698" s="566">
        <v>76429</v>
      </c>
      <c r="G4698" s="564" t="s">
        <v>297</v>
      </c>
      <c r="H4698" s="564"/>
      <c r="I4698" s="564" t="s">
        <v>45</v>
      </c>
      <c r="J4698" s="564" t="s">
        <v>1069</v>
      </c>
      <c r="K4698" s="564" t="s">
        <v>1090</v>
      </c>
      <c r="L4698" s="564" t="s">
        <v>2098</v>
      </c>
      <c r="M4698" s="564" t="s">
        <v>2098</v>
      </c>
      <c r="N4698" s="564" t="s">
        <v>45</v>
      </c>
      <c r="O4698" s="564" t="s">
        <v>2099</v>
      </c>
      <c r="P4698" s="23"/>
      <c r="Q4698" s="23"/>
      <c r="R4698" s="23"/>
      <c r="S4698" s="23"/>
      <c r="T4698" s="23"/>
      <c r="U4698" s="23"/>
      <c r="V4698" s="23"/>
      <c r="W4698" s="23"/>
      <c r="X4698" s="23"/>
      <c r="Y4698" s="23"/>
      <c r="Z4698" s="23"/>
    </row>
    <row r="4699" spans="1:26" ht="13">
      <c r="A4699" s="562" t="s">
        <v>10121</v>
      </c>
      <c r="B4699" s="563" t="s">
        <v>10122</v>
      </c>
      <c r="C4699" s="564" t="s">
        <v>1612</v>
      </c>
      <c r="D4699" s="565">
        <v>39941</v>
      </c>
      <c r="E4699" s="565">
        <v>39948</v>
      </c>
      <c r="F4699" s="566">
        <v>262000</v>
      </c>
      <c r="G4699" s="564" t="s">
        <v>297</v>
      </c>
      <c r="H4699" s="564" t="s">
        <v>297</v>
      </c>
      <c r="I4699" s="564" t="s">
        <v>7259</v>
      </c>
      <c r="J4699" s="564" t="s">
        <v>1069</v>
      </c>
      <c r="K4699" s="564" t="s">
        <v>1070</v>
      </c>
      <c r="L4699" s="564" t="s">
        <v>2098</v>
      </c>
      <c r="M4699" s="564" t="s">
        <v>2098</v>
      </c>
      <c r="N4699" s="564" t="s">
        <v>1082</v>
      </c>
      <c r="O4699" s="564" t="s">
        <v>2099</v>
      </c>
      <c r="P4699" s="23"/>
      <c r="Q4699" s="23"/>
      <c r="R4699" s="23"/>
      <c r="S4699" s="23"/>
      <c r="T4699" s="23"/>
      <c r="U4699" s="23"/>
      <c r="V4699" s="23"/>
      <c r="W4699" s="23"/>
      <c r="X4699" s="23"/>
      <c r="Y4699" s="23"/>
      <c r="Z4699" s="23"/>
    </row>
    <row r="4700" spans="1:26" ht="13">
      <c r="A4700" s="562" t="s">
        <v>10123</v>
      </c>
      <c r="B4700" s="563" t="s">
        <v>10124</v>
      </c>
      <c r="C4700" s="564" t="s">
        <v>1612</v>
      </c>
      <c r="D4700" s="565">
        <v>39941</v>
      </c>
      <c r="E4700" s="565">
        <v>40117</v>
      </c>
      <c r="F4700" s="566">
        <v>607000</v>
      </c>
      <c r="G4700" s="564" t="s">
        <v>1856</v>
      </c>
      <c r="H4700" s="564" t="s">
        <v>1856</v>
      </c>
      <c r="I4700" s="564" t="s">
        <v>45</v>
      </c>
      <c r="J4700" s="564" t="s">
        <v>1069</v>
      </c>
      <c r="K4700" s="564" t="s">
        <v>1090</v>
      </c>
      <c r="L4700" s="564" t="s">
        <v>2098</v>
      </c>
      <c r="M4700" s="564" t="s">
        <v>2098</v>
      </c>
      <c r="N4700" s="564" t="s">
        <v>45</v>
      </c>
      <c r="O4700" s="564" t="s">
        <v>2099</v>
      </c>
      <c r="P4700" s="23"/>
      <c r="Q4700" s="23"/>
      <c r="R4700" s="23"/>
      <c r="S4700" s="23"/>
      <c r="T4700" s="23"/>
      <c r="U4700" s="23"/>
      <c r="V4700" s="23"/>
      <c r="W4700" s="23"/>
      <c r="X4700" s="23"/>
      <c r="Y4700" s="23"/>
      <c r="Z4700" s="23"/>
    </row>
    <row r="4701" spans="1:26" ht="13">
      <c r="A4701" s="562" t="s">
        <v>10125</v>
      </c>
      <c r="B4701" s="563" t="s">
        <v>10126</v>
      </c>
      <c r="C4701" s="564" t="s">
        <v>1612</v>
      </c>
      <c r="D4701" s="565">
        <v>39933</v>
      </c>
      <c r="E4701" s="565">
        <v>39933</v>
      </c>
      <c r="F4701" s="566">
        <v>7800000</v>
      </c>
      <c r="G4701" s="564" t="s">
        <v>1912</v>
      </c>
      <c r="H4701" s="564"/>
      <c r="I4701" s="564" t="s">
        <v>45</v>
      </c>
      <c r="J4701" s="564" t="s">
        <v>1069</v>
      </c>
      <c r="K4701" s="564" t="s">
        <v>1090</v>
      </c>
      <c r="L4701" s="564" t="s">
        <v>2098</v>
      </c>
      <c r="M4701" s="564" t="s">
        <v>2098</v>
      </c>
      <c r="N4701" s="564" t="s">
        <v>45</v>
      </c>
      <c r="O4701" s="564" t="s">
        <v>2099</v>
      </c>
      <c r="P4701" s="23"/>
      <c r="Q4701" s="23"/>
      <c r="R4701" s="23"/>
      <c r="S4701" s="23"/>
      <c r="T4701" s="23"/>
      <c r="U4701" s="23"/>
      <c r="V4701" s="23"/>
      <c r="W4701" s="23"/>
      <c r="X4701" s="23"/>
      <c r="Y4701" s="23"/>
      <c r="Z4701" s="23"/>
    </row>
    <row r="4702" spans="1:26" ht="13">
      <c r="A4702" s="562" t="s">
        <v>10127</v>
      </c>
      <c r="B4702" s="563" t="s">
        <v>10128</v>
      </c>
      <c r="C4702" s="564" t="s">
        <v>1612</v>
      </c>
      <c r="D4702" s="565">
        <v>39933</v>
      </c>
      <c r="E4702" s="565">
        <v>39948</v>
      </c>
      <c r="F4702" s="566">
        <v>34494</v>
      </c>
      <c r="G4702" s="564" t="s">
        <v>297</v>
      </c>
      <c r="H4702" s="564"/>
      <c r="I4702" s="564" t="s">
        <v>802</v>
      </c>
      <c r="J4702" s="564" t="s">
        <v>1069</v>
      </c>
      <c r="K4702" s="564" t="s">
        <v>1198</v>
      </c>
      <c r="L4702" s="564" t="s">
        <v>2098</v>
      </c>
      <c r="M4702" s="564" t="s">
        <v>2098</v>
      </c>
      <c r="N4702" s="564" t="s">
        <v>132</v>
      </c>
      <c r="O4702" s="564" t="s">
        <v>2099</v>
      </c>
      <c r="P4702" s="23"/>
      <c r="Q4702" s="23"/>
      <c r="R4702" s="23"/>
      <c r="S4702" s="23"/>
      <c r="T4702" s="23"/>
      <c r="U4702" s="23"/>
      <c r="V4702" s="23"/>
      <c r="W4702" s="23"/>
      <c r="X4702" s="23"/>
      <c r="Y4702" s="23"/>
      <c r="Z4702" s="23"/>
    </row>
    <row r="4703" spans="1:26" ht="13">
      <c r="A4703" s="562" t="s">
        <v>10129</v>
      </c>
      <c r="B4703" s="563" t="s">
        <v>10130</v>
      </c>
      <c r="C4703" s="564" t="s">
        <v>1612</v>
      </c>
      <c r="D4703" s="565">
        <v>39931</v>
      </c>
      <c r="E4703" s="565">
        <v>39937</v>
      </c>
      <c r="F4703" s="567">
        <v>137</v>
      </c>
      <c r="G4703" s="564" t="s">
        <v>297</v>
      </c>
      <c r="H4703" s="564"/>
      <c r="I4703" s="564" t="s">
        <v>64</v>
      </c>
      <c r="J4703" s="564" t="s">
        <v>1069</v>
      </c>
      <c r="K4703" s="564" t="s">
        <v>1090</v>
      </c>
      <c r="L4703" s="564" t="s">
        <v>2098</v>
      </c>
      <c r="M4703" s="564" t="s">
        <v>2098</v>
      </c>
      <c r="N4703" s="564" t="s">
        <v>64</v>
      </c>
      <c r="O4703" s="564" t="s">
        <v>2099</v>
      </c>
      <c r="P4703" s="23"/>
      <c r="Q4703" s="23"/>
      <c r="R4703" s="23"/>
      <c r="S4703" s="23"/>
      <c r="T4703" s="23"/>
      <c r="U4703" s="23"/>
      <c r="V4703" s="23"/>
      <c r="W4703" s="23"/>
      <c r="X4703" s="23"/>
      <c r="Y4703" s="23"/>
      <c r="Z4703" s="23"/>
    </row>
    <row r="4704" spans="1:26" ht="13">
      <c r="A4704" s="562" t="s">
        <v>10131</v>
      </c>
      <c r="B4704" s="563" t="s">
        <v>10132</v>
      </c>
      <c r="C4704" s="564" t="s">
        <v>1612</v>
      </c>
      <c r="D4704" s="565">
        <v>39931</v>
      </c>
      <c r="E4704" s="565">
        <v>39941</v>
      </c>
      <c r="F4704" s="566">
        <v>61200</v>
      </c>
      <c r="G4704" s="564" t="s">
        <v>297</v>
      </c>
      <c r="H4704" s="564"/>
      <c r="I4704" s="564" t="s">
        <v>45</v>
      </c>
      <c r="J4704" s="564" t="s">
        <v>1069</v>
      </c>
      <c r="K4704" s="564" t="s">
        <v>1090</v>
      </c>
      <c r="L4704" s="564" t="s">
        <v>2098</v>
      </c>
      <c r="M4704" s="564" t="s">
        <v>2098</v>
      </c>
      <c r="N4704" s="564" t="s">
        <v>45</v>
      </c>
      <c r="O4704" s="564" t="s">
        <v>2099</v>
      </c>
      <c r="P4704" s="23"/>
      <c r="Q4704" s="23"/>
      <c r="R4704" s="23"/>
      <c r="S4704" s="23"/>
      <c r="T4704" s="23"/>
      <c r="U4704" s="23"/>
      <c r="V4704" s="23"/>
      <c r="W4704" s="23"/>
      <c r="X4704" s="23"/>
      <c r="Y4704" s="23"/>
      <c r="Z4704" s="23"/>
    </row>
    <row r="4705" spans="1:26" ht="13">
      <c r="A4705" s="562" t="s">
        <v>10133</v>
      </c>
      <c r="B4705" s="563" t="s">
        <v>10134</v>
      </c>
      <c r="C4705" s="564" t="s">
        <v>1612</v>
      </c>
      <c r="D4705" s="565">
        <v>39931</v>
      </c>
      <c r="E4705" s="565">
        <v>39941</v>
      </c>
      <c r="F4705" s="566">
        <v>14450</v>
      </c>
      <c r="G4705" s="564" t="s">
        <v>297</v>
      </c>
      <c r="H4705" s="564"/>
      <c r="I4705" s="564" t="s">
        <v>45</v>
      </c>
      <c r="J4705" s="564" t="s">
        <v>1069</v>
      </c>
      <c r="K4705" s="564" t="s">
        <v>1090</v>
      </c>
      <c r="L4705" s="564" t="s">
        <v>2098</v>
      </c>
      <c r="M4705" s="564" t="s">
        <v>2098</v>
      </c>
      <c r="N4705" s="564" t="s">
        <v>45</v>
      </c>
      <c r="O4705" s="564" t="s">
        <v>2099</v>
      </c>
      <c r="P4705" s="23"/>
      <c r="Q4705" s="23"/>
      <c r="R4705" s="23"/>
      <c r="S4705" s="23"/>
      <c r="T4705" s="23"/>
      <c r="U4705" s="23"/>
      <c r="V4705" s="23"/>
      <c r="W4705" s="23"/>
      <c r="X4705" s="23"/>
      <c r="Y4705" s="23"/>
      <c r="Z4705" s="23"/>
    </row>
    <row r="4706" spans="1:26" ht="13">
      <c r="A4706" s="562" t="s">
        <v>10135</v>
      </c>
      <c r="B4706" s="563" t="s">
        <v>10136</v>
      </c>
      <c r="C4706" s="564" t="s">
        <v>1612</v>
      </c>
      <c r="D4706" s="565">
        <v>39930</v>
      </c>
      <c r="E4706" s="565">
        <v>39937</v>
      </c>
      <c r="F4706" s="567">
        <v>270</v>
      </c>
      <c r="G4706" s="564" t="s">
        <v>297</v>
      </c>
      <c r="H4706" s="564"/>
      <c r="I4706" s="564" t="s">
        <v>64</v>
      </c>
      <c r="J4706" s="564" t="s">
        <v>1069</v>
      </c>
      <c r="K4706" s="564" t="s">
        <v>1090</v>
      </c>
      <c r="L4706" s="564" t="s">
        <v>2098</v>
      </c>
      <c r="M4706" s="564" t="s">
        <v>2098</v>
      </c>
      <c r="N4706" s="564" t="s">
        <v>64</v>
      </c>
      <c r="O4706" s="564" t="s">
        <v>2099</v>
      </c>
      <c r="P4706" s="23"/>
      <c r="Q4706" s="23"/>
      <c r="R4706" s="23"/>
      <c r="S4706" s="23"/>
      <c r="T4706" s="23"/>
      <c r="U4706" s="23"/>
      <c r="V4706" s="23"/>
      <c r="W4706" s="23"/>
      <c r="X4706" s="23"/>
      <c r="Y4706" s="23"/>
      <c r="Z4706" s="23"/>
    </row>
    <row r="4707" spans="1:26" ht="13">
      <c r="A4707" s="562" t="s">
        <v>10137</v>
      </c>
      <c r="B4707" s="563" t="s">
        <v>10138</v>
      </c>
      <c r="C4707" s="564" t="s">
        <v>1612</v>
      </c>
      <c r="D4707" s="565">
        <v>39926</v>
      </c>
      <c r="E4707" s="565">
        <v>39932</v>
      </c>
      <c r="F4707" s="567">
        <v>380</v>
      </c>
      <c r="G4707" s="564" t="s">
        <v>297</v>
      </c>
      <c r="H4707" s="564"/>
      <c r="I4707" s="564" t="s">
        <v>7259</v>
      </c>
      <c r="J4707" s="564" t="s">
        <v>1069</v>
      </c>
      <c r="K4707" s="564" t="s">
        <v>1070</v>
      </c>
      <c r="L4707" s="564" t="s">
        <v>2098</v>
      </c>
      <c r="M4707" s="564" t="s">
        <v>2098</v>
      </c>
      <c r="N4707" s="564" t="s">
        <v>1082</v>
      </c>
      <c r="O4707" s="564" t="s">
        <v>2099</v>
      </c>
      <c r="P4707" s="23"/>
      <c r="Q4707" s="23"/>
      <c r="R4707" s="23"/>
      <c r="S4707" s="23"/>
      <c r="T4707" s="23"/>
      <c r="U4707" s="23"/>
      <c r="V4707" s="23"/>
      <c r="W4707" s="23"/>
      <c r="X4707" s="23"/>
      <c r="Y4707" s="23"/>
      <c r="Z4707" s="23"/>
    </row>
    <row r="4708" spans="1:26" ht="13">
      <c r="A4708" s="562" t="s">
        <v>10139</v>
      </c>
      <c r="B4708" s="563" t="s">
        <v>10140</v>
      </c>
      <c r="C4708" s="564" t="s">
        <v>1612</v>
      </c>
      <c r="D4708" s="565">
        <v>39919</v>
      </c>
      <c r="E4708" s="565">
        <v>39920</v>
      </c>
      <c r="F4708" s="566">
        <v>4940000</v>
      </c>
      <c r="G4708" s="564" t="s">
        <v>1912</v>
      </c>
      <c r="H4708" s="564"/>
      <c r="I4708" s="564" t="s">
        <v>45</v>
      </c>
      <c r="J4708" s="564" t="s">
        <v>1069</v>
      </c>
      <c r="K4708" s="564" t="s">
        <v>1090</v>
      </c>
      <c r="L4708" s="564" t="s">
        <v>2098</v>
      </c>
      <c r="M4708" s="564" t="s">
        <v>2098</v>
      </c>
      <c r="N4708" s="564" t="s">
        <v>45</v>
      </c>
      <c r="O4708" s="564" t="s">
        <v>2099</v>
      </c>
      <c r="P4708" s="23"/>
      <c r="Q4708" s="23"/>
      <c r="R4708" s="23"/>
      <c r="S4708" s="23"/>
      <c r="T4708" s="23"/>
      <c r="U4708" s="23"/>
      <c r="V4708" s="23"/>
      <c r="W4708" s="23"/>
      <c r="X4708" s="23"/>
      <c r="Y4708" s="23"/>
      <c r="Z4708" s="23"/>
    </row>
    <row r="4709" spans="1:26" ht="13">
      <c r="A4709" s="562" t="s">
        <v>10141</v>
      </c>
      <c r="B4709" s="563" t="s">
        <v>10142</v>
      </c>
      <c r="C4709" s="564" t="s">
        <v>1612</v>
      </c>
      <c r="D4709" s="565">
        <v>39874</v>
      </c>
      <c r="E4709" s="565">
        <v>39878</v>
      </c>
      <c r="F4709" s="566">
        <v>6768</v>
      </c>
      <c r="G4709" s="564" t="s">
        <v>297</v>
      </c>
      <c r="H4709" s="564"/>
      <c r="I4709" s="564" t="s">
        <v>70</v>
      </c>
      <c r="J4709" s="564" t="s">
        <v>1069</v>
      </c>
      <c r="K4709" s="564" t="s">
        <v>1120</v>
      </c>
      <c r="L4709" s="564" t="s">
        <v>2098</v>
      </c>
      <c r="M4709" s="564" t="s">
        <v>2098</v>
      </c>
      <c r="N4709" s="564" t="s">
        <v>70</v>
      </c>
      <c r="O4709" s="564" t="s">
        <v>2099</v>
      </c>
      <c r="P4709" s="23"/>
      <c r="Q4709" s="23"/>
      <c r="R4709" s="23"/>
      <c r="S4709" s="23"/>
      <c r="T4709" s="23"/>
      <c r="U4709" s="23"/>
      <c r="V4709" s="23"/>
      <c r="W4709" s="23"/>
      <c r="X4709" s="23"/>
      <c r="Y4709" s="23"/>
      <c r="Z4709" s="23"/>
    </row>
    <row r="4710" spans="1:26" ht="13">
      <c r="A4710" s="562" t="s">
        <v>10143</v>
      </c>
      <c r="B4710" s="563" t="s">
        <v>9897</v>
      </c>
      <c r="C4710" s="564" t="s">
        <v>6860</v>
      </c>
      <c r="D4710" s="565">
        <v>39874</v>
      </c>
      <c r="E4710" s="565">
        <v>39875</v>
      </c>
      <c r="F4710" s="566">
        <v>1500</v>
      </c>
      <c r="G4710" s="564" t="s">
        <v>2168</v>
      </c>
      <c r="H4710" s="564"/>
      <c r="I4710" s="564" t="s">
        <v>9674</v>
      </c>
      <c r="J4710" s="564" t="s">
        <v>1069</v>
      </c>
      <c r="K4710" s="564" t="s">
        <v>1070</v>
      </c>
      <c r="L4710" s="564" t="s">
        <v>2098</v>
      </c>
      <c r="M4710" s="564" t="s">
        <v>2098</v>
      </c>
      <c r="N4710" s="564" t="s">
        <v>1082</v>
      </c>
      <c r="O4710" s="564" t="s">
        <v>2099</v>
      </c>
      <c r="P4710" s="23"/>
      <c r="Q4710" s="23"/>
      <c r="R4710" s="23"/>
      <c r="S4710" s="23"/>
      <c r="T4710" s="23"/>
      <c r="U4710" s="23"/>
      <c r="V4710" s="23"/>
      <c r="W4710" s="23"/>
      <c r="X4710" s="23"/>
      <c r="Y4710" s="23"/>
      <c r="Z4710" s="23"/>
    </row>
    <row r="4711" spans="1:26" ht="13">
      <c r="A4711" s="562" t="s">
        <v>10144</v>
      </c>
      <c r="B4711" s="563" t="s">
        <v>10145</v>
      </c>
      <c r="C4711" s="564" t="s">
        <v>2191</v>
      </c>
      <c r="D4711" s="565">
        <v>39871</v>
      </c>
      <c r="E4711" s="565">
        <v>39871</v>
      </c>
      <c r="F4711" s="566">
        <v>49600000</v>
      </c>
      <c r="G4711" s="564" t="s">
        <v>1912</v>
      </c>
      <c r="H4711" s="564"/>
      <c r="I4711" s="564" t="s">
        <v>8659</v>
      </c>
      <c r="J4711" s="564" t="s">
        <v>1069</v>
      </c>
      <c r="K4711" s="564" t="s">
        <v>1205</v>
      </c>
      <c r="L4711" s="564" t="s">
        <v>2098</v>
      </c>
      <c r="M4711" s="564" t="s">
        <v>2098</v>
      </c>
      <c r="N4711" s="564" t="s">
        <v>1073</v>
      </c>
      <c r="O4711" s="564" t="s">
        <v>2099</v>
      </c>
      <c r="P4711" s="23"/>
      <c r="Q4711" s="23"/>
      <c r="R4711" s="23"/>
      <c r="S4711" s="23"/>
      <c r="T4711" s="23"/>
      <c r="U4711" s="23"/>
      <c r="V4711" s="23"/>
      <c r="W4711" s="23"/>
      <c r="X4711" s="23"/>
      <c r="Y4711" s="23"/>
      <c r="Z4711" s="23"/>
    </row>
    <row r="4712" spans="1:26" ht="13">
      <c r="A4712" s="562" t="s">
        <v>10146</v>
      </c>
      <c r="B4712" s="563" t="s">
        <v>10147</v>
      </c>
      <c r="C4712" s="564" t="s">
        <v>1612</v>
      </c>
      <c r="D4712" s="565">
        <v>39870</v>
      </c>
      <c r="E4712" s="565">
        <v>39875</v>
      </c>
      <c r="F4712" s="566">
        <v>1580</v>
      </c>
      <c r="G4712" s="564" t="s">
        <v>297</v>
      </c>
      <c r="H4712" s="564"/>
      <c r="I4712" s="564" t="s">
        <v>7259</v>
      </c>
      <c r="J4712" s="564" t="s">
        <v>1069</v>
      </c>
      <c r="K4712" s="564" t="s">
        <v>1070</v>
      </c>
      <c r="L4712" s="564" t="s">
        <v>2098</v>
      </c>
      <c r="M4712" s="564" t="s">
        <v>2098</v>
      </c>
      <c r="N4712" s="564" t="s">
        <v>1082</v>
      </c>
      <c r="O4712" s="564" t="s">
        <v>2099</v>
      </c>
      <c r="P4712" s="23"/>
      <c r="Q4712" s="23"/>
      <c r="R4712" s="23"/>
      <c r="S4712" s="23"/>
      <c r="T4712" s="23"/>
      <c r="U4712" s="23"/>
      <c r="V4712" s="23"/>
      <c r="W4712" s="23"/>
      <c r="X4712" s="23"/>
      <c r="Y4712" s="23"/>
      <c r="Z4712" s="23"/>
    </row>
    <row r="4713" spans="1:26" ht="13">
      <c r="A4713" s="562" t="s">
        <v>10148</v>
      </c>
      <c r="B4713" s="563" t="s">
        <v>10149</v>
      </c>
      <c r="C4713" s="564" t="s">
        <v>1612</v>
      </c>
      <c r="D4713" s="565">
        <v>39868</v>
      </c>
      <c r="E4713" s="565">
        <v>39877</v>
      </c>
      <c r="F4713" s="567">
        <v>760</v>
      </c>
      <c r="G4713" s="564" t="s">
        <v>297</v>
      </c>
      <c r="H4713" s="564"/>
      <c r="I4713" s="564" t="s">
        <v>7259</v>
      </c>
      <c r="J4713" s="564" t="s">
        <v>1069</v>
      </c>
      <c r="K4713" s="564" t="s">
        <v>1070</v>
      </c>
      <c r="L4713" s="564" t="s">
        <v>2098</v>
      </c>
      <c r="M4713" s="564" t="s">
        <v>2098</v>
      </c>
      <c r="N4713" s="564" t="s">
        <v>1082</v>
      </c>
      <c r="O4713" s="564" t="s">
        <v>2099</v>
      </c>
      <c r="P4713" s="23"/>
      <c r="Q4713" s="23"/>
      <c r="R4713" s="23"/>
      <c r="S4713" s="23"/>
      <c r="T4713" s="23"/>
      <c r="U4713" s="23"/>
      <c r="V4713" s="23"/>
      <c r="W4713" s="23"/>
      <c r="X4713" s="23"/>
      <c r="Y4713" s="23"/>
      <c r="Z4713" s="23"/>
    </row>
    <row r="4714" spans="1:26" ht="13">
      <c r="A4714" s="562" t="s">
        <v>10150</v>
      </c>
      <c r="B4714" s="563" t="s">
        <v>10151</v>
      </c>
      <c r="C4714" s="564" t="s">
        <v>2191</v>
      </c>
      <c r="D4714" s="565">
        <v>39868</v>
      </c>
      <c r="E4714" s="565">
        <v>39885</v>
      </c>
      <c r="F4714" s="566">
        <v>1073</v>
      </c>
      <c r="G4714" s="564" t="s">
        <v>297</v>
      </c>
      <c r="H4714" s="564"/>
      <c r="I4714" s="564" t="s">
        <v>1966</v>
      </c>
      <c r="J4714" s="564" t="s">
        <v>1069</v>
      </c>
      <c r="K4714" s="564" t="s">
        <v>1070</v>
      </c>
      <c r="L4714" s="564" t="s">
        <v>2098</v>
      </c>
      <c r="M4714" s="564" t="s">
        <v>2098</v>
      </c>
      <c r="N4714" s="564" t="s">
        <v>1082</v>
      </c>
      <c r="O4714" s="564" t="s">
        <v>2099</v>
      </c>
      <c r="P4714" s="23"/>
      <c r="Q4714" s="23"/>
      <c r="R4714" s="23"/>
      <c r="S4714" s="23"/>
      <c r="T4714" s="23"/>
      <c r="U4714" s="23"/>
      <c r="V4714" s="23"/>
      <c r="W4714" s="23"/>
      <c r="X4714" s="23"/>
      <c r="Y4714" s="23"/>
      <c r="Z4714" s="23"/>
    </row>
    <row r="4715" spans="1:26" ht="13">
      <c r="A4715" s="562" t="s">
        <v>10152</v>
      </c>
      <c r="B4715" s="563" t="s">
        <v>10153</v>
      </c>
      <c r="C4715" s="564" t="s">
        <v>1612</v>
      </c>
      <c r="D4715" s="565">
        <v>39867</v>
      </c>
      <c r="E4715" s="565">
        <v>39882</v>
      </c>
      <c r="F4715" s="566">
        <v>3960</v>
      </c>
      <c r="G4715" s="564" t="s">
        <v>297</v>
      </c>
      <c r="H4715" s="564"/>
      <c r="I4715" s="564" t="s">
        <v>802</v>
      </c>
      <c r="J4715" s="564" t="s">
        <v>1069</v>
      </c>
      <c r="K4715" s="564" t="s">
        <v>1198</v>
      </c>
      <c r="L4715" s="564" t="s">
        <v>2098</v>
      </c>
      <c r="M4715" s="564" t="s">
        <v>2098</v>
      </c>
      <c r="N4715" s="564" t="s">
        <v>132</v>
      </c>
      <c r="O4715" s="564" t="s">
        <v>2099</v>
      </c>
      <c r="P4715" s="23"/>
      <c r="Q4715" s="23"/>
      <c r="R4715" s="23"/>
      <c r="S4715" s="23"/>
      <c r="T4715" s="23"/>
      <c r="U4715" s="23"/>
      <c r="V4715" s="23"/>
      <c r="W4715" s="23"/>
      <c r="X4715" s="23"/>
      <c r="Y4715" s="23"/>
      <c r="Z4715" s="23"/>
    </row>
    <row r="4716" spans="1:26" ht="13">
      <c r="A4716" s="562" t="s">
        <v>10154</v>
      </c>
      <c r="B4716" s="563" t="s">
        <v>10155</v>
      </c>
      <c r="C4716" s="564" t="s">
        <v>1612</v>
      </c>
      <c r="D4716" s="565">
        <v>39867</v>
      </c>
      <c r="E4716" s="565">
        <v>39871</v>
      </c>
      <c r="F4716" s="566">
        <v>6300</v>
      </c>
      <c r="G4716" s="564" t="s">
        <v>297</v>
      </c>
      <c r="H4716" s="564"/>
      <c r="I4716" s="564" t="s">
        <v>9432</v>
      </c>
      <c r="J4716" s="564" t="s">
        <v>1069</v>
      </c>
      <c r="K4716" s="564" t="s">
        <v>1090</v>
      </c>
      <c r="L4716" s="564" t="s">
        <v>2098</v>
      </c>
      <c r="M4716" s="564" t="s">
        <v>2098</v>
      </c>
      <c r="N4716" s="564" t="s">
        <v>45</v>
      </c>
      <c r="O4716" s="564" t="s">
        <v>2099</v>
      </c>
      <c r="P4716" s="23"/>
      <c r="Q4716" s="23"/>
      <c r="R4716" s="23"/>
      <c r="S4716" s="23"/>
      <c r="T4716" s="23"/>
      <c r="U4716" s="23"/>
      <c r="V4716" s="23"/>
      <c r="W4716" s="23"/>
      <c r="X4716" s="23"/>
      <c r="Y4716" s="23"/>
      <c r="Z4716" s="23"/>
    </row>
    <row r="4717" spans="1:26" ht="13">
      <c r="A4717" s="562" t="s">
        <v>10156</v>
      </c>
      <c r="B4717" s="563" t="s">
        <v>10157</v>
      </c>
      <c r="C4717" s="564" t="s">
        <v>1612</v>
      </c>
      <c r="D4717" s="565">
        <v>39867</v>
      </c>
      <c r="E4717" s="565">
        <v>39882</v>
      </c>
      <c r="F4717" s="566">
        <v>8924</v>
      </c>
      <c r="G4717" s="564" t="s">
        <v>297</v>
      </c>
      <c r="H4717" s="564"/>
      <c r="I4717" s="564" t="s">
        <v>802</v>
      </c>
      <c r="J4717" s="564" t="s">
        <v>1069</v>
      </c>
      <c r="K4717" s="564" t="s">
        <v>1198</v>
      </c>
      <c r="L4717" s="564" t="s">
        <v>2098</v>
      </c>
      <c r="M4717" s="564" t="s">
        <v>2098</v>
      </c>
      <c r="N4717" s="564" t="s">
        <v>132</v>
      </c>
      <c r="O4717" s="564" t="s">
        <v>2099</v>
      </c>
      <c r="P4717" s="23"/>
      <c r="Q4717" s="23"/>
      <c r="R4717" s="23"/>
      <c r="S4717" s="23"/>
      <c r="T4717" s="23"/>
      <c r="U4717" s="23"/>
      <c r="V4717" s="23"/>
      <c r="W4717" s="23"/>
      <c r="X4717" s="23"/>
      <c r="Y4717" s="23"/>
      <c r="Z4717" s="23"/>
    </row>
    <row r="4718" spans="1:26" ht="13">
      <c r="A4718" s="562" t="s">
        <v>10158</v>
      </c>
      <c r="B4718" s="563" t="s">
        <v>10159</v>
      </c>
      <c r="C4718" s="564" t="s">
        <v>1612</v>
      </c>
      <c r="D4718" s="565">
        <v>39863</v>
      </c>
      <c r="E4718" s="565">
        <v>39877</v>
      </c>
      <c r="F4718" s="566">
        <v>1330</v>
      </c>
      <c r="G4718" s="564" t="s">
        <v>297</v>
      </c>
      <c r="H4718" s="564"/>
      <c r="I4718" s="564" t="s">
        <v>7259</v>
      </c>
      <c r="J4718" s="564" t="s">
        <v>1069</v>
      </c>
      <c r="K4718" s="564" t="s">
        <v>1070</v>
      </c>
      <c r="L4718" s="564" t="s">
        <v>2098</v>
      </c>
      <c r="M4718" s="564" t="s">
        <v>2098</v>
      </c>
      <c r="N4718" s="564" t="s">
        <v>1082</v>
      </c>
      <c r="O4718" s="564" t="s">
        <v>2099</v>
      </c>
      <c r="P4718" s="23"/>
      <c r="Q4718" s="23"/>
      <c r="R4718" s="23"/>
      <c r="S4718" s="23"/>
      <c r="T4718" s="23"/>
      <c r="U4718" s="23"/>
      <c r="V4718" s="23"/>
      <c r="W4718" s="23"/>
      <c r="X4718" s="23"/>
      <c r="Y4718" s="23"/>
      <c r="Z4718" s="23"/>
    </row>
    <row r="4719" spans="1:26" ht="13">
      <c r="A4719" s="562" t="s">
        <v>10160</v>
      </c>
      <c r="B4719" s="563" t="s">
        <v>10161</v>
      </c>
      <c r="C4719" s="564" t="s">
        <v>1612</v>
      </c>
      <c r="D4719" s="565">
        <v>39856</v>
      </c>
      <c r="E4719" s="565">
        <v>39871</v>
      </c>
      <c r="F4719" s="566">
        <v>6018000</v>
      </c>
      <c r="G4719" s="564" t="s">
        <v>297</v>
      </c>
      <c r="H4719" s="564"/>
      <c r="I4719" s="564" t="s">
        <v>802</v>
      </c>
      <c r="J4719" s="564" t="s">
        <v>1069</v>
      </c>
      <c r="K4719" s="564" t="s">
        <v>1198</v>
      </c>
      <c r="L4719" s="564" t="s">
        <v>2098</v>
      </c>
      <c r="M4719" s="564" t="s">
        <v>2098</v>
      </c>
      <c r="N4719" s="564" t="s">
        <v>132</v>
      </c>
      <c r="O4719" s="564" t="s">
        <v>2099</v>
      </c>
      <c r="P4719" s="23"/>
      <c r="Q4719" s="23"/>
      <c r="R4719" s="23"/>
      <c r="S4719" s="23"/>
      <c r="T4719" s="23"/>
      <c r="U4719" s="23"/>
      <c r="V4719" s="23"/>
      <c r="W4719" s="23"/>
      <c r="X4719" s="23"/>
      <c r="Y4719" s="23"/>
      <c r="Z4719" s="23"/>
    </row>
    <row r="4720" spans="1:26" ht="13">
      <c r="A4720" s="562" t="s">
        <v>10162</v>
      </c>
      <c r="B4720" s="563" t="s">
        <v>10163</v>
      </c>
      <c r="C4720" s="564" t="s">
        <v>2191</v>
      </c>
      <c r="D4720" s="565">
        <v>39857</v>
      </c>
      <c r="E4720" s="565">
        <v>39871</v>
      </c>
      <c r="F4720" s="566">
        <v>34380</v>
      </c>
      <c r="G4720" s="564" t="s">
        <v>297</v>
      </c>
      <c r="H4720" s="564"/>
      <c r="I4720" s="564" t="s">
        <v>7259</v>
      </c>
      <c r="J4720" s="564" t="s">
        <v>1069</v>
      </c>
      <c r="K4720" s="564" t="s">
        <v>1070</v>
      </c>
      <c r="L4720" s="564" t="s">
        <v>2098</v>
      </c>
      <c r="M4720" s="564" t="s">
        <v>2098</v>
      </c>
      <c r="N4720" s="564" t="s">
        <v>1082</v>
      </c>
      <c r="O4720" s="564" t="s">
        <v>2099</v>
      </c>
      <c r="P4720" s="23"/>
      <c r="Q4720" s="23"/>
      <c r="R4720" s="23"/>
      <c r="S4720" s="23"/>
      <c r="T4720" s="23"/>
      <c r="U4720" s="23"/>
      <c r="V4720" s="23"/>
      <c r="W4720" s="23"/>
      <c r="X4720" s="23"/>
      <c r="Y4720" s="23"/>
      <c r="Z4720" s="23"/>
    </row>
    <row r="4721" spans="1:26" ht="13">
      <c r="A4721" s="562" t="s">
        <v>10164</v>
      </c>
      <c r="B4721" s="563" t="s">
        <v>10165</v>
      </c>
      <c r="C4721" s="564" t="s">
        <v>1873</v>
      </c>
      <c r="D4721" s="565">
        <v>39853</v>
      </c>
      <c r="E4721" s="565">
        <v>39864</v>
      </c>
      <c r="F4721" s="566">
        <v>5068200</v>
      </c>
      <c r="G4721" s="564" t="s">
        <v>297</v>
      </c>
      <c r="H4721" s="564"/>
      <c r="I4721" s="564" t="s">
        <v>170</v>
      </c>
      <c r="J4721" s="564" t="s">
        <v>1069</v>
      </c>
      <c r="K4721" s="564" t="s">
        <v>1105</v>
      </c>
      <c r="L4721" s="564" t="s">
        <v>2098</v>
      </c>
      <c r="M4721" s="564" t="s">
        <v>2098</v>
      </c>
      <c r="N4721" s="564" t="s">
        <v>170</v>
      </c>
      <c r="O4721" s="564" t="s">
        <v>2099</v>
      </c>
      <c r="P4721" s="23"/>
      <c r="Q4721" s="23"/>
      <c r="R4721" s="23"/>
      <c r="S4721" s="23"/>
      <c r="T4721" s="23"/>
      <c r="U4721" s="23"/>
      <c r="V4721" s="23"/>
      <c r="W4721" s="23"/>
      <c r="X4721" s="23"/>
      <c r="Y4721" s="23"/>
      <c r="Z4721" s="23"/>
    </row>
    <row r="4722" spans="1:26" ht="13">
      <c r="A4722" s="562" t="s">
        <v>10166</v>
      </c>
      <c r="B4722" s="563" t="s">
        <v>9878</v>
      </c>
      <c r="C4722" s="564" t="s">
        <v>1612</v>
      </c>
      <c r="D4722" s="565">
        <v>39847</v>
      </c>
      <c r="E4722" s="565">
        <v>39854</v>
      </c>
      <c r="F4722" s="566">
        <v>4620</v>
      </c>
      <c r="G4722" s="564" t="s">
        <v>297</v>
      </c>
      <c r="H4722" s="564"/>
      <c r="I4722" s="564" t="s">
        <v>64</v>
      </c>
      <c r="J4722" s="564" t="s">
        <v>1069</v>
      </c>
      <c r="K4722" s="564" t="s">
        <v>1090</v>
      </c>
      <c r="L4722" s="564" t="s">
        <v>2098</v>
      </c>
      <c r="M4722" s="564" t="s">
        <v>2098</v>
      </c>
      <c r="N4722" s="564" t="s">
        <v>64</v>
      </c>
      <c r="O4722" s="564" t="s">
        <v>2099</v>
      </c>
      <c r="P4722" s="23"/>
      <c r="Q4722" s="23"/>
      <c r="R4722" s="23"/>
      <c r="S4722" s="23"/>
      <c r="T4722" s="23"/>
      <c r="U4722" s="23"/>
      <c r="V4722" s="23"/>
      <c r="W4722" s="23"/>
      <c r="X4722" s="23"/>
      <c r="Y4722" s="23"/>
      <c r="Z4722" s="23"/>
    </row>
    <row r="4723" spans="1:26" ht="13">
      <c r="A4723" s="562" t="s">
        <v>10167</v>
      </c>
      <c r="B4723" s="563" t="s">
        <v>10168</v>
      </c>
      <c r="C4723" s="564" t="s">
        <v>1612</v>
      </c>
      <c r="D4723" s="565">
        <v>39843</v>
      </c>
      <c r="E4723" s="565">
        <v>39854</v>
      </c>
      <c r="F4723" s="566">
        <v>43600000</v>
      </c>
      <c r="G4723" s="564" t="s">
        <v>1912</v>
      </c>
      <c r="H4723" s="564"/>
      <c r="I4723" s="564" t="s">
        <v>45</v>
      </c>
      <c r="J4723" s="564" t="s">
        <v>1069</v>
      </c>
      <c r="K4723" s="564" t="s">
        <v>1090</v>
      </c>
      <c r="L4723" s="564" t="s">
        <v>2098</v>
      </c>
      <c r="M4723" s="564" t="s">
        <v>2098</v>
      </c>
      <c r="N4723" s="564" t="s">
        <v>45</v>
      </c>
      <c r="O4723" s="564" t="s">
        <v>2099</v>
      </c>
      <c r="P4723" s="23"/>
      <c r="Q4723" s="23"/>
      <c r="R4723" s="23"/>
      <c r="S4723" s="23"/>
      <c r="T4723" s="23"/>
      <c r="U4723" s="23"/>
      <c r="V4723" s="23"/>
      <c r="W4723" s="23"/>
      <c r="X4723" s="23"/>
      <c r="Y4723" s="23"/>
      <c r="Z4723" s="23"/>
    </row>
    <row r="4724" spans="1:26" ht="13">
      <c r="A4724" s="562" t="s">
        <v>10169</v>
      </c>
      <c r="B4724" s="563" t="s">
        <v>10170</v>
      </c>
      <c r="C4724" s="564" t="s">
        <v>1612</v>
      </c>
      <c r="D4724" s="565">
        <v>39841</v>
      </c>
      <c r="E4724" s="565">
        <v>39844</v>
      </c>
      <c r="F4724" s="566">
        <v>21052</v>
      </c>
      <c r="G4724" s="564" t="s">
        <v>297</v>
      </c>
      <c r="H4724" s="564"/>
      <c r="I4724" s="564" t="s">
        <v>802</v>
      </c>
      <c r="J4724" s="564" t="s">
        <v>1069</v>
      </c>
      <c r="K4724" s="564" t="s">
        <v>1198</v>
      </c>
      <c r="L4724" s="564" t="s">
        <v>2098</v>
      </c>
      <c r="M4724" s="564" t="s">
        <v>2098</v>
      </c>
      <c r="N4724" s="564" t="s">
        <v>132</v>
      </c>
      <c r="O4724" s="564" t="s">
        <v>2099</v>
      </c>
      <c r="P4724" s="23"/>
      <c r="Q4724" s="23"/>
      <c r="R4724" s="23"/>
      <c r="S4724" s="23"/>
      <c r="T4724" s="23"/>
      <c r="U4724" s="23"/>
      <c r="V4724" s="23"/>
      <c r="W4724" s="23"/>
      <c r="X4724" s="23"/>
      <c r="Y4724" s="23"/>
      <c r="Z4724" s="23"/>
    </row>
    <row r="4725" spans="1:26" ht="13">
      <c r="A4725" s="562" t="s">
        <v>10171</v>
      </c>
      <c r="B4725" s="563" t="s">
        <v>10172</v>
      </c>
      <c r="C4725" s="564" t="s">
        <v>1612</v>
      </c>
      <c r="D4725" s="565">
        <v>39841</v>
      </c>
      <c r="E4725" s="565">
        <v>39844</v>
      </c>
      <c r="F4725" s="566">
        <v>205567</v>
      </c>
      <c r="G4725" s="564" t="s">
        <v>297</v>
      </c>
      <c r="H4725" s="564"/>
      <c r="I4725" s="564" t="s">
        <v>9250</v>
      </c>
      <c r="J4725" s="564" t="s">
        <v>1069</v>
      </c>
      <c r="K4725" s="564" t="s">
        <v>1090</v>
      </c>
      <c r="L4725" s="564" t="s">
        <v>2098</v>
      </c>
      <c r="M4725" s="564" t="s">
        <v>2098</v>
      </c>
      <c r="N4725" s="564" t="s">
        <v>45</v>
      </c>
      <c r="O4725" s="564" t="s">
        <v>2099</v>
      </c>
      <c r="P4725" s="23"/>
      <c r="Q4725" s="23"/>
      <c r="R4725" s="23"/>
      <c r="S4725" s="23"/>
      <c r="T4725" s="23"/>
      <c r="U4725" s="23"/>
      <c r="V4725" s="23"/>
      <c r="W4725" s="23"/>
      <c r="X4725" s="23"/>
      <c r="Y4725" s="23"/>
      <c r="Z4725" s="23"/>
    </row>
    <row r="4726" spans="1:26" ht="13">
      <c r="A4726" s="562" t="s">
        <v>10173</v>
      </c>
      <c r="B4726" s="563" t="s">
        <v>10014</v>
      </c>
      <c r="C4726" s="564" t="s">
        <v>1612</v>
      </c>
      <c r="D4726" s="565">
        <v>39841</v>
      </c>
      <c r="E4726" s="565">
        <v>39850</v>
      </c>
      <c r="F4726" s="566">
        <v>29063</v>
      </c>
      <c r="G4726" s="564" t="s">
        <v>297</v>
      </c>
      <c r="H4726" s="564"/>
      <c r="I4726" s="564" t="s">
        <v>802</v>
      </c>
      <c r="J4726" s="564" t="s">
        <v>1069</v>
      </c>
      <c r="K4726" s="564" t="s">
        <v>1198</v>
      </c>
      <c r="L4726" s="564" t="s">
        <v>2098</v>
      </c>
      <c r="M4726" s="564" t="s">
        <v>2098</v>
      </c>
      <c r="N4726" s="564" t="s">
        <v>132</v>
      </c>
      <c r="O4726" s="564" t="s">
        <v>2099</v>
      </c>
      <c r="P4726" s="23"/>
      <c r="Q4726" s="23"/>
      <c r="R4726" s="23"/>
      <c r="S4726" s="23"/>
      <c r="T4726" s="23"/>
      <c r="U4726" s="23"/>
      <c r="V4726" s="23"/>
      <c r="W4726" s="23"/>
      <c r="X4726" s="23"/>
      <c r="Y4726" s="23"/>
      <c r="Z4726" s="23"/>
    </row>
    <row r="4727" spans="1:26" ht="13">
      <c r="A4727" s="562" t="s">
        <v>10174</v>
      </c>
      <c r="B4727" s="563" t="s">
        <v>10175</v>
      </c>
      <c r="C4727" s="564" t="s">
        <v>1612</v>
      </c>
      <c r="D4727" s="565">
        <v>39836</v>
      </c>
      <c r="E4727" s="565">
        <v>39848</v>
      </c>
      <c r="F4727" s="566">
        <v>4512</v>
      </c>
      <c r="G4727" s="564" t="s">
        <v>297</v>
      </c>
      <c r="H4727" s="564"/>
      <c r="I4727" s="564" t="s">
        <v>70</v>
      </c>
      <c r="J4727" s="564" t="s">
        <v>1069</v>
      </c>
      <c r="K4727" s="564" t="s">
        <v>1120</v>
      </c>
      <c r="L4727" s="564" t="s">
        <v>2098</v>
      </c>
      <c r="M4727" s="564" t="s">
        <v>2098</v>
      </c>
      <c r="N4727" s="564" t="s">
        <v>70</v>
      </c>
      <c r="O4727" s="564" t="s">
        <v>2099</v>
      </c>
      <c r="P4727" s="23"/>
      <c r="Q4727" s="23"/>
      <c r="R4727" s="23"/>
      <c r="S4727" s="23"/>
      <c r="T4727" s="23"/>
      <c r="U4727" s="23"/>
      <c r="V4727" s="23"/>
      <c r="W4727" s="23"/>
      <c r="X4727" s="23"/>
      <c r="Y4727" s="23"/>
      <c r="Z4727" s="23"/>
    </row>
    <row r="4728" spans="1:26" ht="13">
      <c r="A4728" s="562" t="s">
        <v>10176</v>
      </c>
      <c r="B4728" s="563" t="s">
        <v>10177</v>
      </c>
      <c r="C4728" s="564" t="s">
        <v>1612</v>
      </c>
      <c r="D4728" s="565">
        <v>39836</v>
      </c>
      <c r="E4728" s="565">
        <v>39843</v>
      </c>
      <c r="F4728" s="566">
        <v>1440</v>
      </c>
      <c r="G4728" s="564" t="s">
        <v>297</v>
      </c>
      <c r="H4728" s="564"/>
      <c r="I4728" s="564" t="s">
        <v>802</v>
      </c>
      <c r="J4728" s="564" t="s">
        <v>1069</v>
      </c>
      <c r="K4728" s="564" t="s">
        <v>1198</v>
      </c>
      <c r="L4728" s="564" t="s">
        <v>2098</v>
      </c>
      <c r="M4728" s="564" t="s">
        <v>2098</v>
      </c>
      <c r="N4728" s="564" t="s">
        <v>132</v>
      </c>
      <c r="O4728" s="564" t="s">
        <v>2099</v>
      </c>
      <c r="P4728" s="23"/>
      <c r="Q4728" s="23"/>
      <c r="R4728" s="23"/>
      <c r="S4728" s="23"/>
      <c r="T4728" s="23"/>
      <c r="U4728" s="23"/>
      <c r="V4728" s="23"/>
      <c r="W4728" s="23"/>
      <c r="X4728" s="23"/>
      <c r="Y4728" s="23"/>
      <c r="Z4728" s="23"/>
    </row>
    <row r="4729" spans="1:26" ht="13">
      <c r="A4729" s="562" t="s">
        <v>10178</v>
      </c>
      <c r="B4729" s="563" t="s">
        <v>10179</v>
      </c>
      <c r="C4729" s="564" t="s">
        <v>1612</v>
      </c>
      <c r="D4729" s="565">
        <v>39836</v>
      </c>
      <c r="E4729" s="565">
        <v>39841</v>
      </c>
      <c r="F4729" s="566">
        <v>6468750</v>
      </c>
      <c r="G4729" s="564" t="s">
        <v>1856</v>
      </c>
      <c r="H4729" s="564"/>
      <c r="I4729" s="564" t="s">
        <v>70</v>
      </c>
      <c r="J4729" s="564" t="s">
        <v>1069</v>
      </c>
      <c r="K4729" s="564" t="s">
        <v>1120</v>
      </c>
      <c r="L4729" s="564" t="s">
        <v>2098</v>
      </c>
      <c r="M4729" s="564" t="s">
        <v>2098</v>
      </c>
      <c r="N4729" s="564" t="s">
        <v>70</v>
      </c>
      <c r="O4729" s="564" t="s">
        <v>2099</v>
      </c>
      <c r="P4729" s="23"/>
      <c r="Q4729" s="23"/>
      <c r="R4729" s="23"/>
      <c r="S4729" s="23"/>
      <c r="T4729" s="23"/>
      <c r="U4729" s="23"/>
      <c r="V4729" s="23"/>
      <c r="W4729" s="23"/>
      <c r="X4729" s="23"/>
      <c r="Y4729" s="23"/>
      <c r="Z4729" s="23"/>
    </row>
    <row r="4730" spans="1:26" ht="13">
      <c r="A4730" s="562" t="s">
        <v>10180</v>
      </c>
      <c r="B4730" s="563" t="s">
        <v>10181</v>
      </c>
      <c r="C4730" s="564" t="s">
        <v>1612</v>
      </c>
      <c r="D4730" s="565">
        <v>39832</v>
      </c>
      <c r="E4730" s="565">
        <v>39843</v>
      </c>
      <c r="F4730" s="566">
        <v>3513</v>
      </c>
      <c r="G4730" s="564" t="s">
        <v>297</v>
      </c>
      <c r="H4730" s="564"/>
      <c r="I4730" s="564" t="s">
        <v>802</v>
      </c>
      <c r="J4730" s="564" t="s">
        <v>1069</v>
      </c>
      <c r="K4730" s="564" t="s">
        <v>1198</v>
      </c>
      <c r="L4730" s="564" t="s">
        <v>2098</v>
      </c>
      <c r="M4730" s="564" t="s">
        <v>2098</v>
      </c>
      <c r="N4730" s="564" t="s">
        <v>132</v>
      </c>
      <c r="O4730" s="564" t="s">
        <v>2099</v>
      </c>
      <c r="P4730" s="23"/>
      <c r="Q4730" s="23"/>
      <c r="R4730" s="23"/>
      <c r="S4730" s="23"/>
      <c r="T4730" s="23"/>
      <c r="U4730" s="23"/>
      <c r="V4730" s="23"/>
      <c r="W4730" s="23"/>
      <c r="X4730" s="23"/>
      <c r="Y4730" s="23"/>
      <c r="Z4730" s="23"/>
    </row>
    <row r="4731" spans="1:26" ht="13">
      <c r="A4731" s="562" t="s">
        <v>10182</v>
      </c>
      <c r="B4731" s="563" t="s">
        <v>10014</v>
      </c>
      <c r="C4731" s="564" t="s">
        <v>1612</v>
      </c>
      <c r="D4731" s="565">
        <v>39827</v>
      </c>
      <c r="E4731" s="565">
        <v>39835</v>
      </c>
      <c r="F4731" s="566">
        <v>2986</v>
      </c>
      <c r="G4731" s="564" t="s">
        <v>297</v>
      </c>
      <c r="H4731" s="564"/>
      <c r="I4731" s="564" t="s">
        <v>802</v>
      </c>
      <c r="J4731" s="564" t="s">
        <v>1069</v>
      </c>
      <c r="K4731" s="564" t="s">
        <v>1198</v>
      </c>
      <c r="L4731" s="564" t="s">
        <v>2098</v>
      </c>
      <c r="M4731" s="564" t="s">
        <v>2098</v>
      </c>
      <c r="N4731" s="564" t="s">
        <v>132</v>
      </c>
      <c r="O4731" s="564" t="s">
        <v>2099</v>
      </c>
      <c r="P4731" s="23"/>
      <c r="Q4731" s="23"/>
      <c r="R4731" s="23"/>
      <c r="S4731" s="23"/>
      <c r="T4731" s="23"/>
      <c r="U4731" s="23"/>
      <c r="V4731" s="23"/>
      <c r="W4731" s="23"/>
      <c r="X4731" s="23"/>
      <c r="Y4731" s="23"/>
      <c r="Z4731" s="23"/>
    </row>
    <row r="4732" spans="1:26" ht="13">
      <c r="A4732" s="562" t="s">
        <v>10183</v>
      </c>
      <c r="B4732" s="563" t="s">
        <v>10184</v>
      </c>
      <c r="C4732" s="564" t="s">
        <v>2191</v>
      </c>
      <c r="D4732" s="565">
        <v>39827</v>
      </c>
      <c r="E4732" s="565">
        <v>39836</v>
      </c>
      <c r="F4732" s="566">
        <v>4702500</v>
      </c>
      <c r="G4732" s="564" t="s">
        <v>297</v>
      </c>
      <c r="H4732" s="564"/>
      <c r="I4732" s="564" t="s">
        <v>7616</v>
      </c>
      <c r="J4732" s="564" t="s">
        <v>1069</v>
      </c>
      <c r="K4732" s="564" t="s">
        <v>1070</v>
      </c>
      <c r="L4732" s="564" t="s">
        <v>2098</v>
      </c>
      <c r="M4732" s="564" t="s">
        <v>2098</v>
      </c>
      <c r="N4732" s="564" t="s">
        <v>1082</v>
      </c>
      <c r="O4732" s="564" t="s">
        <v>2099</v>
      </c>
      <c r="P4732" s="23"/>
      <c r="Q4732" s="23"/>
      <c r="R4732" s="23"/>
      <c r="S4732" s="23"/>
      <c r="T4732" s="23"/>
      <c r="U4732" s="23"/>
      <c r="V4732" s="23"/>
      <c r="W4732" s="23"/>
      <c r="X4732" s="23"/>
      <c r="Y4732" s="23"/>
      <c r="Z4732" s="23"/>
    </row>
    <row r="4733" spans="1:26" ht="13">
      <c r="A4733" s="562" t="s">
        <v>10185</v>
      </c>
      <c r="B4733" s="563" t="s">
        <v>10186</v>
      </c>
      <c r="C4733" s="564" t="s">
        <v>1873</v>
      </c>
      <c r="D4733" s="565">
        <v>39825</v>
      </c>
      <c r="E4733" s="565">
        <v>39834</v>
      </c>
      <c r="F4733" s="566">
        <v>10924000</v>
      </c>
      <c r="G4733" s="564" t="s">
        <v>297</v>
      </c>
      <c r="H4733" s="564"/>
      <c r="I4733" s="564" t="s">
        <v>170</v>
      </c>
      <c r="J4733" s="564" t="s">
        <v>1069</v>
      </c>
      <c r="K4733" s="564" t="s">
        <v>1105</v>
      </c>
      <c r="L4733" s="564" t="s">
        <v>2098</v>
      </c>
      <c r="M4733" s="564" t="s">
        <v>2098</v>
      </c>
      <c r="N4733" s="564" t="s">
        <v>170</v>
      </c>
      <c r="O4733" s="564" t="s">
        <v>2099</v>
      </c>
      <c r="P4733" s="23"/>
      <c r="Q4733" s="23"/>
      <c r="R4733" s="23"/>
      <c r="S4733" s="23"/>
      <c r="T4733" s="23"/>
      <c r="U4733" s="23"/>
      <c r="V4733" s="23"/>
      <c r="W4733" s="23"/>
      <c r="X4733" s="23"/>
      <c r="Y4733" s="23"/>
      <c r="Z4733" s="23"/>
    </row>
    <row r="4734" spans="1:26" ht="13">
      <c r="A4734" s="562" t="s">
        <v>10187</v>
      </c>
      <c r="B4734" s="563" t="s">
        <v>10188</v>
      </c>
      <c r="C4734" s="564" t="s">
        <v>2191</v>
      </c>
      <c r="D4734" s="565">
        <v>39819</v>
      </c>
      <c r="E4734" s="565">
        <v>39828</v>
      </c>
      <c r="F4734" s="566">
        <v>6810</v>
      </c>
      <c r="G4734" s="564" t="s">
        <v>297</v>
      </c>
      <c r="H4734" s="564"/>
      <c r="I4734" s="564" t="s">
        <v>10189</v>
      </c>
      <c r="J4734" s="564" t="s">
        <v>1069</v>
      </c>
      <c r="K4734" s="564" t="s">
        <v>1070</v>
      </c>
      <c r="L4734" s="564" t="s">
        <v>2098</v>
      </c>
      <c r="M4734" s="564" t="s">
        <v>2098</v>
      </c>
      <c r="N4734" s="564" t="s">
        <v>1082</v>
      </c>
      <c r="O4734" s="564" t="s">
        <v>2099</v>
      </c>
      <c r="P4734" s="23"/>
      <c r="Q4734" s="23"/>
      <c r="R4734" s="23"/>
      <c r="S4734" s="23"/>
      <c r="T4734" s="23"/>
      <c r="U4734" s="23"/>
      <c r="V4734" s="23"/>
      <c r="W4734" s="23"/>
      <c r="X4734" s="23"/>
      <c r="Y4734" s="23"/>
      <c r="Z4734" s="23"/>
    </row>
    <row r="4735" spans="1:26" ht="13">
      <c r="A4735" s="562" t="s">
        <v>10190</v>
      </c>
      <c r="B4735" s="563" t="s">
        <v>5810</v>
      </c>
      <c r="C4735" s="564" t="s">
        <v>1612</v>
      </c>
      <c r="D4735" s="565">
        <v>39819</v>
      </c>
      <c r="E4735" s="565">
        <v>39828</v>
      </c>
      <c r="F4735" s="566">
        <v>1460</v>
      </c>
      <c r="G4735" s="564" t="s">
        <v>297</v>
      </c>
      <c r="H4735" s="564"/>
      <c r="I4735" s="564" t="s">
        <v>70</v>
      </c>
      <c r="J4735" s="564" t="s">
        <v>1069</v>
      </c>
      <c r="K4735" s="564" t="s">
        <v>1120</v>
      </c>
      <c r="L4735" s="564" t="s">
        <v>2098</v>
      </c>
      <c r="M4735" s="564" t="s">
        <v>2098</v>
      </c>
      <c r="N4735" s="564" t="s">
        <v>70</v>
      </c>
      <c r="O4735" s="564" t="s">
        <v>2099</v>
      </c>
      <c r="P4735" s="23"/>
      <c r="Q4735" s="23"/>
      <c r="R4735" s="23"/>
      <c r="S4735" s="23"/>
      <c r="T4735" s="23"/>
      <c r="U4735" s="23"/>
      <c r="V4735" s="23"/>
      <c r="W4735" s="23"/>
      <c r="X4735" s="23"/>
      <c r="Y4735" s="23"/>
      <c r="Z4735" s="23"/>
    </row>
    <row r="4736" spans="1:26" ht="13">
      <c r="A4736" s="562" t="s">
        <v>10191</v>
      </c>
      <c r="B4736" s="563" t="s">
        <v>10179</v>
      </c>
      <c r="C4736" s="564" t="s">
        <v>1612</v>
      </c>
      <c r="D4736" s="565">
        <v>39818</v>
      </c>
      <c r="E4736" s="565">
        <v>39820</v>
      </c>
      <c r="F4736" s="566">
        <v>7906250</v>
      </c>
      <c r="G4736" s="564" t="s">
        <v>1856</v>
      </c>
      <c r="H4736" s="564"/>
      <c r="I4736" s="564" t="s">
        <v>70</v>
      </c>
      <c r="J4736" s="564" t="s">
        <v>1069</v>
      </c>
      <c r="K4736" s="564" t="s">
        <v>1120</v>
      </c>
      <c r="L4736" s="564" t="s">
        <v>2098</v>
      </c>
      <c r="M4736" s="564" t="s">
        <v>2098</v>
      </c>
      <c r="N4736" s="564" t="s">
        <v>70</v>
      </c>
      <c r="O4736" s="564" t="s">
        <v>2099</v>
      </c>
      <c r="P4736" s="23"/>
      <c r="Q4736" s="23"/>
      <c r="R4736" s="23"/>
      <c r="S4736" s="23"/>
      <c r="T4736" s="23"/>
      <c r="U4736" s="23"/>
      <c r="V4736" s="23"/>
      <c r="W4736" s="23"/>
      <c r="X4736" s="23"/>
      <c r="Y4736" s="23"/>
      <c r="Z4736" s="23"/>
    </row>
    <row r="4737" spans="1:26" ht="13">
      <c r="A4737" s="562" t="s">
        <v>10192</v>
      </c>
      <c r="B4737" s="563" t="s">
        <v>10193</v>
      </c>
      <c r="C4737" s="564" t="s">
        <v>2451</v>
      </c>
      <c r="D4737" s="565">
        <v>39574</v>
      </c>
      <c r="E4737" s="565">
        <v>39598</v>
      </c>
      <c r="F4737" s="566">
        <v>10500000</v>
      </c>
      <c r="G4737" s="564" t="s">
        <v>1849</v>
      </c>
      <c r="H4737" s="564"/>
      <c r="I4737" s="564" t="s">
        <v>10194</v>
      </c>
      <c r="J4737" s="564" t="s">
        <v>1069</v>
      </c>
      <c r="K4737" s="564" t="s">
        <v>1070</v>
      </c>
      <c r="L4737" s="564" t="s">
        <v>2098</v>
      </c>
      <c r="M4737" s="564" t="s">
        <v>2098</v>
      </c>
      <c r="N4737" s="564" t="s">
        <v>1082</v>
      </c>
      <c r="O4737" s="564" t="s">
        <v>2099</v>
      </c>
      <c r="P4737" s="23"/>
      <c r="Q4737" s="23"/>
      <c r="R4737" s="23"/>
      <c r="S4737" s="23"/>
      <c r="T4737" s="23"/>
      <c r="U4737" s="23"/>
      <c r="V4737" s="23"/>
      <c r="W4737" s="23"/>
      <c r="X4737" s="23"/>
      <c r="Y4737" s="23"/>
      <c r="Z4737" s="23"/>
    </row>
    <row r="4738" spans="1:26" ht="13">
      <c r="A4738" s="562" t="s">
        <v>10195</v>
      </c>
      <c r="B4738" s="563" t="s">
        <v>10196</v>
      </c>
      <c r="C4738" s="564" t="s">
        <v>2451</v>
      </c>
      <c r="D4738" s="565">
        <v>39574</v>
      </c>
      <c r="E4738" s="565">
        <v>39598</v>
      </c>
      <c r="F4738" s="566">
        <v>1500000</v>
      </c>
      <c r="G4738" s="564" t="s">
        <v>1849</v>
      </c>
      <c r="H4738" s="564"/>
      <c r="I4738" s="564" t="s">
        <v>10197</v>
      </c>
      <c r="J4738" s="564" t="s">
        <v>1069</v>
      </c>
      <c r="K4738" s="564" t="s">
        <v>1070</v>
      </c>
      <c r="L4738" s="564" t="s">
        <v>2098</v>
      </c>
      <c r="M4738" s="564" t="s">
        <v>2098</v>
      </c>
      <c r="N4738" s="564" t="s">
        <v>1082</v>
      </c>
      <c r="O4738" s="564" t="s">
        <v>2099</v>
      </c>
      <c r="P4738" s="23"/>
      <c r="Q4738" s="23"/>
      <c r="R4738" s="23"/>
      <c r="S4738" s="23"/>
      <c r="T4738" s="23"/>
      <c r="U4738" s="23"/>
      <c r="V4738" s="23"/>
      <c r="W4738" s="23"/>
      <c r="X4738" s="23"/>
      <c r="Y4738" s="23"/>
      <c r="Z4738" s="23"/>
    </row>
    <row r="4739" spans="1:26" ht="13">
      <c r="A4739" s="562" t="s">
        <v>10198</v>
      </c>
      <c r="B4739" s="563" t="s">
        <v>10199</v>
      </c>
      <c r="C4739" s="564" t="s">
        <v>2451</v>
      </c>
      <c r="D4739" s="565">
        <v>39539</v>
      </c>
      <c r="E4739" s="565">
        <v>39575</v>
      </c>
      <c r="F4739" s="566">
        <v>100000</v>
      </c>
      <c r="G4739" s="564" t="s">
        <v>1849</v>
      </c>
      <c r="H4739" s="564"/>
      <c r="I4739" s="564" t="s">
        <v>2052</v>
      </c>
      <c r="J4739" s="564" t="s">
        <v>1069</v>
      </c>
      <c r="K4739" s="564" t="s">
        <v>1070</v>
      </c>
      <c r="L4739" s="564" t="s">
        <v>2098</v>
      </c>
      <c r="M4739" s="564" t="s">
        <v>2098</v>
      </c>
      <c r="N4739" s="564" t="s">
        <v>1082</v>
      </c>
      <c r="O4739" s="564" t="s">
        <v>2099</v>
      </c>
      <c r="P4739" s="23"/>
      <c r="Q4739" s="23"/>
      <c r="R4739" s="23"/>
      <c r="S4739" s="23"/>
      <c r="T4739" s="23"/>
      <c r="U4739" s="23"/>
      <c r="V4739" s="23"/>
      <c r="W4739" s="23"/>
      <c r="X4739" s="23"/>
      <c r="Y4739" s="23"/>
      <c r="Z4739" s="23"/>
    </row>
    <row r="4740" spans="1:26" ht="13">
      <c r="A4740" s="562" t="s">
        <v>10200</v>
      </c>
      <c r="B4740" s="563" t="s">
        <v>10201</v>
      </c>
      <c r="C4740" s="564" t="s">
        <v>2451</v>
      </c>
      <c r="D4740" s="565">
        <v>39470</v>
      </c>
      <c r="E4740" s="565">
        <v>39478</v>
      </c>
      <c r="F4740" s="566">
        <v>100000</v>
      </c>
      <c r="G4740" s="564" t="s">
        <v>1849</v>
      </c>
      <c r="H4740" s="564"/>
      <c r="I4740" s="564" t="s">
        <v>10202</v>
      </c>
      <c r="J4740" s="564" t="s">
        <v>1069</v>
      </c>
      <c r="K4740" s="564" t="s">
        <v>1802</v>
      </c>
      <c r="L4740" s="564" t="s">
        <v>2098</v>
      </c>
      <c r="M4740" s="564" t="s">
        <v>2098</v>
      </c>
      <c r="N4740" s="564" t="s">
        <v>1082</v>
      </c>
      <c r="O4740" s="564" t="s">
        <v>2099</v>
      </c>
      <c r="P4740" s="23"/>
      <c r="Q4740" s="23"/>
      <c r="R4740" s="23"/>
      <c r="S4740" s="23"/>
      <c r="T4740" s="23"/>
      <c r="U4740" s="23"/>
      <c r="V4740" s="23"/>
      <c r="W4740" s="23"/>
      <c r="X4740" s="23"/>
      <c r="Y4740" s="23"/>
      <c r="Z4740" s="23"/>
    </row>
    <row r="4741" spans="1:26" ht="13">
      <c r="A4741" s="562" t="s">
        <v>10203</v>
      </c>
      <c r="B4741" s="563" t="s">
        <v>10204</v>
      </c>
      <c r="C4741" s="564" t="s">
        <v>2451</v>
      </c>
      <c r="D4741" s="565">
        <v>39468</v>
      </c>
      <c r="E4741" s="565">
        <v>39478</v>
      </c>
      <c r="F4741" s="566">
        <v>100000</v>
      </c>
      <c r="G4741" s="564" t="s">
        <v>1849</v>
      </c>
      <c r="H4741" s="564"/>
      <c r="I4741" s="564" t="s">
        <v>10205</v>
      </c>
      <c r="J4741" s="564" t="s">
        <v>1069</v>
      </c>
      <c r="K4741" s="564" t="s">
        <v>1070</v>
      </c>
      <c r="L4741" s="564" t="s">
        <v>2098</v>
      </c>
      <c r="M4741" s="564" t="s">
        <v>2098</v>
      </c>
      <c r="N4741" s="564" t="s">
        <v>1082</v>
      </c>
      <c r="O4741" s="564" t="s">
        <v>2099</v>
      </c>
      <c r="P4741" s="23"/>
      <c r="Q4741" s="23"/>
      <c r="R4741" s="23"/>
      <c r="S4741" s="23"/>
      <c r="T4741" s="23"/>
      <c r="U4741" s="23"/>
      <c r="V4741" s="23"/>
      <c r="W4741" s="23"/>
      <c r="X4741" s="23"/>
      <c r="Y4741" s="23"/>
      <c r="Z4741" s="23"/>
    </row>
    <row r="4742" spans="1:26" ht="13">
      <c r="A4742" s="562" t="s">
        <v>10206</v>
      </c>
      <c r="B4742" s="563" t="s">
        <v>10207</v>
      </c>
      <c r="C4742" s="564" t="s">
        <v>9855</v>
      </c>
      <c r="D4742" s="565">
        <v>39792</v>
      </c>
      <c r="E4742" s="565">
        <v>39797</v>
      </c>
      <c r="F4742" s="566">
        <v>1700000</v>
      </c>
      <c r="G4742" s="564" t="s">
        <v>1780</v>
      </c>
      <c r="H4742" s="564"/>
      <c r="I4742" s="564" t="s">
        <v>45</v>
      </c>
      <c r="J4742" s="564" t="s">
        <v>1069</v>
      </c>
      <c r="K4742" s="564" t="s">
        <v>1090</v>
      </c>
      <c r="L4742" s="564" t="s">
        <v>2098</v>
      </c>
      <c r="M4742" s="564" t="s">
        <v>2098</v>
      </c>
      <c r="N4742" s="564" t="s">
        <v>45</v>
      </c>
      <c r="O4742" s="564" t="s">
        <v>2099</v>
      </c>
      <c r="P4742" s="23"/>
      <c r="Q4742" s="23"/>
      <c r="R4742" s="23"/>
      <c r="S4742" s="23"/>
      <c r="T4742" s="23"/>
      <c r="U4742" s="23"/>
      <c r="V4742" s="23"/>
      <c r="W4742" s="23"/>
      <c r="X4742" s="23"/>
      <c r="Y4742" s="23"/>
      <c r="Z4742" s="23"/>
    </row>
    <row r="4743" spans="1:26" ht="13">
      <c r="A4743" s="562" t="s">
        <v>10208</v>
      </c>
      <c r="B4743" s="563" t="s">
        <v>10209</v>
      </c>
      <c r="C4743" s="564" t="s">
        <v>9855</v>
      </c>
      <c r="D4743" s="565">
        <v>39762</v>
      </c>
      <c r="E4743" s="565">
        <v>39769</v>
      </c>
      <c r="F4743" s="567">
        <v>600</v>
      </c>
      <c r="G4743" s="564" t="s">
        <v>1780</v>
      </c>
      <c r="H4743" s="564"/>
      <c r="I4743" s="564" t="s">
        <v>45</v>
      </c>
      <c r="J4743" s="564" t="s">
        <v>1069</v>
      </c>
      <c r="K4743" s="564" t="s">
        <v>1090</v>
      </c>
      <c r="L4743" s="564" t="s">
        <v>2098</v>
      </c>
      <c r="M4743" s="564" t="s">
        <v>2098</v>
      </c>
      <c r="N4743" s="564" t="s">
        <v>45</v>
      </c>
      <c r="O4743" s="564" t="s">
        <v>2099</v>
      </c>
      <c r="P4743" s="23"/>
      <c r="Q4743" s="23"/>
      <c r="R4743" s="23"/>
      <c r="S4743" s="23"/>
      <c r="T4743" s="23"/>
      <c r="U4743" s="23"/>
      <c r="V4743" s="23"/>
      <c r="W4743" s="23"/>
      <c r="X4743" s="23"/>
      <c r="Y4743" s="23"/>
      <c r="Z4743" s="23"/>
    </row>
    <row r="4744" spans="1:26" ht="13">
      <c r="A4744" s="562" t="s">
        <v>10210</v>
      </c>
      <c r="B4744" s="563" t="s">
        <v>10211</v>
      </c>
      <c r="C4744" s="564" t="s">
        <v>8539</v>
      </c>
      <c r="D4744" s="565">
        <v>39680</v>
      </c>
      <c r="E4744" s="565">
        <v>39684</v>
      </c>
      <c r="F4744" s="566">
        <v>4747</v>
      </c>
      <c r="G4744" s="564" t="s">
        <v>1780</v>
      </c>
      <c r="H4744" s="564"/>
      <c r="I4744" s="564" t="s">
        <v>64</v>
      </c>
      <c r="J4744" s="564" t="s">
        <v>1069</v>
      </c>
      <c r="K4744" s="564" t="s">
        <v>1090</v>
      </c>
      <c r="L4744" s="564" t="s">
        <v>2098</v>
      </c>
      <c r="M4744" s="564" t="s">
        <v>2098</v>
      </c>
      <c r="N4744" s="564" t="s">
        <v>64</v>
      </c>
      <c r="O4744" s="564" t="s">
        <v>2099</v>
      </c>
      <c r="P4744" s="23"/>
      <c r="Q4744" s="23"/>
      <c r="R4744" s="23"/>
      <c r="S4744" s="23"/>
      <c r="T4744" s="23"/>
      <c r="U4744" s="23"/>
      <c r="V4744" s="23"/>
      <c r="W4744" s="23"/>
      <c r="X4744" s="23"/>
      <c r="Y4744" s="23"/>
      <c r="Z4744" s="23"/>
    </row>
    <row r="4745" spans="1:26" ht="13">
      <c r="A4745" s="562" t="s">
        <v>10212</v>
      </c>
      <c r="B4745" s="563" t="s">
        <v>10213</v>
      </c>
      <c r="C4745" s="564" t="s">
        <v>8539</v>
      </c>
      <c r="D4745" s="565">
        <v>39533</v>
      </c>
      <c r="E4745" s="565">
        <v>39542</v>
      </c>
      <c r="F4745" s="566">
        <v>125800</v>
      </c>
      <c r="G4745" s="564" t="s">
        <v>1780</v>
      </c>
      <c r="H4745" s="564"/>
      <c r="I4745" s="564" t="s">
        <v>45</v>
      </c>
      <c r="J4745" s="564" t="s">
        <v>1069</v>
      </c>
      <c r="K4745" s="564" t="s">
        <v>1090</v>
      </c>
      <c r="L4745" s="564" t="s">
        <v>2098</v>
      </c>
      <c r="M4745" s="564" t="s">
        <v>2098</v>
      </c>
      <c r="N4745" s="564" t="s">
        <v>45</v>
      </c>
      <c r="O4745" s="564" t="s">
        <v>2099</v>
      </c>
      <c r="P4745" s="23"/>
      <c r="Q4745" s="23"/>
      <c r="R4745" s="23"/>
      <c r="S4745" s="23"/>
      <c r="T4745" s="23"/>
      <c r="U4745" s="23"/>
      <c r="V4745" s="23"/>
      <c r="W4745" s="23"/>
      <c r="X4745" s="23"/>
      <c r="Y4745" s="23"/>
      <c r="Z4745" s="23"/>
    </row>
    <row r="4746" spans="1:26" ht="13">
      <c r="A4746" s="562" t="s">
        <v>10214</v>
      </c>
      <c r="B4746" s="563" t="s">
        <v>10215</v>
      </c>
      <c r="C4746" s="564" t="s">
        <v>9855</v>
      </c>
      <c r="D4746" s="565">
        <v>39520</v>
      </c>
      <c r="E4746" s="565">
        <v>39524</v>
      </c>
      <c r="F4746" s="566">
        <v>4920</v>
      </c>
      <c r="G4746" s="564" t="s">
        <v>1636</v>
      </c>
      <c r="H4746" s="564"/>
      <c r="I4746" s="564" t="s">
        <v>1247</v>
      </c>
      <c r="J4746" s="564" t="s">
        <v>1069</v>
      </c>
      <c r="K4746" s="564" t="s">
        <v>1070</v>
      </c>
      <c r="L4746" s="564" t="s">
        <v>2098</v>
      </c>
      <c r="M4746" s="564" t="s">
        <v>2098</v>
      </c>
      <c r="N4746" s="564" t="s">
        <v>1073</v>
      </c>
      <c r="O4746" s="564" t="s">
        <v>2099</v>
      </c>
      <c r="P4746" s="23"/>
      <c r="Q4746" s="23"/>
      <c r="R4746" s="23"/>
      <c r="S4746" s="23"/>
      <c r="T4746" s="23"/>
      <c r="U4746" s="23"/>
      <c r="V4746" s="23"/>
      <c r="W4746" s="23"/>
      <c r="X4746" s="23"/>
      <c r="Y4746" s="23"/>
      <c r="Z4746" s="23"/>
    </row>
    <row r="4747" spans="1:26" ht="13">
      <c r="A4747" s="562" t="s">
        <v>10216</v>
      </c>
      <c r="B4747" s="563" t="s">
        <v>10217</v>
      </c>
      <c r="C4747" s="564" t="s">
        <v>9855</v>
      </c>
      <c r="D4747" s="565">
        <v>39517</v>
      </c>
      <c r="E4747" s="565">
        <v>39522</v>
      </c>
      <c r="F4747" s="566">
        <v>235000000</v>
      </c>
      <c r="G4747" s="564" t="s">
        <v>1521</v>
      </c>
      <c r="H4747" s="564"/>
      <c r="I4747" s="564" t="s">
        <v>45</v>
      </c>
      <c r="J4747" s="564" t="s">
        <v>1069</v>
      </c>
      <c r="K4747" s="564" t="s">
        <v>1090</v>
      </c>
      <c r="L4747" s="564" t="s">
        <v>2098</v>
      </c>
      <c r="M4747" s="564" t="s">
        <v>2098</v>
      </c>
      <c r="N4747" s="564" t="s">
        <v>45</v>
      </c>
      <c r="O4747" s="564" t="s">
        <v>2099</v>
      </c>
      <c r="P4747" s="23"/>
      <c r="Q4747" s="23"/>
      <c r="R4747" s="23"/>
      <c r="S4747" s="23"/>
      <c r="T4747" s="23"/>
      <c r="U4747" s="23"/>
      <c r="V4747" s="23"/>
      <c r="W4747" s="23"/>
      <c r="X4747" s="23"/>
      <c r="Y4747" s="23"/>
      <c r="Z4747" s="23"/>
    </row>
    <row r="4748" spans="1:26" ht="13">
      <c r="A4748" s="562" t="s">
        <v>10218</v>
      </c>
      <c r="B4748" s="563" t="s">
        <v>10219</v>
      </c>
      <c r="C4748" s="564" t="s">
        <v>9855</v>
      </c>
      <c r="D4748" s="565">
        <v>39500</v>
      </c>
      <c r="E4748" s="565">
        <v>39505</v>
      </c>
      <c r="F4748" s="567"/>
      <c r="G4748" s="564" t="s">
        <v>1830</v>
      </c>
      <c r="H4748" s="564"/>
      <c r="I4748" s="564" t="s">
        <v>10220</v>
      </c>
      <c r="J4748" s="564" t="s">
        <v>1069</v>
      </c>
      <c r="K4748" s="564" t="s">
        <v>1070</v>
      </c>
      <c r="L4748" s="564" t="s">
        <v>2098</v>
      </c>
      <c r="M4748" s="564" t="s">
        <v>2098</v>
      </c>
      <c r="N4748" s="564" t="s">
        <v>1082</v>
      </c>
      <c r="O4748" s="564" t="s">
        <v>2099</v>
      </c>
      <c r="P4748" s="23"/>
      <c r="Q4748" s="23"/>
      <c r="R4748" s="23"/>
      <c r="S4748" s="23"/>
      <c r="T4748" s="23"/>
      <c r="U4748" s="23"/>
      <c r="V4748" s="23"/>
      <c r="W4748" s="23"/>
      <c r="X4748" s="23"/>
      <c r="Y4748" s="23"/>
      <c r="Z4748" s="23"/>
    </row>
    <row r="4749" spans="1:26" ht="13">
      <c r="A4749" s="562" t="s">
        <v>10221</v>
      </c>
      <c r="B4749" s="563" t="s">
        <v>10222</v>
      </c>
      <c r="C4749" s="564" t="s">
        <v>9855</v>
      </c>
      <c r="D4749" s="565">
        <v>39497</v>
      </c>
      <c r="E4749" s="565">
        <v>39506</v>
      </c>
      <c r="F4749" s="567"/>
      <c r="G4749" s="564" t="s">
        <v>1830</v>
      </c>
      <c r="H4749" s="564"/>
      <c r="I4749" s="564" t="s">
        <v>10223</v>
      </c>
      <c r="J4749" s="564" t="s">
        <v>1069</v>
      </c>
      <c r="K4749" s="564" t="s">
        <v>1070</v>
      </c>
      <c r="L4749" s="564" t="s">
        <v>2098</v>
      </c>
      <c r="M4749" s="564" t="s">
        <v>2098</v>
      </c>
      <c r="N4749" s="564" t="s">
        <v>1082</v>
      </c>
      <c r="O4749" s="564" t="s">
        <v>2099</v>
      </c>
      <c r="P4749" s="23"/>
      <c r="Q4749" s="23"/>
      <c r="R4749" s="23"/>
      <c r="S4749" s="23"/>
      <c r="T4749" s="23"/>
      <c r="U4749" s="23"/>
      <c r="V4749" s="23"/>
      <c r="W4749" s="23"/>
      <c r="X4749" s="23"/>
      <c r="Y4749" s="23"/>
      <c r="Z4749" s="23"/>
    </row>
    <row r="4750" spans="1:26" ht="13">
      <c r="A4750" s="562" t="s">
        <v>10224</v>
      </c>
      <c r="B4750" s="563" t="s">
        <v>10225</v>
      </c>
      <c r="C4750" s="564" t="s">
        <v>2484</v>
      </c>
      <c r="D4750" s="565">
        <v>39679</v>
      </c>
      <c r="E4750" s="565">
        <v>39682</v>
      </c>
      <c r="F4750" s="566">
        <v>11850190</v>
      </c>
      <c r="G4750" s="564" t="s">
        <v>2536</v>
      </c>
      <c r="H4750" s="564"/>
      <c r="I4750" s="564" t="s">
        <v>143</v>
      </c>
      <c r="J4750" s="564" t="s">
        <v>1069</v>
      </c>
      <c r="K4750" s="564" t="s">
        <v>1205</v>
      </c>
      <c r="L4750" s="564" t="s">
        <v>2098</v>
      </c>
      <c r="M4750" s="564" t="s">
        <v>2098</v>
      </c>
      <c r="N4750" s="564" t="s">
        <v>1073</v>
      </c>
      <c r="O4750" s="564" t="s">
        <v>2099</v>
      </c>
      <c r="P4750" s="23"/>
      <c r="Q4750" s="23"/>
      <c r="R4750" s="23"/>
      <c r="S4750" s="23"/>
      <c r="T4750" s="23"/>
      <c r="U4750" s="23"/>
      <c r="V4750" s="23"/>
      <c r="W4750" s="23"/>
      <c r="X4750" s="23"/>
      <c r="Y4750" s="23"/>
      <c r="Z4750" s="23"/>
    </row>
    <row r="4751" spans="1:26" ht="13">
      <c r="A4751" s="562" t="s">
        <v>10226</v>
      </c>
      <c r="B4751" s="563" t="s">
        <v>10204</v>
      </c>
      <c r="C4751" s="564" t="s">
        <v>2451</v>
      </c>
      <c r="D4751" s="565">
        <v>39468</v>
      </c>
      <c r="E4751" s="565">
        <v>39478</v>
      </c>
      <c r="F4751" s="567"/>
      <c r="G4751" s="564" t="s">
        <v>1849</v>
      </c>
      <c r="H4751" s="564"/>
      <c r="I4751" s="564" t="s">
        <v>10205</v>
      </c>
      <c r="J4751" s="564" t="s">
        <v>1069</v>
      </c>
      <c r="K4751" s="564" t="s">
        <v>1070</v>
      </c>
      <c r="L4751" s="564" t="s">
        <v>2098</v>
      </c>
      <c r="M4751" s="564" t="s">
        <v>2098</v>
      </c>
      <c r="N4751" s="564" t="s">
        <v>1082</v>
      </c>
      <c r="O4751" s="564" t="s">
        <v>2099</v>
      </c>
      <c r="P4751" s="23"/>
      <c r="Q4751" s="23"/>
      <c r="R4751" s="23"/>
      <c r="S4751" s="23"/>
      <c r="T4751" s="23"/>
      <c r="U4751" s="23"/>
      <c r="V4751" s="23"/>
      <c r="W4751" s="23"/>
      <c r="X4751" s="23"/>
      <c r="Y4751" s="23"/>
      <c r="Z4751" s="23"/>
    </row>
    <row r="4752" spans="1:26" ht="13">
      <c r="A4752" s="562" t="s">
        <v>10227</v>
      </c>
      <c r="B4752" s="563" t="s">
        <v>10228</v>
      </c>
      <c r="C4752" s="564" t="s">
        <v>9855</v>
      </c>
      <c r="D4752" s="565">
        <v>39468</v>
      </c>
      <c r="E4752" s="565">
        <v>39477</v>
      </c>
      <c r="F4752" s="566">
        <v>16950000</v>
      </c>
      <c r="G4752" s="564" t="s">
        <v>1830</v>
      </c>
      <c r="H4752" s="564"/>
      <c r="I4752" s="564" t="s">
        <v>45</v>
      </c>
      <c r="J4752" s="564" t="s">
        <v>1069</v>
      </c>
      <c r="K4752" s="564" t="s">
        <v>1090</v>
      </c>
      <c r="L4752" s="564" t="s">
        <v>2098</v>
      </c>
      <c r="M4752" s="564" t="s">
        <v>2098</v>
      </c>
      <c r="N4752" s="564" t="s">
        <v>45</v>
      </c>
      <c r="O4752" s="564" t="s">
        <v>2099</v>
      </c>
      <c r="P4752" s="23"/>
      <c r="Q4752" s="23"/>
      <c r="R4752" s="23"/>
      <c r="S4752" s="23"/>
      <c r="T4752" s="23"/>
      <c r="U4752" s="23"/>
      <c r="V4752" s="23"/>
      <c r="W4752" s="23"/>
      <c r="X4752" s="23"/>
      <c r="Y4752" s="23"/>
      <c r="Z4752" s="23"/>
    </row>
    <row r="4753" spans="1:26" ht="13">
      <c r="A4753" s="562" t="s">
        <v>10229</v>
      </c>
      <c r="B4753" s="563" t="s">
        <v>10230</v>
      </c>
      <c r="C4753" s="564" t="s">
        <v>1612</v>
      </c>
      <c r="D4753" s="565">
        <v>39812</v>
      </c>
      <c r="E4753" s="565">
        <v>39801</v>
      </c>
      <c r="F4753" s="566">
        <v>3280</v>
      </c>
      <c r="G4753" s="564" t="s">
        <v>297</v>
      </c>
      <c r="H4753" s="564"/>
      <c r="I4753" s="564" t="s">
        <v>64</v>
      </c>
      <c r="J4753" s="564" t="s">
        <v>1069</v>
      </c>
      <c r="K4753" s="564" t="s">
        <v>1090</v>
      </c>
      <c r="L4753" s="564" t="s">
        <v>2098</v>
      </c>
      <c r="M4753" s="564" t="s">
        <v>2098</v>
      </c>
      <c r="N4753" s="564" t="s">
        <v>64</v>
      </c>
      <c r="O4753" s="564" t="s">
        <v>2099</v>
      </c>
      <c r="P4753" s="23"/>
      <c r="Q4753" s="23"/>
      <c r="R4753" s="23"/>
      <c r="S4753" s="23"/>
      <c r="T4753" s="23"/>
      <c r="U4753" s="23"/>
      <c r="V4753" s="23"/>
      <c r="W4753" s="23"/>
      <c r="X4753" s="23"/>
      <c r="Y4753" s="23"/>
      <c r="Z4753" s="23"/>
    </row>
    <row r="4754" spans="1:26" ht="13">
      <c r="A4754" s="562" t="s">
        <v>10231</v>
      </c>
      <c r="B4754" s="563" t="s">
        <v>10232</v>
      </c>
      <c r="C4754" s="564" t="s">
        <v>1612</v>
      </c>
      <c r="D4754" s="565">
        <v>39811</v>
      </c>
      <c r="E4754" s="565">
        <v>39822</v>
      </c>
      <c r="F4754" s="566">
        <v>277460</v>
      </c>
      <c r="G4754" s="564" t="s">
        <v>297</v>
      </c>
      <c r="H4754" s="564"/>
      <c r="I4754" s="564" t="s">
        <v>7259</v>
      </c>
      <c r="J4754" s="564" t="s">
        <v>1069</v>
      </c>
      <c r="K4754" s="564" t="s">
        <v>1070</v>
      </c>
      <c r="L4754" s="564" t="s">
        <v>2098</v>
      </c>
      <c r="M4754" s="564" t="s">
        <v>2098</v>
      </c>
      <c r="N4754" s="564" t="s">
        <v>1082</v>
      </c>
      <c r="O4754" s="564" t="s">
        <v>2099</v>
      </c>
      <c r="P4754" s="23"/>
      <c r="Q4754" s="23"/>
      <c r="R4754" s="23"/>
      <c r="S4754" s="23"/>
      <c r="T4754" s="23"/>
      <c r="U4754" s="23"/>
      <c r="V4754" s="23"/>
      <c r="W4754" s="23"/>
      <c r="X4754" s="23"/>
      <c r="Y4754" s="23"/>
      <c r="Z4754" s="23"/>
    </row>
    <row r="4755" spans="1:26" ht="13">
      <c r="A4755" s="562" t="s">
        <v>10233</v>
      </c>
      <c r="B4755" s="563" t="s">
        <v>9778</v>
      </c>
      <c r="C4755" s="564" t="s">
        <v>6860</v>
      </c>
      <c r="D4755" s="565">
        <v>39804</v>
      </c>
      <c r="E4755" s="565">
        <v>39903</v>
      </c>
      <c r="F4755" s="566">
        <v>370800</v>
      </c>
      <c r="G4755" s="564" t="s">
        <v>2168</v>
      </c>
      <c r="H4755" s="564" t="s">
        <v>2168</v>
      </c>
      <c r="I4755" s="564" t="s">
        <v>10234</v>
      </c>
      <c r="J4755" s="564" t="s">
        <v>1069</v>
      </c>
      <c r="K4755" s="564" t="s">
        <v>1070</v>
      </c>
      <c r="L4755" s="564" t="s">
        <v>2098</v>
      </c>
      <c r="M4755" s="564" t="s">
        <v>2098</v>
      </c>
      <c r="N4755" s="564" t="s">
        <v>1082</v>
      </c>
      <c r="O4755" s="564" t="s">
        <v>2099</v>
      </c>
      <c r="P4755" s="23"/>
      <c r="Q4755" s="23"/>
      <c r="R4755" s="23"/>
      <c r="S4755" s="23"/>
      <c r="T4755" s="23"/>
      <c r="U4755" s="23"/>
      <c r="V4755" s="23"/>
      <c r="W4755" s="23"/>
      <c r="X4755" s="23"/>
      <c r="Y4755" s="23"/>
      <c r="Z4755" s="23"/>
    </row>
    <row r="4756" spans="1:26" ht="13">
      <c r="A4756" s="562" t="s">
        <v>10235</v>
      </c>
      <c r="B4756" s="563" t="s">
        <v>10236</v>
      </c>
      <c r="C4756" s="564" t="s">
        <v>2191</v>
      </c>
      <c r="D4756" s="565">
        <v>39808</v>
      </c>
      <c r="E4756" s="565">
        <v>39888</v>
      </c>
      <c r="F4756" s="566">
        <v>690909091</v>
      </c>
      <c r="G4756" s="564" t="s">
        <v>297</v>
      </c>
      <c r="H4756" s="564"/>
      <c r="I4756" s="564" t="s">
        <v>10237</v>
      </c>
      <c r="J4756" s="564" t="s">
        <v>1069</v>
      </c>
      <c r="K4756" s="564" t="s">
        <v>1198</v>
      </c>
      <c r="L4756" s="564" t="s">
        <v>2098</v>
      </c>
      <c r="M4756" s="564" t="s">
        <v>2098</v>
      </c>
      <c r="N4756" s="564" t="s">
        <v>1368</v>
      </c>
      <c r="O4756" s="564" t="s">
        <v>2099</v>
      </c>
      <c r="P4756" s="23"/>
      <c r="Q4756" s="23"/>
      <c r="R4756" s="23"/>
      <c r="S4756" s="23"/>
      <c r="T4756" s="23"/>
      <c r="U4756" s="23"/>
      <c r="V4756" s="23"/>
      <c r="W4756" s="23"/>
      <c r="X4756" s="23"/>
      <c r="Y4756" s="23"/>
      <c r="Z4756" s="23"/>
    </row>
    <row r="4757" spans="1:26" ht="13">
      <c r="A4757" s="562" t="s">
        <v>10238</v>
      </c>
      <c r="B4757" s="563" t="s">
        <v>10239</v>
      </c>
      <c r="C4757" s="564" t="s">
        <v>1612</v>
      </c>
      <c r="D4757" s="565">
        <v>39805</v>
      </c>
      <c r="E4757" s="565">
        <v>39822</v>
      </c>
      <c r="F4757" s="566">
        <v>4100</v>
      </c>
      <c r="G4757" s="564" t="s">
        <v>297</v>
      </c>
      <c r="H4757" s="564"/>
      <c r="I4757" s="564" t="s">
        <v>802</v>
      </c>
      <c r="J4757" s="564" t="s">
        <v>1069</v>
      </c>
      <c r="K4757" s="564" t="s">
        <v>1198</v>
      </c>
      <c r="L4757" s="564" t="s">
        <v>2098</v>
      </c>
      <c r="M4757" s="564" t="s">
        <v>2098</v>
      </c>
      <c r="N4757" s="564" t="s">
        <v>132</v>
      </c>
      <c r="O4757" s="564" t="s">
        <v>2099</v>
      </c>
      <c r="P4757" s="23"/>
      <c r="Q4757" s="23"/>
      <c r="R4757" s="23"/>
      <c r="S4757" s="23"/>
      <c r="T4757" s="23"/>
      <c r="U4757" s="23"/>
      <c r="V4757" s="23"/>
      <c r="W4757" s="23"/>
      <c r="X4757" s="23"/>
      <c r="Y4757" s="23"/>
      <c r="Z4757" s="23"/>
    </row>
    <row r="4758" spans="1:26" ht="13">
      <c r="A4758" s="562" t="s">
        <v>10240</v>
      </c>
      <c r="B4758" s="563" t="s">
        <v>10241</v>
      </c>
      <c r="C4758" s="564" t="s">
        <v>1612</v>
      </c>
      <c r="D4758" s="565">
        <v>39805</v>
      </c>
      <c r="E4758" s="565">
        <v>39822</v>
      </c>
      <c r="F4758" s="567">
        <v>730</v>
      </c>
      <c r="G4758" s="564" t="s">
        <v>297</v>
      </c>
      <c r="H4758" s="564"/>
      <c r="I4758" s="564" t="s">
        <v>802</v>
      </c>
      <c r="J4758" s="564" t="s">
        <v>1069</v>
      </c>
      <c r="K4758" s="564" t="s">
        <v>1198</v>
      </c>
      <c r="L4758" s="564" t="s">
        <v>2098</v>
      </c>
      <c r="M4758" s="564" t="s">
        <v>2098</v>
      </c>
      <c r="N4758" s="564" t="s">
        <v>132</v>
      </c>
      <c r="O4758" s="564" t="s">
        <v>2099</v>
      </c>
      <c r="P4758" s="23"/>
      <c r="Q4758" s="23"/>
      <c r="R4758" s="23"/>
      <c r="S4758" s="23"/>
      <c r="T4758" s="23"/>
      <c r="U4758" s="23"/>
      <c r="V4758" s="23"/>
      <c r="W4758" s="23"/>
      <c r="X4758" s="23"/>
      <c r="Y4758" s="23"/>
      <c r="Z4758" s="23"/>
    </row>
    <row r="4759" spans="1:26" ht="13">
      <c r="A4759" s="562" t="s">
        <v>10242</v>
      </c>
      <c r="B4759" s="563" t="s">
        <v>10243</v>
      </c>
      <c r="C4759" s="564" t="s">
        <v>1612</v>
      </c>
      <c r="D4759" s="565">
        <v>39805</v>
      </c>
      <c r="E4759" s="565">
        <v>39811</v>
      </c>
      <c r="F4759" s="566">
        <v>3900</v>
      </c>
      <c r="G4759" s="564" t="s">
        <v>297</v>
      </c>
      <c r="H4759" s="564"/>
      <c r="I4759" s="564" t="s">
        <v>64</v>
      </c>
      <c r="J4759" s="564" t="s">
        <v>1069</v>
      </c>
      <c r="K4759" s="564" t="s">
        <v>1090</v>
      </c>
      <c r="L4759" s="564" t="s">
        <v>2098</v>
      </c>
      <c r="M4759" s="564" t="s">
        <v>2098</v>
      </c>
      <c r="N4759" s="564" t="s">
        <v>64</v>
      </c>
      <c r="O4759" s="564" t="s">
        <v>2099</v>
      </c>
      <c r="P4759" s="23"/>
      <c r="Q4759" s="23"/>
      <c r="R4759" s="23"/>
      <c r="S4759" s="23"/>
      <c r="T4759" s="23"/>
      <c r="U4759" s="23"/>
      <c r="V4759" s="23"/>
      <c r="W4759" s="23"/>
      <c r="X4759" s="23"/>
      <c r="Y4759" s="23"/>
      <c r="Z4759" s="23"/>
    </row>
    <row r="4760" spans="1:26" ht="13">
      <c r="A4760" s="562" t="s">
        <v>10244</v>
      </c>
      <c r="B4760" s="563" t="s">
        <v>10245</v>
      </c>
      <c r="C4760" s="564" t="s">
        <v>2191</v>
      </c>
      <c r="D4760" s="565">
        <v>39805</v>
      </c>
      <c r="E4760" s="565">
        <v>39813</v>
      </c>
      <c r="F4760" s="566">
        <v>172840909</v>
      </c>
      <c r="G4760" s="564" t="s">
        <v>1912</v>
      </c>
      <c r="H4760" s="564"/>
      <c r="I4760" s="564" t="s">
        <v>8659</v>
      </c>
      <c r="J4760" s="564" t="s">
        <v>1069</v>
      </c>
      <c r="K4760" s="564" t="s">
        <v>1205</v>
      </c>
      <c r="L4760" s="564" t="s">
        <v>2098</v>
      </c>
      <c r="M4760" s="564" t="s">
        <v>2098</v>
      </c>
      <c r="N4760" s="564" t="s">
        <v>1073</v>
      </c>
      <c r="O4760" s="564" t="s">
        <v>2099</v>
      </c>
      <c r="P4760" s="23"/>
      <c r="Q4760" s="23"/>
      <c r="R4760" s="23"/>
      <c r="S4760" s="23"/>
      <c r="T4760" s="23"/>
      <c r="U4760" s="23"/>
      <c r="V4760" s="23"/>
      <c r="W4760" s="23"/>
      <c r="X4760" s="23"/>
      <c r="Y4760" s="23"/>
      <c r="Z4760" s="23"/>
    </row>
    <row r="4761" spans="1:26" ht="13">
      <c r="A4761" s="562" t="s">
        <v>10246</v>
      </c>
      <c r="B4761" s="563" t="s">
        <v>10247</v>
      </c>
      <c r="C4761" s="564" t="s">
        <v>2191</v>
      </c>
      <c r="D4761" s="565">
        <v>39806</v>
      </c>
      <c r="E4761" s="565">
        <v>39843</v>
      </c>
      <c r="F4761" s="566">
        <v>47090909</v>
      </c>
      <c r="G4761" s="564" t="s">
        <v>1912</v>
      </c>
      <c r="H4761" s="564"/>
      <c r="I4761" s="564" t="s">
        <v>8659</v>
      </c>
      <c r="J4761" s="564" t="s">
        <v>1069</v>
      </c>
      <c r="K4761" s="564" t="s">
        <v>1205</v>
      </c>
      <c r="L4761" s="564" t="s">
        <v>2098</v>
      </c>
      <c r="M4761" s="564" t="s">
        <v>2098</v>
      </c>
      <c r="N4761" s="564" t="s">
        <v>1073</v>
      </c>
      <c r="O4761" s="564" t="s">
        <v>2099</v>
      </c>
      <c r="P4761" s="23"/>
      <c r="Q4761" s="23"/>
      <c r="R4761" s="23"/>
      <c r="S4761" s="23"/>
      <c r="T4761" s="23"/>
      <c r="U4761" s="23"/>
      <c r="V4761" s="23"/>
      <c r="W4761" s="23"/>
      <c r="X4761" s="23"/>
      <c r="Y4761" s="23"/>
      <c r="Z4761" s="23"/>
    </row>
    <row r="4762" spans="1:26" ht="13">
      <c r="A4762" s="562" t="s">
        <v>10248</v>
      </c>
      <c r="B4762" s="563" t="s">
        <v>10249</v>
      </c>
      <c r="C4762" s="564" t="s">
        <v>2191</v>
      </c>
      <c r="D4762" s="565">
        <v>39801</v>
      </c>
      <c r="E4762" s="565">
        <v>39808</v>
      </c>
      <c r="F4762" s="566">
        <v>22140</v>
      </c>
      <c r="G4762" s="564" t="s">
        <v>297</v>
      </c>
      <c r="H4762" s="564"/>
      <c r="I4762" s="564" t="s">
        <v>1771</v>
      </c>
      <c r="J4762" s="564" t="s">
        <v>1069</v>
      </c>
      <c r="K4762" s="564" t="s">
        <v>1070</v>
      </c>
      <c r="L4762" s="564" t="s">
        <v>2098</v>
      </c>
      <c r="M4762" s="564" t="s">
        <v>2098</v>
      </c>
      <c r="N4762" s="564" t="s">
        <v>1082</v>
      </c>
      <c r="O4762" s="564" t="s">
        <v>2099</v>
      </c>
      <c r="P4762" s="23"/>
      <c r="Q4762" s="23"/>
      <c r="R4762" s="23"/>
      <c r="S4762" s="23"/>
      <c r="T4762" s="23"/>
      <c r="U4762" s="23"/>
      <c r="V4762" s="23"/>
      <c r="W4762" s="23"/>
      <c r="X4762" s="23"/>
      <c r="Y4762" s="23"/>
      <c r="Z4762" s="23"/>
    </row>
    <row r="4763" spans="1:26" ht="13">
      <c r="A4763" s="562" t="s">
        <v>10250</v>
      </c>
      <c r="B4763" s="563" t="s">
        <v>10251</v>
      </c>
      <c r="C4763" s="564" t="s">
        <v>1612</v>
      </c>
      <c r="D4763" s="565">
        <v>39805</v>
      </c>
      <c r="E4763" s="565">
        <v>39811</v>
      </c>
      <c r="F4763" s="566">
        <v>119640000</v>
      </c>
      <c r="G4763" s="564" t="s">
        <v>1856</v>
      </c>
      <c r="H4763" s="564" t="s">
        <v>1856</v>
      </c>
      <c r="I4763" s="564" t="s">
        <v>45</v>
      </c>
      <c r="J4763" s="564" t="s">
        <v>1069</v>
      </c>
      <c r="K4763" s="564" t="s">
        <v>1090</v>
      </c>
      <c r="L4763" s="564" t="s">
        <v>2098</v>
      </c>
      <c r="M4763" s="564" t="s">
        <v>2098</v>
      </c>
      <c r="N4763" s="564" t="s">
        <v>45</v>
      </c>
      <c r="O4763" s="564" t="s">
        <v>2099</v>
      </c>
      <c r="P4763" s="23"/>
      <c r="Q4763" s="23"/>
      <c r="R4763" s="23"/>
      <c r="S4763" s="23"/>
      <c r="T4763" s="23"/>
      <c r="U4763" s="23"/>
      <c r="V4763" s="23"/>
      <c r="W4763" s="23"/>
      <c r="X4763" s="23"/>
      <c r="Y4763" s="23"/>
      <c r="Z4763" s="23"/>
    </row>
    <row r="4764" spans="1:26" ht="13">
      <c r="A4764" s="562" t="s">
        <v>10252</v>
      </c>
      <c r="B4764" s="563" t="s">
        <v>10253</v>
      </c>
      <c r="C4764" s="564" t="s">
        <v>1612</v>
      </c>
      <c r="D4764" s="565">
        <v>39805</v>
      </c>
      <c r="E4764" s="565">
        <v>39813</v>
      </c>
      <c r="F4764" s="566">
        <v>4536000</v>
      </c>
      <c r="G4764" s="564" t="s">
        <v>297</v>
      </c>
      <c r="H4764" s="564"/>
      <c r="I4764" s="564" t="s">
        <v>257</v>
      </c>
      <c r="J4764" s="564" t="s">
        <v>1069</v>
      </c>
      <c r="K4764" s="564" t="s">
        <v>1209</v>
      </c>
      <c r="L4764" s="564" t="s">
        <v>2098</v>
      </c>
      <c r="M4764" s="564" t="s">
        <v>2098</v>
      </c>
      <c r="N4764" s="564" t="s">
        <v>257</v>
      </c>
      <c r="O4764" s="564" t="s">
        <v>2099</v>
      </c>
      <c r="P4764" s="23"/>
      <c r="Q4764" s="23"/>
      <c r="R4764" s="23"/>
      <c r="S4764" s="23"/>
      <c r="T4764" s="23"/>
      <c r="U4764" s="23"/>
      <c r="V4764" s="23"/>
      <c r="W4764" s="23"/>
      <c r="X4764" s="23"/>
      <c r="Y4764" s="23"/>
      <c r="Z4764" s="23"/>
    </row>
    <row r="4765" spans="1:26" ht="13">
      <c r="A4765" s="562" t="s">
        <v>10254</v>
      </c>
      <c r="B4765" s="563" t="s">
        <v>10255</v>
      </c>
      <c r="C4765" s="564" t="s">
        <v>1612</v>
      </c>
      <c r="D4765" s="565">
        <v>39800</v>
      </c>
      <c r="E4765" s="565">
        <v>39813</v>
      </c>
      <c r="F4765" s="566">
        <v>61224200</v>
      </c>
      <c r="G4765" s="564" t="s">
        <v>297</v>
      </c>
      <c r="H4765" s="564" t="s">
        <v>297</v>
      </c>
      <c r="I4765" s="564" t="s">
        <v>802</v>
      </c>
      <c r="J4765" s="564" t="s">
        <v>1069</v>
      </c>
      <c r="K4765" s="564" t="s">
        <v>1198</v>
      </c>
      <c r="L4765" s="564" t="s">
        <v>2098</v>
      </c>
      <c r="M4765" s="564" t="s">
        <v>2098</v>
      </c>
      <c r="N4765" s="564" t="s">
        <v>132</v>
      </c>
      <c r="O4765" s="564" t="s">
        <v>2099</v>
      </c>
      <c r="P4765" s="23"/>
      <c r="Q4765" s="23"/>
      <c r="R4765" s="23"/>
      <c r="S4765" s="23"/>
      <c r="T4765" s="23"/>
      <c r="U4765" s="23"/>
      <c r="V4765" s="23"/>
      <c r="W4765" s="23"/>
      <c r="X4765" s="23"/>
      <c r="Y4765" s="23"/>
      <c r="Z4765" s="23"/>
    </row>
    <row r="4766" spans="1:26" ht="13">
      <c r="A4766" s="562" t="s">
        <v>10256</v>
      </c>
      <c r="B4766" s="563" t="s">
        <v>10257</v>
      </c>
      <c r="C4766" s="564" t="s">
        <v>1612</v>
      </c>
      <c r="D4766" s="565">
        <v>39798</v>
      </c>
      <c r="E4766" s="565">
        <v>39801</v>
      </c>
      <c r="F4766" s="566">
        <v>2825</v>
      </c>
      <c r="G4766" s="564" t="s">
        <v>297</v>
      </c>
      <c r="H4766" s="564"/>
      <c r="I4766" s="564" t="s">
        <v>45</v>
      </c>
      <c r="J4766" s="564" t="s">
        <v>1069</v>
      </c>
      <c r="K4766" s="564" t="s">
        <v>1090</v>
      </c>
      <c r="L4766" s="564" t="s">
        <v>2098</v>
      </c>
      <c r="M4766" s="564" t="s">
        <v>2098</v>
      </c>
      <c r="N4766" s="564" t="s">
        <v>45</v>
      </c>
      <c r="O4766" s="564" t="s">
        <v>2099</v>
      </c>
      <c r="P4766" s="23"/>
      <c r="Q4766" s="23"/>
      <c r="R4766" s="23"/>
      <c r="S4766" s="23"/>
      <c r="T4766" s="23"/>
      <c r="U4766" s="23"/>
      <c r="V4766" s="23"/>
      <c r="W4766" s="23"/>
      <c r="X4766" s="23"/>
      <c r="Y4766" s="23"/>
      <c r="Z4766" s="23"/>
    </row>
    <row r="4767" spans="1:26" ht="13">
      <c r="A4767" s="562" t="s">
        <v>10258</v>
      </c>
      <c r="B4767" s="563" t="s">
        <v>10259</v>
      </c>
      <c r="C4767" s="564" t="s">
        <v>1612</v>
      </c>
      <c r="D4767" s="565">
        <v>39792</v>
      </c>
      <c r="E4767" s="565">
        <v>39801</v>
      </c>
      <c r="F4767" s="566">
        <v>47850</v>
      </c>
      <c r="G4767" s="564" t="s">
        <v>297</v>
      </c>
      <c r="H4767" s="564"/>
      <c r="I4767" s="564" t="s">
        <v>9250</v>
      </c>
      <c r="J4767" s="564" t="s">
        <v>1069</v>
      </c>
      <c r="K4767" s="564" t="s">
        <v>1090</v>
      </c>
      <c r="L4767" s="564" t="s">
        <v>2098</v>
      </c>
      <c r="M4767" s="564" t="s">
        <v>2098</v>
      </c>
      <c r="N4767" s="564" t="s">
        <v>45</v>
      </c>
      <c r="O4767" s="564" t="s">
        <v>2099</v>
      </c>
      <c r="P4767" s="23"/>
      <c r="Q4767" s="23"/>
      <c r="R4767" s="23"/>
      <c r="S4767" s="23"/>
      <c r="T4767" s="23"/>
      <c r="U4767" s="23"/>
      <c r="V4767" s="23"/>
      <c r="W4767" s="23"/>
      <c r="X4767" s="23"/>
      <c r="Y4767" s="23"/>
      <c r="Z4767" s="23"/>
    </row>
    <row r="4768" spans="1:26" ht="13">
      <c r="A4768" s="562" t="s">
        <v>10260</v>
      </c>
      <c r="B4768" s="563" t="s">
        <v>10261</v>
      </c>
      <c r="C4768" s="564" t="s">
        <v>1612</v>
      </c>
      <c r="D4768" s="565">
        <v>39791</v>
      </c>
      <c r="E4768" s="565">
        <v>39797</v>
      </c>
      <c r="F4768" s="566">
        <v>37353</v>
      </c>
      <c r="G4768" s="564" t="s">
        <v>297</v>
      </c>
      <c r="H4768" s="564"/>
      <c r="I4768" s="564" t="s">
        <v>1781</v>
      </c>
      <c r="J4768" s="564" t="s">
        <v>1069</v>
      </c>
      <c r="K4768" s="564" t="s">
        <v>1070</v>
      </c>
      <c r="L4768" s="564" t="s">
        <v>2098</v>
      </c>
      <c r="M4768" s="564" t="s">
        <v>2098</v>
      </c>
      <c r="N4768" s="564" t="s">
        <v>1073</v>
      </c>
      <c r="O4768" s="564" t="s">
        <v>2099</v>
      </c>
      <c r="P4768" s="23"/>
      <c r="Q4768" s="23"/>
      <c r="R4768" s="23"/>
      <c r="S4768" s="23"/>
      <c r="T4768" s="23"/>
      <c r="U4768" s="23"/>
      <c r="V4768" s="23"/>
      <c r="W4768" s="23"/>
      <c r="X4768" s="23"/>
      <c r="Y4768" s="23"/>
      <c r="Z4768" s="23"/>
    </row>
    <row r="4769" spans="1:26" ht="13">
      <c r="A4769" s="562" t="s">
        <v>10262</v>
      </c>
      <c r="B4769" s="563" t="s">
        <v>10263</v>
      </c>
      <c r="C4769" s="564" t="s">
        <v>1612</v>
      </c>
      <c r="D4769" s="565">
        <v>39790</v>
      </c>
      <c r="E4769" s="565">
        <v>39794</v>
      </c>
      <c r="F4769" s="566">
        <v>4000</v>
      </c>
      <c r="G4769" s="564" t="s">
        <v>297</v>
      </c>
      <c r="H4769" s="564"/>
      <c r="I4769" s="564" t="s">
        <v>45</v>
      </c>
      <c r="J4769" s="564" t="s">
        <v>1069</v>
      </c>
      <c r="K4769" s="564" t="s">
        <v>1090</v>
      </c>
      <c r="L4769" s="564" t="s">
        <v>2098</v>
      </c>
      <c r="M4769" s="564" t="s">
        <v>2098</v>
      </c>
      <c r="N4769" s="564" t="s">
        <v>45</v>
      </c>
      <c r="O4769" s="564" t="s">
        <v>2099</v>
      </c>
      <c r="P4769" s="23"/>
      <c r="Q4769" s="23"/>
      <c r="R4769" s="23"/>
      <c r="S4769" s="23"/>
      <c r="T4769" s="23"/>
      <c r="U4769" s="23"/>
      <c r="V4769" s="23"/>
      <c r="W4769" s="23"/>
      <c r="X4769" s="23"/>
      <c r="Y4769" s="23"/>
      <c r="Z4769" s="23"/>
    </row>
    <row r="4770" spans="1:26" ht="13">
      <c r="A4770" s="562" t="s">
        <v>10264</v>
      </c>
      <c r="B4770" s="563" t="s">
        <v>10265</v>
      </c>
      <c r="C4770" s="564" t="s">
        <v>1612</v>
      </c>
      <c r="D4770" s="565">
        <v>39789</v>
      </c>
      <c r="E4770" s="565">
        <v>39793</v>
      </c>
      <c r="F4770" s="567">
        <v>864</v>
      </c>
      <c r="G4770" s="564" t="s">
        <v>297</v>
      </c>
      <c r="H4770" s="564"/>
      <c r="I4770" s="564" t="s">
        <v>802</v>
      </c>
      <c r="J4770" s="564" t="s">
        <v>1069</v>
      </c>
      <c r="K4770" s="564" t="s">
        <v>1198</v>
      </c>
      <c r="L4770" s="564" t="s">
        <v>2098</v>
      </c>
      <c r="M4770" s="564" t="s">
        <v>2098</v>
      </c>
      <c r="N4770" s="564" t="s">
        <v>132</v>
      </c>
      <c r="O4770" s="564" t="s">
        <v>2099</v>
      </c>
      <c r="P4770" s="23"/>
      <c r="Q4770" s="23"/>
      <c r="R4770" s="23"/>
      <c r="S4770" s="23"/>
      <c r="T4770" s="23"/>
      <c r="U4770" s="23"/>
      <c r="V4770" s="23"/>
      <c r="W4770" s="23"/>
      <c r="X4770" s="23"/>
      <c r="Y4770" s="23"/>
      <c r="Z4770" s="23"/>
    </row>
    <row r="4771" spans="1:26" ht="13">
      <c r="A4771" s="562" t="s">
        <v>10266</v>
      </c>
      <c r="B4771" s="563" t="s">
        <v>10175</v>
      </c>
      <c r="C4771" s="564" t="s">
        <v>1612</v>
      </c>
      <c r="D4771" s="565">
        <v>39787</v>
      </c>
      <c r="E4771" s="565">
        <v>39794</v>
      </c>
      <c r="F4771" s="566">
        <v>4900</v>
      </c>
      <c r="G4771" s="564" t="s">
        <v>297</v>
      </c>
      <c r="H4771" s="564"/>
      <c r="I4771" s="564" t="s">
        <v>1821</v>
      </c>
      <c r="J4771" s="564" t="s">
        <v>1069</v>
      </c>
      <c r="K4771" s="564" t="s">
        <v>1120</v>
      </c>
      <c r="L4771" s="564" t="s">
        <v>2098</v>
      </c>
      <c r="M4771" s="564" t="s">
        <v>2098</v>
      </c>
      <c r="N4771" s="564" t="s">
        <v>70</v>
      </c>
      <c r="O4771" s="564" t="s">
        <v>2099</v>
      </c>
      <c r="P4771" s="23"/>
      <c r="Q4771" s="23"/>
      <c r="R4771" s="23"/>
      <c r="S4771" s="23"/>
      <c r="T4771" s="23"/>
      <c r="U4771" s="23"/>
      <c r="V4771" s="23"/>
      <c r="W4771" s="23"/>
      <c r="X4771" s="23"/>
      <c r="Y4771" s="23"/>
      <c r="Z4771" s="23"/>
    </row>
    <row r="4772" spans="1:26" ht="13">
      <c r="A4772" s="562" t="s">
        <v>10267</v>
      </c>
      <c r="B4772" s="563" t="s">
        <v>10268</v>
      </c>
      <c r="C4772" s="564" t="s">
        <v>1612</v>
      </c>
      <c r="D4772" s="565">
        <v>39786</v>
      </c>
      <c r="E4772" s="565">
        <v>39801</v>
      </c>
      <c r="F4772" s="566">
        <v>4034</v>
      </c>
      <c r="G4772" s="564" t="s">
        <v>297</v>
      </c>
      <c r="H4772" s="564"/>
      <c r="I4772" s="564" t="s">
        <v>1781</v>
      </c>
      <c r="J4772" s="564" t="s">
        <v>1069</v>
      </c>
      <c r="K4772" s="564" t="s">
        <v>1070</v>
      </c>
      <c r="L4772" s="564" t="s">
        <v>2098</v>
      </c>
      <c r="M4772" s="564" t="s">
        <v>2098</v>
      </c>
      <c r="N4772" s="564" t="s">
        <v>1073</v>
      </c>
      <c r="O4772" s="564" t="s">
        <v>2099</v>
      </c>
      <c r="P4772" s="23"/>
      <c r="Q4772" s="23"/>
      <c r="R4772" s="23"/>
      <c r="S4772" s="23"/>
      <c r="T4772" s="23"/>
      <c r="U4772" s="23"/>
      <c r="V4772" s="23"/>
      <c r="W4772" s="23"/>
      <c r="X4772" s="23"/>
      <c r="Y4772" s="23"/>
      <c r="Z4772" s="23"/>
    </row>
    <row r="4773" spans="1:26" ht="13">
      <c r="A4773" s="562" t="s">
        <v>10269</v>
      </c>
      <c r="B4773" s="563" t="s">
        <v>10270</v>
      </c>
      <c r="C4773" s="564" t="s">
        <v>1612</v>
      </c>
      <c r="D4773" s="565">
        <v>39783</v>
      </c>
      <c r="E4773" s="565">
        <v>39790</v>
      </c>
      <c r="F4773" s="566">
        <v>1460</v>
      </c>
      <c r="G4773" s="564" t="s">
        <v>297</v>
      </c>
      <c r="H4773" s="564"/>
      <c r="I4773" s="564" t="s">
        <v>70</v>
      </c>
      <c r="J4773" s="564" t="s">
        <v>1069</v>
      </c>
      <c r="K4773" s="564" t="s">
        <v>1120</v>
      </c>
      <c r="L4773" s="564" t="s">
        <v>2098</v>
      </c>
      <c r="M4773" s="564" t="s">
        <v>2098</v>
      </c>
      <c r="N4773" s="564" t="s">
        <v>70</v>
      </c>
      <c r="O4773" s="564" t="s">
        <v>2099</v>
      </c>
      <c r="P4773" s="23"/>
      <c r="Q4773" s="23"/>
      <c r="R4773" s="23"/>
      <c r="S4773" s="23"/>
      <c r="T4773" s="23"/>
      <c r="U4773" s="23"/>
      <c r="V4773" s="23"/>
      <c r="W4773" s="23"/>
      <c r="X4773" s="23"/>
      <c r="Y4773" s="23"/>
      <c r="Z4773" s="23"/>
    </row>
    <row r="4774" spans="1:26" ht="13">
      <c r="A4774" s="562" t="s">
        <v>10271</v>
      </c>
      <c r="B4774" s="563" t="s">
        <v>10272</v>
      </c>
      <c r="C4774" s="564" t="s">
        <v>1612</v>
      </c>
      <c r="D4774" s="565">
        <v>39780</v>
      </c>
      <c r="E4774" s="565">
        <v>39786</v>
      </c>
      <c r="F4774" s="566">
        <v>2250</v>
      </c>
      <c r="G4774" s="564" t="s">
        <v>297</v>
      </c>
      <c r="H4774" s="564"/>
      <c r="I4774" s="564" t="s">
        <v>1918</v>
      </c>
      <c r="J4774" s="564" t="s">
        <v>1069</v>
      </c>
      <c r="K4774" s="564" t="s">
        <v>1070</v>
      </c>
      <c r="L4774" s="564" t="s">
        <v>2098</v>
      </c>
      <c r="M4774" s="564" t="s">
        <v>2098</v>
      </c>
      <c r="N4774" s="564" t="s">
        <v>1073</v>
      </c>
      <c r="O4774" s="564" t="s">
        <v>2099</v>
      </c>
      <c r="P4774" s="23"/>
      <c r="Q4774" s="23"/>
      <c r="R4774" s="23"/>
      <c r="S4774" s="23"/>
      <c r="T4774" s="23"/>
      <c r="U4774" s="23"/>
      <c r="V4774" s="23"/>
      <c r="W4774" s="23"/>
      <c r="X4774" s="23"/>
      <c r="Y4774" s="23"/>
      <c r="Z4774" s="23"/>
    </row>
    <row r="4775" spans="1:26" ht="13">
      <c r="A4775" s="562" t="s">
        <v>10273</v>
      </c>
      <c r="B4775" s="563" t="s">
        <v>10274</v>
      </c>
      <c r="C4775" s="564" t="s">
        <v>6860</v>
      </c>
      <c r="D4775" s="565">
        <v>39779</v>
      </c>
      <c r="E4775" s="565">
        <v>39787</v>
      </c>
      <c r="F4775" s="566">
        <v>1200</v>
      </c>
      <c r="G4775" s="564" t="s">
        <v>2168</v>
      </c>
      <c r="H4775" s="564"/>
      <c r="I4775" s="564" t="s">
        <v>9674</v>
      </c>
      <c r="J4775" s="564" t="s">
        <v>1069</v>
      </c>
      <c r="K4775" s="564" t="s">
        <v>1070</v>
      </c>
      <c r="L4775" s="564" t="s">
        <v>2098</v>
      </c>
      <c r="M4775" s="564" t="s">
        <v>2098</v>
      </c>
      <c r="N4775" s="564" t="s">
        <v>1082</v>
      </c>
      <c r="O4775" s="564" t="s">
        <v>2099</v>
      </c>
      <c r="P4775" s="23"/>
      <c r="Q4775" s="23"/>
      <c r="R4775" s="23"/>
      <c r="S4775" s="23"/>
      <c r="T4775" s="23"/>
      <c r="U4775" s="23"/>
      <c r="V4775" s="23"/>
      <c r="W4775" s="23"/>
      <c r="X4775" s="23"/>
      <c r="Y4775" s="23"/>
      <c r="Z4775" s="23"/>
    </row>
    <row r="4776" spans="1:26" ht="13">
      <c r="A4776" s="562" t="s">
        <v>10275</v>
      </c>
      <c r="B4776" s="563" t="s">
        <v>10276</v>
      </c>
      <c r="C4776" s="564" t="s">
        <v>1612</v>
      </c>
      <c r="D4776" s="565">
        <v>39779</v>
      </c>
      <c r="E4776" s="565">
        <v>39787</v>
      </c>
      <c r="F4776" s="566">
        <v>43200000</v>
      </c>
      <c r="G4776" s="564" t="s">
        <v>1856</v>
      </c>
      <c r="H4776" s="564"/>
      <c r="I4776" s="564" t="s">
        <v>45</v>
      </c>
      <c r="J4776" s="564" t="s">
        <v>1069</v>
      </c>
      <c r="K4776" s="564" t="s">
        <v>1090</v>
      </c>
      <c r="L4776" s="564" t="s">
        <v>2098</v>
      </c>
      <c r="M4776" s="564" t="s">
        <v>2098</v>
      </c>
      <c r="N4776" s="564" t="s">
        <v>45</v>
      </c>
      <c r="O4776" s="564" t="s">
        <v>2099</v>
      </c>
      <c r="P4776" s="23"/>
      <c r="Q4776" s="23"/>
      <c r="R4776" s="23"/>
      <c r="S4776" s="23"/>
      <c r="T4776" s="23"/>
      <c r="U4776" s="23"/>
      <c r="V4776" s="23"/>
      <c r="W4776" s="23"/>
      <c r="X4776" s="23"/>
      <c r="Y4776" s="23"/>
      <c r="Z4776" s="23"/>
    </row>
    <row r="4777" spans="1:26" ht="13">
      <c r="A4777" s="562" t="s">
        <v>10277</v>
      </c>
      <c r="B4777" s="563" t="s">
        <v>10278</v>
      </c>
      <c r="C4777" s="564" t="s">
        <v>1612</v>
      </c>
      <c r="D4777" s="565">
        <v>39777</v>
      </c>
      <c r="E4777" s="565">
        <v>39782</v>
      </c>
      <c r="F4777" s="566">
        <v>3958000</v>
      </c>
      <c r="G4777" s="564" t="s">
        <v>1912</v>
      </c>
      <c r="H4777" s="564"/>
      <c r="I4777" s="564" t="s">
        <v>45</v>
      </c>
      <c r="J4777" s="564" t="s">
        <v>1069</v>
      </c>
      <c r="K4777" s="564" t="s">
        <v>1090</v>
      </c>
      <c r="L4777" s="564" t="s">
        <v>2098</v>
      </c>
      <c r="M4777" s="564" t="s">
        <v>2098</v>
      </c>
      <c r="N4777" s="564" t="s">
        <v>45</v>
      </c>
      <c r="O4777" s="564" t="s">
        <v>2099</v>
      </c>
      <c r="P4777" s="23"/>
      <c r="Q4777" s="23"/>
      <c r="R4777" s="23"/>
      <c r="S4777" s="23"/>
      <c r="T4777" s="23"/>
      <c r="U4777" s="23"/>
      <c r="V4777" s="23"/>
      <c r="W4777" s="23"/>
      <c r="X4777" s="23"/>
      <c r="Y4777" s="23"/>
      <c r="Z4777" s="23"/>
    </row>
    <row r="4778" spans="1:26" ht="13">
      <c r="A4778" s="562" t="s">
        <v>10279</v>
      </c>
      <c r="B4778" s="563" t="s">
        <v>10280</v>
      </c>
      <c r="C4778" s="564" t="s">
        <v>1612</v>
      </c>
      <c r="D4778" s="565">
        <v>39777</v>
      </c>
      <c r="E4778" s="565">
        <v>39812</v>
      </c>
      <c r="F4778" s="566">
        <v>11363</v>
      </c>
      <c r="G4778" s="564" t="s">
        <v>297</v>
      </c>
      <c r="H4778" s="564"/>
      <c r="I4778" s="564" t="s">
        <v>802</v>
      </c>
      <c r="J4778" s="564" t="s">
        <v>1069</v>
      </c>
      <c r="K4778" s="564" t="s">
        <v>1198</v>
      </c>
      <c r="L4778" s="564" t="s">
        <v>2098</v>
      </c>
      <c r="M4778" s="564" t="s">
        <v>2098</v>
      </c>
      <c r="N4778" s="564" t="s">
        <v>132</v>
      </c>
      <c r="O4778" s="564" t="s">
        <v>2099</v>
      </c>
      <c r="P4778" s="23"/>
      <c r="Q4778" s="23"/>
      <c r="R4778" s="23"/>
      <c r="S4778" s="23"/>
      <c r="T4778" s="23"/>
      <c r="U4778" s="23"/>
      <c r="V4778" s="23"/>
      <c r="W4778" s="23"/>
      <c r="X4778" s="23"/>
      <c r="Y4778" s="23"/>
      <c r="Z4778" s="23"/>
    </row>
    <row r="4779" spans="1:26" ht="13">
      <c r="A4779" s="562" t="s">
        <v>10281</v>
      </c>
      <c r="B4779" s="563" t="s">
        <v>10282</v>
      </c>
      <c r="C4779" s="564" t="s">
        <v>6860</v>
      </c>
      <c r="D4779" s="565">
        <v>39777</v>
      </c>
      <c r="E4779" s="565">
        <v>39867</v>
      </c>
      <c r="F4779" s="566">
        <v>2088</v>
      </c>
      <c r="G4779" s="564" t="s">
        <v>2168</v>
      </c>
      <c r="H4779" s="564"/>
      <c r="I4779" s="564" t="s">
        <v>2038</v>
      </c>
      <c r="J4779" s="564" t="s">
        <v>1069</v>
      </c>
      <c r="K4779" s="564" t="s">
        <v>1070</v>
      </c>
      <c r="L4779" s="564" t="s">
        <v>2098</v>
      </c>
      <c r="M4779" s="564" t="s">
        <v>2098</v>
      </c>
      <c r="N4779" s="564" t="s">
        <v>1082</v>
      </c>
      <c r="O4779" s="564" t="s">
        <v>2099</v>
      </c>
      <c r="P4779" s="23"/>
      <c r="Q4779" s="23"/>
      <c r="R4779" s="23"/>
      <c r="S4779" s="23"/>
      <c r="T4779" s="23"/>
      <c r="U4779" s="23"/>
      <c r="V4779" s="23"/>
      <c r="W4779" s="23"/>
      <c r="X4779" s="23"/>
      <c r="Y4779" s="23"/>
      <c r="Z4779" s="23"/>
    </row>
    <row r="4780" spans="1:26" ht="13">
      <c r="A4780" s="562" t="s">
        <v>10283</v>
      </c>
      <c r="B4780" s="563" t="s">
        <v>9890</v>
      </c>
      <c r="C4780" s="564" t="s">
        <v>1612</v>
      </c>
      <c r="D4780" s="565">
        <v>39776</v>
      </c>
      <c r="E4780" s="565">
        <v>39780</v>
      </c>
      <c r="F4780" s="566">
        <v>2040</v>
      </c>
      <c r="G4780" s="564" t="s">
        <v>297</v>
      </c>
      <c r="H4780" s="564"/>
      <c r="I4780" s="564" t="s">
        <v>64</v>
      </c>
      <c r="J4780" s="564" t="s">
        <v>1069</v>
      </c>
      <c r="K4780" s="564" t="s">
        <v>1090</v>
      </c>
      <c r="L4780" s="564" t="s">
        <v>2098</v>
      </c>
      <c r="M4780" s="564" t="s">
        <v>2098</v>
      </c>
      <c r="N4780" s="564" t="s">
        <v>64</v>
      </c>
      <c r="O4780" s="564" t="s">
        <v>2099</v>
      </c>
      <c r="P4780" s="23"/>
      <c r="Q4780" s="23"/>
      <c r="R4780" s="23"/>
      <c r="S4780" s="23"/>
      <c r="T4780" s="23"/>
      <c r="U4780" s="23"/>
      <c r="V4780" s="23"/>
      <c r="W4780" s="23"/>
      <c r="X4780" s="23"/>
      <c r="Y4780" s="23"/>
      <c r="Z4780" s="23"/>
    </row>
    <row r="4781" spans="1:26" ht="13">
      <c r="A4781" s="562" t="s">
        <v>10284</v>
      </c>
      <c r="B4781" s="563" t="s">
        <v>10285</v>
      </c>
      <c r="C4781" s="564" t="s">
        <v>1612</v>
      </c>
      <c r="D4781" s="565">
        <v>39773</v>
      </c>
      <c r="E4781" s="565">
        <v>39751</v>
      </c>
      <c r="F4781" s="566">
        <v>5670</v>
      </c>
      <c r="G4781" s="564" t="s">
        <v>297</v>
      </c>
      <c r="H4781" s="564"/>
      <c r="I4781" s="564" t="s">
        <v>7259</v>
      </c>
      <c r="J4781" s="564" t="s">
        <v>1069</v>
      </c>
      <c r="K4781" s="564" t="s">
        <v>1070</v>
      </c>
      <c r="L4781" s="564" t="s">
        <v>2098</v>
      </c>
      <c r="M4781" s="564" t="s">
        <v>2098</v>
      </c>
      <c r="N4781" s="564" t="s">
        <v>1082</v>
      </c>
      <c r="O4781" s="564" t="s">
        <v>2099</v>
      </c>
      <c r="P4781" s="23"/>
      <c r="Q4781" s="23"/>
      <c r="R4781" s="23"/>
      <c r="S4781" s="23"/>
      <c r="T4781" s="23"/>
      <c r="U4781" s="23"/>
      <c r="V4781" s="23"/>
      <c r="W4781" s="23"/>
      <c r="X4781" s="23"/>
      <c r="Y4781" s="23"/>
      <c r="Z4781" s="23"/>
    </row>
    <row r="4782" spans="1:26" ht="13">
      <c r="A4782" s="562" t="s">
        <v>10286</v>
      </c>
      <c r="B4782" s="563" t="s">
        <v>10287</v>
      </c>
      <c r="C4782" s="564" t="s">
        <v>1612</v>
      </c>
      <c r="D4782" s="565">
        <v>39771</v>
      </c>
      <c r="E4782" s="565">
        <v>39776</v>
      </c>
      <c r="F4782" s="566">
        <v>2437500</v>
      </c>
      <c r="G4782" s="564" t="s">
        <v>1856</v>
      </c>
      <c r="H4782" s="564"/>
      <c r="I4782" s="564" t="s">
        <v>70</v>
      </c>
      <c r="J4782" s="564" t="s">
        <v>1069</v>
      </c>
      <c r="K4782" s="564" t="s">
        <v>1120</v>
      </c>
      <c r="L4782" s="564" t="s">
        <v>2098</v>
      </c>
      <c r="M4782" s="564" t="s">
        <v>2098</v>
      </c>
      <c r="N4782" s="564" t="s">
        <v>70</v>
      </c>
      <c r="O4782" s="564" t="s">
        <v>2099</v>
      </c>
      <c r="P4782" s="23"/>
      <c r="Q4782" s="23"/>
      <c r="R4782" s="23"/>
      <c r="S4782" s="23"/>
      <c r="T4782" s="23"/>
      <c r="U4782" s="23"/>
      <c r="V4782" s="23"/>
      <c r="W4782" s="23"/>
      <c r="X4782" s="23"/>
      <c r="Y4782" s="23"/>
      <c r="Z4782" s="23"/>
    </row>
    <row r="4783" spans="1:26" ht="13">
      <c r="A4783" s="562" t="s">
        <v>10288</v>
      </c>
      <c r="B4783" s="563" t="s">
        <v>10289</v>
      </c>
      <c r="C4783" s="564" t="s">
        <v>1612</v>
      </c>
      <c r="D4783" s="565">
        <v>39770</v>
      </c>
      <c r="E4783" s="565">
        <v>39776</v>
      </c>
      <c r="F4783" s="566">
        <v>2400</v>
      </c>
      <c r="G4783" s="564" t="s">
        <v>297</v>
      </c>
      <c r="H4783" s="564"/>
      <c r="I4783" s="564" t="s">
        <v>45</v>
      </c>
      <c r="J4783" s="564" t="s">
        <v>1069</v>
      </c>
      <c r="K4783" s="564" t="s">
        <v>1090</v>
      </c>
      <c r="L4783" s="564" t="s">
        <v>2098</v>
      </c>
      <c r="M4783" s="564" t="s">
        <v>2098</v>
      </c>
      <c r="N4783" s="564" t="s">
        <v>45</v>
      </c>
      <c r="O4783" s="564" t="s">
        <v>2099</v>
      </c>
      <c r="P4783" s="23"/>
      <c r="Q4783" s="23"/>
      <c r="R4783" s="23"/>
      <c r="S4783" s="23"/>
      <c r="T4783" s="23"/>
      <c r="U4783" s="23"/>
      <c r="V4783" s="23"/>
      <c r="W4783" s="23"/>
      <c r="X4783" s="23"/>
      <c r="Y4783" s="23"/>
      <c r="Z4783" s="23"/>
    </row>
    <row r="4784" spans="1:26" ht="13">
      <c r="A4784" s="562" t="s">
        <v>10290</v>
      </c>
      <c r="B4784" s="563" t="s">
        <v>10270</v>
      </c>
      <c r="C4784" s="564" t="s">
        <v>1612</v>
      </c>
      <c r="D4784" s="565">
        <v>39771</v>
      </c>
      <c r="E4784" s="565">
        <v>39776</v>
      </c>
      <c r="F4784" s="566">
        <v>2920</v>
      </c>
      <c r="G4784" s="564" t="s">
        <v>297</v>
      </c>
      <c r="H4784" s="564"/>
      <c r="I4784" s="564" t="s">
        <v>70</v>
      </c>
      <c r="J4784" s="564" t="s">
        <v>1069</v>
      </c>
      <c r="K4784" s="564" t="s">
        <v>1120</v>
      </c>
      <c r="L4784" s="564" t="s">
        <v>2098</v>
      </c>
      <c r="M4784" s="564" t="s">
        <v>2098</v>
      </c>
      <c r="N4784" s="564" t="s">
        <v>70</v>
      </c>
      <c r="O4784" s="564" t="s">
        <v>2099</v>
      </c>
      <c r="P4784" s="23"/>
      <c r="Q4784" s="23"/>
      <c r="R4784" s="23"/>
      <c r="S4784" s="23"/>
      <c r="T4784" s="23"/>
      <c r="U4784" s="23"/>
      <c r="V4784" s="23"/>
      <c r="W4784" s="23"/>
      <c r="X4784" s="23"/>
      <c r="Y4784" s="23"/>
      <c r="Z4784" s="23"/>
    </row>
    <row r="4785" spans="1:26" ht="13">
      <c r="A4785" s="562" t="s">
        <v>10291</v>
      </c>
      <c r="B4785" s="563" t="s">
        <v>10292</v>
      </c>
      <c r="C4785" s="564" t="s">
        <v>1612</v>
      </c>
      <c r="D4785" s="565">
        <v>39766</v>
      </c>
      <c r="E4785" s="565">
        <v>39780</v>
      </c>
      <c r="F4785" s="566">
        <v>316561</v>
      </c>
      <c r="G4785" s="564" t="s">
        <v>297</v>
      </c>
      <c r="H4785" s="564"/>
      <c r="I4785" s="564" t="s">
        <v>45</v>
      </c>
      <c r="J4785" s="564" t="s">
        <v>1069</v>
      </c>
      <c r="K4785" s="564" t="s">
        <v>1090</v>
      </c>
      <c r="L4785" s="564" t="s">
        <v>2098</v>
      </c>
      <c r="M4785" s="564" t="s">
        <v>2098</v>
      </c>
      <c r="N4785" s="564" t="s">
        <v>45</v>
      </c>
      <c r="O4785" s="564" t="s">
        <v>2099</v>
      </c>
      <c r="P4785" s="23"/>
      <c r="Q4785" s="23"/>
      <c r="R4785" s="23"/>
      <c r="S4785" s="23"/>
      <c r="T4785" s="23"/>
      <c r="U4785" s="23"/>
      <c r="V4785" s="23"/>
      <c r="W4785" s="23"/>
      <c r="X4785" s="23"/>
      <c r="Y4785" s="23"/>
      <c r="Z4785" s="23"/>
    </row>
    <row r="4786" spans="1:26" ht="13">
      <c r="A4786" s="562" t="s">
        <v>10293</v>
      </c>
      <c r="B4786" s="563" t="s">
        <v>10294</v>
      </c>
      <c r="C4786" s="564" t="s">
        <v>1612</v>
      </c>
      <c r="D4786" s="565">
        <v>39770</v>
      </c>
      <c r="E4786" s="565">
        <v>39780</v>
      </c>
      <c r="F4786" s="566">
        <v>276552</v>
      </c>
      <c r="G4786" s="564" t="s">
        <v>297</v>
      </c>
      <c r="H4786" s="564"/>
      <c r="I4786" s="564" t="s">
        <v>45</v>
      </c>
      <c r="J4786" s="564" t="s">
        <v>1069</v>
      </c>
      <c r="K4786" s="564" t="s">
        <v>1090</v>
      </c>
      <c r="L4786" s="564" t="s">
        <v>2098</v>
      </c>
      <c r="M4786" s="564" t="s">
        <v>2098</v>
      </c>
      <c r="N4786" s="564" t="s">
        <v>45</v>
      </c>
      <c r="O4786" s="564" t="s">
        <v>2099</v>
      </c>
      <c r="P4786" s="23"/>
      <c r="Q4786" s="23"/>
      <c r="R4786" s="23"/>
      <c r="S4786" s="23"/>
      <c r="T4786" s="23"/>
      <c r="U4786" s="23"/>
      <c r="V4786" s="23"/>
      <c r="W4786" s="23"/>
      <c r="X4786" s="23"/>
      <c r="Y4786" s="23"/>
      <c r="Z4786" s="23"/>
    </row>
    <row r="4787" spans="1:26" ht="13">
      <c r="A4787" s="562" t="s">
        <v>10295</v>
      </c>
      <c r="B4787" s="563" t="s">
        <v>10296</v>
      </c>
      <c r="C4787" s="564" t="s">
        <v>1612</v>
      </c>
      <c r="D4787" s="565">
        <v>39770</v>
      </c>
      <c r="E4787" s="565">
        <v>39780</v>
      </c>
      <c r="F4787" s="566">
        <v>2248</v>
      </c>
      <c r="G4787" s="564" t="s">
        <v>297</v>
      </c>
      <c r="H4787" s="564"/>
      <c r="I4787" s="564" t="s">
        <v>802</v>
      </c>
      <c r="J4787" s="564" t="s">
        <v>1069</v>
      </c>
      <c r="K4787" s="564" t="s">
        <v>1198</v>
      </c>
      <c r="L4787" s="564" t="s">
        <v>2098</v>
      </c>
      <c r="M4787" s="564" t="s">
        <v>2098</v>
      </c>
      <c r="N4787" s="564" t="s">
        <v>132</v>
      </c>
      <c r="O4787" s="564" t="s">
        <v>2099</v>
      </c>
      <c r="P4787" s="23"/>
      <c r="Q4787" s="23"/>
      <c r="R4787" s="23"/>
      <c r="S4787" s="23"/>
      <c r="T4787" s="23"/>
      <c r="U4787" s="23"/>
      <c r="V4787" s="23"/>
      <c r="W4787" s="23"/>
      <c r="X4787" s="23"/>
      <c r="Y4787" s="23"/>
      <c r="Z4787" s="23"/>
    </row>
    <row r="4788" spans="1:26" ht="13">
      <c r="A4788" s="562" t="s">
        <v>10297</v>
      </c>
      <c r="B4788" s="563" t="s">
        <v>10298</v>
      </c>
      <c r="C4788" s="564" t="s">
        <v>1612</v>
      </c>
      <c r="D4788" s="565">
        <v>39766</v>
      </c>
      <c r="E4788" s="565">
        <v>39773</v>
      </c>
      <c r="F4788" s="566">
        <v>3300</v>
      </c>
      <c r="G4788" s="564" t="s">
        <v>297</v>
      </c>
      <c r="H4788" s="564"/>
      <c r="I4788" s="564" t="s">
        <v>2073</v>
      </c>
      <c r="J4788" s="564" t="s">
        <v>1069</v>
      </c>
      <c r="K4788" s="564" t="s">
        <v>1105</v>
      </c>
      <c r="L4788" s="564" t="s">
        <v>2098</v>
      </c>
      <c r="M4788" s="564" t="s">
        <v>2098</v>
      </c>
      <c r="N4788" s="564" t="s">
        <v>225</v>
      </c>
      <c r="O4788" s="564" t="s">
        <v>2099</v>
      </c>
      <c r="P4788" s="23"/>
      <c r="Q4788" s="23"/>
      <c r="R4788" s="23"/>
      <c r="S4788" s="23"/>
      <c r="T4788" s="23"/>
      <c r="U4788" s="23"/>
      <c r="V4788" s="23"/>
      <c r="W4788" s="23"/>
      <c r="X4788" s="23"/>
      <c r="Y4788" s="23"/>
      <c r="Z4788" s="23"/>
    </row>
    <row r="4789" spans="1:26" ht="13">
      <c r="A4789" s="562" t="s">
        <v>10299</v>
      </c>
      <c r="B4789" s="563" t="s">
        <v>10300</v>
      </c>
      <c r="C4789" s="564" t="s">
        <v>2191</v>
      </c>
      <c r="D4789" s="565">
        <v>39766</v>
      </c>
      <c r="E4789" s="565">
        <v>39773</v>
      </c>
      <c r="F4789" s="566">
        <v>27880</v>
      </c>
      <c r="G4789" s="564" t="s">
        <v>297</v>
      </c>
      <c r="H4789" s="564"/>
      <c r="I4789" s="564" t="s">
        <v>10189</v>
      </c>
      <c r="J4789" s="564" t="s">
        <v>1069</v>
      </c>
      <c r="K4789" s="564" t="s">
        <v>1070</v>
      </c>
      <c r="L4789" s="564" t="s">
        <v>2098</v>
      </c>
      <c r="M4789" s="564" t="s">
        <v>2098</v>
      </c>
      <c r="N4789" s="564" t="s">
        <v>1082</v>
      </c>
      <c r="O4789" s="564" t="s">
        <v>2099</v>
      </c>
      <c r="P4789" s="23"/>
      <c r="Q4789" s="23"/>
      <c r="R4789" s="23"/>
      <c r="S4789" s="23"/>
      <c r="T4789" s="23"/>
      <c r="U4789" s="23"/>
      <c r="V4789" s="23"/>
      <c r="W4789" s="23"/>
      <c r="X4789" s="23"/>
      <c r="Y4789" s="23"/>
      <c r="Z4789" s="23"/>
    </row>
    <row r="4790" spans="1:26" ht="13">
      <c r="A4790" s="562" t="s">
        <v>10301</v>
      </c>
      <c r="B4790" s="563" t="s">
        <v>10296</v>
      </c>
      <c r="C4790" s="564" t="s">
        <v>1612</v>
      </c>
      <c r="D4790" s="565">
        <v>39763</v>
      </c>
      <c r="E4790" s="565">
        <v>39776</v>
      </c>
      <c r="F4790" s="566">
        <v>9161</v>
      </c>
      <c r="G4790" s="564" t="s">
        <v>297</v>
      </c>
      <c r="H4790" s="564"/>
      <c r="I4790" s="564" t="s">
        <v>802</v>
      </c>
      <c r="J4790" s="564" t="s">
        <v>1069</v>
      </c>
      <c r="K4790" s="564" t="s">
        <v>1198</v>
      </c>
      <c r="L4790" s="564" t="s">
        <v>2098</v>
      </c>
      <c r="M4790" s="564" t="s">
        <v>2098</v>
      </c>
      <c r="N4790" s="564" t="s">
        <v>132</v>
      </c>
      <c r="O4790" s="564" t="s">
        <v>2099</v>
      </c>
      <c r="P4790" s="23"/>
      <c r="Q4790" s="23"/>
      <c r="R4790" s="23"/>
      <c r="S4790" s="23"/>
      <c r="T4790" s="23"/>
      <c r="U4790" s="23"/>
      <c r="V4790" s="23"/>
      <c r="W4790" s="23"/>
      <c r="X4790" s="23"/>
      <c r="Y4790" s="23"/>
      <c r="Z4790" s="23"/>
    </row>
    <row r="4791" spans="1:26" ht="13">
      <c r="A4791" s="562" t="s">
        <v>10302</v>
      </c>
      <c r="B4791" s="563" t="s">
        <v>10303</v>
      </c>
      <c r="C4791" s="564" t="s">
        <v>1612</v>
      </c>
      <c r="D4791" s="565">
        <v>39758</v>
      </c>
      <c r="E4791" s="565">
        <v>39763</v>
      </c>
      <c r="F4791" s="567">
        <v>730</v>
      </c>
      <c r="G4791" s="564" t="s">
        <v>297</v>
      </c>
      <c r="H4791" s="564"/>
      <c r="I4791" s="564" t="s">
        <v>70</v>
      </c>
      <c r="J4791" s="564" t="s">
        <v>1069</v>
      </c>
      <c r="K4791" s="564" t="s">
        <v>1120</v>
      </c>
      <c r="L4791" s="564" t="s">
        <v>2098</v>
      </c>
      <c r="M4791" s="564" t="s">
        <v>2098</v>
      </c>
      <c r="N4791" s="564" t="s">
        <v>70</v>
      </c>
      <c r="O4791" s="564" t="s">
        <v>2099</v>
      </c>
      <c r="P4791" s="23"/>
      <c r="Q4791" s="23"/>
      <c r="R4791" s="23"/>
      <c r="S4791" s="23"/>
      <c r="T4791" s="23"/>
      <c r="U4791" s="23"/>
      <c r="V4791" s="23"/>
      <c r="W4791" s="23"/>
      <c r="X4791" s="23"/>
      <c r="Y4791" s="23"/>
      <c r="Z4791" s="23"/>
    </row>
    <row r="4792" spans="1:26" ht="13">
      <c r="A4792" s="562" t="s">
        <v>10304</v>
      </c>
      <c r="B4792" s="563" t="s">
        <v>10305</v>
      </c>
      <c r="C4792" s="564" t="s">
        <v>1612</v>
      </c>
      <c r="D4792" s="565">
        <v>39758</v>
      </c>
      <c r="E4792" s="565">
        <v>39762</v>
      </c>
      <c r="F4792" s="566">
        <v>4095</v>
      </c>
      <c r="G4792" s="564" t="s">
        <v>297</v>
      </c>
      <c r="H4792" s="564"/>
      <c r="I4792" s="564" t="s">
        <v>70</v>
      </c>
      <c r="J4792" s="564" t="s">
        <v>1069</v>
      </c>
      <c r="K4792" s="564" t="s">
        <v>1120</v>
      </c>
      <c r="L4792" s="564" t="s">
        <v>2098</v>
      </c>
      <c r="M4792" s="564" t="s">
        <v>2098</v>
      </c>
      <c r="N4792" s="564" t="s">
        <v>70</v>
      </c>
      <c r="O4792" s="564" t="s">
        <v>2099</v>
      </c>
      <c r="P4792" s="23"/>
      <c r="Q4792" s="23"/>
      <c r="R4792" s="23"/>
      <c r="S4792" s="23"/>
      <c r="T4792" s="23"/>
      <c r="U4792" s="23"/>
      <c r="V4792" s="23"/>
      <c r="W4792" s="23"/>
      <c r="X4792" s="23"/>
      <c r="Y4792" s="23"/>
      <c r="Z4792" s="23"/>
    </row>
    <row r="4793" spans="1:26" ht="13">
      <c r="A4793" s="562" t="s">
        <v>10306</v>
      </c>
      <c r="B4793" s="563" t="s">
        <v>10307</v>
      </c>
      <c r="C4793" s="564" t="s">
        <v>1612</v>
      </c>
      <c r="D4793" s="565">
        <v>39758</v>
      </c>
      <c r="E4793" s="565">
        <v>39763</v>
      </c>
      <c r="F4793" s="567">
        <v>730</v>
      </c>
      <c r="G4793" s="564" t="s">
        <v>297</v>
      </c>
      <c r="H4793" s="564"/>
      <c r="I4793" s="564" t="s">
        <v>802</v>
      </c>
      <c r="J4793" s="564" t="s">
        <v>1069</v>
      </c>
      <c r="K4793" s="564" t="s">
        <v>1198</v>
      </c>
      <c r="L4793" s="564" t="s">
        <v>2098</v>
      </c>
      <c r="M4793" s="564" t="s">
        <v>2098</v>
      </c>
      <c r="N4793" s="564" t="s">
        <v>132</v>
      </c>
      <c r="O4793" s="564" t="s">
        <v>2099</v>
      </c>
      <c r="P4793" s="23"/>
      <c r="Q4793" s="23"/>
      <c r="R4793" s="23"/>
      <c r="S4793" s="23"/>
      <c r="T4793" s="23"/>
      <c r="U4793" s="23"/>
      <c r="V4793" s="23"/>
      <c r="W4793" s="23"/>
      <c r="X4793" s="23"/>
      <c r="Y4793" s="23"/>
      <c r="Z4793" s="23"/>
    </row>
    <row r="4794" spans="1:26" ht="13">
      <c r="A4794" s="562" t="s">
        <v>10308</v>
      </c>
      <c r="B4794" s="563" t="s">
        <v>10309</v>
      </c>
      <c r="C4794" s="564" t="s">
        <v>1612</v>
      </c>
      <c r="D4794" s="565">
        <v>39758</v>
      </c>
      <c r="E4794" s="565">
        <v>39763</v>
      </c>
      <c r="F4794" s="567">
        <v>540</v>
      </c>
      <c r="G4794" s="564" t="s">
        <v>297</v>
      </c>
      <c r="H4794" s="564"/>
      <c r="I4794" s="564" t="s">
        <v>70</v>
      </c>
      <c r="J4794" s="564" t="s">
        <v>1069</v>
      </c>
      <c r="K4794" s="564" t="s">
        <v>1120</v>
      </c>
      <c r="L4794" s="564" t="s">
        <v>2098</v>
      </c>
      <c r="M4794" s="564" t="s">
        <v>2098</v>
      </c>
      <c r="N4794" s="564" t="s">
        <v>70</v>
      </c>
      <c r="O4794" s="564" t="s">
        <v>2099</v>
      </c>
      <c r="P4794" s="23"/>
      <c r="Q4794" s="23"/>
      <c r="R4794" s="23"/>
      <c r="S4794" s="23"/>
      <c r="T4794" s="23"/>
      <c r="U4794" s="23"/>
      <c r="V4794" s="23"/>
      <c r="W4794" s="23"/>
      <c r="X4794" s="23"/>
      <c r="Y4794" s="23"/>
      <c r="Z4794" s="23"/>
    </row>
    <row r="4795" spans="1:26" ht="13">
      <c r="A4795" s="562" t="s">
        <v>10310</v>
      </c>
      <c r="B4795" s="563" t="s">
        <v>10259</v>
      </c>
      <c r="C4795" s="564" t="s">
        <v>1612</v>
      </c>
      <c r="D4795" s="565">
        <v>39751</v>
      </c>
      <c r="E4795" s="565">
        <v>39762</v>
      </c>
      <c r="F4795" s="566">
        <v>7950</v>
      </c>
      <c r="G4795" s="564" t="s">
        <v>297</v>
      </c>
      <c r="H4795" s="564"/>
      <c r="I4795" s="564" t="s">
        <v>45</v>
      </c>
      <c r="J4795" s="564" t="s">
        <v>1069</v>
      </c>
      <c r="K4795" s="564" t="s">
        <v>1090</v>
      </c>
      <c r="L4795" s="564" t="s">
        <v>2098</v>
      </c>
      <c r="M4795" s="564" t="s">
        <v>2098</v>
      </c>
      <c r="N4795" s="564" t="s">
        <v>45</v>
      </c>
      <c r="O4795" s="564" t="s">
        <v>2099</v>
      </c>
      <c r="P4795" s="23"/>
      <c r="Q4795" s="23"/>
      <c r="R4795" s="23"/>
      <c r="S4795" s="23"/>
      <c r="T4795" s="23"/>
      <c r="U4795" s="23"/>
      <c r="V4795" s="23"/>
      <c r="W4795" s="23"/>
      <c r="X4795" s="23"/>
      <c r="Y4795" s="23"/>
      <c r="Z4795" s="23"/>
    </row>
    <row r="4796" spans="1:26" ht="13">
      <c r="A4796" s="562" t="s">
        <v>10311</v>
      </c>
      <c r="B4796" s="563" t="s">
        <v>10312</v>
      </c>
      <c r="C4796" s="564" t="s">
        <v>1612</v>
      </c>
      <c r="D4796" s="565">
        <v>39752</v>
      </c>
      <c r="E4796" s="565">
        <v>39766</v>
      </c>
      <c r="F4796" s="566">
        <v>22200</v>
      </c>
      <c r="G4796" s="564" t="s">
        <v>297</v>
      </c>
      <c r="H4796" s="564"/>
      <c r="I4796" s="564" t="s">
        <v>802</v>
      </c>
      <c r="J4796" s="564" t="s">
        <v>1069</v>
      </c>
      <c r="K4796" s="564" t="s">
        <v>1198</v>
      </c>
      <c r="L4796" s="564" t="s">
        <v>2098</v>
      </c>
      <c r="M4796" s="564" t="s">
        <v>2098</v>
      </c>
      <c r="N4796" s="564" t="s">
        <v>132</v>
      </c>
      <c r="O4796" s="564" t="s">
        <v>2099</v>
      </c>
      <c r="P4796" s="23"/>
      <c r="Q4796" s="23"/>
      <c r="R4796" s="23"/>
      <c r="S4796" s="23"/>
      <c r="T4796" s="23"/>
      <c r="U4796" s="23"/>
      <c r="V4796" s="23"/>
      <c r="W4796" s="23"/>
      <c r="X4796" s="23"/>
      <c r="Y4796" s="23"/>
      <c r="Z4796" s="23"/>
    </row>
    <row r="4797" spans="1:26" ht="13">
      <c r="A4797" s="562" t="s">
        <v>10313</v>
      </c>
      <c r="B4797" s="563" t="s">
        <v>10314</v>
      </c>
      <c r="C4797" s="564" t="s">
        <v>1612</v>
      </c>
      <c r="D4797" s="565">
        <v>39750</v>
      </c>
      <c r="E4797" s="565">
        <v>39755</v>
      </c>
      <c r="F4797" s="567">
        <v>730</v>
      </c>
      <c r="G4797" s="564" t="s">
        <v>297</v>
      </c>
      <c r="H4797" s="564"/>
      <c r="I4797" s="564" t="s">
        <v>2073</v>
      </c>
      <c r="J4797" s="564" t="s">
        <v>1069</v>
      </c>
      <c r="K4797" s="564" t="s">
        <v>1105</v>
      </c>
      <c r="L4797" s="564" t="s">
        <v>2098</v>
      </c>
      <c r="M4797" s="564" t="s">
        <v>2098</v>
      </c>
      <c r="N4797" s="564" t="s">
        <v>225</v>
      </c>
      <c r="O4797" s="564" t="s">
        <v>2099</v>
      </c>
      <c r="P4797" s="23"/>
      <c r="Q4797" s="23"/>
      <c r="R4797" s="23"/>
      <c r="S4797" s="23"/>
      <c r="T4797" s="23"/>
      <c r="U4797" s="23"/>
      <c r="V4797" s="23"/>
      <c r="W4797" s="23"/>
      <c r="X4797" s="23"/>
      <c r="Y4797" s="23"/>
      <c r="Z4797" s="23"/>
    </row>
    <row r="4798" spans="1:26" ht="13">
      <c r="A4798" s="562" t="s">
        <v>10315</v>
      </c>
      <c r="B4798" s="563" t="s">
        <v>10316</v>
      </c>
      <c r="C4798" s="564" t="s">
        <v>1612</v>
      </c>
      <c r="D4798" s="565">
        <v>39745</v>
      </c>
      <c r="E4798" s="565">
        <v>39752</v>
      </c>
      <c r="F4798" s="566">
        <v>14450</v>
      </c>
      <c r="G4798" s="564" t="s">
        <v>297</v>
      </c>
      <c r="H4798" s="564"/>
      <c r="I4798" s="564" t="s">
        <v>9250</v>
      </c>
      <c r="J4798" s="564" t="s">
        <v>1069</v>
      </c>
      <c r="K4798" s="564" t="s">
        <v>1090</v>
      </c>
      <c r="L4798" s="564" t="s">
        <v>2098</v>
      </c>
      <c r="M4798" s="564" t="s">
        <v>2098</v>
      </c>
      <c r="N4798" s="564" t="s">
        <v>45</v>
      </c>
      <c r="O4798" s="564" t="s">
        <v>2099</v>
      </c>
      <c r="P4798" s="23"/>
      <c r="Q4798" s="23"/>
      <c r="R4798" s="23"/>
      <c r="S4798" s="23"/>
      <c r="T4798" s="23"/>
      <c r="U4798" s="23"/>
      <c r="V4798" s="23"/>
      <c r="W4798" s="23"/>
      <c r="X4798" s="23"/>
      <c r="Y4798" s="23"/>
      <c r="Z4798" s="23"/>
    </row>
    <row r="4799" spans="1:26" ht="13">
      <c r="A4799" s="562" t="s">
        <v>10317</v>
      </c>
      <c r="B4799" s="563" t="s">
        <v>10318</v>
      </c>
      <c r="C4799" s="564" t="s">
        <v>1612</v>
      </c>
      <c r="D4799" s="565">
        <v>39745</v>
      </c>
      <c r="E4799" s="565">
        <v>39801</v>
      </c>
      <c r="F4799" s="566">
        <v>1522727272</v>
      </c>
      <c r="G4799" s="564" t="s">
        <v>1128</v>
      </c>
      <c r="H4799" s="564"/>
      <c r="I4799" s="564" t="s">
        <v>802</v>
      </c>
      <c r="J4799" s="564" t="s">
        <v>1069</v>
      </c>
      <c r="K4799" s="564" t="s">
        <v>1198</v>
      </c>
      <c r="L4799" s="564" t="s">
        <v>2098</v>
      </c>
      <c r="M4799" s="564" t="s">
        <v>2098</v>
      </c>
      <c r="N4799" s="564" t="s">
        <v>132</v>
      </c>
      <c r="O4799" s="564" t="s">
        <v>2099</v>
      </c>
      <c r="P4799" s="23"/>
      <c r="Q4799" s="23"/>
      <c r="R4799" s="23"/>
      <c r="S4799" s="23"/>
      <c r="T4799" s="23"/>
      <c r="U4799" s="23"/>
      <c r="V4799" s="23"/>
      <c r="W4799" s="23"/>
      <c r="X4799" s="23"/>
      <c r="Y4799" s="23"/>
      <c r="Z4799" s="23"/>
    </row>
    <row r="4800" spans="1:26" ht="13">
      <c r="A4800" s="562" t="s">
        <v>10319</v>
      </c>
      <c r="B4800" s="563" t="s">
        <v>10274</v>
      </c>
      <c r="C4800" s="564" t="s">
        <v>6860</v>
      </c>
      <c r="D4800" s="565">
        <v>39743</v>
      </c>
      <c r="E4800" s="565">
        <v>39744</v>
      </c>
      <c r="F4800" s="566">
        <v>600000</v>
      </c>
      <c r="G4800" s="564" t="s">
        <v>2168</v>
      </c>
      <c r="H4800" s="564"/>
      <c r="I4800" s="564" t="s">
        <v>9674</v>
      </c>
      <c r="J4800" s="564" t="s">
        <v>1069</v>
      </c>
      <c r="K4800" s="564" t="s">
        <v>1070</v>
      </c>
      <c r="L4800" s="564" t="s">
        <v>2098</v>
      </c>
      <c r="M4800" s="564" t="s">
        <v>2098</v>
      </c>
      <c r="N4800" s="564" t="s">
        <v>1082</v>
      </c>
      <c r="O4800" s="564" t="s">
        <v>2099</v>
      </c>
      <c r="P4800" s="23"/>
      <c r="Q4800" s="23"/>
      <c r="R4800" s="23"/>
      <c r="S4800" s="23"/>
      <c r="T4800" s="23"/>
      <c r="U4800" s="23"/>
      <c r="V4800" s="23"/>
      <c r="W4800" s="23"/>
      <c r="X4800" s="23"/>
      <c r="Y4800" s="23"/>
      <c r="Z4800" s="23"/>
    </row>
    <row r="4801" spans="1:26" ht="13">
      <c r="A4801" s="562" t="s">
        <v>10320</v>
      </c>
      <c r="B4801" s="563" t="s">
        <v>10321</v>
      </c>
      <c r="C4801" s="564" t="s">
        <v>1612</v>
      </c>
      <c r="D4801" s="565">
        <v>39742</v>
      </c>
      <c r="E4801" s="565">
        <v>39745</v>
      </c>
      <c r="F4801" s="567">
        <v>730</v>
      </c>
      <c r="G4801" s="564" t="s">
        <v>297</v>
      </c>
      <c r="H4801" s="564"/>
      <c r="I4801" s="564" t="s">
        <v>70</v>
      </c>
      <c r="J4801" s="564" t="s">
        <v>1069</v>
      </c>
      <c r="K4801" s="564" t="s">
        <v>1120</v>
      </c>
      <c r="L4801" s="564" t="s">
        <v>2098</v>
      </c>
      <c r="M4801" s="564" t="s">
        <v>2098</v>
      </c>
      <c r="N4801" s="564" t="s">
        <v>70</v>
      </c>
      <c r="O4801" s="564" t="s">
        <v>2099</v>
      </c>
      <c r="P4801" s="23"/>
      <c r="Q4801" s="23"/>
      <c r="R4801" s="23"/>
      <c r="S4801" s="23"/>
      <c r="T4801" s="23"/>
      <c r="U4801" s="23"/>
      <c r="V4801" s="23"/>
      <c r="W4801" s="23"/>
      <c r="X4801" s="23"/>
      <c r="Y4801" s="23"/>
      <c r="Z4801" s="23"/>
    </row>
    <row r="4802" spans="1:26" ht="13">
      <c r="A4802" s="562" t="s">
        <v>10322</v>
      </c>
      <c r="B4802" s="563" t="s">
        <v>10323</v>
      </c>
      <c r="C4802" s="564" t="s">
        <v>1873</v>
      </c>
      <c r="D4802" s="565">
        <v>39737</v>
      </c>
      <c r="E4802" s="565">
        <v>39745</v>
      </c>
      <c r="F4802" s="566">
        <v>3800</v>
      </c>
      <c r="G4802" s="564" t="s">
        <v>297</v>
      </c>
      <c r="H4802" s="564"/>
      <c r="I4802" s="564" t="s">
        <v>170</v>
      </c>
      <c r="J4802" s="564" t="s">
        <v>1069</v>
      </c>
      <c r="K4802" s="564" t="s">
        <v>1105</v>
      </c>
      <c r="L4802" s="564" t="s">
        <v>2098</v>
      </c>
      <c r="M4802" s="564" t="s">
        <v>2098</v>
      </c>
      <c r="N4802" s="564" t="s">
        <v>170</v>
      </c>
      <c r="O4802" s="564" t="s">
        <v>2099</v>
      </c>
      <c r="P4802" s="23"/>
      <c r="Q4802" s="23"/>
      <c r="R4802" s="23"/>
      <c r="S4802" s="23"/>
      <c r="T4802" s="23"/>
      <c r="U4802" s="23"/>
      <c r="V4802" s="23"/>
      <c r="W4802" s="23"/>
      <c r="X4802" s="23"/>
      <c r="Y4802" s="23"/>
      <c r="Z4802" s="23"/>
    </row>
    <row r="4803" spans="1:26" ht="13">
      <c r="A4803" s="562" t="s">
        <v>10324</v>
      </c>
      <c r="B4803" s="563" t="s">
        <v>10325</v>
      </c>
      <c r="C4803" s="564" t="s">
        <v>1612</v>
      </c>
      <c r="D4803" s="565">
        <v>39737</v>
      </c>
      <c r="E4803" s="565">
        <v>39743</v>
      </c>
      <c r="F4803" s="567">
        <v>770</v>
      </c>
      <c r="G4803" s="564" t="s">
        <v>297</v>
      </c>
      <c r="H4803" s="564"/>
      <c r="I4803" s="564" t="s">
        <v>70</v>
      </c>
      <c r="J4803" s="564" t="s">
        <v>1069</v>
      </c>
      <c r="K4803" s="564" t="s">
        <v>1120</v>
      </c>
      <c r="L4803" s="564" t="s">
        <v>2098</v>
      </c>
      <c r="M4803" s="564" t="s">
        <v>2098</v>
      </c>
      <c r="N4803" s="564" t="s">
        <v>70</v>
      </c>
      <c r="O4803" s="564" t="s">
        <v>2099</v>
      </c>
      <c r="P4803" s="23"/>
      <c r="Q4803" s="23"/>
      <c r="R4803" s="23"/>
      <c r="S4803" s="23"/>
      <c r="T4803" s="23"/>
      <c r="U4803" s="23"/>
      <c r="V4803" s="23"/>
      <c r="W4803" s="23"/>
      <c r="X4803" s="23"/>
      <c r="Y4803" s="23"/>
      <c r="Z4803" s="23"/>
    </row>
    <row r="4804" spans="1:26" ht="13">
      <c r="A4804" s="562" t="s">
        <v>10326</v>
      </c>
      <c r="B4804" s="563" t="s">
        <v>10327</v>
      </c>
      <c r="C4804" s="564" t="s">
        <v>1612</v>
      </c>
      <c r="D4804" s="565">
        <v>39730</v>
      </c>
      <c r="E4804" s="565">
        <v>39751</v>
      </c>
      <c r="F4804" s="566">
        <v>141724</v>
      </c>
      <c r="G4804" s="564" t="s">
        <v>297</v>
      </c>
      <c r="H4804" s="564"/>
      <c r="I4804" s="564" t="s">
        <v>9250</v>
      </c>
      <c r="J4804" s="564" t="s">
        <v>1069</v>
      </c>
      <c r="K4804" s="564" t="s">
        <v>1090</v>
      </c>
      <c r="L4804" s="564" t="s">
        <v>2098</v>
      </c>
      <c r="M4804" s="564" t="s">
        <v>2098</v>
      </c>
      <c r="N4804" s="564" t="s">
        <v>45</v>
      </c>
      <c r="O4804" s="564" t="s">
        <v>2099</v>
      </c>
      <c r="P4804" s="23"/>
      <c r="Q4804" s="23"/>
      <c r="R4804" s="23"/>
      <c r="S4804" s="23"/>
      <c r="T4804" s="23"/>
      <c r="U4804" s="23"/>
      <c r="V4804" s="23"/>
      <c r="W4804" s="23"/>
      <c r="X4804" s="23"/>
      <c r="Y4804" s="23"/>
      <c r="Z4804" s="23"/>
    </row>
    <row r="4805" spans="1:26" ht="13">
      <c r="A4805" s="562" t="s">
        <v>10328</v>
      </c>
      <c r="B4805" s="563" t="s">
        <v>10329</v>
      </c>
      <c r="C4805" s="564" t="s">
        <v>1612</v>
      </c>
      <c r="D4805" s="565">
        <v>39730</v>
      </c>
      <c r="E4805" s="565">
        <v>39734</v>
      </c>
      <c r="F4805" s="566">
        <v>468750</v>
      </c>
      <c r="G4805" s="564" t="s">
        <v>1856</v>
      </c>
      <c r="H4805" s="564"/>
      <c r="I4805" s="564" t="s">
        <v>70</v>
      </c>
      <c r="J4805" s="564" t="s">
        <v>1069</v>
      </c>
      <c r="K4805" s="564" t="s">
        <v>1120</v>
      </c>
      <c r="L4805" s="564" t="s">
        <v>2098</v>
      </c>
      <c r="M4805" s="564" t="s">
        <v>2098</v>
      </c>
      <c r="N4805" s="564" t="s">
        <v>70</v>
      </c>
      <c r="O4805" s="564" t="s">
        <v>2099</v>
      </c>
      <c r="P4805" s="23"/>
      <c r="Q4805" s="23"/>
      <c r="R4805" s="23"/>
      <c r="S4805" s="23"/>
      <c r="T4805" s="23"/>
      <c r="U4805" s="23"/>
      <c r="V4805" s="23"/>
      <c r="W4805" s="23"/>
      <c r="X4805" s="23"/>
      <c r="Y4805" s="23"/>
      <c r="Z4805" s="23"/>
    </row>
    <row r="4806" spans="1:26" ht="13">
      <c r="A4806" s="562" t="s">
        <v>10330</v>
      </c>
      <c r="B4806" s="563" t="s">
        <v>10331</v>
      </c>
      <c r="C4806" s="564" t="s">
        <v>1612</v>
      </c>
      <c r="D4806" s="565">
        <v>39728</v>
      </c>
      <c r="E4806" s="565">
        <v>39728</v>
      </c>
      <c r="F4806" s="566">
        <v>3291</v>
      </c>
      <c r="G4806" s="564" t="s">
        <v>297</v>
      </c>
      <c r="H4806" s="564"/>
      <c r="I4806" s="564" t="s">
        <v>1918</v>
      </c>
      <c r="J4806" s="564" t="s">
        <v>1069</v>
      </c>
      <c r="K4806" s="564" t="s">
        <v>1070</v>
      </c>
      <c r="L4806" s="564" t="s">
        <v>2098</v>
      </c>
      <c r="M4806" s="564" t="s">
        <v>2098</v>
      </c>
      <c r="N4806" s="564" t="s">
        <v>1073</v>
      </c>
      <c r="O4806" s="564" t="s">
        <v>2099</v>
      </c>
      <c r="P4806" s="23"/>
      <c r="Q4806" s="23"/>
      <c r="R4806" s="23"/>
      <c r="S4806" s="23"/>
      <c r="T4806" s="23"/>
      <c r="U4806" s="23"/>
      <c r="V4806" s="23"/>
      <c r="W4806" s="23"/>
      <c r="X4806" s="23"/>
      <c r="Y4806" s="23"/>
      <c r="Z4806" s="23"/>
    </row>
    <row r="4807" spans="1:26" ht="13">
      <c r="A4807" s="562" t="s">
        <v>10332</v>
      </c>
      <c r="B4807" s="563" t="s">
        <v>10333</v>
      </c>
      <c r="C4807" s="564" t="s">
        <v>1612</v>
      </c>
      <c r="D4807" s="565">
        <v>39723</v>
      </c>
      <c r="E4807" s="565">
        <v>39751</v>
      </c>
      <c r="F4807" s="566">
        <v>65000</v>
      </c>
      <c r="G4807" s="564" t="s">
        <v>297</v>
      </c>
      <c r="H4807" s="564"/>
      <c r="I4807" s="564" t="s">
        <v>45</v>
      </c>
      <c r="J4807" s="564" t="s">
        <v>1069</v>
      </c>
      <c r="K4807" s="564" t="s">
        <v>1090</v>
      </c>
      <c r="L4807" s="564" t="s">
        <v>2098</v>
      </c>
      <c r="M4807" s="564" t="s">
        <v>2098</v>
      </c>
      <c r="N4807" s="564" t="s">
        <v>45</v>
      </c>
      <c r="O4807" s="564" t="s">
        <v>2099</v>
      </c>
      <c r="P4807" s="23"/>
      <c r="Q4807" s="23"/>
      <c r="R4807" s="23"/>
      <c r="S4807" s="23"/>
      <c r="T4807" s="23"/>
      <c r="U4807" s="23"/>
      <c r="V4807" s="23"/>
      <c r="W4807" s="23"/>
      <c r="X4807" s="23"/>
      <c r="Y4807" s="23"/>
      <c r="Z4807" s="23"/>
    </row>
    <row r="4808" spans="1:26" ht="13">
      <c r="A4808" s="562" t="s">
        <v>10334</v>
      </c>
      <c r="B4808" s="563" t="s">
        <v>10335</v>
      </c>
      <c r="C4808" s="564" t="s">
        <v>2191</v>
      </c>
      <c r="D4808" s="565">
        <v>39722</v>
      </c>
      <c r="E4808" s="565">
        <v>39843</v>
      </c>
      <c r="F4808" s="566">
        <v>215000</v>
      </c>
      <c r="G4808" s="564" t="s">
        <v>1912</v>
      </c>
      <c r="H4808" s="564" t="s">
        <v>1912</v>
      </c>
      <c r="I4808" s="564" t="s">
        <v>6258</v>
      </c>
      <c r="J4808" s="564" t="s">
        <v>1069</v>
      </c>
      <c r="K4808" s="564" t="s">
        <v>1205</v>
      </c>
      <c r="L4808" s="564" t="s">
        <v>2098</v>
      </c>
      <c r="M4808" s="564" t="s">
        <v>2098</v>
      </c>
      <c r="N4808" s="564" t="s">
        <v>1082</v>
      </c>
      <c r="O4808" s="564" t="s">
        <v>2099</v>
      </c>
      <c r="P4808" s="23"/>
      <c r="Q4808" s="23"/>
      <c r="R4808" s="23"/>
      <c r="S4808" s="23"/>
      <c r="T4808" s="23"/>
      <c r="U4808" s="23"/>
      <c r="V4808" s="23"/>
      <c r="W4808" s="23"/>
      <c r="X4808" s="23"/>
      <c r="Y4808" s="23"/>
      <c r="Z4808" s="23"/>
    </row>
    <row r="4809" spans="1:26" ht="13">
      <c r="A4809" s="562" t="s">
        <v>10336</v>
      </c>
      <c r="B4809" s="563" t="s">
        <v>10337</v>
      </c>
      <c r="C4809" s="564" t="s">
        <v>1612</v>
      </c>
      <c r="D4809" s="565">
        <v>39721</v>
      </c>
      <c r="E4809" s="565">
        <v>39741</v>
      </c>
      <c r="F4809" s="566">
        <v>9130</v>
      </c>
      <c r="G4809" s="564" t="s">
        <v>297</v>
      </c>
      <c r="H4809" s="564"/>
      <c r="I4809" s="564" t="s">
        <v>802</v>
      </c>
      <c r="J4809" s="564" t="s">
        <v>1069</v>
      </c>
      <c r="K4809" s="564" t="s">
        <v>1198</v>
      </c>
      <c r="L4809" s="564" t="s">
        <v>2098</v>
      </c>
      <c r="M4809" s="564" t="s">
        <v>2098</v>
      </c>
      <c r="N4809" s="564" t="s">
        <v>132</v>
      </c>
      <c r="O4809" s="564" t="s">
        <v>2099</v>
      </c>
      <c r="P4809" s="23"/>
      <c r="Q4809" s="23"/>
      <c r="R4809" s="23"/>
      <c r="S4809" s="23"/>
      <c r="T4809" s="23"/>
      <c r="U4809" s="23"/>
      <c r="V4809" s="23"/>
      <c r="W4809" s="23"/>
      <c r="X4809" s="23"/>
      <c r="Y4809" s="23"/>
      <c r="Z4809" s="23"/>
    </row>
    <row r="4810" spans="1:26" ht="13">
      <c r="A4810" s="562" t="s">
        <v>10338</v>
      </c>
      <c r="B4810" s="563" t="s">
        <v>10339</v>
      </c>
      <c r="C4810" s="564" t="s">
        <v>1612</v>
      </c>
      <c r="D4810" s="565">
        <v>39716</v>
      </c>
      <c r="E4810" s="565">
        <v>39720</v>
      </c>
      <c r="F4810" s="566">
        <v>2125000</v>
      </c>
      <c r="G4810" s="564" t="s">
        <v>1856</v>
      </c>
      <c r="H4810" s="564"/>
      <c r="I4810" s="564" t="s">
        <v>70</v>
      </c>
      <c r="J4810" s="564" t="s">
        <v>1069</v>
      </c>
      <c r="K4810" s="564" t="s">
        <v>1120</v>
      </c>
      <c r="L4810" s="564" t="s">
        <v>2098</v>
      </c>
      <c r="M4810" s="564" t="s">
        <v>2098</v>
      </c>
      <c r="N4810" s="564" t="s">
        <v>70</v>
      </c>
      <c r="O4810" s="564" t="s">
        <v>2099</v>
      </c>
      <c r="P4810" s="23"/>
      <c r="Q4810" s="23"/>
      <c r="R4810" s="23"/>
      <c r="S4810" s="23"/>
      <c r="T4810" s="23"/>
      <c r="U4810" s="23"/>
      <c r="V4810" s="23"/>
      <c r="W4810" s="23"/>
      <c r="X4810" s="23"/>
      <c r="Y4810" s="23"/>
      <c r="Z4810" s="23"/>
    </row>
    <row r="4811" spans="1:26" ht="13">
      <c r="A4811" s="562" t="s">
        <v>10340</v>
      </c>
      <c r="B4811" s="563" t="s">
        <v>10341</v>
      </c>
      <c r="C4811" s="564" t="s">
        <v>2191</v>
      </c>
      <c r="D4811" s="565">
        <v>39717</v>
      </c>
      <c r="E4811" s="565">
        <v>39843</v>
      </c>
      <c r="F4811" s="566">
        <v>112000</v>
      </c>
      <c r="G4811" s="564" t="s">
        <v>1912</v>
      </c>
      <c r="H4811" s="564" t="s">
        <v>1912</v>
      </c>
      <c r="I4811" s="564" t="s">
        <v>6258</v>
      </c>
      <c r="J4811" s="564" t="s">
        <v>1069</v>
      </c>
      <c r="K4811" s="564" t="s">
        <v>1205</v>
      </c>
      <c r="L4811" s="564" t="s">
        <v>2098</v>
      </c>
      <c r="M4811" s="564" t="s">
        <v>2098</v>
      </c>
      <c r="N4811" s="564" t="s">
        <v>1082</v>
      </c>
      <c r="O4811" s="564" t="s">
        <v>2099</v>
      </c>
      <c r="P4811" s="23"/>
      <c r="Q4811" s="23"/>
      <c r="R4811" s="23"/>
      <c r="S4811" s="23"/>
      <c r="T4811" s="23"/>
      <c r="U4811" s="23"/>
      <c r="V4811" s="23"/>
      <c r="W4811" s="23"/>
      <c r="X4811" s="23"/>
      <c r="Y4811" s="23"/>
      <c r="Z4811" s="23"/>
    </row>
    <row r="4812" spans="1:26" ht="13">
      <c r="A4812" s="562" t="s">
        <v>10342</v>
      </c>
      <c r="B4812" s="563" t="s">
        <v>10325</v>
      </c>
      <c r="C4812" s="564" t="s">
        <v>1612</v>
      </c>
      <c r="D4812" s="565">
        <v>39715</v>
      </c>
      <c r="E4812" s="565">
        <v>39721</v>
      </c>
      <c r="F4812" s="566">
        <v>4380</v>
      </c>
      <c r="G4812" s="564" t="s">
        <v>297</v>
      </c>
      <c r="H4812" s="564"/>
      <c r="I4812" s="564" t="s">
        <v>70</v>
      </c>
      <c r="J4812" s="564" t="s">
        <v>1069</v>
      </c>
      <c r="K4812" s="564" t="s">
        <v>1120</v>
      </c>
      <c r="L4812" s="564" t="s">
        <v>2098</v>
      </c>
      <c r="M4812" s="564" t="s">
        <v>2098</v>
      </c>
      <c r="N4812" s="564" t="s">
        <v>70</v>
      </c>
      <c r="O4812" s="564" t="s">
        <v>2099</v>
      </c>
      <c r="P4812" s="23"/>
      <c r="Q4812" s="23"/>
      <c r="R4812" s="23"/>
      <c r="S4812" s="23"/>
      <c r="T4812" s="23"/>
      <c r="U4812" s="23"/>
      <c r="V4812" s="23"/>
      <c r="W4812" s="23"/>
      <c r="X4812" s="23"/>
      <c r="Y4812" s="23"/>
      <c r="Z4812" s="23"/>
    </row>
    <row r="4813" spans="1:26" ht="13">
      <c r="A4813" s="562" t="s">
        <v>10343</v>
      </c>
      <c r="B4813" s="563" t="s">
        <v>5810</v>
      </c>
      <c r="C4813" s="564" t="s">
        <v>1612</v>
      </c>
      <c r="D4813" s="565">
        <v>39713</v>
      </c>
      <c r="E4813" s="565">
        <v>39716</v>
      </c>
      <c r="F4813" s="566">
        <v>1460</v>
      </c>
      <c r="G4813" s="564" t="s">
        <v>297</v>
      </c>
      <c r="H4813" s="564"/>
      <c r="I4813" s="564" t="s">
        <v>70</v>
      </c>
      <c r="J4813" s="564" t="s">
        <v>1069</v>
      </c>
      <c r="K4813" s="564" t="s">
        <v>1120</v>
      </c>
      <c r="L4813" s="564" t="s">
        <v>2098</v>
      </c>
      <c r="M4813" s="564" t="s">
        <v>2098</v>
      </c>
      <c r="N4813" s="564" t="s">
        <v>70</v>
      </c>
      <c r="O4813" s="564" t="s">
        <v>2099</v>
      </c>
      <c r="P4813" s="23"/>
      <c r="Q4813" s="23"/>
      <c r="R4813" s="23"/>
      <c r="S4813" s="23"/>
      <c r="T4813" s="23"/>
      <c r="U4813" s="23"/>
      <c r="V4813" s="23"/>
      <c r="W4813" s="23"/>
      <c r="X4813" s="23"/>
      <c r="Y4813" s="23"/>
      <c r="Z4813" s="23"/>
    </row>
    <row r="4814" spans="1:26" ht="13">
      <c r="A4814" s="562" t="s">
        <v>10344</v>
      </c>
      <c r="B4814" s="563" t="s">
        <v>10345</v>
      </c>
      <c r="C4814" s="564" t="s">
        <v>1612</v>
      </c>
      <c r="D4814" s="565">
        <v>39703</v>
      </c>
      <c r="E4814" s="565">
        <v>39713</v>
      </c>
      <c r="F4814" s="566">
        <v>18900</v>
      </c>
      <c r="G4814" s="564" t="s">
        <v>297</v>
      </c>
      <c r="H4814" s="564"/>
      <c r="I4814" s="564" t="s">
        <v>7259</v>
      </c>
      <c r="J4814" s="564" t="s">
        <v>1069</v>
      </c>
      <c r="K4814" s="564" t="s">
        <v>1070</v>
      </c>
      <c r="L4814" s="564" t="s">
        <v>2098</v>
      </c>
      <c r="M4814" s="564" t="s">
        <v>2098</v>
      </c>
      <c r="N4814" s="564" t="s">
        <v>1082</v>
      </c>
      <c r="O4814" s="564" t="s">
        <v>2099</v>
      </c>
      <c r="P4814" s="23"/>
      <c r="Q4814" s="23"/>
      <c r="R4814" s="23"/>
      <c r="S4814" s="23"/>
      <c r="T4814" s="23"/>
      <c r="U4814" s="23"/>
      <c r="V4814" s="23"/>
      <c r="W4814" s="23"/>
      <c r="X4814" s="23"/>
      <c r="Y4814" s="23"/>
      <c r="Z4814" s="23"/>
    </row>
    <row r="4815" spans="1:26" ht="13">
      <c r="A4815" s="562" t="s">
        <v>10346</v>
      </c>
      <c r="B4815" s="563" t="s">
        <v>5810</v>
      </c>
      <c r="C4815" s="564" t="s">
        <v>1612</v>
      </c>
      <c r="D4815" s="565">
        <v>39694</v>
      </c>
      <c r="E4815" s="565">
        <v>39699</v>
      </c>
      <c r="F4815" s="566">
        <v>1460</v>
      </c>
      <c r="G4815" s="564" t="s">
        <v>297</v>
      </c>
      <c r="H4815" s="564"/>
      <c r="I4815" s="564" t="s">
        <v>70</v>
      </c>
      <c r="J4815" s="564" t="s">
        <v>1069</v>
      </c>
      <c r="K4815" s="564" t="s">
        <v>1120</v>
      </c>
      <c r="L4815" s="564" t="s">
        <v>2098</v>
      </c>
      <c r="M4815" s="564" t="s">
        <v>2098</v>
      </c>
      <c r="N4815" s="564" t="s">
        <v>70</v>
      </c>
      <c r="O4815" s="564" t="s">
        <v>2099</v>
      </c>
      <c r="P4815" s="23"/>
      <c r="Q4815" s="23"/>
      <c r="R4815" s="23"/>
      <c r="S4815" s="23"/>
      <c r="T4815" s="23"/>
      <c r="U4815" s="23"/>
      <c r="V4815" s="23"/>
      <c r="W4815" s="23"/>
      <c r="X4815" s="23"/>
      <c r="Y4815" s="23"/>
      <c r="Z4815" s="23"/>
    </row>
    <row r="4816" spans="1:26" ht="13">
      <c r="A4816" s="562" t="s">
        <v>10347</v>
      </c>
      <c r="B4816" s="563" t="s">
        <v>10348</v>
      </c>
      <c r="C4816" s="564" t="s">
        <v>6860</v>
      </c>
      <c r="D4816" s="565">
        <v>39689</v>
      </c>
      <c r="E4816" s="565">
        <v>39812</v>
      </c>
      <c r="F4816" s="566">
        <v>173608500</v>
      </c>
      <c r="G4816" s="564" t="s">
        <v>2168</v>
      </c>
      <c r="H4816" s="564"/>
      <c r="I4816" s="564" t="s">
        <v>9860</v>
      </c>
      <c r="J4816" s="564" t="s">
        <v>1069</v>
      </c>
      <c r="K4816" s="564" t="s">
        <v>1070</v>
      </c>
      <c r="L4816" s="564" t="s">
        <v>2098</v>
      </c>
      <c r="M4816" s="564" t="s">
        <v>2098</v>
      </c>
      <c r="N4816" s="564" t="s">
        <v>1082</v>
      </c>
      <c r="O4816" s="564" t="s">
        <v>2099</v>
      </c>
      <c r="P4816" s="23"/>
      <c r="Q4816" s="23"/>
      <c r="R4816" s="23"/>
      <c r="S4816" s="23"/>
      <c r="T4816" s="23"/>
      <c r="U4816" s="23"/>
      <c r="V4816" s="23"/>
      <c r="W4816" s="23"/>
      <c r="X4816" s="23"/>
      <c r="Y4816" s="23"/>
      <c r="Z4816" s="23"/>
    </row>
    <row r="4817" spans="1:26" ht="13">
      <c r="A4817" s="562" t="s">
        <v>10349</v>
      </c>
      <c r="B4817" s="563" t="s">
        <v>10147</v>
      </c>
      <c r="C4817" s="564" t="s">
        <v>1612</v>
      </c>
      <c r="D4817" s="565">
        <v>39688</v>
      </c>
      <c r="E4817" s="565">
        <v>39696</v>
      </c>
      <c r="F4817" s="566">
        <v>7240</v>
      </c>
      <c r="G4817" s="564" t="s">
        <v>297</v>
      </c>
      <c r="H4817" s="564"/>
      <c r="I4817" s="564" t="s">
        <v>7259</v>
      </c>
      <c r="J4817" s="564" t="s">
        <v>1069</v>
      </c>
      <c r="K4817" s="564" t="s">
        <v>1070</v>
      </c>
      <c r="L4817" s="564" t="s">
        <v>2098</v>
      </c>
      <c r="M4817" s="564" t="s">
        <v>2098</v>
      </c>
      <c r="N4817" s="564" t="s">
        <v>1082</v>
      </c>
      <c r="O4817" s="564" t="s">
        <v>2099</v>
      </c>
      <c r="P4817" s="23"/>
      <c r="Q4817" s="23"/>
      <c r="R4817" s="23"/>
      <c r="S4817" s="23"/>
      <c r="T4817" s="23"/>
      <c r="U4817" s="23"/>
      <c r="V4817" s="23"/>
      <c r="W4817" s="23"/>
      <c r="X4817" s="23"/>
      <c r="Y4817" s="23"/>
      <c r="Z4817" s="23"/>
    </row>
    <row r="4818" spans="1:26" ht="13">
      <c r="A4818" s="562" t="s">
        <v>10350</v>
      </c>
      <c r="B4818" s="563" t="s">
        <v>5810</v>
      </c>
      <c r="C4818" s="564" t="s">
        <v>1612</v>
      </c>
      <c r="D4818" s="565">
        <v>39686</v>
      </c>
      <c r="E4818" s="565">
        <v>39694</v>
      </c>
      <c r="F4818" s="567">
        <v>730</v>
      </c>
      <c r="G4818" s="564" t="s">
        <v>297</v>
      </c>
      <c r="H4818" s="564"/>
      <c r="I4818" s="564" t="s">
        <v>70</v>
      </c>
      <c r="J4818" s="564" t="s">
        <v>1069</v>
      </c>
      <c r="K4818" s="564" t="s">
        <v>1120</v>
      </c>
      <c r="L4818" s="564" t="s">
        <v>2098</v>
      </c>
      <c r="M4818" s="564" t="s">
        <v>2098</v>
      </c>
      <c r="N4818" s="564" t="s">
        <v>70</v>
      </c>
      <c r="O4818" s="564" t="s">
        <v>2099</v>
      </c>
      <c r="P4818" s="23"/>
      <c r="Q4818" s="23"/>
      <c r="R4818" s="23"/>
      <c r="S4818" s="23"/>
      <c r="T4818" s="23"/>
      <c r="U4818" s="23"/>
      <c r="V4818" s="23"/>
      <c r="W4818" s="23"/>
      <c r="X4818" s="23"/>
      <c r="Y4818" s="23"/>
      <c r="Z4818" s="23"/>
    </row>
    <row r="4819" spans="1:26" ht="13">
      <c r="A4819" s="562" t="s">
        <v>10351</v>
      </c>
      <c r="B4819" s="563" t="s">
        <v>10239</v>
      </c>
      <c r="C4819" s="564" t="s">
        <v>1612</v>
      </c>
      <c r="D4819" s="565">
        <v>39686</v>
      </c>
      <c r="E4819" s="565">
        <v>39700</v>
      </c>
      <c r="F4819" s="566">
        <v>10370</v>
      </c>
      <c r="G4819" s="564" t="s">
        <v>297</v>
      </c>
      <c r="H4819" s="564"/>
      <c r="I4819" s="564" t="s">
        <v>802</v>
      </c>
      <c r="J4819" s="564" t="s">
        <v>1069</v>
      </c>
      <c r="K4819" s="564" t="s">
        <v>1198</v>
      </c>
      <c r="L4819" s="564" t="s">
        <v>2098</v>
      </c>
      <c r="M4819" s="564" t="s">
        <v>2098</v>
      </c>
      <c r="N4819" s="564" t="s">
        <v>132</v>
      </c>
      <c r="O4819" s="564" t="s">
        <v>2099</v>
      </c>
      <c r="P4819" s="23"/>
      <c r="Q4819" s="23"/>
      <c r="R4819" s="23"/>
      <c r="S4819" s="23"/>
      <c r="T4819" s="23"/>
      <c r="U4819" s="23"/>
      <c r="V4819" s="23"/>
      <c r="W4819" s="23"/>
      <c r="X4819" s="23"/>
      <c r="Y4819" s="23"/>
      <c r="Z4819" s="23"/>
    </row>
    <row r="4820" spans="1:26" ht="13">
      <c r="A4820" s="562" t="s">
        <v>10352</v>
      </c>
      <c r="B4820" s="563" t="s">
        <v>10353</v>
      </c>
      <c r="C4820" s="564" t="s">
        <v>1612</v>
      </c>
      <c r="D4820" s="565">
        <v>39680</v>
      </c>
      <c r="E4820" s="565">
        <v>39686</v>
      </c>
      <c r="F4820" s="566">
        <v>6020</v>
      </c>
      <c r="G4820" s="564" t="s">
        <v>297</v>
      </c>
      <c r="H4820" s="564"/>
      <c r="I4820" s="564" t="s">
        <v>64</v>
      </c>
      <c r="J4820" s="564" t="s">
        <v>1069</v>
      </c>
      <c r="K4820" s="564" t="s">
        <v>1090</v>
      </c>
      <c r="L4820" s="564" t="s">
        <v>2098</v>
      </c>
      <c r="M4820" s="564" t="s">
        <v>2098</v>
      </c>
      <c r="N4820" s="564" t="s">
        <v>64</v>
      </c>
      <c r="O4820" s="564" t="s">
        <v>2099</v>
      </c>
      <c r="P4820" s="23"/>
      <c r="Q4820" s="23"/>
      <c r="R4820" s="23"/>
      <c r="S4820" s="23"/>
      <c r="T4820" s="23"/>
      <c r="U4820" s="23"/>
      <c r="V4820" s="23"/>
      <c r="W4820" s="23"/>
      <c r="X4820" s="23"/>
      <c r="Y4820" s="23"/>
      <c r="Z4820" s="23"/>
    </row>
    <row r="4821" spans="1:26" ht="13">
      <c r="A4821" s="562" t="s">
        <v>10354</v>
      </c>
      <c r="B4821" s="563" t="s">
        <v>10355</v>
      </c>
      <c r="C4821" s="564" t="s">
        <v>2191</v>
      </c>
      <c r="D4821" s="565">
        <v>39680</v>
      </c>
      <c r="E4821" s="565">
        <v>39686</v>
      </c>
      <c r="F4821" s="566">
        <v>5233</v>
      </c>
      <c r="G4821" s="564" t="s">
        <v>297</v>
      </c>
      <c r="H4821" s="564"/>
      <c r="I4821" s="564" t="s">
        <v>9981</v>
      </c>
      <c r="J4821" s="564" t="s">
        <v>1069</v>
      </c>
      <c r="K4821" s="564" t="s">
        <v>1105</v>
      </c>
      <c r="L4821" s="564" t="s">
        <v>2098</v>
      </c>
      <c r="M4821" s="564" t="s">
        <v>2098</v>
      </c>
      <c r="N4821" s="564" t="s">
        <v>1082</v>
      </c>
      <c r="O4821" s="564" t="s">
        <v>2099</v>
      </c>
      <c r="P4821" s="23"/>
      <c r="Q4821" s="23"/>
      <c r="R4821" s="23"/>
      <c r="S4821" s="23"/>
      <c r="T4821" s="23"/>
      <c r="U4821" s="23"/>
      <c r="V4821" s="23"/>
      <c r="W4821" s="23"/>
      <c r="X4821" s="23"/>
      <c r="Y4821" s="23"/>
      <c r="Z4821" s="23"/>
    </row>
    <row r="4822" spans="1:26" ht="13">
      <c r="A4822" s="562" t="s">
        <v>10356</v>
      </c>
      <c r="B4822" s="563" t="s">
        <v>10357</v>
      </c>
      <c r="C4822" s="564" t="s">
        <v>1612</v>
      </c>
      <c r="D4822" s="565">
        <v>39680</v>
      </c>
      <c r="E4822" s="565">
        <v>39687</v>
      </c>
      <c r="F4822" s="566">
        <v>4380</v>
      </c>
      <c r="G4822" s="564" t="s">
        <v>297</v>
      </c>
      <c r="H4822" s="564"/>
      <c r="I4822" s="564" t="s">
        <v>70</v>
      </c>
      <c r="J4822" s="564" t="s">
        <v>1069</v>
      </c>
      <c r="K4822" s="564" t="s">
        <v>1120</v>
      </c>
      <c r="L4822" s="564" t="s">
        <v>2098</v>
      </c>
      <c r="M4822" s="564" t="s">
        <v>2098</v>
      </c>
      <c r="N4822" s="564" t="s">
        <v>70</v>
      </c>
      <c r="O4822" s="564" t="s">
        <v>2099</v>
      </c>
      <c r="P4822" s="23"/>
      <c r="Q4822" s="23"/>
      <c r="R4822" s="23"/>
      <c r="S4822" s="23"/>
      <c r="T4822" s="23"/>
      <c r="U4822" s="23"/>
      <c r="V4822" s="23"/>
      <c r="W4822" s="23"/>
      <c r="X4822" s="23"/>
      <c r="Y4822" s="23"/>
      <c r="Z4822" s="23"/>
    </row>
    <row r="4823" spans="1:26" ht="13">
      <c r="A4823" s="562" t="s">
        <v>10358</v>
      </c>
      <c r="B4823" s="563" t="s">
        <v>10348</v>
      </c>
      <c r="C4823" s="564" t="s">
        <v>6860</v>
      </c>
      <c r="D4823" s="565">
        <v>39674</v>
      </c>
      <c r="E4823" s="565">
        <v>40171</v>
      </c>
      <c r="F4823" s="566">
        <v>80127000</v>
      </c>
      <c r="G4823" s="564" t="s">
        <v>2168</v>
      </c>
      <c r="H4823" s="564"/>
      <c r="I4823" s="564" t="s">
        <v>9860</v>
      </c>
      <c r="J4823" s="564" t="s">
        <v>1069</v>
      </c>
      <c r="K4823" s="564" t="s">
        <v>1070</v>
      </c>
      <c r="L4823" s="564" t="s">
        <v>2098</v>
      </c>
      <c r="M4823" s="564" t="s">
        <v>2098</v>
      </c>
      <c r="N4823" s="564" t="s">
        <v>1082</v>
      </c>
      <c r="O4823" s="564" t="s">
        <v>2099</v>
      </c>
      <c r="P4823" s="23"/>
      <c r="Q4823" s="23"/>
      <c r="R4823" s="23"/>
      <c r="S4823" s="23"/>
      <c r="T4823" s="23"/>
      <c r="U4823" s="23"/>
      <c r="V4823" s="23"/>
      <c r="W4823" s="23"/>
      <c r="X4823" s="23"/>
      <c r="Y4823" s="23"/>
      <c r="Z4823" s="23"/>
    </row>
    <row r="4824" spans="1:26" ht="13">
      <c r="A4824" s="562" t="s">
        <v>10359</v>
      </c>
      <c r="B4824" s="563" t="s">
        <v>9890</v>
      </c>
      <c r="C4824" s="564" t="s">
        <v>1612</v>
      </c>
      <c r="D4824" s="565">
        <v>39673</v>
      </c>
      <c r="E4824" s="565">
        <v>39681</v>
      </c>
      <c r="F4824" s="566">
        <v>3100</v>
      </c>
      <c r="G4824" s="564" t="s">
        <v>297</v>
      </c>
      <c r="H4824" s="564"/>
      <c r="I4824" s="564" t="s">
        <v>64</v>
      </c>
      <c r="J4824" s="564" t="s">
        <v>1069</v>
      </c>
      <c r="K4824" s="564" t="s">
        <v>1090</v>
      </c>
      <c r="L4824" s="564" t="s">
        <v>2098</v>
      </c>
      <c r="M4824" s="564" t="s">
        <v>2098</v>
      </c>
      <c r="N4824" s="564" t="s">
        <v>64</v>
      </c>
      <c r="O4824" s="564" t="s">
        <v>2099</v>
      </c>
      <c r="P4824" s="23"/>
      <c r="Q4824" s="23"/>
      <c r="R4824" s="23"/>
      <c r="S4824" s="23"/>
      <c r="T4824" s="23"/>
      <c r="U4824" s="23"/>
      <c r="V4824" s="23"/>
      <c r="W4824" s="23"/>
      <c r="X4824" s="23"/>
      <c r="Y4824" s="23"/>
      <c r="Z4824" s="23"/>
    </row>
    <row r="4825" spans="1:26" ht="13">
      <c r="A4825" s="562" t="s">
        <v>10360</v>
      </c>
      <c r="B4825" s="563" t="s">
        <v>10270</v>
      </c>
      <c r="C4825" s="564" t="s">
        <v>1612</v>
      </c>
      <c r="D4825" s="565">
        <v>39661</v>
      </c>
      <c r="E4825" s="565">
        <v>39671</v>
      </c>
      <c r="F4825" s="566">
        <v>2920</v>
      </c>
      <c r="G4825" s="564" t="s">
        <v>297</v>
      </c>
      <c r="H4825" s="564"/>
      <c r="I4825" s="564" t="s">
        <v>70</v>
      </c>
      <c r="J4825" s="564" t="s">
        <v>1069</v>
      </c>
      <c r="K4825" s="564" t="s">
        <v>1120</v>
      </c>
      <c r="L4825" s="564" t="s">
        <v>2098</v>
      </c>
      <c r="M4825" s="564" t="s">
        <v>2098</v>
      </c>
      <c r="N4825" s="564" t="s">
        <v>70</v>
      </c>
      <c r="O4825" s="564" t="s">
        <v>2099</v>
      </c>
      <c r="P4825" s="23"/>
      <c r="Q4825" s="23"/>
      <c r="R4825" s="23"/>
      <c r="S4825" s="23"/>
      <c r="T4825" s="23"/>
      <c r="U4825" s="23"/>
      <c r="V4825" s="23"/>
      <c r="W4825" s="23"/>
      <c r="X4825" s="23"/>
      <c r="Y4825" s="23"/>
      <c r="Z4825" s="23"/>
    </row>
    <row r="4826" spans="1:26" ht="13">
      <c r="A4826" s="562" t="s">
        <v>10361</v>
      </c>
      <c r="B4826" s="563" t="s">
        <v>10249</v>
      </c>
      <c r="C4826" s="564" t="s">
        <v>2191</v>
      </c>
      <c r="D4826" s="565">
        <v>39658</v>
      </c>
      <c r="E4826" s="565">
        <v>39683</v>
      </c>
      <c r="F4826" s="566">
        <v>88000</v>
      </c>
      <c r="G4826" s="564" t="s">
        <v>297</v>
      </c>
      <c r="H4826" s="564"/>
      <c r="I4826" s="564" t="s">
        <v>1771</v>
      </c>
      <c r="J4826" s="564" t="s">
        <v>1069</v>
      </c>
      <c r="K4826" s="564" t="s">
        <v>1070</v>
      </c>
      <c r="L4826" s="564" t="s">
        <v>2098</v>
      </c>
      <c r="M4826" s="564" t="s">
        <v>2098</v>
      </c>
      <c r="N4826" s="564" t="s">
        <v>1082</v>
      </c>
      <c r="O4826" s="564" t="s">
        <v>2099</v>
      </c>
      <c r="P4826" s="23"/>
      <c r="Q4826" s="23"/>
      <c r="R4826" s="23"/>
      <c r="S4826" s="23"/>
      <c r="T4826" s="23"/>
      <c r="U4826" s="23"/>
      <c r="V4826" s="23"/>
      <c r="W4826" s="23"/>
      <c r="X4826" s="23"/>
      <c r="Y4826" s="23"/>
      <c r="Z4826" s="23"/>
    </row>
    <row r="4827" spans="1:26" ht="13">
      <c r="A4827" s="562" t="s">
        <v>10362</v>
      </c>
      <c r="B4827" s="563" t="s">
        <v>10363</v>
      </c>
      <c r="C4827" s="564" t="s">
        <v>1612</v>
      </c>
      <c r="D4827" s="565">
        <v>39653</v>
      </c>
      <c r="E4827" s="565">
        <v>39660</v>
      </c>
      <c r="F4827" s="566">
        <v>1215</v>
      </c>
      <c r="G4827" s="564" t="s">
        <v>297</v>
      </c>
      <c r="H4827" s="564"/>
      <c r="I4827" s="564" t="s">
        <v>121</v>
      </c>
      <c r="J4827" s="564" t="s">
        <v>1069</v>
      </c>
      <c r="K4827" s="564" t="s">
        <v>1105</v>
      </c>
      <c r="L4827" s="564" t="s">
        <v>2098</v>
      </c>
      <c r="M4827" s="564" t="s">
        <v>2098</v>
      </c>
      <c r="N4827" s="564" t="s">
        <v>1073</v>
      </c>
      <c r="O4827" s="564" t="s">
        <v>2099</v>
      </c>
      <c r="P4827" s="23"/>
      <c r="Q4827" s="23"/>
      <c r="R4827" s="23"/>
      <c r="S4827" s="23"/>
      <c r="T4827" s="23"/>
      <c r="U4827" s="23"/>
      <c r="V4827" s="23"/>
      <c r="W4827" s="23"/>
      <c r="X4827" s="23"/>
      <c r="Y4827" s="23"/>
      <c r="Z4827" s="23"/>
    </row>
    <row r="4828" spans="1:26" ht="13">
      <c r="A4828" s="562" t="s">
        <v>10364</v>
      </c>
      <c r="B4828" s="563" t="s">
        <v>10365</v>
      </c>
      <c r="C4828" s="564" t="s">
        <v>1612</v>
      </c>
      <c r="D4828" s="565">
        <v>39652</v>
      </c>
      <c r="E4828" s="565">
        <v>39660</v>
      </c>
      <c r="F4828" s="567">
        <v>730</v>
      </c>
      <c r="G4828" s="564" t="s">
        <v>297</v>
      </c>
      <c r="H4828" s="564"/>
      <c r="I4828" s="564" t="s">
        <v>802</v>
      </c>
      <c r="J4828" s="564" t="s">
        <v>1069</v>
      </c>
      <c r="K4828" s="564" t="s">
        <v>1198</v>
      </c>
      <c r="L4828" s="564" t="s">
        <v>2098</v>
      </c>
      <c r="M4828" s="564" t="s">
        <v>2098</v>
      </c>
      <c r="N4828" s="564" t="s">
        <v>132</v>
      </c>
      <c r="O4828" s="564" t="s">
        <v>2099</v>
      </c>
      <c r="P4828" s="23"/>
      <c r="Q4828" s="23"/>
      <c r="R4828" s="23"/>
      <c r="S4828" s="23"/>
      <c r="T4828" s="23"/>
      <c r="U4828" s="23"/>
      <c r="V4828" s="23"/>
      <c r="W4828" s="23"/>
      <c r="X4828" s="23"/>
      <c r="Y4828" s="23"/>
      <c r="Z4828" s="23"/>
    </row>
    <row r="4829" spans="1:26" ht="13">
      <c r="A4829" s="562" t="s">
        <v>10366</v>
      </c>
      <c r="B4829" s="563" t="s">
        <v>10367</v>
      </c>
      <c r="C4829" s="564" t="s">
        <v>1612</v>
      </c>
      <c r="D4829" s="565">
        <v>39652</v>
      </c>
      <c r="E4829" s="565">
        <v>39660</v>
      </c>
      <c r="F4829" s="566">
        <v>12760</v>
      </c>
      <c r="G4829" s="564" t="s">
        <v>297</v>
      </c>
      <c r="H4829" s="564"/>
      <c r="I4829" s="564" t="s">
        <v>802</v>
      </c>
      <c r="J4829" s="564" t="s">
        <v>1069</v>
      </c>
      <c r="K4829" s="564" t="s">
        <v>1198</v>
      </c>
      <c r="L4829" s="564" t="s">
        <v>2098</v>
      </c>
      <c r="M4829" s="564" t="s">
        <v>2098</v>
      </c>
      <c r="N4829" s="564" t="s">
        <v>132</v>
      </c>
      <c r="O4829" s="564" t="s">
        <v>2099</v>
      </c>
      <c r="P4829" s="23"/>
      <c r="Q4829" s="23"/>
      <c r="R4829" s="23"/>
      <c r="S4829" s="23"/>
      <c r="T4829" s="23"/>
      <c r="U4829" s="23"/>
      <c r="V4829" s="23"/>
      <c r="W4829" s="23"/>
      <c r="X4829" s="23"/>
      <c r="Y4829" s="23"/>
      <c r="Z4829" s="23"/>
    </row>
    <row r="4830" spans="1:26" ht="13">
      <c r="A4830" s="562" t="s">
        <v>10368</v>
      </c>
      <c r="B4830" s="563" t="s">
        <v>10369</v>
      </c>
      <c r="C4830" s="564" t="s">
        <v>1612</v>
      </c>
      <c r="D4830" s="565">
        <v>39650</v>
      </c>
      <c r="E4830" s="565">
        <v>39660</v>
      </c>
      <c r="F4830" s="566">
        <v>22071</v>
      </c>
      <c r="G4830" s="564" t="s">
        <v>297</v>
      </c>
      <c r="H4830" s="564"/>
      <c r="I4830" s="564" t="s">
        <v>7259</v>
      </c>
      <c r="J4830" s="564" t="s">
        <v>1069</v>
      </c>
      <c r="K4830" s="564" t="s">
        <v>1070</v>
      </c>
      <c r="L4830" s="564" t="s">
        <v>2098</v>
      </c>
      <c r="M4830" s="564" t="s">
        <v>2098</v>
      </c>
      <c r="N4830" s="564" t="s">
        <v>1082</v>
      </c>
      <c r="O4830" s="564" t="s">
        <v>2099</v>
      </c>
      <c r="P4830" s="23"/>
      <c r="Q4830" s="23"/>
      <c r="R4830" s="23"/>
      <c r="S4830" s="23"/>
      <c r="T4830" s="23"/>
      <c r="U4830" s="23"/>
      <c r="V4830" s="23"/>
      <c r="W4830" s="23"/>
      <c r="X4830" s="23"/>
      <c r="Y4830" s="23"/>
      <c r="Z4830" s="23"/>
    </row>
    <row r="4831" spans="1:26" ht="13">
      <c r="A4831" s="562" t="s">
        <v>10370</v>
      </c>
      <c r="B4831" s="563" t="s">
        <v>10371</v>
      </c>
      <c r="C4831" s="564" t="s">
        <v>1612</v>
      </c>
      <c r="D4831" s="565">
        <v>39645</v>
      </c>
      <c r="E4831" s="565">
        <v>39654</v>
      </c>
      <c r="F4831" s="566">
        <v>2620</v>
      </c>
      <c r="G4831" s="564" t="s">
        <v>297</v>
      </c>
      <c r="H4831" s="564"/>
      <c r="I4831" s="564" t="s">
        <v>802</v>
      </c>
      <c r="J4831" s="564" t="s">
        <v>1069</v>
      </c>
      <c r="K4831" s="564" t="s">
        <v>1198</v>
      </c>
      <c r="L4831" s="564" t="s">
        <v>2098</v>
      </c>
      <c r="M4831" s="564" t="s">
        <v>2098</v>
      </c>
      <c r="N4831" s="564" t="s">
        <v>132</v>
      </c>
      <c r="O4831" s="564" t="s">
        <v>2099</v>
      </c>
      <c r="P4831" s="23"/>
      <c r="Q4831" s="23"/>
      <c r="R4831" s="23"/>
      <c r="S4831" s="23"/>
      <c r="T4831" s="23"/>
      <c r="U4831" s="23"/>
      <c r="V4831" s="23"/>
      <c r="W4831" s="23"/>
      <c r="X4831" s="23"/>
      <c r="Y4831" s="23"/>
      <c r="Z4831" s="23"/>
    </row>
    <row r="4832" spans="1:26" ht="13">
      <c r="A4832" s="562" t="s">
        <v>10372</v>
      </c>
      <c r="B4832" s="563" t="s">
        <v>9778</v>
      </c>
      <c r="C4832" s="564" t="s">
        <v>6860</v>
      </c>
      <c r="D4832" s="565">
        <v>39643</v>
      </c>
      <c r="E4832" s="565">
        <v>39903</v>
      </c>
      <c r="F4832" s="566">
        <v>1186000</v>
      </c>
      <c r="G4832" s="564" t="s">
        <v>2168</v>
      </c>
      <c r="H4832" s="564"/>
      <c r="I4832" s="564" t="s">
        <v>10234</v>
      </c>
      <c r="J4832" s="564" t="s">
        <v>1069</v>
      </c>
      <c r="K4832" s="564" t="s">
        <v>1070</v>
      </c>
      <c r="L4832" s="564" t="s">
        <v>2098</v>
      </c>
      <c r="M4832" s="564" t="s">
        <v>2098</v>
      </c>
      <c r="N4832" s="564" t="s">
        <v>1082</v>
      </c>
      <c r="O4832" s="564" t="s">
        <v>2099</v>
      </c>
      <c r="P4832" s="23"/>
      <c r="Q4832" s="23"/>
      <c r="R4832" s="23"/>
      <c r="S4832" s="23"/>
      <c r="T4832" s="23"/>
      <c r="U4832" s="23"/>
      <c r="V4832" s="23"/>
      <c r="W4832" s="23"/>
      <c r="X4832" s="23"/>
      <c r="Y4832" s="23"/>
      <c r="Z4832" s="23"/>
    </row>
    <row r="4833" spans="1:26" ht="13">
      <c r="A4833" s="562" t="s">
        <v>10373</v>
      </c>
      <c r="B4833" s="563" t="s">
        <v>10374</v>
      </c>
      <c r="C4833" s="564" t="s">
        <v>1612</v>
      </c>
      <c r="D4833" s="565">
        <v>39639</v>
      </c>
      <c r="E4833" s="565">
        <v>39645</v>
      </c>
      <c r="F4833" s="566">
        <v>3200</v>
      </c>
      <c r="G4833" s="564" t="s">
        <v>297</v>
      </c>
      <c r="H4833" s="564"/>
      <c r="I4833" s="564" t="s">
        <v>45</v>
      </c>
      <c r="J4833" s="564" t="s">
        <v>1069</v>
      </c>
      <c r="K4833" s="564" t="s">
        <v>1090</v>
      </c>
      <c r="L4833" s="564" t="s">
        <v>2098</v>
      </c>
      <c r="M4833" s="564" t="s">
        <v>2098</v>
      </c>
      <c r="N4833" s="564" t="s">
        <v>45</v>
      </c>
      <c r="O4833" s="564" t="s">
        <v>2099</v>
      </c>
      <c r="P4833" s="23"/>
      <c r="Q4833" s="23"/>
      <c r="R4833" s="23"/>
      <c r="S4833" s="23"/>
      <c r="T4833" s="23"/>
      <c r="U4833" s="23"/>
      <c r="V4833" s="23"/>
      <c r="W4833" s="23"/>
      <c r="X4833" s="23"/>
      <c r="Y4833" s="23"/>
      <c r="Z4833" s="23"/>
    </row>
    <row r="4834" spans="1:26" ht="13">
      <c r="A4834" s="562" t="s">
        <v>10375</v>
      </c>
      <c r="B4834" s="563" t="s">
        <v>10376</v>
      </c>
      <c r="C4834" s="564" t="s">
        <v>1612</v>
      </c>
      <c r="D4834" s="565">
        <v>39638</v>
      </c>
      <c r="E4834" s="565">
        <v>39643</v>
      </c>
      <c r="F4834" s="566">
        <v>9198</v>
      </c>
      <c r="G4834" s="564" t="s">
        <v>297</v>
      </c>
      <c r="H4834" s="564"/>
      <c r="I4834" s="564" t="s">
        <v>70</v>
      </c>
      <c r="J4834" s="564" t="s">
        <v>1069</v>
      </c>
      <c r="K4834" s="564" t="s">
        <v>1120</v>
      </c>
      <c r="L4834" s="564" t="s">
        <v>2098</v>
      </c>
      <c r="M4834" s="564" t="s">
        <v>2098</v>
      </c>
      <c r="N4834" s="564" t="s">
        <v>70</v>
      </c>
      <c r="O4834" s="564" t="s">
        <v>2099</v>
      </c>
      <c r="P4834" s="23"/>
      <c r="Q4834" s="23"/>
      <c r="R4834" s="23"/>
      <c r="S4834" s="23"/>
      <c r="T4834" s="23"/>
      <c r="U4834" s="23"/>
      <c r="V4834" s="23"/>
      <c r="W4834" s="23"/>
      <c r="X4834" s="23"/>
      <c r="Y4834" s="23"/>
      <c r="Z4834" s="23"/>
    </row>
    <row r="4835" spans="1:26" ht="13">
      <c r="A4835" s="562" t="s">
        <v>10377</v>
      </c>
      <c r="B4835" s="563" t="s">
        <v>10378</v>
      </c>
      <c r="C4835" s="564" t="s">
        <v>2191</v>
      </c>
      <c r="D4835" s="565">
        <v>39638</v>
      </c>
      <c r="E4835" s="565">
        <v>39645</v>
      </c>
      <c r="F4835" s="566">
        <v>5225</v>
      </c>
      <c r="G4835" s="564" t="s">
        <v>297</v>
      </c>
      <c r="H4835" s="564"/>
      <c r="I4835" s="564" t="s">
        <v>10379</v>
      </c>
      <c r="J4835" s="564" t="s">
        <v>1069</v>
      </c>
      <c r="K4835" s="564" t="s">
        <v>1070</v>
      </c>
      <c r="L4835" s="564" t="s">
        <v>2098</v>
      </c>
      <c r="M4835" s="564" t="s">
        <v>2098</v>
      </c>
      <c r="N4835" s="564" t="s">
        <v>1082</v>
      </c>
      <c r="O4835" s="564" t="s">
        <v>2099</v>
      </c>
      <c r="P4835" s="23"/>
      <c r="Q4835" s="23"/>
      <c r="R4835" s="23"/>
      <c r="S4835" s="23"/>
      <c r="T4835" s="23"/>
      <c r="U4835" s="23"/>
      <c r="V4835" s="23"/>
      <c r="W4835" s="23"/>
      <c r="X4835" s="23"/>
      <c r="Y4835" s="23"/>
      <c r="Z4835" s="23"/>
    </row>
    <row r="4836" spans="1:26" ht="13">
      <c r="A4836" s="562" t="s">
        <v>10380</v>
      </c>
      <c r="B4836" s="563" t="s">
        <v>10381</v>
      </c>
      <c r="C4836" s="564" t="s">
        <v>1612</v>
      </c>
      <c r="D4836" s="565">
        <v>39637</v>
      </c>
      <c r="E4836" s="565">
        <v>39644</v>
      </c>
      <c r="F4836" s="566">
        <v>11155</v>
      </c>
      <c r="G4836" s="564" t="s">
        <v>297</v>
      </c>
      <c r="H4836" s="564"/>
      <c r="I4836" s="564" t="s">
        <v>64</v>
      </c>
      <c r="J4836" s="564" t="s">
        <v>1069</v>
      </c>
      <c r="K4836" s="564" t="s">
        <v>1090</v>
      </c>
      <c r="L4836" s="564" t="s">
        <v>2098</v>
      </c>
      <c r="M4836" s="564" t="s">
        <v>2098</v>
      </c>
      <c r="N4836" s="564" t="s">
        <v>64</v>
      </c>
      <c r="O4836" s="564" t="s">
        <v>2099</v>
      </c>
      <c r="P4836" s="23"/>
      <c r="Q4836" s="23"/>
      <c r="R4836" s="23"/>
      <c r="S4836" s="23"/>
      <c r="T4836" s="23"/>
      <c r="U4836" s="23"/>
      <c r="V4836" s="23"/>
      <c r="W4836" s="23"/>
      <c r="X4836" s="23"/>
      <c r="Y4836" s="23"/>
      <c r="Z4836" s="23"/>
    </row>
    <row r="4837" spans="1:26" ht="13">
      <c r="A4837" s="562" t="s">
        <v>10382</v>
      </c>
      <c r="B4837" s="563" t="s">
        <v>10383</v>
      </c>
      <c r="C4837" s="564" t="s">
        <v>1612</v>
      </c>
      <c r="D4837" s="565">
        <v>39637</v>
      </c>
      <c r="E4837" s="565">
        <v>39645</v>
      </c>
      <c r="F4837" s="566">
        <v>4960</v>
      </c>
      <c r="G4837" s="564" t="s">
        <v>297</v>
      </c>
      <c r="H4837" s="564"/>
      <c r="I4837" s="564" t="s">
        <v>802</v>
      </c>
      <c r="J4837" s="564" t="s">
        <v>1069</v>
      </c>
      <c r="K4837" s="564" t="s">
        <v>1198</v>
      </c>
      <c r="L4837" s="564" t="s">
        <v>2098</v>
      </c>
      <c r="M4837" s="564" t="s">
        <v>2098</v>
      </c>
      <c r="N4837" s="564" t="s">
        <v>132</v>
      </c>
      <c r="O4837" s="564" t="s">
        <v>2099</v>
      </c>
      <c r="P4837" s="23"/>
      <c r="Q4837" s="23"/>
      <c r="R4837" s="23"/>
      <c r="S4837" s="23"/>
      <c r="T4837" s="23"/>
      <c r="U4837" s="23"/>
      <c r="V4837" s="23"/>
      <c r="W4837" s="23"/>
      <c r="X4837" s="23"/>
      <c r="Y4837" s="23"/>
      <c r="Z4837" s="23"/>
    </row>
    <row r="4838" spans="1:26" ht="13">
      <c r="A4838" s="562" t="s">
        <v>10384</v>
      </c>
      <c r="B4838" s="563" t="s">
        <v>10385</v>
      </c>
      <c r="C4838" s="564" t="s">
        <v>2191</v>
      </c>
      <c r="D4838" s="565">
        <v>39636</v>
      </c>
      <c r="E4838" s="565">
        <v>39640</v>
      </c>
      <c r="F4838" s="566">
        <v>1690</v>
      </c>
      <c r="G4838" s="564" t="s">
        <v>297</v>
      </c>
      <c r="H4838" s="564"/>
      <c r="I4838" s="564" t="s">
        <v>6168</v>
      </c>
      <c r="J4838" s="564" t="s">
        <v>1069</v>
      </c>
      <c r="K4838" s="564" t="s">
        <v>1090</v>
      </c>
      <c r="L4838" s="564" t="s">
        <v>2098</v>
      </c>
      <c r="M4838" s="564" t="s">
        <v>2098</v>
      </c>
      <c r="N4838" s="564" t="s">
        <v>1082</v>
      </c>
      <c r="O4838" s="564" t="s">
        <v>2099</v>
      </c>
      <c r="P4838" s="23"/>
      <c r="Q4838" s="23"/>
      <c r="R4838" s="23"/>
      <c r="S4838" s="23"/>
      <c r="T4838" s="23"/>
      <c r="U4838" s="23"/>
      <c r="V4838" s="23"/>
      <c r="W4838" s="23"/>
      <c r="X4838" s="23"/>
      <c r="Y4838" s="23"/>
      <c r="Z4838" s="23"/>
    </row>
    <row r="4839" spans="1:26" ht="13">
      <c r="A4839" s="562" t="s">
        <v>10386</v>
      </c>
      <c r="B4839" s="563" t="s">
        <v>10387</v>
      </c>
      <c r="C4839" s="564" t="s">
        <v>1612</v>
      </c>
      <c r="D4839" s="565">
        <v>39636</v>
      </c>
      <c r="E4839" s="565">
        <v>39647</v>
      </c>
      <c r="F4839" s="567">
        <v>190</v>
      </c>
      <c r="G4839" s="564" t="s">
        <v>297</v>
      </c>
      <c r="H4839" s="564"/>
      <c r="I4839" s="564" t="s">
        <v>802</v>
      </c>
      <c r="J4839" s="564" t="s">
        <v>1069</v>
      </c>
      <c r="K4839" s="564" t="s">
        <v>1198</v>
      </c>
      <c r="L4839" s="564" t="s">
        <v>2098</v>
      </c>
      <c r="M4839" s="564" t="s">
        <v>2098</v>
      </c>
      <c r="N4839" s="564" t="s">
        <v>132</v>
      </c>
      <c r="O4839" s="564" t="s">
        <v>2099</v>
      </c>
      <c r="P4839" s="23"/>
      <c r="Q4839" s="23"/>
      <c r="R4839" s="23"/>
      <c r="S4839" s="23"/>
      <c r="T4839" s="23"/>
      <c r="U4839" s="23"/>
      <c r="V4839" s="23"/>
      <c r="W4839" s="23"/>
      <c r="X4839" s="23"/>
      <c r="Y4839" s="23"/>
      <c r="Z4839" s="23"/>
    </row>
    <row r="4840" spans="1:26" ht="13">
      <c r="A4840" s="562" t="s">
        <v>10388</v>
      </c>
      <c r="B4840" s="563" t="s">
        <v>10389</v>
      </c>
      <c r="C4840" s="564" t="s">
        <v>1612</v>
      </c>
      <c r="D4840" s="565">
        <v>39633</v>
      </c>
      <c r="E4840" s="565">
        <v>39639</v>
      </c>
      <c r="F4840" s="566">
        <v>95400</v>
      </c>
      <c r="G4840" s="564" t="s">
        <v>297</v>
      </c>
      <c r="H4840" s="564"/>
      <c r="I4840" s="564" t="s">
        <v>9432</v>
      </c>
      <c r="J4840" s="564" t="s">
        <v>1069</v>
      </c>
      <c r="K4840" s="564" t="s">
        <v>1090</v>
      </c>
      <c r="L4840" s="564" t="s">
        <v>2098</v>
      </c>
      <c r="M4840" s="564" t="s">
        <v>2098</v>
      </c>
      <c r="N4840" s="564" t="s">
        <v>45</v>
      </c>
      <c r="O4840" s="564" t="s">
        <v>2099</v>
      </c>
      <c r="P4840" s="23"/>
      <c r="Q4840" s="23"/>
      <c r="R4840" s="23"/>
      <c r="S4840" s="23"/>
      <c r="T4840" s="23"/>
      <c r="U4840" s="23"/>
      <c r="V4840" s="23"/>
      <c r="W4840" s="23"/>
      <c r="X4840" s="23"/>
      <c r="Y4840" s="23"/>
      <c r="Z4840" s="23"/>
    </row>
    <row r="4841" spans="1:26" ht="13">
      <c r="A4841" s="562" t="s">
        <v>10390</v>
      </c>
      <c r="B4841" s="563" t="s">
        <v>10391</v>
      </c>
      <c r="C4841" s="564" t="s">
        <v>1612</v>
      </c>
      <c r="D4841" s="565">
        <v>39633</v>
      </c>
      <c r="E4841" s="565">
        <v>39689</v>
      </c>
      <c r="F4841" s="566">
        <v>42125000</v>
      </c>
      <c r="G4841" s="564" t="s">
        <v>2168</v>
      </c>
      <c r="H4841" s="564"/>
      <c r="I4841" s="564" t="s">
        <v>45</v>
      </c>
      <c r="J4841" s="564" t="s">
        <v>1069</v>
      </c>
      <c r="K4841" s="564" t="s">
        <v>1090</v>
      </c>
      <c r="L4841" s="564" t="s">
        <v>2098</v>
      </c>
      <c r="M4841" s="564" t="s">
        <v>2098</v>
      </c>
      <c r="N4841" s="564" t="s">
        <v>45</v>
      </c>
      <c r="O4841" s="564" t="s">
        <v>2099</v>
      </c>
      <c r="P4841" s="23"/>
      <c r="Q4841" s="23"/>
      <c r="R4841" s="23"/>
      <c r="S4841" s="23"/>
      <c r="T4841" s="23"/>
      <c r="U4841" s="23"/>
      <c r="V4841" s="23"/>
      <c r="W4841" s="23"/>
      <c r="X4841" s="23"/>
      <c r="Y4841" s="23"/>
      <c r="Z4841" s="23"/>
    </row>
    <row r="4842" spans="1:26" ht="13">
      <c r="A4842" s="562" t="s">
        <v>10392</v>
      </c>
      <c r="B4842" s="563" t="s">
        <v>10393</v>
      </c>
      <c r="C4842" s="564" t="s">
        <v>1612</v>
      </c>
      <c r="D4842" s="565">
        <v>39633</v>
      </c>
      <c r="E4842" s="565">
        <v>39639</v>
      </c>
      <c r="F4842" s="566">
        <v>7108750</v>
      </c>
      <c r="G4842" s="564" t="s">
        <v>297</v>
      </c>
      <c r="H4842" s="564"/>
      <c r="I4842" s="564" t="s">
        <v>1230</v>
      </c>
      <c r="J4842" s="564" t="s">
        <v>1069</v>
      </c>
      <c r="K4842" s="564" t="s">
        <v>1090</v>
      </c>
      <c r="L4842" s="564" t="s">
        <v>2098</v>
      </c>
      <c r="M4842" s="564" t="s">
        <v>2098</v>
      </c>
      <c r="N4842" s="564" t="s">
        <v>1073</v>
      </c>
      <c r="O4842" s="564" t="s">
        <v>2099</v>
      </c>
      <c r="P4842" s="23"/>
      <c r="Q4842" s="23"/>
      <c r="R4842" s="23"/>
      <c r="S4842" s="23"/>
      <c r="T4842" s="23"/>
      <c r="U4842" s="23"/>
      <c r="V4842" s="23"/>
      <c r="W4842" s="23"/>
      <c r="X4842" s="23"/>
      <c r="Y4842" s="23"/>
      <c r="Z4842" s="23"/>
    </row>
    <row r="4843" spans="1:26" ht="13">
      <c r="A4843" s="562" t="s">
        <v>10394</v>
      </c>
      <c r="B4843" s="563" t="s">
        <v>10395</v>
      </c>
      <c r="C4843" s="564" t="s">
        <v>1612</v>
      </c>
      <c r="D4843" s="565">
        <v>39631</v>
      </c>
      <c r="E4843" s="565">
        <v>39645</v>
      </c>
      <c r="F4843" s="566">
        <v>12931</v>
      </c>
      <c r="G4843" s="564" t="s">
        <v>297</v>
      </c>
      <c r="H4843" s="564"/>
      <c r="I4843" s="564" t="s">
        <v>64</v>
      </c>
      <c r="J4843" s="564" t="s">
        <v>1069</v>
      </c>
      <c r="K4843" s="564" t="s">
        <v>1090</v>
      </c>
      <c r="L4843" s="564" t="s">
        <v>2098</v>
      </c>
      <c r="M4843" s="564" t="s">
        <v>2098</v>
      </c>
      <c r="N4843" s="564" t="s">
        <v>64</v>
      </c>
      <c r="O4843" s="564" t="s">
        <v>2099</v>
      </c>
      <c r="P4843" s="23"/>
      <c r="Q4843" s="23"/>
      <c r="R4843" s="23"/>
      <c r="S4843" s="23"/>
      <c r="T4843" s="23"/>
      <c r="U4843" s="23"/>
      <c r="V4843" s="23"/>
      <c r="W4843" s="23"/>
      <c r="X4843" s="23"/>
      <c r="Y4843" s="23"/>
      <c r="Z4843" s="23"/>
    </row>
    <row r="4844" spans="1:26" ht="13">
      <c r="A4844" s="562" t="s">
        <v>10396</v>
      </c>
      <c r="B4844" s="563" t="s">
        <v>10397</v>
      </c>
      <c r="C4844" s="564" t="s">
        <v>1612</v>
      </c>
      <c r="D4844" s="565">
        <v>39629</v>
      </c>
      <c r="E4844" s="565">
        <v>39633</v>
      </c>
      <c r="F4844" s="566">
        <v>1312500</v>
      </c>
      <c r="G4844" s="564" t="s">
        <v>1856</v>
      </c>
      <c r="H4844" s="564"/>
      <c r="I4844" s="564" t="s">
        <v>70</v>
      </c>
      <c r="J4844" s="564" t="s">
        <v>1069</v>
      </c>
      <c r="K4844" s="564" t="s">
        <v>1120</v>
      </c>
      <c r="L4844" s="564" t="s">
        <v>2098</v>
      </c>
      <c r="M4844" s="564" t="s">
        <v>2098</v>
      </c>
      <c r="N4844" s="564" t="s">
        <v>70</v>
      </c>
      <c r="O4844" s="564" t="s">
        <v>2099</v>
      </c>
      <c r="P4844" s="23"/>
      <c r="Q4844" s="23"/>
      <c r="R4844" s="23"/>
      <c r="S4844" s="23"/>
      <c r="T4844" s="23"/>
      <c r="U4844" s="23"/>
      <c r="V4844" s="23"/>
      <c r="W4844" s="23"/>
      <c r="X4844" s="23"/>
      <c r="Y4844" s="23"/>
      <c r="Z4844" s="23"/>
    </row>
    <row r="4845" spans="1:26" ht="13">
      <c r="A4845" s="562" t="s">
        <v>10398</v>
      </c>
      <c r="B4845" s="563" t="s">
        <v>10399</v>
      </c>
      <c r="C4845" s="564" t="s">
        <v>1612</v>
      </c>
      <c r="D4845" s="565">
        <v>39630</v>
      </c>
      <c r="E4845" s="565">
        <v>39609</v>
      </c>
      <c r="F4845" s="566">
        <v>20966</v>
      </c>
      <c r="G4845" s="564" t="s">
        <v>297</v>
      </c>
      <c r="H4845" s="564"/>
      <c r="I4845" s="564" t="s">
        <v>9250</v>
      </c>
      <c r="J4845" s="564" t="s">
        <v>1069</v>
      </c>
      <c r="K4845" s="564" t="s">
        <v>1090</v>
      </c>
      <c r="L4845" s="564" t="s">
        <v>2098</v>
      </c>
      <c r="M4845" s="564" t="s">
        <v>2098</v>
      </c>
      <c r="N4845" s="564" t="s">
        <v>45</v>
      </c>
      <c r="O4845" s="564" t="s">
        <v>2099</v>
      </c>
      <c r="P4845" s="23"/>
      <c r="Q4845" s="23"/>
      <c r="R4845" s="23"/>
      <c r="S4845" s="23"/>
      <c r="T4845" s="23"/>
      <c r="U4845" s="23"/>
      <c r="V4845" s="23"/>
      <c r="W4845" s="23"/>
      <c r="X4845" s="23"/>
      <c r="Y4845" s="23"/>
      <c r="Z4845" s="23"/>
    </row>
    <row r="4846" spans="1:26" ht="13">
      <c r="A4846" s="562" t="s">
        <v>10400</v>
      </c>
      <c r="B4846" s="563" t="s">
        <v>10401</v>
      </c>
      <c r="C4846" s="564" t="s">
        <v>2191</v>
      </c>
      <c r="D4846" s="565">
        <v>39629</v>
      </c>
      <c r="E4846" s="565">
        <v>39629</v>
      </c>
      <c r="F4846" s="566">
        <v>43700000</v>
      </c>
      <c r="G4846" s="564" t="s">
        <v>1912</v>
      </c>
      <c r="H4846" s="564"/>
      <c r="I4846" s="564" t="s">
        <v>8659</v>
      </c>
      <c r="J4846" s="564" t="s">
        <v>1069</v>
      </c>
      <c r="K4846" s="564" t="s">
        <v>1205</v>
      </c>
      <c r="L4846" s="564" t="s">
        <v>2098</v>
      </c>
      <c r="M4846" s="564" t="s">
        <v>2098</v>
      </c>
      <c r="N4846" s="564" t="s">
        <v>1073</v>
      </c>
      <c r="O4846" s="564" t="s">
        <v>2099</v>
      </c>
      <c r="P4846" s="23"/>
      <c r="Q4846" s="23"/>
      <c r="R4846" s="23"/>
      <c r="S4846" s="23"/>
      <c r="T4846" s="23"/>
      <c r="U4846" s="23"/>
      <c r="V4846" s="23"/>
      <c r="W4846" s="23"/>
      <c r="X4846" s="23"/>
      <c r="Y4846" s="23"/>
      <c r="Z4846" s="23"/>
    </row>
    <row r="4847" spans="1:26" ht="13">
      <c r="A4847" s="562" t="s">
        <v>10402</v>
      </c>
      <c r="B4847" s="563" t="s">
        <v>5810</v>
      </c>
      <c r="C4847" s="564" t="s">
        <v>1612</v>
      </c>
      <c r="D4847" s="565">
        <v>39626</v>
      </c>
      <c r="E4847" s="565">
        <v>39631</v>
      </c>
      <c r="F4847" s="566">
        <v>4380</v>
      </c>
      <c r="G4847" s="564" t="s">
        <v>297</v>
      </c>
      <c r="H4847" s="564"/>
      <c r="I4847" s="564" t="s">
        <v>70</v>
      </c>
      <c r="J4847" s="564" t="s">
        <v>1069</v>
      </c>
      <c r="K4847" s="564" t="s">
        <v>1120</v>
      </c>
      <c r="L4847" s="564" t="s">
        <v>2098</v>
      </c>
      <c r="M4847" s="564" t="s">
        <v>2098</v>
      </c>
      <c r="N4847" s="564" t="s">
        <v>70</v>
      </c>
      <c r="O4847" s="564" t="s">
        <v>2099</v>
      </c>
      <c r="P4847" s="23"/>
      <c r="Q4847" s="23"/>
      <c r="R4847" s="23"/>
      <c r="S4847" s="23"/>
      <c r="T4847" s="23"/>
      <c r="U4847" s="23"/>
      <c r="V4847" s="23"/>
      <c r="W4847" s="23"/>
      <c r="X4847" s="23"/>
      <c r="Y4847" s="23"/>
      <c r="Z4847" s="23"/>
    </row>
    <row r="4848" spans="1:26" ht="13">
      <c r="A4848" s="562" t="s">
        <v>10403</v>
      </c>
      <c r="B4848" s="563" t="s">
        <v>10385</v>
      </c>
      <c r="C4848" s="564" t="s">
        <v>2191</v>
      </c>
      <c r="D4848" s="565">
        <v>39625</v>
      </c>
      <c r="E4848" s="565">
        <v>39629</v>
      </c>
      <c r="F4848" s="566">
        <v>3850</v>
      </c>
      <c r="G4848" s="564" t="s">
        <v>297</v>
      </c>
      <c r="H4848" s="564"/>
      <c r="I4848" s="564" t="s">
        <v>6168</v>
      </c>
      <c r="J4848" s="564" t="s">
        <v>1069</v>
      </c>
      <c r="K4848" s="564" t="s">
        <v>1090</v>
      </c>
      <c r="L4848" s="564" t="s">
        <v>2098</v>
      </c>
      <c r="M4848" s="564" t="s">
        <v>2098</v>
      </c>
      <c r="N4848" s="564" t="s">
        <v>1082</v>
      </c>
      <c r="O4848" s="564" t="s">
        <v>2099</v>
      </c>
      <c r="P4848" s="23"/>
      <c r="Q4848" s="23"/>
      <c r="R4848" s="23"/>
      <c r="S4848" s="23"/>
      <c r="T4848" s="23"/>
      <c r="U4848" s="23"/>
      <c r="V4848" s="23"/>
      <c r="W4848" s="23"/>
      <c r="X4848" s="23"/>
      <c r="Y4848" s="23"/>
      <c r="Z4848" s="23"/>
    </row>
    <row r="4849" spans="1:26" ht="13">
      <c r="A4849" s="562" t="s">
        <v>10404</v>
      </c>
      <c r="B4849" s="563" t="s">
        <v>10405</v>
      </c>
      <c r="C4849" s="564" t="s">
        <v>1612</v>
      </c>
      <c r="D4849" s="565">
        <v>39625</v>
      </c>
      <c r="E4849" s="565">
        <v>39633</v>
      </c>
      <c r="F4849" s="566">
        <v>8985</v>
      </c>
      <c r="G4849" s="564" t="s">
        <v>297</v>
      </c>
      <c r="H4849" s="564"/>
      <c r="I4849" s="564" t="s">
        <v>802</v>
      </c>
      <c r="J4849" s="564" t="s">
        <v>1069</v>
      </c>
      <c r="K4849" s="564" t="s">
        <v>1198</v>
      </c>
      <c r="L4849" s="564" t="s">
        <v>2098</v>
      </c>
      <c r="M4849" s="564" t="s">
        <v>2098</v>
      </c>
      <c r="N4849" s="564" t="s">
        <v>132</v>
      </c>
      <c r="O4849" s="564" t="s">
        <v>2099</v>
      </c>
      <c r="P4849" s="23"/>
      <c r="Q4849" s="23"/>
      <c r="R4849" s="23"/>
      <c r="S4849" s="23"/>
      <c r="T4849" s="23"/>
      <c r="U4849" s="23"/>
      <c r="V4849" s="23"/>
      <c r="W4849" s="23"/>
      <c r="X4849" s="23"/>
      <c r="Y4849" s="23"/>
      <c r="Z4849" s="23"/>
    </row>
    <row r="4850" spans="1:26" ht="13">
      <c r="A4850" s="562" t="s">
        <v>10406</v>
      </c>
      <c r="B4850" s="563" t="s">
        <v>10407</v>
      </c>
      <c r="C4850" s="564" t="s">
        <v>1612</v>
      </c>
      <c r="D4850" s="565">
        <v>39625</v>
      </c>
      <c r="E4850" s="565">
        <v>39640</v>
      </c>
      <c r="F4850" s="566">
        <v>168000</v>
      </c>
      <c r="G4850" s="564" t="s">
        <v>297</v>
      </c>
      <c r="H4850" s="564"/>
      <c r="I4850" s="564" t="s">
        <v>802</v>
      </c>
      <c r="J4850" s="564" t="s">
        <v>1069</v>
      </c>
      <c r="K4850" s="564" t="s">
        <v>1198</v>
      </c>
      <c r="L4850" s="564" t="s">
        <v>2098</v>
      </c>
      <c r="M4850" s="564" t="s">
        <v>2098</v>
      </c>
      <c r="N4850" s="564" t="s">
        <v>132</v>
      </c>
      <c r="O4850" s="564" t="s">
        <v>2099</v>
      </c>
      <c r="P4850" s="23"/>
      <c r="Q4850" s="23"/>
      <c r="R4850" s="23"/>
      <c r="S4850" s="23"/>
      <c r="T4850" s="23"/>
      <c r="U4850" s="23"/>
      <c r="V4850" s="23"/>
      <c r="W4850" s="23"/>
      <c r="X4850" s="23"/>
      <c r="Y4850" s="23"/>
      <c r="Z4850" s="23"/>
    </row>
    <row r="4851" spans="1:26" ht="13">
      <c r="A4851" s="562" t="s">
        <v>10408</v>
      </c>
      <c r="B4851" s="563" t="s">
        <v>10259</v>
      </c>
      <c r="C4851" s="564" t="s">
        <v>1612</v>
      </c>
      <c r="D4851" s="565">
        <v>39624</v>
      </c>
      <c r="E4851" s="565">
        <v>39633</v>
      </c>
      <c r="F4851" s="566">
        <v>15492</v>
      </c>
      <c r="G4851" s="564" t="s">
        <v>297</v>
      </c>
      <c r="H4851" s="564"/>
      <c r="I4851" s="564" t="s">
        <v>9250</v>
      </c>
      <c r="J4851" s="564" t="s">
        <v>1069</v>
      </c>
      <c r="K4851" s="564" t="s">
        <v>1090</v>
      </c>
      <c r="L4851" s="564" t="s">
        <v>2098</v>
      </c>
      <c r="M4851" s="564" t="s">
        <v>2098</v>
      </c>
      <c r="N4851" s="564" t="s">
        <v>45</v>
      </c>
      <c r="O4851" s="564" t="s">
        <v>2099</v>
      </c>
      <c r="P4851" s="23"/>
      <c r="Q4851" s="23"/>
      <c r="R4851" s="23"/>
      <c r="S4851" s="23"/>
      <c r="T4851" s="23"/>
      <c r="U4851" s="23"/>
      <c r="V4851" s="23"/>
      <c r="W4851" s="23"/>
      <c r="X4851" s="23"/>
      <c r="Y4851" s="23"/>
      <c r="Z4851" s="23"/>
    </row>
    <row r="4852" spans="1:26" ht="13">
      <c r="A4852" s="562" t="s">
        <v>10409</v>
      </c>
      <c r="B4852" s="563" t="s">
        <v>10348</v>
      </c>
      <c r="C4852" s="564" t="s">
        <v>6860</v>
      </c>
      <c r="D4852" s="565">
        <v>39620</v>
      </c>
      <c r="E4852" s="565">
        <v>39624</v>
      </c>
      <c r="F4852" s="566">
        <v>22702650</v>
      </c>
      <c r="G4852" s="564" t="s">
        <v>2168</v>
      </c>
      <c r="H4852" s="564" t="s">
        <v>2168</v>
      </c>
      <c r="I4852" s="564" t="s">
        <v>9860</v>
      </c>
      <c r="J4852" s="564" t="s">
        <v>1069</v>
      </c>
      <c r="K4852" s="564" t="s">
        <v>1070</v>
      </c>
      <c r="L4852" s="564" t="s">
        <v>2098</v>
      </c>
      <c r="M4852" s="564" t="s">
        <v>2098</v>
      </c>
      <c r="N4852" s="564" t="s">
        <v>1082</v>
      </c>
      <c r="O4852" s="564" t="s">
        <v>2099</v>
      </c>
      <c r="P4852" s="23"/>
      <c r="Q4852" s="23"/>
      <c r="R4852" s="23"/>
      <c r="S4852" s="23"/>
      <c r="T4852" s="23"/>
      <c r="U4852" s="23"/>
      <c r="V4852" s="23"/>
      <c r="W4852" s="23"/>
      <c r="X4852" s="23"/>
      <c r="Y4852" s="23"/>
      <c r="Z4852" s="23"/>
    </row>
    <row r="4853" spans="1:26" ht="13">
      <c r="A4853" s="562" t="s">
        <v>10410</v>
      </c>
      <c r="B4853" s="563" t="s">
        <v>10411</v>
      </c>
      <c r="C4853" s="564" t="s">
        <v>1612</v>
      </c>
      <c r="D4853" s="565">
        <v>39617</v>
      </c>
      <c r="E4853" s="565">
        <v>39619</v>
      </c>
      <c r="F4853" s="566">
        <v>2710</v>
      </c>
      <c r="G4853" s="564" t="s">
        <v>297</v>
      </c>
      <c r="H4853" s="564"/>
      <c r="I4853" s="564" t="s">
        <v>70</v>
      </c>
      <c r="J4853" s="564" t="s">
        <v>1069</v>
      </c>
      <c r="K4853" s="564" t="s">
        <v>1120</v>
      </c>
      <c r="L4853" s="564" t="s">
        <v>2098</v>
      </c>
      <c r="M4853" s="564" t="s">
        <v>2098</v>
      </c>
      <c r="N4853" s="564" t="s">
        <v>70</v>
      </c>
      <c r="O4853" s="564" t="s">
        <v>2099</v>
      </c>
      <c r="P4853" s="23"/>
      <c r="Q4853" s="23"/>
      <c r="R4853" s="23"/>
      <c r="S4853" s="23"/>
      <c r="T4853" s="23"/>
      <c r="U4853" s="23"/>
      <c r="V4853" s="23"/>
      <c r="W4853" s="23"/>
      <c r="X4853" s="23"/>
      <c r="Y4853" s="23"/>
      <c r="Z4853" s="23"/>
    </row>
    <row r="4854" spans="1:26" ht="13">
      <c r="A4854" s="562" t="s">
        <v>10412</v>
      </c>
      <c r="B4854" s="563" t="s">
        <v>10413</v>
      </c>
      <c r="C4854" s="564" t="s">
        <v>1612</v>
      </c>
      <c r="D4854" s="565">
        <v>39617</v>
      </c>
      <c r="E4854" s="565">
        <v>39633</v>
      </c>
      <c r="F4854" s="566">
        <v>27000</v>
      </c>
      <c r="G4854" s="564" t="s">
        <v>297</v>
      </c>
      <c r="H4854" s="564"/>
      <c r="I4854" s="564" t="s">
        <v>802</v>
      </c>
      <c r="J4854" s="564" t="s">
        <v>1069</v>
      </c>
      <c r="K4854" s="564" t="s">
        <v>1198</v>
      </c>
      <c r="L4854" s="564" t="s">
        <v>2098</v>
      </c>
      <c r="M4854" s="564" t="s">
        <v>2098</v>
      </c>
      <c r="N4854" s="564" t="s">
        <v>132</v>
      </c>
      <c r="O4854" s="564" t="s">
        <v>2099</v>
      </c>
      <c r="P4854" s="23"/>
      <c r="Q4854" s="23"/>
      <c r="R4854" s="23"/>
      <c r="S4854" s="23"/>
      <c r="T4854" s="23"/>
      <c r="U4854" s="23"/>
      <c r="V4854" s="23"/>
      <c r="W4854" s="23"/>
      <c r="X4854" s="23"/>
      <c r="Y4854" s="23"/>
      <c r="Z4854" s="23"/>
    </row>
    <row r="4855" spans="1:26" ht="13">
      <c r="A4855" s="562" t="s">
        <v>10414</v>
      </c>
      <c r="B4855" s="563" t="s">
        <v>9876</v>
      </c>
      <c r="C4855" s="564" t="s">
        <v>1612</v>
      </c>
      <c r="D4855" s="565">
        <v>39617</v>
      </c>
      <c r="E4855" s="565">
        <v>39632</v>
      </c>
      <c r="F4855" s="566">
        <v>2265</v>
      </c>
      <c r="G4855" s="564" t="s">
        <v>297</v>
      </c>
      <c r="H4855" s="564"/>
      <c r="I4855" s="564" t="s">
        <v>7259</v>
      </c>
      <c r="J4855" s="564" t="s">
        <v>1069</v>
      </c>
      <c r="K4855" s="564" t="s">
        <v>1070</v>
      </c>
      <c r="L4855" s="564" t="s">
        <v>2098</v>
      </c>
      <c r="M4855" s="564" t="s">
        <v>2098</v>
      </c>
      <c r="N4855" s="564" t="s">
        <v>1082</v>
      </c>
      <c r="O4855" s="564" t="s">
        <v>2099</v>
      </c>
      <c r="P4855" s="23"/>
      <c r="Q4855" s="23"/>
      <c r="R4855" s="23"/>
      <c r="S4855" s="23"/>
      <c r="T4855" s="23"/>
      <c r="U4855" s="23"/>
      <c r="V4855" s="23"/>
      <c r="W4855" s="23"/>
      <c r="X4855" s="23"/>
      <c r="Y4855" s="23"/>
      <c r="Z4855" s="23"/>
    </row>
    <row r="4856" spans="1:26" ht="13">
      <c r="A4856" s="562" t="s">
        <v>10415</v>
      </c>
      <c r="B4856" s="563" t="s">
        <v>10416</v>
      </c>
      <c r="C4856" s="564" t="s">
        <v>1612</v>
      </c>
      <c r="D4856" s="565">
        <v>39616</v>
      </c>
      <c r="E4856" s="565">
        <v>39598</v>
      </c>
      <c r="F4856" s="566">
        <v>540000</v>
      </c>
      <c r="G4856" s="564" t="s">
        <v>1912</v>
      </c>
      <c r="H4856" s="564"/>
      <c r="I4856" s="564" t="s">
        <v>45</v>
      </c>
      <c r="J4856" s="564" t="s">
        <v>1069</v>
      </c>
      <c r="K4856" s="564" t="s">
        <v>1090</v>
      </c>
      <c r="L4856" s="564" t="s">
        <v>2098</v>
      </c>
      <c r="M4856" s="564" t="s">
        <v>2098</v>
      </c>
      <c r="N4856" s="564" t="s">
        <v>45</v>
      </c>
      <c r="O4856" s="564" t="s">
        <v>2099</v>
      </c>
      <c r="P4856" s="23"/>
      <c r="Q4856" s="23"/>
      <c r="R4856" s="23"/>
      <c r="S4856" s="23"/>
      <c r="T4856" s="23"/>
      <c r="U4856" s="23"/>
      <c r="V4856" s="23"/>
      <c r="W4856" s="23"/>
      <c r="X4856" s="23"/>
      <c r="Y4856" s="23"/>
      <c r="Z4856" s="23"/>
    </row>
    <row r="4857" spans="1:26" ht="13">
      <c r="A4857" s="562" t="s">
        <v>10417</v>
      </c>
      <c r="B4857" s="563" t="s">
        <v>10418</v>
      </c>
      <c r="C4857" s="564" t="s">
        <v>1612</v>
      </c>
      <c r="D4857" s="565">
        <v>39616</v>
      </c>
      <c r="E4857" s="565">
        <v>39625</v>
      </c>
      <c r="F4857" s="566">
        <v>23092</v>
      </c>
      <c r="G4857" s="564" t="s">
        <v>297</v>
      </c>
      <c r="H4857" s="564"/>
      <c r="I4857" s="564" t="s">
        <v>9250</v>
      </c>
      <c r="J4857" s="564" t="s">
        <v>1069</v>
      </c>
      <c r="K4857" s="564" t="s">
        <v>1090</v>
      </c>
      <c r="L4857" s="564" t="s">
        <v>2098</v>
      </c>
      <c r="M4857" s="564" t="s">
        <v>2098</v>
      </c>
      <c r="N4857" s="564" t="s">
        <v>45</v>
      </c>
      <c r="O4857" s="564" t="s">
        <v>2099</v>
      </c>
      <c r="P4857" s="23"/>
      <c r="Q4857" s="23"/>
      <c r="R4857" s="23"/>
      <c r="S4857" s="23"/>
      <c r="T4857" s="23"/>
      <c r="U4857" s="23"/>
      <c r="V4857" s="23"/>
      <c r="W4857" s="23"/>
      <c r="X4857" s="23"/>
      <c r="Y4857" s="23"/>
      <c r="Z4857" s="23"/>
    </row>
    <row r="4858" spans="1:26" ht="13">
      <c r="A4858" s="562" t="s">
        <v>10419</v>
      </c>
      <c r="B4858" s="563" t="s">
        <v>10411</v>
      </c>
      <c r="C4858" s="564" t="s">
        <v>1612</v>
      </c>
      <c r="D4858" s="565">
        <v>39616</v>
      </c>
      <c r="E4858" s="565">
        <v>39617</v>
      </c>
      <c r="F4858" s="566">
        <v>1980</v>
      </c>
      <c r="G4858" s="564" t="s">
        <v>297</v>
      </c>
      <c r="H4858" s="564"/>
      <c r="I4858" s="564" t="s">
        <v>70</v>
      </c>
      <c r="J4858" s="564" t="s">
        <v>1069</v>
      </c>
      <c r="K4858" s="564" t="s">
        <v>1120</v>
      </c>
      <c r="L4858" s="564" t="s">
        <v>2098</v>
      </c>
      <c r="M4858" s="564" t="s">
        <v>2098</v>
      </c>
      <c r="N4858" s="564" t="s">
        <v>70</v>
      </c>
      <c r="O4858" s="564" t="s">
        <v>2099</v>
      </c>
      <c r="P4858" s="23"/>
      <c r="Q4858" s="23"/>
      <c r="R4858" s="23"/>
      <c r="S4858" s="23"/>
      <c r="T4858" s="23"/>
      <c r="U4858" s="23"/>
      <c r="V4858" s="23"/>
      <c r="W4858" s="23"/>
      <c r="X4858" s="23"/>
      <c r="Y4858" s="23"/>
      <c r="Z4858" s="23"/>
    </row>
    <row r="4859" spans="1:26" ht="13">
      <c r="A4859" s="562" t="s">
        <v>10420</v>
      </c>
      <c r="B4859" s="563" t="s">
        <v>10421</v>
      </c>
      <c r="C4859" s="564" t="s">
        <v>1612</v>
      </c>
      <c r="D4859" s="565">
        <v>39610</v>
      </c>
      <c r="E4859" s="565">
        <v>39623</v>
      </c>
      <c r="F4859" s="566">
        <v>21080</v>
      </c>
      <c r="G4859" s="564" t="s">
        <v>297</v>
      </c>
      <c r="H4859" s="564"/>
      <c r="I4859" s="564" t="s">
        <v>802</v>
      </c>
      <c r="J4859" s="564" t="s">
        <v>1069</v>
      </c>
      <c r="K4859" s="564" t="s">
        <v>1198</v>
      </c>
      <c r="L4859" s="564" t="s">
        <v>2098</v>
      </c>
      <c r="M4859" s="564" t="s">
        <v>2098</v>
      </c>
      <c r="N4859" s="564" t="s">
        <v>132</v>
      </c>
      <c r="O4859" s="564" t="s">
        <v>2099</v>
      </c>
      <c r="P4859" s="23"/>
      <c r="Q4859" s="23"/>
      <c r="R4859" s="23"/>
      <c r="S4859" s="23"/>
      <c r="T4859" s="23"/>
      <c r="U4859" s="23"/>
      <c r="V4859" s="23"/>
      <c r="W4859" s="23"/>
      <c r="X4859" s="23"/>
      <c r="Y4859" s="23"/>
      <c r="Z4859" s="23"/>
    </row>
    <row r="4860" spans="1:26" ht="13">
      <c r="A4860" s="562" t="s">
        <v>10422</v>
      </c>
      <c r="B4860" s="563" t="s">
        <v>10423</v>
      </c>
      <c r="C4860" s="564" t="s">
        <v>1612</v>
      </c>
      <c r="D4860" s="565">
        <v>39610</v>
      </c>
      <c r="E4860" s="565">
        <v>39619</v>
      </c>
      <c r="F4860" s="566">
        <v>1630</v>
      </c>
      <c r="G4860" s="564" t="s">
        <v>297</v>
      </c>
      <c r="H4860" s="564"/>
      <c r="I4860" s="564" t="s">
        <v>7259</v>
      </c>
      <c r="J4860" s="564" t="s">
        <v>1069</v>
      </c>
      <c r="K4860" s="564" t="s">
        <v>1070</v>
      </c>
      <c r="L4860" s="564" t="s">
        <v>2098</v>
      </c>
      <c r="M4860" s="564" t="s">
        <v>2098</v>
      </c>
      <c r="N4860" s="564" t="s">
        <v>1082</v>
      </c>
      <c r="O4860" s="564" t="s">
        <v>2099</v>
      </c>
      <c r="P4860" s="23"/>
      <c r="Q4860" s="23"/>
      <c r="R4860" s="23"/>
      <c r="S4860" s="23"/>
      <c r="T4860" s="23"/>
      <c r="U4860" s="23"/>
      <c r="V4860" s="23"/>
      <c r="W4860" s="23"/>
      <c r="X4860" s="23"/>
      <c r="Y4860" s="23"/>
      <c r="Z4860" s="23"/>
    </row>
    <row r="4861" spans="1:26" ht="13">
      <c r="A4861" s="562" t="s">
        <v>10424</v>
      </c>
      <c r="B4861" s="563" t="s">
        <v>10425</v>
      </c>
      <c r="C4861" s="564" t="s">
        <v>2191</v>
      </c>
      <c r="D4861" s="565">
        <v>39610</v>
      </c>
      <c r="E4861" s="565">
        <v>39617</v>
      </c>
      <c r="F4861" s="566">
        <v>10160</v>
      </c>
      <c r="G4861" s="564" t="s">
        <v>297</v>
      </c>
      <c r="H4861" s="564"/>
      <c r="I4861" s="564" t="s">
        <v>10426</v>
      </c>
      <c r="J4861" s="564" t="s">
        <v>1069</v>
      </c>
      <c r="K4861" s="564" t="s">
        <v>1070</v>
      </c>
      <c r="L4861" s="564" t="s">
        <v>2098</v>
      </c>
      <c r="M4861" s="564" t="s">
        <v>2098</v>
      </c>
      <c r="N4861" s="564" t="s">
        <v>1368</v>
      </c>
      <c r="O4861" s="564" t="s">
        <v>2099</v>
      </c>
      <c r="P4861" s="23"/>
      <c r="Q4861" s="23"/>
      <c r="R4861" s="23"/>
      <c r="S4861" s="23"/>
      <c r="T4861" s="23"/>
      <c r="U4861" s="23"/>
      <c r="V4861" s="23"/>
      <c r="W4861" s="23"/>
      <c r="X4861" s="23"/>
      <c r="Y4861" s="23"/>
      <c r="Z4861" s="23"/>
    </row>
    <row r="4862" spans="1:26" ht="13">
      <c r="A4862" s="562" t="s">
        <v>10427</v>
      </c>
      <c r="B4862" s="563" t="s">
        <v>10020</v>
      </c>
      <c r="C4862" s="564" t="s">
        <v>1612</v>
      </c>
      <c r="D4862" s="565">
        <v>39610</v>
      </c>
      <c r="E4862" s="565">
        <v>39612</v>
      </c>
      <c r="F4862" s="566">
        <v>3593750</v>
      </c>
      <c r="G4862" s="564" t="s">
        <v>1856</v>
      </c>
      <c r="H4862" s="564"/>
      <c r="I4862" s="564" t="s">
        <v>70</v>
      </c>
      <c r="J4862" s="564" t="s">
        <v>1069</v>
      </c>
      <c r="K4862" s="564" t="s">
        <v>1120</v>
      </c>
      <c r="L4862" s="564" t="s">
        <v>2098</v>
      </c>
      <c r="M4862" s="564" t="s">
        <v>2098</v>
      </c>
      <c r="N4862" s="564" t="s">
        <v>70</v>
      </c>
      <c r="O4862" s="564" t="s">
        <v>2099</v>
      </c>
      <c r="P4862" s="23"/>
      <c r="Q4862" s="23"/>
      <c r="R4862" s="23"/>
      <c r="S4862" s="23"/>
      <c r="T4862" s="23"/>
      <c r="U4862" s="23"/>
      <c r="V4862" s="23"/>
      <c r="W4862" s="23"/>
      <c r="X4862" s="23"/>
      <c r="Y4862" s="23"/>
      <c r="Z4862" s="23"/>
    </row>
    <row r="4863" spans="1:26" ht="13">
      <c r="A4863" s="562" t="s">
        <v>10428</v>
      </c>
      <c r="B4863" s="563" t="s">
        <v>10429</v>
      </c>
      <c r="C4863" s="564" t="s">
        <v>1612</v>
      </c>
      <c r="D4863" s="565">
        <v>39601</v>
      </c>
      <c r="E4863" s="565">
        <v>39629</v>
      </c>
      <c r="F4863" s="566">
        <v>10000</v>
      </c>
      <c r="G4863" s="564" t="s">
        <v>297</v>
      </c>
      <c r="H4863" s="564"/>
      <c r="I4863" s="564" t="s">
        <v>45</v>
      </c>
      <c r="J4863" s="564" t="s">
        <v>1069</v>
      </c>
      <c r="K4863" s="564" t="s">
        <v>1090</v>
      </c>
      <c r="L4863" s="564" t="s">
        <v>2098</v>
      </c>
      <c r="M4863" s="564" t="s">
        <v>2098</v>
      </c>
      <c r="N4863" s="564" t="s">
        <v>45</v>
      </c>
      <c r="O4863" s="564" t="s">
        <v>2099</v>
      </c>
      <c r="P4863" s="23"/>
      <c r="Q4863" s="23"/>
      <c r="R4863" s="23"/>
      <c r="S4863" s="23"/>
      <c r="T4863" s="23"/>
      <c r="U4863" s="23"/>
      <c r="V4863" s="23"/>
      <c r="W4863" s="23"/>
      <c r="X4863" s="23"/>
      <c r="Y4863" s="23"/>
      <c r="Z4863" s="23"/>
    </row>
    <row r="4864" spans="1:26" ht="13">
      <c r="A4864" s="562" t="s">
        <v>10430</v>
      </c>
      <c r="B4864" s="563" t="s">
        <v>10431</v>
      </c>
      <c r="C4864" s="564" t="s">
        <v>1612</v>
      </c>
      <c r="D4864" s="565">
        <v>39601</v>
      </c>
      <c r="E4864" s="565">
        <v>39612</v>
      </c>
      <c r="F4864" s="566">
        <v>9000</v>
      </c>
      <c r="G4864" s="564" t="s">
        <v>297</v>
      </c>
      <c r="H4864" s="564"/>
      <c r="I4864" s="564" t="s">
        <v>70</v>
      </c>
      <c r="J4864" s="564" t="s">
        <v>1069</v>
      </c>
      <c r="K4864" s="564" t="s">
        <v>1120</v>
      </c>
      <c r="L4864" s="564" t="s">
        <v>2098</v>
      </c>
      <c r="M4864" s="564" t="s">
        <v>2098</v>
      </c>
      <c r="N4864" s="564" t="s">
        <v>70</v>
      </c>
      <c r="O4864" s="564" t="s">
        <v>2099</v>
      </c>
      <c r="P4864" s="23"/>
      <c r="Q4864" s="23"/>
      <c r="R4864" s="23"/>
      <c r="S4864" s="23"/>
      <c r="T4864" s="23"/>
      <c r="U4864" s="23"/>
      <c r="V4864" s="23"/>
      <c r="W4864" s="23"/>
      <c r="X4864" s="23"/>
      <c r="Y4864" s="23"/>
      <c r="Z4864" s="23"/>
    </row>
    <row r="4865" spans="1:26" ht="13">
      <c r="A4865" s="562" t="s">
        <v>10432</v>
      </c>
      <c r="B4865" s="563" t="s">
        <v>10433</v>
      </c>
      <c r="C4865" s="564" t="s">
        <v>1612</v>
      </c>
      <c r="D4865" s="565">
        <v>39591</v>
      </c>
      <c r="E4865" s="565">
        <v>39609</v>
      </c>
      <c r="F4865" s="566">
        <v>6900000</v>
      </c>
      <c r="G4865" s="564" t="s">
        <v>1912</v>
      </c>
      <c r="H4865" s="564"/>
      <c r="I4865" s="564" t="s">
        <v>45</v>
      </c>
      <c r="J4865" s="564" t="s">
        <v>1069</v>
      </c>
      <c r="K4865" s="564" t="s">
        <v>1090</v>
      </c>
      <c r="L4865" s="564" t="s">
        <v>2098</v>
      </c>
      <c r="M4865" s="564" t="s">
        <v>2098</v>
      </c>
      <c r="N4865" s="564" t="s">
        <v>45</v>
      </c>
      <c r="O4865" s="564" t="s">
        <v>2099</v>
      </c>
      <c r="P4865" s="23"/>
      <c r="Q4865" s="23"/>
      <c r="R4865" s="23"/>
      <c r="S4865" s="23"/>
      <c r="T4865" s="23"/>
      <c r="U4865" s="23"/>
      <c r="V4865" s="23"/>
      <c r="W4865" s="23"/>
      <c r="X4865" s="23"/>
      <c r="Y4865" s="23"/>
      <c r="Z4865" s="23"/>
    </row>
    <row r="4866" spans="1:26" ht="13">
      <c r="A4866" s="562" t="s">
        <v>10434</v>
      </c>
      <c r="B4866" s="563" t="s">
        <v>9876</v>
      </c>
      <c r="C4866" s="564" t="s">
        <v>1612</v>
      </c>
      <c r="D4866" s="565">
        <v>39590</v>
      </c>
      <c r="E4866" s="565">
        <v>39597</v>
      </c>
      <c r="F4866" s="566">
        <v>1590</v>
      </c>
      <c r="G4866" s="564" t="s">
        <v>297</v>
      </c>
      <c r="H4866" s="564"/>
      <c r="I4866" s="564" t="s">
        <v>7259</v>
      </c>
      <c r="J4866" s="564" t="s">
        <v>1069</v>
      </c>
      <c r="K4866" s="564" t="s">
        <v>1070</v>
      </c>
      <c r="L4866" s="564" t="s">
        <v>2098</v>
      </c>
      <c r="M4866" s="564" t="s">
        <v>2098</v>
      </c>
      <c r="N4866" s="564" t="s">
        <v>1082</v>
      </c>
      <c r="O4866" s="564" t="s">
        <v>2099</v>
      </c>
      <c r="P4866" s="23"/>
      <c r="Q4866" s="23"/>
      <c r="R4866" s="23"/>
      <c r="S4866" s="23"/>
      <c r="T4866" s="23"/>
      <c r="U4866" s="23"/>
      <c r="V4866" s="23"/>
      <c r="W4866" s="23"/>
      <c r="X4866" s="23"/>
      <c r="Y4866" s="23"/>
      <c r="Z4866" s="23"/>
    </row>
    <row r="4867" spans="1:26" ht="13">
      <c r="A4867" s="562" t="s">
        <v>10435</v>
      </c>
      <c r="B4867" s="563" t="s">
        <v>10436</v>
      </c>
      <c r="C4867" s="564" t="s">
        <v>1612</v>
      </c>
      <c r="D4867" s="565">
        <v>39590</v>
      </c>
      <c r="E4867" s="565">
        <v>39605</v>
      </c>
      <c r="F4867" s="566">
        <v>10300</v>
      </c>
      <c r="G4867" s="564" t="s">
        <v>297</v>
      </c>
      <c r="H4867" s="564"/>
      <c r="I4867" s="564" t="s">
        <v>802</v>
      </c>
      <c r="J4867" s="564" t="s">
        <v>1069</v>
      </c>
      <c r="K4867" s="564" t="s">
        <v>1198</v>
      </c>
      <c r="L4867" s="564" t="s">
        <v>2098</v>
      </c>
      <c r="M4867" s="564" t="s">
        <v>2098</v>
      </c>
      <c r="N4867" s="564" t="s">
        <v>132</v>
      </c>
      <c r="O4867" s="564" t="s">
        <v>2099</v>
      </c>
      <c r="P4867" s="23"/>
      <c r="Q4867" s="23"/>
      <c r="R4867" s="23"/>
      <c r="S4867" s="23"/>
      <c r="T4867" s="23"/>
      <c r="U4867" s="23"/>
      <c r="V4867" s="23"/>
      <c r="W4867" s="23"/>
      <c r="X4867" s="23"/>
      <c r="Y4867" s="23"/>
      <c r="Z4867" s="23"/>
    </row>
    <row r="4868" spans="1:26" ht="13">
      <c r="A4868" s="562" t="s">
        <v>10437</v>
      </c>
      <c r="B4868" s="563" t="s">
        <v>10438</v>
      </c>
      <c r="C4868" s="564" t="s">
        <v>1612</v>
      </c>
      <c r="D4868" s="565">
        <v>39590</v>
      </c>
      <c r="E4868" s="565">
        <v>39598</v>
      </c>
      <c r="F4868" s="566">
        <v>13070</v>
      </c>
      <c r="G4868" s="564" t="s">
        <v>297</v>
      </c>
      <c r="H4868" s="564"/>
      <c r="I4868" s="564" t="s">
        <v>64</v>
      </c>
      <c r="J4868" s="564" t="s">
        <v>1069</v>
      </c>
      <c r="K4868" s="564" t="s">
        <v>1090</v>
      </c>
      <c r="L4868" s="564" t="s">
        <v>2098</v>
      </c>
      <c r="M4868" s="564" t="s">
        <v>2098</v>
      </c>
      <c r="N4868" s="564" t="s">
        <v>64</v>
      </c>
      <c r="O4868" s="564" t="s">
        <v>2099</v>
      </c>
      <c r="P4868" s="23"/>
      <c r="Q4868" s="23"/>
      <c r="R4868" s="23"/>
      <c r="S4868" s="23"/>
      <c r="T4868" s="23"/>
      <c r="U4868" s="23"/>
      <c r="V4868" s="23"/>
      <c r="W4868" s="23"/>
      <c r="X4868" s="23"/>
      <c r="Y4868" s="23"/>
      <c r="Z4868" s="23"/>
    </row>
    <row r="4869" spans="1:26" ht="13">
      <c r="A4869" s="562" t="s">
        <v>10439</v>
      </c>
      <c r="B4869" s="563" t="s">
        <v>10440</v>
      </c>
      <c r="C4869" s="564" t="s">
        <v>1612</v>
      </c>
      <c r="D4869" s="565">
        <v>39589</v>
      </c>
      <c r="E4869" s="565">
        <v>39609</v>
      </c>
      <c r="F4869" s="566">
        <v>109900</v>
      </c>
      <c r="G4869" s="564" t="s">
        <v>297</v>
      </c>
      <c r="H4869" s="564"/>
      <c r="I4869" s="564" t="s">
        <v>9250</v>
      </c>
      <c r="J4869" s="564" t="s">
        <v>1069</v>
      </c>
      <c r="K4869" s="564" t="s">
        <v>1090</v>
      </c>
      <c r="L4869" s="564" t="s">
        <v>2098</v>
      </c>
      <c r="M4869" s="564" t="s">
        <v>2098</v>
      </c>
      <c r="N4869" s="564" t="s">
        <v>45</v>
      </c>
      <c r="O4869" s="564" t="s">
        <v>2099</v>
      </c>
      <c r="P4869" s="23"/>
      <c r="Q4869" s="23"/>
      <c r="R4869" s="23"/>
      <c r="S4869" s="23"/>
      <c r="T4869" s="23"/>
      <c r="U4869" s="23"/>
      <c r="V4869" s="23"/>
      <c r="W4869" s="23"/>
      <c r="X4869" s="23"/>
      <c r="Y4869" s="23"/>
      <c r="Z4869" s="23"/>
    </row>
    <row r="4870" spans="1:26" ht="13">
      <c r="A4870" s="562" t="s">
        <v>10441</v>
      </c>
      <c r="B4870" s="563" t="s">
        <v>9876</v>
      </c>
      <c r="C4870" s="564" t="s">
        <v>1612</v>
      </c>
      <c r="D4870" s="565">
        <v>39587</v>
      </c>
      <c r="E4870" s="565">
        <v>39591</v>
      </c>
      <c r="F4870" s="566">
        <v>7560</v>
      </c>
      <c r="G4870" s="564" t="s">
        <v>297</v>
      </c>
      <c r="H4870" s="564"/>
      <c r="I4870" s="564" t="s">
        <v>7259</v>
      </c>
      <c r="J4870" s="564" t="s">
        <v>1069</v>
      </c>
      <c r="K4870" s="564" t="s">
        <v>1070</v>
      </c>
      <c r="L4870" s="564" t="s">
        <v>2098</v>
      </c>
      <c r="M4870" s="564" t="s">
        <v>2098</v>
      </c>
      <c r="N4870" s="564" t="s">
        <v>1082</v>
      </c>
      <c r="O4870" s="564" t="s">
        <v>2099</v>
      </c>
      <c r="P4870" s="23"/>
      <c r="Q4870" s="23"/>
      <c r="R4870" s="23"/>
      <c r="S4870" s="23"/>
      <c r="T4870" s="23"/>
      <c r="U4870" s="23"/>
      <c r="V4870" s="23"/>
      <c r="W4870" s="23"/>
      <c r="X4870" s="23"/>
      <c r="Y4870" s="23"/>
      <c r="Z4870" s="23"/>
    </row>
    <row r="4871" spans="1:26" ht="13">
      <c r="A4871" s="562" t="s">
        <v>10442</v>
      </c>
      <c r="B4871" s="563" t="s">
        <v>10423</v>
      </c>
      <c r="C4871" s="564" t="s">
        <v>1612</v>
      </c>
      <c r="D4871" s="565">
        <v>39587</v>
      </c>
      <c r="E4871" s="565">
        <v>39591</v>
      </c>
      <c r="F4871" s="567">
        <v>760</v>
      </c>
      <c r="G4871" s="564" t="s">
        <v>297</v>
      </c>
      <c r="H4871" s="564"/>
      <c r="I4871" s="564" t="s">
        <v>7259</v>
      </c>
      <c r="J4871" s="564" t="s">
        <v>1069</v>
      </c>
      <c r="K4871" s="564" t="s">
        <v>1070</v>
      </c>
      <c r="L4871" s="564" t="s">
        <v>2098</v>
      </c>
      <c r="M4871" s="564" t="s">
        <v>2098</v>
      </c>
      <c r="N4871" s="564" t="s">
        <v>1082</v>
      </c>
      <c r="O4871" s="564" t="s">
        <v>2099</v>
      </c>
      <c r="P4871" s="23"/>
      <c r="Q4871" s="23"/>
      <c r="R4871" s="23"/>
      <c r="S4871" s="23"/>
      <c r="T4871" s="23"/>
      <c r="U4871" s="23"/>
      <c r="V4871" s="23"/>
      <c r="W4871" s="23"/>
      <c r="X4871" s="23"/>
      <c r="Y4871" s="23"/>
      <c r="Z4871" s="23"/>
    </row>
    <row r="4872" spans="1:26" ht="13">
      <c r="A4872" s="562" t="s">
        <v>10443</v>
      </c>
      <c r="B4872" s="563" t="s">
        <v>5810</v>
      </c>
      <c r="C4872" s="564" t="s">
        <v>1612</v>
      </c>
      <c r="D4872" s="565">
        <v>39587</v>
      </c>
      <c r="E4872" s="565">
        <v>39591</v>
      </c>
      <c r="F4872" s="566">
        <v>1460</v>
      </c>
      <c r="G4872" s="564" t="s">
        <v>297</v>
      </c>
      <c r="H4872" s="564"/>
      <c r="I4872" s="564" t="s">
        <v>70</v>
      </c>
      <c r="J4872" s="564" t="s">
        <v>1069</v>
      </c>
      <c r="K4872" s="564" t="s">
        <v>1120</v>
      </c>
      <c r="L4872" s="564" t="s">
        <v>2098</v>
      </c>
      <c r="M4872" s="564" t="s">
        <v>2098</v>
      </c>
      <c r="N4872" s="564" t="s">
        <v>70</v>
      </c>
      <c r="O4872" s="564" t="s">
        <v>2099</v>
      </c>
      <c r="P4872" s="23"/>
      <c r="Q4872" s="23"/>
      <c r="R4872" s="23"/>
      <c r="S4872" s="23"/>
      <c r="T4872" s="23"/>
      <c r="U4872" s="23"/>
      <c r="V4872" s="23"/>
      <c r="W4872" s="23"/>
      <c r="X4872" s="23"/>
      <c r="Y4872" s="23"/>
      <c r="Z4872" s="23"/>
    </row>
    <row r="4873" spans="1:26" ht="13">
      <c r="A4873" s="562" t="s">
        <v>10444</v>
      </c>
      <c r="B4873" s="563" t="s">
        <v>10445</v>
      </c>
      <c r="C4873" s="564" t="s">
        <v>1873</v>
      </c>
      <c r="D4873" s="565">
        <v>39587</v>
      </c>
      <c r="E4873" s="565">
        <v>39591</v>
      </c>
      <c r="F4873" s="567">
        <v>450</v>
      </c>
      <c r="G4873" s="564" t="s">
        <v>297</v>
      </c>
      <c r="H4873" s="564"/>
      <c r="I4873" s="564" t="s">
        <v>170</v>
      </c>
      <c r="J4873" s="564" t="s">
        <v>1069</v>
      </c>
      <c r="K4873" s="564" t="s">
        <v>1105</v>
      </c>
      <c r="L4873" s="564" t="s">
        <v>2098</v>
      </c>
      <c r="M4873" s="564" t="s">
        <v>2098</v>
      </c>
      <c r="N4873" s="564" t="s">
        <v>170</v>
      </c>
      <c r="O4873" s="564" t="s">
        <v>2099</v>
      </c>
      <c r="P4873" s="23"/>
      <c r="Q4873" s="23"/>
      <c r="R4873" s="23"/>
      <c r="S4873" s="23"/>
      <c r="T4873" s="23"/>
      <c r="U4873" s="23"/>
      <c r="V4873" s="23"/>
      <c r="W4873" s="23"/>
      <c r="X4873" s="23"/>
      <c r="Y4873" s="23"/>
      <c r="Z4873" s="23"/>
    </row>
    <row r="4874" spans="1:26" ht="13">
      <c r="A4874" s="562" t="s">
        <v>10446</v>
      </c>
      <c r="B4874" s="563" t="s">
        <v>10447</v>
      </c>
      <c r="C4874" s="564" t="s">
        <v>1612</v>
      </c>
      <c r="D4874" s="565">
        <v>39582</v>
      </c>
      <c r="E4874" s="565">
        <v>39589</v>
      </c>
      <c r="F4874" s="566">
        <v>390000</v>
      </c>
      <c r="G4874" s="564" t="s">
        <v>297</v>
      </c>
      <c r="H4874" s="564"/>
      <c r="I4874" s="564" t="s">
        <v>9250</v>
      </c>
      <c r="J4874" s="564" t="s">
        <v>1069</v>
      </c>
      <c r="K4874" s="564" t="s">
        <v>1090</v>
      </c>
      <c r="L4874" s="564" t="s">
        <v>2098</v>
      </c>
      <c r="M4874" s="564" t="s">
        <v>2098</v>
      </c>
      <c r="N4874" s="564" t="s">
        <v>45</v>
      </c>
      <c r="O4874" s="564" t="s">
        <v>2099</v>
      </c>
      <c r="P4874" s="23"/>
      <c r="Q4874" s="23"/>
      <c r="R4874" s="23"/>
      <c r="S4874" s="23"/>
      <c r="T4874" s="23"/>
      <c r="U4874" s="23"/>
      <c r="V4874" s="23"/>
      <c r="W4874" s="23"/>
      <c r="X4874" s="23"/>
      <c r="Y4874" s="23"/>
      <c r="Z4874" s="23"/>
    </row>
    <row r="4875" spans="1:26" ht="13">
      <c r="A4875" s="562" t="s">
        <v>10448</v>
      </c>
      <c r="B4875" s="563" t="s">
        <v>10449</v>
      </c>
      <c r="C4875" s="564" t="s">
        <v>1612</v>
      </c>
      <c r="D4875" s="565">
        <v>39583</v>
      </c>
      <c r="E4875" s="565">
        <v>39594</v>
      </c>
      <c r="F4875" s="566">
        <v>39990</v>
      </c>
      <c r="G4875" s="564" t="s">
        <v>297</v>
      </c>
      <c r="H4875" s="564"/>
      <c r="I4875" s="564" t="s">
        <v>45</v>
      </c>
      <c r="J4875" s="564" t="s">
        <v>1069</v>
      </c>
      <c r="K4875" s="564" t="s">
        <v>1090</v>
      </c>
      <c r="L4875" s="564" t="s">
        <v>2098</v>
      </c>
      <c r="M4875" s="564" t="s">
        <v>2098</v>
      </c>
      <c r="N4875" s="564" t="s">
        <v>45</v>
      </c>
      <c r="O4875" s="564" t="s">
        <v>2099</v>
      </c>
      <c r="P4875" s="23"/>
      <c r="Q4875" s="23"/>
      <c r="R4875" s="23"/>
      <c r="S4875" s="23"/>
      <c r="T4875" s="23"/>
      <c r="U4875" s="23"/>
      <c r="V4875" s="23"/>
      <c r="W4875" s="23"/>
      <c r="X4875" s="23"/>
      <c r="Y4875" s="23"/>
      <c r="Z4875" s="23"/>
    </row>
    <row r="4876" spans="1:26" ht="13">
      <c r="A4876" s="562" t="s">
        <v>10450</v>
      </c>
      <c r="B4876" s="563" t="s">
        <v>10451</v>
      </c>
      <c r="C4876" s="564" t="s">
        <v>1612</v>
      </c>
      <c r="D4876" s="565">
        <v>39583</v>
      </c>
      <c r="E4876" s="565">
        <v>39660</v>
      </c>
      <c r="F4876" s="566">
        <v>271660</v>
      </c>
      <c r="G4876" s="564" t="s">
        <v>297</v>
      </c>
      <c r="H4876" s="564" t="s">
        <v>297</v>
      </c>
      <c r="I4876" s="564" t="s">
        <v>802</v>
      </c>
      <c r="J4876" s="564" t="s">
        <v>1069</v>
      </c>
      <c r="K4876" s="564" t="s">
        <v>1198</v>
      </c>
      <c r="L4876" s="564" t="s">
        <v>2098</v>
      </c>
      <c r="M4876" s="564" t="s">
        <v>2098</v>
      </c>
      <c r="N4876" s="564" t="s">
        <v>132</v>
      </c>
      <c r="O4876" s="564" t="s">
        <v>2099</v>
      </c>
      <c r="P4876" s="23"/>
      <c r="Q4876" s="23"/>
      <c r="R4876" s="23"/>
      <c r="S4876" s="23"/>
      <c r="T4876" s="23"/>
      <c r="U4876" s="23"/>
      <c r="V4876" s="23"/>
      <c r="W4876" s="23"/>
      <c r="X4876" s="23"/>
      <c r="Y4876" s="23"/>
      <c r="Z4876" s="23"/>
    </row>
    <row r="4877" spans="1:26" ht="13">
      <c r="A4877" s="562" t="s">
        <v>10452</v>
      </c>
      <c r="B4877" s="563" t="s">
        <v>10453</v>
      </c>
      <c r="C4877" s="564" t="s">
        <v>1612</v>
      </c>
      <c r="D4877" s="565">
        <v>39576</v>
      </c>
      <c r="E4877" s="565">
        <v>39581</v>
      </c>
      <c r="F4877" s="566">
        <v>6910</v>
      </c>
      <c r="G4877" s="564" t="s">
        <v>297</v>
      </c>
      <c r="H4877" s="564"/>
      <c r="I4877" s="564" t="s">
        <v>64</v>
      </c>
      <c r="J4877" s="564" t="s">
        <v>1069</v>
      </c>
      <c r="K4877" s="564" t="s">
        <v>1090</v>
      </c>
      <c r="L4877" s="564" t="s">
        <v>2098</v>
      </c>
      <c r="M4877" s="564" t="s">
        <v>2098</v>
      </c>
      <c r="N4877" s="564" t="s">
        <v>64</v>
      </c>
      <c r="O4877" s="564" t="s">
        <v>2099</v>
      </c>
      <c r="P4877" s="23"/>
      <c r="Q4877" s="23"/>
      <c r="R4877" s="23"/>
      <c r="S4877" s="23"/>
      <c r="T4877" s="23"/>
      <c r="U4877" s="23"/>
      <c r="V4877" s="23"/>
      <c r="W4877" s="23"/>
      <c r="X4877" s="23"/>
      <c r="Y4877" s="23"/>
      <c r="Z4877" s="23"/>
    </row>
    <row r="4878" spans="1:26" ht="13">
      <c r="A4878" s="562" t="s">
        <v>10454</v>
      </c>
      <c r="B4878" s="563" t="s">
        <v>10455</v>
      </c>
      <c r="C4878" s="564" t="s">
        <v>1612</v>
      </c>
      <c r="D4878" s="565">
        <v>39576</v>
      </c>
      <c r="E4878" s="565">
        <v>39582</v>
      </c>
      <c r="F4878" s="567">
        <v>250</v>
      </c>
      <c r="G4878" s="564" t="s">
        <v>297</v>
      </c>
      <c r="H4878" s="564"/>
      <c r="I4878" s="564" t="s">
        <v>70</v>
      </c>
      <c r="J4878" s="564" t="s">
        <v>1069</v>
      </c>
      <c r="K4878" s="564" t="s">
        <v>1120</v>
      </c>
      <c r="L4878" s="564" t="s">
        <v>2098</v>
      </c>
      <c r="M4878" s="564" t="s">
        <v>2098</v>
      </c>
      <c r="N4878" s="564" t="s">
        <v>70</v>
      </c>
      <c r="O4878" s="564" t="s">
        <v>2099</v>
      </c>
      <c r="P4878" s="23"/>
      <c r="Q4878" s="23"/>
      <c r="R4878" s="23"/>
      <c r="S4878" s="23"/>
      <c r="T4878" s="23"/>
      <c r="U4878" s="23"/>
      <c r="V4878" s="23"/>
      <c r="W4878" s="23"/>
      <c r="X4878" s="23"/>
      <c r="Y4878" s="23"/>
      <c r="Z4878" s="23"/>
    </row>
    <row r="4879" spans="1:26" ht="13">
      <c r="A4879" s="562" t="s">
        <v>10456</v>
      </c>
      <c r="B4879" s="563" t="s">
        <v>10457</v>
      </c>
      <c r="C4879" s="564" t="s">
        <v>1612</v>
      </c>
      <c r="D4879" s="565">
        <v>39574</v>
      </c>
      <c r="E4879" s="565">
        <v>39582</v>
      </c>
      <c r="F4879" s="566">
        <v>1520</v>
      </c>
      <c r="G4879" s="564" t="s">
        <v>297</v>
      </c>
      <c r="H4879" s="564"/>
      <c r="I4879" s="564" t="s">
        <v>7259</v>
      </c>
      <c r="J4879" s="564" t="s">
        <v>1069</v>
      </c>
      <c r="K4879" s="564" t="s">
        <v>1070</v>
      </c>
      <c r="L4879" s="564" t="s">
        <v>2098</v>
      </c>
      <c r="M4879" s="564" t="s">
        <v>2098</v>
      </c>
      <c r="N4879" s="564" t="s">
        <v>1082</v>
      </c>
      <c r="O4879" s="564" t="s">
        <v>2099</v>
      </c>
      <c r="P4879" s="23"/>
      <c r="Q4879" s="23"/>
      <c r="R4879" s="23"/>
      <c r="S4879" s="23"/>
      <c r="T4879" s="23"/>
      <c r="U4879" s="23"/>
      <c r="V4879" s="23"/>
      <c r="W4879" s="23"/>
      <c r="X4879" s="23"/>
      <c r="Y4879" s="23"/>
      <c r="Z4879" s="23"/>
    </row>
    <row r="4880" spans="1:26" ht="13">
      <c r="A4880" s="562" t="s">
        <v>10458</v>
      </c>
      <c r="B4880" s="563" t="s">
        <v>10459</v>
      </c>
      <c r="C4880" s="564" t="s">
        <v>1612</v>
      </c>
      <c r="D4880" s="565">
        <v>39574</v>
      </c>
      <c r="E4880" s="565">
        <v>39598</v>
      </c>
      <c r="F4880" s="566">
        <v>93000000</v>
      </c>
      <c r="G4880" s="564" t="s">
        <v>1912</v>
      </c>
      <c r="H4880" s="564"/>
      <c r="I4880" s="564" t="s">
        <v>45</v>
      </c>
      <c r="J4880" s="564" t="s">
        <v>1069</v>
      </c>
      <c r="K4880" s="564" t="s">
        <v>1090</v>
      </c>
      <c r="L4880" s="564" t="s">
        <v>2098</v>
      </c>
      <c r="M4880" s="564" t="s">
        <v>2098</v>
      </c>
      <c r="N4880" s="564" t="s">
        <v>45</v>
      </c>
      <c r="O4880" s="564" t="s">
        <v>2099</v>
      </c>
      <c r="P4880" s="23"/>
      <c r="Q4880" s="23"/>
      <c r="R4880" s="23"/>
      <c r="S4880" s="23"/>
      <c r="T4880" s="23"/>
      <c r="U4880" s="23"/>
      <c r="V4880" s="23"/>
      <c r="W4880" s="23"/>
      <c r="X4880" s="23"/>
      <c r="Y4880" s="23"/>
      <c r="Z4880" s="23"/>
    </row>
    <row r="4881" spans="1:26" ht="13">
      <c r="A4881" s="562" t="s">
        <v>10460</v>
      </c>
      <c r="B4881" s="563" t="s">
        <v>10461</v>
      </c>
      <c r="C4881" s="564" t="s">
        <v>1612</v>
      </c>
      <c r="D4881" s="565">
        <v>39574</v>
      </c>
      <c r="E4881" s="565">
        <v>39629</v>
      </c>
      <c r="F4881" s="566">
        <v>21000000</v>
      </c>
      <c r="G4881" s="564" t="s">
        <v>1912</v>
      </c>
      <c r="H4881" s="564"/>
      <c r="I4881" s="564" t="s">
        <v>45</v>
      </c>
      <c r="J4881" s="564" t="s">
        <v>1069</v>
      </c>
      <c r="K4881" s="564" t="s">
        <v>1090</v>
      </c>
      <c r="L4881" s="564" t="s">
        <v>2098</v>
      </c>
      <c r="M4881" s="564" t="s">
        <v>2098</v>
      </c>
      <c r="N4881" s="564" t="s">
        <v>45</v>
      </c>
      <c r="O4881" s="564" t="s">
        <v>2099</v>
      </c>
      <c r="P4881" s="23"/>
      <c r="Q4881" s="23"/>
      <c r="R4881" s="23"/>
      <c r="S4881" s="23"/>
      <c r="T4881" s="23"/>
      <c r="U4881" s="23"/>
      <c r="V4881" s="23"/>
      <c r="W4881" s="23"/>
      <c r="X4881" s="23"/>
      <c r="Y4881" s="23"/>
      <c r="Z4881" s="23"/>
    </row>
    <row r="4882" spans="1:26" ht="13">
      <c r="A4882" s="562" t="s">
        <v>10462</v>
      </c>
      <c r="B4882" s="563" t="s">
        <v>10463</v>
      </c>
      <c r="C4882" s="564" t="s">
        <v>1612</v>
      </c>
      <c r="D4882" s="565">
        <v>39563</v>
      </c>
      <c r="E4882" s="565">
        <v>39577</v>
      </c>
      <c r="F4882" s="566">
        <v>21845</v>
      </c>
      <c r="G4882" s="564" t="s">
        <v>297</v>
      </c>
      <c r="H4882" s="564"/>
      <c r="I4882" s="564" t="s">
        <v>802</v>
      </c>
      <c r="J4882" s="564" t="s">
        <v>1069</v>
      </c>
      <c r="K4882" s="564" t="s">
        <v>1198</v>
      </c>
      <c r="L4882" s="564" t="s">
        <v>2098</v>
      </c>
      <c r="M4882" s="564" t="s">
        <v>2098</v>
      </c>
      <c r="N4882" s="564" t="s">
        <v>132</v>
      </c>
      <c r="O4882" s="564" t="s">
        <v>2099</v>
      </c>
      <c r="P4882" s="23"/>
      <c r="Q4882" s="23"/>
      <c r="R4882" s="23"/>
      <c r="S4882" s="23"/>
      <c r="T4882" s="23"/>
      <c r="U4882" s="23"/>
      <c r="V4882" s="23"/>
      <c r="W4882" s="23"/>
      <c r="X4882" s="23"/>
      <c r="Y4882" s="23"/>
      <c r="Z4882" s="23"/>
    </row>
    <row r="4883" spans="1:26" ht="13">
      <c r="A4883" s="562" t="s">
        <v>10464</v>
      </c>
      <c r="B4883" s="563" t="s">
        <v>10465</v>
      </c>
      <c r="C4883" s="564" t="s">
        <v>2191</v>
      </c>
      <c r="D4883" s="565">
        <v>39560</v>
      </c>
      <c r="E4883" s="565">
        <v>39813</v>
      </c>
      <c r="F4883" s="566">
        <v>35475000</v>
      </c>
      <c r="G4883" s="564" t="s">
        <v>1187</v>
      </c>
      <c r="H4883" s="564" t="s">
        <v>1187</v>
      </c>
      <c r="I4883" s="564" t="s">
        <v>9885</v>
      </c>
      <c r="J4883" s="564" t="s">
        <v>1069</v>
      </c>
      <c r="K4883" s="564" t="s">
        <v>1070</v>
      </c>
      <c r="L4883" s="564" t="s">
        <v>2098</v>
      </c>
      <c r="M4883" s="564" t="s">
        <v>2098</v>
      </c>
      <c r="N4883" s="564" t="s">
        <v>1082</v>
      </c>
      <c r="O4883" s="564" t="s">
        <v>2099</v>
      </c>
      <c r="P4883" s="23"/>
      <c r="Q4883" s="23"/>
      <c r="R4883" s="23"/>
      <c r="S4883" s="23"/>
      <c r="T4883" s="23"/>
      <c r="U4883" s="23"/>
      <c r="V4883" s="23"/>
      <c r="W4883" s="23"/>
      <c r="X4883" s="23"/>
      <c r="Y4883" s="23"/>
      <c r="Z4883" s="23"/>
    </row>
    <row r="4884" spans="1:26" ht="13">
      <c r="A4884" s="562" t="s">
        <v>10466</v>
      </c>
      <c r="B4884" s="563" t="s">
        <v>10467</v>
      </c>
      <c r="C4884" s="564" t="s">
        <v>1612</v>
      </c>
      <c r="D4884" s="565">
        <v>39468</v>
      </c>
      <c r="E4884" s="565">
        <v>39509</v>
      </c>
      <c r="F4884" s="566">
        <v>7135</v>
      </c>
      <c r="G4884" s="564" t="s">
        <v>1116</v>
      </c>
      <c r="H4884" s="564"/>
      <c r="I4884" s="564" t="s">
        <v>45</v>
      </c>
      <c r="J4884" s="564" t="s">
        <v>1069</v>
      </c>
      <c r="K4884" s="564" t="s">
        <v>1090</v>
      </c>
      <c r="L4884" s="564" t="s">
        <v>2098</v>
      </c>
      <c r="M4884" s="564" t="s">
        <v>2098</v>
      </c>
      <c r="N4884" s="564" t="s">
        <v>45</v>
      </c>
      <c r="O4884" s="564" t="s">
        <v>2099</v>
      </c>
      <c r="P4884" s="23"/>
      <c r="Q4884" s="23"/>
      <c r="R4884" s="23"/>
      <c r="S4884" s="23"/>
      <c r="T4884" s="23"/>
      <c r="U4884" s="23"/>
      <c r="V4884" s="23"/>
      <c r="W4884" s="23"/>
      <c r="X4884" s="23"/>
      <c r="Y4884" s="23"/>
      <c r="Z4884" s="23"/>
    </row>
    <row r="4885" spans="1:26" ht="13">
      <c r="A4885" s="562" t="s">
        <v>10468</v>
      </c>
      <c r="B4885" s="563" t="s">
        <v>9862</v>
      </c>
      <c r="C4885" s="564" t="s">
        <v>1873</v>
      </c>
      <c r="D4885" s="565">
        <v>39560</v>
      </c>
      <c r="E4885" s="565">
        <v>39568</v>
      </c>
      <c r="F4885" s="566">
        <v>11400</v>
      </c>
      <c r="G4885" s="564" t="s">
        <v>297</v>
      </c>
      <c r="H4885" s="564"/>
      <c r="I4885" s="564" t="s">
        <v>170</v>
      </c>
      <c r="J4885" s="564" t="s">
        <v>1069</v>
      </c>
      <c r="K4885" s="564" t="s">
        <v>1105</v>
      </c>
      <c r="L4885" s="564" t="s">
        <v>2098</v>
      </c>
      <c r="M4885" s="564" t="s">
        <v>2098</v>
      </c>
      <c r="N4885" s="564" t="s">
        <v>170</v>
      </c>
      <c r="O4885" s="564" t="s">
        <v>2099</v>
      </c>
      <c r="P4885" s="23"/>
      <c r="Q4885" s="23"/>
      <c r="R4885" s="23"/>
      <c r="S4885" s="23"/>
      <c r="T4885" s="23"/>
      <c r="U4885" s="23"/>
      <c r="V4885" s="23"/>
      <c r="W4885" s="23"/>
      <c r="X4885" s="23"/>
      <c r="Y4885" s="23"/>
      <c r="Z4885" s="23"/>
    </row>
    <row r="4886" spans="1:26" ht="13">
      <c r="A4886" s="562" t="s">
        <v>10469</v>
      </c>
      <c r="B4886" s="563" t="s">
        <v>10470</v>
      </c>
      <c r="C4886" s="564" t="s">
        <v>1612</v>
      </c>
      <c r="D4886" s="565">
        <v>39559</v>
      </c>
      <c r="E4886" s="565">
        <v>39561</v>
      </c>
      <c r="F4886" s="566">
        <v>108750</v>
      </c>
      <c r="G4886" s="564" t="s">
        <v>1856</v>
      </c>
      <c r="H4886" s="564"/>
      <c r="I4886" s="564" t="s">
        <v>70</v>
      </c>
      <c r="J4886" s="564" t="s">
        <v>1069</v>
      </c>
      <c r="K4886" s="564" t="s">
        <v>1120</v>
      </c>
      <c r="L4886" s="564" t="s">
        <v>2098</v>
      </c>
      <c r="M4886" s="564" t="s">
        <v>2098</v>
      </c>
      <c r="N4886" s="564" t="s">
        <v>70</v>
      </c>
      <c r="O4886" s="564" t="s">
        <v>2099</v>
      </c>
      <c r="P4886" s="23"/>
      <c r="Q4886" s="23"/>
      <c r="R4886" s="23"/>
      <c r="S4886" s="23"/>
      <c r="T4886" s="23"/>
      <c r="U4886" s="23"/>
      <c r="V4886" s="23"/>
      <c r="W4886" s="23"/>
      <c r="X4886" s="23"/>
      <c r="Y4886" s="23"/>
      <c r="Z4886" s="23"/>
    </row>
    <row r="4887" spans="1:26" ht="13">
      <c r="A4887" s="562" t="s">
        <v>10471</v>
      </c>
      <c r="B4887" s="563" t="s">
        <v>10472</v>
      </c>
      <c r="C4887" s="564" t="s">
        <v>1612</v>
      </c>
      <c r="D4887" s="565">
        <v>39554</v>
      </c>
      <c r="E4887" s="565">
        <v>39561</v>
      </c>
      <c r="F4887" s="566">
        <v>129138</v>
      </c>
      <c r="G4887" s="564" t="s">
        <v>297</v>
      </c>
      <c r="H4887" s="564"/>
      <c r="I4887" s="564" t="s">
        <v>64</v>
      </c>
      <c r="J4887" s="564" t="s">
        <v>1069</v>
      </c>
      <c r="K4887" s="564" t="s">
        <v>1090</v>
      </c>
      <c r="L4887" s="564" t="s">
        <v>2098</v>
      </c>
      <c r="M4887" s="564" t="s">
        <v>2098</v>
      </c>
      <c r="N4887" s="564" t="s">
        <v>64</v>
      </c>
      <c r="O4887" s="564" t="s">
        <v>2099</v>
      </c>
      <c r="P4887" s="23"/>
      <c r="Q4887" s="23"/>
      <c r="R4887" s="23"/>
      <c r="S4887" s="23"/>
      <c r="T4887" s="23"/>
      <c r="U4887" s="23"/>
      <c r="V4887" s="23"/>
      <c r="W4887" s="23"/>
      <c r="X4887" s="23"/>
      <c r="Y4887" s="23"/>
      <c r="Z4887" s="23"/>
    </row>
    <row r="4888" spans="1:26" ht="13">
      <c r="A4888" s="562" t="s">
        <v>10473</v>
      </c>
      <c r="B4888" s="563" t="s">
        <v>10474</v>
      </c>
      <c r="C4888" s="564" t="s">
        <v>1612</v>
      </c>
      <c r="D4888" s="565">
        <v>39552</v>
      </c>
      <c r="E4888" s="565">
        <v>39556</v>
      </c>
      <c r="F4888" s="566">
        <v>9000</v>
      </c>
      <c r="G4888" s="564" t="s">
        <v>297</v>
      </c>
      <c r="H4888" s="564"/>
      <c r="I4888" s="564" t="s">
        <v>45</v>
      </c>
      <c r="J4888" s="564" t="s">
        <v>1069</v>
      </c>
      <c r="K4888" s="564" t="s">
        <v>1090</v>
      </c>
      <c r="L4888" s="564" t="s">
        <v>2098</v>
      </c>
      <c r="M4888" s="564" t="s">
        <v>2098</v>
      </c>
      <c r="N4888" s="564" t="s">
        <v>45</v>
      </c>
      <c r="O4888" s="564" t="s">
        <v>2099</v>
      </c>
      <c r="P4888" s="23"/>
      <c r="Q4888" s="23"/>
      <c r="R4888" s="23"/>
      <c r="S4888" s="23"/>
      <c r="T4888" s="23"/>
      <c r="U4888" s="23"/>
      <c r="V4888" s="23"/>
      <c r="W4888" s="23"/>
      <c r="X4888" s="23"/>
      <c r="Y4888" s="23"/>
      <c r="Z4888" s="23"/>
    </row>
    <row r="4889" spans="1:26" ht="13">
      <c r="A4889" s="562" t="s">
        <v>10475</v>
      </c>
      <c r="B4889" s="563" t="s">
        <v>10476</v>
      </c>
      <c r="C4889" s="564" t="s">
        <v>1612</v>
      </c>
      <c r="D4889" s="565">
        <v>39552</v>
      </c>
      <c r="E4889" s="565">
        <v>39561</v>
      </c>
      <c r="F4889" s="566">
        <v>28200</v>
      </c>
      <c r="G4889" s="564" t="s">
        <v>297</v>
      </c>
      <c r="H4889" s="564"/>
      <c r="I4889" s="564" t="s">
        <v>45</v>
      </c>
      <c r="J4889" s="564" t="s">
        <v>1069</v>
      </c>
      <c r="K4889" s="564" t="s">
        <v>1090</v>
      </c>
      <c r="L4889" s="564" t="s">
        <v>2098</v>
      </c>
      <c r="M4889" s="564" t="s">
        <v>2098</v>
      </c>
      <c r="N4889" s="564" t="s">
        <v>45</v>
      </c>
      <c r="O4889" s="564" t="s">
        <v>2099</v>
      </c>
      <c r="P4889" s="23"/>
      <c r="Q4889" s="23"/>
      <c r="R4889" s="23"/>
      <c r="S4889" s="23"/>
      <c r="T4889" s="23"/>
      <c r="U4889" s="23"/>
      <c r="V4889" s="23"/>
      <c r="W4889" s="23"/>
      <c r="X4889" s="23"/>
      <c r="Y4889" s="23"/>
      <c r="Z4889" s="23"/>
    </row>
    <row r="4890" spans="1:26" ht="13">
      <c r="A4890" s="562" t="s">
        <v>10477</v>
      </c>
      <c r="B4890" s="563" t="s">
        <v>10478</v>
      </c>
      <c r="C4890" s="564" t="s">
        <v>1612</v>
      </c>
      <c r="D4890" s="565">
        <v>39552</v>
      </c>
      <c r="E4890" s="565">
        <v>39556</v>
      </c>
      <c r="F4890" s="567">
        <v>275</v>
      </c>
      <c r="G4890" s="564" t="s">
        <v>297</v>
      </c>
      <c r="H4890" s="564"/>
      <c r="I4890" s="564" t="s">
        <v>2073</v>
      </c>
      <c r="J4890" s="564" t="s">
        <v>1069</v>
      </c>
      <c r="K4890" s="564" t="s">
        <v>1105</v>
      </c>
      <c r="L4890" s="564" t="s">
        <v>2098</v>
      </c>
      <c r="M4890" s="564" t="s">
        <v>2098</v>
      </c>
      <c r="N4890" s="564" t="s">
        <v>225</v>
      </c>
      <c r="O4890" s="564" t="s">
        <v>2099</v>
      </c>
      <c r="P4890" s="23"/>
      <c r="Q4890" s="23"/>
      <c r="R4890" s="23"/>
      <c r="S4890" s="23"/>
      <c r="T4890" s="23"/>
      <c r="U4890" s="23"/>
      <c r="V4890" s="23"/>
      <c r="W4890" s="23"/>
      <c r="X4890" s="23"/>
      <c r="Y4890" s="23"/>
      <c r="Z4890" s="23"/>
    </row>
    <row r="4891" spans="1:26" ht="13">
      <c r="A4891" s="562" t="s">
        <v>10479</v>
      </c>
      <c r="B4891" s="563" t="s">
        <v>10423</v>
      </c>
      <c r="C4891" s="564" t="s">
        <v>1612</v>
      </c>
      <c r="D4891" s="565">
        <v>39546</v>
      </c>
      <c r="E4891" s="565">
        <v>39553</v>
      </c>
      <c r="F4891" s="566">
        <v>1440</v>
      </c>
      <c r="G4891" s="564" t="s">
        <v>297</v>
      </c>
      <c r="H4891" s="564"/>
      <c r="I4891" s="564" t="s">
        <v>7259</v>
      </c>
      <c r="J4891" s="564" t="s">
        <v>1069</v>
      </c>
      <c r="K4891" s="564" t="s">
        <v>1070</v>
      </c>
      <c r="L4891" s="564" t="s">
        <v>2098</v>
      </c>
      <c r="M4891" s="564" t="s">
        <v>2098</v>
      </c>
      <c r="N4891" s="564" t="s">
        <v>1082</v>
      </c>
      <c r="O4891" s="564" t="s">
        <v>2099</v>
      </c>
      <c r="P4891" s="23"/>
      <c r="Q4891" s="23"/>
      <c r="R4891" s="23"/>
      <c r="S4891" s="23"/>
      <c r="T4891" s="23"/>
      <c r="U4891" s="23"/>
      <c r="V4891" s="23"/>
      <c r="W4891" s="23"/>
      <c r="X4891" s="23"/>
      <c r="Y4891" s="23"/>
      <c r="Z4891" s="23"/>
    </row>
    <row r="4892" spans="1:26" ht="13">
      <c r="A4892" s="562" t="s">
        <v>10480</v>
      </c>
      <c r="B4892" s="563" t="s">
        <v>10481</v>
      </c>
      <c r="C4892" s="564" t="s">
        <v>1612</v>
      </c>
      <c r="D4892" s="565">
        <v>39540</v>
      </c>
      <c r="E4892" s="565">
        <v>39547</v>
      </c>
      <c r="F4892" s="566">
        <v>2346</v>
      </c>
      <c r="G4892" s="564" t="s">
        <v>297</v>
      </c>
      <c r="H4892" s="564"/>
      <c r="I4892" s="564" t="s">
        <v>2073</v>
      </c>
      <c r="J4892" s="564" t="s">
        <v>1069</v>
      </c>
      <c r="K4892" s="564" t="s">
        <v>1105</v>
      </c>
      <c r="L4892" s="564" t="s">
        <v>2098</v>
      </c>
      <c r="M4892" s="564" t="s">
        <v>2098</v>
      </c>
      <c r="N4892" s="564" t="s">
        <v>225</v>
      </c>
      <c r="O4892" s="564" t="s">
        <v>2099</v>
      </c>
      <c r="P4892" s="23"/>
      <c r="Q4892" s="23"/>
      <c r="R4892" s="23"/>
      <c r="S4892" s="23"/>
      <c r="T4892" s="23"/>
      <c r="U4892" s="23"/>
      <c r="V4892" s="23"/>
      <c r="W4892" s="23"/>
      <c r="X4892" s="23"/>
      <c r="Y4892" s="23"/>
      <c r="Z4892" s="23"/>
    </row>
    <row r="4893" spans="1:26" ht="13">
      <c r="A4893" s="562" t="s">
        <v>10482</v>
      </c>
      <c r="B4893" s="563" t="s">
        <v>10483</v>
      </c>
      <c r="C4893" s="564" t="s">
        <v>1612</v>
      </c>
      <c r="D4893" s="565">
        <v>39539</v>
      </c>
      <c r="E4893" s="565">
        <v>39542</v>
      </c>
      <c r="F4893" s="566">
        <v>1190</v>
      </c>
      <c r="G4893" s="564" t="s">
        <v>297</v>
      </c>
      <c r="H4893" s="564" t="s">
        <v>297</v>
      </c>
      <c r="I4893" s="564" t="s">
        <v>121</v>
      </c>
      <c r="J4893" s="564" t="s">
        <v>1069</v>
      </c>
      <c r="K4893" s="564" t="s">
        <v>1105</v>
      </c>
      <c r="L4893" s="564" t="s">
        <v>2098</v>
      </c>
      <c r="M4893" s="564" t="s">
        <v>2098</v>
      </c>
      <c r="N4893" s="564" t="s">
        <v>1073</v>
      </c>
      <c r="O4893" s="564" t="s">
        <v>2099</v>
      </c>
      <c r="P4893" s="23"/>
      <c r="Q4893" s="23"/>
      <c r="R4893" s="23"/>
      <c r="S4893" s="23"/>
      <c r="T4893" s="23"/>
      <c r="U4893" s="23"/>
      <c r="V4893" s="23"/>
      <c r="W4893" s="23"/>
      <c r="X4893" s="23"/>
      <c r="Y4893" s="23"/>
      <c r="Z4893" s="23"/>
    </row>
    <row r="4894" spans="1:26" ht="13">
      <c r="A4894" s="562" t="s">
        <v>10484</v>
      </c>
      <c r="B4894" s="563" t="s">
        <v>10485</v>
      </c>
      <c r="C4894" s="564" t="s">
        <v>1612</v>
      </c>
      <c r="D4894" s="565">
        <v>39538</v>
      </c>
      <c r="E4894" s="565">
        <v>39546</v>
      </c>
      <c r="F4894" s="566">
        <v>6500</v>
      </c>
      <c r="G4894" s="564" t="s">
        <v>297</v>
      </c>
      <c r="H4894" s="564"/>
      <c r="I4894" s="564" t="s">
        <v>9250</v>
      </c>
      <c r="J4894" s="564" t="s">
        <v>1069</v>
      </c>
      <c r="K4894" s="564" t="s">
        <v>1090</v>
      </c>
      <c r="L4894" s="564" t="s">
        <v>2098</v>
      </c>
      <c r="M4894" s="564" t="s">
        <v>2098</v>
      </c>
      <c r="N4894" s="564" t="s">
        <v>45</v>
      </c>
      <c r="O4894" s="564" t="s">
        <v>2099</v>
      </c>
      <c r="P4894" s="23"/>
      <c r="Q4894" s="23"/>
      <c r="R4894" s="23"/>
      <c r="S4894" s="23"/>
      <c r="T4894" s="23"/>
      <c r="U4894" s="23"/>
      <c r="V4894" s="23"/>
      <c r="W4894" s="23"/>
      <c r="X4894" s="23"/>
      <c r="Y4894" s="23"/>
      <c r="Z4894" s="23"/>
    </row>
    <row r="4895" spans="1:26" ht="13">
      <c r="A4895" s="562" t="s">
        <v>10486</v>
      </c>
      <c r="B4895" s="563" t="s">
        <v>10487</v>
      </c>
      <c r="C4895" s="564" t="s">
        <v>1612</v>
      </c>
      <c r="D4895" s="565">
        <v>39525</v>
      </c>
      <c r="E4895" s="565">
        <v>39527</v>
      </c>
      <c r="F4895" s="566">
        <v>1154400</v>
      </c>
      <c r="G4895" s="564" t="s">
        <v>297</v>
      </c>
      <c r="H4895" s="564" t="s">
        <v>297</v>
      </c>
      <c r="I4895" s="564" t="s">
        <v>7259</v>
      </c>
      <c r="J4895" s="564" t="s">
        <v>1069</v>
      </c>
      <c r="K4895" s="564" t="s">
        <v>1070</v>
      </c>
      <c r="L4895" s="564" t="s">
        <v>2098</v>
      </c>
      <c r="M4895" s="564" t="s">
        <v>2098</v>
      </c>
      <c r="N4895" s="564" t="s">
        <v>1082</v>
      </c>
      <c r="O4895" s="564" t="s">
        <v>2099</v>
      </c>
      <c r="P4895" s="23"/>
      <c r="Q4895" s="23"/>
      <c r="R4895" s="23"/>
      <c r="S4895" s="23"/>
      <c r="T4895" s="23"/>
      <c r="U4895" s="23"/>
      <c r="V4895" s="23"/>
      <c r="W4895" s="23"/>
      <c r="X4895" s="23"/>
      <c r="Y4895" s="23"/>
      <c r="Z4895" s="23"/>
    </row>
    <row r="4896" spans="1:26" ht="13">
      <c r="A4896" s="562" t="s">
        <v>10488</v>
      </c>
      <c r="B4896" s="563" t="s">
        <v>10489</v>
      </c>
      <c r="C4896" s="564" t="s">
        <v>1612</v>
      </c>
      <c r="D4896" s="565">
        <v>39520</v>
      </c>
      <c r="E4896" s="565">
        <v>39531</v>
      </c>
      <c r="F4896" s="566">
        <v>50085</v>
      </c>
      <c r="G4896" s="564" t="s">
        <v>297</v>
      </c>
      <c r="H4896" s="564"/>
      <c r="I4896" s="564" t="s">
        <v>7259</v>
      </c>
      <c r="J4896" s="564" t="s">
        <v>1069</v>
      </c>
      <c r="K4896" s="564" t="s">
        <v>1070</v>
      </c>
      <c r="L4896" s="564" t="s">
        <v>2098</v>
      </c>
      <c r="M4896" s="564" t="s">
        <v>2098</v>
      </c>
      <c r="N4896" s="564" t="s">
        <v>1082</v>
      </c>
      <c r="O4896" s="564" t="s">
        <v>2099</v>
      </c>
      <c r="P4896" s="23"/>
      <c r="Q4896" s="23"/>
      <c r="R4896" s="23"/>
      <c r="S4896" s="23"/>
      <c r="T4896" s="23"/>
      <c r="U4896" s="23"/>
      <c r="V4896" s="23"/>
      <c r="W4896" s="23"/>
      <c r="X4896" s="23"/>
      <c r="Y4896" s="23"/>
      <c r="Z4896" s="23"/>
    </row>
    <row r="4897" spans="1:26" ht="13">
      <c r="A4897" s="562" t="s">
        <v>10490</v>
      </c>
      <c r="B4897" s="563" t="s">
        <v>10491</v>
      </c>
      <c r="C4897" s="564" t="s">
        <v>1612</v>
      </c>
      <c r="D4897" s="565">
        <v>39519</v>
      </c>
      <c r="E4897" s="565">
        <v>39520</v>
      </c>
      <c r="F4897" s="566">
        <v>3092</v>
      </c>
      <c r="G4897" s="564" t="s">
        <v>1116</v>
      </c>
      <c r="H4897" s="564"/>
      <c r="I4897" s="564" t="s">
        <v>45</v>
      </c>
      <c r="J4897" s="564" t="s">
        <v>1069</v>
      </c>
      <c r="K4897" s="564" t="s">
        <v>1090</v>
      </c>
      <c r="L4897" s="564" t="s">
        <v>2098</v>
      </c>
      <c r="M4897" s="564" t="s">
        <v>2098</v>
      </c>
      <c r="N4897" s="564" t="s">
        <v>45</v>
      </c>
      <c r="O4897" s="564" t="s">
        <v>2099</v>
      </c>
      <c r="P4897" s="23"/>
      <c r="Q4897" s="23"/>
      <c r="R4897" s="23"/>
      <c r="S4897" s="23"/>
      <c r="T4897" s="23"/>
      <c r="U4897" s="23"/>
      <c r="V4897" s="23"/>
      <c r="W4897" s="23"/>
      <c r="X4897" s="23"/>
      <c r="Y4897" s="23"/>
      <c r="Z4897" s="23"/>
    </row>
    <row r="4898" spans="1:26" ht="13">
      <c r="A4898" s="562" t="s">
        <v>10492</v>
      </c>
      <c r="B4898" s="563" t="s">
        <v>10493</v>
      </c>
      <c r="C4898" s="564" t="s">
        <v>1612</v>
      </c>
      <c r="D4898" s="565">
        <v>39518</v>
      </c>
      <c r="E4898" s="565">
        <v>39531</v>
      </c>
      <c r="F4898" s="566">
        <v>1970</v>
      </c>
      <c r="G4898" s="564" t="s">
        <v>297</v>
      </c>
      <c r="H4898" s="564"/>
      <c r="I4898" s="564" t="s">
        <v>7259</v>
      </c>
      <c r="J4898" s="564" t="s">
        <v>1069</v>
      </c>
      <c r="K4898" s="564" t="s">
        <v>1070</v>
      </c>
      <c r="L4898" s="564" t="s">
        <v>2098</v>
      </c>
      <c r="M4898" s="564" t="s">
        <v>2098</v>
      </c>
      <c r="N4898" s="564" t="s">
        <v>1082</v>
      </c>
      <c r="O4898" s="564" t="s">
        <v>2099</v>
      </c>
      <c r="P4898" s="23"/>
      <c r="Q4898" s="23"/>
      <c r="R4898" s="23"/>
      <c r="S4898" s="23"/>
      <c r="T4898" s="23"/>
      <c r="U4898" s="23"/>
      <c r="V4898" s="23"/>
      <c r="W4898" s="23"/>
      <c r="X4898" s="23"/>
      <c r="Y4898" s="23"/>
      <c r="Z4898" s="23"/>
    </row>
    <row r="4899" spans="1:26" ht="13">
      <c r="A4899" s="562" t="s">
        <v>10494</v>
      </c>
      <c r="B4899" s="563" t="s">
        <v>10495</v>
      </c>
      <c r="C4899" s="564" t="s">
        <v>1612</v>
      </c>
      <c r="D4899" s="565">
        <v>39519</v>
      </c>
      <c r="E4899" s="565">
        <v>39531</v>
      </c>
      <c r="F4899" s="566">
        <v>6500</v>
      </c>
      <c r="G4899" s="564" t="s">
        <v>297</v>
      </c>
      <c r="H4899" s="564"/>
      <c r="I4899" s="564" t="s">
        <v>802</v>
      </c>
      <c r="J4899" s="564" t="s">
        <v>1069</v>
      </c>
      <c r="K4899" s="564" t="s">
        <v>1198</v>
      </c>
      <c r="L4899" s="564" t="s">
        <v>2098</v>
      </c>
      <c r="M4899" s="564" t="s">
        <v>2098</v>
      </c>
      <c r="N4899" s="564" t="s">
        <v>132</v>
      </c>
      <c r="O4899" s="564" t="s">
        <v>2099</v>
      </c>
      <c r="P4899" s="23"/>
      <c r="Q4899" s="23"/>
      <c r="R4899" s="23"/>
      <c r="S4899" s="23"/>
      <c r="T4899" s="23"/>
      <c r="U4899" s="23"/>
      <c r="V4899" s="23"/>
      <c r="W4899" s="23"/>
      <c r="X4899" s="23"/>
      <c r="Y4899" s="23"/>
      <c r="Z4899" s="23"/>
    </row>
    <row r="4900" spans="1:26" ht="13">
      <c r="A4900" s="562" t="s">
        <v>10496</v>
      </c>
      <c r="B4900" s="563" t="s">
        <v>10497</v>
      </c>
      <c r="C4900" s="564" t="s">
        <v>2191</v>
      </c>
      <c r="D4900" s="565">
        <v>39518</v>
      </c>
      <c r="E4900" s="565">
        <v>39538</v>
      </c>
      <c r="F4900" s="566">
        <v>7568</v>
      </c>
      <c r="G4900" s="564" t="s">
        <v>297</v>
      </c>
      <c r="H4900" s="564"/>
      <c r="I4900" s="564" t="s">
        <v>7616</v>
      </c>
      <c r="J4900" s="564" t="s">
        <v>1069</v>
      </c>
      <c r="K4900" s="564" t="s">
        <v>1070</v>
      </c>
      <c r="L4900" s="564" t="s">
        <v>2098</v>
      </c>
      <c r="M4900" s="564" t="s">
        <v>2098</v>
      </c>
      <c r="N4900" s="564" t="s">
        <v>1082</v>
      </c>
      <c r="O4900" s="564" t="s">
        <v>2099</v>
      </c>
      <c r="P4900" s="23"/>
      <c r="Q4900" s="23"/>
      <c r="R4900" s="23"/>
      <c r="S4900" s="23"/>
      <c r="T4900" s="23"/>
      <c r="U4900" s="23"/>
      <c r="V4900" s="23"/>
      <c r="W4900" s="23"/>
      <c r="X4900" s="23"/>
      <c r="Y4900" s="23"/>
      <c r="Z4900" s="23"/>
    </row>
    <row r="4901" spans="1:26" ht="13">
      <c r="A4901" s="562" t="s">
        <v>10498</v>
      </c>
      <c r="B4901" s="563" t="s">
        <v>10499</v>
      </c>
      <c r="C4901" s="564" t="s">
        <v>1612</v>
      </c>
      <c r="D4901" s="565">
        <v>39518</v>
      </c>
      <c r="E4901" s="565">
        <v>39538</v>
      </c>
      <c r="F4901" s="566">
        <v>229540</v>
      </c>
      <c r="G4901" s="564" t="s">
        <v>1116</v>
      </c>
      <c r="H4901" s="564"/>
      <c r="I4901" s="564" t="s">
        <v>45</v>
      </c>
      <c r="J4901" s="564" t="s">
        <v>1069</v>
      </c>
      <c r="K4901" s="564" t="s">
        <v>1090</v>
      </c>
      <c r="L4901" s="564" t="s">
        <v>2098</v>
      </c>
      <c r="M4901" s="564" t="s">
        <v>2098</v>
      </c>
      <c r="N4901" s="564" t="s">
        <v>45</v>
      </c>
      <c r="O4901" s="564" t="s">
        <v>2099</v>
      </c>
      <c r="P4901" s="23"/>
      <c r="Q4901" s="23"/>
      <c r="R4901" s="23"/>
      <c r="S4901" s="23"/>
      <c r="T4901" s="23"/>
      <c r="U4901" s="23"/>
      <c r="V4901" s="23"/>
      <c r="W4901" s="23"/>
      <c r="X4901" s="23"/>
      <c r="Y4901" s="23"/>
      <c r="Z4901" s="23"/>
    </row>
    <row r="4902" spans="1:26" ht="13">
      <c r="A4902" s="562" t="s">
        <v>10500</v>
      </c>
      <c r="B4902" s="563" t="s">
        <v>10501</v>
      </c>
      <c r="C4902" s="564" t="s">
        <v>1612</v>
      </c>
      <c r="D4902" s="565">
        <v>39517</v>
      </c>
      <c r="E4902" s="565">
        <v>39531</v>
      </c>
      <c r="F4902" s="566">
        <v>283014</v>
      </c>
      <c r="G4902" s="564" t="s">
        <v>297</v>
      </c>
      <c r="H4902" s="564"/>
      <c r="I4902" s="564" t="s">
        <v>7259</v>
      </c>
      <c r="J4902" s="564" t="s">
        <v>1069</v>
      </c>
      <c r="K4902" s="564" t="s">
        <v>1070</v>
      </c>
      <c r="L4902" s="564" t="s">
        <v>2098</v>
      </c>
      <c r="M4902" s="564" t="s">
        <v>2098</v>
      </c>
      <c r="N4902" s="564" t="s">
        <v>1082</v>
      </c>
      <c r="O4902" s="564" t="s">
        <v>2099</v>
      </c>
      <c r="P4902" s="23"/>
      <c r="Q4902" s="23"/>
      <c r="R4902" s="23"/>
      <c r="S4902" s="23"/>
      <c r="T4902" s="23"/>
      <c r="U4902" s="23"/>
      <c r="V4902" s="23"/>
      <c r="W4902" s="23"/>
      <c r="X4902" s="23"/>
      <c r="Y4902" s="23"/>
      <c r="Z4902" s="23"/>
    </row>
    <row r="4903" spans="1:26" ht="13">
      <c r="A4903" s="562" t="s">
        <v>10502</v>
      </c>
      <c r="B4903" s="563" t="s">
        <v>10478</v>
      </c>
      <c r="C4903" s="564" t="s">
        <v>1612</v>
      </c>
      <c r="D4903" s="565">
        <v>39511</v>
      </c>
      <c r="E4903" s="565">
        <v>39517</v>
      </c>
      <c r="F4903" s="566">
        <v>4380</v>
      </c>
      <c r="G4903" s="564" t="s">
        <v>297</v>
      </c>
      <c r="H4903" s="564"/>
      <c r="I4903" s="564" t="s">
        <v>2073</v>
      </c>
      <c r="J4903" s="564" t="s">
        <v>1069</v>
      </c>
      <c r="K4903" s="564" t="s">
        <v>1105</v>
      </c>
      <c r="L4903" s="564" t="s">
        <v>2098</v>
      </c>
      <c r="M4903" s="564" t="s">
        <v>2098</v>
      </c>
      <c r="N4903" s="564" t="s">
        <v>225</v>
      </c>
      <c r="O4903" s="564" t="s">
        <v>2099</v>
      </c>
      <c r="P4903" s="23"/>
      <c r="Q4903" s="23"/>
      <c r="R4903" s="23"/>
      <c r="S4903" s="23"/>
      <c r="T4903" s="23"/>
      <c r="U4903" s="23"/>
      <c r="V4903" s="23"/>
      <c r="W4903" s="23"/>
      <c r="X4903" s="23"/>
      <c r="Y4903" s="23"/>
      <c r="Z4903" s="23"/>
    </row>
    <row r="4904" spans="1:26" ht="13">
      <c r="A4904" s="562" t="s">
        <v>10503</v>
      </c>
      <c r="B4904" s="563" t="s">
        <v>10504</v>
      </c>
      <c r="C4904" s="564" t="s">
        <v>1612</v>
      </c>
      <c r="D4904" s="565">
        <v>39512</v>
      </c>
      <c r="E4904" s="565">
        <v>39528</v>
      </c>
      <c r="F4904" s="566">
        <v>2170</v>
      </c>
      <c r="G4904" s="564" t="s">
        <v>297</v>
      </c>
      <c r="H4904" s="564"/>
      <c r="I4904" s="564" t="s">
        <v>10505</v>
      </c>
      <c r="J4904" s="564" t="s">
        <v>1069</v>
      </c>
      <c r="K4904" s="564" t="s">
        <v>1198</v>
      </c>
      <c r="L4904" s="564" t="s">
        <v>2098</v>
      </c>
      <c r="M4904" s="564" t="s">
        <v>2098</v>
      </c>
      <c r="N4904" s="564" t="s">
        <v>132</v>
      </c>
      <c r="O4904" s="564" t="s">
        <v>2099</v>
      </c>
      <c r="P4904" s="23"/>
      <c r="Q4904" s="23"/>
      <c r="R4904" s="23"/>
      <c r="S4904" s="23"/>
      <c r="T4904" s="23"/>
      <c r="U4904" s="23"/>
      <c r="V4904" s="23"/>
      <c r="W4904" s="23"/>
      <c r="X4904" s="23"/>
      <c r="Y4904" s="23"/>
      <c r="Z4904" s="23"/>
    </row>
    <row r="4905" spans="1:26" ht="13">
      <c r="A4905" s="562" t="s">
        <v>10506</v>
      </c>
      <c r="B4905" s="563" t="s">
        <v>10507</v>
      </c>
      <c r="C4905" s="564" t="s">
        <v>2191</v>
      </c>
      <c r="D4905" s="565">
        <v>39510</v>
      </c>
      <c r="E4905" s="565">
        <v>39514</v>
      </c>
      <c r="F4905" s="567">
        <v>899</v>
      </c>
      <c r="G4905" s="564" t="s">
        <v>297</v>
      </c>
      <c r="H4905" s="564"/>
      <c r="I4905" s="564" t="s">
        <v>1966</v>
      </c>
      <c r="J4905" s="564" t="s">
        <v>1069</v>
      </c>
      <c r="K4905" s="564" t="s">
        <v>1070</v>
      </c>
      <c r="L4905" s="564" t="s">
        <v>2098</v>
      </c>
      <c r="M4905" s="564" t="s">
        <v>2098</v>
      </c>
      <c r="N4905" s="564" t="s">
        <v>1082</v>
      </c>
      <c r="O4905" s="564" t="s">
        <v>2099</v>
      </c>
      <c r="P4905" s="23"/>
      <c r="Q4905" s="23"/>
      <c r="R4905" s="23"/>
      <c r="S4905" s="23"/>
      <c r="T4905" s="23"/>
      <c r="U4905" s="23"/>
      <c r="V4905" s="23"/>
      <c r="W4905" s="23"/>
      <c r="X4905" s="23"/>
      <c r="Y4905" s="23"/>
      <c r="Z4905" s="23"/>
    </row>
    <row r="4906" spans="1:26" ht="13">
      <c r="A4906" s="562" t="s">
        <v>10508</v>
      </c>
      <c r="B4906" s="563" t="s">
        <v>10509</v>
      </c>
      <c r="C4906" s="564" t="s">
        <v>1612</v>
      </c>
      <c r="D4906" s="565">
        <v>39510</v>
      </c>
      <c r="E4906" s="565">
        <v>39520</v>
      </c>
      <c r="F4906" s="567">
        <v>360</v>
      </c>
      <c r="G4906" s="564" t="s">
        <v>297</v>
      </c>
      <c r="H4906" s="564"/>
      <c r="I4906" s="564" t="s">
        <v>7259</v>
      </c>
      <c r="J4906" s="564" t="s">
        <v>1069</v>
      </c>
      <c r="K4906" s="564" t="s">
        <v>1070</v>
      </c>
      <c r="L4906" s="564" t="s">
        <v>2098</v>
      </c>
      <c r="M4906" s="564" t="s">
        <v>2098</v>
      </c>
      <c r="N4906" s="564" t="s">
        <v>1082</v>
      </c>
      <c r="O4906" s="564" t="s">
        <v>2099</v>
      </c>
      <c r="P4906" s="23"/>
      <c r="Q4906" s="23"/>
      <c r="R4906" s="23"/>
      <c r="S4906" s="23"/>
      <c r="T4906" s="23"/>
      <c r="U4906" s="23"/>
      <c r="V4906" s="23"/>
      <c r="W4906" s="23"/>
      <c r="X4906" s="23"/>
      <c r="Y4906" s="23"/>
      <c r="Z4906" s="23"/>
    </row>
    <row r="4907" spans="1:26" ht="13">
      <c r="A4907" s="562" t="s">
        <v>10510</v>
      </c>
      <c r="B4907" s="563" t="s">
        <v>10511</v>
      </c>
      <c r="C4907" s="564" t="s">
        <v>1612</v>
      </c>
      <c r="D4907" s="565">
        <v>39507</v>
      </c>
      <c r="E4907" s="565">
        <v>39509</v>
      </c>
      <c r="F4907" s="566">
        <v>6200</v>
      </c>
      <c r="G4907" s="564" t="s">
        <v>1116</v>
      </c>
      <c r="H4907" s="564"/>
      <c r="I4907" s="564" t="s">
        <v>45</v>
      </c>
      <c r="J4907" s="564" t="s">
        <v>1069</v>
      </c>
      <c r="K4907" s="564" t="s">
        <v>1090</v>
      </c>
      <c r="L4907" s="564" t="s">
        <v>2098</v>
      </c>
      <c r="M4907" s="564" t="s">
        <v>2098</v>
      </c>
      <c r="N4907" s="564" t="s">
        <v>45</v>
      </c>
      <c r="O4907" s="564" t="s">
        <v>2099</v>
      </c>
      <c r="P4907" s="23"/>
      <c r="Q4907" s="23"/>
      <c r="R4907" s="23"/>
      <c r="S4907" s="23"/>
      <c r="T4907" s="23"/>
      <c r="U4907" s="23"/>
      <c r="V4907" s="23"/>
      <c r="W4907" s="23"/>
      <c r="X4907" s="23"/>
      <c r="Y4907" s="23"/>
      <c r="Z4907" s="23"/>
    </row>
    <row r="4908" spans="1:26" ht="13">
      <c r="A4908" s="562" t="s">
        <v>10512</v>
      </c>
      <c r="B4908" s="563" t="s">
        <v>10513</v>
      </c>
      <c r="C4908" s="564" t="s">
        <v>1612</v>
      </c>
      <c r="D4908" s="565">
        <v>39507</v>
      </c>
      <c r="E4908" s="565">
        <v>39537</v>
      </c>
      <c r="F4908" s="566">
        <v>44308</v>
      </c>
      <c r="G4908" s="564" t="s">
        <v>1116</v>
      </c>
      <c r="H4908" s="564"/>
      <c r="I4908" s="564" t="s">
        <v>45</v>
      </c>
      <c r="J4908" s="564" t="s">
        <v>1069</v>
      </c>
      <c r="K4908" s="564" t="s">
        <v>1090</v>
      </c>
      <c r="L4908" s="564" t="s">
        <v>2098</v>
      </c>
      <c r="M4908" s="564" t="s">
        <v>2098</v>
      </c>
      <c r="N4908" s="564" t="s">
        <v>45</v>
      </c>
      <c r="O4908" s="564" t="s">
        <v>2099</v>
      </c>
      <c r="P4908" s="23"/>
      <c r="Q4908" s="23"/>
      <c r="R4908" s="23"/>
      <c r="S4908" s="23"/>
      <c r="T4908" s="23"/>
      <c r="U4908" s="23"/>
      <c r="V4908" s="23"/>
      <c r="W4908" s="23"/>
      <c r="X4908" s="23"/>
      <c r="Y4908" s="23"/>
      <c r="Z4908" s="23"/>
    </row>
    <row r="4909" spans="1:26" ht="13">
      <c r="A4909" s="562" t="s">
        <v>10514</v>
      </c>
      <c r="B4909" s="563" t="s">
        <v>10515</v>
      </c>
      <c r="C4909" s="564" t="s">
        <v>1612</v>
      </c>
      <c r="D4909" s="565">
        <v>39506</v>
      </c>
      <c r="E4909" s="565">
        <v>39514</v>
      </c>
      <c r="F4909" s="566">
        <v>19100</v>
      </c>
      <c r="G4909" s="564" t="s">
        <v>297</v>
      </c>
      <c r="H4909" s="564"/>
      <c r="I4909" s="564" t="s">
        <v>2073</v>
      </c>
      <c r="J4909" s="564" t="s">
        <v>1069</v>
      </c>
      <c r="K4909" s="564" t="s">
        <v>1105</v>
      </c>
      <c r="L4909" s="564" t="s">
        <v>2098</v>
      </c>
      <c r="M4909" s="564" t="s">
        <v>2098</v>
      </c>
      <c r="N4909" s="564" t="s">
        <v>225</v>
      </c>
      <c r="O4909" s="564" t="s">
        <v>2099</v>
      </c>
      <c r="P4909" s="23"/>
      <c r="Q4909" s="23"/>
      <c r="R4909" s="23"/>
      <c r="S4909" s="23"/>
      <c r="T4909" s="23"/>
      <c r="U4909" s="23"/>
      <c r="V4909" s="23"/>
      <c r="W4909" s="23"/>
      <c r="X4909" s="23"/>
      <c r="Y4909" s="23"/>
      <c r="Z4909" s="23"/>
    </row>
    <row r="4910" spans="1:26" ht="13">
      <c r="A4910" s="562" t="s">
        <v>10516</v>
      </c>
      <c r="B4910" s="563" t="s">
        <v>10478</v>
      </c>
      <c r="C4910" s="564" t="s">
        <v>1612</v>
      </c>
      <c r="D4910" s="565">
        <v>39503</v>
      </c>
      <c r="E4910" s="565">
        <v>39514</v>
      </c>
      <c r="F4910" s="567">
        <v>550</v>
      </c>
      <c r="G4910" s="564" t="s">
        <v>297</v>
      </c>
      <c r="H4910" s="564"/>
      <c r="I4910" s="564" t="s">
        <v>2073</v>
      </c>
      <c r="J4910" s="564" t="s">
        <v>1069</v>
      </c>
      <c r="K4910" s="564" t="s">
        <v>1105</v>
      </c>
      <c r="L4910" s="564" t="s">
        <v>2098</v>
      </c>
      <c r="M4910" s="564" t="s">
        <v>2098</v>
      </c>
      <c r="N4910" s="564" t="s">
        <v>225</v>
      </c>
      <c r="O4910" s="564" t="s">
        <v>2099</v>
      </c>
      <c r="P4910" s="23"/>
      <c r="Q4910" s="23"/>
      <c r="R4910" s="23"/>
      <c r="S4910" s="23"/>
      <c r="T4910" s="23"/>
      <c r="U4910" s="23"/>
      <c r="V4910" s="23"/>
      <c r="W4910" s="23"/>
      <c r="X4910" s="23"/>
      <c r="Y4910" s="23"/>
      <c r="Z4910" s="23"/>
    </row>
    <row r="4911" spans="1:26" ht="13">
      <c r="A4911" s="562" t="s">
        <v>10517</v>
      </c>
      <c r="B4911" s="563" t="s">
        <v>10504</v>
      </c>
      <c r="C4911" s="564" t="s">
        <v>1612</v>
      </c>
      <c r="D4911" s="565">
        <v>39499</v>
      </c>
      <c r="E4911" s="565">
        <v>39520</v>
      </c>
      <c r="F4911" s="567"/>
      <c r="G4911" s="564" t="s">
        <v>297</v>
      </c>
      <c r="H4911" s="564"/>
      <c r="I4911" s="564" t="s">
        <v>10505</v>
      </c>
      <c r="J4911" s="564" t="s">
        <v>1069</v>
      </c>
      <c r="K4911" s="564" t="s">
        <v>1198</v>
      </c>
      <c r="L4911" s="564" t="s">
        <v>2098</v>
      </c>
      <c r="M4911" s="564" t="s">
        <v>2098</v>
      </c>
      <c r="N4911" s="564" t="s">
        <v>132</v>
      </c>
      <c r="O4911" s="564" t="s">
        <v>2099</v>
      </c>
      <c r="P4911" s="23"/>
      <c r="Q4911" s="23"/>
      <c r="R4911" s="23"/>
      <c r="S4911" s="23"/>
      <c r="T4911" s="23"/>
      <c r="U4911" s="23"/>
      <c r="V4911" s="23"/>
      <c r="W4911" s="23"/>
      <c r="X4911" s="23"/>
      <c r="Y4911" s="23"/>
      <c r="Z4911" s="23"/>
    </row>
    <row r="4912" spans="1:26" ht="13">
      <c r="A4912" s="562" t="s">
        <v>10518</v>
      </c>
      <c r="B4912" s="563" t="s">
        <v>10519</v>
      </c>
      <c r="C4912" s="564" t="s">
        <v>1612</v>
      </c>
      <c r="D4912" s="565">
        <v>39496</v>
      </c>
      <c r="E4912" s="565">
        <v>39500</v>
      </c>
      <c r="F4912" s="567"/>
      <c r="G4912" s="564" t="s">
        <v>297</v>
      </c>
      <c r="H4912" s="564"/>
      <c r="I4912" s="564" t="s">
        <v>45</v>
      </c>
      <c r="J4912" s="564" t="s">
        <v>1069</v>
      </c>
      <c r="K4912" s="564" t="s">
        <v>1090</v>
      </c>
      <c r="L4912" s="564" t="s">
        <v>2098</v>
      </c>
      <c r="M4912" s="564" t="s">
        <v>2098</v>
      </c>
      <c r="N4912" s="564" t="s">
        <v>45</v>
      </c>
      <c r="O4912" s="564" t="s">
        <v>2099</v>
      </c>
      <c r="P4912" s="23"/>
      <c r="Q4912" s="23"/>
      <c r="R4912" s="23"/>
      <c r="S4912" s="23"/>
      <c r="T4912" s="23"/>
      <c r="U4912" s="23"/>
      <c r="V4912" s="23"/>
      <c r="W4912" s="23"/>
      <c r="X4912" s="23"/>
      <c r="Y4912" s="23"/>
      <c r="Z4912" s="23"/>
    </row>
    <row r="4913" spans="1:26" ht="13">
      <c r="A4913" s="562" t="s">
        <v>10520</v>
      </c>
      <c r="B4913" s="563" t="s">
        <v>10209</v>
      </c>
      <c r="C4913" s="564" t="s">
        <v>9855</v>
      </c>
      <c r="D4913" s="565">
        <v>39801</v>
      </c>
      <c r="E4913" s="565">
        <v>39804</v>
      </c>
      <c r="F4913" s="566">
        <v>600000</v>
      </c>
      <c r="G4913" s="564" t="s">
        <v>1780</v>
      </c>
      <c r="H4913" s="564"/>
      <c r="I4913" s="564" t="s">
        <v>45</v>
      </c>
      <c r="J4913" s="564" t="s">
        <v>1069</v>
      </c>
      <c r="K4913" s="564" t="s">
        <v>1090</v>
      </c>
      <c r="L4913" s="564" t="s">
        <v>2098</v>
      </c>
      <c r="M4913" s="564" t="s">
        <v>2098</v>
      </c>
      <c r="N4913" s="564" t="s">
        <v>45</v>
      </c>
      <c r="O4913" s="564" t="s">
        <v>2099</v>
      </c>
      <c r="P4913" s="23"/>
      <c r="Q4913" s="23"/>
      <c r="R4913" s="23"/>
      <c r="S4913" s="23"/>
      <c r="T4913" s="23"/>
      <c r="U4913" s="23"/>
      <c r="V4913" s="23"/>
      <c r="W4913" s="23"/>
      <c r="X4913" s="23"/>
      <c r="Y4913" s="23"/>
      <c r="Z4913" s="23"/>
    </row>
    <row r="4914" spans="1:26" ht="13">
      <c r="A4914" s="562" t="s">
        <v>10521</v>
      </c>
      <c r="B4914" s="563" t="s">
        <v>10522</v>
      </c>
      <c r="C4914" s="564" t="s">
        <v>1612</v>
      </c>
      <c r="D4914" s="565">
        <v>39496</v>
      </c>
      <c r="E4914" s="565">
        <v>39503</v>
      </c>
      <c r="F4914" s="566">
        <v>1500</v>
      </c>
      <c r="G4914" s="564" t="s">
        <v>297</v>
      </c>
      <c r="H4914" s="564"/>
      <c r="I4914" s="564" t="s">
        <v>70</v>
      </c>
      <c r="J4914" s="564" t="s">
        <v>1069</v>
      </c>
      <c r="K4914" s="564" t="s">
        <v>1120</v>
      </c>
      <c r="L4914" s="564" t="s">
        <v>2098</v>
      </c>
      <c r="M4914" s="564" t="s">
        <v>2098</v>
      </c>
      <c r="N4914" s="564" t="s">
        <v>70</v>
      </c>
      <c r="O4914" s="564" t="s">
        <v>2099</v>
      </c>
      <c r="P4914" s="23"/>
      <c r="Q4914" s="23"/>
      <c r="R4914" s="23"/>
      <c r="S4914" s="23"/>
      <c r="T4914" s="23"/>
      <c r="U4914" s="23"/>
      <c r="V4914" s="23"/>
      <c r="W4914" s="23"/>
      <c r="X4914" s="23"/>
      <c r="Y4914" s="23"/>
      <c r="Z4914" s="23"/>
    </row>
    <row r="4915" spans="1:26" ht="13">
      <c r="A4915" s="562" t="s">
        <v>10523</v>
      </c>
      <c r="B4915" s="563" t="s">
        <v>10524</v>
      </c>
      <c r="C4915" s="564" t="s">
        <v>9855</v>
      </c>
      <c r="D4915" s="565">
        <v>39778</v>
      </c>
      <c r="E4915" s="565">
        <v>39782</v>
      </c>
      <c r="F4915" s="566">
        <v>6800000</v>
      </c>
      <c r="G4915" s="564" t="s">
        <v>1604</v>
      </c>
      <c r="H4915" s="564"/>
      <c r="I4915" s="564" t="s">
        <v>70</v>
      </c>
      <c r="J4915" s="564" t="s">
        <v>1069</v>
      </c>
      <c r="K4915" s="564" t="s">
        <v>1120</v>
      </c>
      <c r="L4915" s="564" t="s">
        <v>2098</v>
      </c>
      <c r="M4915" s="564" t="s">
        <v>2098</v>
      </c>
      <c r="N4915" s="564" t="s">
        <v>70</v>
      </c>
      <c r="O4915" s="564" t="s">
        <v>2099</v>
      </c>
      <c r="P4915" s="23"/>
      <c r="Q4915" s="23"/>
      <c r="R4915" s="23"/>
      <c r="S4915" s="23"/>
      <c r="T4915" s="23"/>
      <c r="U4915" s="23"/>
      <c r="V4915" s="23"/>
      <c r="W4915" s="23"/>
      <c r="X4915" s="23"/>
      <c r="Y4915" s="23"/>
      <c r="Z4915" s="23"/>
    </row>
    <row r="4916" spans="1:26" ht="13">
      <c r="A4916" s="562" t="s">
        <v>10525</v>
      </c>
      <c r="B4916" s="563" t="s">
        <v>10526</v>
      </c>
      <c r="C4916" s="564" t="s">
        <v>1873</v>
      </c>
      <c r="D4916" s="565">
        <v>39489</v>
      </c>
      <c r="E4916" s="565">
        <v>39500</v>
      </c>
      <c r="F4916" s="567"/>
      <c r="G4916" s="564" t="s">
        <v>297</v>
      </c>
      <c r="H4916" s="564"/>
      <c r="I4916" s="564" t="s">
        <v>170</v>
      </c>
      <c r="J4916" s="564" t="s">
        <v>1069</v>
      </c>
      <c r="K4916" s="564" t="s">
        <v>1105</v>
      </c>
      <c r="L4916" s="564" t="s">
        <v>2098</v>
      </c>
      <c r="M4916" s="564" t="s">
        <v>2098</v>
      </c>
      <c r="N4916" s="564" t="s">
        <v>170</v>
      </c>
      <c r="O4916" s="564" t="s">
        <v>2099</v>
      </c>
      <c r="P4916" s="23"/>
      <c r="Q4916" s="23"/>
      <c r="R4916" s="23"/>
      <c r="S4916" s="23"/>
      <c r="T4916" s="23"/>
      <c r="U4916" s="23"/>
      <c r="V4916" s="23"/>
      <c r="W4916" s="23"/>
      <c r="X4916" s="23"/>
      <c r="Y4916" s="23"/>
      <c r="Z4916" s="23"/>
    </row>
    <row r="4917" spans="1:26" ht="13">
      <c r="A4917" s="562" t="s">
        <v>10527</v>
      </c>
      <c r="B4917" s="563" t="s">
        <v>10528</v>
      </c>
      <c r="C4917" s="564" t="s">
        <v>9855</v>
      </c>
      <c r="D4917" s="565">
        <v>39755</v>
      </c>
      <c r="E4917" s="565">
        <v>39759</v>
      </c>
      <c r="F4917" s="566">
        <v>2000</v>
      </c>
      <c r="G4917" s="564" t="s">
        <v>1780</v>
      </c>
      <c r="H4917" s="564"/>
      <c r="I4917" s="564" t="s">
        <v>45</v>
      </c>
      <c r="J4917" s="564" t="s">
        <v>1069</v>
      </c>
      <c r="K4917" s="564" t="s">
        <v>1090</v>
      </c>
      <c r="L4917" s="564" t="s">
        <v>2098</v>
      </c>
      <c r="M4917" s="564" t="s">
        <v>2098</v>
      </c>
      <c r="N4917" s="564" t="s">
        <v>45</v>
      </c>
      <c r="O4917" s="564" t="s">
        <v>2099</v>
      </c>
      <c r="P4917" s="23"/>
      <c r="Q4917" s="23"/>
      <c r="R4917" s="23"/>
      <c r="S4917" s="23"/>
      <c r="T4917" s="23"/>
      <c r="U4917" s="23"/>
      <c r="V4917" s="23"/>
      <c r="W4917" s="23"/>
      <c r="X4917" s="23"/>
      <c r="Y4917" s="23"/>
      <c r="Z4917" s="23"/>
    </row>
    <row r="4918" spans="1:26" ht="13">
      <c r="A4918" s="562" t="s">
        <v>10529</v>
      </c>
      <c r="B4918" s="563" t="s">
        <v>10530</v>
      </c>
      <c r="C4918" s="564" t="s">
        <v>2191</v>
      </c>
      <c r="D4918" s="565">
        <v>39482</v>
      </c>
      <c r="E4918" s="565">
        <v>39490</v>
      </c>
      <c r="F4918" s="566">
        <v>5600000</v>
      </c>
      <c r="G4918" s="564" t="s">
        <v>2558</v>
      </c>
      <c r="H4918" s="564"/>
      <c r="I4918" s="564" t="s">
        <v>8659</v>
      </c>
      <c r="J4918" s="564" t="s">
        <v>1069</v>
      </c>
      <c r="K4918" s="564" t="s">
        <v>1205</v>
      </c>
      <c r="L4918" s="564" t="s">
        <v>2098</v>
      </c>
      <c r="M4918" s="564" t="s">
        <v>2098</v>
      </c>
      <c r="N4918" s="564" t="s">
        <v>1073</v>
      </c>
      <c r="O4918" s="564" t="s">
        <v>2099</v>
      </c>
      <c r="P4918" s="23"/>
      <c r="Q4918" s="23"/>
      <c r="R4918" s="23"/>
      <c r="S4918" s="23"/>
      <c r="T4918" s="23"/>
      <c r="U4918" s="23"/>
      <c r="V4918" s="23"/>
      <c r="W4918" s="23"/>
      <c r="X4918" s="23"/>
      <c r="Y4918" s="23"/>
      <c r="Z4918" s="23"/>
    </row>
    <row r="4919" spans="1:26" ht="13">
      <c r="A4919" s="562" t="s">
        <v>10531</v>
      </c>
      <c r="B4919" s="563" t="s">
        <v>10532</v>
      </c>
      <c r="C4919" s="564" t="s">
        <v>8539</v>
      </c>
      <c r="D4919" s="565">
        <v>39653</v>
      </c>
      <c r="E4919" s="565">
        <v>39660</v>
      </c>
      <c r="F4919" s="566">
        <v>1575000</v>
      </c>
      <c r="G4919" s="564" t="s">
        <v>1780</v>
      </c>
      <c r="H4919" s="564"/>
      <c r="I4919" s="564" t="s">
        <v>121</v>
      </c>
      <c r="J4919" s="564" t="s">
        <v>1069</v>
      </c>
      <c r="K4919" s="564" t="s">
        <v>1105</v>
      </c>
      <c r="L4919" s="564" t="s">
        <v>2098</v>
      </c>
      <c r="M4919" s="564" t="s">
        <v>2098</v>
      </c>
      <c r="N4919" s="564" t="s">
        <v>1073</v>
      </c>
      <c r="O4919" s="564" t="s">
        <v>2099</v>
      </c>
      <c r="P4919" s="23"/>
      <c r="Q4919" s="23"/>
      <c r="R4919" s="23"/>
      <c r="S4919" s="23"/>
      <c r="T4919" s="23"/>
      <c r="U4919" s="23"/>
      <c r="V4919" s="23"/>
      <c r="W4919" s="23"/>
      <c r="X4919" s="23"/>
      <c r="Y4919" s="23"/>
      <c r="Z4919" s="23"/>
    </row>
    <row r="4920" spans="1:26" ht="13">
      <c r="A4920" s="562" t="s">
        <v>10533</v>
      </c>
      <c r="B4920" s="563" t="s">
        <v>10345</v>
      </c>
      <c r="C4920" s="564" t="s">
        <v>1612</v>
      </c>
      <c r="D4920" s="565">
        <v>39479</v>
      </c>
      <c r="E4920" s="565">
        <v>39498</v>
      </c>
      <c r="F4920" s="566">
        <v>1540</v>
      </c>
      <c r="G4920" s="564" t="s">
        <v>297</v>
      </c>
      <c r="H4920" s="564"/>
      <c r="I4920" s="564" t="s">
        <v>7259</v>
      </c>
      <c r="J4920" s="564" t="s">
        <v>1069</v>
      </c>
      <c r="K4920" s="564" t="s">
        <v>1070</v>
      </c>
      <c r="L4920" s="564" t="s">
        <v>2098</v>
      </c>
      <c r="M4920" s="564" t="s">
        <v>2098</v>
      </c>
      <c r="N4920" s="564" t="s">
        <v>1082</v>
      </c>
      <c r="O4920" s="564" t="s">
        <v>2099</v>
      </c>
      <c r="P4920" s="23"/>
      <c r="Q4920" s="23"/>
      <c r="R4920" s="23"/>
      <c r="S4920" s="23"/>
      <c r="T4920" s="23"/>
      <c r="U4920" s="23"/>
      <c r="V4920" s="23"/>
      <c r="W4920" s="23"/>
      <c r="X4920" s="23"/>
      <c r="Y4920" s="23"/>
      <c r="Z4920" s="23"/>
    </row>
    <row r="4921" spans="1:26" ht="13">
      <c r="A4921" s="562" t="s">
        <v>10534</v>
      </c>
      <c r="B4921" s="563" t="s">
        <v>10535</v>
      </c>
      <c r="C4921" s="564" t="s">
        <v>8539</v>
      </c>
      <c r="D4921" s="565">
        <v>39520</v>
      </c>
      <c r="E4921" s="565">
        <v>39525</v>
      </c>
      <c r="F4921" s="566">
        <v>1616</v>
      </c>
      <c r="G4921" s="564" t="s">
        <v>1636</v>
      </c>
      <c r="H4921" s="564"/>
      <c r="I4921" s="564" t="s">
        <v>170</v>
      </c>
      <c r="J4921" s="564" t="s">
        <v>1069</v>
      </c>
      <c r="K4921" s="564" t="s">
        <v>1105</v>
      </c>
      <c r="L4921" s="564" t="s">
        <v>2098</v>
      </c>
      <c r="M4921" s="564" t="s">
        <v>2098</v>
      </c>
      <c r="N4921" s="564" t="s">
        <v>170</v>
      </c>
      <c r="O4921" s="564" t="s">
        <v>2099</v>
      </c>
      <c r="P4921" s="23"/>
      <c r="Q4921" s="23"/>
      <c r="R4921" s="23"/>
      <c r="S4921" s="23"/>
      <c r="T4921" s="23"/>
      <c r="U4921" s="23"/>
      <c r="V4921" s="23"/>
      <c r="W4921" s="23"/>
      <c r="X4921" s="23"/>
      <c r="Y4921" s="23"/>
      <c r="Z4921" s="23"/>
    </row>
    <row r="4922" spans="1:26" ht="13">
      <c r="A4922" s="562" t="s">
        <v>10536</v>
      </c>
      <c r="B4922" s="563" t="s">
        <v>10504</v>
      </c>
      <c r="C4922" s="564" t="s">
        <v>1612</v>
      </c>
      <c r="D4922" s="565">
        <v>39479</v>
      </c>
      <c r="E4922" s="565">
        <v>39499</v>
      </c>
      <c r="F4922" s="566">
        <v>30454600</v>
      </c>
      <c r="G4922" s="564" t="s">
        <v>297</v>
      </c>
      <c r="H4922" s="564"/>
      <c r="I4922" s="564" t="s">
        <v>10537</v>
      </c>
      <c r="J4922" s="564" t="s">
        <v>1069</v>
      </c>
      <c r="K4922" s="564" t="s">
        <v>1198</v>
      </c>
      <c r="L4922" s="564" t="s">
        <v>2098</v>
      </c>
      <c r="M4922" s="564" t="s">
        <v>2098</v>
      </c>
      <c r="N4922" s="564" t="s">
        <v>132</v>
      </c>
      <c r="O4922" s="564" t="s">
        <v>2099</v>
      </c>
      <c r="P4922" s="23"/>
      <c r="Q4922" s="23"/>
      <c r="R4922" s="23"/>
      <c r="S4922" s="23"/>
      <c r="T4922" s="23"/>
      <c r="U4922" s="23"/>
      <c r="V4922" s="23"/>
      <c r="W4922" s="23"/>
      <c r="X4922" s="23"/>
      <c r="Y4922" s="23"/>
      <c r="Z4922" s="23"/>
    </row>
    <row r="4923" spans="1:26" ht="13">
      <c r="A4923" s="562" t="s">
        <v>10538</v>
      </c>
      <c r="B4923" s="563" t="s">
        <v>10345</v>
      </c>
      <c r="C4923" s="564" t="s">
        <v>1612</v>
      </c>
      <c r="D4923" s="565">
        <v>39476</v>
      </c>
      <c r="E4923" s="565">
        <v>39507</v>
      </c>
      <c r="F4923" s="566">
        <v>77960</v>
      </c>
      <c r="G4923" s="564" t="s">
        <v>297</v>
      </c>
      <c r="H4923" s="564"/>
      <c r="I4923" s="564" t="s">
        <v>7259</v>
      </c>
      <c r="J4923" s="564" t="s">
        <v>1069</v>
      </c>
      <c r="K4923" s="564" t="s">
        <v>1070</v>
      </c>
      <c r="L4923" s="564" t="s">
        <v>2098</v>
      </c>
      <c r="M4923" s="564" t="s">
        <v>2098</v>
      </c>
      <c r="N4923" s="564" t="s">
        <v>1082</v>
      </c>
      <c r="O4923" s="564" t="s">
        <v>2099</v>
      </c>
      <c r="P4923" s="23"/>
      <c r="Q4923" s="23"/>
      <c r="R4923" s="23"/>
      <c r="S4923" s="23"/>
      <c r="T4923" s="23"/>
      <c r="U4923" s="23"/>
      <c r="V4923" s="23"/>
      <c r="W4923" s="23"/>
      <c r="X4923" s="23"/>
      <c r="Y4923" s="23"/>
      <c r="Z4923" s="23"/>
    </row>
    <row r="4924" spans="1:26" ht="13">
      <c r="A4924" s="562" t="s">
        <v>10539</v>
      </c>
      <c r="B4924" s="563" t="s">
        <v>10175</v>
      </c>
      <c r="C4924" s="564" t="s">
        <v>1612</v>
      </c>
      <c r="D4924" s="565">
        <v>39475</v>
      </c>
      <c r="E4924" s="565">
        <v>39478</v>
      </c>
      <c r="F4924" s="566">
        <v>2780</v>
      </c>
      <c r="G4924" s="564" t="s">
        <v>297</v>
      </c>
      <c r="H4924" s="564"/>
      <c r="I4924" s="564" t="s">
        <v>70</v>
      </c>
      <c r="J4924" s="564" t="s">
        <v>1069</v>
      </c>
      <c r="K4924" s="564" t="s">
        <v>1120</v>
      </c>
      <c r="L4924" s="564" t="s">
        <v>2098</v>
      </c>
      <c r="M4924" s="564" t="s">
        <v>2098</v>
      </c>
      <c r="N4924" s="564" t="s">
        <v>70</v>
      </c>
      <c r="O4924" s="564" t="s">
        <v>2099</v>
      </c>
      <c r="P4924" s="23"/>
      <c r="Q4924" s="23"/>
      <c r="R4924" s="23"/>
      <c r="S4924" s="23"/>
      <c r="T4924" s="23"/>
      <c r="U4924" s="23"/>
      <c r="V4924" s="23"/>
      <c r="W4924" s="23"/>
      <c r="X4924" s="23"/>
      <c r="Y4924" s="23"/>
      <c r="Z4924" s="23"/>
    </row>
    <row r="4925" spans="1:26" ht="13">
      <c r="A4925" s="562" t="s">
        <v>10540</v>
      </c>
      <c r="B4925" s="563" t="s">
        <v>10263</v>
      </c>
      <c r="C4925" s="564" t="s">
        <v>1612</v>
      </c>
      <c r="D4925" s="565">
        <v>39471</v>
      </c>
      <c r="E4925" s="565">
        <v>39478</v>
      </c>
      <c r="F4925" s="566">
        <v>36870</v>
      </c>
      <c r="G4925" s="564" t="s">
        <v>297</v>
      </c>
      <c r="H4925" s="564"/>
      <c r="I4925" s="564" t="s">
        <v>9250</v>
      </c>
      <c r="J4925" s="564" t="s">
        <v>1069</v>
      </c>
      <c r="K4925" s="564" t="s">
        <v>1090</v>
      </c>
      <c r="L4925" s="564" t="s">
        <v>2098</v>
      </c>
      <c r="M4925" s="564" t="s">
        <v>2098</v>
      </c>
      <c r="N4925" s="564" t="s">
        <v>45</v>
      </c>
      <c r="O4925" s="564" t="s">
        <v>2099</v>
      </c>
      <c r="P4925" s="23"/>
      <c r="Q4925" s="23"/>
      <c r="R4925" s="23"/>
      <c r="S4925" s="23"/>
      <c r="T4925" s="23"/>
      <c r="U4925" s="23"/>
      <c r="V4925" s="23"/>
      <c r="W4925" s="23"/>
      <c r="X4925" s="23"/>
      <c r="Y4925" s="23"/>
      <c r="Z4925" s="23"/>
    </row>
    <row r="4926" spans="1:26" ht="13">
      <c r="A4926" s="562" t="s">
        <v>10541</v>
      </c>
      <c r="B4926" s="563" t="s">
        <v>10542</v>
      </c>
      <c r="C4926" s="564" t="s">
        <v>6860</v>
      </c>
      <c r="D4926" s="565">
        <v>39471</v>
      </c>
      <c r="E4926" s="565">
        <v>39471</v>
      </c>
      <c r="F4926" s="566">
        <v>8012700</v>
      </c>
      <c r="G4926" s="564" t="s">
        <v>2168</v>
      </c>
      <c r="H4926" s="564"/>
      <c r="I4926" s="564" t="s">
        <v>9860</v>
      </c>
      <c r="J4926" s="564" t="s">
        <v>1069</v>
      </c>
      <c r="K4926" s="564" t="s">
        <v>1070</v>
      </c>
      <c r="L4926" s="564" t="s">
        <v>2098</v>
      </c>
      <c r="M4926" s="564" t="s">
        <v>2098</v>
      </c>
      <c r="N4926" s="564" t="s">
        <v>1082</v>
      </c>
      <c r="O4926" s="564" t="s">
        <v>2099</v>
      </c>
      <c r="P4926" s="23"/>
      <c r="Q4926" s="23"/>
      <c r="R4926" s="23"/>
      <c r="S4926" s="23"/>
      <c r="T4926" s="23"/>
      <c r="U4926" s="23"/>
      <c r="V4926" s="23"/>
      <c r="W4926" s="23"/>
      <c r="X4926" s="23"/>
      <c r="Y4926" s="23"/>
      <c r="Z4926" s="23"/>
    </row>
    <row r="4927" spans="1:26" ht="13">
      <c r="A4927" s="562" t="s">
        <v>10543</v>
      </c>
      <c r="B4927" s="563" t="s">
        <v>10544</v>
      </c>
      <c r="C4927" s="564" t="s">
        <v>1612</v>
      </c>
      <c r="D4927" s="565">
        <v>39468</v>
      </c>
      <c r="E4927" s="565">
        <v>39477</v>
      </c>
      <c r="F4927" s="566">
        <v>1601600</v>
      </c>
      <c r="G4927" s="564" t="s">
        <v>297</v>
      </c>
      <c r="H4927" s="564"/>
      <c r="I4927" s="564" t="s">
        <v>45</v>
      </c>
      <c r="J4927" s="564" t="s">
        <v>1069</v>
      </c>
      <c r="K4927" s="564" t="s">
        <v>1090</v>
      </c>
      <c r="L4927" s="564" t="s">
        <v>2098</v>
      </c>
      <c r="M4927" s="564" t="s">
        <v>2098</v>
      </c>
      <c r="N4927" s="564" t="s">
        <v>45</v>
      </c>
      <c r="O4927" s="564" t="s">
        <v>2099</v>
      </c>
      <c r="P4927" s="23"/>
      <c r="Q4927" s="23"/>
      <c r="R4927" s="23"/>
      <c r="S4927" s="23"/>
      <c r="T4927" s="23"/>
      <c r="U4927" s="23"/>
      <c r="V4927" s="23"/>
      <c r="W4927" s="23"/>
      <c r="X4927" s="23"/>
      <c r="Y4927" s="23"/>
      <c r="Z4927" s="23"/>
    </row>
    <row r="4928" spans="1:26" ht="13">
      <c r="A4928" s="562" t="s">
        <v>10545</v>
      </c>
      <c r="B4928" s="563" t="s">
        <v>10345</v>
      </c>
      <c r="C4928" s="564" t="s">
        <v>1612</v>
      </c>
      <c r="D4928" s="565">
        <v>39468</v>
      </c>
      <c r="E4928" s="565">
        <v>39478</v>
      </c>
      <c r="F4928" s="566">
        <v>2905</v>
      </c>
      <c r="G4928" s="564" t="s">
        <v>297</v>
      </c>
      <c r="H4928" s="564"/>
      <c r="I4928" s="564" t="s">
        <v>7259</v>
      </c>
      <c r="J4928" s="564" t="s">
        <v>1069</v>
      </c>
      <c r="K4928" s="564" t="s">
        <v>1070</v>
      </c>
      <c r="L4928" s="564" t="s">
        <v>2098</v>
      </c>
      <c r="M4928" s="564" t="s">
        <v>2098</v>
      </c>
      <c r="N4928" s="564" t="s">
        <v>1082</v>
      </c>
      <c r="O4928" s="564" t="s">
        <v>2099</v>
      </c>
      <c r="P4928" s="23"/>
      <c r="Q4928" s="23"/>
      <c r="R4928" s="23"/>
      <c r="S4928" s="23"/>
      <c r="T4928" s="23"/>
      <c r="U4928" s="23"/>
      <c r="V4928" s="23"/>
      <c r="W4928" s="23"/>
      <c r="X4928" s="23"/>
      <c r="Y4928" s="23"/>
      <c r="Z4928" s="23"/>
    </row>
    <row r="4929" spans="1:26" ht="13">
      <c r="A4929" s="562" t="s">
        <v>10546</v>
      </c>
      <c r="B4929" s="563" t="s">
        <v>10547</v>
      </c>
      <c r="C4929" s="564" t="s">
        <v>6860</v>
      </c>
      <c r="D4929" s="565">
        <v>39264</v>
      </c>
      <c r="E4929" s="565">
        <v>39447</v>
      </c>
      <c r="F4929" s="567"/>
      <c r="G4929" s="564" t="s">
        <v>2168</v>
      </c>
      <c r="H4929" s="564"/>
      <c r="I4929" s="564" t="s">
        <v>10548</v>
      </c>
      <c r="J4929" s="564" t="s">
        <v>1069</v>
      </c>
      <c r="K4929" s="564" t="s">
        <v>1070</v>
      </c>
      <c r="L4929" s="564" t="s">
        <v>2098</v>
      </c>
      <c r="M4929" s="564" t="s">
        <v>2098</v>
      </c>
      <c r="N4929" s="564" t="s">
        <v>1082</v>
      </c>
      <c r="O4929" s="564" t="s">
        <v>2099</v>
      </c>
      <c r="P4929" s="23"/>
      <c r="Q4929" s="23"/>
      <c r="R4929" s="23"/>
      <c r="S4929" s="23"/>
      <c r="T4929" s="23"/>
      <c r="U4929" s="23"/>
      <c r="V4929" s="23"/>
      <c r="W4929" s="23"/>
      <c r="X4929" s="23"/>
      <c r="Y4929" s="23"/>
      <c r="Z4929" s="23"/>
    </row>
    <row r="4930" spans="1:26" ht="13">
      <c r="A4930" s="562" t="s">
        <v>10549</v>
      </c>
      <c r="B4930" s="563" t="s">
        <v>10550</v>
      </c>
      <c r="C4930" s="564" t="s">
        <v>2191</v>
      </c>
      <c r="D4930" s="565">
        <v>39234</v>
      </c>
      <c r="E4930" s="565">
        <v>39447</v>
      </c>
      <c r="F4930" s="567"/>
      <c r="G4930" s="564" t="s">
        <v>1187</v>
      </c>
      <c r="H4930" s="564"/>
      <c r="I4930" s="564" t="s">
        <v>1826</v>
      </c>
      <c r="J4930" s="564" t="s">
        <v>1069</v>
      </c>
      <c r="K4930" s="564" t="s">
        <v>1070</v>
      </c>
      <c r="L4930" s="564" t="s">
        <v>2098</v>
      </c>
      <c r="M4930" s="564" t="s">
        <v>2098</v>
      </c>
      <c r="N4930" s="564" t="s">
        <v>1082</v>
      </c>
      <c r="O4930" s="564" t="s">
        <v>2099</v>
      </c>
      <c r="P4930" s="23"/>
      <c r="Q4930" s="23"/>
      <c r="R4930" s="23"/>
      <c r="S4930" s="23"/>
      <c r="T4930" s="23"/>
      <c r="U4930" s="23"/>
      <c r="V4930" s="23"/>
      <c r="W4930" s="23"/>
      <c r="X4930" s="23"/>
      <c r="Y4930" s="23"/>
      <c r="Z4930" s="23"/>
    </row>
    <row r="4931" spans="1:26" ht="13">
      <c r="A4931" s="562" t="s">
        <v>10551</v>
      </c>
      <c r="B4931" s="563" t="s">
        <v>10552</v>
      </c>
      <c r="C4931" s="564" t="s">
        <v>1612</v>
      </c>
      <c r="D4931" s="565">
        <v>39263</v>
      </c>
      <c r="E4931" s="565">
        <v>40358</v>
      </c>
      <c r="F4931" s="566">
        <v>7933473750</v>
      </c>
      <c r="G4931" s="564" t="s">
        <v>8532</v>
      </c>
      <c r="H4931" s="564"/>
      <c r="I4931" s="564" t="s">
        <v>45</v>
      </c>
      <c r="J4931" s="564" t="s">
        <v>1069</v>
      </c>
      <c r="K4931" s="564" t="s">
        <v>1090</v>
      </c>
      <c r="L4931" s="564" t="s">
        <v>2098</v>
      </c>
      <c r="M4931" s="564" t="s">
        <v>2098</v>
      </c>
      <c r="N4931" s="564" t="s">
        <v>45</v>
      </c>
      <c r="O4931" s="564" t="s">
        <v>2099</v>
      </c>
      <c r="P4931" s="23"/>
      <c r="Q4931" s="23"/>
      <c r="R4931" s="23"/>
      <c r="S4931" s="23"/>
      <c r="T4931" s="23"/>
      <c r="U4931" s="23"/>
      <c r="V4931" s="23"/>
      <c r="W4931" s="23"/>
      <c r="X4931" s="23"/>
      <c r="Y4931" s="23"/>
      <c r="Z4931" s="23"/>
    </row>
    <row r="4932" spans="1:26" ht="13">
      <c r="A4932" s="562" t="s">
        <v>10553</v>
      </c>
      <c r="B4932" s="563" t="s">
        <v>10554</v>
      </c>
      <c r="C4932" s="564" t="s">
        <v>6860</v>
      </c>
      <c r="D4932" s="565">
        <v>38385</v>
      </c>
      <c r="E4932" s="565">
        <v>38401</v>
      </c>
      <c r="F4932" s="566">
        <v>8577273</v>
      </c>
      <c r="G4932" s="564" t="s">
        <v>1116</v>
      </c>
      <c r="H4932" s="564"/>
      <c r="I4932" s="564" t="s">
        <v>10555</v>
      </c>
      <c r="J4932" s="564" t="s">
        <v>1069</v>
      </c>
      <c r="K4932" s="564" t="s">
        <v>1205</v>
      </c>
      <c r="L4932" s="564" t="s">
        <v>2098</v>
      </c>
      <c r="M4932" s="564" t="s">
        <v>2098</v>
      </c>
      <c r="N4932" s="564" t="s">
        <v>1368</v>
      </c>
      <c r="O4932" s="564" t="s">
        <v>2099</v>
      </c>
      <c r="P4932" s="23"/>
      <c r="Q4932" s="23"/>
      <c r="R4932" s="23"/>
      <c r="S4932" s="23"/>
      <c r="T4932" s="23"/>
      <c r="U4932" s="23"/>
      <c r="V4932" s="23"/>
      <c r="W4932" s="23"/>
      <c r="X4932" s="23"/>
      <c r="Y4932" s="23"/>
      <c r="Z4932" s="23"/>
    </row>
    <row r="4933" spans="1:26" ht="13">
      <c r="A4933" s="562" t="s">
        <v>10556</v>
      </c>
      <c r="B4933" s="563" t="s">
        <v>10557</v>
      </c>
      <c r="C4933" s="564" t="s">
        <v>2191</v>
      </c>
      <c r="D4933" s="565">
        <v>38362</v>
      </c>
      <c r="E4933" s="565">
        <v>38369</v>
      </c>
      <c r="F4933" s="566">
        <v>1740000</v>
      </c>
      <c r="G4933" s="564" t="s">
        <v>10558</v>
      </c>
      <c r="H4933" s="564"/>
      <c r="I4933" s="564" t="s">
        <v>10559</v>
      </c>
      <c r="J4933" s="564" t="s">
        <v>1069</v>
      </c>
      <c r="K4933" s="564" t="s">
        <v>1070</v>
      </c>
      <c r="L4933" s="564" t="s">
        <v>2098</v>
      </c>
      <c r="M4933" s="564" t="s">
        <v>2098</v>
      </c>
      <c r="N4933" s="564" t="s">
        <v>1082</v>
      </c>
      <c r="O4933" s="564" t="s">
        <v>2099</v>
      </c>
      <c r="P4933" s="23"/>
      <c r="Q4933" s="23"/>
      <c r="R4933" s="23"/>
      <c r="S4933" s="23"/>
      <c r="T4933" s="23"/>
      <c r="U4933" s="23"/>
      <c r="V4933" s="23"/>
      <c r="W4933" s="23"/>
      <c r="X4933" s="23"/>
      <c r="Y4933" s="23"/>
      <c r="Z4933" s="23"/>
    </row>
    <row r="4934" spans="1:26" ht="13">
      <c r="A4934" s="562" t="s">
        <v>10560</v>
      </c>
      <c r="B4934" s="563" t="s">
        <v>10561</v>
      </c>
      <c r="C4934" s="564" t="s">
        <v>1612</v>
      </c>
      <c r="D4934" s="565">
        <v>38528</v>
      </c>
      <c r="E4934" s="565">
        <v>38898</v>
      </c>
      <c r="F4934" s="566">
        <v>2134050000</v>
      </c>
      <c r="G4934" s="564" t="s">
        <v>10562</v>
      </c>
      <c r="H4934" s="564"/>
      <c r="I4934" s="564" t="s">
        <v>45</v>
      </c>
      <c r="J4934" s="564" t="s">
        <v>1069</v>
      </c>
      <c r="K4934" s="564" t="s">
        <v>1090</v>
      </c>
      <c r="L4934" s="564" t="s">
        <v>2098</v>
      </c>
      <c r="M4934" s="564" t="s">
        <v>2098</v>
      </c>
      <c r="N4934" s="564" t="s">
        <v>45</v>
      </c>
      <c r="O4934" s="564" t="s">
        <v>2099</v>
      </c>
      <c r="P4934" s="23"/>
      <c r="Q4934" s="23"/>
      <c r="R4934" s="23"/>
      <c r="S4934" s="23"/>
      <c r="T4934" s="23"/>
      <c r="U4934" s="23"/>
      <c r="V4934" s="23"/>
      <c r="W4934" s="23"/>
      <c r="X4934" s="23"/>
      <c r="Y4934" s="23"/>
      <c r="Z4934" s="23"/>
    </row>
    <row r="4935" spans="1:26" ht="13">
      <c r="A4935" s="562" t="s">
        <v>10563</v>
      </c>
      <c r="B4935" s="563" t="s">
        <v>10564</v>
      </c>
      <c r="C4935" s="564" t="s">
        <v>1612</v>
      </c>
      <c r="D4935" s="565">
        <v>38504</v>
      </c>
      <c r="E4935" s="565">
        <v>38520</v>
      </c>
      <c r="F4935" s="566">
        <v>338103000</v>
      </c>
      <c r="G4935" s="564" t="s">
        <v>10562</v>
      </c>
      <c r="H4935" s="564"/>
      <c r="I4935" s="564" t="s">
        <v>45</v>
      </c>
      <c r="J4935" s="564" t="s">
        <v>1069</v>
      </c>
      <c r="K4935" s="564" t="s">
        <v>1090</v>
      </c>
      <c r="L4935" s="564" t="s">
        <v>2098</v>
      </c>
      <c r="M4935" s="564" t="s">
        <v>2098</v>
      </c>
      <c r="N4935" s="564" t="s">
        <v>45</v>
      </c>
      <c r="O4935" s="564" t="s">
        <v>2099</v>
      </c>
      <c r="P4935" s="23"/>
      <c r="Q4935" s="23"/>
      <c r="R4935" s="23"/>
      <c r="S4935" s="23"/>
      <c r="T4935" s="23"/>
      <c r="U4935" s="23"/>
      <c r="V4935" s="23"/>
      <c r="W4935" s="23"/>
      <c r="X4935" s="23"/>
      <c r="Y4935" s="23"/>
      <c r="Z4935" s="23"/>
    </row>
    <row r="4936" spans="1:26" ht="13">
      <c r="A4936" s="562" t="s">
        <v>10565</v>
      </c>
      <c r="B4936" s="563" t="s">
        <v>10566</v>
      </c>
      <c r="C4936" s="564" t="s">
        <v>1612</v>
      </c>
      <c r="D4936" s="565">
        <v>38398</v>
      </c>
      <c r="E4936" s="565">
        <v>38401</v>
      </c>
      <c r="F4936" s="566">
        <v>360000</v>
      </c>
      <c r="G4936" s="564" t="s">
        <v>10562</v>
      </c>
      <c r="H4936" s="564"/>
      <c r="I4936" s="564" t="s">
        <v>2041</v>
      </c>
      <c r="J4936" s="564" t="s">
        <v>1069</v>
      </c>
      <c r="K4936" s="564" t="s">
        <v>1070</v>
      </c>
      <c r="L4936" s="564" t="s">
        <v>2098</v>
      </c>
      <c r="M4936" s="564" t="s">
        <v>2098</v>
      </c>
      <c r="N4936" s="564" t="s">
        <v>1073</v>
      </c>
      <c r="O4936" s="564" t="s">
        <v>2099</v>
      </c>
      <c r="P4936" s="23"/>
      <c r="Q4936" s="23"/>
      <c r="R4936" s="23"/>
      <c r="S4936" s="23"/>
      <c r="T4936" s="23"/>
      <c r="U4936" s="23"/>
      <c r="V4936" s="23"/>
      <c r="W4936" s="23"/>
      <c r="X4936" s="23"/>
      <c r="Y4936" s="23"/>
      <c r="Z4936" s="23"/>
    </row>
    <row r="4937" spans="1:26" ht="13">
      <c r="A4937" s="562" t="s">
        <v>10567</v>
      </c>
      <c r="B4937" s="563" t="s">
        <v>10568</v>
      </c>
      <c r="C4937" s="564" t="s">
        <v>1612</v>
      </c>
      <c r="D4937" s="565">
        <v>38353</v>
      </c>
      <c r="E4937" s="565">
        <v>38717</v>
      </c>
      <c r="F4937" s="567"/>
      <c r="G4937" s="564" t="s">
        <v>8532</v>
      </c>
      <c r="H4937" s="564"/>
      <c r="I4937" s="564" t="s">
        <v>70</v>
      </c>
      <c r="J4937" s="564" t="s">
        <v>1069</v>
      </c>
      <c r="K4937" s="564" t="s">
        <v>1120</v>
      </c>
      <c r="L4937" s="564" t="s">
        <v>2098</v>
      </c>
      <c r="M4937" s="564" t="s">
        <v>2098</v>
      </c>
      <c r="N4937" s="564" t="s">
        <v>70</v>
      </c>
      <c r="O4937" s="564" t="s">
        <v>2099</v>
      </c>
      <c r="P4937" s="23"/>
      <c r="Q4937" s="23"/>
      <c r="R4937" s="23"/>
      <c r="S4937" s="23"/>
      <c r="T4937" s="23"/>
      <c r="U4937" s="23"/>
      <c r="V4937" s="23"/>
      <c r="W4937" s="23"/>
      <c r="X4937" s="23"/>
      <c r="Y4937" s="23"/>
      <c r="Z4937" s="23"/>
    </row>
    <row r="4938" spans="1:26" ht="13">
      <c r="A4938" s="562" t="s">
        <v>10569</v>
      </c>
      <c r="B4938" s="563" t="s">
        <v>10570</v>
      </c>
      <c r="C4938" s="564" t="s">
        <v>1612</v>
      </c>
      <c r="D4938" s="565">
        <v>36524</v>
      </c>
      <c r="E4938" s="565">
        <v>36524</v>
      </c>
      <c r="F4938" s="567"/>
      <c r="G4938" s="564" t="s">
        <v>8532</v>
      </c>
      <c r="H4938" s="564"/>
      <c r="I4938" s="564" t="s">
        <v>70</v>
      </c>
      <c r="J4938" s="564" t="s">
        <v>1069</v>
      </c>
      <c r="K4938" s="564" t="s">
        <v>1120</v>
      </c>
      <c r="L4938" s="564" t="s">
        <v>2098</v>
      </c>
      <c r="M4938" s="564" t="s">
        <v>2098</v>
      </c>
      <c r="N4938" s="564" t="s">
        <v>70</v>
      </c>
      <c r="O4938" s="564" t="s">
        <v>2099</v>
      </c>
      <c r="P4938" s="23"/>
      <c r="Q4938" s="23"/>
      <c r="R4938" s="23"/>
      <c r="S4938" s="23"/>
      <c r="T4938" s="23"/>
      <c r="U4938" s="23"/>
      <c r="V4938" s="23"/>
      <c r="W4938" s="23"/>
      <c r="X4938" s="23"/>
      <c r="Y4938" s="23"/>
      <c r="Z4938" s="23"/>
    </row>
    <row r="4939" spans="1:26" ht="13">
      <c r="A4939" s="562" t="s">
        <v>834</v>
      </c>
      <c r="B4939" s="563" t="s">
        <v>10571</v>
      </c>
      <c r="C4939" s="564" t="s">
        <v>1204</v>
      </c>
      <c r="D4939" s="565">
        <v>45474</v>
      </c>
      <c r="E4939" s="565">
        <v>45657</v>
      </c>
      <c r="F4939" s="566">
        <v>30000000</v>
      </c>
      <c r="G4939" s="564" t="s">
        <v>1137</v>
      </c>
      <c r="H4939" s="564" t="s">
        <v>674</v>
      </c>
      <c r="I4939" s="564" t="s">
        <v>125</v>
      </c>
      <c r="J4939" s="564" t="s">
        <v>1079</v>
      </c>
      <c r="K4939" s="564" t="s">
        <v>1070</v>
      </c>
      <c r="L4939" s="564" t="s">
        <v>1390</v>
      </c>
      <c r="M4939" s="564" t="s">
        <v>1390</v>
      </c>
      <c r="N4939" s="564" t="s">
        <v>1073</v>
      </c>
      <c r="O4939" s="564" t="s">
        <v>38</v>
      </c>
      <c r="P4939" s="23"/>
      <c r="Q4939" s="23"/>
      <c r="R4939" s="23"/>
      <c r="S4939" s="23"/>
      <c r="T4939" s="23"/>
      <c r="U4939" s="23"/>
      <c r="V4939" s="23"/>
      <c r="W4939" s="23"/>
      <c r="X4939" s="23"/>
      <c r="Y4939" s="23"/>
      <c r="Z4939" s="23"/>
    </row>
    <row r="4940" spans="1:26" ht="13">
      <c r="A4940" s="562" t="s">
        <v>10572</v>
      </c>
      <c r="B4940" s="563" t="s">
        <v>10573</v>
      </c>
      <c r="C4940" s="564" t="s">
        <v>1114</v>
      </c>
      <c r="D4940" s="565">
        <v>45597</v>
      </c>
      <c r="E4940" s="565">
        <v>45961</v>
      </c>
      <c r="F4940" s="566">
        <v>3480000</v>
      </c>
      <c r="G4940" s="564" t="s">
        <v>1365</v>
      </c>
      <c r="H4940" s="564" t="s">
        <v>1366</v>
      </c>
      <c r="I4940" s="564" t="s">
        <v>10574</v>
      </c>
      <c r="J4940" s="564" t="s">
        <v>1079</v>
      </c>
      <c r="K4940" s="564" t="s">
        <v>1205</v>
      </c>
      <c r="L4940" s="564" t="s">
        <v>1117</v>
      </c>
      <c r="M4940" s="564" t="s">
        <v>1199</v>
      </c>
      <c r="N4940" s="564" t="s">
        <v>1368</v>
      </c>
      <c r="O4940" s="564" t="s">
        <v>241</v>
      </c>
      <c r="P4940" s="23"/>
      <c r="Q4940" s="23"/>
      <c r="R4940" s="23"/>
      <c r="S4940" s="23"/>
      <c r="T4940" s="23"/>
      <c r="U4940" s="23"/>
      <c r="V4940" s="23"/>
      <c r="W4940" s="23"/>
      <c r="X4940" s="23"/>
      <c r="Y4940" s="23"/>
      <c r="Z4940" s="23"/>
    </row>
    <row r="4941" spans="1:26" ht="13">
      <c r="A4941" s="562" t="s">
        <v>10575</v>
      </c>
      <c r="B4941" s="563" t="s">
        <v>10576</v>
      </c>
      <c r="C4941" s="564" t="s">
        <v>1370</v>
      </c>
      <c r="D4941" s="565">
        <v>45597</v>
      </c>
      <c r="E4941" s="565">
        <v>45626</v>
      </c>
      <c r="F4941" s="566">
        <v>8545455</v>
      </c>
      <c r="G4941" s="564" t="s">
        <v>10577</v>
      </c>
      <c r="H4941" s="564" t="s">
        <v>803</v>
      </c>
      <c r="I4941" s="564" t="s">
        <v>802</v>
      </c>
      <c r="J4941" s="564" t="s">
        <v>1079</v>
      </c>
      <c r="K4941" s="564" t="s">
        <v>1198</v>
      </c>
      <c r="L4941" s="564" t="s">
        <v>1390</v>
      </c>
      <c r="M4941" s="564" t="s">
        <v>1390</v>
      </c>
      <c r="N4941" s="564" t="s">
        <v>132</v>
      </c>
      <c r="O4941" s="564" t="s">
        <v>38</v>
      </c>
      <c r="P4941" s="23"/>
      <c r="Q4941" s="23"/>
      <c r="R4941" s="23"/>
      <c r="S4941" s="23"/>
      <c r="T4941" s="23"/>
      <c r="U4941" s="23"/>
      <c r="V4941" s="23"/>
      <c r="W4941" s="23"/>
      <c r="X4941" s="23"/>
      <c r="Y4941" s="23"/>
      <c r="Z4941" s="23"/>
    </row>
    <row r="4942" spans="1:26" ht="13">
      <c r="A4942" s="562" t="s">
        <v>10578</v>
      </c>
      <c r="B4942" s="563" t="s">
        <v>10579</v>
      </c>
      <c r="C4942" s="564" t="s">
        <v>353</v>
      </c>
      <c r="D4942" s="565">
        <v>45576</v>
      </c>
      <c r="E4942" s="565">
        <v>45604</v>
      </c>
      <c r="F4942" s="566">
        <v>2708709200</v>
      </c>
      <c r="G4942" s="564" t="s">
        <v>10580</v>
      </c>
      <c r="H4942" s="564" t="s">
        <v>10580</v>
      </c>
      <c r="I4942" s="564" t="s">
        <v>516</v>
      </c>
      <c r="J4942" s="564" t="s">
        <v>1079</v>
      </c>
      <c r="K4942" s="564" t="s">
        <v>1205</v>
      </c>
      <c r="L4942" s="564" t="s">
        <v>1390</v>
      </c>
      <c r="M4942" s="564" t="s">
        <v>1390</v>
      </c>
      <c r="N4942" s="564" t="s">
        <v>1082</v>
      </c>
      <c r="O4942" s="564" t="s">
        <v>38</v>
      </c>
      <c r="P4942" s="23"/>
      <c r="Q4942" s="23"/>
      <c r="R4942" s="23"/>
      <c r="S4942" s="23"/>
      <c r="T4942" s="23"/>
      <c r="U4942" s="23"/>
      <c r="V4942" s="23"/>
      <c r="W4942" s="23"/>
      <c r="X4942" s="23"/>
      <c r="Y4942" s="23"/>
      <c r="Z4942" s="23"/>
    </row>
    <row r="4943" spans="1:26" ht="13">
      <c r="A4943" s="562" t="s">
        <v>10581</v>
      </c>
      <c r="B4943" s="563" t="s">
        <v>10582</v>
      </c>
      <c r="C4943" s="564" t="s">
        <v>1455</v>
      </c>
      <c r="D4943" s="565">
        <v>45566</v>
      </c>
      <c r="E4943" s="565">
        <v>45672</v>
      </c>
      <c r="F4943" s="566">
        <v>33250000</v>
      </c>
      <c r="G4943" s="564" t="s">
        <v>2346</v>
      </c>
      <c r="H4943" s="564" t="s">
        <v>1182</v>
      </c>
      <c r="I4943" s="564" t="s">
        <v>121</v>
      </c>
      <c r="J4943" s="564" t="s">
        <v>1079</v>
      </c>
      <c r="K4943" s="564" t="s">
        <v>1105</v>
      </c>
      <c r="L4943" s="564" t="s">
        <v>1080</v>
      </c>
      <c r="M4943" s="564" t="s">
        <v>1081</v>
      </c>
      <c r="N4943" s="564" t="s">
        <v>1073</v>
      </c>
      <c r="O4943" s="564" t="s">
        <v>1081</v>
      </c>
      <c r="P4943" s="23"/>
      <c r="Q4943" s="23"/>
      <c r="R4943" s="23"/>
      <c r="S4943" s="23"/>
      <c r="T4943" s="23"/>
      <c r="U4943" s="23"/>
      <c r="V4943" s="23"/>
      <c r="W4943" s="23"/>
      <c r="X4943" s="23"/>
      <c r="Y4943" s="23"/>
      <c r="Z4943" s="23"/>
    </row>
    <row r="4944" spans="1:26" ht="13">
      <c r="A4944" s="562" t="s">
        <v>10583</v>
      </c>
      <c r="B4944" s="563" t="s">
        <v>10584</v>
      </c>
      <c r="C4944" s="564" t="s">
        <v>1076</v>
      </c>
      <c r="D4944" s="565">
        <v>45481</v>
      </c>
      <c r="E4944" s="565">
        <v>46575</v>
      </c>
      <c r="F4944" s="566">
        <v>66420000</v>
      </c>
      <c r="G4944" s="564" t="s">
        <v>1127</v>
      </c>
      <c r="H4944" s="564" t="s">
        <v>1116</v>
      </c>
      <c r="I4944" s="564" t="s">
        <v>45</v>
      </c>
      <c r="J4944" s="564" t="s">
        <v>1079</v>
      </c>
      <c r="K4944" s="564" t="s">
        <v>1090</v>
      </c>
      <c r="L4944" s="564" t="s">
        <v>1071</v>
      </c>
      <c r="M4944" s="564" t="s">
        <v>1091</v>
      </c>
      <c r="N4944" s="564" t="s">
        <v>45</v>
      </c>
      <c r="O4944" s="564" t="s">
        <v>241</v>
      </c>
      <c r="P4944" s="23"/>
      <c r="Q4944" s="23"/>
      <c r="R4944" s="23"/>
      <c r="S4944" s="23"/>
      <c r="T4944" s="23"/>
      <c r="U4944" s="23"/>
      <c r="V4944" s="23"/>
      <c r="W4944" s="23"/>
      <c r="X4944" s="23"/>
      <c r="Y4944" s="23"/>
      <c r="Z4944" s="23"/>
    </row>
    <row r="4945" spans="1:26" ht="13">
      <c r="A4945" s="562" t="s">
        <v>10585</v>
      </c>
      <c r="B4945" s="563" t="s">
        <v>10586</v>
      </c>
      <c r="C4945" s="564" t="s">
        <v>1088</v>
      </c>
      <c r="D4945" s="565">
        <v>45566</v>
      </c>
      <c r="E4945" s="565">
        <v>45930</v>
      </c>
      <c r="F4945" s="566">
        <v>69000000</v>
      </c>
      <c r="G4945" s="564" t="s">
        <v>1526</v>
      </c>
      <c r="H4945" s="564" t="s">
        <v>297</v>
      </c>
      <c r="I4945" s="564" t="s">
        <v>45</v>
      </c>
      <c r="J4945" s="564" t="s">
        <v>1079</v>
      </c>
      <c r="K4945" s="564" t="s">
        <v>1090</v>
      </c>
      <c r="L4945" s="564" t="s">
        <v>1080</v>
      </c>
      <c r="M4945" s="564" t="s">
        <v>1081</v>
      </c>
      <c r="N4945" s="564" t="s">
        <v>45</v>
      </c>
      <c r="O4945" s="564" t="s">
        <v>1081</v>
      </c>
      <c r="P4945" s="23"/>
      <c r="Q4945" s="23"/>
      <c r="R4945" s="23"/>
      <c r="S4945" s="23"/>
      <c r="T4945" s="23"/>
      <c r="U4945" s="23"/>
      <c r="V4945" s="23"/>
      <c r="W4945" s="23"/>
      <c r="X4945" s="23"/>
      <c r="Y4945" s="23"/>
      <c r="Z4945" s="23"/>
    </row>
    <row r="4946" spans="1:26" ht="13">
      <c r="A4946" s="562" t="s">
        <v>299</v>
      </c>
      <c r="B4946" s="563" t="s">
        <v>10587</v>
      </c>
      <c r="C4946" s="564" t="s">
        <v>1388</v>
      </c>
      <c r="D4946" s="565">
        <v>45541</v>
      </c>
      <c r="E4946" s="565">
        <v>45596</v>
      </c>
      <c r="F4946" s="566">
        <v>49900000</v>
      </c>
      <c r="G4946" s="564" t="s">
        <v>1969</v>
      </c>
      <c r="H4946" s="564" t="s">
        <v>297</v>
      </c>
      <c r="I4946" s="564" t="s">
        <v>850</v>
      </c>
      <c r="J4946" s="564" t="s">
        <v>1079</v>
      </c>
      <c r="K4946" s="564" t="s">
        <v>1090</v>
      </c>
      <c r="L4946" s="564" t="s">
        <v>1390</v>
      </c>
      <c r="M4946" s="564" t="s">
        <v>1390</v>
      </c>
      <c r="N4946" s="564" t="s">
        <v>1082</v>
      </c>
      <c r="O4946" s="564" t="s">
        <v>38</v>
      </c>
      <c r="P4946" s="23"/>
      <c r="Q4946" s="23"/>
      <c r="R4946" s="23"/>
      <c r="S4946" s="23"/>
      <c r="T4946" s="23"/>
      <c r="U4946" s="23"/>
      <c r="V4946" s="23"/>
      <c r="W4946" s="23"/>
      <c r="X4946" s="23"/>
      <c r="Y4946" s="23"/>
      <c r="Z4946" s="23"/>
    </row>
    <row r="4947" spans="1:26" ht="13">
      <c r="A4947" s="562" t="s">
        <v>10588</v>
      </c>
      <c r="B4947" s="563" t="s">
        <v>10589</v>
      </c>
      <c r="C4947" s="564" t="s">
        <v>1088</v>
      </c>
      <c r="D4947" s="565">
        <v>45474</v>
      </c>
      <c r="E4947" s="565">
        <v>46568</v>
      </c>
      <c r="F4947" s="566">
        <v>3130000000</v>
      </c>
      <c r="G4947" s="564" t="s">
        <v>1526</v>
      </c>
      <c r="H4947" s="564" t="s">
        <v>1145</v>
      </c>
      <c r="I4947" s="564" t="s">
        <v>45</v>
      </c>
      <c r="J4947" s="564" t="s">
        <v>1079</v>
      </c>
      <c r="K4947" s="564" t="s">
        <v>1090</v>
      </c>
      <c r="L4947" s="564" t="s">
        <v>1071</v>
      </c>
      <c r="M4947" s="564" t="s">
        <v>1091</v>
      </c>
      <c r="N4947" s="564" t="s">
        <v>45</v>
      </c>
      <c r="O4947" s="564" t="s">
        <v>241</v>
      </c>
      <c r="P4947" s="23"/>
      <c r="Q4947" s="23"/>
      <c r="R4947" s="23"/>
      <c r="S4947" s="23"/>
      <c r="T4947" s="23"/>
      <c r="U4947" s="23"/>
      <c r="V4947" s="23"/>
      <c r="W4947" s="23"/>
      <c r="X4947" s="23"/>
      <c r="Y4947" s="23"/>
      <c r="Z4947" s="23"/>
    </row>
    <row r="4948" spans="1:26" ht="13">
      <c r="A4948" s="562" t="s">
        <v>838</v>
      </c>
      <c r="B4948" s="563" t="s">
        <v>10590</v>
      </c>
      <c r="C4948" s="564" t="s">
        <v>1136</v>
      </c>
      <c r="D4948" s="565">
        <v>45474</v>
      </c>
      <c r="E4948" s="565">
        <v>45657</v>
      </c>
      <c r="F4948" s="566">
        <v>30000000</v>
      </c>
      <c r="G4948" s="564" t="s">
        <v>1137</v>
      </c>
      <c r="H4948" s="564" t="s">
        <v>674</v>
      </c>
      <c r="I4948" s="564" t="s">
        <v>125</v>
      </c>
      <c r="J4948" s="564" t="s">
        <v>1079</v>
      </c>
      <c r="K4948" s="564" t="s">
        <v>1070</v>
      </c>
      <c r="L4948" s="564" t="s">
        <v>1390</v>
      </c>
      <c r="M4948" s="564" t="s">
        <v>1390</v>
      </c>
      <c r="N4948" s="564" t="s">
        <v>1073</v>
      </c>
      <c r="O4948" s="564" t="s">
        <v>38</v>
      </c>
      <c r="P4948" s="23"/>
      <c r="Q4948" s="23"/>
      <c r="R4948" s="23"/>
      <c r="S4948" s="23"/>
      <c r="T4948" s="23"/>
      <c r="U4948" s="23"/>
      <c r="V4948" s="23"/>
      <c r="W4948" s="23"/>
      <c r="X4948" s="23"/>
      <c r="Y4948" s="23"/>
      <c r="Z4948" s="23"/>
    </row>
    <row r="4949" spans="1:26" ht="13">
      <c r="A4949" s="562" t="s">
        <v>661</v>
      </c>
      <c r="B4949" s="563" t="s">
        <v>10591</v>
      </c>
      <c r="C4949" s="564" t="s">
        <v>1388</v>
      </c>
      <c r="D4949" s="565">
        <v>45536</v>
      </c>
      <c r="E4949" s="565">
        <v>45808</v>
      </c>
      <c r="F4949" s="566">
        <v>480000000</v>
      </c>
      <c r="G4949" s="564" t="s">
        <v>311</v>
      </c>
      <c r="H4949" s="564" t="s">
        <v>349</v>
      </c>
      <c r="I4949" s="564" t="s">
        <v>45</v>
      </c>
      <c r="J4949" s="564" t="s">
        <v>1079</v>
      </c>
      <c r="K4949" s="564" t="s">
        <v>1090</v>
      </c>
      <c r="L4949" s="564" t="s">
        <v>1390</v>
      </c>
      <c r="M4949" s="564" t="s">
        <v>1390</v>
      </c>
      <c r="N4949" s="564" t="s">
        <v>45</v>
      </c>
      <c r="O4949" s="564" t="s">
        <v>38</v>
      </c>
      <c r="P4949" s="23"/>
      <c r="Q4949" s="23"/>
      <c r="R4949" s="23"/>
      <c r="S4949" s="23"/>
      <c r="T4949" s="23"/>
      <c r="U4949" s="23"/>
      <c r="V4949" s="23"/>
      <c r="W4949" s="23"/>
      <c r="X4949" s="23"/>
      <c r="Y4949" s="23"/>
      <c r="Z4949" s="23"/>
    </row>
    <row r="4950" spans="1:26" ht="13">
      <c r="A4950" s="562" t="s">
        <v>831</v>
      </c>
      <c r="B4950" s="563" t="s">
        <v>10592</v>
      </c>
      <c r="C4950" s="564" t="s">
        <v>1088</v>
      </c>
      <c r="D4950" s="565">
        <v>45505</v>
      </c>
      <c r="E4950" s="565">
        <v>45869</v>
      </c>
      <c r="F4950" s="566">
        <v>98172160</v>
      </c>
      <c r="G4950" s="564" t="s">
        <v>1122</v>
      </c>
      <c r="H4950" s="564" t="s">
        <v>674</v>
      </c>
      <c r="I4950" s="564" t="s">
        <v>107</v>
      </c>
      <c r="J4950" s="564" t="s">
        <v>1079</v>
      </c>
      <c r="K4950" s="564" t="s">
        <v>1120</v>
      </c>
      <c r="L4950" s="564" t="s">
        <v>1071</v>
      </c>
      <c r="M4950" s="564" t="s">
        <v>1091</v>
      </c>
      <c r="N4950" s="564" t="s">
        <v>1073</v>
      </c>
      <c r="O4950" s="564" t="s">
        <v>241</v>
      </c>
      <c r="P4950" s="23"/>
      <c r="Q4950" s="23"/>
      <c r="R4950" s="23"/>
      <c r="S4950" s="23"/>
      <c r="T4950" s="23"/>
      <c r="U4950" s="23"/>
      <c r="V4950" s="23"/>
      <c r="W4950" s="23"/>
      <c r="X4950" s="23"/>
      <c r="Y4950" s="23"/>
      <c r="Z4950" s="23"/>
    </row>
    <row r="4951" spans="1:26" ht="13">
      <c r="A4951" s="562" t="s">
        <v>828</v>
      </c>
      <c r="B4951" s="563" t="s">
        <v>10593</v>
      </c>
      <c r="C4951" s="564" t="s">
        <v>1076</v>
      </c>
      <c r="D4951" s="565">
        <v>45505</v>
      </c>
      <c r="E4951" s="565">
        <v>45869</v>
      </c>
      <c r="F4951" s="566">
        <v>120626972</v>
      </c>
      <c r="G4951" s="564" t="s">
        <v>1242</v>
      </c>
      <c r="H4951" s="564" t="s">
        <v>674</v>
      </c>
      <c r="I4951" s="564" t="s">
        <v>107</v>
      </c>
      <c r="J4951" s="564" t="s">
        <v>1079</v>
      </c>
      <c r="K4951" s="564" t="s">
        <v>1120</v>
      </c>
      <c r="L4951" s="564" t="s">
        <v>1071</v>
      </c>
      <c r="M4951" s="564" t="s">
        <v>1091</v>
      </c>
      <c r="N4951" s="564" t="s">
        <v>1073</v>
      </c>
      <c r="O4951" s="564" t="s">
        <v>241</v>
      </c>
      <c r="P4951" s="23"/>
      <c r="Q4951" s="23"/>
      <c r="R4951" s="23"/>
      <c r="S4951" s="23"/>
      <c r="T4951" s="23"/>
      <c r="U4951" s="23"/>
      <c r="V4951" s="23"/>
      <c r="W4951" s="23"/>
      <c r="X4951" s="23"/>
      <c r="Y4951" s="23"/>
      <c r="Z4951" s="23"/>
    </row>
    <row r="4952" spans="1:26" ht="13">
      <c r="A4952" s="562" t="s">
        <v>824</v>
      </c>
      <c r="B4952" s="563" t="s">
        <v>10594</v>
      </c>
      <c r="C4952" s="564" t="s">
        <v>1652</v>
      </c>
      <c r="D4952" s="565">
        <v>45505</v>
      </c>
      <c r="E4952" s="565">
        <v>45869</v>
      </c>
      <c r="F4952" s="566">
        <v>276400868</v>
      </c>
      <c r="G4952" s="564" t="s">
        <v>674</v>
      </c>
      <c r="H4952" s="564" t="s">
        <v>674</v>
      </c>
      <c r="I4952" s="564" t="s">
        <v>107</v>
      </c>
      <c r="J4952" s="564" t="s">
        <v>1079</v>
      </c>
      <c r="K4952" s="564" t="s">
        <v>1120</v>
      </c>
      <c r="L4952" s="564" t="s">
        <v>1071</v>
      </c>
      <c r="M4952" s="564" t="s">
        <v>1091</v>
      </c>
      <c r="N4952" s="564" t="s">
        <v>1073</v>
      </c>
      <c r="O4952" s="564" t="s">
        <v>241</v>
      </c>
      <c r="P4952" s="23"/>
      <c r="Q4952" s="23"/>
      <c r="R4952" s="23"/>
      <c r="S4952" s="23"/>
      <c r="T4952" s="23"/>
      <c r="U4952" s="23"/>
      <c r="V4952" s="23"/>
      <c r="W4952" s="23"/>
      <c r="X4952" s="23"/>
      <c r="Y4952" s="23"/>
      <c r="Z4952" s="23"/>
    </row>
    <row r="4953" spans="1:26" ht="13">
      <c r="A4953" s="562" t="s">
        <v>665</v>
      </c>
      <c r="B4953" s="563" t="s">
        <v>10595</v>
      </c>
      <c r="C4953" s="564" t="s">
        <v>2322</v>
      </c>
      <c r="D4953" s="565">
        <v>45481</v>
      </c>
      <c r="E4953" s="565">
        <v>45516</v>
      </c>
      <c r="F4953" s="566">
        <v>201013280</v>
      </c>
      <c r="G4953" s="564" t="s">
        <v>10596</v>
      </c>
      <c r="H4953" s="564" t="s">
        <v>1640</v>
      </c>
      <c r="I4953" s="564" t="s">
        <v>10597</v>
      </c>
      <c r="J4953" s="564" t="s">
        <v>1079</v>
      </c>
      <c r="K4953" s="564" t="s">
        <v>1209</v>
      </c>
      <c r="L4953" s="564" t="s">
        <v>1390</v>
      </c>
      <c r="M4953" s="564" t="s">
        <v>1390</v>
      </c>
      <c r="N4953" s="564" t="s">
        <v>1082</v>
      </c>
      <c r="O4953" s="564" t="s">
        <v>38</v>
      </c>
      <c r="P4953" s="23"/>
      <c r="Q4953" s="23"/>
      <c r="R4953" s="23"/>
      <c r="S4953" s="23"/>
      <c r="T4953" s="23"/>
      <c r="U4953" s="23"/>
      <c r="V4953" s="23"/>
      <c r="W4953" s="23"/>
      <c r="X4953" s="23"/>
      <c r="Y4953" s="23"/>
      <c r="Z4953" s="23"/>
    </row>
    <row r="4954" spans="1:26" ht="13">
      <c r="A4954" s="562" t="s">
        <v>10598</v>
      </c>
      <c r="B4954" s="563" t="s">
        <v>10599</v>
      </c>
      <c r="C4954" s="564" t="s">
        <v>1088</v>
      </c>
      <c r="D4954" s="565">
        <v>45497</v>
      </c>
      <c r="E4954" s="565">
        <v>45641</v>
      </c>
      <c r="F4954" s="566">
        <v>301100000</v>
      </c>
      <c r="G4954" s="564" t="s">
        <v>1375</v>
      </c>
      <c r="H4954" s="564" t="s">
        <v>1131</v>
      </c>
      <c r="I4954" s="564" t="s">
        <v>45</v>
      </c>
      <c r="J4954" s="564" t="s">
        <v>1079</v>
      </c>
      <c r="K4954" s="564" t="s">
        <v>1090</v>
      </c>
      <c r="L4954" s="564" t="s">
        <v>1390</v>
      </c>
      <c r="M4954" s="564" t="s">
        <v>1390</v>
      </c>
      <c r="N4954" s="564" t="s">
        <v>45</v>
      </c>
      <c r="O4954" s="564" t="s">
        <v>38</v>
      </c>
      <c r="P4954" s="23"/>
      <c r="Q4954" s="23"/>
      <c r="R4954" s="23"/>
      <c r="S4954" s="23"/>
      <c r="T4954" s="23"/>
      <c r="U4954" s="23"/>
      <c r="V4954" s="23"/>
      <c r="W4954" s="23"/>
      <c r="X4954" s="23"/>
      <c r="Y4954" s="23"/>
      <c r="Z4954" s="23"/>
    </row>
    <row r="4955" spans="1:26" ht="13">
      <c r="A4955" s="562" t="s">
        <v>10600</v>
      </c>
      <c r="B4955" s="563" t="s">
        <v>10601</v>
      </c>
      <c r="C4955" s="564" t="s">
        <v>1076</v>
      </c>
      <c r="D4955" s="565">
        <v>45505</v>
      </c>
      <c r="E4955" s="565">
        <v>46599</v>
      </c>
      <c r="F4955" s="566">
        <v>822960000</v>
      </c>
      <c r="G4955" s="564" t="s">
        <v>10602</v>
      </c>
      <c r="H4955" s="564" t="s">
        <v>1366</v>
      </c>
      <c r="I4955" s="564" t="s">
        <v>141</v>
      </c>
      <c r="J4955" s="564" t="s">
        <v>1079</v>
      </c>
      <c r="K4955" s="564" t="s">
        <v>1205</v>
      </c>
      <c r="L4955" s="564" t="s">
        <v>1071</v>
      </c>
      <c r="M4955" s="564" t="s">
        <v>1091</v>
      </c>
      <c r="N4955" s="564" t="s">
        <v>1073</v>
      </c>
      <c r="O4955" s="564" t="s">
        <v>241</v>
      </c>
      <c r="P4955" s="23"/>
      <c r="Q4955" s="23"/>
      <c r="R4955" s="23"/>
      <c r="S4955" s="23"/>
      <c r="T4955" s="23"/>
      <c r="U4955" s="23"/>
      <c r="V4955" s="23"/>
      <c r="W4955" s="23"/>
      <c r="X4955" s="23"/>
      <c r="Y4955" s="23"/>
      <c r="Z4955" s="23"/>
    </row>
    <row r="4956" spans="1:26" ht="13">
      <c r="A4956" s="562" t="s">
        <v>10603</v>
      </c>
      <c r="B4956" s="563" t="s">
        <v>10604</v>
      </c>
      <c r="C4956" s="564" t="s">
        <v>1475</v>
      </c>
      <c r="D4956" s="565">
        <v>45474</v>
      </c>
      <c r="E4956" s="565">
        <v>46568</v>
      </c>
      <c r="F4956" s="566">
        <v>480960000</v>
      </c>
      <c r="G4956" s="564" t="s">
        <v>10602</v>
      </c>
      <c r="H4956" s="564" t="s">
        <v>1366</v>
      </c>
      <c r="I4956" s="564" t="s">
        <v>140</v>
      </c>
      <c r="J4956" s="564" t="s">
        <v>1079</v>
      </c>
      <c r="K4956" s="564" t="s">
        <v>1205</v>
      </c>
      <c r="L4956" s="564" t="s">
        <v>1071</v>
      </c>
      <c r="M4956" s="564" t="s">
        <v>1091</v>
      </c>
      <c r="N4956" s="564" t="s">
        <v>1073</v>
      </c>
      <c r="O4956" s="564" t="s">
        <v>241</v>
      </c>
      <c r="P4956" s="23"/>
      <c r="Q4956" s="23"/>
      <c r="R4956" s="23"/>
      <c r="S4956" s="23"/>
      <c r="T4956" s="23"/>
      <c r="U4956" s="23"/>
      <c r="V4956" s="23"/>
      <c r="W4956" s="23"/>
      <c r="X4956" s="23"/>
      <c r="Y4956" s="23"/>
      <c r="Z4956" s="23"/>
    </row>
    <row r="4957" spans="1:26" ht="13">
      <c r="A4957" s="562" t="s">
        <v>864</v>
      </c>
      <c r="B4957" s="563" t="s">
        <v>10605</v>
      </c>
      <c r="C4957" s="564" t="s">
        <v>1088</v>
      </c>
      <c r="D4957" s="565">
        <v>45536</v>
      </c>
      <c r="E4957" s="565">
        <v>45900</v>
      </c>
      <c r="F4957" s="566">
        <v>69500000</v>
      </c>
      <c r="G4957" s="564" t="s">
        <v>1375</v>
      </c>
      <c r="H4957" s="564" t="s">
        <v>1123</v>
      </c>
      <c r="I4957" s="564" t="s">
        <v>1781</v>
      </c>
      <c r="J4957" s="564" t="s">
        <v>1079</v>
      </c>
      <c r="K4957" s="564" t="s">
        <v>1070</v>
      </c>
      <c r="L4957" s="564" t="s">
        <v>1071</v>
      </c>
      <c r="M4957" s="564" t="s">
        <v>1091</v>
      </c>
      <c r="N4957" s="564" t="s">
        <v>1073</v>
      </c>
      <c r="O4957" s="564" t="s">
        <v>241</v>
      </c>
      <c r="P4957" s="23"/>
      <c r="Q4957" s="23"/>
      <c r="R4957" s="23"/>
      <c r="S4957" s="23"/>
      <c r="T4957" s="23"/>
      <c r="U4957" s="23"/>
      <c r="V4957" s="23"/>
      <c r="W4957" s="23"/>
      <c r="X4957" s="23"/>
      <c r="Y4957" s="23"/>
      <c r="Z4957" s="23"/>
    </row>
    <row r="4958" spans="1:26" ht="13">
      <c r="A4958" s="562" t="s">
        <v>39</v>
      </c>
      <c r="B4958" s="563" t="s">
        <v>10606</v>
      </c>
      <c r="C4958" s="564" t="s">
        <v>1388</v>
      </c>
      <c r="D4958" s="565">
        <v>45505</v>
      </c>
      <c r="E4958" s="565">
        <v>45580</v>
      </c>
      <c r="F4958" s="566">
        <v>41000000</v>
      </c>
      <c r="G4958" s="564" t="s">
        <v>10607</v>
      </c>
      <c r="H4958" s="564" t="s">
        <v>349</v>
      </c>
      <c r="I4958" s="564" t="s">
        <v>9860</v>
      </c>
      <c r="J4958" s="564" t="s">
        <v>1079</v>
      </c>
      <c r="K4958" s="564" t="s">
        <v>1090</v>
      </c>
      <c r="L4958" s="564" t="s">
        <v>1390</v>
      </c>
      <c r="M4958" s="564" t="s">
        <v>1390</v>
      </c>
      <c r="N4958" s="564" t="s">
        <v>1082</v>
      </c>
      <c r="O4958" s="564" t="s">
        <v>38</v>
      </c>
      <c r="P4958" s="23"/>
      <c r="Q4958" s="23"/>
      <c r="R4958" s="23"/>
      <c r="S4958" s="23"/>
      <c r="T4958" s="23"/>
      <c r="U4958" s="23"/>
      <c r="V4958" s="23"/>
      <c r="W4958" s="23"/>
      <c r="X4958" s="23"/>
      <c r="Y4958" s="23"/>
      <c r="Z4958" s="23"/>
    </row>
    <row r="4959" spans="1:26" ht="13">
      <c r="A4959" s="562" t="s">
        <v>10608</v>
      </c>
      <c r="B4959" s="563" t="s">
        <v>10609</v>
      </c>
      <c r="C4959" s="564" t="s">
        <v>1475</v>
      </c>
      <c r="D4959" s="565">
        <v>45413</v>
      </c>
      <c r="E4959" s="565">
        <v>45747</v>
      </c>
      <c r="F4959" s="566">
        <v>101475000</v>
      </c>
      <c r="G4959" s="564" t="s">
        <v>1365</v>
      </c>
      <c r="H4959" s="564" t="s">
        <v>1366</v>
      </c>
      <c r="I4959" s="564" t="s">
        <v>6222</v>
      </c>
      <c r="J4959" s="564" t="s">
        <v>1079</v>
      </c>
      <c r="K4959" s="564" t="s">
        <v>1205</v>
      </c>
      <c r="L4959" s="564" t="s">
        <v>1071</v>
      </c>
      <c r="M4959" s="564" t="s">
        <v>1091</v>
      </c>
      <c r="N4959" s="564" t="s">
        <v>1082</v>
      </c>
      <c r="O4959" s="564" t="s">
        <v>241</v>
      </c>
      <c r="P4959" s="23"/>
      <c r="Q4959" s="23"/>
      <c r="R4959" s="23"/>
      <c r="S4959" s="23"/>
      <c r="T4959" s="23"/>
      <c r="U4959" s="23"/>
      <c r="V4959" s="23"/>
      <c r="W4959" s="23"/>
      <c r="X4959" s="23"/>
      <c r="Y4959" s="23"/>
      <c r="Z4959" s="23"/>
    </row>
    <row r="4960" spans="1:26" ht="13">
      <c r="A4960" s="562" t="s">
        <v>10610</v>
      </c>
      <c r="B4960" s="563" t="s">
        <v>10611</v>
      </c>
      <c r="C4960" s="564" t="s">
        <v>1455</v>
      </c>
      <c r="D4960" s="565">
        <v>45481</v>
      </c>
      <c r="E4960" s="565">
        <v>45815</v>
      </c>
      <c r="F4960" s="566">
        <v>830000000</v>
      </c>
      <c r="G4960" s="564" t="s">
        <v>1564</v>
      </c>
      <c r="H4960" s="564" t="s">
        <v>1182</v>
      </c>
      <c r="I4960" s="564" t="s">
        <v>170</v>
      </c>
      <c r="J4960" s="564" t="s">
        <v>1372</v>
      </c>
      <c r="K4960" s="564" t="s">
        <v>1105</v>
      </c>
      <c r="L4960" s="564" t="s">
        <v>1390</v>
      </c>
      <c r="M4960" s="564" t="s">
        <v>1390</v>
      </c>
      <c r="N4960" s="564" t="s">
        <v>170</v>
      </c>
      <c r="O4960" s="564" t="s">
        <v>38</v>
      </c>
      <c r="P4960" s="23"/>
      <c r="Q4960" s="23"/>
      <c r="R4960" s="23"/>
      <c r="S4960" s="23"/>
      <c r="T4960" s="23"/>
      <c r="U4960" s="23"/>
      <c r="V4960" s="23"/>
      <c r="W4960" s="23"/>
      <c r="X4960" s="23"/>
      <c r="Y4960" s="23"/>
      <c r="Z4960" s="23"/>
    </row>
    <row r="4961" spans="1:26" ht="13">
      <c r="A4961" s="562" t="s">
        <v>10612</v>
      </c>
      <c r="B4961" s="563" t="s">
        <v>10613</v>
      </c>
      <c r="C4961" s="564" t="s">
        <v>1388</v>
      </c>
      <c r="D4961" s="565">
        <v>45474</v>
      </c>
      <c r="E4961" s="565">
        <v>45657</v>
      </c>
      <c r="F4961" s="566">
        <v>150000000</v>
      </c>
      <c r="G4961" s="564" t="s">
        <v>10614</v>
      </c>
      <c r="H4961" s="564" t="s">
        <v>349</v>
      </c>
      <c r="I4961" s="564" t="s">
        <v>45</v>
      </c>
      <c r="J4961" s="564" t="s">
        <v>1079</v>
      </c>
      <c r="K4961" s="564" t="s">
        <v>1090</v>
      </c>
      <c r="L4961" s="564" t="s">
        <v>1390</v>
      </c>
      <c r="M4961" s="564" t="s">
        <v>1390</v>
      </c>
      <c r="N4961" s="564" t="s">
        <v>45</v>
      </c>
      <c r="O4961" s="564" t="s">
        <v>38</v>
      </c>
      <c r="P4961" s="23"/>
      <c r="Q4961" s="23"/>
      <c r="R4961" s="23"/>
      <c r="S4961" s="23"/>
      <c r="T4961" s="23"/>
      <c r="U4961" s="23"/>
      <c r="V4961" s="23"/>
      <c r="W4961" s="23"/>
      <c r="X4961" s="23"/>
      <c r="Y4961" s="23"/>
      <c r="Z4961" s="23"/>
    </row>
    <row r="4962" spans="1:26" ht="13">
      <c r="A4962" s="562" t="s">
        <v>810</v>
      </c>
      <c r="B4962" s="563" t="s">
        <v>10615</v>
      </c>
      <c r="C4962" s="564" t="s">
        <v>1370</v>
      </c>
      <c r="D4962" s="565">
        <v>45474</v>
      </c>
      <c r="E4962" s="565">
        <v>45838</v>
      </c>
      <c r="F4962" s="566">
        <v>203181818</v>
      </c>
      <c r="G4962" s="564" t="s">
        <v>10577</v>
      </c>
      <c r="H4962" s="564" t="s">
        <v>803</v>
      </c>
      <c r="I4962" s="564" t="s">
        <v>802</v>
      </c>
      <c r="J4962" s="564" t="s">
        <v>1079</v>
      </c>
      <c r="K4962" s="564" t="s">
        <v>1198</v>
      </c>
      <c r="L4962" s="564" t="s">
        <v>1071</v>
      </c>
      <c r="M4962" s="564" t="s">
        <v>1091</v>
      </c>
      <c r="N4962" s="564" t="s">
        <v>132</v>
      </c>
      <c r="O4962" s="564" t="s">
        <v>241</v>
      </c>
      <c r="P4962" s="23"/>
      <c r="Q4962" s="23"/>
      <c r="R4962" s="23"/>
      <c r="S4962" s="23"/>
      <c r="T4962" s="23"/>
      <c r="U4962" s="23"/>
      <c r="V4962" s="23"/>
      <c r="W4962" s="23"/>
      <c r="X4962" s="23"/>
      <c r="Y4962" s="23"/>
      <c r="Z4962" s="23"/>
    </row>
    <row r="4963" spans="1:26" ht="13">
      <c r="A4963" s="562" t="s">
        <v>806</v>
      </c>
      <c r="B4963" s="563" t="s">
        <v>10616</v>
      </c>
      <c r="C4963" s="564" t="s">
        <v>1370</v>
      </c>
      <c r="D4963" s="565">
        <v>45474</v>
      </c>
      <c r="E4963" s="565">
        <v>45838</v>
      </c>
      <c r="F4963" s="566">
        <v>436500000</v>
      </c>
      <c r="G4963" s="564" t="s">
        <v>10577</v>
      </c>
      <c r="H4963" s="564" t="s">
        <v>803</v>
      </c>
      <c r="I4963" s="564" t="s">
        <v>802</v>
      </c>
      <c r="J4963" s="564" t="s">
        <v>1079</v>
      </c>
      <c r="K4963" s="564" t="s">
        <v>1198</v>
      </c>
      <c r="L4963" s="564" t="s">
        <v>1071</v>
      </c>
      <c r="M4963" s="564" t="s">
        <v>1091</v>
      </c>
      <c r="N4963" s="564" t="s">
        <v>132</v>
      </c>
      <c r="O4963" s="564" t="s">
        <v>241</v>
      </c>
      <c r="P4963" s="23"/>
      <c r="Q4963" s="23"/>
      <c r="R4963" s="23"/>
      <c r="S4963" s="23"/>
      <c r="T4963" s="23"/>
      <c r="U4963" s="23"/>
      <c r="V4963" s="23"/>
      <c r="W4963" s="23"/>
      <c r="X4963" s="23"/>
      <c r="Y4963" s="23"/>
      <c r="Z4963" s="23"/>
    </row>
    <row r="4964" spans="1:26" ht="13">
      <c r="A4964" s="562" t="s">
        <v>10617</v>
      </c>
      <c r="B4964" s="563" t="s">
        <v>10618</v>
      </c>
      <c r="C4964" s="564" t="s">
        <v>1475</v>
      </c>
      <c r="D4964" s="565">
        <v>45474</v>
      </c>
      <c r="E4964" s="565">
        <v>45838</v>
      </c>
      <c r="F4964" s="566">
        <v>94000000</v>
      </c>
      <c r="G4964" s="564" t="s">
        <v>2459</v>
      </c>
      <c r="H4964" s="564" t="s">
        <v>2876</v>
      </c>
      <c r="I4964" s="564" t="s">
        <v>10619</v>
      </c>
      <c r="J4964" s="564" t="s">
        <v>1079</v>
      </c>
      <c r="K4964" s="564" t="s">
        <v>2878</v>
      </c>
      <c r="L4964" s="564" t="s">
        <v>1071</v>
      </c>
      <c r="M4964" s="564" t="s">
        <v>1091</v>
      </c>
      <c r="N4964" s="564" t="s">
        <v>1082</v>
      </c>
      <c r="O4964" s="564" t="s">
        <v>241</v>
      </c>
      <c r="P4964" s="23"/>
      <c r="Q4964" s="23"/>
      <c r="R4964" s="23"/>
      <c r="S4964" s="23"/>
      <c r="T4964" s="23"/>
      <c r="U4964" s="23"/>
      <c r="V4964" s="23"/>
      <c r="W4964" s="23"/>
      <c r="X4964" s="23"/>
      <c r="Y4964" s="23"/>
      <c r="Z4964" s="23"/>
    </row>
    <row r="4965" spans="1:26" ht="13">
      <c r="A4965" s="562" t="s">
        <v>10620</v>
      </c>
      <c r="B4965" s="563" t="s">
        <v>10621</v>
      </c>
      <c r="C4965" s="564" t="s">
        <v>1388</v>
      </c>
      <c r="D4965" s="565">
        <v>45457</v>
      </c>
      <c r="E4965" s="565">
        <v>45656</v>
      </c>
      <c r="F4965" s="566">
        <v>246840000</v>
      </c>
      <c r="G4965" s="564" t="s">
        <v>10602</v>
      </c>
      <c r="H4965" s="564" t="s">
        <v>1128</v>
      </c>
      <c r="I4965" s="564" t="s">
        <v>45</v>
      </c>
      <c r="J4965" s="564" t="s">
        <v>1079</v>
      </c>
      <c r="K4965" s="564" t="s">
        <v>1090</v>
      </c>
      <c r="L4965" s="564" t="s">
        <v>1390</v>
      </c>
      <c r="M4965" s="564" t="s">
        <v>1390</v>
      </c>
      <c r="N4965" s="564" t="s">
        <v>45</v>
      </c>
      <c r="O4965" s="564" t="s">
        <v>38</v>
      </c>
      <c r="P4965" s="23"/>
      <c r="Q4965" s="23"/>
      <c r="R4965" s="23"/>
      <c r="S4965" s="23"/>
      <c r="T4965" s="23"/>
      <c r="U4965" s="23"/>
      <c r="V4965" s="23"/>
      <c r="W4965" s="23"/>
      <c r="X4965" s="23"/>
      <c r="Y4965" s="23"/>
      <c r="Z4965" s="23"/>
    </row>
    <row r="4966" spans="1:26" ht="13">
      <c r="A4966" s="562" t="s">
        <v>10622</v>
      </c>
      <c r="B4966" s="563" t="s">
        <v>10623</v>
      </c>
      <c r="C4966" s="564" t="s">
        <v>1088</v>
      </c>
      <c r="D4966" s="565">
        <v>45444</v>
      </c>
      <c r="E4966" s="565">
        <v>45747</v>
      </c>
      <c r="F4966" s="566">
        <v>101438400</v>
      </c>
      <c r="G4966" s="564" t="s">
        <v>1029</v>
      </c>
      <c r="H4966" s="564" t="s">
        <v>1077</v>
      </c>
      <c r="I4966" s="564" t="s">
        <v>10624</v>
      </c>
      <c r="J4966" s="564" t="s">
        <v>1079</v>
      </c>
      <c r="K4966" s="564" t="s">
        <v>1070</v>
      </c>
      <c r="L4966" s="564" t="s">
        <v>1080</v>
      </c>
      <c r="M4966" s="564" t="s">
        <v>1081</v>
      </c>
      <c r="N4966" s="564" t="s">
        <v>1082</v>
      </c>
      <c r="O4966" s="564" t="s">
        <v>1081</v>
      </c>
      <c r="P4966" s="23"/>
      <c r="Q4966" s="23"/>
      <c r="R4966" s="23"/>
      <c r="S4966" s="23"/>
      <c r="T4966" s="23"/>
      <c r="U4966" s="23"/>
      <c r="V4966" s="23"/>
      <c r="W4966" s="23"/>
      <c r="X4966" s="23"/>
      <c r="Y4966" s="23"/>
      <c r="Z4966" s="23"/>
    </row>
    <row r="4967" spans="1:26" ht="13">
      <c r="A4967" s="562" t="s">
        <v>10625</v>
      </c>
      <c r="B4967" s="563" t="s">
        <v>10626</v>
      </c>
      <c r="C4967" s="564" t="s">
        <v>1076</v>
      </c>
      <c r="D4967" s="565">
        <v>45444</v>
      </c>
      <c r="E4967" s="565">
        <v>45747</v>
      </c>
      <c r="F4967" s="566">
        <v>262585600</v>
      </c>
      <c r="G4967" s="564" t="s">
        <v>1085</v>
      </c>
      <c r="H4967" s="564" t="s">
        <v>1077</v>
      </c>
      <c r="I4967" s="564" t="s">
        <v>10624</v>
      </c>
      <c r="J4967" s="564" t="s">
        <v>1079</v>
      </c>
      <c r="K4967" s="564" t="s">
        <v>1070</v>
      </c>
      <c r="L4967" s="564" t="s">
        <v>1080</v>
      </c>
      <c r="M4967" s="564" t="s">
        <v>1081</v>
      </c>
      <c r="N4967" s="564" t="s">
        <v>1082</v>
      </c>
      <c r="O4967" s="564" t="s">
        <v>1081</v>
      </c>
      <c r="P4967" s="23"/>
      <c r="Q4967" s="23"/>
      <c r="R4967" s="23"/>
      <c r="S4967" s="23"/>
      <c r="T4967" s="23"/>
      <c r="U4967" s="23"/>
      <c r="V4967" s="23"/>
      <c r="W4967" s="23"/>
      <c r="X4967" s="23"/>
      <c r="Y4967" s="23"/>
      <c r="Z4967" s="23"/>
    </row>
    <row r="4968" spans="1:26" ht="13">
      <c r="A4968" s="562" t="s">
        <v>813</v>
      </c>
      <c r="B4968" s="563" t="s">
        <v>10627</v>
      </c>
      <c r="C4968" s="564" t="s">
        <v>1370</v>
      </c>
      <c r="D4968" s="565">
        <v>45444</v>
      </c>
      <c r="E4968" s="565">
        <v>45808</v>
      </c>
      <c r="F4968" s="566">
        <v>59454545</v>
      </c>
      <c r="G4968" s="564" t="s">
        <v>10577</v>
      </c>
      <c r="H4968" s="564" t="s">
        <v>803</v>
      </c>
      <c r="I4968" s="564" t="s">
        <v>802</v>
      </c>
      <c r="J4968" s="564" t="s">
        <v>1079</v>
      </c>
      <c r="K4968" s="564" t="s">
        <v>1198</v>
      </c>
      <c r="L4968" s="564" t="s">
        <v>1071</v>
      </c>
      <c r="M4968" s="564" t="s">
        <v>1091</v>
      </c>
      <c r="N4968" s="564" t="s">
        <v>132</v>
      </c>
      <c r="O4968" s="564" t="s">
        <v>241</v>
      </c>
      <c r="P4968" s="23"/>
      <c r="Q4968" s="23"/>
      <c r="R4968" s="23"/>
      <c r="S4968" s="23"/>
      <c r="T4968" s="23"/>
      <c r="U4968" s="23"/>
      <c r="V4968" s="23"/>
      <c r="W4968" s="23"/>
      <c r="X4968" s="23"/>
      <c r="Y4968" s="23"/>
      <c r="Z4968" s="23"/>
    </row>
    <row r="4969" spans="1:26" ht="13">
      <c r="A4969" s="562" t="s">
        <v>10628</v>
      </c>
      <c r="B4969" s="563" t="s">
        <v>10629</v>
      </c>
      <c r="C4969" s="564" t="s">
        <v>1475</v>
      </c>
      <c r="D4969" s="565">
        <v>45444</v>
      </c>
      <c r="E4969" s="565">
        <v>46507</v>
      </c>
      <c r="F4969" s="566">
        <v>2854545454</v>
      </c>
      <c r="G4969" s="564" t="s">
        <v>1365</v>
      </c>
      <c r="H4969" s="564" t="s">
        <v>1366</v>
      </c>
      <c r="I4969" s="564" t="s">
        <v>2579</v>
      </c>
      <c r="J4969" s="564" t="s">
        <v>1079</v>
      </c>
      <c r="K4969" s="564" t="s">
        <v>1205</v>
      </c>
      <c r="L4969" s="564" t="s">
        <v>1071</v>
      </c>
      <c r="M4969" s="564" t="s">
        <v>1091</v>
      </c>
      <c r="N4969" s="564" t="s">
        <v>1368</v>
      </c>
      <c r="O4969" s="564" t="s">
        <v>241</v>
      </c>
      <c r="P4969" s="23"/>
      <c r="Q4969" s="23"/>
      <c r="R4969" s="23"/>
      <c r="S4969" s="23"/>
      <c r="T4969" s="23"/>
      <c r="U4969" s="23"/>
      <c r="V4969" s="23"/>
      <c r="W4969" s="23"/>
      <c r="X4969" s="23"/>
      <c r="Y4969" s="23"/>
      <c r="Z4969" s="23"/>
    </row>
    <row r="4970" spans="1:26" ht="13">
      <c r="A4970" s="562" t="s">
        <v>340</v>
      </c>
      <c r="B4970" s="563" t="s">
        <v>10630</v>
      </c>
      <c r="C4970" s="564" t="s">
        <v>1388</v>
      </c>
      <c r="D4970" s="565">
        <v>45444</v>
      </c>
      <c r="E4970" s="565">
        <v>46081</v>
      </c>
      <c r="F4970" s="566">
        <v>340200000</v>
      </c>
      <c r="G4970" s="564" t="s">
        <v>337</v>
      </c>
      <c r="H4970" s="564" t="s">
        <v>349</v>
      </c>
      <c r="I4970" s="564" t="s">
        <v>10631</v>
      </c>
      <c r="J4970" s="564" t="s">
        <v>1372</v>
      </c>
      <c r="K4970" s="564" t="s">
        <v>1090</v>
      </c>
      <c r="L4970" s="564" t="s">
        <v>1390</v>
      </c>
      <c r="M4970" s="564" t="s">
        <v>1390</v>
      </c>
      <c r="N4970" s="564" t="s">
        <v>1082</v>
      </c>
      <c r="O4970" s="564" t="s">
        <v>38</v>
      </c>
      <c r="P4970" s="23"/>
      <c r="Q4970" s="23"/>
      <c r="R4970" s="23"/>
      <c r="S4970" s="23"/>
      <c r="T4970" s="23"/>
      <c r="U4970" s="23"/>
      <c r="V4970" s="23"/>
      <c r="W4970" s="23"/>
      <c r="X4970" s="23"/>
      <c r="Y4970" s="23"/>
      <c r="Z4970" s="23"/>
    </row>
    <row r="4971" spans="1:26" ht="13">
      <c r="A4971" s="562" t="s">
        <v>84</v>
      </c>
      <c r="B4971" s="563" t="s">
        <v>10632</v>
      </c>
      <c r="C4971" s="564" t="s">
        <v>1652</v>
      </c>
      <c r="D4971" s="565">
        <v>45397</v>
      </c>
      <c r="E4971" s="565">
        <v>46126</v>
      </c>
      <c r="F4971" s="566">
        <v>216000000</v>
      </c>
      <c r="G4971" s="564" t="s">
        <v>1157</v>
      </c>
      <c r="H4971" s="564" t="s">
        <v>674</v>
      </c>
      <c r="I4971" s="564" t="s">
        <v>70</v>
      </c>
      <c r="J4971" s="564" t="s">
        <v>1079</v>
      </c>
      <c r="K4971" s="564" t="s">
        <v>1120</v>
      </c>
      <c r="L4971" s="564" t="s">
        <v>1071</v>
      </c>
      <c r="M4971" s="564" t="s">
        <v>1091</v>
      </c>
      <c r="N4971" s="564" t="s">
        <v>70</v>
      </c>
      <c r="O4971" s="564" t="s">
        <v>241</v>
      </c>
      <c r="P4971" s="23"/>
      <c r="Q4971" s="23"/>
      <c r="R4971" s="23"/>
      <c r="S4971" s="23"/>
      <c r="T4971" s="23"/>
      <c r="U4971" s="23"/>
      <c r="V4971" s="23"/>
      <c r="W4971" s="23"/>
      <c r="X4971" s="23"/>
      <c r="Y4971" s="23"/>
      <c r="Z4971" s="23"/>
    </row>
    <row r="4972" spans="1:26" ht="13">
      <c r="A4972" s="562" t="s">
        <v>10633</v>
      </c>
      <c r="B4972" s="563" t="s">
        <v>10634</v>
      </c>
      <c r="C4972" s="564" t="s">
        <v>1076</v>
      </c>
      <c r="D4972" s="565">
        <v>45422</v>
      </c>
      <c r="E4972" s="565">
        <v>45473</v>
      </c>
      <c r="F4972" s="566">
        <v>412660000</v>
      </c>
      <c r="G4972" s="564" t="s">
        <v>1420</v>
      </c>
      <c r="H4972" s="564" t="s">
        <v>1116</v>
      </c>
      <c r="I4972" s="564" t="s">
        <v>45</v>
      </c>
      <c r="J4972" s="564" t="s">
        <v>1069</v>
      </c>
      <c r="K4972" s="564" t="s">
        <v>1090</v>
      </c>
      <c r="L4972" s="564" t="s">
        <v>1390</v>
      </c>
      <c r="M4972" s="564" t="s">
        <v>1390</v>
      </c>
      <c r="N4972" s="564" t="s">
        <v>45</v>
      </c>
      <c r="O4972" s="564" t="s">
        <v>38</v>
      </c>
      <c r="P4972" s="23"/>
      <c r="Q4972" s="23"/>
      <c r="R4972" s="23"/>
      <c r="S4972" s="23"/>
      <c r="T4972" s="23"/>
      <c r="U4972" s="23"/>
      <c r="V4972" s="23"/>
      <c r="W4972" s="23"/>
      <c r="X4972" s="23"/>
      <c r="Y4972" s="23"/>
      <c r="Z4972" s="23"/>
    </row>
    <row r="4973" spans="1:26" ht="13">
      <c r="A4973" s="562" t="s">
        <v>10635</v>
      </c>
      <c r="B4973" s="563" t="s">
        <v>10636</v>
      </c>
      <c r="C4973" s="564" t="s">
        <v>1455</v>
      </c>
      <c r="D4973" s="565">
        <v>45335</v>
      </c>
      <c r="E4973" s="565">
        <v>45596</v>
      </c>
      <c r="F4973" s="566">
        <v>490000000</v>
      </c>
      <c r="G4973" s="564" t="s">
        <v>1750</v>
      </c>
      <c r="H4973" s="564" t="s">
        <v>1182</v>
      </c>
      <c r="I4973" s="564" t="s">
        <v>170</v>
      </c>
      <c r="J4973" s="564" t="s">
        <v>1079</v>
      </c>
      <c r="K4973" s="564" t="s">
        <v>1105</v>
      </c>
      <c r="L4973" s="564" t="s">
        <v>1390</v>
      </c>
      <c r="M4973" s="564" t="s">
        <v>1390</v>
      </c>
      <c r="N4973" s="564" t="s">
        <v>170</v>
      </c>
      <c r="O4973" s="564" t="s">
        <v>38</v>
      </c>
      <c r="P4973" s="23"/>
      <c r="Q4973" s="23"/>
      <c r="R4973" s="23"/>
      <c r="S4973" s="23"/>
      <c r="T4973" s="23"/>
      <c r="U4973" s="23"/>
      <c r="V4973" s="23"/>
      <c r="W4973" s="23"/>
      <c r="X4973" s="23"/>
      <c r="Y4973" s="23"/>
      <c r="Z4973" s="23"/>
    </row>
    <row r="4974" spans="1:26" ht="13">
      <c r="A4974" s="562" t="s">
        <v>10637</v>
      </c>
      <c r="B4974" s="563" t="s">
        <v>10638</v>
      </c>
      <c r="C4974" s="564" t="s">
        <v>1475</v>
      </c>
      <c r="D4974" s="565">
        <v>45383</v>
      </c>
      <c r="E4974" s="565">
        <v>45473</v>
      </c>
      <c r="F4974" s="566">
        <v>36590907</v>
      </c>
      <c r="G4974" s="564" t="s">
        <v>10614</v>
      </c>
      <c r="H4974" s="564" t="s">
        <v>1366</v>
      </c>
      <c r="I4974" s="564" t="s">
        <v>140</v>
      </c>
      <c r="J4974" s="564" t="s">
        <v>1069</v>
      </c>
      <c r="K4974" s="564" t="s">
        <v>1205</v>
      </c>
      <c r="L4974" s="564" t="s">
        <v>1071</v>
      </c>
      <c r="M4974" s="564" t="s">
        <v>1091</v>
      </c>
      <c r="N4974" s="564" t="s">
        <v>1073</v>
      </c>
      <c r="O4974" s="564" t="s">
        <v>241</v>
      </c>
      <c r="P4974" s="23"/>
      <c r="Q4974" s="23"/>
      <c r="R4974" s="23"/>
      <c r="S4974" s="23"/>
      <c r="T4974" s="23"/>
      <c r="U4974" s="23"/>
      <c r="V4974" s="23"/>
      <c r="W4974" s="23"/>
      <c r="X4974" s="23"/>
      <c r="Y4974" s="23"/>
      <c r="Z4974" s="23"/>
    </row>
    <row r="4975" spans="1:26" ht="13">
      <c r="A4975" s="562" t="s">
        <v>10639</v>
      </c>
      <c r="B4975" s="563" t="s">
        <v>10640</v>
      </c>
      <c r="C4975" s="564" t="s">
        <v>1088</v>
      </c>
      <c r="D4975" s="565">
        <v>45383</v>
      </c>
      <c r="E4975" s="565">
        <v>45747</v>
      </c>
      <c r="F4975" s="566">
        <v>24960000</v>
      </c>
      <c r="G4975" s="564" t="s">
        <v>1122</v>
      </c>
      <c r="H4975" s="564" t="s">
        <v>1123</v>
      </c>
      <c r="I4975" s="564" t="s">
        <v>2586</v>
      </c>
      <c r="J4975" s="564" t="s">
        <v>1079</v>
      </c>
      <c r="K4975" s="564" t="s">
        <v>1070</v>
      </c>
      <c r="L4975" s="564" t="s">
        <v>1071</v>
      </c>
      <c r="M4975" s="564" t="s">
        <v>1091</v>
      </c>
      <c r="N4975" s="564" t="s">
        <v>1073</v>
      </c>
      <c r="O4975" s="564" t="s">
        <v>241</v>
      </c>
      <c r="P4975" s="23"/>
      <c r="Q4975" s="23"/>
      <c r="R4975" s="23"/>
      <c r="S4975" s="23"/>
      <c r="T4975" s="23"/>
      <c r="U4975" s="23"/>
      <c r="V4975" s="23"/>
      <c r="W4975" s="23"/>
      <c r="X4975" s="23"/>
      <c r="Y4975" s="23"/>
      <c r="Z4975" s="23"/>
    </row>
    <row r="4976" spans="1:26" ht="13">
      <c r="A4976" s="562" t="s">
        <v>63</v>
      </c>
      <c r="B4976" s="563" t="s">
        <v>62</v>
      </c>
      <c r="C4976" s="564" t="s">
        <v>1388</v>
      </c>
      <c r="D4976" s="565">
        <v>45383</v>
      </c>
      <c r="E4976" s="565">
        <v>45657</v>
      </c>
      <c r="F4976" s="566">
        <v>372000000</v>
      </c>
      <c r="G4976" s="564" t="s">
        <v>1969</v>
      </c>
      <c r="H4976" s="564" t="s">
        <v>297</v>
      </c>
      <c r="I4976" s="564" t="s">
        <v>45</v>
      </c>
      <c r="J4976" s="564" t="s">
        <v>1079</v>
      </c>
      <c r="K4976" s="564" t="s">
        <v>1090</v>
      </c>
      <c r="L4976" s="564" t="s">
        <v>1390</v>
      </c>
      <c r="M4976" s="564" t="s">
        <v>1390</v>
      </c>
      <c r="N4976" s="564" t="s">
        <v>45</v>
      </c>
      <c r="O4976" s="564" t="s">
        <v>38</v>
      </c>
      <c r="P4976" s="23"/>
      <c r="Q4976" s="23"/>
      <c r="R4976" s="23"/>
      <c r="S4976" s="23"/>
      <c r="T4976" s="23"/>
      <c r="U4976" s="23"/>
      <c r="V4976" s="23"/>
      <c r="W4976" s="23"/>
      <c r="X4976" s="23"/>
      <c r="Y4976" s="23"/>
      <c r="Z4976" s="23"/>
    </row>
    <row r="4977" spans="1:26" ht="13">
      <c r="A4977" s="562" t="s">
        <v>61</v>
      </c>
      <c r="B4977" s="563" t="s">
        <v>60</v>
      </c>
      <c r="C4977" s="564" t="s">
        <v>1388</v>
      </c>
      <c r="D4977" s="565">
        <v>45383</v>
      </c>
      <c r="E4977" s="565">
        <v>45657</v>
      </c>
      <c r="F4977" s="566">
        <v>353000000</v>
      </c>
      <c r="G4977" s="564" t="s">
        <v>1969</v>
      </c>
      <c r="H4977" s="564" t="s">
        <v>297</v>
      </c>
      <c r="I4977" s="564" t="s">
        <v>45</v>
      </c>
      <c r="J4977" s="564" t="s">
        <v>1079</v>
      </c>
      <c r="K4977" s="564" t="s">
        <v>1090</v>
      </c>
      <c r="L4977" s="564" t="s">
        <v>1390</v>
      </c>
      <c r="M4977" s="564" t="s">
        <v>1390</v>
      </c>
      <c r="N4977" s="564" t="s">
        <v>45</v>
      </c>
      <c r="O4977" s="564" t="s">
        <v>38</v>
      </c>
      <c r="P4977" s="23"/>
      <c r="Q4977" s="23"/>
      <c r="R4977" s="23"/>
      <c r="S4977" s="23"/>
      <c r="T4977" s="23"/>
      <c r="U4977" s="23"/>
      <c r="V4977" s="23"/>
      <c r="W4977" s="23"/>
      <c r="X4977" s="23"/>
      <c r="Y4977" s="23"/>
      <c r="Z4977" s="23"/>
    </row>
    <row r="4978" spans="1:26" ht="13">
      <c r="A4978" s="562" t="s">
        <v>10641</v>
      </c>
      <c r="B4978" s="563" t="s">
        <v>10642</v>
      </c>
      <c r="C4978" s="564" t="s">
        <v>1114</v>
      </c>
      <c r="D4978" s="565">
        <v>45352</v>
      </c>
      <c r="E4978" s="565">
        <v>46081</v>
      </c>
      <c r="F4978" s="566">
        <v>10080000</v>
      </c>
      <c r="G4978" s="564" t="s">
        <v>1365</v>
      </c>
      <c r="H4978" s="564" t="s">
        <v>1366</v>
      </c>
      <c r="I4978" s="564" t="s">
        <v>2789</v>
      </c>
      <c r="J4978" s="564" t="s">
        <v>1079</v>
      </c>
      <c r="K4978" s="564" t="s">
        <v>1205</v>
      </c>
      <c r="L4978" s="564" t="s">
        <v>1117</v>
      </c>
      <c r="M4978" s="564" t="s">
        <v>1199</v>
      </c>
      <c r="N4978" s="564" t="s">
        <v>1082</v>
      </c>
      <c r="O4978" s="564" t="s">
        <v>241</v>
      </c>
      <c r="P4978" s="23"/>
      <c r="Q4978" s="23"/>
      <c r="R4978" s="23"/>
      <c r="S4978" s="23"/>
      <c r="T4978" s="23"/>
      <c r="U4978" s="23"/>
      <c r="V4978" s="23"/>
      <c r="W4978" s="23"/>
      <c r="X4978" s="23"/>
      <c r="Y4978" s="23"/>
      <c r="Z4978" s="23"/>
    </row>
    <row r="4979" spans="1:26" ht="13">
      <c r="A4979" s="562" t="s">
        <v>77</v>
      </c>
      <c r="B4979" s="563" t="s">
        <v>10643</v>
      </c>
      <c r="C4979" s="564" t="s">
        <v>1652</v>
      </c>
      <c r="D4979" s="565">
        <v>45362</v>
      </c>
      <c r="E4979" s="565">
        <v>45746</v>
      </c>
      <c r="F4979" s="566">
        <v>216000000</v>
      </c>
      <c r="G4979" s="564" t="s">
        <v>674</v>
      </c>
      <c r="H4979" s="564" t="s">
        <v>674</v>
      </c>
      <c r="I4979" s="564" t="s">
        <v>70</v>
      </c>
      <c r="J4979" s="564" t="s">
        <v>1079</v>
      </c>
      <c r="K4979" s="564" t="s">
        <v>1120</v>
      </c>
      <c r="L4979" s="564" t="s">
        <v>1071</v>
      </c>
      <c r="M4979" s="564" t="s">
        <v>1091</v>
      </c>
      <c r="N4979" s="564" t="s">
        <v>70</v>
      </c>
      <c r="O4979" s="564" t="s">
        <v>241</v>
      </c>
      <c r="P4979" s="23"/>
      <c r="Q4979" s="23"/>
      <c r="R4979" s="23"/>
      <c r="S4979" s="23"/>
      <c r="T4979" s="23"/>
      <c r="U4979" s="23"/>
      <c r="V4979" s="23"/>
      <c r="W4979" s="23"/>
      <c r="X4979" s="23"/>
      <c r="Y4979" s="23"/>
      <c r="Z4979" s="23"/>
    </row>
    <row r="4980" spans="1:26" ht="13">
      <c r="A4980" s="562" t="s">
        <v>10644</v>
      </c>
      <c r="B4980" s="563" t="s">
        <v>10645</v>
      </c>
      <c r="C4980" s="564" t="s">
        <v>1475</v>
      </c>
      <c r="D4980" s="565">
        <v>45348</v>
      </c>
      <c r="E4980" s="565">
        <v>45713</v>
      </c>
      <c r="F4980" s="566">
        <v>406152000</v>
      </c>
      <c r="G4980" s="564" t="s">
        <v>1756</v>
      </c>
      <c r="H4980" s="564" t="s">
        <v>10646</v>
      </c>
      <c r="I4980" s="564" t="s">
        <v>125</v>
      </c>
      <c r="J4980" s="564" t="s">
        <v>1079</v>
      </c>
      <c r="K4980" s="564" t="s">
        <v>1070</v>
      </c>
      <c r="L4980" s="564" t="s">
        <v>1390</v>
      </c>
      <c r="M4980" s="564" t="s">
        <v>1390</v>
      </c>
      <c r="N4980" s="564" t="s">
        <v>1073</v>
      </c>
      <c r="O4980" s="564" t="s">
        <v>38</v>
      </c>
      <c r="P4980" s="23"/>
      <c r="Q4980" s="23"/>
      <c r="R4980" s="23"/>
      <c r="S4980" s="23"/>
      <c r="T4980" s="23"/>
      <c r="U4980" s="23"/>
      <c r="V4980" s="23"/>
      <c r="W4980" s="23"/>
      <c r="X4980" s="23"/>
      <c r="Y4980" s="23"/>
      <c r="Z4980" s="23"/>
    </row>
    <row r="4981" spans="1:26" ht="13">
      <c r="A4981" s="562" t="s">
        <v>10647</v>
      </c>
      <c r="B4981" s="563" t="s">
        <v>10648</v>
      </c>
      <c r="C4981" s="564" t="s">
        <v>1475</v>
      </c>
      <c r="D4981" s="565">
        <v>45352</v>
      </c>
      <c r="E4981" s="565">
        <v>45716</v>
      </c>
      <c r="F4981" s="566">
        <v>34099600</v>
      </c>
      <c r="G4981" s="564" t="s">
        <v>10649</v>
      </c>
      <c r="H4981" s="564" t="s">
        <v>1123</v>
      </c>
      <c r="I4981" s="564" t="s">
        <v>1417</v>
      </c>
      <c r="J4981" s="564" t="s">
        <v>1079</v>
      </c>
      <c r="K4981" s="564" t="s">
        <v>1070</v>
      </c>
      <c r="L4981" s="564" t="s">
        <v>1071</v>
      </c>
      <c r="M4981" s="564" t="s">
        <v>1091</v>
      </c>
      <c r="N4981" s="564" t="s">
        <v>1082</v>
      </c>
      <c r="O4981" s="564" t="s">
        <v>241</v>
      </c>
      <c r="P4981" s="23"/>
      <c r="Q4981" s="23"/>
      <c r="R4981" s="23"/>
      <c r="S4981" s="23"/>
      <c r="T4981" s="23"/>
      <c r="U4981" s="23"/>
      <c r="V4981" s="23"/>
      <c r="W4981" s="23"/>
      <c r="X4981" s="23"/>
      <c r="Y4981" s="23"/>
      <c r="Z4981" s="23"/>
    </row>
    <row r="4982" spans="1:26" ht="13">
      <c r="A4982" s="562" t="s">
        <v>10650</v>
      </c>
      <c r="B4982" s="563" t="s">
        <v>10651</v>
      </c>
      <c r="C4982" s="564" t="s">
        <v>1388</v>
      </c>
      <c r="D4982" s="565">
        <v>45343</v>
      </c>
      <c r="E4982" s="565">
        <v>45382</v>
      </c>
      <c r="F4982" s="566">
        <v>232800000</v>
      </c>
      <c r="G4982" s="564" t="s">
        <v>1128</v>
      </c>
      <c r="H4982" s="564" t="s">
        <v>1128</v>
      </c>
      <c r="I4982" s="564" t="s">
        <v>45</v>
      </c>
      <c r="J4982" s="564" t="s">
        <v>1069</v>
      </c>
      <c r="K4982" s="564" t="s">
        <v>1090</v>
      </c>
      <c r="L4982" s="564" t="s">
        <v>1390</v>
      </c>
      <c r="M4982" s="564" t="s">
        <v>1390</v>
      </c>
      <c r="N4982" s="564" t="s">
        <v>45</v>
      </c>
      <c r="O4982" s="564" t="s">
        <v>38</v>
      </c>
      <c r="P4982" s="23"/>
      <c r="Q4982" s="23"/>
      <c r="R4982" s="23"/>
      <c r="S4982" s="23"/>
      <c r="T4982" s="23"/>
      <c r="U4982" s="23"/>
      <c r="V4982" s="23"/>
      <c r="W4982" s="23"/>
      <c r="X4982" s="23"/>
      <c r="Y4982" s="23"/>
      <c r="Z4982" s="23"/>
    </row>
    <row r="4983" spans="1:26" ht="13">
      <c r="A4983" s="562" t="s">
        <v>10652</v>
      </c>
      <c r="B4983" s="563" t="s">
        <v>10653</v>
      </c>
      <c r="C4983" s="564" t="s">
        <v>1114</v>
      </c>
      <c r="D4983" s="565">
        <v>45352</v>
      </c>
      <c r="E4983" s="565">
        <v>45716</v>
      </c>
      <c r="F4983" s="566">
        <v>4800000</v>
      </c>
      <c r="G4983" s="564" t="s">
        <v>1365</v>
      </c>
      <c r="H4983" s="564" t="s">
        <v>1366</v>
      </c>
      <c r="I4983" s="564" t="s">
        <v>10555</v>
      </c>
      <c r="J4983" s="564" t="s">
        <v>1079</v>
      </c>
      <c r="K4983" s="564" t="s">
        <v>1205</v>
      </c>
      <c r="L4983" s="564" t="s">
        <v>1117</v>
      </c>
      <c r="M4983" s="564" t="s">
        <v>1199</v>
      </c>
      <c r="N4983" s="564" t="s">
        <v>1368</v>
      </c>
      <c r="O4983" s="564" t="s">
        <v>241</v>
      </c>
      <c r="P4983" s="23"/>
      <c r="Q4983" s="23"/>
      <c r="R4983" s="23"/>
      <c r="S4983" s="23"/>
      <c r="T4983" s="23"/>
      <c r="U4983" s="23"/>
      <c r="V4983" s="23"/>
      <c r="W4983" s="23"/>
      <c r="X4983" s="23"/>
      <c r="Y4983" s="23"/>
      <c r="Z4983" s="23"/>
    </row>
    <row r="4984" spans="1:26" ht="13">
      <c r="A4984" s="562" t="s">
        <v>10654</v>
      </c>
      <c r="B4984" s="563" t="s">
        <v>10655</v>
      </c>
      <c r="C4984" s="564" t="s">
        <v>1114</v>
      </c>
      <c r="D4984" s="565">
        <v>45352</v>
      </c>
      <c r="E4984" s="565">
        <v>46081</v>
      </c>
      <c r="F4984" s="566">
        <v>10800000</v>
      </c>
      <c r="G4984" s="564" t="s">
        <v>1365</v>
      </c>
      <c r="H4984" s="564" t="s">
        <v>1366</v>
      </c>
      <c r="I4984" s="564" t="s">
        <v>10656</v>
      </c>
      <c r="J4984" s="564" t="s">
        <v>1079</v>
      </c>
      <c r="K4984" s="564" t="s">
        <v>1205</v>
      </c>
      <c r="L4984" s="564" t="s">
        <v>1117</v>
      </c>
      <c r="M4984" s="564" t="s">
        <v>1199</v>
      </c>
      <c r="N4984" s="564" t="s">
        <v>1082</v>
      </c>
      <c r="O4984" s="564" t="s">
        <v>241</v>
      </c>
      <c r="P4984" s="23"/>
      <c r="Q4984" s="23"/>
      <c r="R4984" s="23"/>
      <c r="S4984" s="23"/>
      <c r="T4984" s="23"/>
      <c r="U4984" s="23"/>
      <c r="V4984" s="23"/>
      <c r="W4984" s="23"/>
      <c r="X4984" s="23"/>
      <c r="Y4984" s="23"/>
      <c r="Z4984" s="23"/>
    </row>
    <row r="4985" spans="1:26" ht="13">
      <c r="A4985" s="562" t="s">
        <v>74</v>
      </c>
      <c r="B4985" s="563" t="s">
        <v>10657</v>
      </c>
      <c r="C4985" s="564" t="s">
        <v>1652</v>
      </c>
      <c r="D4985" s="565">
        <v>45320</v>
      </c>
      <c r="E4985" s="565">
        <v>45471</v>
      </c>
      <c r="F4985" s="566">
        <v>299000000</v>
      </c>
      <c r="G4985" s="564" t="s">
        <v>1725</v>
      </c>
      <c r="H4985" s="564" t="s">
        <v>674</v>
      </c>
      <c r="I4985" s="564" t="s">
        <v>70</v>
      </c>
      <c r="J4985" s="564" t="s">
        <v>1069</v>
      </c>
      <c r="K4985" s="564" t="s">
        <v>1120</v>
      </c>
      <c r="L4985" s="564" t="s">
        <v>1390</v>
      </c>
      <c r="M4985" s="564" t="s">
        <v>1390</v>
      </c>
      <c r="N4985" s="564" t="s">
        <v>70</v>
      </c>
      <c r="O4985" s="564" t="s">
        <v>38</v>
      </c>
      <c r="P4985" s="23"/>
      <c r="Q4985" s="23"/>
      <c r="R4985" s="23"/>
      <c r="S4985" s="23"/>
      <c r="T4985" s="23"/>
      <c r="U4985" s="23"/>
      <c r="V4985" s="23"/>
      <c r="W4985" s="23"/>
      <c r="X4985" s="23"/>
      <c r="Y4985" s="23"/>
      <c r="Z4985" s="23"/>
    </row>
    <row r="4986" spans="1:26" ht="13">
      <c r="A4986" s="562" t="s">
        <v>10658</v>
      </c>
      <c r="B4986" s="563" t="s">
        <v>10659</v>
      </c>
      <c r="C4986" s="564" t="s">
        <v>1114</v>
      </c>
      <c r="D4986" s="565">
        <v>45352</v>
      </c>
      <c r="E4986" s="565">
        <v>46446</v>
      </c>
      <c r="F4986" s="566">
        <v>11448000</v>
      </c>
      <c r="G4986" s="564" t="s">
        <v>1365</v>
      </c>
      <c r="H4986" s="564" t="s">
        <v>1366</v>
      </c>
      <c r="I4986" s="564" t="s">
        <v>10660</v>
      </c>
      <c r="J4986" s="564" t="s">
        <v>1079</v>
      </c>
      <c r="K4986" s="564" t="s">
        <v>1205</v>
      </c>
      <c r="L4986" s="564" t="s">
        <v>1117</v>
      </c>
      <c r="M4986" s="564" t="s">
        <v>1199</v>
      </c>
      <c r="N4986" s="564" t="s">
        <v>1368</v>
      </c>
      <c r="O4986" s="564" t="s">
        <v>241</v>
      </c>
      <c r="P4986" s="23"/>
      <c r="Q4986" s="23"/>
      <c r="R4986" s="23"/>
      <c r="S4986" s="23"/>
      <c r="T4986" s="23"/>
      <c r="U4986" s="23"/>
      <c r="V4986" s="23"/>
      <c r="W4986" s="23"/>
      <c r="X4986" s="23"/>
      <c r="Y4986" s="23"/>
      <c r="Z4986" s="23"/>
    </row>
    <row r="4987" spans="1:26" ht="13">
      <c r="A4987" s="562" t="s">
        <v>10661</v>
      </c>
      <c r="B4987" s="563" t="s">
        <v>10662</v>
      </c>
      <c r="C4987" s="564" t="s">
        <v>1455</v>
      </c>
      <c r="D4987" s="565">
        <v>45335</v>
      </c>
      <c r="E4987" s="565">
        <v>45563</v>
      </c>
      <c r="F4987" s="566">
        <v>340000000</v>
      </c>
      <c r="G4987" s="564" t="s">
        <v>1750</v>
      </c>
      <c r="H4987" s="564" t="s">
        <v>1182</v>
      </c>
      <c r="I4987" s="564" t="s">
        <v>170</v>
      </c>
      <c r="J4987" s="564" t="s">
        <v>1079</v>
      </c>
      <c r="K4987" s="564" t="s">
        <v>1105</v>
      </c>
      <c r="L4987" s="564" t="s">
        <v>1390</v>
      </c>
      <c r="M4987" s="564" t="s">
        <v>1390</v>
      </c>
      <c r="N4987" s="564" t="s">
        <v>170</v>
      </c>
      <c r="O4987" s="564" t="s">
        <v>38</v>
      </c>
      <c r="P4987" s="23"/>
      <c r="Q4987" s="23"/>
      <c r="R4987" s="23"/>
      <c r="S4987" s="23"/>
      <c r="T4987" s="23"/>
      <c r="U4987" s="23"/>
      <c r="V4987" s="23"/>
      <c r="W4987" s="23"/>
      <c r="X4987" s="23"/>
      <c r="Y4987" s="23"/>
      <c r="Z4987" s="23"/>
    </row>
    <row r="4988" spans="1:26" ht="13">
      <c r="A4988" s="562" t="s">
        <v>10663</v>
      </c>
      <c r="B4988" s="563" t="s">
        <v>10664</v>
      </c>
      <c r="C4988" s="564" t="s">
        <v>1370</v>
      </c>
      <c r="D4988" s="565">
        <v>45337</v>
      </c>
      <c r="E4988" s="565">
        <v>45443</v>
      </c>
      <c r="F4988" s="566">
        <v>40909091</v>
      </c>
      <c r="G4988" s="564" t="s">
        <v>10577</v>
      </c>
      <c r="H4988" s="564" t="s">
        <v>803</v>
      </c>
      <c r="I4988" s="564" t="s">
        <v>802</v>
      </c>
      <c r="J4988" s="564" t="s">
        <v>1069</v>
      </c>
      <c r="K4988" s="564" t="s">
        <v>1198</v>
      </c>
      <c r="L4988" s="564" t="s">
        <v>1390</v>
      </c>
      <c r="M4988" s="564" t="s">
        <v>1390</v>
      </c>
      <c r="N4988" s="564" t="s">
        <v>132</v>
      </c>
      <c r="O4988" s="564" t="s">
        <v>38</v>
      </c>
      <c r="P4988" s="23"/>
      <c r="Q4988" s="23"/>
      <c r="R4988" s="23"/>
      <c r="S4988" s="23"/>
      <c r="T4988" s="23"/>
      <c r="U4988" s="23"/>
      <c r="V4988" s="23"/>
      <c r="W4988" s="23"/>
      <c r="X4988" s="23"/>
      <c r="Y4988" s="23"/>
      <c r="Z4988" s="23"/>
    </row>
    <row r="4989" spans="1:26" ht="13">
      <c r="A4989" s="562" t="s">
        <v>10665</v>
      </c>
      <c r="B4989" s="563" t="s">
        <v>10666</v>
      </c>
      <c r="C4989" s="564" t="s">
        <v>1370</v>
      </c>
      <c r="D4989" s="565">
        <v>45329</v>
      </c>
      <c r="E4989" s="565">
        <v>45357</v>
      </c>
      <c r="F4989" s="566">
        <v>6363636</v>
      </c>
      <c r="G4989" s="564" t="s">
        <v>1623</v>
      </c>
      <c r="H4989" s="564" t="s">
        <v>803</v>
      </c>
      <c r="I4989" s="564" t="s">
        <v>802</v>
      </c>
      <c r="J4989" s="564" t="s">
        <v>1069</v>
      </c>
      <c r="K4989" s="564" t="s">
        <v>1198</v>
      </c>
      <c r="L4989" s="564" t="s">
        <v>1390</v>
      </c>
      <c r="M4989" s="564" t="s">
        <v>1390</v>
      </c>
      <c r="N4989" s="564" t="s">
        <v>132</v>
      </c>
      <c r="O4989" s="564" t="s">
        <v>38</v>
      </c>
      <c r="P4989" s="23"/>
      <c r="Q4989" s="23"/>
      <c r="R4989" s="23"/>
      <c r="S4989" s="23"/>
      <c r="T4989" s="23"/>
      <c r="U4989" s="23"/>
      <c r="V4989" s="23"/>
      <c r="W4989" s="23"/>
      <c r="X4989" s="23"/>
      <c r="Y4989" s="23"/>
      <c r="Z4989" s="23"/>
    </row>
    <row r="4990" spans="1:26" ht="13">
      <c r="A4990" s="562" t="s">
        <v>10667</v>
      </c>
      <c r="B4990" s="563" t="s">
        <v>10668</v>
      </c>
      <c r="C4990" s="564" t="s">
        <v>1455</v>
      </c>
      <c r="D4990" s="565">
        <v>45299</v>
      </c>
      <c r="E4990" s="565">
        <v>45664</v>
      </c>
      <c r="F4990" s="566">
        <v>94164000</v>
      </c>
      <c r="G4990" s="564" t="s">
        <v>10669</v>
      </c>
      <c r="H4990" s="564" t="s">
        <v>10669</v>
      </c>
      <c r="I4990" s="564" t="s">
        <v>225</v>
      </c>
      <c r="J4990" s="564" t="s">
        <v>1079</v>
      </c>
      <c r="K4990" s="564" t="s">
        <v>1105</v>
      </c>
      <c r="L4990" s="564" t="s">
        <v>1390</v>
      </c>
      <c r="M4990" s="564" t="s">
        <v>1390</v>
      </c>
      <c r="N4990" s="564" t="s">
        <v>225</v>
      </c>
      <c r="O4990" s="564" t="s">
        <v>38</v>
      </c>
      <c r="P4990" s="23"/>
      <c r="Q4990" s="23"/>
      <c r="R4990" s="23"/>
      <c r="S4990" s="23"/>
      <c r="T4990" s="23"/>
      <c r="U4990" s="23"/>
      <c r="V4990" s="23"/>
      <c r="W4990" s="23"/>
      <c r="X4990" s="23"/>
      <c r="Y4990" s="23"/>
      <c r="Z4990" s="23"/>
    </row>
    <row r="4991" spans="1:26" ht="13">
      <c r="A4991" s="562" t="s">
        <v>10670</v>
      </c>
      <c r="B4991" s="563" t="s">
        <v>10671</v>
      </c>
      <c r="C4991" s="564" t="s">
        <v>1076</v>
      </c>
      <c r="D4991" s="565">
        <v>45323</v>
      </c>
      <c r="E4991" s="565">
        <v>46418</v>
      </c>
      <c r="F4991" s="566">
        <v>1563120000</v>
      </c>
      <c r="G4991" s="564" t="s">
        <v>10602</v>
      </c>
      <c r="H4991" s="564" t="s">
        <v>1366</v>
      </c>
      <c r="I4991" s="564" t="s">
        <v>143</v>
      </c>
      <c r="J4991" s="564" t="s">
        <v>1079</v>
      </c>
      <c r="K4991" s="564" t="s">
        <v>1205</v>
      </c>
      <c r="L4991" s="564" t="s">
        <v>1071</v>
      </c>
      <c r="M4991" s="564" t="s">
        <v>1091</v>
      </c>
      <c r="N4991" s="564" t="s">
        <v>1073</v>
      </c>
      <c r="O4991" s="564" t="s">
        <v>241</v>
      </c>
      <c r="P4991" s="23"/>
      <c r="Q4991" s="23"/>
      <c r="R4991" s="23"/>
      <c r="S4991" s="23"/>
      <c r="T4991" s="23"/>
      <c r="U4991" s="23"/>
      <c r="V4991" s="23"/>
      <c r="W4991" s="23"/>
      <c r="X4991" s="23"/>
      <c r="Y4991" s="23"/>
      <c r="Z4991" s="23"/>
    </row>
    <row r="4992" spans="1:26" ht="13">
      <c r="A4992" s="562" t="s">
        <v>10672</v>
      </c>
      <c r="B4992" s="563" t="s">
        <v>10673</v>
      </c>
      <c r="C4992" s="564" t="s">
        <v>1475</v>
      </c>
      <c r="D4992" s="565">
        <v>45306</v>
      </c>
      <c r="E4992" s="565">
        <v>45382</v>
      </c>
      <c r="F4992" s="566">
        <v>1726000000</v>
      </c>
      <c r="G4992" s="564" t="s">
        <v>10674</v>
      </c>
      <c r="H4992" s="564" t="s">
        <v>2876</v>
      </c>
      <c r="I4992" s="564" t="s">
        <v>2877</v>
      </c>
      <c r="J4992" s="564" t="s">
        <v>1069</v>
      </c>
      <c r="K4992" s="564" t="s">
        <v>2878</v>
      </c>
      <c r="L4992" s="564" t="s">
        <v>1390</v>
      </c>
      <c r="M4992" s="564" t="s">
        <v>1390</v>
      </c>
      <c r="N4992" s="564" t="s">
        <v>2543</v>
      </c>
      <c r="O4992" s="564" t="s">
        <v>38</v>
      </c>
      <c r="P4992" s="23"/>
      <c r="Q4992" s="23"/>
      <c r="R4992" s="23"/>
      <c r="S4992" s="23"/>
      <c r="T4992" s="23"/>
      <c r="U4992" s="23"/>
      <c r="V4992" s="23"/>
      <c r="W4992" s="23"/>
      <c r="X4992" s="23"/>
      <c r="Y4992" s="23"/>
      <c r="Z4992" s="23"/>
    </row>
    <row r="4993" spans="1:26" ht="13">
      <c r="A4993" s="562" t="s">
        <v>10675</v>
      </c>
      <c r="B4993" s="563" t="s">
        <v>10676</v>
      </c>
      <c r="C4993" s="564" t="s">
        <v>1475</v>
      </c>
      <c r="D4993" s="565">
        <v>45313</v>
      </c>
      <c r="E4993" s="565">
        <v>45327</v>
      </c>
      <c r="F4993" s="566">
        <v>1955000</v>
      </c>
      <c r="G4993" s="564" t="s">
        <v>10649</v>
      </c>
      <c r="H4993" s="564" t="s">
        <v>1123</v>
      </c>
      <c r="I4993" s="564" t="s">
        <v>1417</v>
      </c>
      <c r="J4993" s="564" t="s">
        <v>1069</v>
      </c>
      <c r="K4993" s="564" t="s">
        <v>1070</v>
      </c>
      <c r="L4993" s="564" t="s">
        <v>1071</v>
      </c>
      <c r="M4993" s="564" t="s">
        <v>1091</v>
      </c>
      <c r="N4993" s="564" t="s">
        <v>1082</v>
      </c>
      <c r="O4993" s="564" t="s">
        <v>241</v>
      </c>
      <c r="P4993" s="23"/>
      <c r="Q4993" s="23"/>
      <c r="R4993" s="23"/>
      <c r="S4993" s="23"/>
      <c r="T4993" s="23"/>
      <c r="U4993" s="23"/>
      <c r="V4993" s="23"/>
      <c r="W4993" s="23"/>
      <c r="X4993" s="23"/>
      <c r="Y4993" s="23"/>
      <c r="Z4993" s="23"/>
    </row>
    <row r="4994" spans="1:26" ht="13">
      <c r="A4994" s="562" t="s">
        <v>10677</v>
      </c>
      <c r="B4994" s="563" t="s">
        <v>10678</v>
      </c>
      <c r="C4994" s="564" t="s">
        <v>1370</v>
      </c>
      <c r="D4994" s="565">
        <v>45309</v>
      </c>
      <c r="E4994" s="565">
        <v>45368</v>
      </c>
      <c r="F4994" s="566">
        <v>56000000</v>
      </c>
      <c r="G4994" s="564" t="s">
        <v>10577</v>
      </c>
      <c r="H4994" s="564" t="s">
        <v>803</v>
      </c>
      <c r="I4994" s="564" t="s">
        <v>802</v>
      </c>
      <c r="J4994" s="564" t="s">
        <v>1069</v>
      </c>
      <c r="K4994" s="564" t="s">
        <v>1198</v>
      </c>
      <c r="L4994" s="564" t="s">
        <v>1390</v>
      </c>
      <c r="M4994" s="564" t="s">
        <v>1390</v>
      </c>
      <c r="N4994" s="564" t="s">
        <v>132</v>
      </c>
      <c r="O4994" s="564" t="s">
        <v>38</v>
      </c>
      <c r="P4994" s="23"/>
      <c r="Q4994" s="23"/>
      <c r="R4994" s="23"/>
      <c r="S4994" s="23"/>
      <c r="T4994" s="23"/>
      <c r="U4994" s="23"/>
      <c r="V4994" s="23"/>
      <c r="W4994" s="23"/>
      <c r="X4994" s="23"/>
      <c r="Y4994" s="23"/>
      <c r="Z4994" s="23"/>
    </row>
    <row r="4995" spans="1:26" ht="13">
      <c r="A4995" s="562" t="s">
        <v>10679</v>
      </c>
      <c r="B4995" s="563" t="s">
        <v>10680</v>
      </c>
      <c r="C4995" s="564" t="s">
        <v>1475</v>
      </c>
      <c r="D4995" s="565">
        <v>45292</v>
      </c>
      <c r="E4995" s="565">
        <v>45657</v>
      </c>
      <c r="F4995" s="566">
        <v>74310000</v>
      </c>
      <c r="G4995" s="564" t="s">
        <v>2459</v>
      </c>
      <c r="H4995" s="564" t="s">
        <v>1123</v>
      </c>
      <c r="I4995" s="564" t="s">
        <v>10681</v>
      </c>
      <c r="J4995" s="564" t="s">
        <v>1079</v>
      </c>
      <c r="K4995" s="564" t="s">
        <v>1802</v>
      </c>
      <c r="L4995" s="564" t="s">
        <v>1071</v>
      </c>
      <c r="M4995" s="564" t="s">
        <v>1091</v>
      </c>
      <c r="N4995" s="564" t="s">
        <v>1082</v>
      </c>
      <c r="O4995" s="564" t="s">
        <v>241</v>
      </c>
      <c r="P4995" s="23"/>
      <c r="Q4995" s="23"/>
      <c r="R4995" s="23"/>
      <c r="S4995" s="23"/>
      <c r="T4995" s="23"/>
      <c r="U4995" s="23"/>
      <c r="V4995" s="23"/>
      <c r="W4995" s="23"/>
      <c r="X4995" s="23"/>
      <c r="Y4995" s="23"/>
      <c r="Z4995" s="23"/>
    </row>
    <row r="4996" spans="1:26" ht="13">
      <c r="A4996" s="562" t="s">
        <v>10682</v>
      </c>
      <c r="B4996" s="563" t="s">
        <v>10683</v>
      </c>
      <c r="C4996" s="564" t="s">
        <v>353</v>
      </c>
      <c r="D4996" s="565">
        <v>45293</v>
      </c>
      <c r="E4996" s="565">
        <v>45429</v>
      </c>
      <c r="F4996" s="566">
        <v>1964270000</v>
      </c>
      <c r="G4996" s="564" t="s">
        <v>1131</v>
      </c>
      <c r="H4996" s="564" t="s">
        <v>1128</v>
      </c>
      <c r="I4996" s="564" t="s">
        <v>45</v>
      </c>
      <c r="J4996" s="564" t="s">
        <v>1069</v>
      </c>
      <c r="K4996" s="564" t="s">
        <v>1090</v>
      </c>
      <c r="L4996" s="564" t="s">
        <v>1390</v>
      </c>
      <c r="M4996" s="564" t="s">
        <v>1390</v>
      </c>
      <c r="N4996" s="564" t="s">
        <v>45</v>
      </c>
      <c r="O4996" s="564" t="s">
        <v>38</v>
      </c>
      <c r="P4996" s="23"/>
      <c r="Q4996" s="23"/>
      <c r="R4996" s="23"/>
      <c r="S4996" s="23"/>
      <c r="T4996" s="23"/>
      <c r="U4996" s="23"/>
      <c r="V4996" s="23"/>
      <c r="W4996" s="23"/>
      <c r="X4996" s="23"/>
      <c r="Y4996" s="23"/>
      <c r="Z4996" s="23"/>
    </row>
    <row r="4997" spans="1:26" ht="13">
      <c r="A4997" s="562" t="s">
        <v>10684</v>
      </c>
      <c r="B4997" s="563" t="s">
        <v>10685</v>
      </c>
      <c r="C4997" s="564" t="s">
        <v>3378</v>
      </c>
      <c r="D4997" s="565">
        <v>45299</v>
      </c>
      <c r="E4997" s="565">
        <v>45450</v>
      </c>
      <c r="F4997" s="566">
        <v>290000000</v>
      </c>
      <c r="G4997" s="564" t="s">
        <v>1564</v>
      </c>
      <c r="H4997" s="564" t="s">
        <v>1182</v>
      </c>
      <c r="I4997" s="564" t="s">
        <v>170</v>
      </c>
      <c r="J4997" s="564" t="s">
        <v>1069</v>
      </c>
      <c r="K4997" s="564" t="s">
        <v>1105</v>
      </c>
      <c r="L4997" s="564" t="s">
        <v>1390</v>
      </c>
      <c r="M4997" s="564" t="s">
        <v>1390</v>
      </c>
      <c r="N4997" s="564" t="s">
        <v>170</v>
      </c>
      <c r="O4997" s="564" t="s">
        <v>38</v>
      </c>
      <c r="P4997" s="23"/>
      <c r="Q4997" s="23"/>
      <c r="R4997" s="23"/>
      <c r="S4997" s="23"/>
      <c r="T4997" s="23"/>
      <c r="U4997" s="23"/>
      <c r="V4997" s="23"/>
      <c r="W4997" s="23"/>
      <c r="X4997" s="23"/>
      <c r="Y4997" s="23"/>
      <c r="Z4997" s="23"/>
    </row>
    <row r="4998" spans="1:26" ht="13">
      <c r="A4998" s="562" t="s">
        <v>10686</v>
      </c>
      <c r="B4998" s="563" t="s">
        <v>10687</v>
      </c>
      <c r="C4998" s="564" t="s">
        <v>1475</v>
      </c>
      <c r="D4998" s="565">
        <v>45292</v>
      </c>
      <c r="E4998" s="565">
        <v>45657</v>
      </c>
      <c r="F4998" s="566">
        <v>376010000</v>
      </c>
      <c r="G4998" s="564" t="s">
        <v>2459</v>
      </c>
      <c r="H4998" s="564" t="s">
        <v>1123</v>
      </c>
      <c r="I4998" s="564" t="s">
        <v>10688</v>
      </c>
      <c r="J4998" s="564" t="s">
        <v>1079</v>
      </c>
      <c r="K4998" s="564" t="s">
        <v>1802</v>
      </c>
      <c r="L4998" s="564" t="s">
        <v>1071</v>
      </c>
      <c r="M4998" s="564" t="s">
        <v>1091</v>
      </c>
      <c r="N4998" s="564" t="s">
        <v>1082</v>
      </c>
      <c r="O4998" s="564" t="s">
        <v>241</v>
      </c>
      <c r="P4998" s="23"/>
      <c r="Q4998" s="23"/>
      <c r="R4998" s="23"/>
      <c r="S4998" s="23"/>
      <c r="T4998" s="23"/>
      <c r="U4998" s="23"/>
      <c r="V4998" s="23"/>
      <c r="W4998" s="23"/>
      <c r="X4998" s="23"/>
      <c r="Y4998" s="23"/>
      <c r="Z4998" s="23"/>
    </row>
    <row r="4999" spans="1:26" ht="13">
      <c r="A4999" s="562" t="s">
        <v>10689</v>
      </c>
      <c r="B4999" s="563" t="s">
        <v>10690</v>
      </c>
      <c r="C4999" s="564" t="s">
        <v>1475</v>
      </c>
      <c r="D4999" s="565">
        <v>45292</v>
      </c>
      <c r="E4999" s="565">
        <v>45657</v>
      </c>
      <c r="F4999" s="566">
        <v>49200000</v>
      </c>
      <c r="G4999" s="564" t="s">
        <v>2459</v>
      </c>
      <c r="H4999" s="564" t="s">
        <v>1123</v>
      </c>
      <c r="I4999" s="564" t="s">
        <v>1247</v>
      </c>
      <c r="J4999" s="564" t="s">
        <v>1079</v>
      </c>
      <c r="K4999" s="564" t="s">
        <v>1070</v>
      </c>
      <c r="L4999" s="564" t="s">
        <v>1071</v>
      </c>
      <c r="M4999" s="564" t="s">
        <v>1091</v>
      </c>
      <c r="N4999" s="564" t="s">
        <v>1073</v>
      </c>
      <c r="O4999" s="564" t="s">
        <v>241</v>
      </c>
      <c r="P4999" s="23"/>
      <c r="Q4999" s="23"/>
      <c r="R4999" s="23"/>
      <c r="S4999" s="23"/>
      <c r="T4999" s="23"/>
      <c r="U4999" s="23"/>
      <c r="V4999" s="23"/>
      <c r="W4999" s="23"/>
      <c r="X4999" s="23"/>
      <c r="Y4999" s="23"/>
      <c r="Z4999" s="23"/>
    </row>
    <row r="5000" spans="1:26" ht="13">
      <c r="A5000" s="562" t="s">
        <v>161</v>
      </c>
      <c r="B5000" s="563" t="s">
        <v>10691</v>
      </c>
      <c r="C5000" s="564" t="s">
        <v>1088</v>
      </c>
      <c r="D5000" s="565">
        <v>45292</v>
      </c>
      <c r="E5000" s="565">
        <v>45657</v>
      </c>
      <c r="F5000" s="566">
        <v>10380000</v>
      </c>
      <c r="G5000" s="564" t="s">
        <v>1211</v>
      </c>
      <c r="H5000" s="564" t="s">
        <v>1123</v>
      </c>
      <c r="I5000" s="564" t="s">
        <v>1842</v>
      </c>
      <c r="J5000" s="564" t="s">
        <v>1079</v>
      </c>
      <c r="K5000" s="564" t="s">
        <v>1070</v>
      </c>
      <c r="L5000" s="564" t="s">
        <v>1071</v>
      </c>
      <c r="M5000" s="564" t="s">
        <v>1091</v>
      </c>
      <c r="N5000" s="564" t="s">
        <v>1082</v>
      </c>
      <c r="O5000" s="564" t="s">
        <v>241</v>
      </c>
      <c r="P5000" s="23"/>
      <c r="Q5000" s="23"/>
      <c r="R5000" s="23"/>
      <c r="S5000" s="23"/>
      <c r="T5000" s="23"/>
      <c r="U5000" s="23"/>
      <c r="V5000" s="23"/>
      <c r="W5000" s="23"/>
      <c r="X5000" s="23"/>
      <c r="Y5000" s="23"/>
      <c r="Z5000" s="23"/>
    </row>
    <row r="5001" spans="1:26" ht="13">
      <c r="A5001" s="562" t="s">
        <v>10692</v>
      </c>
      <c r="B5001" s="563" t="s">
        <v>10693</v>
      </c>
      <c r="C5001" s="564" t="s">
        <v>1388</v>
      </c>
      <c r="D5001" s="565">
        <v>45266</v>
      </c>
      <c r="E5001" s="565">
        <v>45631</v>
      </c>
      <c r="F5001" s="566">
        <v>67944000</v>
      </c>
      <c r="G5001" s="564" t="s">
        <v>10694</v>
      </c>
      <c r="H5001" s="564" t="s">
        <v>10694</v>
      </c>
      <c r="I5001" s="564" t="s">
        <v>45</v>
      </c>
      <c r="J5001" s="564" t="s">
        <v>1079</v>
      </c>
      <c r="K5001" s="564" t="s">
        <v>1090</v>
      </c>
      <c r="L5001" s="564" t="s">
        <v>1071</v>
      </c>
      <c r="M5001" s="564" t="s">
        <v>1091</v>
      </c>
      <c r="N5001" s="564" t="s">
        <v>45</v>
      </c>
      <c r="O5001" s="564" t="s">
        <v>241</v>
      </c>
      <c r="P5001" s="23"/>
      <c r="Q5001" s="23"/>
      <c r="R5001" s="23"/>
      <c r="S5001" s="23"/>
      <c r="T5001" s="23"/>
      <c r="U5001" s="23"/>
      <c r="V5001" s="23"/>
      <c r="W5001" s="23"/>
      <c r="X5001" s="23"/>
      <c r="Y5001" s="23"/>
      <c r="Z5001" s="23"/>
    </row>
    <row r="5002" spans="1:26" ht="13">
      <c r="A5002" s="562" t="s">
        <v>10695</v>
      </c>
      <c r="B5002" s="563" t="s">
        <v>10696</v>
      </c>
      <c r="C5002" s="564" t="s">
        <v>1455</v>
      </c>
      <c r="D5002" s="565">
        <v>45278</v>
      </c>
      <c r="E5002" s="565">
        <v>45521</v>
      </c>
      <c r="F5002" s="566">
        <v>490000000</v>
      </c>
      <c r="G5002" s="564" t="s">
        <v>10697</v>
      </c>
      <c r="H5002" s="564" t="s">
        <v>1182</v>
      </c>
      <c r="I5002" s="564" t="s">
        <v>170</v>
      </c>
      <c r="J5002" s="564" t="s">
        <v>1372</v>
      </c>
      <c r="K5002" s="564" t="s">
        <v>1105</v>
      </c>
      <c r="L5002" s="564" t="s">
        <v>1390</v>
      </c>
      <c r="M5002" s="564" t="s">
        <v>1390</v>
      </c>
      <c r="N5002" s="564" t="s">
        <v>170</v>
      </c>
      <c r="O5002" s="564" t="s">
        <v>38</v>
      </c>
      <c r="P5002" s="23"/>
      <c r="Q5002" s="23"/>
      <c r="R5002" s="23"/>
      <c r="S5002" s="23"/>
      <c r="T5002" s="23"/>
      <c r="U5002" s="23"/>
      <c r="V5002" s="23"/>
      <c r="W5002" s="23"/>
      <c r="X5002" s="23"/>
      <c r="Y5002" s="23"/>
      <c r="Z5002" s="23"/>
    </row>
    <row r="5003" spans="1:26" ht="13">
      <c r="A5003" s="562" t="s">
        <v>10698</v>
      </c>
      <c r="B5003" s="563" t="s">
        <v>10699</v>
      </c>
      <c r="C5003" s="564" t="s">
        <v>1076</v>
      </c>
      <c r="D5003" s="565">
        <v>45268</v>
      </c>
      <c r="E5003" s="565">
        <v>45998</v>
      </c>
      <c r="F5003" s="566">
        <v>5640000</v>
      </c>
      <c r="G5003" s="564" t="s">
        <v>10602</v>
      </c>
      <c r="H5003" s="564" t="s">
        <v>1366</v>
      </c>
      <c r="I5003" s="564" t="s">
        <v>1763</v>
      </c>
      <c r="J5003" s="564" t="s">
        <v>1079</v>
      </c>
      <c r="K5003" s="564" t="s">
        <v>1205</v>
      </c>
      <c r="L5003" s="564" t="s">
        <v>1071</v>
      </c>
      <c r="M5003" s="564" t="s">
        <v>1091</v>
      </c>
      <c r="N5003" s="564" t="s">
        <v>1082</v>
      </c>
      <c r="O5003" s="564" t="s">
        <v>241</v>
      </c>
      <c r="P5003" s="23"/>
      <c r="Q5003" s="23"/>
      <c r="R5003" s="23"/>
      <c r="S5003" s="23"/>
      <c r="T5003" s="23"/>
      <c r="U5003" s="23"/>
      <c r="V5003" s="23"/>
      <c r="W5003" s="23"/>
      <c r="X5003" s="23"/>
      <c r="Y5003" s="23"/>
      <c r="Z5003" s="23"/>
    </row>
    <row r="5004" spans="1:26" ht="13">
      <c r="A5004" s="562" t="s">
        <v>10700</v>
      </c>
      <c r="B5004" s="563" t="s">
        <v>10701</v>
      </c>
      <c r="C5004" s="564" t="s">
        <v>1076</v>
      </c>
      <c r="D5004" s="565">
        <v>45261</v>
      </c>
      <c r="E5004" s="565">
        <v>45626</v>
      </c>
      <c r="F5004" s="566">
        <v>7200000</v>
      </c>
      <c r="G5004" s="564" t="s">
        <v>10602</v>
      </c>
      <c r="H5004" s="564" t="s">
        <v>1366</v>
      </c>
      <c r="I5004" s="564" t="s">
        <v>10702</v>
      </c>
      <c r="J5004" s="564" t="s">
        <v>1079</v>
      </c>
      <c r="K5004" s="564" t="s">
        <v>1205</v>
      </c>
      <c r="L5004" s="564" t="s">
        <v>1071</v>
      </c>
      <c r="M5004" s="564" t="s">
        <v>1091</v>
      </c>
      <c r="N5004" s="564" t="s">
        <v>1082</v>
      </c>
      <c r="O5004" s="564" t="s">
        <v>241</v>
      </c>
      <c r="P5004" s="23"/>
      <c r="Q5004" s="23"/>
      <c r="R5004" s="23"/>
      <c r="S5004" s="23"/>
      <c r="T5004" s="23"/>
      <c r="U5004" s="23"/>
      <c r="V5004" s="23"/>
      <c r="W5004" s="23"/>
      <c r="X5004" s="23"/>
      <c r="Y5004" s="23"/>
      <c r="Z5004" s="23"/>
    </row>
    <row r="5005" spans="1:26" ht="13">
      <c r="A5005" s="562" t="s">
        <v>52</v>
      </c>
      <c r="B5005" s="563" t="s">
        <v>10703</v>
      </c>
      <c r="C5005" s="564" t="s">
        <v>1186</v>
      </c>
      <c r="D5005" s="565">
        <v>45222</v>
      </c>
      <c r="E5005" s="565">
        <v>45648</v>
      </c>
      <c r="F5005" s="566">
        <v>166636364</v>
      </c>
      <c r="G5005" s="564" t="s">
        <v>311</v>
      </c>
      <c r="H5005" s="564" t="s">
        <v>1187</v>
      </c>
      <c r="I5005" s="564" t="s">
        <v>45</v>
      </c>
      <c r="J5005" s="564" t="s">
        <v>1079</v>
      </c>
      <c r="K5005" s="564" t="s">
        <v>1090</v>
      </c>
      <c r="L5005" s="564" t="s">
        <v>1390</v>
      </c>
      <c r="M5005" s="564" t="s">
        <v>1390</v>
      </c>
      <c r="N5005" s="564" t="s">
        <v>45</v>
      </c>
      <c r="O5005" s="564" t="s">
        <v>38</v>
      </c>
      <c r="P5005" s="23"/>
      <c r="Q5005" s="23"/>
      <c r="R5005" s="23"/>
      <c r="S5005" s="23"/>
      <c r="T5005" s="23"/>
      <c r="U5005" s="23"/>
      <c r="V5005" s="23"/>
      <c r="W5005" s="23"/>
      <c r="X5005" s="23"/>
      <c r="Y5005" s="23"/>
      <c r="Z5005" s="23"/>
    </row>
    <row r="5006" spans="1:26" ht="13">
      <c r="A5006" s="562" t="s">
        <v>10704</v>
      </c>
      <c r="B5006" s="563" t="s">
        <v>10705</v>
      </c>
      <c r="C5006" s="564" t="s">
        <v>1114</v>
      </c>
      <c r="D5006" s="565">
        <v>45231</v>
      </c>
      <c r="E5006" s="565">
        <v>45596</v>
      </c>
      <c r="F5006" s="566">
        <v>3480000</v>
      </c>
      <c r="G5006" s="564" t="s">
        <v>1115</v>
      </c>
      <c r="H5006" s="564" t="s">
        <v>1366</v>
      </c>
      <c r="I5006" s="564" t="s">
        <v>10574</v>
      </c>
      <c r="J5006" s="564" t="s">
        <v>1079</v>
      </c>
      <c r="K5006" s="564" t="s">
        <v>1205</v>
      </c>
      <c r="L5006" s="564" t="s">
        <v>1117</v>
      </c>
      <c r="M5006" s="564" t="s">
        <v>1199</v>
      </c>
      <c r="N5006" s="564" t="s">
        <v>1368</v>
      </c>
      <c r="O5006" s="564" t="s">
        <v>241</v>
      </c>
      <c r="P5006" s="23"/>
      <c r="Q5006" s="23"/>
      <c r="R5006" s="23"/>
      <c r="S5006" s="23"/>
      <c r="T5006" s="23"/>
      <c r="U5006" s="23"/>
      <c r="V5006" s="23"/>
      <c r="W5006" s="23"/>
      <c r="X5006" s="23"/>
      <c r="Y5006" s="23"/>
      <c r="Z5006" s="23"/>
    </row>
    <row r="5007" spans="1:26" ht="13">
      <c r="A5007" s="562" t="s">
        <v>10706</v>
      </c>
      <c r="B5007" s="563" t="s">
        <v>10707</v>
      </c>
      <c r="C5007" s="564" t="s">
        <v>1455</v>
      </c>
      <c r="D5007" s="565">
        <v>45231</v>
      </c>
      <c r="E5007" s="565">
        <v>45322</v>
      </c>
      <c r="F5007" s="566">
        <v>59000000</v>
      </c>
      <c r="G5007" s="564" t="s">
        <v>1750</v>
      </c>
      <c r="H5007" s="564" t="s">
        <v>1182</v>
      </c>
      <c r="I5007" s="564" t="s">
        <v>170</v>
      </c>
      <c r="J5007" s="564" t="s">
        <v>1069</v>
      </c>
      <c r="K5007" s="564" t="s">
        <v>1105</v>
      </c>
      <c r="L5007" s="564" t="s">
        <v>1390</v>
      </c>
      <c r="M5007" s="564" t="s">
        <v>1390</v>
      </c>
      <c r="N5007" s="564" t="s">
        <v>170</v>
      </c>
      <c r="O5007" s="564" t="s">
        <v>38</v>
      </c>
      <c r="P5007" s="23"/>
      <c r="Q5007" s="23"/>
      <c r="R5007" s="23"/>
      <c r="S5007" s="23"/>
      <c r="T5007" s="23"/>
      <c r="U5007" s="23"/>
      <c r="V5007" s="23"/>
      <c r="W5007" s="23"/>
      <c r="X5007" s="23"/>
      <c r="Y5007" s="23"/>
      <c r="Z5007" s="23"/>
    </row>
    <row r="5008" spans="1:26" ht="13">
      <c r="A5008" s="562" t="s">
        <v>10708</v>
      </c>
      <c r="B5008" s="563" t="s">
        <v>10709</v>
      </c>
      <c r="C5008" s="564" t="s">
        <v>1475</v>
      </c>
      <c r="D5008" s="565">
        <v>45170</v>
      </c>
      <c r="E5008" s="565">
        <v>46265</v>
      </c>
      <c r="F5008" s="566">
        <v>1000000000</v>
      </c>
      <c r="G5008" s="564" t="s">
        <v>10710</v>
      </c>
      <c r="H5008" s="564" t="s">
        <v>1366</v>
      </c>
      <c r="I5008" s="564" t="s">
        <v>10711</v>
      </c>
      <c r="J5008" s="564" t="s">
        <v>1069</v>
      </c>
      <c r="K5008" s="564" t="s">
        <v>1205</v>
      </c>
      <c r="L5008" s="564" t="s">
        <v>1117</v>
      </c>
      <c r="M5008" s="564" t="s">
        <v>1199</v>
      </c>
      <c r="N5008" s="564" t="s">
        <v>1082</v>
      </c>
      <c r="O5008" s="564" t="s">
        <v>241</v>
      </c>
      <c r="P5008" s="23"/>
      <c r="Q5008" s="23"/>
      <c r="R5008" s="23"/>
      <c r="S5008" s="23"/>
      <c r="T5008" s="23"/>
      <c r="U5008" s="23"/>
      <c r="V5008" s="23"/>
      <c r="W5008" s="23"/>
      <c r="X5008" s="23"/>
      <c r="Y5008" s="23"/>
      <c r="Z5008" s="23"/>
    </row>
    <row r="5009" spans="1:26" ht="13">
      <c r="A5009" s="562" t="s">
        <v>10712</v>
      </c>
      <c r="B5009" s="563" t="s">
        <v>10713</v>
      </c>
      <c r="C5009" s="564" t="s">
        <v>1156</v>
      </c>
      <c r="D5009" s="565">
        <v>45231</v>
      </c>
      <c r="E5009" s="565">
        <v>45382</v>
      </c>
      <c r="F5009" s="566">
        <v>173500000</v>
      </c>
      <c r="G5009" s="564" t="s">
        <v>10714</v>
      </c>
      <c r="H5009" s="564" t="s">
        <v>1187</v>
      </c>
      <c r="I5009" s="564" t="s">
        <v>70</v>
      </c>
      <c r="J5009" s="564" t="s">
        <v>1069</v>
      </c>
      <c r="K5009" s="564" t="s">
        <v>1120</v>
      </c>
      <c r="L5009" s="564" t="s">
        <v>1390</v>
      </c>
      <c r="M5009" s="564" t="s">
        <v>1390</v>
      </c>
      <c r="N5009" s="564" t="s">
        <v>70</v>
      </c>
      <c r="O5009" s="564" t="s">
        <v>38</v>
      </c>
      <c r="P5009" s="23"/>
      <c r="Q5009" s="23"/>
      <c r="R5009" s="23"/>
      <c r="S5009" s="23"/>
      <c r="T5009" s="23"/>
      <c r="U5009" s="23"/>
      <c r="V5009" s="23"/>
      <c r="W5009" s="23"/>
      <c r="X5009" s="23"/>
      <c r="Y5009" s="23"/>
      <c r="Z5009" s="23"/>
    </row>
    <row r="5010" spans="1:26" ht="13">
      <c r="A5010" s="562" t="s">
        <v>10715</v>
      </c>
      <c r="B5010" s="563" t="s">
        <v>10716</v>
      </c>
      <c r="C5010" s="564" t="s">
        <v>1652</v>
      </c>
      <c r="D5010" s="565">
        <v>45231</v>
      </c>
      <c r="E5010" s="565">
        <v>45382</v>
      </c>
      <c r="F5010" s="566">
        <v>173500000</v>
      </c>
      <c r="G5010" s="564" t="s">
        <v>10714</v>
      </c>
      <c r="H5010" s="564" t="s">
        <v>1187</v>
      </c>
      <c r="I5010" s="564" t="s">
        <v>70</v>
      </c>
      <c r="J5010" s="564" t="s">
        <v>1069</v>
      </c>
      <c r="K5010" s="564" t="s">
        <v>1120</v>
      </c>
      <c r="L5010" s="564" t="s">
        <v>1390</v>
      </c>
      <c r="M5010" s="564" t="s">
        <v>1390</v>
      </c>
      <c r="N5010" s="564" t="s">
        <v>70</v>
      </c>
      <c r="O5010" s="564" t="s">
        <v>38</v>
      </c>
      <c r="P5010" s="23"/>
      <c r="Q5010" s="23"/>
      <c r="R5010" s="23"/>
      <c r="S5010" s="23"/>
      <c r="T5010" s="23"/>
      <c r="U5010" s="23"/>
      <c r="V5010" s="23"/>
      <c r="W5010" s="23"/>
      <c r="X5010" s="23"/>
      <c r="Y5010" s="23"/>
      <c r="Z5010" s="23"/>
    </row>
    <row r="5011" spans="1:26" ht="13">
      <c r="A5011" s="562" t="s">
        <v>10717</v>
      </c>
      <c r="B5011" s="563" t="s">
        <v>10718</v>
      </c>
      <c r="C5011" s="564" t="s">
        <v>2322</v>
      </c>
      <c r="D5011" s="565">
        <v>44986</v>
      </c>
      <c r="E5011" s="565">
        <v>45229</v>
      </c>
      <c r="F5011" s="566">
        <v>2286272</v>
      </c>
      <c r="G5011" s="564" t="s">
        <v>10719</v>
      </c>
      <c r="H5011" s="564" t="s">
        <v>1640</v>
      </c>
      <c r="I5011" s="564" t="s">
        <v>10720</v>
      </c>
      <c r="J5011" s="564" t="s">
        <v>1069</v>
      </c>
      <c r="K5011" s="564" t="s">
        <v>1209</v>
      </c>
      <c r="L5011" s="564" t="s">
        <v>1390</v>
      </c>
      <c r="M5011" s="564" t="s">
        <v>1390</v>
      </c>
      <c r="N5011" s="564" t="s">
        <v>1082</v>
      </c>
      <c r="O5011" s="564" t="s">
        <v>38</v>
      </c>
      <c r="P5011" s="23"/>
      <c r="Q5011" s="23"/>
      <c r="R5011" s="23"/>
      <c r="S5011" s="23"/>
      <c r="T5011" s="23"/>
      <c r="U5011" s="23"/>
      <c r="V5011" s="23"/>
      <c r="W5011" s="23"/>
      <c r="X5011" s="23"/>
      <c r="Y5011" s="23"/>
      <c r="Z5011" s="23"/>
    </row>
    <row r="5012" spans="1:26" ht="13">
      <c r="A5012" s="562" t="s">
        <v>10721</v>
      </c>
      <c r="B5012" s="563" t="s">
        <v>10722</v>
      </c>
      <c r="C5012" s="564" t="s">
        <v>1370</v>
      </c>
      <c r="D5012" s="565">
        <v>45159</v>
      </c>
      <c r="E5012" s="565">
        <v>45250</v>
      </c>
      <c r="F5012" s="566">
        <v>35454545</v>
      </c>
      <c r="G5012" s="564" t="s">
        <v>10577</v>
      </c>
      <c r="H5012" s="564" t="s">
        <v>803</v>
      </c>
      <c r="I5012" s="564" t="s">
        <v>802</v>
      </c>
      <c r="J5012" s="564" t="s">
        <v>1069</v>
      </c>
      <c r="K5012" s="564" t="s">
        <v>1198</v>
      </c>
      <c r="L5012" s="564" t="s">
        <v>1390</v>
      </c>
      <c r="M5012" s="564" t="s">
        <v>1390</v>
      </c>
      <c r="N5012" s="564" t="s">
        <v>132</v>
      </c>
      <c r="O5012" s="564" t="s">
        <v>38</v>
      </c>
      <c r="P5012" s="23"/>
      <c r="Q5012" s="23"/>
      <c r="R5012" s="23"/>
      <c r="S5012" s="23"/>
      <c r="T5012" s="23"/>
      <c r="U5012" s="23"/>
      <c r="V5012" s="23"/>
      <c r="W5012" s="23"/>
      <c r="X5012" s="23"/>
      <c r="Y5012" s="23"/>
      <c r="Z5012" s="23"/>
    </row>
    <row r="5013" spans="1:26" ht="13">
      <c r="A5013" s="562" t="s">
        <v>10723</v>
      </c>
      <c r="B5013" s="563" t="s">
        <v>10724</v>
      </c>
      <c r="C5013" s="564" t="s">
        <v>353</v>
      </c>
      <c r="D5013" s="565">
        <v>45161</v>
      </c>
      <c r="E5013" s="565">
        <v>45291</v>
      </c>
      <c r="F5013" s="566">
        <v>882636000</v>
      </c>
      <c r="G5013" s="564" t="s">
        <v>10577</v>
      </c>
      <c r="H5013" s="564" t="s">
        <v>349</v>
      </c>
      <c r="I5013" s="564" t="s">
        <v>10725</v>
      </c>
      <c r="J5013" s="564" t="s">
        <v>1069</v>
      </c>
      <c r="K5013" s="564" t="s">
        <v>1070</v>
      </c>
      <c r="L5013" s="564" t="s">
        <v>1390</v>
      </c>
      <c r="M5013" s="564" t="s">
        <v>1390</v>
      </c>
      <c r="N5013" s="564" t="s">
        <v>1082</v>
      </c>
      <c r="O5013" s="564" t="s">
        <v>38</v>
      </c>
      <c r="P5013" s="23"/>
      <c r="Q5013" s="23"/>
      <c r="R5013" s="23"/>
      <c r="S5013" s="23"/>
      <c r="T5013" s="23"/>
      <c r="U5013" s="23"/>
      <c r="V5013" s="23"/>
      <c r="W5013" s="23"/>
      <c r="X5013" s="23"/>
      <c r="Y5013" s="23"/>
      <c r="Z5013" s="23"/>
    </row>
    <row r="5014" spans="1:26" ht="13">
      <c r="A5014" s="562" t="s">
        <v>10726</v>
      </c>
      <c r="B5014" s="563" t="s">
        <v>10727</v>
      </c>
      <c r="C5014" s="564" t="s">
        <v>1204</v>
      </c>
      <c r="D5014" s="565">
        <v>45147</v>
      </c>
      <c r="E5014" s="565">
        <v>45169</v>
      </c>
      <c r="F5014" s="566">
        <v>4370000</v>
      </c>
      <c r="G5014" s="564" t="s">
        <v>10728</v>
      </c>
      <c r="H5014" s="564" t="s">
        <v>1116</v>
      </c>
      <c r="I5014" s="564" t="s">
        <v>1281</v>
      </c>
      <c r="J5014" s="564" t="s">
        <v>1069</v>
      </c>
      <c r="K5014" s="564" t="s">
        <v>1120</v>
      </c>
      <c r="L5014" s="564" t="s">
        <v>1390</v>
      </c>
      <c r="M5014" s="564" t="s">
        <v>1390</v>
      </c>
      <c r="N5014" s="564" t="s">
        <v>1073</v>
      </c>
      <c r="O5014" s="564" t="s">
        <v>38</v>
      </c>
      <c r="P5014" s="23"/>
      <c r="Q5014" s="23"/>
      <c r="R5014" s="23"/>
      <c r="S5014" s="23"/>
      <c r="T5014" s="23"/>
      <c r="U5014" s="23"/>
      <c r="V5014" s="23"/>
      <c r="W5014" s="23"/>
      <c r="X5014" s="23"/>
      <c r="Y5014" s="23"/>
      <c r="Z5014" s="23"/>
    </row>
    <row r="5015" spans="1:26" ht="13">
      <c r="A5015" s="562" t="s">
        <v>10729</v>
      </c>
      <c r="B5015" s="563" t="s">
        <v>10730</v>
      </c>
      <c r="C5015" s="564" t="s">
        <v>1455</v>
      </c>
      <c r="D5015" s="565">
        <v>45154</v>
      </c>
      <c r="E5015" s="565">
        <v>45275</v>
      </c>
      <c r="F5015" s="566">
        <v>99000000</v>
      </c>
      <c r="G5015" s="564" t="s">
        <v>1750</v>
      </c>
      <c r="H5015" s="564" t="s">
        <v>1182</v>
      </c>
      <c r="I5015" s="564" t="s">
        <v>170</v>
      </c>
      <c r="J5015" s="564" t="s">
        <v>1069</v>
      </c>
      <c r="K5015" s="564" t="s">
        <v>1105</v>
      </c>
      <c r="L5015" s="564" t="s">
        <v>1390</v>
      </c>
      <c r="M5015" s="564" t="s">
        <v>1390</v>
      </c>
      <c r="N5015" s="564" t="s">
        <v>170</v>
      </c>
      <c r="O5015" s="564" t="s">
        <v>38</v>
      </c>
      <c r="P5015" s="23"/>
      <c r="Q5015" s="23"/>
      <c r="R5015" s="23"/>
      <c r="S5015" s="23"/>
      <c r="T5015" s="23"/>
      <c r="U5015" s="23"/>
      <c r="V5015" s="23"/>
      <c r="W5015" s="23"/>
      <c r="X5015" s="23"/>
      <c r="Y5015" s="23"/>
      <c r="Z5015" s="23"/>
    </row>
    <row r="5016" spans="1:26" ht="13">
      <c r="A5016" s="562" t="s">
        <v>10731</v>
      </c>
      <c r="B5016" s="563" t="s">
        <v>10732</v>
      </c>
      <c r="C5016" s="564" t="s">
        <v>1088</v>
      </c>
      <c r="D5016" s="565">
        <v>45170</v>
      </c>
      <c r="E5016" s="565">
        <v>45535</v>
      </c>
      <c r="F5016" s="566">
        <v>80160000</v>
      </c>
      <c r="G5016" s="564" t="s">
        <v>1375</v>
      </c>
      <c r="H5016" s="564" t="s">
        <v>1123</v>
      </c>
      <c r="I5016" s="564" t="s">
        <v>1781</v>
      </c>
      <c r="J5016" s="564" t="s">
        <v>1079</v>
      </c>
      <c r="K5016" s="564" t="s">
        <v>1070</v>
      </c>
      <c r="L5016" s="564" t="s">
        <v>1071</v>
      </c>
      <c r="M5016" s="564" t="s">
        <v>1091</v>
      </c>
      <c r="N5016" s="564" t="s">
        <v>1073</v>
      </c>
      <c r="O5016" s="564" t="s">
        <v>241</v>
      </c>
      <c r="P5016" s="23"/>
      <c r="Q5016" s="23"/>
      <c r="R5016" s="23"/>
      <c r="S5016" s="23"/>
      <c r="T5016" s="23"/>
      <c r="U5016" s="23"/>
      <c r="V5016" s="23"/>
      <c r="W5016" s="23"/>
      <c r="X5016" s="23"/>
      <c r="Y5016" s="23"/>
      <c r="Z5016" s="23"/>
    </row>
    <row r="5017" spans="1:26" ht="13">
      <c r="A5017" s="562" t="s">
        <v>10733</v>
      </c>
      <c r="B5017" s="563" t="s">
        <v>10734</v>
      </c>
      <c r="C5017" s="564" t="s">
        <v>1088</v>
      </c>
      <c r="D5017" s="565">
        <v>45145</v>
      </c>
      <c r="E5017" s="565">
        <v>46240</v>
      </c>
      <c r="F5017" s="566">
        <v>86005000</v>
      </c>
      <c r="G5017" s="564" t="s">
        <v>1164</v>
      </c>
      <c r="H5017" s="564" t="s">
        <v>349</v>
      </c>
      <c r="I5017" s="564" t="s">
        <v>192</v>
      </c>
      <c r="J5017" s="564" t="s">
        <v>1079</v>
      </c>
      <c r="K5017" s="564" t="s">
        <v>1090</v>
      </c>
      <c r="L5017" s="564" t="s">
        <v>1071</v>
      </c>
      <c r="M5017" s="564" t="s">
        <v>1091</v>
      </c>
      <c r="N5017" s="564" t="s">
        <v>1073</v>
      </c>
      <c r="O5017" s="564" t="s">
        <v>241</v>
      </c>
      <c r="P5017" s="23"/>
      <c r="Q5017" s="23"/>
      <c r="R5017" s="23"/>
      <c r="S5017" s="23"/>
      <c r="T5017" s="23"/>
      <c r="U5017" s="23"/>
      <c r="V5017" s="23"/>
      <c r="W5017" s="23"/>
      <c r="X5017" s="23"/>
      <c r="Y5017" s="23"/>
      <c r="Z5017" s="23"/>
    </row>
    <row r="5018" spans="1:26" ht="13">
      <c r="A5018" s="562" t="s">
        <v>10735</v>
      </c>
      <c r="B5018" s="563" t="s">
        <v>10736</v>
      </c>
      <c r="C5018" s="564" t="s">
        <v>1088</v>
      </c>
      <c r="D5018" s="565">
        <v>45139</v>
      </c>
      <c r="E5018" s="565">
        <v>45504</v>
      </c>
      <c r="F5018" s="566">
        <v>90900700</v>
      </c>
      <c r="G5018" s="564" t="s">
        <v>1211</v>
      </c>
      <c r="H5018" s="564" t="s">
        <v>297</v>
      </c>
      <c r="I5018" s="564" t="s">
        <v>107</v>
      </c>
      <c r="J5018" s="564" t="s">
        <v>1079</v>
      </c>
      <c r="K5018" s="564" t="s">
        <v>1120</v>
      </c>
      <c r="L5018" s="564" t="s">
        <v>1071</v>
      </c>
      <c r="M5018" s="564" t="s">
        <v>1091</v>
      </c>
      <c r="N5018" s="564" t="s">
        <v>1073</v>
      </c>
      <c r="O5018" s="564" t="s">
        <v>241</v>
      </c>
      <c r="P5018" s="23"/>
      <c r="Q5018" s="23"/>
      <c r="R5018" s="23"/>
      <c r="S5018" s="23"/>
      <c r="T5018" s="23"/>
      <c r="U5018" s="23"/>
      <c r="V5018" s="23"/>
      <c r="W5018" s="23"/>
      <c r="X5018" s="23"/>
      <c r="Y5018" s="23"/>
      <c r="Z5018" s="23"/>
    </row>
    <row r="5019" spans="1:26" ht="13">
      <c r="A5019" s="562" t="s">
        <v>10737</v>
      </c>
      <c r="B5019" s="563" t="s">
        <v>10738</v>
      </c>
      <c r="C5019" s="564" t="s">
        <v>1076</v>
      </c>
      <c r="D5019" s="565">
        <v>45139</v>
      </c>
      <c r="E5019" s="565">
        <v>45504</v>
      </c>
      <c r="F5019" s="566">
        <v>126335180</v>
      </c>
      <c r="G5019" s="564" t="s">
        <v>1242</v>
      </c>
      <c r="H5019" s="564" t="s">
        <v>297</v>
      </c>
      <c r="I5019" s="564" t="s">
        <v>107</v>
      </c>
      <c r="J5019" s="564" t="s">
        <v>1079</v>
      </c>
      <c r="K5019" s="564" t="s">
        <v>1120</v>
      </c>
      <c r="L5019" s="564" t="s">
        <v>1071</v>
      </c>
      <c r="M5019" s="564" t="s">
        <v>1091</v>
      </c>
      <c r="N5019" s="564" t="s">
        <v>1073</v>
      </c>
      <c r="O5019" s="564" t="s">
        <v>241</v>
      </c>
      <c r="P5019" s="23"/>
      <c r="Q5019" s="23"/>
      <c r="R5019" s="23"/>
      <c r="S5019" s="23"/>
      <c r="T5019" s="23"/>
      <c r="U5019" s="23"/>
      <c r="V5019" s="23"/>
      <c r="W5019" s="23"/>
      <c r="X5019" s="23"/>
      <c r="Y5019" s="23"/>
      <c r="Z5019" s="23"/>
    </row>
    <row r="5020" spans="1:26" ht="13">
      <c r="A5020" s="562" t="s">
        <v>10739</v>
      </c>
      <c r="B5020" s="563" t="s">
        <v>10740</v>
      </c>
      <c r="C5020" s="564" t="s">
        <v>1652</v>
      </c>
      <c r="D5020" s="565">
        <v>45139</v>
      </c>
      <c r="E5020" s="565">
        <v>45504</v>
      </c>
      <c r="F5020" s="566">
        <v>270764120</v>
      </c>
      <c r="G5020" s="564" t="s">
        <v>297</v>
      </c>
      <c r="H5020" s="564" t="s">
        <v>297</v>
      </c>
      <c r="I5020" s="564" t="s">
        <v>107</v>
      </c>
      <c r="J5020" s="564" t="s">
        <v>1079</v>
      </c>
      <c r="K5020" s="564" t="s">
        <v>1120</v>
      </c>
      <c r="L5020" s="564" t="s">
        <v>1071</v>
      </c>
      <c r="M5020" s="564" t="s">
        <v>1091</v>
      </c>
      <c r="N5020" s="564" t="s">
        <v>1073</v>
      </c>
      <c r="O5020" s="564" t="s">
        <v>241</v>
      </c>
      <c r="P5020" s="23"/>
      <c r="Q5020" s="23"/>
      <c r="R5020" s="23"/>
      <c r="S5020" s="23"/>
      <c r="T5020" s="23"/>
      <c r="U5020" s="23"/>
      <c r="V5020" s="23"/>
      <c r="W5020" s="23"/>
      <c r="X5020" s="23"/>
      <c r="Y5020" s="23"/>
      <c r="Z5020" s="23"/>
    </row>
    <row r="5021" spans="1:26" ht="13">
      <c r="A5021" s="562" t="s">
        <v>10741</v>
      </c>
      <c r="B5021" s="563" t="s">
        <v>10742</v>
      </c>
      <c r="C5021" s="564" t="s">
        <v>1088</v>
      </c>
      <c r="D5021" s="565">
        <v>45108</v>
      </c>
      <c r="E5021" s="565">
        <v>45138</v>
      </c>
      <c r="F5021" s="566">
        <v>141100000</v>
      </c>
      <c r="G5021" s="564" t="s">
        <v>1375</v>
      </c>
      <c r="H5021" s="564" t="s">
        <v>1375</v>
      </c>
      <c r="I5021" s="564" t="s">
        <v>70</v>
      </c>
      <c r="J5021" s="564" t="s">
        <v>1069</v>
      </c>
      <c r="K5021" s="564" t="s">
        <v>1120</v>
      </c>
      <c r="L5021" s="564" t="s">
        <v>1390</v>
      </c>
      <c r="M5021" s="564" t="s">
        <v>1390</v>
      </c>
      <c r="N5021" s="564" t="s">
        <v>70</v>
      </c>
      <c r="O5021" s="564" t="s">
        <v>38</v>
      </c>
      <c r="P5021" s="23"/>
      <c r="Q5021" s="23"/>
      <c r="R5021" s="23"/>
      <c r="S5021" s="23"/>
      <c r="T5021" s="23"/>
      <c r="U5021" s="23"/>
      <c r="V5021" s="23"/>
      <c r="W5021" s="23"/>
      <c r="X5021" s="23"/>
      <c r="Y5021" s="23"/>
      <c r="Z5021" s="23"/>
    </row>
    <row r="5022" spans="1:26" ht="13">
      <c r="A5022" s="562" t="s">
        <v>10743</v>
      </c>
      <c r="B5022" s="563" t="s">
        <v>10744</v>
      </c>
      <c r="C5022" s="564" t="s">
        <v>1388</v>
      </c>
      <c r="D5022" s="565">
        <v>45131</v>
      </c>
      <c r="E5022" s="565">
        <v>45173</v>
      </c>
      <c r="F5022" s="566">
        <v>15270000</v>
      </c>
      <c r="G5022" s="564" t="s">
        <v>10745</v>
      </c>
      <c r="H5022" s="564" t="s">
        <v>1128</v>
      </c>
      <c r="I5022" s="564" t="s">
        <v>45</v>
      </c>
      <c r="J5022" s="564" t="s">
        <v>1069</v>
      </c>
      <c r="K5022" s="564" t="s">
        <v>1090</v>
      </c>
      <c r="L5022" s="564" t="s">
        <v>1390</v>
      </c>
      <c r="M5022" s="564" t="s">
        <v>1390</v>
      </c>
      <c r="N5022" s="564" t="s">
        <v>45</v>
      </c>
      <c r="O5022" s="564" t="s">
        <v>38</v>
      </c>
      <c r="P5022" s="23"/>
      <c r="Q5022" s="23"/>
      <c r="R5022" s="23"/>
      <c r="S5022" s="23"/>
      <c r="T5022" s="23"/>
      <c r="U5022" s="23"/>
      <c r="V5022" s="23"/>
      <c r="W5022" s="23"/>
      <c r="X5022" s="23"/>
      <c r="Y5022" s="23"/>
      <c r="Z5022" s="23"/>
    </row>
    <row r="5023" spans="1:26" ht="13">
      <c r="A5023" s="562" t="s">
        <v>10746</v>
      </c>
      <c r="B5023" s="563" t="s">
        <v>10747</v>
      </c>
      <c r="C5023" s="564" t="s">
        <v>1475</v>
      </c>
      <c r="D5023" s="565">
        <v>45124</v>
      </c>
      <c r="E5023" s="565">
        <v>45142</v>
      </c>
      <c r="F5023" s="566">
        <v>11000000</v>
      </c>
      <c r="G5023" s="564" t="s">
        <v>10674</v>
      </c>
      <c r="H5023" s="564" t="s">
        <v>2876</v>
      </c>
      <c r="I5023" s="564" t="s">
        <v>10748</v>
      </c>
      <c r="J5023" s="564" t="s">
        <v>1079</v>
      </c>
      <c r="K5023" s="564" t="s">
        <v>2878</v>
      </c>
      <c r="L5023" s="564" t="s">
        <v>1390</v>
      </c>
      <c r="M5023" s="564" t="s">
        <v>1390</v>
      </c>
      <c r="N5023" s="564" t="s">
        <v>2325</v>
      </c>
      <c r="O5023" s="564" t="s">
        <v>38</v>
      </c>
      <c r="P5023" s="23"/>
      <c r="Q5023" s="23"/>
      <c r="R5023" s="23"/>
      <c r="S5023" s="23"/>
      <c r="T5023" s="23"/>
      <c r="U5023" s="23"/>
      <c r="V5023" s="23"/>
      <c r="W5023" s="23"/>
      <c r="X5023" s="23"/>
      <c r="Y5023" s="23"/>
      <c r="Z5023" s="23"/>
    </row>
    <row r="5024" spans="1:26" ht="13">
      <c r="A5024" s="562" t="s">
        <v>10749</v>
      </c>
      <c r="B5024" s="563" t="s">
        <v>10750</v>
      </c>
      <c r="C5024" s="564" t="s">
        <v>1370</v>
      </c>
      <c r="D5024" s="565">
        <v>45107</v>
      </c>
      <c r="E5024" s="565">
        <v>45260</v>
      </c>
      <c r="F5024" s="566">
        <v>19090909</v>
      </c>
      <c r="G5024" s="564" t="s">
        <v>10577</v>
      </c>
      <c r="H5024" s="564" t="s">
        <v>803</v>
      </c>
      <c r="I5024" s="564" t="s">
        <v>802</v>
      </c>
      <c r="J5024" s="564" t="s">
        <v>1069</v>
      </c>
      <c r="K5024" s="564" t="s">
        <v>1198</v>
      </c>
      <c r="L5024" s="564" t="s">
        <v>1071</v>
      </c>
      <c r="M5024" s="564" t="s">
        <v>251</v>
      </c>
      <c r="N5024" s="564" t="s">
        <v>132</v>
      </c>
      <c r="O5024" s="564" t="s">
        <v>251</v>
      </c>
      <c r="P5024" s="23"/>
      <c r="Q5024" s="23"/>
      <c r="R5024" s="23"/>
      <c r="S5024" s="23"/>
      <c r="T5024" s="23"/>
      <c r="U5024" s="23"/>
      <c r="V5024" s="23"/>
      <c r="W5024" s="23"/>
      <c r="X5024" s="23"/>
      <c r="Y5024" s="23"/>
      <c r="Z5024" s="23"/>
    </row>
    <row r="5025" spans="1:26" ht="13">
      <c r="A5025" s="562" t="s">
        <v>10751</v>
      </c>
      <c r="B5025" s="563" t="s">
        <v>10752</v>
      </c>
      <c r="C5025" s="564" t="s">
        <v>1136</v>
      </c>
      <c r="D5025" s="565">
        <v>45096</v>
      </c>
      <c r="E5025" s="565">
        <v>45291</v>
      </c>
      <c r="F5025" s="566">
        <v>48902400</v>
      </c>
      <c r="G5025" s="564" t="s">
        <v>10753</v>
      </c>
      <c r="H5025" s="564" t="s">
        <v>10753</v>
      </c>
      <c r="I5025" s="564" t="s">
        <v>125</v>
      </c>
      <c r="J5025" s="564" t="s">
        <v>1069</v>
      </c>
      <c r="K5025" s="564" t="s">
        <v>1070</v>
      </c>
      <c r="L5025" s="564" t="s">
        <v>1390</v>
      </c>
      <c r="M5025" s="564" t="s">
        <v>1390</v>
      </c>
      <c r="N5025" s="564" t="s">
        <v>1073</v>
      </c>
      <c r="O5025" s="564" t="s">
        <v>38</v>
      </c>
      <c r="P5025" s="23"/>
      <c r="Q5025" s="23"/>
      <c r="R5025" s="23"/>
      <c r="S5025" s="23"/>
      <c r="T5025" s="23"/>
      <c r="U5025" s="23"/>
      <c r="V5025" s="23"/>
      <c r="W5025" s="23"/>
      <c r="X5025" s="23"/>
      <c r="Y5025" s="23"/>
      <c r="Z5025" s="23"/>
    </row>
    <row r="5026" spans="1:26" ht="13">
      <c r="A5026" s="562" t="s">
        <v>10754</v>
      </c>
      <c r="B5026" s="563" t="s">
        <v>10755</v>
      </c>
      <c r="C5026" s="564" t="s">
        <v>1455</v>
      </c>
      <c r="D5026" s="565">
        <v>45110</v>
      </c>
      <c r="E5026" s="565">
        <v>45382</v>
      </c>
      <c r="F5026" s="566">
        <v>87300000</v>
      </c>
      <c r="G5026" s="564" t="s">
        <v>1684</v>
      </c>
      <c r="H5026" s="564" t="s">
        <v>1182</v>
      </c>
      <c r="I5026" s="564" t="s">
        <v>121</v>
      </c>
      <c r="J5026" s="564" t="s">
        <v>1069</v>
      </c>
      <c r="K5026" s="564" t="s">
        <v>1105</v>
      </c>
      <c r="L5026" s="564" t="s">
        <v>1390</v>
      </c>
      <c r="M5026" s="564" t="s">
        <v>1390</v>
      </c>
      <c r="N5026" s="564" t="s">
        <v>1073</v>
      </c>
      <c r="O5026" s="564" t="s">
        <v>38</v>
      </c>
      <c r="P5026" s="23"/>
      <c r="Q5026" s="23"/>
      <c r="R5026" s="23"/>
      <c r="S5026" s="23"/>
      <c r="T5026" s="23"/>
      <c r="U5026" s="23"/>
      <c r="V5026" s="23"/>
      <c r="W5026" s="23"/>
      <c r="X5026" s="23"/>
      <c r="Y5026" s="23"/>
      <c r="Z5026" s="23"/>
    </row>
    <row r="5027" spans="1:26" ht="13">
      <c r="A5027" s="562" t="s">
        <v>10756</v>
      </c>
      <c r="B5027" s="563" t="s">
        <v>10757</v>
      </c>
      <c r="C5027" s="564" t="s">
        <v>1475</v>
      </c>
      <c r="D5027" s="565">
        <v>45108</v>
      </c>
      <c r="E5027" s="565">
        <v>45473</v>
      </c>
      <c r="F5027" s="566">
        <v>65347200</v>
      </c>
      <c r="G5027" s="564" t="s">
        <v>1526</v>
      </c>
      <c r="H5027" s="564" t="s">
        <v>1123</v>
      </c>
      <c r="I5027" s="564" t="s">
        <v>1842</v>
      </c>
      <c r="J5027" s="564" t="s">
        <v>1069</v>
      </c>
      <c r="K5027" s="564" t="s">
        <v>1070</v>
      </c>
      <c r="L5027" s="564" t="s">
        <v>1071</v>
      </c>
      <c r="M5027" s="564" t="s">
        <v>1091</v>
      </c>
      <c r="N5027" s="564" t="s">
        <v>1082</v>
      </c>
      <c r="O5027" s="564" t="s">
        <v>241</v>
      </c>
      <c r="P5027" s="23"/>
      <c r="Q5027" s="23"/>
      <c r="R5027" s="23"/>
      <c r="S5027" s="23"/>
      <c r="T5027" s="23"/>
      <c r="U5027" s="23"/>
      <c r="V5027" s="23"/>
      <c r="W5027" s="23"/>
      <c r="X5027" s="23"/>
      <c r="Y5027" s="23"/>
      <c r="Z5027" s="23"/>
    </row>
    <row r="5028" spans="1:26" ht="13">
      <c r="A5028" s="562" t="s">
        <v>10758</v>
      </c>
      <c r="B5028" s="563" t="s">
        <v>10759</v>
      </c>
      <c r="C5028" s="564" t="s">
        <v>1088</v>
      </c>
      <c r="D5028" s="565">
        <v>45108</v>
      </c>
      <c r="E5028" s="565">
        <v>45473</v>
      </c>
      <c r="F5028" s="566">
        <v>98020800</v>
      </c>
      <c r="G5028" s="564" t="s">
        <v>1526</v>
      </c>
      <c r="H5028" s="564" t="s">
        <v>1123</v>
      </c>
      <c r="I5028" s="564" t="s">
        <v>1842</v>
      </c>
      <c r="J5028" s="564" t="s">
        <v>1069</v>
      </c>
      <c r="K5028" s="564" t="s">
        <v>1070</v>
      </c>
      <c r="L5028" s="564" t="s">
        <v>1071</v>
      </c>
      <c r="M5028" s="564" t="s">
        <v>1091</v>
      </c>
      <c r="N5028" s="564" t="s">
        <v>1082</v>
      </c>
      <c r="O5028" s="564" t="s">
        <v>241</v>
      </c>
      <c r="P5028" s="23"/>
      <c r="Q5028" s="23"/>
      <c r="R5028" s="23"/>
      <c r="S5028" s="23"/>
      <c r="T5028" s="23"/>
      <c r="U5028" s="23"/>
      <c r="V5028" s="23"/>
      <c r="W5028" s="23"/>
      <c r="X5028" s="23"/>
      <c r="Y5028" s="23"/>
      <c r="Z5028" s="23"/>
    </row>
    <row r="5029" spans="1:26" ht="13">
      <c r="A5029" s="562" t="s">
        <v>10760</v>
      </c>
      <c r="B5029" s="563" t="s">
        <v>10761</v>
      </c>
      <c r="C5029" s="564" t="s">
        <v>1475</v>
      </c>
      <c r="D5029" s="565">
        <v>45108</v>
      </c>
      <c r="E5029" s="565">
        <v>45473</v>
      </c>
      <c r="F5029" s="566">
        <v>94000000</v>
      </c>
      <c r="G5029" s="564" t="s">
        <v>2459</v>
      </c>
      <c r="H5029" s="564" t="s">
        <v>2876</v>
      </c>
      <c r="I5029" s="564" t="s">
        <v>10619</v>
      </c>
      <c r="J5029" s="564" t="s">
        <v>1069</v>
      </c>
      <c r="K5029" s="564" t="s">
        <v>2878</v>
      </c>
      <c r="L5029" s="564" t="s">
        <v>1071</v>
      </c>
      <c r="M5029" s="564" t="s">
        <v>1091</v>
      </c>
      <c r="N5029" s="564" t="s">
        <v>1082</v>
      </c>
      <c r="O5029" s="564" t="s">
        <v>241</v>
      </c>
      <c r="P5029" s="23"/>
      <c r="Q5029" s="23"/>
      <c r="R5029" s="23"/>
      <c r="S5029" s="23"/>
      <c r="T5029" s="23"/>
      <c r="U5029" s="23"/>
      <c r="V5029" s="23"/>
      <c r="W5029" s="23"/>
      <c r="X5029" s="23"/>
      <c r="Y5029" s="23"/>
      <c r="Z5029" s="23"/>
    </row>
    <row r="5030" spans="1:26" ht="13">
      <c r="A5030" s="562" t="s">
        <v>10762</v>
      </c>
      <c r="B5030" s="563" t="s">
        <v>10763</v>
      </c>
      <c r="C5030" s="564" t="s">
        <v>1088</v>
      </c>
      <c r="D5030" s="565">
        <v>45100</v>
      </c>
      <c r="E5030" s="565">
        <v>45129</v>
      </c>
      <c r="F5030" s="566">
        <v>7700000</v>
      </c>
      <c r="G5030" s="564" t="s">
        <v>1122</v>
      </c>
      <c r="H5030" s="564" t="s">
        <v>297</v>
      </c>
      <c r="I5030" s="564" t="s">
        <v>1294</v>
      </c>
      <c r="J5030" s="564" t="s">
        <v>1069</v>
      </c>
      <c r="K5030" s="564" t="s">
        <v>1090</v>
      </c>
      <c r="L5030" s="564" t="s">
        <v>1071</v>
      </c>
      <c r="M5030" s="564" t="s">
        <v>1124</v>
      </c>
      <c r="N5030" s="564" t="s">
        <v>1082</v>
      </c>
      <c r="O5030" s="564" t="s">
        <v>38</v>
      </c>
      <c r="P5030" s="23"/>
      <c r="Q5030" s="23"/>
      <c r="R5030" s="23"/>
      <c r="S5030" s="23"/>
      <c r="T5030" s="23"/>
      <c r="U5030" s="23"/>
      <c r="V5030" s="23"/>
      <c r="W5030" s="23"/>
      <c r="X5030" s="23"/>
      <c r="Y5030" s="23"/>
      <c r="Z5030" s="23"/>
    </row>
    <row r="5031" spans="1:26" ht="13">
      <c r="A5031" s="562" t="s">
        <v>10764</v>
      </c>
      <c r="B5031" s="563" t="s">
        <v>10765</v>
      </c>
      <c r="C5031" s="564" t="s">
        <v>1455</v>
      </c>
      <c r="D5031" s="565">
        <v>45033</v>
      </c>
      <c r="E5031" s="565">
        <v>45236</v>
      </c>
      <c r="F5031" s="566">
        <v>430000000</v>
      </c>
      <c r="G5031" s="564" t="s">
        <v>1750</v>
      </c>
      <c r="H5031" s="564" t="s">
        <v>1182</v>
      </c>
      <c r="I5031" s="564" t="s">
        <v>170</v>
      </c>
      <c r="J5031" s="564" t="s">
        <v>1069</v>
      </c>
      <c r="K5031" s="564" t="s">
        <v>1105</v>
      </c>
      <c r="L5031" s="564" t="s">
        <v>1390</v>
      </c>
      <c r="M5031" s="564" t="s">
        <v>1390</v>
      </c>
      <c r="N5031" s="564" t="s">
        <v>170</v>
      </c>
      <c r="O5031" s="564" t="s">
        <v>38</v>
      </c>
      <c r="P5031" s="23"/>
      <c r="Q5031" s="23"/>
      <c r="R5031" s="23"/>
      <c r="S5031" s="23"/>
      <c r="T5031" s="23"/>
      <c r="U5031" s="23"/>
      <c r="V5031" s="23"/>
      <c r="W5031" s="23"/>
      <c r="X5031" s="23"/>
      <c r="Y5031" s="23"/>
      <c r="Z5031" s="23"/>
    </row>
    <row r="5032" spans="1:26" ht="13">
      <c r="A5032" s="562" t="s">
        <v>10766</v>
      </c>
      <c r="B5032" s="563" t="s">
        <v>10767</v>
      </c>
      <c r="C5032" s="564" t="s">
        <v>1475</v>
      </c>
      <c r="D5032" s="565">
        <v>45071</v>
      </c>
      <c r="E5032" s="565">
        <v>45191</v>
      </c>
      <c r="F5032" s="566">
        <v>11500000</v>
      </c>
      <c r="G5032" s="564" t="s">
        <v>10649</v>
      </c>
      <c r="H5032" s="564" t="s">
        <v>1123</v>
      </c>
      <c r="I5032" s="564" t="s">
        <v>1417</v>
      </c>
      <c r="J5032" s="564" t="s">
        <v>1069</v>
      </c>
      <c r="K5032" s="564" t="s">
        <v>1070</v>
      </c>
      <c r="L5032" s="564" t="s">
        <v>1071</v>
      </c>
      <c r="M5032" s="564" t="s">
        <v>1091</v>
      </c>
      <c r="N5032" s="564" t="s">
        <v>1082</v>
      </c>
      <c r="O5032" s="564" t="s">
        <v>241</v>
      </c>
      <c r="P5032" s="23"/>
      <c r="Q5032" s="23"/>
      <c r="R5032" s="23"/>
      <c r="S5032" s="23"/>
      <c r="T5032" s="23"/>
      <c r="U5032" s="23"/>
      <c r="V5032" s="23"/>
      <c r="W5032" s="23"/>
      <c r="X5032" s="23"/>
      <c r="Y5032" s="23"/>
      <c r="Z5032" s="23"/>
    </row>
    <row r="5033" spans="1:26" ht="13">
      <c r="A5033" s="562" t="s">
        <v>10768</v>
      </c>
      <c r="B5033" s="563" t="s">
        <v>10769</v>
      </c>
      <c r="C5033" s="564" t="s">
        <v>1370</v>
      </c>
      <c r="D5033" s="565">
        <v>45078</v>
      </c>
      <c r="E5033" s="565">
        <v>45169</v>
      </c>
      <c r="F5033" s="566">
        <v>30000000</v>
      </c>
      <c r="G5033" s="564" t="s">
        <v>1564</v>
      </c>
      <c r="H5033" s="564" t="s">
        <v>803</v>
      </c>
      <c r="I5033" s="564" t="s">
        <v>802</v>
      </c>
      <c r="J5033" s="564" t="s">
        <v>1069</v>
      </c>
      <c r="K5033" s="564" t="s">
        <v>1198</v>
      </c>
      <c r="L5033" s="564" t="s">
        <v>1390</v>
      </c>
      <c r="M5033" s="564" t="s">
        <v>1390</v>
      </c>
      <c r="N5033" s="564" t="s">
        <v>132</v>
      </c>
      <c r="O5033" s="564" t="s">
        <v>38</v>
      </c>
      <c r="P5033" s="23"/>
      <c r="Q5033" s="23"/>
      <c r="R5033" s="23"/>
      <c r="S5033" s="23"/>
      <c r="T5033" s="23"/>
      <c r="U5033" s="23"/>
      <c r="V5033" s="23"/>
      <c r="W5033" s="23"/>
      <c r="X5033" s="23"/>
      <c r="Y5033" s="23"/>
      <c r="Z5033" s="23"/>
    </row>
    <row r="5034" spans="1:26" ht="13">
      <c r="A5034" s="562" t="s">
        <v>10770</v>
      </c>
      <c r="B5034" s="563" t="s">
        <v>10771</v>
      </c>
      <c r="C5034" s="564" t="s">
        <v>1088</v>
      </c>
      <c r="D5034" s="565">
        <v>45068</v>
      </c>
      <c r="E5034" s="565">
        <v>45077</v>
      </c>
      <c r="F5034" s="566">
        <v>4178000</v>
      </c>
      <c r="G5034" s="564" t="s">
        <v>1122</v>
      </c>
      <c r="H5034" s="564" t="s">
        <v>297</v>
      </c>
      <c r="I5034" s="564" t="s">
        <v>1294</v>
      </c>
      <c r="J5034" s="564" t="s">
        <v>1069</v>
      </c>
      <c r="K5034" s="564" t="s">
        <v>1090</v>
      </c>
      <c r="L5034" s="564" t="s">
        <v>1071</v>
      </c>
      <c r="M5034" s="564" t="s">
        <v>1124</v>
      </c>
      <c r="N5034" s="564" t="s">
        <v>1082</v>
      </c>
      <c r="O5034" s="564" t="s">
        <v>38</v>
      </c>
      <c r="P5034" s="23"/>
      <c r="Q5034" s="23"/>
      <c r="R5034" s="23"/>
      <c r="S5034" s="23"/>
      <c r="T5034" s="23"/>
      <c r="U5034" s="23"/>
      <c r="V5034" s="23"/>
      <c r="W5034" s="23"/>
      <c r="X5034" s="23"/>
      <c r="Y5034" s="23"/>
      <c r="Z5034" s="23"/>
    </row>
    <row r="5035" spans="1:26" ht="13">
      <c r="A5035" s="562" t="s">
        <v>10772</v>
      </c>
      <c r="B5035" s="563" t="s">
        <v>10773</v>
      </c>
      <c r="C5035" s="564" t="s">
        <v>1370</v>
      </c>
      <c r="D5035" s="565">
        <v>45078</v>
      </c>
      <c r="E5035" s="565">
        <v>45473</v>
      </c>
      <c r="F5035" s="566">
        <v>510992727</v>
      </c>
      <c r="G5035" s="564" t="s">
        <v>1564</v>
      </c>
      <c r="H5035" s="564" t="s">
        <v>803</v>
      </c>
      <c r="I5035" s="564" t="s">
        <v>802</v>
      </c>
      <c r="J5035" s="564" t="s">
        <v>1069</v>
      </c>
      <c r="K5035" s="564" t="s">
        <v>1198</v>
      </c>
      <c r="L5035" s="564" t="s">
        <v>1071</v>
      </c>
      <c r="M5035" s="564" t="s">
        <v>1091</v>
      </c>
      <c r="N5035" s="564" t="s">
        <v>132</v>
      </c>
      <c r="O5035" s="564" t="s">
        <v>241</v>
      </c>
      <c r="P5035" s="23"/>
      <c r="Q5035" s="23"/>
      <c r="R5035" s="23"/>
      <c r="S5035" s="23"/>
      <c r="T5035" s="23"/>
      <c r="U5035" s="23"/>
      <c r="V5035" s="23"/>
      <c r="W5035" s="23"/>
      <c r="X5035" s="23"/>
      <c r="Y5035" s="23"/>
      <c r="Z5035" s="23"/>
    </row>
    <row r="5036" spans="1:26" ht="13">
      <c r="A5036" s="562" t="s">
        <v>10774</v>
      </c>
      <c r="B5036" s="563" t="s">
        <v>10775</v>
      </c>
      <c r="C5036" s="564" t="s">
        <v>1370</v>
      </c>
      <c r="D5036" s="565">
        <v>45078</v>
      </c>
      <c r="E5036" s="565">
        <v>45473</v>
      </c>
      <c r="F5036" s="566">
        <v>223149090</v>
      </c>
      <c r="G5036" s="564" t="s">
        <v>10577</v>
      </c>
      <c r="H5036" s="564" t="s">
        <v>803</v>
      </c>
      <c r="I5036" s="564" t="s">
        <v>802</v>
      </c>
      <c r="J5036" s="564" t="s">
        <v>1069</v>
      </c>
      <c r="K5036" s="564" t="s">
        <v>1198</v>
      </c>
      <c r="L5036" s="564" t="s">
        <v>1071</v>
      </c>
      <c r="M5036" s="564" t="s">
        <v>1091</v>
      </c>
      <c r="N5036" s="564" t="s">
        <v>132</v>
      </c>
      <c r="O5036" s="564" t="s">
        <v>241</v>
      </c>
      <c r="P5036" s="23"/>
      <c r="Q5036" s="23"/>
      <c r="R5036" s="23"/>
      <c r="S5036" s="23"/>
      <c r="T5036" s="23"/>
      <c r="U5036" s="23"/>
      <c r="V5036" s="23"/>
      <c r="W5036" s="23"/>
      <c r="X5036" s="23"/>
      <c r="Y5036" s="23"/>
      <c r="Z5036" s="23"/>
    </row>
    <row r="5037" spans="1:26" ht="13">
      <c r="A5037" s="562" t="s">
        <v>10776</v>
      </c>
      <c r="B5037" s="563" t="s">
        <v>10777</v>
      </c>
      <c r="C5037" s="564" t="s">
        <v>1156</v>
      </c>
      <c r="D5037" s="565">
        <v>45058</v>
      </c>
      <c r="E5037" s="565">
        <v>45149</v>
      </c>
      <c r="F5037" s="566">
        <v>59000000</v>
      </c>
      <c r="G5037" s="564" t="s">
        <v>10778</v>
      </c>
      <c r="H5037" s="564" t="s">
        <v>1187</v>
      </c>
      <c r="I5037" s="564" t="s">
        <v>70</v>
      </c>
      <c r="J5037" s="564" t="s">
        <v>1069</v>
      </c>
      <c r="K5037" s="564" t="s">
        <v>1120</v>
      </c>
      <c r="L5037" s="564" t="s">
        <v>1390</v>
      </c>
      <c r="M5037" s="564" t="s">
        <v>1390</v>
      </c>
      <c r="N5037" s="564" t="s">
        <v>70</v>
      </c>
      <c r="O5037" s="564" t="s">
        <v>38</v>
      </c>
      <c r="P5037" s="23"/>
      <c r="Q5037" s="23"/>
      <c r="R5037" s="23"/>
      <c r="S5037" s="23"/>
      <c r="T5037" s="23"/>
      <c r="U5037" s="23"/>
      <c r="V5037" s="23"/>
      <c r="W5037" s="23"/>
      <c r="X5037" s="23"/>
      <c r="Y5037" s="23"/>
      <c r="Z5037" s="23"/>
    </row>
    <row r="5038" spans="1:26" ht="13">
      <c r="A5038" s="562" t="s">
        <v>10779</v>
      </c>
      <c r="B5038" s="563" t="s">
        <v>10780</v>
      </c>
      <c r="C5038" s="564" t="s">
        <v>1652</v>
      </c>
      <c r="D5038" s="565">
        <v>45058</v>
      </c>
      <c r="E5038" s="565">
        <v>45149</v>
      </c>
      <c r="F5038" s="566">
        <v>59000000</v>
      </c>
      <c r="G5038" s="564" t="s">
        <v>10778</v>
      </c>
      <c r="H5038" s="564" t="s">
        <v>1187</v>
      </c>
      <c r="I5038" s="564" t="s">
        <v>70</v>
      </c>
      <c r="J5038" s="564" t="s">
        <v>1069</v>
      </c>
      <c r="K5038" s="564" t="s">
        <v>1120</v>
      </c>
      <c r="L5038" s="564" t="s">
        <v>1390</v>
      </c>
      <c r="M5038" s="564" t="s">
        <v>1390</v>
      </c>
      <c r="N5038" s="564" t="s">
        <v>70</v>
      </c>
      <c r="O5038" s="564" t="s">
        <v>38</v>
      </c>
      <c r="P5038" s="23"/>
      <c r="Q5038" s="23"/>
      <c r="R5038" s="23"/>
      <c r="S5038" s="23"/>
      <c r="T5038" s="23"/>
      <c r="U5038" s="23"/>
      <c r="V5038" s="23"/>
      <c r="W5038" s="23"/>
      <c r="X5038" s="23"/>
      <c r="Y5038" s="23"/>
      <c r="Z5038" s="23"/>
    </row>
    <row r="5039" spans="1:26" ht="13">
      <c r="A5039" s="562" t="s">
        <v>10781</v>
      </c>
      <c r="B5039" s="563" t="s">
        <v>10782</v>
      </c>
      <c r="C5039" s="564" t="s">
        <v>1475</v>
      </c>
      <c r="D5039" s="565">
        <v>45065</v>
      </c>
      <c r="E5039" s="565">
        <v>45065</v>
      </c>
      <c r="F5039" s="566">
        <v>1410000</v>
      </c>
      <c r="G5039" s="564" t="s">
        <v>349</v>
      </c>
      <c r="H5039" s="564" t="s">
        <v>349</v>
      </c>
      <c r="I5039" s="564" t="s">
        <v>1149</v>
      </c>
      <c r="J5039" s="564" t="s">
        <v>1069</v>
      </c>
      <c r="K5039" s="564" t="s">
        <v>1070</v>
      </c>
      <c r="L5039" s="564" t="s">
        <v>1071</v>
      </c>
      <c r="M5039" s="564" t="s">
        <v>1124</v>
      </c>
      <c r="N5039" s="564" t="s">
        <v>1073</v>
      </c>
      <c r="O5039" s="564" t="s">
        <v>38</v>
      </c>
      <c r="P5039" s="23"/>
      <c r="Q5039" s="23"/>
      <c r="R5039" s="23"/>
      <c r="S5039" s="23"/>
      <c r="T5039" s="23"/>
      <c r="U5039" s="23"/>
      <c r="V5039" s="23"/>
      <c r="W5039" s="23"/>
      <c r="X5039" s="23"/>
      <c r="Y5039" s="23"/>
      <c r="Z5039" s="23"/>
    </row>
    <row r="5040" spans="1:26" ht="13">
      <c r="A5040" s="562" t="s">
        <v>10783</v>
      </c>
      <c r="B5040" s="563" t="s">
        <v>10784</v>
      </c>
      <c r="C5040" s="564" t="s">
        <v>1455</v>
      </c>
      <c r="D5040" s="565">
        <v>45048</v>
      </c>
      <c r="E5040" s="565">
        <v>45231</v>
      </c>
      <c r="F5040" s="566">
        <v>60000000</v>
      </c>
      <c r="G5040" s="564" t="s">
        <v>297</v>
      </c>
      <c r="H5040" s="564" t="s">
        <v>297</v>
      </c>
      <c r="I5040" s="564" t="s">
        <v>225</v>
      </c>
      <c r="J5040" s="564" t="s">
        <v>1069</v>
      </c>
      <c r="K5040" s="564" t="s">
        <v>1105</v>
      </c>
      <c r="L5040" s="564" t="s">
        <v>1390</v>
      </c>
      <c r="M5040" s="564" t="s">
        <v>1390</v>
      </c>
      <c r="N5040" s="564" t="s">
        <v>225</v>
      </c>
      <c r="O5040" s="564" t="s">
        <v>241</v>
      </c>
      <c r="P5040" s="23"/>
      <c r="Q5040" s="23"/>
      <c r="R5040" s="23"/>
      <c r="S5040" s="23"/>
      <c r="T5040" s="23"/>
      <c r="U5040" s="23"/>
      <c r="V5040" s="23"/>
      <c r="W5040" s="23"/>
      <c r="X5040" s="23"/>
      <c r="Y5040" s="23"/>
      <c r="Z5040" s="23"/>
    </row>
    <row r="5041" spans="1:26" ht="13">
      <c r="A5041" s="562" t="s">
        <v>10785</v>
      </c>
      <c r="B5041" s="563" t="s">
        <v>10786</v>
      </c>
      <c r="C5041" s="564" t="s">
        <v>1370</v>
      </c>
      <c r="D5041" s="565">
        <v>45047</v>
      </c>
      <c r="E5041" s="565">
        <v>45107</v>
      </c>
      <c r="F5041" s="566">
        <v>14000000</v>
      </c>
      <c r="G5041" s="564" t="s">
        <v>1564</v>
      </c>
      <c r="H5041" s="564" t="s">
        <v>1182</v>
      </c>
      <c r="I5041" s="564" t="s">
        <v>802</v>
      </c>
      <c r="J5041" s="564" t="s">
        <v>1069</v>
      </c>
      <c r="K5041" s="564" t="s">
        <v>1198</v>
      </c>
      <c r="L5041" s="564" t="s">
        <v>1390</v>
      </c>
      <c r="M5041" s="564" t="s">
        <v>1390</v>
      </c>
      <c r="N5041" s="564" t="s">
        <v>132</v>
      </c>
      <c r="O5041" s="564" t="s">
        <v>38</v>
      </c>
      <c r="P5041" s="23"/>
      <c r="Q5041" s="23"/>
      <c r="R5041" s="23"/>
      <c r="S5041" s="23"/>
      <c r="T5041" s="23"/>
      <c r="U5041" s="23"/>
      <c r="V5041" s="23"/>
      <c r="W5041" s="23"/>
      <c r="X5041" s="23"/>
      <c r="Y5041" s="23"/>
      <c r="Z5041" s="23"/>
    </row>
    <row r="5042" spans="1:26" ht="13">
      <c r="A5042" s="562" t="s">
        <v>10787</v>
      </c>
      <c r="B5042" s="563" t="s">
        <v>10788</v>
      </c>
      <c r="C5042" s="564" t="s">
        <v>1475</v>
      </c>
      <c r="D5042" s="565">
        <v>45017</v>
      </c>
      <c r="E5042" s="565">
        <v>45107</v>
      </c>
      <c r="F5042" s="566">
        <v>54545454</v>
      </c>
      <c r="G5042" s="564" t="s">
        <v>10789</v>
      </c>
      <c r="H5042" s="564" t="s">
        <v>1123</v>
      </c>
      <c r="I5042" s="564" t="s">
        <v>10790</v>
      </c>
      <c r="J5042" s="564" t="s">
        <v>1069</v>
      </c>
      <c r="K5042" s="564" t="s">
        <v>1205</v>
      </c>
      <c r="L5042" s="564" t="s">
        <v>1071</v>
      </c>
      <c r="M5042" s="564" t="s">
        <v>1091</v>
      </c>
      <c r="N5042" s="564" t="s">
        <v>1368</v>
      </c>
      <c r="O5042" s="564" t="s">
        <v>241</v>
      </c>
      <c r="P5042" s="23"/>
      <c r="Q5042" s="23"/>
      <c r="R5042" s="23"/>
      <c r="S5042" s="23"/>
      <c r="T5042" s="23"/>
      <c r="U5042" s="23"/>
      <c r="V5042" s="23"/>
      <c r="W5042" s="23"/>
      <c r="X5042" s="23"/>
      <c r="Y5042" s="23"/>
      <c r="Z5042" s="23"/>
    </row>
    <row r="5043" spans="1:26" ht="13">
      <c r="A5043" s="562" t="s">
        <v>10791</v>
      </c>
      <c r="B5043" s="563" t="s">
        <v>10792</v>
      </c>
      <c r="C5043" s="564" t="s">
        <v>1114</v>
      </c>
      <c r="D5043" s="565">
        <v>44986</v>
      </c>
      <c r="E5043" s="565">
        <v>45716</v>
      </c>
      <c r="F5043" s="566">
        <v>6000000</v>
      </c>
      <c r="G5043" s="564" t="s">
        <v>1365</v>
      </c>
      <c r="H5043" s="564" t="s">
        <v>1366</v>
      </c>
      <c r="I5043" s="564" t="s">
        <v>10793</v>
      </c>
      <c r="J5043" s="564" t="s">
        <v>1079</v>
      </c>
      <c r="K5043" s="564" t="s">
        <v>1205</v>
      </c>
      <c r="L5043" s="564" t="s">
        <v>1117</v>
      </c>
      <c r="M5043" s="564" t="s">
        <v>1199</v>
      </c>
      <c r="N5043" s="564" t="s">
        <v>1082</v>
      </c>
      <c r="O5043" s="564" t="s">
        <v>241</v>
      </c>
      <c r="P5043" s="23"/>
      <c r="Q5043" s="23"/>
      <c r="R5043" s="23"/>
      <c r="S5043" s="23"/>
      <c r="T5043" s="23"/>
      <c r="U5043" s="23"/>
      <c r="V5043" s="23"/>
      <c r="W5043" s="23"/>
      <c r="X5043" s="23"/>
      <c r="Y5043" s="23"/>
      <c r="Z5043" s="23"/>
    </row>
    <row r="5044" spans="1:26" ht="13">
      <c r="A5044" s="562" t="s">
        <v>10794</v>
      </c>
      <c r="B5044" s="563" t="s">
        <v>10752</v>
      </c>
      <c r="C5044" s="564" t="s">
        <v>1136</v>
      </c>
      <c r="D5044" s="565">
        <v>44979</v>
      </c>
      <c r="E5044" s="565">
        <v>45281</v>
      </c>
      <c r="F5044" s="566">
        <v>77599400</v>
      </c>
      <c r="G5044" s="564" t="s">
        <v>1563</v>
      </c>
      <c r="H5044" s="564" t="s">
        <v>1563</v>
      </c>
      <c r="I5044" s="564" t="s">
        <v>125</v>
      </c>
      <c r="J5044" s="564" t="s">
        <v>1069</v>
      </c>
      <c r="K5044" s="564" t="s">
        <v>1070</v>
      </c>
      <c r="L5044" s="564" t="s">
        <v>1390</v>
      </c>
      <c r="M5044" s="564" t="s">
        <v>1390</v>
      </c>
      <c r="N5044" s="564" t="s">
        <v>1073</v>
      </c>
      <c r="O5044" s="564" t="s">
        <v>38</v>
      </c>
      <c r="P5044" s="23"/>
      <c r="Q5044" s="23"/>
      <c r="R5044" s="23"/>
      <c r="S5044" s="23"/>
      <c r="T5044" s="23"/>
      <c r="U5044" s="23"/>
      <c r="V5044" s="23"/>
      <c r="W5044" s="23"/>
      <c r="X5044" s="23"/>
      <c r="Y5044" s="23"/>
      <c r="Z5044" s="23"/>
    </row>
    <row r="5045" spans="1:26" ht="13">
      <c r="A5045" s="562" t="s">
        <v>10795</v>
      </c>
      <c r="B5045" s="563" t="s">
        <v>10796</v>
      </c>
      <c r="C5045" s="564" t="s">
        <v>1652</v>
      </c>
      <c r="D5045" s="565">
        <v>44998</v>
      </c>
      <c r="E5045" s="565">
        <v>45002</v>
      </c>
      <c r="F5045" s="566">
        <v>10558000</v>
      </c>
      <c r="G5045" s="564" t="s">
        <v>297</v>
      </c>
      <c r="H5045" s="564" t="s">
        <v>297</v>
      </c>
      <c r="I5045" s="564" t="s">
        <v>107</v>
      </c>
      <c r="J5045" s="564" t="s">
        <v>1069</v>
      </c>
      <c r="K5045" s="564" t="s">
        <v>1120</v>
      </c>
      <c r="L5045" s="564" t="s">
        <v>1071</v>
      </c>
      <c r="M5045" s="564" t="s">
        <v>1124</v>
      </c>
      <c r="N5045" s="564" t="s">
        <v>1073</v>
      </c>
      <c r="O5045" s="564" t="s">
        <v>38</v>
      </c>
      <c r="P5045" s="23"/>
      <c r="Q5045" s="23"/>
      <c r="R5045" s="23"/>
      <c r="S5045" s="23"/>
      <c r="T5045" s="23"/>
      <c r="U5045" s="23"/>
      <c r="V5045" s="23"/>
      <c r="W5045" s="23"/>
      <c r="X5045" s="23"/>
      <c r="Y5045" s="23"/>
      <c r="Z5045" s="23"/>
    </row>
    <row r="5046" spans="1:26" ht="13">
      <c r="A5046" s="562" t="s">
        <v>10797</v>
      </c>
      <c r="B5046" s="563" t="s">
        <v>10798</v>
      </c>
      <c r="C5046" s="564" t="s">
        <v>1475</v>
      </c>
      <c r="D5046" s="565">
        <v>44986</v>
      </c>
      <c r="E5046" s="565">
        <v>45351</v>
      </c>
      <c r="F5046" s="566">
        <v>38438000</v>
      </c>
      <c r="G5046" s="564" t="s">
        <v>10649</v>
      </c>
      <c r="H5046" s="564" t="s">
        <v>1123</v>
      </c>
      <c r="I5046" s="564" t="s">
        <v>1417</v>
      </c>
      <c r="J5046" s="564" t="s">
        <v>1069</v>
      </c>
      <c r="K5046" s="564" t="s">
        <v>1070</v>
      </c>
      <c r="L5046" s="564" t="s">
        <v>1071</v>
      </c>
      <c r="M5046" s="564" t="s">
        <v>1091</v>
      </c>
      <c r="N5046" s="564" t="s">
        <v>1082</v>
      </c>
      <c r="O5046" s="564" t="s">
        <v>241</v>
      </c>
      <c r="P5046" s="23"/>
      <c r="Q5046" s="23"/>
      <c r="R5046" s="23"/>
      <c r="S5046" s="23"/>
      <c r="T5046" s="23"/>
      <c r="U5046" s="23"/>
      <c r="V5046" s="23"/>
      <c r="W5046" s="23"/>
      <c r="X5046" s="23"/>
      <c r="Y5046" s="23"/>
      <c r="Z5046" s="23"/>
    </row>
    <row r="5047" spans="1:26" ht="13">
      <c r="A5047" s="562" t="s">
        <v>10799</v>
      </c>
      <c r="B5047" s="563" t="s">
        <v>10800</v>
      </c>
      <c r="C5047" s="564" t="s">
        <v>1114</v>
      </c>
      <c r="D5047" s="565">
        <v>44986</v>
      </c>
      <c r="E5047" s="565">
        <v>45351</v>
      </c>
      <c r="F5047" s="566">
        <v>4800000</v>
      </c>
      <c r="G5047" s="564" t="s">
        <v>1365</v>
      </c>
      <c r="H5047" s="564" t="s">
        <v>1366</v>
      </c>
      <c r="I5047" s="564" t="s">
        <v>10555</v>
      </c>
      <c r="J5047" s="564" t="s">
        <v>1069</v>
      </c>
      <c r="K5047" s="564" t="s">
        <v>1205</v>
      </c>
      <c r="L5047" s="564" t="s">
        <v>1117</v>
      </c>
      <c r="M5047" s="564" t="s">
        <v>1199</v>
      </c>
      <c r="N5047" s="564" t="s">
        <v>1368</v>
      </c>
      <c r="O5047" s="564" t="s">
        <v>241</v>
      </c>
      <c r="P5047" s="23"/>
      <c r="Q5047" s="23"/>
      <c r="R5047" s="23"/>
      <c r="S5047" s="23"/>
      <c r="T5047" s="23"/>
      <c r="U5047" s="23"/>
      <c r="V5047" s="23"/>
      <c r="W5047" s="23"/>
      <c r="X5047" s="23"/>
      <c r="Y5047" s="23"/>
      <c r="Z5047" s="23"/>
    </row>
    <row r="5048" spans="1:26" ht="13">
      <c r="A5048" s="562" t="s">
        <v>10801</v>
      </c>
      <c r="B5048" s="563" t="s">
        <v>10802</v>
      </c>
      <c r="C5048" s="564" t="s">
        <v>1631</v>
      </c>
      <c r="D5048" s="565">
        <v>44927</v>
      </c>
      <c r="E5048" s="565">
        <v>45291</v>
      </c>
      <c r="F5048" s="566">
        <v>201600000</v>
      </c>
      <c r="G5048" s="564" t="s">
        <v>328</v>
      </c>
      <c r="H5048" s="564" t="s">
        <v>1293</v>
      </c>
      <c r="I5048" s="564" t="s">
        <v>64</v>
      </c>
      <c r="J5048" s="564" t="s">
        <v>1069</v>
      </c>
      <c r="K5048" s="564" t="s">
        <v>1090</v>
      </c>
      <c r="L5048" s="564" t="s">
        <v>1390</v>
      </c>
      <c r="M5048" s="564" t="s">
        <v>1390</v>
      </c>
      <c r="N5048" s="564" t="s">
        <v>64</v>
      </c>
      <c r="O5048" s="564" t="s">
        <v>38</v>
      </c>
      <c r="P5048" s="23"/>
      <c r="Q5048" s="23"/>
      <c r="R5048" s="23"/>
      <c r="S5048" s="23"/>
      <c r="T5048" s="23"/>
      <c r="U5048" s="23"/>
      <c r="V5048" s="23"/>
      <c r="W5048" s="23"/>
      <c r="X5048" s="23"/>
      <c r="Y5048" s="23"/>
      <c r="Z5048" s="23"/>
    </row>
    <row r="5049" spans="1:26" ht="13">
      <c r="A5049" s="562" t="s">
        <v>10803</v>
      </c>
      <c r="B5049" s="563" t="s">
        <v>10804</v>
      </c>
      <c r="C5049" s="564" t="s">
        <v>1156</v>
      </c>
      <c r="D5049" s="565">
        <v>44927</v>
      </c>
      <c r="E5049" s="565">
        <v>45138</v>
      </c>
      <c r="F5049" s="566">
        <v>173500000</v>
      </c>
      <c r="G5049" s="564" t="s">
        <v>2081</v>
      </c>
      <c r="H5049" s="564" t="s">
        <v>1157</v>
      </c>
      <c r="I5049" s="564" t="s">
        <v>70</v>
      </c>
      <c r="J5049" s="564" t="s">
        <v>1069</v>
      </c>
      <c r="K5049" s="564" t="s">
        <v>1120</v>
      </c>
      <c r="L5049" s="564" t="s">
        <v>1390</v>
      </c>
      <c r="M5049" s="564" t="s">
        <v>1390</v>
      </c>
      <c r="N5049" s="564" t="s">
        <v>70</v>
      </c>
      <c r="O5049" s="564" t="s">
        <v>38</v>
      </c>
      <c r="P5049" s="23"/>
      <c r="Q5049" s="23"/>
      <c r="R5049" s="23"/>
      <c r="S5049" s="23"/>
      <c r="T5049" s="23"/>
      <c r="U5049" s="23"/>
      <c r="V5049" s="23"/>
      <c r="W5049" s="23"/>
      <c r="X5049" s="23"/>
      <c r="Y5049" s="23"/>
      <c r="Z5049" s="23"/>
    </row>
    <row r="5050" spans="1:26" ht="13">
      <c r="A5050" s="562" t="s">
        <v>10805</v>
      </c>
      <c r="B5050" s="563" t="s">
        <v>10806</v>
      </c>
      <c r="C5050" s="564" t="s">
        <v>1388</v>
      </c>
      <c r="D5050" s="565">
        <v>44927</v>
      </c>
      <c r="E5050" s="565">
        <v>44957</v>
      </c>
      <c r="F5050" s="566">
        <v>24700000</v>
      </c>
      <c r="G5050" s="564" t="s">
        <v>1128</v>
      </c>
      <c r="H5050" s="564" t="s">
        <v>1128</v>
      </c>
      <c r="I5050" s="564" t="s">
        <v>45</v>
      </c>
      <c r="J5050" s="564" t="s">
        <v>1069</v>
      </c>
      <c r="K5050" s="564" t="s">
        <v>1090</v>
      </c>
      <c r="L5050" s="564" t="s">
        <v>1390</v>
      </c>
      <c r="M5050" s="564" t="s">
        <v>1390</v>
      </c>
      <c r="N5050" s="564" t="s">
        <v>45</v>
      </c>
      <c r="O5050" s="564" t="s">
        <v>38</v>
      </c>
      <c r="P5050" s="23"/>
      <c r="Q5050" s="23"/>
      <c r="R5050" s="23"/>
      <c r="S5050" s="23"/>
      <c r="T5050" s="23"/>
      <c r="U5050" s="23"/>
      <c r="V5050" s="23"/>
      <c r="W5050" s="23"/>
      <c r="X5050" s="23"/>
      <c r="Y5050" s="23"/>
      <c r="Z5050" s="23"/>
    </row>
    <row r="5051" spans="1:26" ht="13">
      <c r="A5051" s="562" t="s">
        <v>10807</v>
      </c>
      <c r="B5051" s="563" t="s">
        <v>10808</v>
      </c>
      <c r="C5051" s="564" t="s">
        <v>1455</v>
      </c>
      <c r="D5051" s="565">
        <v>44927</v>
      </c>
      <c r="E5051" s="565">
        <v>45016</v>
      </c>
      <c r="F5051" s="566">
        <v>27300000</v>
      </c>
      <c r="G5051" s="564" t="s">
        <v>2549</v>
      </c>
      <c r="H5051" s="564" t="s">
        <v>1157</v>
      </c>
      <c r="I5051" s="564" t="s">
        <v>170</v>
      </c>
      <c r="J5051" s="564" t="s">
        <v>1069</v>
      </c>
      <c r="K5051" s="564" t="s">
        <v>1105</v>
      </c>
      <c r="L5051" s="564" t="s">
        <v>1390</v>
      </c>
      <c r="M5051" s="564" t="s">
        <v>1390</v>
      </c>
      <c r="N5051" s="564" t="s">
        <v>170</v>
      </c>
      <c r="O5051" s="564" t="s">
        <v>38</v>
      </c>
      <c r="P5051" s="23"/>
      <c r="Q5051" s="23"/>
      <c r="R5051" s="23"/>
      <c r="S5051" s="23"/>
      <c r="T5051" s="23"/>
      <c r="U5051" s="23"/>
      <c r="V5051" s="23"/>
      <c r="W5051" s="23"/>
      <c r="X5051" s="23"/>
      <c r="Y5051" s="23"/>
      <c r="Z5051" s="23"/>
    </row>
    <row r="5052" spans="1:26" ht="13">
      <c r="A5052" s="562" t="s">
        <v>10809</v>
      </c>
      <c r="B5052" s="563" t="s">
        <v>10810</v>
      </c>
      <c r="C5052" s="564" t="s">
        <v>1088</v>
      </c>
      <c r="D5052" s="565">
        <v>44927</v>
      </c>
      <c r="E5052" s="565">
        <v>45291</v>
      </c>
      <c r="F5052" s="566">
        <v>22128000</v>
      </c>
      <c r="G5052" s="564" t="s">
        <v>1032</v>
      </c>
      <c r="H5052" s="564" t="s">
        <v>1182</v>
      </c>
      <c r="I5052" s="564" t="s">
        <v>1781</v>
      </c>
      <c r="J5052" s="564" t="s">
        <v>1069</v>
      </c>
      <c r="K5052" s="564" t="s">
        <v>1070</v>
      </c>
      <c r="L5052" s="564" t="s">
        <v>1071</v>
      </c>
      <c r="M5052" s="564" t="s">
        <v>1091</v>
      </c>
      <c r="N5052" s="564" t="s">
        <v>1073</v>
      </c>
      <c r="O5052" s="564" t="s">
        <v>241</v>
      </c>
      <c r="P5052" s="23"/>
      <c r="Q5052" s="23"/>
      <c r="R5052" s="23"/>
      <c r="S5052" s="23"/>
      <c r="T5052" s="23"/>
      <c r="U5052" s="23"/>
      <c r="V5052" s="23"/>
      <c r="W5052" s="23"/>
      <c r="X5052" s="23"/>
      <c r="Y5052" s="23"/>
      <c r="Z5052" s="23"/>
    </row>
    <row r="5053" spans="1:26" ht="13">
      <c r="A5053" s="562" t="s">
        <v>10811</v>
      </c>
      <c r="B5053" s="563" t="s">
        <v>10812</v>
      </c>
      <c r="C5053" s="564" t="s">
        <v>1088</v>
      </c>
      <c r="D5053" s="565">
        <v>44927</v>
      </c>
      <c r="E5053" s="565">
        <v>45291</v>
      </c>
      <c r="F5053" s="566">
        <v>10380000</v>
      </c>
      <c r="G5053" s="564" t="s">
        <v>1211</v>
      </c>
      <c r="H5053" s="564" t="s">
        <v>1123</v>
      </c>
      <c r="I5053" s="564" t="s">
        <v>1842</v>
      </c>
      <c r="J5053" s="564" t="s">
        <v>1069</v>
      </c>
      <c r="K5053" s="564" t="s">
        <v>1070</v>
      </c>
      <c r="L5053" s="564" t="s">
        <v>1071</v>
      </c>
      <c r="M5053" s="564" t="s">
        <v>1091</v>
      </c>
      <c r="N5053" s="564" t="s">
        <v>1082</v>
      </c>
      <c r="O5053" s="564" t="s">
        <v>241</v>
      </c>
      <c r="P5053" s="23"/>
      <c r="Q5053" s="23"/>
      <c r="R5053" s="23"/>
      <c r="S5053" s="23"/>
      <c r="T5053" s="23"/>
      <c r="U5053" s="23"/>
      <c r="V5053" s="23"/>
      <c r="W5053" s="23"/>
      <c r="X5053" s="23"/>
      <c r="Y5053" s="23"/>
      <c r="Z5053" s="23"/>
    </row>
    <row r="5054" spans="1:26" ht="13">
      <c r="A5054" s="562" t="s">
        <v>10813</v>
      </c>
      <c r="B5054" s="563" t="s">
        <v>10814</v>
      </c>
      <c r="C5054" s="564" t="s">
        <v>1475</v>
      </c>
      <c r="D5054" s="565">
        <v>44927</v>
      </c>
      <c r="E5054" s="565">
        <v>45291</v>
      </c>
      <c r="F5054" s="566">
        <v>49200000</v>
      </c>
      <c r="G5054" s="564" t="s">
        <v>1157</v>
      </c>
      <c r="H5054" s="564" t="s">
        <v>297</v>
      </c>
      <c r="I5054" s="564" t="s">
        <v>1247</v>
      </c>
      <c r="J5054" s="564" t="s">
        <v>1069</v>
      </c>
      <c r="K5054" s="564" t="s">
        <v>1070</v>
      </c>
      <c r="L5054" s="564" t="s">
        <v>1071</v>
      </c>
      <c r="M5054" s="564" t="s">
        <v>1091</v>
      </c>
      <c r="N5054" s="564" t="s">
        <v>1073</v>
      </c>
      <c r="O5054" s="564" t="s">
        <v>241</v>
      </c>
      <c r="P5054" s="23"/>
      <c r="Q5054" s="23"/>
      <c r="R5054" s="23"/>
      <c r="S5054" s="23"/>
      <c r="T5054" s="23"/>
      <c r="U5054" s="23"/>
      <c r="V5054" s="23"/>
      <c r="W5054" s="23"/>
      <c r="X5054" s="23"/>
      <c r="Y5054" s="23"/>
      <c r="Z5054" s="23"/>
    </row>
    <row r="5055" spans="1:26" ht="13">
      <c r="A5055" s="562" t="s">
        <v>10815</v>
      </c>
      <c r="B5055" s="563" t="s">
        <v>10816</v>
      </c>
      <c r="C5055" s="564" t="s">
        <v>1475</v>
      </c>
      <c r="D5055" s="565">
        <v>44927</v>
      </c>
      <c r="E5055" s="565">
        <v>45291</v>
      </c>
      <c r="F5055" s="566">
        <v>80500000</v>
      </c>
      <c r="G5055" s="564" t="s">
        <v>2459</v>
      </c>
      <c r="H5055" s="564" t="s">
        <v>1123</v>
      </c>
      <c r="I5055" s="564" t="s">
        <v>10681</v>
      </c>
      <c r="J5055" s="564" t="s">
        <v>1069</v>
      </c>
      <c r="K5055" s="564" t="s">
        <v>1802</v>
      </c>
      <c r="L5055" s="564" t="s">
        <v>1071</v>
      </c>
      <c r="M5055" s="564" t="s">
        <v>1091</v>
      </c>
      <c r="N5055" s="564" t="s">
        <v>1082</v>
      </c>
      <c r="O5055" s="564" t="s">
        <v>241</v>
      </c>
      <c r="P5055" s="23"/>
      <c r="Q5055" s="23"/>
      <c r="R5055" s="23"/>
      <c r="S5055" s="23"/>
      <c r="T5055" s="23"/>
      <c r="U5055" s="23"/>
      <c r="V5055" s="23"/>
      <c r="W5055" s="23"/>
      <c r="X5055" s="23"/>
      <c r="Y5055" s="23"/>
      <c r="Z5055" s="23"/>
    </row>
    <row r="5056" spans="1:26" ht="13">
      <c r="A5056" s="562" t="s">
        <v>10817</v>
      </c>
      <c r="B5056" s="563" t="s">
        <v>10818</v>
      </c>
      <c r="C5056" s="564" t="s">
        <v>2322</v>
      </c>
      <c r="D5056" s="565">
        <v>44914</v>
      </c>
      <c r="E5056" s="565">
        <v>44957</v>
      </c>
      <c r="F5056" s="566">
        <v>1774700</v>
      </c>
      <c r="G5056" s="564" t="s">
        <v>10719</v>
      </c>
      <c r="H5056" s="564" t="s">
        <v>1640</v>
      </c>
      <c r="I5056" s="564" t="s">
        <v>10720</v>
      </c>
      <c r="J5056" s="564" t="s">
        <v>1069</v>
      </c>
      <c r="K5056" s="564" t="s">
        <v>1209</v>
      </c>
      <c r="L5056" s="564" t="s">
        <v>1390</v>
      </c>
      <c r="M5056" s="564" t="s">
        <v>1390</v>
      </c>
      <c r="N5056" s="564" t="s">
        <v>1082</v>
      </c>
      <c r="O5056" s="564" t="s">
        <v>38</v>
      </c>
      <c r="P5056" s="23"/>
      <c r="Q5056" s="23"/>
      <c r="R5056" s="23"/>
      <c r="S5056" s="23"/>
      <c r="T5056" s="23"/>
      <c r="U5056" s="23"/>
      <c r="V5056" s="23"/>
      <c r="W5056" s="23"/>
      <c r="X5056" s="23"/>
      <c r="Y5056" s="23"/>
      <c r="Z5056" s="23"/>
    </row>
    <row r="5057" spans="1:26" ht="13">
      <c r="A5057" s="562" t="s">
        <v>10819</v>
      </c>
      <c r="B5057" s="563" t="s">
        <v>10820</v>
      </c>
      <c r="C5057" s="564" t="s">
        <v>1156</v>
      </c>
      <c r="D5057" s="565">
        <v>44835</v>
      </c>
      <c r="E5057" s="565">
        <v>44957</v>
      </c>
      <c r="F5057" s="566">
        <v>74000000</v>
      </c>
      <c r="G5057" s="564" t="s">
        <v>10778</v>
      </c>
      <c r="H5057" s="564" t="s">
        <v>1157</v>
      </c>
      <c r="I5057" s="564" t="s">
        <v>70</v>
      </c>
      <c r="J5057" s="564" t="s">
        <v>1069</v>
      </c>
      <c r="K5057" s="564" t="s">
        <v>1120</v>
      </c>
      <c r="L5057" s="564" t="s">
        <v>1390</v>
      </c>
      <c r="M5057" s="564" t="s">
        <v>1390</v>
      </c>
      <c r="N5057" s="564" t="s">
        <v>70</v>
      </c>
      <c r="O5057" s="564" t="s">
        <v>38</v>
      </c>
      <c r="P5057" s="23"/>
      <c r="Q5057" s="23"/>
      <c r="R5057" s="23"/>
      <c r="S5057" s="23"/>
      <c r="T5057" s="23"/>
      <c r="U5057" s="23"/>
      <c r="V5057" s="23"/>
      <c r="W5057" s="23"/>
      <c r="X5057" s="23"/>
      <c r="Y5057" s="23"/>
      <c r="Z5057" s="23"/>
    </row>
    <row r="5058" spans="1:26" ht="13">
      <c r="A5058" s="562" t="s">
        <v>10821</v>
      </c>
      <c r="B5058" s="563" t="s">
        <v>10822</v>
      </c>
      <c r="C5058" s="564" t="s">
        <v>1076</v>
      </c>
      <c r="D5058" s="565">
        <v>44896</v>
      </c>
      <c r="E5058" s="565">
        <v>45260</v>
      </c>
      <c r="F5058" s="566">
        <v>7200000</v>
      </c>
      <c r="G5058" s="564" t="s">
        <v>10823</v>
      </c>
      <c r="H5058" s="564" t="s">
        <v>1366</v>
      </c>
      <c r="I5058" s="564" t="s">
        <v>10702</v>
      </c>
      <c r="J5058" s="564" t="s">
        <v>1069</v>
      </c>
      <c r="K5058" s="564" t="s">
        <v>1205</v>
      </c>
      <c r="L5058" s="564" t="s">
        <v>1071</v>
      </c>
      <c r="M5058" s="564" t="s">
        <v>1091</v>
      </c>
      <c r="N5058" s="564" t="s">
        <v>1082</v>
      </c>
      <c r="O5058" s="564" t="s">
        <v>241</v>
      </c>
      <c r="P5058" s="23"/>
      <c r="Q5058" s="23"/>
      <c r="R5058" s="23"/>
      <c r="S5058" s="23"/>
      <c r="T5058" s="23"/>
      <c r="U5058" s="23"/>
      <c r="V5058" s="23"/>
      <c r="W5058" s="23"/>
      <c r="X5058" s="23"/>
      <c r="Y5058" s="23"/>
      <c r="Z5058" s="23"/>
    </row>
    <row r="5059" spans="1:26" ht="13">
      <c r="A5059" s="562" t="s">
        <v>10824</v>
      </c>
      <c r="B5059" s="563" t="s">
        <v>10825</v>
      </c>
      <c r="C5059" s="564" t="s">
        <v>2322</v>
      </c>
      <c r="D5059" s="565">
        <v>44869</v>
      </c>
      <c r="E5059" s="565">
        <v>45233</v>
      </c>
      <c r="F5059" s="566">
        <v>240000000</v>
      </c>
      <c r="G5059" s="564" t="s">
        <v>10826</v>
      </c>
      <c r="H5059" s="564" t="s">
        <v>2323</v>
      </c>
      <c r="I5059" s="564" t="s">
        <v>45</v>
      </c>
      <c r="J5059" s="564" t="s">
        <v>1069</v>
      </c>
      <c r="K5059" s="564" t="s">
        <v>1090</v>
      </c>
      <c r="L5059" s="564" t="s">
        <v>1390</v>
      </c>
      <c r="M5059" s="564" t="s">
        <v>1390</v>
      </c>
      <c r="N5059" s="564" t="s">
        <v>45</v>
      </c>
      <c r="O5059" s="564" t="s">
        <v>38</v>
      </c>
      <c r="P5059" s="23"/>
      <c r="Q5059" s="23"/>
      <c r="R5059" s="23"/>
      <c r="S5059" s="23"/>
      <c r="T5059" s="23"/>
      <c r="U5059" s="23"/>
      <c r="V5059" s="23"/>
      <c r="W5059" s="23"/>
      <c r="X5059" s="23"/>
      <c r="Y5059" s="23"/>
      <c r="Z5059" s="23"/>
    </row>
    <row r="5060" spans="1:26" ht="13">
      <c r="A5060" s="562" t="s">
        <v>10827</v>
      </c>
      <c r="B5060" s="563" t="s">
        <v>10828</v>
      </c>
      <c r="C5060" s="564" t="s">
        <v>1186</v>
      </c>
      <c r="D5060" s="565">
        <v>44866</v>
      </c>
      <c r="E5060" s="565">
        <v>45083</v>
      </c>
      <c r="F5060" s="566">
        <v>78600000</v>
      </c>
      <c r="G5060" s="564" t="s">
        <v>311</v>
      </c>
      <c r="H5060" s="564" t="s">
        <v>1187</v>
      </c>
      <c r="I5060" s="564" t="s">
        <v>45</v>
      </c>
      <c r="J5060" s="564" t="s">
        <v>1069</v>
      </c>
      <c r="K5060" s="564" t="s">
        <v>1090</v>
      </c>
      <c r="L5060" s="564" t="s">
        <v>1390</v>
      </c>
      <c r="M5060" s="564" t="s">
        <v>1390</v>
      </c>
      <c r="N5060" s="564" t="s">
        <v>45</v>
      </c>
      <c r="O5060" s="564" t="s">
        <v>38</v>
      </c>
      <c r="P5060" s="23"/>
      <c r="Q5060" s="23"/>
      <c r="R5060" s="23"/>
      <c r="S5060" s="23"/>
      <c r="T5060" s="23"/>
      <c r="U5060" s="23"/>
      <c r="V5060" s="23"/>
      <c r="W5060" s="23"/>
      <c r="X5060" s="23"/>
      <c r="Y5060" s="23"/>
      <c r="Z5060" s="23"/>
    </row>
    <row r="5061" spans="1:26" ht="13">
      <c r="A5061" s="562" t="s">
        <v>10829</v>
      </c>
      <c r="B5061" s="563" t="s">
        <v>10830</v>
      </c>
      <c r="C5061" s="564" t="s">
        <v>1388</v>
      </c>
      <c r="D5061" s="565">
        <v>44866</v>
      </c>
      <c r="E5061" s="565">
        <v>45083</v>
      </c>
      <c r="F5061" s="566">
        <v>78600000</v>
      </c>
      <c r="G5061" s="564" t="s">
        <v>311</v>
      </c>
      <c r="H5061" s="564" t="s">
        <v>1187</v>
      </c>
      <c r="I5061" s="564" t="s">
        <v>45</v>
      </c>
      <c r="J5061" s="564" t="s">
        <v>1069</v>
      </c>
      <c r="K5061" s="564" t="s">
        <v>1090</v>
      </c>
      <c r="L5061" s="564" t="s">
        <v>1390</v>
      </c>
      <c r="M5061" s="564" t="s">
        <v>1390</v>
      </c>
      <c r="N5061" s="564" t="s">
        <v>45</v>
      </c>
      <c r="O5061" s="564" t="s">
        <v>38</v>
      </c>
      <c r="P5061" s="23"/>
      <c r="Q5061" s="23"/>
      <c r="R5061" s="23"/>
      <c r="S5061" s="23"/>
      <c r="T5061" s="23"/>
      <c r="U5061" s="23"/>
      <c r="V5061" s="23"/>
      <c r="W5061" s="23"/>
      <c r="X5061" s="23"/>
      <c r="Y5061" s="23"/>
      <c r="Z5061" s="23"/>
    </row>
    <row r="5062" spans="1:26" ht="13">
      <c r="A5062" s="562" t="s">
        <v>59</v>
      </c>
      <c r="B5062" s="563" t="s">
        <v>58</v>
      </c>
      <c r="C5062" s="564" t="s">
        <v>1186</v>
      </c>
      <c r="D5062" s="565">
        <v>44866</v>
      </c>
      <c r="E5062" s="565">
        <v>45535</v>
      </c>
      <c r="F5062" s="566">
        <v>323000000</v>
      </c>
      <c r="G5062" s="564" t="s">
        <v>311</v>
      </c>
      <c r="H5062" s="564" t="s">
        <v>349</v>
      </c>
      <c r="I5062" s="564" t="s">
        <v>45</v>
      </c>
      <c r="J5062" s="564" t="s">
        <v>1079</v>
      </c>
      <c r="K5062" s="564" t="s">
        <v>1090</v>
      </c>
      <c r="L5062" s="564" t="s">
        <v>1390</v>
      </c>
      <c r="M5062" s="564" t="s">
        <v>1390</v>
      </c>
      <c r="N5062" s="564" t="s">
        <v>45</v>
      </c>
      <c r="O5062" s="564" t="s">
        <v>38</v>
      </c>
      <c r="P5062" s="23"/>
      <c r="Q5062" s="23"/>
      <c r="R5062" s="23"/>
      <c r="S5062" s="23"/>
      <c r="T5062" s="23"/>
      <c r="U5062" s="23"/>
      <c r="V5062" s="23"/>
      <c r="W5062" s="23"/>
      <c r="X5062" s="23"/>
      <c r="Y5062" s="23"/>
      <c r="Z5062" s="23"/>
    </row>
    <row r="5063" spans="1:26" ht="13">
      <c r="A5063" s="562" t="s">
        <v>57</v>
      </c>
      <c r="B5063" s="563" t="s">
        <v>56</v>
      </c>
      <c r="C5063" s="564" t="s">
        <v>1186</v>
      </c>
      <c r="D5063" s="565">
        <v>44866</v>
      </c>
      <c r="E5063" s="565">
        <v>45535</v>
      </c>
      <c r="F5063" s="566">
        <v>362000000</v>
      </c>
      <c r="G5063" s="564" t="s">
        <v>311</v>
      </c>
      <c r="H5063" s="564" t="s">
        <v>349</v>
      </c>
      <c r="I5063" s="564" t="s">
        <v>45</v>
      </c>
      <c r="J5063" s="564" t="s">
        <v>1079</v>
      </c>
      <c r="K5063" s="564" t="s">
        <v>1090</v>
      </c>
      <c r="L5063" s="564" t="s">
        <v>1390</v>
      </c>
      <c r="M5063" s="564" t="s">
        <v>1390</v>
      </c>
      <c r="N5063" s="564" t="s">
        <v>45</v>
      </c>
      <c r="O5063" s="564" t="s">
        <v>38</v>
      </c>
      <c r="P5063" s="23"/>
      <c r="Q5063" s="23"/>
      <c r="R5063" s="23"/>
      <c r="S5063" s="23"/>
      <c r="T5063" s="23"/>
      <c r="U5063" s="23"/>
      <c r="V5063" s="23"/>
      <c r="W5063" s="23"/>
      <c r="X5063" s="23"/>
      <c r="Y5063" s="23"/>
      <c r="Z5063" s="23"/>
    </row>
    <row r="5064" spans="1:26" ht="13">
      <c r="A5064" s="562" t="s">
        <v>10831</v>
      </c>
      <c r="B5064" s="563" t="s">
        <v>10832</v>
      </c>
      <c r="C5064" s="564" t="s">
        <v>1114</v>
      </c>
      <c r="D5064" s="565">
        <v>44866</v>
      </c>
      <c r="E5064" s="565">
        <v>45230</v>
      </c>
      <c r="F5064" s="566">
        <v>3480000</v>
      </c>
      <c r="G5064" s="564" t="s">
        <v>1115</v>
      </c>
      <c r="H5064" s="564" t="s">
        <v>1366</v>
      </c>
      <c r="I5064" s="564" t="s">
        <v>10574</v>
      </c>
      <c r="J5064" s="564" t="s">
        <v>1069</v>
      </c>
      <c r="K5064" s="564" t="s">
        <v>1205</v>
      </c>
      <c r="L5064" s="564" t="s">
        <v>1117</v>
      </c>
      <c r="M5064" s="564" t="s">
        <v>1199</v>
      </c>
      <c r="N5064" s="564" t="s">
        <v>1368</v>
      </c>
      <c r="O5064" s="564" t="s">
        <v>241</v>
      </c>
      <c r="P5064" s="23"/>
      <c r="Q5064" s="23"/>
      <c r="R5064" s="23"/>
      <c r="S5064" s="23"/>
      <c r="T5064" s="23"/>
      <c r="U5064" s="23"/>
      <c r="V5064" s="23"/>
      <c r="W5064" s="23"/>
      <c r="X5064" s="23"/>
      <c r="Y5064" s="23"/>
      <c r="Z5064" s="23"/>
    </row>
    <row r="5065" spans="1:26" ht="13">
      <c r="A5065" s="562" t="s">
        <v>10833</v>
      </c>
      <c r="B5065" s="563" t="s">
        <v>10834</v>
      </c>
      <c r="C5065" s="564" t="s">
        <v>1156</v>
      </c>
      <c r="D5065" s="565">
        <v>44805</v>
      </c>
      <c r="E5065" s="565">
        <v>44926</v>
      </c>
      <c r="F5065" s="566">
        <v>117000000</v>
      </c>
      <c r="G5065" s="564" t="s">
        <v>2081</v>
      </c>
      <c r="H5065" s="564" t="s">
        <v>337</v>
      </c>
      <c r="I5065" s="564" t="s">
        <v>70</v>
      </c>
      <c r="J5065" s="564" t="s">
        <v>1069</v>
      </c>
      <c r="K5065" s="564" t="s">
        <v>1120</v>
      </c>
      <c r="L5065" s="564" t="s">
        <v>1390</v>
      </c>
      <c r="M5065" s="564" t="s">
        <v>1390</v>
      </c>
      <c r="N5065" s="564" t="s">
        <v>70</v>
      </c>
      <c r="O5065" s="564" t="s">
        <v>38</v>
      </c>
      <c r="P5065" s="23"/>
      <c r="Q5065" s="23"/>
      <c r="R5065" s="23"/>
      <c r="S5065" s="23"/>
      <c r="T5065" s="23"/>
      <c r="U5065" s="23"/>
      <c r="V5065" s="23"/>
      <c r="W5065" s="23"/>
      <c r="X5065" s="23"/>
      <c r="Y5065" s="23"/>
      <c r="Z5065" s="23"/>
    </row>
    <row r="5066" spans="1:26" ht="13">
      <c r="A5066" s="562" t="s">
        <v>10835</v>
      </c>
      <c r="B5066" s="563" t="s">
        <v>10836</v>
      </c>
      <c r="C5066" s="564" t="s">
        <v>1156</v>
      </c>
      <c r="D5066" s="565">
        <v>44805</v>
      </c>
      <c r="E5066" s="565">
        <v>44926</v>
      </c>
      <c r="F5066" s="566">
        <v>80000000</v>
      </c>
      <c r="G5066" s="564" t="s">
        <v>10778</v>
      </c>
      <c r="H5066" s="564" t="s">
        <v>1157</v>
      </c>
      <c r="I5066" s="564" t="s">
        <v>70</v>
      </c>
      <c r="J5066" s="564" t="s">
        <v>1069</v>
      </c>
      <c r="K5066" s="564" t="s">
        <v>1120</v>
      </c>
      <c r="L5066" s="564" t="s">
        <v>1390</v>
      </c>
      <c r="M5066" s="564" t="s">
        <v>1390</v>
      </c>
      <c r="N5066" s="564" t="s">
        <v>70</v>
      </c>
      <c r="O5066" s="564" t="s">
        <v>38</v>
      </c>
      <c r="P5066" s="23"/>
      <c r="Q5066" s="23"/>
      <c r="R5066" s="23"/>
      <c r="S5066" s="23"/>
      <c r="T5066" s="23"/>
      <c r="U5066" s="23"/>
      <c r="V5066" s="23"/>
      <c r="W5066" s="23"/>
      <c r="X5066" s="23"/>
      <c r="Y5066" s="23"/>
      <c r="Z5066" s="23"/>
    </row>
    <row r="5067" spans="1:26" ht="13">
      <c r="A5067" s="562" t="s">
        <v>10837</v>
      </c>
      <c r="B5067" s="563" t="s">
        <v>10838</v>
      </c>
      <c r="C5067" s="564" t="s">
        <v>1204</v>
      </c>
      <c r="D5067" s="565">
        <v>44845</v>
      </c>
      <c r="E5067" s="565">
        <v>45044</v>
      </c>
      <c r="F5067" s="566">
        <v>605627091</v>
      </c>
      <c r="G5067" s="564" t="s">
        <v>754</v>
      </c>
      <c r="H5067" s="564" t="s">
        <v>1116</v>
      </c>
      <c r="I5067" s="564" t="s">
        <v>141</v>
      </c>
      <c r="J5067" s="564" t="s">
        <v>1069</v>
      </c>
      <c r="K5067" s="564" t="s">
        <v>1205</v>
      </c>
      <c r="L5067" s="564" t="s">
        <v>1390</v>
      </c>
      <c r="M5067" s="564" t="s">
        <v>1390</v>
      </c>
      <c r="N5067" s="564" t="s">
        <v>1073</v>
      </c>
      <c r="O5067" s="564" t="s">
        <v>38</v>
      </c>
      <c r="P5067" s="23"/>
      <c r="Q5067" s="23"/>
      <c r="R5067" s="23"/>
      <c r="S5067" s="23"/>
      <c r="T5067" s="23"/>
      <c r="U5067" s="23"/>
      <c r="V5067" s="23"/>
      <c r="W5067" s="23"/>
      <c r="X5067" s="23"/>
      <c r="Y5067" s="23"/>
      <c r="Z5067" s="23"/>
    </row>
    <row r="5068" spans="1:26" ht="13">
      <c r="A5068" s="562" t="s">
        <v>10839</v>
      </c>
      <c r="B5068" s="563" t="s">
        <v>10840</v>
      </c>
      <c r="C5068" s="564" t="s">
        <v>1114</v>
      </c>
      <c r="D5068" s="565">
        <v>44789</v>
      </c>
      <c r="E5068" s="565">
        <v>45157</v>
      </c>
      <c r="F5068" s="566">
        <v>32097000</v>
      </c>
      <c r="G5068" s="564" t="s">
        <v>1366</v>
      </c>
      <c r="H5068" s="564" t="s">
        <v>1366</v>
      </c>
      <c r="I5068" s="564" t="s">
        <v>10841</v>
      </c>
      <c r="J5068" s="564" t="s">
        <v>1069</v>
      </c>
      <c r="K5068" s="564" t="s">
        <v>1070</v>
      </c>
      <c r="L5068" s="564" t="s">
        <v>1390</v>
      </c>
      <c r="M5068" s="564" t="s">
        <v>1390</v>
      </c>
      <c r="N5068" s="564" t="s">
        <v>1082</v>
      </c>
      <c r="O5068" s="564" t="s">
        <v>38</v>
      </c>
      <c r="P5068" s="23"/>
      <c r="Q5068" s="23"/>
      <c r="R5068" s="23"/>
      <c r="S5068" s="23"/>
      <c r="T5068" s="23"/>
      <c r="U5068" s="23"/>
      <c r="V5068" s="23"/>
      <c r="W5068" s="23"/>
      <c r="X5068" s="23"/>
      <c r="Y5068" s="23"/>
      <c r="Z5068" s="23"/>
    </row>
    <row r="5069" spans="1:26" ht="13">
      <c r="A5069" s="562" t="s">
        <v>10842</v>
      </c>
      <c r="B5069" s="563" t="s">
        <v>10843</v>
      </c>
      <c r="C5069" s="564" t="s">
        <v>1088</v>
      </c>
      <c r="D5069" s="565">
        <v>44805</v>
      </c>
      <c r="E5069" s="565">
        <v>45169</v>
      </c>
      <c r="F5069" s="566">
        <v>77077160</v>
      </c>
      <c r="G5069" s="564" t="s">
        <v>1780</v>
      </c>
      <c r="H5069" s="564" t="s">
        <v>1182</v>
      </c>
      <c r="I5069" s="564" t="s">
        <v>1781</v>
      </c>
      <c r="J5069" s="564" t="s">
        <v>1069</v>
      </c>
      <c r="K5069" s="564" t="s">
        <v>1070</v>
      </c>
      <c r="L5069" s="564" t="s">
        <v>1071</v>
      </c>
      <c r="M5069" s="564" t="s">
        <v>1091</v>
      </c>
      <c r="N5069" s="564" t="s">
        <v>1073</v>
      </c>
      <c r="O5069" s="564" t="s">
        <v>241</v>
      </c>
      <c r="P5069" s="23"/>
      <c r="Q5069" s="23"/>
      <c r="R5069" s="23"/>
      <c r="S5069" s="23"/>
      <c r="T5069" s="23"/>
      <c r="U5069" s="23"/>
      <c r="V5069" s="23"/>
      <c r="W5069" s="23"/>
      <c r="X5069" s="23"/>
      <c r="Y5069" s="23"/>
      <c r="Z5069" s="23"/>
    </row>
    <row r="5070" spans="1:26" ht="13">
      <c r="A5070" s="562" t="s">
        <v>10844</v>
      </c>
      <c r="B5070" s="563" t="s">
        <v>10845</v>
      </c>
      <c r="C5070" s="564" t="s">
        <v>1114</v>
      </c>
      <c r="D5070" s="565">
        <v>44774</v>
      </c>
      <c r="E5070" s="565">
        <v>44834</v>
      </c>
      <c r="F5070" s="566">
        <v>113680000</v>
      </c>
      <c r="G5070" s="564" t="s">
        <v>1366</v>
      </c>
      <c r="H5070" s="564" t="s">
        <v>1366</v>
      </c>
      <c r="I5070" s="564" t="s">
        <v>10846</v>
      </c>
      <c r="J5070" s="564" t="s">
        <v>1069</v>
      </c>
      <c r="K5070" s="564" t="s">
        <v>1070</v>
      </c>
      <c r="L5070" s="564" t="s">
        <v>1390</v>
      </c>
      <c r="M5070" s="564" t="s">
        <v>1390</v>
      </c>
      <c r="N5070" s="564" t="s">
        <v>1082</v>
      </c>
      <c r="O5070" s="564" t="s">
        <v>38</v>
      </c>
      <c r="P5070" s="23"/>
      <c r="Q5070" s="23"/>
      <c r="R5070" s="23"/>
      <c r="S5070" s="23"/>
      <c r="T5070" s="23"/>
      <c r="U5070" s="23"/>
      <c r="V5070" s="23"/>
      <c r="W5070" s="23"/>
      <c r="X5070" s="23"/>
      <c r="Y5070" s="23"/>
      <c r="Z5070" s="23"/>
    </row>
    <row r="5071" spans="1:26" ht="13">
      <c r="A5071" s="562" t="s">
        <v>10847</v>
      </c>
      <c r="B5071" s="563" t="s">
        <v>10848</v>
      </c>
      <c r="C5071" s="564" t="s">
        <v>1088</v>
      </c>
      <c r="D5071" s="565">
        <v>44774</v>
      </c>
      <c r="E5071" s="565">
        <v>45138</v>
      </c>
      <c r="F5071" s="566">
        <v>90900700</v>
      </c>
      <c r="G5071" s="564" t="s">
        <v>1211</v>
      </c>
      <c r="H5071" s="564" t="s">
        <v>297</v>
      </c>
      <c r="I5071" s="564" t="s">
        <v>107</v>
      </c>
      <c r="J5071" s="564" t="s">
        <v>1069</v>
      </c>
      <c r="K5071" s="564" t="s">
        <v>1120</v>
      </c>
      <c r="L5071" s="564" t="s">
        <v>1071</v>
      </c>
      <c r="M5071" s="564" t="s">
        <v>1091</v>
      </c>
      <c r="N5071" s="564" t="s">
        <v>1073</v>
      </c>
      <c r="O5071" s="564" t="s">
        <v>241</v>
      </c>
      <c r="P5071" s="23"/>
      <c r="Q5071" s="23"/>
      <c r="R5071" s="23"/>
      <c r="S5071" s="23"/>
      <c r="T5071" s="23"/>
      <c r="U5071" s="23"/>
      <c r="V5071" s="23"/>
      <c r="W5071" s="23"/>
      <c r="X5071" s="23"/>
      <c r="Y5071" s="23"/>
      <c r="Z5071" s="23"/>
    </row>
    <row r="5072" spans="1:26" ht="13">
      <c r="A5072" s="562" t="s">
        <v>10849</v>
      </c>
      <c r="B5072" s="563" t="s">
        <v>10850</v>
      </c>
      <c r="C5072" s="564" t="s">
        <v>1076</v>
      </c>
      <c r="D5072" s="565">
        <v>44774</v>
      </c>
      <c r="E5072" s="565">
        <v>45138</v>
      </c>
      <c r="F5072" s="566">
        <v>123805800</v>
      </c>
      <c r="G5072" s="564" t="s">
        <v>1242</v>
      </c>
      <c r="H5072" s="564" t="s">
        <v>297</v>
      </c>
      <c r="I5072" s="564" t="s">
        <v>107</v>
      </c>
      <c r="J5072" s="564" t="s">
        <v>1069</v>
      </c>
      <c r="K5072" s="564" t="s">
        <v>1120</v>
      </c>
      <c r="L5072" s="564" t="s">
        <v>1071</v>
      </c>
      <c r="M5072" s="564" t="s">
        <v>1091</v>
      </c>
      <c r="N5072" s="564" t="s">
        <v>1073</v>
      </c>
      <c r="O5072" s="564" t="s">
        <v>241</v>
      </c>
      <c r="P5072" s="23"/>
      <c r="Q5072" s="23"/>
      <c r="R5072" s="23"/>
      <c r="S5072" s="23"/>
      <c r="T5072" s="23"/>
      <c r="U5072" s="23"/>
      <c r="V5072" s="23"/>
      <c r="W5072" s="23"/>
      <c r="X5072" s="23"/>
      <c r="Y5072" s="23"/>
      <c r="Z5072" s="23"/>
    </row>
    <row r="5073" spans="1:26" ht="13">
      <c r="A5073" s="562" t="s">
        <v>10851</v>
      </c>
      <c r="B5073" s="563" t="s">
        <v>10852</v>
      </c>
      <c r="C5073" s="564" t="s">
        <v>1652</v>
      </c>
      <c r="D5073" s="565">
        <v>44774</v>
      </c>
      <c r="E5073" s="565">
        <v>45138</v>
      </c>
      <c r="F5073" s="566">
        <v>295293500</v>
      </c>
      <c r="G5073" s="564" t="s">
        <v>297</v>
      </c>
      <c r="H5073" s="564" t="s">
        <v>297</v>
      </c>
      <c r="I5073" s="564" t="s">
        <v>107</v>
      </c>
      <c r="J5073" s="564" t="s">
        <v>1069</v>
      </c>
      <c r="K5073" s="564" t="s">
        <v>1120</v>
      </c>
      <c r="L5073" s="564" t="s">
        <v>1071</v>
      </c>
      <c r="M5073" s="564" t="s">
        <v>1091</v>
      </c>
      <c r="N5073" s="564" t="s">
        <v>1073</v>
      </c>
      <c r="O5073" s="564" t="s">
        <v>241</v>
      </c>
      <c r="P5073" s="23"/>
      <c r="Q5073" s="23"/>
      <c r="R5073" s="23"/>
      <c r="S5073" s="23"/>
      <c r="T5073" s="23"/>
      <c r="U5073" s="23"/>
      <c r="V5073" s="23"/>
      <c r="W5073" s="23"/>
      <c r="X5073" s="23"/>
      <c r="Y5073" s="23"/>
      <c r="Z5073" s="23"/>
    </row>
    <row r="5074" spans="1:26" ht="13">
      <c r="A5074" s="562" t="s">
        <v>10853</v>
      </c>
      <c r="B5074" s="563" t="s">
        <v>10854</v>
      </c>
      <c r="C5074" s="564" t="s">
        <v>1475</v>
      </c>
      <c r="D5074" s="565">
        <v>44774</v>
      </c>
      <c r="E5074" s="565">
        <v>45869</v>
      </c>
      <c r="F5074" s="566">
        <v>42768000</v>
      </c>
      <c r="G5074" s="564" t="s">
        <v>2459</v>
      </c>
      <c r="H5074" s="564" t="s">
        <v>1123</v>
      </c>
      <c r="I5074" s="564" t="s">
        <v>10688</v>
      </c>
      <c r="J5074" s="564" t="s">
        <v>1079</v>
      </c>
      <c r="K5074" s="564" t="s">
        <v>1802</v>
      </c>
      <c r="L5074" s="564" t="s">
        <v>1071</v>
      </c>
      <c r="M5074" s="564" t="s">
        <v>251</v>
      </c>
      <c r="N5074" s="564" t="s">
        <v>1082</v>
      </c>
      <c r="O5074" s="564" t="s">
        <v>241</v>
      </c>
      <c r="P5074" s="23"/>
      <c r="Q5074" s="23"/>
      <c r="R5074" s="23"/>
      <c r="S5074" s="23"/>
      <c r="T5074" s="23"/>
      <c r="U5074" s="23"/>
      <c r="V5074" s="23"/>
      <c r="W5074" s="23"/>
      <c r="X5074" s="23"/>
      <c r="Y5074" s="23"/>
      <c r="Z5074" s="23"/>
    </row>
    <row r="5075" spans="1:26" ht="13">
      <c r="A5075" s="562" t="s">
        <v>10855</v>
      </c>
      <c r="B5075" s="563" t="s">
        <v>10856</v>
      </c>
      <c r="C5075" s="564" t="s">
        <v>1156</v>
      </c>
      <c r="D5075" s="565">
        <v>44726</v>
      </c>
      <c r="E5075" s="565">
        <v>44834</v>
      </c>
      <c r="F5075" s="566">
        <v>170000000</v>
      </c>
      <c r="G5075" s="564" t="s">
        <v>10778</v>
      </c>
      <c r="H5075" s="564" t="s">
        <v>1157</v>
      </c>
      <c r="I5075" s="564" t="s">
        <v>70</v>
      </c>
      <c r="J5075" s="564" t="s">
        <v>1069</v>
      </c>
      <c r="K5075" s="564" t="s">
        <v>1120</v>
      </c>
      <c r="L5075" s="564" t="s">
        <v>1390</v>
      </c>
      <c r="M5075" s="564" t="s">
        <v>1390</v>
      </c>
      <c r="N5075" s="564" t="s">
        <v>70</v>
      </c>
      <c r="O5075" s="564" t="s">
        <v>38</v>
      </c>
      <c r="P5075" s="23"/>
      <c r="Q5075" s="23"/>
      <c r="R5075" s="23"/>
      <c r="S5075" s="23"/>
      <c r="T5075" s="23"/>
      <c r="U5075" s="23"/>
      <c r="V5075" s="23"/>
      <c r="W5075" s="23"/>
      <c r="X5075" s="23"/>
      <c r="Y5075" s="23"/>
      <c r="Z5075" s="23"/>
    </row>
    <row r="5076" spans="1:26" ht="13">
      <c r="A5076" s="562" t="s">
        <v>10857</v>
      </c>
      <c r="B5076" s="563" t="s">
        <v>10858</v>
      </c>
      <c r="C5076" s="564" t="s">
        <v>1475</v>
      </c>
      <c r="D5076" s="565">
        <v>44774</v>
      </c>
      <c r="E5076" s="565">
        <v>45869</v>
      </c>
      <c r="F5076" s="566">
        <v>22698000</v>
      </c>
      <c r="G5076" s="564" t="s">
        <v>1157</v>
      </c>
      <c r="H5076" s="564" t="s">
        <v>1157</v>
      </c>
      <c r="I5076" s="564" t="s">
        <v>1149</v>
      </c>
      <c r="J5076" s="564" t="s">
        <v>1079</v>
      </c>
      <c r="K5076" s="564" t="s">
        <v>1070</v>
      </c>
      <c r="L5076" s="564" t="s">
        <v>1071</v>
      </c>
      <c r="M5076" s="564" t="s">
        <v>1091</v>
      </c>
      <c r="N5076" s="564" t="s">
        <v>1073</v>
      </c>
      <c r="O5076" s="564" t="s">
        <v>241</v>
      </c>
      <c r="P5076" s="23"/>
      <c r="Q5076" s="23"/>
      <c r="R5076" s="23"/>
      <c r="S5076" s="23"/>
      <c r="T5076" s="23"/>
      <c r="U5076" s="23"/>
      <c r="V5076" s="23"/>
      <c r="W5076" s="23"/>
      <c r="X5076" s="23"/>
      <c r="Y5076" s="23"/>
      <c r="Z5076" s="23"/>
    </row>
    <row r="5077" spans="1:26" ht="13">
      <c r="A5077" s="562" t="s">
        <v>10859</v>
      </c>
      <c r="B5077" s="563" t="s">
        <v>10860</v>
      </c>
      <c r="C5077" s="564" t="s">
        <v>1156</v>
      </c>
      <c r="D5077" s="565">
        <v>44743</v>
      </c>
      <c r="E5077" s="565">
        <v>45046</v>
      </c>
      <c r="F5077" s="566">
        <v>957657000</v>
      </c>
      <c r="G5077" s="564" t="s">
        <v>10778</v>
      </c>
      <c r="H5077" s="564" t="s">
        <v>1187</v>
      </c>
      <c r="I5077" s="564" t="s">
        <v>70</v>
      </c>
      <c r="J5077" s="564" t="s">
        <v>1069</v>
      </c>
      <c r="K5077" s="564" t="s">
        <v>1120</v>
      </c>
      <c r="L5077" s="564" t="s">
        <v>1390</v>
      </c>
      <c r="M5077" s="564" t="s">
        <v>1390</v>
      </c>
      <c r="N5077" s="564" t="s">
        <v>70</v>
      </c>
      <c r="O5077" s="564" t="s">
        <v>38</v>
      </c>
      <c r="P5077" s="23"/>
      <c r="Q5077" s="23"/>
      <c r="R5077" s="23"/>
      <c r="S5077" s="23"/>
      <c r="T5077" s="23"/>
      <c r="U5077" s="23"/>
      <c r="V5077" s="23"/>
      <c r="W5077" s="23"/>
      <c r="X5077" s="23"/>
      <c r="Y5077" s="23"/>
      <c r="Z5077" s="23"/>
    </row>
    <row r="5078" spans="1:26" ht="13">
      <c r="A5078" s="562" t="s">
        <v>10861</v>
      </c>
      <c r="B5078" s="563" t="s">
        <v>10862</v>
      </c>
      <c r="C5078" s="564" t="s">
        <v>1652</v>
      </c>
      <c r="D5078" s="565">
        <v>44743</v>
      </c>
      <c r="E5078" s="565">
        <v>45046</v>
      </c>
      <c r="F5078" s="566">
        <v>957657000</v>
      </c>
      <c r="G5078" s="564" t="s">
        <v>10778</v>
      </c>
      <c r="H5078" s="564" t="s">
        <v>1187</v>
      </c>
      <c r="I5078" s="564" t="s">
        <v>70</v>
      </c>
      <c r="J5078" s="564" t="s">
        <v>1069</v>
      </c>
      <c r="K5078" s="564" t="s">
        <v>1120</v>
      </c>
      <c r="L5078" s="564" t="s">
        <v>1390</v>
      </c>
      <c r="M5078" s="564" t="s">
        <v>1390</v>
      </c>
      <c r="N5078" s="564" t="s">
        <v>70</v>
      </c>
      <c r="O5078" s="564" t="s">
        <v>38</v>
      </c>
      <c r="P5078" s="23"/>
      <c r="Q5078" s="23"/>
      <c r="R5078" s="23"/>
      <c r="S5078" s="23"/>
      <c r="T5078" s="23"/>
      <c r="U5078" s="23"/>
      <c r="V5078" s="23"/>
      <c r="W5078" s="23"/>
      <c r="X5078" s="23"/>
      <c r="Y5078" s="23"/>
      <c r="Z5078" s="23"/>
    </row>
    <row r="5079" spans="1:26" ht="13">
      <c r="A5079" s="562" t="s">
        <v>10863</v>
      </c>
      <c r="B5079" s="563" t="s">
        <v>10864</v>
      </c>
      <c r="C5079" s="564" t="s">
        <v>1475</v>
      </c>
      <c r="D5079" s="565">
        <v>44743</v>
      </c>
      <c r="E5079" s="565">
        <v>45107</v>
      </c>
      <c r="F5079" s="566">
        <v>94000000</v>
      </c>
      <c r="G5079" s="564" t="s">
        <v>2459</v>
      </c>
      <c r="H5079" s="564" t="s">
        <v>2876</v>
      </c>
      <c r="I5079" s="564" t="s">
        <v>10619</v>
      </c>
      <c r="J5079" s="564" t="s">
        <v>1069</v>
      </c>
      <c r="K5079" s="564" t="s">
        <v>2878</v>
      </c>
      <c r="L5079" s="564" t="s">
        <v>1071</v>
      </c>
      <c r="M5079" s="564" t="s">
        <v>1091</v>
      </c>
      <c r="N5079" s="564" t="s">
        <v>1082</v>
      </c>
      <c r="O5079" s="564" t="s">
        <v>241</v>
      </c>
      <c r="P5079" s="23"/>
      <c r="Q5079" s="23"/>
      <c r="R5079" s="23"/>
      <c r="S5079" s="23"/>
      <c r="T5079" s="23"/>
      <c r="U5079" s="23"/>
      <c r="V5079" s="23"/>
      <c r="W5079" s="23"/>
      <c r="X5079" s="23"/>
      <c r="Y5079" s="23"/>
      <c r="Z5079" s="23"/>
    </row>
    <row r="5080" spans="1:26" ht="13">
      <c r="A5080" s="562" t="s">
        <v>10865</v>
      </c>
      <c r="B5080" s="563" t="s">
        <v>10866</v>
      </c>
      <c r="C5080" s="564" t="s">
        <v>1156</v>
      </c>
      <c r="D5080" s="565">
        <v>44687</v>
      </c>
      <c r="E5080" s="565">
        <v>44926</v>
      </c>
      <c r="F5080" s="566">
        <v>234000000</v>
      </c>
      <c r="G5080" s="564" t="s">
        <v>2081</v>
      </c>
      <c r="H5080" s="564" t="s">
        <v>1157</v>
      </c>
      <c r="I5080" s="564" t="s">
        <v>70</v>
      </c>
      <c r="J5080" s="564" t="s">
        <v>1069</v>
      </c>
      <c r="K5080" s="564" t="s">
        <v>1120</v>
      </c>
      <c r="L5080" s="564" t="s">
        <v>1071</v>
      </c>
      <c r="M5080" s="564" t="s">
        <v>1091</v>
      </c>
      <c r="N5080" s="564" t="s">
        <v>70</v>
      </c>
      <c r="O5080" s="564" t="s">
        <v>241</v>
      </c>
      <c r="P5080" s="23"/>
      <c r="Q5080" s="23"/>
      <c r="R5080" s="23"/>
      <c r="S5080" s="23"/>
      <c r="T5080" s="23"/>
      <c r="U5080" s="23"/>
      <c r="V5080" s="23"/>
      <c r="W5080" s="23"/>
      <c r="X5080" s="23"/>
      <c r="Y5080" s="23"/>
      <c r="Z5080" s="23"/>
    </row>
    <row r="5081" spans="1:26" ht="13">
      <c r="A5081" s="562" t="s">
        <v>10867</v>
      </c>
      <c r="B5081" s="563" t="s">
        <v>10868</v>
      </c>
      <c r="C5081" s="564" t="s">
        <v>1475</v>
      </c>
      <c r="D5081" s="565">
        <v>44743</v>
      </c>
      <c r="E5081" s="565">
        <v>45107</v>
      </c>
      <c r="F5081" s="566">
        <v>65347200</v>
      </c>
      <c r="G5081" s="564" t="s">
        <v>1526</v>
      </c>
      <c r="H5081" s="564" t="s">
        <v>1123</v>
      </c>
      <c r="I5081" s="564" t="s">
        <v>1842</v>
      </c>
      <c r="J5081" s="564" t="s">
        <v>1069</v>
      </c>
      <c r="K5081" s="564" t="s">
        <v>1070</v>
      </c>
      <c r="L5081" s="564" t="s">
        <v>1071</v>
      </c>
      <c r="M5081" s="564" t="s">
        <v>1091</v>
      </c>
      <c r="N5081" s="564" t="s">
        <v>1082</v>
      </c>
      <c r="O5081" s="564" t="s">
        <v>241</v>
      </c>
      <c r="P5081" s="23"/>
      <c r="Q5081" s="23"/>
      <c r="R5081" s="23"/>
      <c r="S5081" s="23"/>
      <c r="T5081" s="23"/>
      <c r="U5081" s="23"/>
      <c r="V5081" s="23"/>
      <c r="W5081" s="23"/>
      <c r="X5081" s="23"/>
      <c r="Y5081" s="23"/>
      <c r="Z5081" s="23"/>
    </row>
    <row r="5082" spans="1:26" ht="13">
      <c r="A5082" s="562" t="s">
        <v>10869</v>
      </c>
      <c r="B5082" s="563" t="s">
        <v>10870</v>
      </c>
      <c r="C5082" s="564" t="s">
        <v>1088</v>
      </c>
      <c r="D5082" s="565">
        <v>44743</v>
      </c>
      <c r="E5082" s="565">
        <v>45107</v>
      </c>
      <c r="F5082" s="566">
        <v>98020800</v>
      </c>
      <c r="G5082" s="564" t="s">
        <v>1526</v>
      </c>
      <c r="H5082" s="564" t="s">
        <v>1123</v>
      </c>
      <c r="I5082" s="564" t="s">
        <v>1842</v>
      </c>
      <c r="J5082" s="564" t="s">
        <v>1069</v>
      </c>
      <c r="K5082" s="564" t="s">
        <v>1070</v>
      </c>
      <c r="L5082" s="564" t="s">
        <v>1071</v>
      </c>
      <c r="M5082" s="564" t="s">
        <v>1091</v>
      </c>
      <c r="N5082" s="564" t="s">
        <v>1082</v>
      </c>
      <c r="O5082" s="564" t="s">
        <v>241</v>
      </c>
      <c r="P5082" s="23"/>
      <c r="Q5082" s="23"/>
      <c r="R5082" s="23"/>
      <c r="S5082" s="23"/>
      <c r="T5082" s="23"/>
      <c r="U5082" s="23"/>
      <c r="V5082" s="23"/>
      <c r="W5082" s="23"/>
      <c r="X5082" s="23"/>
      <c r="Y5082" s="23"/>
      <c r="Z5082" s="23"/>
    </row>
    <row r="5083" spans="1:26" ht="13">
      <c r="A5083" s="562" t="s">
        <v>10871</v>
      </c>
      <c r="B5083" s="563" t="s">
        <v>10872</v>
      </c>
      <c r="C5083" s="564" t="s">
        <v>1156</v>
      </c>
      <c r="D5083" s="565">
        <v>44725</v>
      </c>
      <c r="E5083" s="565">
        <v>45089</v>
      </c>
      <c r="F5083" s="566">
        <v>90672000</v>
      </c>
      <c r="G5083" s="564" t="s">
        <v>10873</v>
      </c>
      <c r="H5083" s="564" t="s">
        <v>10873</v>
      </c>
      <c r="I5083" s="564" t="s">
        <v>70</v>
      </c>
      <c r="J5083" s="564" t="s">
        <v>1069</v>
      </c>
      <c r="K5083" s="564" t="s">
        <v>1120</v>
      </c>
      <c r="L5083" s="564" t="s">
        <v>1390</v>
      </c>
      <c r="M5083" s="564" t="s">
        <v>1390</v>
      </c>
      <c r="N5083" s="564" t="s">
        <v>70</v>
      </c>
      <c r="O5083" s="564" t="s">
        <v>38</v>
      </c>
      <c r="P5083" s="23"/>
      <c r="Q5083" s="23"/>
      <c r="R5083" s="23"/>
      <c r="S5083" s="23"/>
      <c r="T5083" s="23"/>
      <c r="U5083" s="23"/>
      <c r="V5083" s="23"/>
      <c r="W5083" s="23"/>
      <c r="X5083" s="23"/>
      <c r="Y5083" s="23"/>
      <c r="Z5083" s="23"/>
    </row>
    <row r="5084" spans="1:26" ht="13">
      <c r="A5084" s="562" t="s">
        <v>10874</v>
      </c>
      <c r="B5084" s="563" t="s">
        <v>10875</v>
      </c>
      <c r="C5084" s="564" t="s">
        <v>1652</v>
      </c>
      <c r="D5084" s="565">
        <v>44690</v>
      </c>
      <c r="E5084" s="565">
        <v>45115</v>
      </c>
      <c r="F5084" s="566">
        <v>162133000</v>
      </c>
      <c r="G5084" s="564" t="s">
        <v>10876</v>
      </c>
      <c r="H5084" s="564" t="s">
        <v>1187</v>
      </c>
      <c r="I5084" s="564" t="s">
        <v>70</v>
      </c>
      <c r="J5084" s="564" t="s">
        <v>1069</v>
      </c>
      <c r="K5084" s="564" t="s">
        <v>1120</v>
      </c>
      <c r="L5084" s="564" t="s">
        <v>1390</v>
      </c>
      <c r="M5084" s="564" t="s">
        <v>1390</v>
      </c>
      <c r="N5084" s="564" t="s">
        <v>70</v>
      </c>
      <c r="O5084" s="564" t="s">
        <v>38</v>
      </c>
      <c r="P5084" s="23"/>
      <c r="Q5084" s="23"/>
      <c r="R5084" s="23"/>
      <c r="S5084" s="23"/>
      <c r="T5084" s="23"/>
      <c r="U5084" s="23"/>
      <c r="V5084" s="23"/>
      <c r="W5084" s="23"/>
      <c r="X5084" s="23"/>
      <c r="Y5084" s="23"/>
      <c r="Z5084" s="23"/>
    </row>
    <row r="5085" spans="1:26" ht="13">
      <c r="A5085" s="562" t="s">
        <v>10877</v>
      </c>
      <c r="B5085" s="563" t="s">
        <v>10878</v>
      </c>
      <c r="C5085" s="564" t="s">
        <v>2322</v>
      </c>
      <c r="D5085" s="565">
        <v>44727</v>
      </c>
      <c r="E5085" s="565">
        <v>44734</v>
      </c>
      <c r="F5085" s="566">
        <v>17638918</v>
      </c>
      <c r="G5085" s="564" t="s">
        <v>10596</v>
      </c>
      <c r="H5085" s="564" t="s">
        <v>1640</v>
      </c>
      <c r="I5085" s="564" t="s">
        <v>10720</v>
      </c>
      <c r="J5085" s="564" t="s">
        <v>1069</v>
      </c>
      <c r="K5085" s="564" t="s">
        <v>1209</v>
      </c>
      <c r="L5085" s="564" t="s">
        <v>1390</v>
      </c>
      <c r="M5085" s="564" t="s">
        <v>1390</v>
      </c>
      <c r="N5085" s="564" t="s">
        <v>1082</v>
      </c>
      <c r="O5085" s="564" t="s">
        <v>38</v>
      </c>
      <c r="P5085" s="23"/>
      <c r="Q5085" s="23"/>
      <c r="R5085" s="23"/>
      <c r="S5085" s="23"/>
      <c r="T5085" s="23"/>
      <c r="U5085" s="23"/>
      <c r="V5085" s="23"/>
      <c r="W5085" s="23"/>
      <c r="X5085" s="23"/>
      <c r="Y5085" s="23"/>
      <c r="Z5085" s="23"/>
    </row>
    <row r="5086" spans="1:26" ht="13">
      <c r="A5086" s="562" t="s">
        <v>10879</v>
      </c>
      <c r="B5086" s="563" t="s">
        <v>10880</v>
      </c>
      <c r="C5086" s="564" t="s">
        <v>1370</v>
      </c>
      <c r="D5086" s="565">
        <v>44713</v>
      </c>
      <c r="E5086" s="565">
        <v>45443</v>
      </c>
      <c r="F5086" s="566">
        <v>109090909</v>
      </c>
      <c r="G5086" s="564" t="s">
        <v>1157</v>
      </c>
      <c r="H5086" s="564" t="s">
        <v>1182</v>
      </c>
      <c r="I5086" s="564" t="s">
        <v>802</v>
      </c>
      <c r="J5086" s="564" t="s">
        <v>1069</v>
      </c>
      <c r="K5086" s="564" t="s">
        <v>1198</v>
      </c>
      <c r="L5086" s="564" t="s">
        <v>1071</v>
      </c>
      <c r="M5086" s="564" t="s">
        <v>1091</v>
      </c>
      <c r="N5086" s="564" t="s">
        <v>132</v>
      </c>
      <c r="O5086" s="564" t="s">
        <v>241</v>
      </c>
      <c r="P5086" s="23"/>
      <c r="Q5086" s="23"/>
      <c r="R5086" s="23"/>
      <c r="S5086" s="23"/>
      <c r="T5086" s="23"/>
      <c r="U5086" s="23"/>
      <c r="V5086" s="23"/>
      <c r="W5086" s="23"/>
      <c r="X5086" s="23"/>
      <c r="Y5086" s="23"/>
      <c r="Z5086" s="23"/>
    </row>
    <row r="5087" spans="1:26" ht="13">
      <c r="A5087" s="562" t="s">
        <v>10881</v>
      </c>
      <c r="B5087" s="563" t="s">
        <v>10882</v>
      </c>
      <c r="C5087" s="564" t="s">
        <v>1475</v>
      </c>
      <c r="D5087" s="565">
        <v>44713</v>
      </c>
      <c r="E5087" s="565">
        <v>45808</v>
      </c>
      <c r="F5087" s="566">
        <v>279380000</v>
      </c>
      <c r="G5087" s="564" t="s">
        <v>10649</v>
      </c>
      <c r="H5087" s="564" t="s">
        <v>1123</v>
      </c>
      <c r="I5087" s="564" t="s">
        <v>1417</v>
      </c>
      <c r="J5087" s="564" t="s">
        <v>1079</v>
      </c>
      <c r="K5087" s="564" t="s">
        <v>1070</v>
      </c>
      <c r="L5087" s="564" t="s">
        <v>1071</v>
      </c>
      <c r="M5087" s="564" t="s">
        <v>1091</v>
      </c>
      <c r="N5087" s="564" t="s">
        <v>1082</v>
      </c>
      <c r="O5087" s="564" t="s">
        <v>241</v>
      </c>
      <c r="P5087" s="23"/>
      <c r="Q5087" s="23"/>
      <c r="R5087" s="23"/>
      <c r="S5087" s="23"/>
      <c r="T5087" s="23"/>
      <c r="U5087" s="23"/>
      <c r="V5087" s="23"/>
      <c r="W5087" s="23"/>
      <c r="X5087" s="23"/>
      <c r="Y5087" s="23"/>
      <c r="Z5087" s="23"/>
    </row>
    <row r="5088" spans="1:26" ht="13">
      <c r="A5088" s="562" t="s">
        <v>10883</v>
      </c>
      <c r="B5088" s="563" t="s">
        <v>10884</v>
      </c>
      <c r="C5088" s="564" t="s">
        <v>1455</v>
      </c>
      <c r="D5088" s="565">
        <v>44683</v>
      </c>
      <c r="E5088" s="565">
        <v>44834</v>
      </c>
      <c r="F5088" s="566">
        <v>185000000</v>
      </c>
      <c r="G5088" s="564" t="s">
        <v>1750</v>
      </c>
      <c r="H5088" s="564" t="s">
        <v>1157</v>
      </c>
      <c r="I5088" s="564" t="s">
        <v>170</v>
      </c>
      <c r="J5088" s="564" t="s">
        <v>1069</v>
      </c>
      <c r="K5088" s="564" t="s">
        <v>1105</v>
      </c>
      <c r="L5088" s="564" t="s">
        <v>1390</v>
      </c>
      <c r="M5088" s="564" t="s">
        <v>1390</v>
      </c>
      <c r="N5088" s="564" t="s">
        <v>170</v>
      </c>
      <c r="O5088" s="564" t="s">
        <v>38</v>
      </c>
      <c r="P5088" s="23"/>
      <c r="Q5088" s="23"/>
      <c r="R5088" s="23"/>
      <c r="S5088" s="23"/>
      <c r="T5088" s="23"/>
      <c r="U5088" s="23"/>
      <c r="V5088" s="23"/>
      <c r="W5088" s="23"/>
      <c r="X5088" s="23"/>
      <c r="Y5088" s="23"/>
      <c r="Z5088" s="23"/>
    </row>
    <row r="5089" spans="1:26" ht="13">
      <c r="A5089" s="562" t="s">
        <v>10885</v>
      </c>
      <c r="B5089" s="563" t="s">
        <v>10886</v>
      </c>
      <c r="C5089" s="564" t="s">
        <v>1370</v>
      </c>
      <c r="D5089" s="565">
        <v>44694</v>
      </c>
      <c r="E5089" s="565">
        <v>44785</v>
      </c>
      <c r="F5089" s="566">
        <v>27272727</v>
      </c>
      <c r="G5089" s="564" t="s">
        <v>1157</v>
      </c>
      <c r="H5089" s="564" t="s">
        <v>1157</v>
      </c>
      <c r="I5089" s="564" t="s">
        <v>802</v>
      </c>
      <c r="J5089" s="564" t="s">
        <v>1069</v>
      </c>
      <c r="K5089" s="564" t="s">
        <v>1198</v>
      </c>
      <c r="L5089" s="564" t="s">
        <v>1390</v>
      </c>
      <c r="M5089" s="564" t="s">
        <v>1390</v>
      </c>
      <c r="N5089" s="564" t="s">
        <v>132</v>
      </c>
      <c r="O5089" s="564" t="s">
        <v>38</v>
      </c>
      <c r="P5089" s="23"/>
      <c r="Q5089" s="23"/>
      <c r="R5089" s="23"/>
      <c r="S5089" s="23"/>
      <c r="T5089" s="23"/>
      <c r="U5089" s="23"/>
      <c r="V5089" s="23"/>
      <c r="W5089" s="23"/>
      <c r="X5089" s="23"/>
      <c r="Y5089" s="23"/>
      <c r="Z5089" s="23"/>
    </row>
    <row r="5090" spans="1:26" ht="13">
      <c r="A5090" s="562" t="s">
        <v>10887</v>
      </c>
      <c r="B5090" s="563" t="s">
        <v>10888</v>
      </c>
      <c r="C5090" s="564" t="s">
        <v>2122</v>
      </c>
      <c r="D5090" s="565">
        <v>44641</v>
      </c>
      <c r="E5090" s="565">
        <v>44946</v>
      </c>
      <c r="F5090" s="566">
        <v>598500000</v>
      </c>
      <c r="G5090" s="564" t="s">
        <v>1999</v>
      </c>
      <c r="H5090" s="564" t="s">
        <v>1157</v>
      </c>
      <c r="I5090" s="564" t="s">
        <v>170</v>
      </c>
      <c r="J5090" s="564" t="s">
        <v>1069</v>
      </c>
      <c r="K5090" s="564" t="s">
        <v>1105</v>
      </c>
      <c r="L5090" s="564" t="s">
        <v>1390</v>
      </c>
      <c r="M5090" s="564" t="s">
        <v>1390</v>
      </c>
      <c r="N5090" s="564" t="s">
        <v>170</v>
      </c>
      <c r="O5090" s="564" t="s">
        <v>38</v>
      </c>
      <c r="P5090" s="23"/>
      <c r="Q5090" s="23"/>
      <c r="R5090" s="23"/>
      <c r="S5090" s="23"/>
      <c r="T5090" s="23"/>
      <c r="U5090" s="23"/>
      <c r="V5090" s="23"/>
      <c r="W5090" s="23"/>
      <c r="X5090" s="23"/>
      <c r="Y5090" s="23"/>
      <c r="Z5090" s="23"/>
    </row>
    <row r="5091" spans="1:26" ht="13">
      <c r="A5091" s="562" t="s">
        <v>10889</v>
      </c>
      <c r="B5091" s="563" t="s">
        <v>10890</v>
      </c>
      <c r="C5091" s="564" t="s">
        <v>1475</v>
      </c>
      <c r="D5091" s="565">
        <v>44697</v>
      </c>
      <c r="E5091" s="565">
        <v>44701</v>
      </c>
      <c r="F5091" s="566">
        <v>10407810</v>
      </c>
      <c r="G5091" s="564" t="s">
        <v>1182</v>
      </c>
      <c r="H5091" s="564" t="s">
        <v>1182</v>
      </c>
      <c r="I5091" s="564" t="s">
        <v>146</v>
      </c>
      <c r="J5091" s="564" t="s">
        <v>1069</v>
      </c>
      <c r="K5091" s="564" t="s">
        <v>1070</v>
      </c>
      <c r="L5091" s="564" t="s">
        <v>1071</v>
      </c>
      <c r="M5091" s="564" t="s">
        <v>1124</v>
      </c>
      <c r="N5091" s="564" t="s">
        <v>1073</v>
      </c>
      <c r="O5091" s="564" t="s">
        <v>38</v>
      </c>
      <c r="P5091" s="23"/>
      <c r="Q5091" s="23"/>
      <c r="R5091" s="23"/>
      <c r="S5091" s="23"/>
      <c r="T5091" s="23"/>
      <c r="U5091" s="23"/>
      <c r="V5091" s="23"/>
      <c r="W5091" s="23"/>
      <c r="X5091" s="23"/>
      <c r="Y5091" s="23"/>
      <c r="Z5091" s="23"/>
    </row>
    <row r="5092" spans="1:26" ht="13">
      <c r="A5092" s="562" t="s">
        <v>10891</v>
      </c>
      <c r="B5092" s="563" t="s">
        <v>10892</v>
      </c>
      <c r="C5092" s="564" t="s">
        <v>2322</v>
      </c>
      <c r="D5092" s="565">
        <v>44682</v>
      </c>
      <c r="E5092" s="565">
        <v>44834</v>
      </c>
      <c r="F5092" s="566">
        <v>67000000</v>
      </c>
      <c r="G5092" s="564" t="s">
        <v>10893</v>
      </c>
      <c r="H5092" s="564" t="s">
        <v>2428</v>
      </c>
      <c r="I5092" s="564" t="s">
        <v>3041</v>
      </c>
      <c r="J5092" s="564" t="s">
        <v>1069</v>
      </c>
      <c r="K5092" s="564" t="s">
        <v>1209</v>
      </c>
      <c r="L5092" s="564" t="s">
        <v>1390</v>
      </c>
      <c r="M5092" s="564" t="s">
        <v>1390</v>
      </c>
      <c r="N5092" s="564" t="s">
        <v>1082</v>
      </c>
      <c r="O5092" s="564" t="s">
        <v>38</v>
      </c>
      <c r="P5092" s="23"/>
      <c r="Q5092" s="23"/>
      <c r="R5092" s="23"/>
      <c r="S5092" s="23"/>
      <c r="T5092" s="23"/>
      <c r="U5092" s="23"/>
      <c r="V5092" s="23"/>
      <c r="W5092" s="23"/>
      <c r="X5092" s="23"/>
      <c r="Y5092" s="23"/>
      <c r="Z5092" s="23"/>
    </row>
    <row r="5093" spans="1:26" ht="13">
      <c r="A5093" s="562" t="s">
        <v>10894</v>
      </c>
      <c r="B5093" s="563" t="s">
        <v>10895</v>
      </c>
      <c r="C5093" s="564" t="s">
        <v>1076</v>
      </c>
      <c r="D5093" s="565">
        <v>44682</v>
      </c>
      <c r="E5093" s="565">
        <v>44926</v>
      </c>
      <c r="F5093" s="566">
        <v>7600000</v>
      </c>
      <c r="G5093" s="564" t="s">
        <v>1025</v>
      </c>
      <c r="H5093" s="564" t="s">
        <v>1182</v>
      </c>
      <c r="I5093" s="564" t="s">
        <v>146</v>
      </c>
      <c r="J5093" s="564" t="s">
        <v>1069</v>
      </c>
      <c r="K5093" s="564" t="s">
        <v>1070</v>
      </c>
      <c r="L5093" s="564" t="s">
        <v>1071</v>
      </c>
      <c r="M5093" s="564" t="s">
        <v>1091</v>
      </c>
      <c r="N5093" s="564" t="s">
        <v>1073</v>
      </c>
      <c r="O5093" s="564" t="s">
        <v>241</v>
      </c>
      <c r="P5093" s="23"/>
      <c r="Q5093" s="23"/>
      <c r="R5093" s="23"/>
      <c r="S5093" s="23"/>
      <c r="T5093" s="23"/>
      <c r="U5093" s="23"/>
      <c r="V5093" s="23"/>
      <c r="W5093" s="23"/>
      <c r="X5093" s="23"/>
      <c r="Y5093" s="23"/>
      <c r="Z5093" s="23"/>
    </row>
    <row r="5094" spans="1:26" ht="13">
      <c r="A5094" s="562" t="s">
        <v>10896</v>
      </c>
      <c r="B5094" s="563" t="s">
        <v>10897</v>
      </c>
      <c r="C5094" s="564" t="s">
        <v>1455</v>
      </c>
      <c r="D5094" s="565">
        <v>44620</v>
      </c>
      <c r="E5094" s="565">
        <v>44666</v>
      </c>
      <c r="F5094" s="566">
        <v>30000000</v>
      </c>
      <c r="G5094" s="564" t="s">
        <v>1750</v>
      </c>
      <c r="H5094" s="564" t="s">
        <v>1157</v>
      </c>
      <c r="I5094" s="564" t="s">
        <v>170</v>
      </c>
      <c r="J5094" s="564" t="s">
        <v>1069</v>
      </c>
      <c r="K5094" s="564" t="s">
        <v>1105</v>
      </c>
      <c r="L5094" s="564" t="s">
        <v>1390</v>
      </c>
      <c r="M5094" s="564" t="s">
        <v>1390</v>
      </c>
      <c r="N5094" s="564" t="s">
        <v>170</v>
      </c>
      <c r="O5094" s="564" t="s">
        <v>38</v>
      </c>
      <c r="P5094" s="23"/>
      <c r="Q5094" s="23"/>
      <c r="R5094" s="23"/>
      <c r="S5094" s="23"/>
      <c r="T5094" s="23"/>
      <c r="U5094" s="23"/>
      <c r="V5094" s="23"/>
      <c r="W5094" s="23"/>
      <c r="X5094" s="23"/>
      <c r="Y5094" s="23"/>
      <c r="Z5094" s="23"/>
    </row>
    <row r="5095" spans="1:26" ht="13">
      <c r="A5095" s="562" t="s">
        <v>10898</v>
      </c>
      <c r="B5095" s="563" t="s">
        <v>10899</v>
      </c>
      <c r="C5095" s="564" t="s">
        <v>1114</v>
      </c>
      <c r="D5095" s="565">
        <v>44621</v>
      </c>
      <c r="E5095" s="565">
        <v>45351</v>
      </c>
      <c r="F5095" s="566">
        <v>9600000</v>
      </c>
      <c r="G5095" s="564" t="s">
        <v>1365</v>
      </c>
      <c r="H5095" s="564" t="s">
        <v>1366</v>
      </c>
      <c r="I5095" s="564" t="s">
        <v>2789</v>
      </c>
      <c r="J5095" s="564" t="s">
        <v>1069</v>
      </c>
      <c r="K5095" s="564" t="s">
        <v>1205</v>
      </c>
      <c r="L5095" s="564" t="s">
        <v>1117</v>
      </c>
      <c r="M5095" s="564" t="s">
        <v>1199</v>
      </c>
      <c r="N5095" s="564" t="s">
        <v>1082</v>
      </c>
      <c r="O5095" s="564" t="s">
        <v>241</v>
      </c>
      <c r="P5095" s="23"/>
      <c r="Q5095" s="23"/>
      <c r="R5095" s="23"/>
      <c r="S5095" s="23"/>
      <c r="T5095" s="23"/>
      <c r="U5095" s="23"/>
      <c r="V5095" s="23"/>
      <c r="W5095" s="23"/>
      <c r="X5095" s="23"/>
      <c r="Y5095" s="23"/>
      <c r="Z5095" s="23"/>
    </row>
    <row r="5096" spans="1:26" ht="13">
      <c r="A5096" s="562" t="s">
        <v>10900</v>
      </c>
      <c r="B5096" s="563" t="s">
        <v>10901</v>
      </c>
      <c r="C5096" s="564" t="s">
        <v>1114</v>
      </c>
      <c r="D5096" s="565">
        <v>44621</v>
      </c>
      <c r="E5096" s="565">
        <v>45351</v>
      </c>
      <c r="F5096" s="566">
        <v>7632000</v>
      </c>
      <c r="G5096" s="564" t="s">
        <v>1365</v>
      </c>
      <c r="H5096" s="564" t="s">
        <v>1366</v>
      </c>
      <c r="I5096" s="564" t="s">
        <v>10660</v>
      </c>
      <c r="J5096" s="564" t="s">
        <v>1069</v>
      </c>
      <c r="K5096" s="564" t="s">
        <v>1205</v>
      </c>
      <c r="L5096" s="564" t="s">
        <v>1117</v>
      </c>
      <c r="M5096" s="564" t="s">
        <v>1199</v>
      </c>
      <c r="N5096" s="564" t="s">
        <v>1368</v>
      </c>
      <c r="O5096" s="564" t="s">
        <v>241</v>
      </c>
      <c r="P5096" s="23"/>
      <c r="Q5096" s="23"/>
      <c r="R5096" s="23"/>
      <c r="S5096" s="23"/>
      <c r="T5096" s="23"/>
      <c r="U5096" s="23"/>
      <c r="V5096" s="23"/>
      <c r="W5096" s="23"/>
      <c r="X5096" s="23"/>
      <c r="Y5096" s="23"/>
      <c r="Z5096" s="23"/>
    </row>
    <row r="5097" spans="1:26" ht="13">
      <c r="A5097" s="562" t="s">
        <v>10902</v>
      </c>
      <c r="B5097" s="563" t="s">
        <v>10903</v>
      </c>
      <c r="C5097" s="564" t="s">
        <v>1475</v>
      </c>
      <c r="D5097" s="565">
        <v>44621</v>
      </c>
      <c r="E5097" s="565">
        <v>44985</v>
      </c>
      <c r="F5097" s="566">
        <v>44578400</v>
      </c>
      <c r="G5097" s="564" t="s">
        <v>10789</v>
      </c>
      <c r="H5097" s="564" t="s">
        <v>1123</v>
      </c>
      <c r="I5097" s="564" t="s">
        <v>1417</v>
      </c>
      <c r="J5097" s="564" t="s">
        <v>1069</v>
      </c>
      <c r="K5097" s="564" t="s">
        <v>1070</v>
      </c>
      <c r="L5097" s="564" t="s">
        <v>1071</v>
      </c>
      <c r="M5097" s="564" t="s">
        <v>1091</v>
      </c>
      <c r="N5097" s="564" t="s">
        <v>1082</v>
      </c>
      <c r="O5097" s="564" t="s">
        <v>241</v>
      </c>
      <c r="P5097" s="23"/>
      <c r="Q5097" s="23"/>
      <c r="R5097" s="23"/>
      <c r="S5097" s="23"/>
      <c r="T5097" s="23"/>
      <c r="U5097" s="23"/>
      <c r="V5097" s="23"/>
      <c r="W5097" s="23"/>
      <c r="X5097" s="23"/>
      <c r="Y5097" s="23"/>
      <c r="Z5097" s="23"/>
    </row>
    <row r="5098" spans="1:26" ht="13">
      <c r="A5098" s="562" t="s">
        <v>10904</v>
      </c>
      <c r="B5098" s="563" t="s">
        <v>10905</v>
      </c>
      <c r="C5098" s="564" t="s">
        <v>1114</v>
      </c>
      <c r="D5098" s="565">
        <v>44621</v>
      </c>
      <c r="E5098" s="565">
        <v>44985</v>
      </c>
      <c r="F5098" s="566">
        <v>4800000</v>
      </c>
      <c r="G5098" s="564" t="s">
        <v>1365</v>
      </c>
      <c r="H5098" s="564" t="s">
        <v>1366</v>
      </c>
      <c r="I5098" s="564" t="s">
        <v>10555</v>
      </c>
      <c r="J5098" s="564" t="s">
        <v>1069</v>
      </c>
      <c r="K5098" s="564" t="s">
        <v>1205</v>
      </c>
      <c r="L5098" s="564" t="s">
        <v>1117</v>
      </c>
      <c r="M5098" s="564" t="s">
        <v>1199</v>
      </c>
      <c r="N5098" s="564" t="s">
        <v>1368</v>
      </c>
      <c r="O5098" s="564" t="s">
        <v>241</v>
      </c>
      <c r="P5098" s="23"/>
      <c r="Q5098" s="23"/>
      <c r="R5098" s="23"/>
      <c r="S5098" s="23"/>
      <c r="T5098" s="23"/>
      <c r="U5098" s="23"/>
      <c r="V5098" s="23"/>
      <c r="W5098" s="23"/>
      <c r="X5098" s="23"/>
      <c r="Y5098" s="23"/>
      <c r="Z5098" s="23"/>
    </row>
    <row r="5099" spans="1:26" ht="13">
      <c r="A5099" s="562" t="s">
        <v>10906</v>
      </c>
      <c r="B5099" s="563" t="s">
        <v>10907</v>
      </c>
      <c r="C5099" s="564" t="s">
        <v>1114</v>
      </c>
      <c r="D5099" s="565">
        <v>44621</v>
      </c>
      <c r="E5099" s="565">
        <v>45351</v>
      </c>
      <c r="F5099" s="566">
        <v>10800000</v>
      </c>
      <c r="G5099" s="564" t="s">
        <v>1365</v>
      </c>
      <c r="H5099" s="564" t="s">
        <v>1366</v>
      </c>
      <c r="I5099" s="564" t="s">
        <v>10656</v>
      </c>
      <c r="J5099" s="564" t="s">
        <v>1069</v>
      </c>
      <c r="K5099" s="564" t="s">
        <v>1205</v>
      </c>
      <c r="L5099" s="564" t="s">
        <v>1117</v>
      </c>
      <c r="M5099" s="564" t="s">
        <v>1199</v>
      </c>
      <c r="N5099" s="564" t="s">
        <v>1082</v>
      </c>
      <c r="O5099" s="564" t="s">
        <v>241</v>
      </c>
      <c r="P5099" s="23"/>
      <c r="Q5099" s="23"/>
      <c r="R5099" s="23"/>
      <c r="S5099" s="23"/>
      <c r="T5099" s="23"/>
      <c r="U5099" s="23"/>
      <c r="V5099" s="23"/>
      <c r="W5099" s="23"/>
      <c r="X5099" s="23"/>
      <c r="Y5099" s="23"/>
      <c r="Z5099" s="23"/>
    </row>
    <row r="5100" spans="1:26" ht="13">
      <c r="A5100" s="562" t="s">
        <v>10908</v>
      </c>
      <c r="B5100" s="563" t="s">
        <v>10909</v>
      </c>
      <c r="C5100" s="564" t="s">
        <v>1370</v>
      </c>
      <c r="D5100" s="565">
        <v>44621</v>
      </c>
      <c r="E5100" s="565">
        <v>45077</v>
      </c>
      <c r="F5100" s="566">
        <v>265534727</v>
      </c>
      <c r="G5100" s="564" t="s">
        <v>1157</v>
      </c>
      <c r="H5100" s="564" t="s">
        <v>1182</v>
      </c>
      <c r="I5100" s="564" t="s">
        <v>802</v>
      </c>
      <c r="J5100" s="564" t="s">
        <v>1069</v>
      </c>
      <c r="K5100" s="564" t="s">
        <v>1198</v>
      </c>
      <c r="L5100" s="564" t="s">
        <v>1071</v>
      </c>
      <c r="M5100" s="564" t="s">
        <v>1091</v>
      </c>
      <c r="N5100" s="564" t="s">
        <v>132</v>
      </c>
      <c r="O5100" s="564" t="s">
        <v>241</v>
      </c>
      <c r="P5100" s="23"/>
      <c r="Q5100" s="23"/>
      <c r="R5100" s="23"/>
      <c r="S5100" s="23"/>
      <c r="T5100" s="23"/>
      <c r="U5100" s="23"/>
      <c r="V5100" s="23"/>
      <c r="W5100" s="23"/>
      <c r="X5100" s="23"/>
      <c r="Y5100" s="23"/>
      <c r="Z5100" s="23"/>
    </row>
    <row r="5101" spans="1:26" ht="13">
      <c r="A5101" s="562" t="s">
        <v>10910</v>
      </c>
      <c r="B5101" s="563" t="s">
        <v>10911</v>
      </c>
      <c r="C5101" s="564" t="s">
        <v>1370</v>
      </c>
      <c r="D5101" s="565">
        <v>44621</v>
      </c>
      <c r="E5101" s="565">
        <v>45077</v>
      </c>
      <c r="F5101" s="566">
        <v>559291636</v>
      </c>
      <c r="G5101" s="564" t="s">
        <v>1157</v>
      </c>
      <c r="H5101" s="564" t="s">
        <v>1182</v>
      </c>
      <c r="I5101" s="564" t="s">
        <v>802</v>
      </c>
      <c r="J5101" s="564" t="s">
        <v>1069</v>
      </c>
      <c r="K5101" s="564" t="s">
        <v>1198</v>
      </c>
      <c r="L5101" s="564" t="s">
        <v>1071</v>
      </c>
      <c r="M5101" s="564" t="s">
        <v>1091</v>
      </c>
      <c r="N5101" s="564" t="s">
        <v>132</v>
      </c>
      <c r="O5101" s="564" t="s">
        <v>241</v>
      </c>
      <c r="P5101" s="23"/>
      <c r="Q5101" s="23"/>
      <c r="R5101" s="23"/>
      <c r="S5101" s="23"/>
      <c r="T5101" s="23"/>
      <c r="U5101" s="23"/>
      <c r="V5101" s="23"/>
      <c r="W5101" s="23"/>
      <c r="X5101" s="23"/>
      <c r="Y5101" s="23"/>
      <c r="Z5101" s="23"/>
    </row>
    <row r="5102" spans="1:26" ht="13">
      <c r="A5102" s="562" t="s">
        <v>10912</v>
      </c>
      <c r="B5102" s="563" t="s">
        <v>10913</v>
      </c>
      <c r="C5102" s="564" t="s">
        <v>1114</v>
      </c>
      <c r="D5102" s="565">
        <v>44593</v>
      </c>
      <c r="E5102" s="565">
        <v>44620</v>
      </c>
      <c r="F5102" s="566">
        <v>36363636</v>
      </c>
      <c r="G5102" s="564" t="s">
        <v>1366</v>
      </c>
      <c r="H5102" s="564" t="s">
        <v>1366</v>
      </c>
      <c r="I5102" s="564" t="s">
        <v>1301</v>
      </c>
      <c r="J5102" s="564" t="s">
        <v>1069</v>
      </c>
      <c r="K5102" s="564" t="s">
        <v>1070</v>
      </c>
      <c r="L5102" s="564" t="s">
        <v>1117</v>
      </c>
      <c r="M5102" s="564" t="s">
        <v>1199</v>
      </c>
      <c r="N5102" s="564" t="s">
        <v>1082</v>
      </c>
      <c r="O5102" s="564" t="s">
        <v>38</v>
      </c>
      <c r="P5102" s="23"/>
      <c r="Q5102" s="23"/>
      <c r="R5102" s="23"/>
      <c r="S5102" s="23"/>
      <c r="T5102" s="23"/>
      <c r="U5102" s="23"/>
      <c r="V5102" s="23"/>
      <c r="W5102" s="23"/>
      <c r="X5102" s="23"/>
      <c r="Y5102" s="23"/>
      <c r="Z5102" s="23"/>
    </row>
    <row r="5103" spans="1:26" ht="13">
      <c r="A5103" s="562" t="s">
        <v>10914</v>
      </c>
      <c r="B5103" s="563" t="s">
        <v>10915</v>
      </c>
      <c r="C5103" s="564" t="s">
        <v>1076</v>
      </c>
      <c r="D5103" s="565">
        <v>44562</v>
      </c>
      <c r="E5103" s="565">
        <v>44895</v>
      </c>
      <c r="F5103" s="566">
        <v>7199500</v>
      </c>
      <c r="G5103" s="564" t="s">
        <v>10823</v>
      </c>
      <c r="H5103" s="564" t="s">
        <v>1128</v>
      </c>
      <c r="I5103" s="564" t="s">
        <v>10702</v>
      </c>
      <c r="J5103" s="564" t="s">
        <v>1069</v>
      </c>
      <c r="K5103" s="564" t="s">
        <v>1205</v>
      </c>
      <c r="L5103" s="564" t="s">
        <v>1071</v>
      </c>
      <c r="M5103" s="564" t="s">
        <v>1091</v>
      </c>
      <c r="N5103" s="564" t="s">
        <v>1082</v>
      </c>
      <c r="O5103" s="564" t="s">
        <v>241</v>
      </c>
      <c r="P5103" s="23"/>
      <c r="Q5103" s="23"/>
      <c r="R5103" s="23"/>
      <c r="S5103" s="23"/>
      <c r="T5103" s="23"/>
      <c r="U5103" s="23"/>
      <c r="V5103" s="23"/>
      <c r="W5103" s="23"/>
      <c r="X5103" s="23"/>
      <c r="Y5103" s="23"/>
      <c r="Z5103" s="23"/>
    </row>
    <row r="5104" spans="1:26" ht="13">
      <c r="A5104" s="562" t="s">
        <v>10916</v>
      </c>
      <c r="B5104" s="563" t="s">
        <v>10917</v>
      </c>
      <c r="C5104" s="564" t="s">
        <v>1388</v>
      </c>
      <c r="D5104" s="565">
        <v>44562</v>
      </c>
      <c r="E5104" s="565">
        <v>45657</v>
      </c>
      <c r="F5104" s="566">
        <v>267751000</v>
      </c>
      <c r="G5104" s="564" t="s">
        <v>1128</v>
      </c>
      <c r="H5104" s="564" t="s">
        <v>1128</v>
      </c>
      <c r="I5104" s="564" t="s">
        <v>45</v>
      </c>
      <c r="J5104" s="564" t="s">
        <v>1079</v>
      </c>
      <c r="K5104" s="564" t="s">
        <v>1090</v>
      </c>
      <c r="L5104" s="564" t="s">
        <v>1071</v>
      </c>
      <c r="M5104" s="564" t="s">
        <v>1091</v>
      </c>
      <c r="N5104" s="564" t="s">
        <v>45</v>
      </c>
      <c r="O5104" s="564" t="s">
        <v>241</v>
      </c>
      <c r="P5104" s="23"/>
      <c r="Q5104" s="23"/>
      <c r="R5104" s="23"/>
      <c r="S5104" s="23"/>
      <c r="T5104" s="23"/>
      <c r="U5104" s="23"/>
      <c r="V5104" s="23"/>
      <c r="W5104" s="23"/>
      <c r="X5104" s="23"/>
      <c r="Y5104" s="23"/>
      <c r="Z5104" s="23"/>
    </row>
    <row r="5105" spans="1:26" ht="13">
      <c r="A5105" s="562" t="s">
        <v>10918</v>
      </c>
      <c r="B5105" s="563" t="s">
        <v>10919</v>
      </c>
      <c r="C5105" s="564" t="s">
        <v>1631</v>
      </c>
      <c r="D5105" s="565">
        <v>44562</v>
      </c>
      <c r="E5105" s="565">
        <v>44926</v>
      </c>
      <c r="F5105" s="566">
        <v>192000000</v>
      </c>
      <c r="G5105" s="564" t="s">
        <v>328</v>
      </c>
      <c r="H5105" s="564" t="s">
        <v>1293</v>
      </c>
      <c r="I5105" s="564" t="s">
        <v>64</v>
      </c>
      <c r="J5105" s="564" t="s">
        <v>1069</v>
      </c>
      <c r="K5105" s="564" t="s">
        <v>1090</v>
      </c>
      <c r="L5105" s="564" t="s">
        <v>1390</v>
      </c>
      <c r="M5105" s="564" t="s">
        <v>1390</v>
      </c>
      <c r="N5105" s="564" t="s">
        <v>64</v>
      </c>
      <c r="O5105" s="564" t="s">
        <v>38</v>
      </c>
      <c r="P5105" s="23"/>
      <c r="Q5105" s="23"/>
      <c r="R5105" s="23"/>
      <c r="S5105" s="23"/>
      <c r="T5105" s="23"/>
      <c r="U5105" s="23"/>
      <c r="V5105" s="23"/>
      <c r="W5105" s="23"/>
      <c r="X5105" s="23"/>
      <c r="Y5105" s="23"/>
      <c r="Z5105" s="23"/>
    </row>
    <row r="5106" spans="1:26" ht="13">
      <c r="A5106" s="562" t="s">
        <v>10920</v>
      </c>
      <c r="B5106" s="563" t="s">
        <v>10921</v>
      </c>
      <c r="C5106" s="564" t="s">
        <v>1475</v>
      </c>
      <c r="D5106" s="565">
        <v>44562</v>
      </c>
      <c r="E5106" s="565">
        <v>44926</v>
      </c>
      <c r="F5106" s="566">
        <v>46800000</v>
      </c>
      <c r="G5106" s="564" t="s">
        <v>1157</v>
      </c>
      <c r="H5106" s="564" t="s">
        <v>297</v>
      </c>
      <c r="I5106" s="564" t="s">
        <v>1247</v>
      </c>
      <c r="J5106" s="564" t="s">
        <v>1069</v>
      </c>
      <c r="K5106" s="564" t="s">
        <v>1070</v>
      </c>
      <c r="L5106" s="564" t="s">
        <v>1071</v>
      </c>
      <c r="M5106" s="564" t="s">
        <v>1091</v>
      </c>
      <c r="N5106" s="564" t="s">
        <v>1073</v>
      </c>
      <c r="O5106" s="564" t="s">
        <v>241</v>
      </c>
      <c r="P5106" s="23"/>
      <c r="Q5106" s="23"/>
      <c r="R5106" s="23"/>
      <c r="S5106" s="23"/>
      <c r="T5106" s="23"/>
      <c r="U5106" s="23"/>
      <c r="V5106" s="23"/>
      <c r="W5106" s="23"/>
      <c r="X5106" s="23"/>
      <c r="Y5106" s="23"/>
      <c r="Z5106" s="23"/>
    </row>
    <row r="5107" spans="1:26" ht="13">
      <c r="A5107" s="562" t="s">
        <v>10922</v>
      </c>
      <c r="B5107" s="563" t="s">
        <v>10923</v>
      </c>
      <c r="C5107" s="564" t="s">
        <v>1475</v>
      </c>
      <c r="D5107" s="565">
        <v>44562</v>
      </c>
      <c r="E5107" s="565">
        <v>44926</v>
      </c>
      <c r="F5107" s="566">
        <v>81000000</v>
      </c>
      <c r="G5107" s="564" t="s">
        <v>2459</v>
      </c>
      <c r="H5107" s="564" t="s">
        <v>1123</v>
      </c>
      <c r="I5107" s="564" t="s">
        <v>10681</v>
      </c>
      <c r="J5107" s="564" t="s">
        <v>1069</v>
      </c>
      <c r="K5107" s="564" t="s">
        <v>1802</v>
      </c>
      <c r="L5107" s="564" t="s">
        <v>1071</v>
      </c>
      <c r="M5107" s="564" t="s">
        <v>1091</v>
      </c>
      <c r="N5107" s="564" t="s">
        <v>1082</v>
      </c>
      <c r="O5107" s="564" t="s">
        <v>241</v>
      </c>
      <c r="P5107" s="23"/>
      <c r="Q5107" s="23"/>
      <c r="R5107" s="23"/>
      <c r="S5107" s="23"/>
      <c r="T5107" s="23"/>
      <c r="U5107" s="23"/>
      <c r="V5107" s="23"/>
      <c r="W5107" s="23"/>
      <c r="X5107" s="23"/>
      <c r="Y5107" s="23"/>
      <c r="Z5107" s="23"/>
    </row>
    <row r="5108" spans="1:26" ht="13">
      <c r="A5108" s="562" t="s">
        <v>10924</v>
      </c>
      <c r="B5108" s="563" t="s">
        <v>10925</v>
      </c>
      <c r="C5108" s="564" t="s">
        <v>1088</v>
      </c>
      <c r="D5108" s="565">
        <v>44562</v>
      </c>
      <c r="E5108" s="565">
        <v>44926</v>
      </c>
      <c r="F5108" s="566">
        <v>22128000</v>
      </c>
      <c r="G5108" s="564" t="s">
        <v>1032</v>
      </c>
      <c r="H5108" s="564" t="s">
        <v>297</v>
      </c>
      <c r="I5108" s="564" t="s">
        <v>1781</v>
      </c>
      <c r="J5108" s="564" t="s">
        <v>1069</v>
      </c>
      <c r="K5108" s="564" t="s">
        <v>1070</v>
      </c>
      <c r="L5108" s="564" t="s">
        <v>1071</v>
      </c>
      <c r="M5108" s="564" t="s">
        <v>1091</v>
      </c>
      <c r="N5108" s="564" t="s">
        <v>1073</v>
      </c>
      <c r="O5108" s="564" t="s">
        <v>241</v>
      </c>
      <c r="P5108" s="23"/>
      <c r="Q5108" s="23"/>
      <c r="R5108" s="23"/>
      <c r="S5108" s="23"/>
      <c r="T5108" s="23"/>
      <c r="U5108" s="23"/>
      <c r="V5108" s="23"/>
      <c r="W5108" s="23"/>
      <c r="X5108" s="23"/>
      <c r="Y5108" s="23"/>
      <c r="Z5108" s="23"/>
    </row>
    <row r="5109" spans="1:26" ht="13">
      <c r="A5109" s="562" t="s">
        <v>10926</v>
      </c>
      <c r="B5109" s="563" t="s">
        <v>10927</v>
      </c>
      <c r="C5109" s="564" t="s">
        <v>1455</v>
      </c>
      <c r="D5109" s="565">
        <v>44562</v>
      </c>
      <c r="E5109" s="565">
        <v>44926</v>
      </c>
      <c r="F5109" s="566">
        <v>200400000</v>
      </c>
      <c r="G5109" s="564" t="s">
        <v>1729</v>
      </c>
      <c r="H5109" s="564" t="s">
        <v>1157</v>
      </c>
      <c r="I5109" s="564" t="s">
        <v>170</v>
      </c>
      <c r="J5109" s="564" t="s">
        <v>1069</v>
      </c>
      <c r="K5109" s="564" t="s">
        <v>1105</v>
      </c>
      <c r="L5109" s="564" t="s">
        <v>1390</v>
      </c>
      <c r="M5109" s="564" t="s">
        <v>1390</v>
      </c>
      <c r="N5109" s="564" t="s">
        <v>170</v>
      </c>
      <c r="O5109" s="564" t="s">
        <v>38</v>
      </c>
      <c r="P5109" s="23"/>
      <c r="Q5109" s="23"/>
      <c r="R5109" s="23"/>
      <c r="S5109" s="23"/>
      <c r="T5109" s="23"/>
      <c r="U5109" s="23"/>
      <c r="V5109" s="23"/>
      <c r="W5109" s="23"/>
      <c r="X5109" s="23"/>
      <c r="Y5109" s="23"/>
      <c r="Z5109" s="23"/>
    </row>
    <row r="5110" spans="1:26" ht="13">
      <c r="A5110" s="562" t="s">
        <v>10928</v>
      </c>
      <c r="B5110" s="563" t="s">
        <v>10929</v>
      </c>
      <c r="C5110" s="564" t="s">
        <v>1088</v>
      </c>
      <c r="D5110" s="565">
        <v>44562</v>
      </c>
      <c r="E5110" s="565">
        <v>44926</v>
      </c>
      <c r="F5110" s="566">
        <v>10380000</v>
      </c>
      <c r="G5110" s="564" t="s">
        <v>1211</v>
      </c>
      <c r="H5110" s="564" t="s">
        <v>1123</v>
      </c>
      <c r="I5110" s="564" t="s">
        <v>1842</v>
      </c>
      <c r="J5110" s="564" t="s">
        <v>1069</v>
      </c>
      <c r="K5110" s="564" t="s">
        <v>1070</v>
      </c>
      <c r="L5110" s="564" t="s">
        <v>1071</v>
      </c>
      <c r="M5110" s="564" t="s">
        <v>1091</v>
      </c>
      <c r="N5110" s="564" t="s">
        <v>1082</v>
      </c>
      <c r="O5110" s="564" t="s">
        <v>241</v>
      </c>
      <c r="P5110" s="23"/>
      <c r="Q5110" s="23"/>
      <c r="R5110" s="23"/>
      <c r="S5110" s="23"/>
      <c r="T5110" s="23"/>
      <c r="U5110" s="23"/>
      <c r="V5110" s="23"/>
      <c r="W5110" s="23"/>
      <c r="X5110" s="23"/>
      <c r="Y5110" s="23"/>
      <c r="Z5110" s="23"/>
    </row>
    <row r="5111" spans="1:26" ht="13">
      <c r="A5111" s="562" t="s">
        <v>10930</v>
      </c>
      <c r="B5111" s="563" t="s">
        <v>10931</v>
      </c>
      <c r="C5111" s="564" t="s">
        <v>1114</v>
      </c>
      <c r="D5111" s="565">
        <v>44550</v>
      </c>
      <c r="E5111" s="565">
        <v>44620</v>
      </c>
      <c r="F5111" s="566">
        <v>12000000</v>
      </c>
      <c r="G5111" s="564" t="s">
        <v>2492</v>
      </c>
      <c r="H5111" s="564" t="s">
        <v>297</v>
      </c>
      <c r="I5111" s="564" t="s">
        <v>1247</v>
      </c>
      <c r="J5111" s="564" t="s">
        <v>1069</v>
      </c>
      <c r="K5111" s="564" t="s">
        <v>1070</v>
      </c>
      <c r="L5111" s="564" t="s">
        <v>1390</v>
      </c>
      <c r="M5111" s="564" t="s">
        <v>1390</v>
      </c>
      <c r="N5111" s="564" t="s">
        <v>1073</v>
      </c>
      <c r="O5111" s="564" t="s">
        <v>38</v>
      </c>
      <c r="P5111" s="23"/>
      <c r="Q5111" s="23"/>
      <c r="R5111" s="23"/>
      <c r="S5111" s="23"/>
      <c r="T5111" s="23"/>
      <c r="U5111" s="23"/>
      <c r="V5111" s="23"/>
      <c r="W5111" s="23"/>
      <c r="X5111" s="23"/>
      <c r="Y5111" s="23"/>
      <c r="Z5111" s="23"/>
    </row>
    <row r="5112" spans="1:26" ht="13">
      <c r="A5112" s="562" t="s">
        <v>10932</v>
      </c>
      <c r="B5112" s="563" t="s">
        <v>10933</v>
      </c>
      <c r="C5112" s="564" t="s">
        <v>1388</v>
      </c>
      <c r="D5112" s="565">
        <v>44531</v>
      </c>
      <c r="E5112" s="565">
        <v>44557</v>
      </c>
      <c r="F5112" s="566">
        <v>1820000</v>
      </c>
      <c r="G5112" s="564" t="s">
        <v>1128</v>
      </c>
      <c r="H5112" s="564" t="s">
        <v>1128</v>
      </c>
      <c r="I5112" s="564" t="s">
        <v>45</v>
      </c>
      <c r="J5112" s="564" t="s">
        <v>1069</v>
      </c>
      <c r="K5112" s="564" t="s">
        <v>1090</v>
      </c>
      <c r="L5112" s="564" t="s">
        <v>1071</v>
      </c>
      <c r="M5112" s="564" t="s">
        <v>1124</v>
      </c>
      <c r="N5112" s="564" t="s">
        <v>45</v>
      </c>
      <c r="O5112" s="564" t="s">
        <v>38</v>
      </c>
      <c r="P5112" s="23"/>
      <c r="Q5112" s="23"/>
      <c r="R5112" s="23"/>
      <c r="S5112" s="23"/>
      <c r="T5112" s="23"/>
      <c r="U5112" s="23"/>
      <c r="V5112" s="23"/>
      <c r="W5112" s="23"/>
      <c r="X5112" s="23"/>
      <c r="Y5112" s="23"/>
      <c r="Z5112" s="23"/>
    </row>
    <row r="5113" spans="1:26" ht="13">
      <c r="A5113" s="562" t="s">
        <v>10934</v>
      </c>
      <c r="B5113" s="563" t="s">
        <v>10935</v>
      </c>
      <c r="C5113" s="564" t="s">
        <v>1076</v>
      </c>
      <c r="D5113" s="565">
        <v>44538</v>
      </c>
      <c r="E5113" s="565">
        <v>45267</v>
      </c>
      <c r="F5113" s="566">
        <v>5640000</v>
      </c>
      <c r="G5113" s="564" t="s">
        <v>10823</v>
      </c>
      <c r="H5113" s="564" t="s">
        <v>1366</v>
      </c>
      <c r="I5113" s="564" t="s">
        <v>1763</v>
      </c>
      <c r="J5113" s="564" t="s">
        <v>1069</v>
      </c>
      <c r="K5113" s="564" t="s">
        <v>1205</v>
      </c>
      <c r="L5113" s="564" t="s">
        <v>1071</v>
      </c>
      <c r="M5113" s="564" t="s">
        <v>1091</v>
      </c>
      <c r="N5113" s="564" t="s">
        <v>1368</v>
      </c>
      <c r="O5113" s="564" t="s">
        <v>241</v>
      </c>
      <c r="P5113" s="23"/>
      <c r="Q5113" s="23"/>
      <c r="R5113" s="23"/>
      <c r="S5113" s="23"/>
      <c r="T5113" s="23"/>
      <c r="U5113" s="23"/>
      <c r="V5113" s="23"/>
      <c r="W5113" s="23"/>
      <c r="X5113" s="23"/>
      <c r="Y5113" s="23"/>
      <c r="Z5113" s="23"/>
    </row>
    <row r="5114" spans="1:26" ht="13">
      <c r="A5114" s="562" t="s">
        <v>10936</v>
      </c>
      <c r="B5114" s="563" t="s">
        <v>10937</v>
      </c>
      <c r="C5114" s="564" t="s">
        <v>1076</v>
      </c>
      <c r="D5114" s="565">
        <v>44531</v>
      </c>
      <c r="E5114" s="565">
        <v>45322</v>
      </c>
      <c r="F5114" s="566">
        <v>856134414</v>
      </c>
      <c r="G5114" s="564" t="s">
        <v>10614</v>
      </c>
      <c r="H5114" s="564" t="s">
        <v>1366</v>
      </c>
      <c r="I5114" s="564" t="s">
        <v>143</v>
      </c>
      <c r="J5114" s="564" t="s">
        <v>1069</v>
      </c>
      <c r="K5114" s="564" t="s">
        <v>1205</v>
      </c>
      <c r="L5114" s="564" t="s">
        <v>1071</v>
      </c>
      <c r="M5114" s="564" t="s">
        <v>1091</v>
      </c>
      <c r="N5114" s="564" t="s">
        <v>1073</v>
      </c>
      <c r="O5114" s="564" t="s">
        <v>241</v>
      </c>
      <c r="P5114" s="23"/>
      <c r="Q5114" s="23"/>
      <c r="R5114" s="23"/>
      <c r="S5114" s="23"/>
      <c r="T5114" s="23"/>
      <c r="U5114" s="23"/>
      <c r="V5114" s="23"/>
      <c r="W5114" s="23"/>
      <c r="X5114" s="23"/>
      <c r="Y5114" s="23"/>
      <c r="Z5114" s="23"/>
    </row>
    <row r="5115" spans="1:26" ht="13">
      <c r="A5115" s="562" t="s">
        <v>10938</v>
      </c>
      <c r="B5115" s="563" t="s">
        <v>10939</v>
      </c>
      <c r="C5115" s="564" t="s">
        <v>1114</v>
      </c>
      <c r="D5115" s="565">
        <v>44501</v>
      </c>
      <c r="E5115" s="565">
        <v>45169</v>
      </c>
      <c r="F5115" s="566">
        <v>8360000</v>
      </c>
      <c r="G5115" s="564" t="s">
        <v>1365</v>
      </c>
      <c r="H5115" s="564" t="s">
        <v>1366</v>
      </c>
      <c r="I5115" s="564" t="s">
        <v>10940</v>
      </c>
      <c r="J5115" s="564" t="s">
        <v>1069</v>
      </c>
      <c r="K5115" s="564" t="s">
        <v>1205</v>
      </c>
      <c r="L5115" s="564" t="s">
        <v>1117</v>
      </c>
      <c r="M5115" s="564" t="s">
        <v>1199</v>
      </c>
      <c r="N5115" s="564" t="s">
        <v>1082</v>
      </c>
      <c r="O5115" s="564" t="s">
        <v>241</v>
      </c>
      <c r="P5115" s="23"/>
      <c r="Q5115" s="23"/>
      <c r="R5115" s="23"/>
      <c r="S5115" s="23"/>
      <c r="T5115" s="23"/>
      <c r="U5115" s="23"/>
      <c r="V5115" s="23"/>
      <c r="W5115" s="23"/>
      <c r="X5115" s="23"/>
      <c r="Y5115" s="23"/>
      <c r="Z5115" s="23"/>
    </row>
    <row r="5116" spans="1:26" ht="13">
      <c r="A5116" s="562" t="s">
        <v>10941</v>
      </c>
      <c r="B5116" s="563" t="s">
        <v>10942</v>
      </c>
      <c r="C5116" s="564" t="s">
        <v>1114</v>
      </c>
      <c r="D5116" s="565">
        <v>44531</v>
      </c>
      <c r="E5116" s="565">
        <v>44742</v>
      </c>
      <c r="F5116" s="566">
        <v>3010000</v>
      </c>
      <c r="G5116" s="564" t="s">
        <v>1365</v>
      </c>
      <c r="H5116" s="564" t="s">
        <v>1366</v>
      </c>
      <c r="I5116" s="564" t="s">
        <v>8994</v>
      </c>
      <c r="J5116" s="564" t="s">
        <v>1069</v>
      </c>
      <c r="K5116" s="564" t="s">
        <v>1205</v>
      </c>
      <c r="L5116" s="564" t="s">
        <v>1117</v>
      </c>
      <c r="M5116" s="564" t="s">
        <v>1199</v>
      </c>
      <c r="N5116" s="564" t="s">
        <v>1082</v>
      </c>
      <c r="O5116" s="564" t="s">
        <v>241</v>
      </c>
      <c r="P5116" s="23"/>
      <c r="Q5116" s="23"/>
      <c r="R5116" s="23"/>
      <c r="S5116" s="23"/>
      <c r="T5116" s="23"/>
      <c r="U5116" s="23"/>
      <c r="V5116" s="23"/>
      <c r="W5116" s="23"/>
      <c r="X5116" s="23"/>
      <c r="Y5116" s="23"/>
      <c r="Z5116" s="23"/>
    </row>
    <row r="5117" spans="1:26" ht="13">
      <c r="A5117" s="562" t="s">
        <v>10943</v>
      </c>
      <c r="B5117" s="563" t="s">
        <v>10944</v>
      </c>
      <c r="C5117" s="564" t="s">
        <v>1204</v>
      </c>
      <c r="D5117" s="565">
        <v>44526</v>
      </c>
      <c r="E5117" s="565">
        <v>44638</v>
      </c>
      <c r="F5117" s="566">
        <v>554314000</v>
      </c>
      <c r="G5117" s="564" t="s">
        <v>754</v>
      </c>
      <c r="H5117" s="564" t="s">
        <v>1116</v>
      </c>
      <c r="I5117" s="564" t="s">
        <v>70</v>
      </c>
      <c r="J5117" s="564" t="s">
        <v>1069</v>
      </c>
      <c r="K5117" s="564" t="s">
        <v>1120</v>
      </c>
      <c r="L5117" s="564" t="s">
        <v>1390</v>
      </c>
      <c r="M5117" s="564" t="s">
        <v>1390</v>
      </c>
      <c r="N5117" s="564" t="s">
        <v>70</v>
      </c>
      <c r="O5117" s="564" t="s">
        <v>38</v>
      </c>
      <c r="P5117" s="23"/>
      <c r="Q5117" s="23"/>
      <c r="R5117" s="23"/>
      <c r="S5117" s="23"/>
      <c r="T5117" s="23"/>
      <c r="U5117" s="23"/>
      <c r="V5117" s="23"/>
      <c r="W5117" s="23"/>
      <c r="X5117" s="23"/>
      <c r="Y5117" s="23"/>
      <c r="Z5117" s="23"/>
    </row>
    <row r="5118" spans="1:26" ht="13">
      <c r="A5118" s="562" t="s">
        <v>10945</v>
      </c>
      <c r="B5118" s="563" t="s">
        <v>10946</v>
      </c>
      <c r="C5118" s="564" t="s">
        <v>1114</v>
      </c>
      <c r="D5118" s="565">
        <v>44501</v>
      </c>
      <c r="E5118" s="565">
        <v>44865</v>
      </c>
      <c r="F5118" s="566">
        <v>3480000</v>
      </c>
      <c r="G5118" s="564" t="s">
        <v>1115</v>
      </c>
      <c r="H5118" s="564" t="s">
        <v>1366</v>
      </c>
      <c r="I5118" s="564" t="s">
        <v>10574</v>
      </c>
      <c r="J5118" s="564" t="s">
        <v>1069</v>
      </c>
      <c r="K5118" s="564" t="s">
        <v>1205</v>
      </c>
      <c r="L5118" s="564" t="s">
        <v>1117</v>
      </c>
      <c r="M5118" s="564" t="s">
        <v>1199</v>
      </c>
      <c r="N5118" s="564" t="s">
        <v>1368</v>
      </c>
      <c r="O5118" s="564" t="s">
        <v>241</v>
      </c>
      <c r="P5118" s="23"/>
      <c r="Q5118" s="23"/>
      <c r="R5118" s="23"/>
      <c r="S5118" s="23"/>
      <c r="T5118" s="23"/>
      <c r="U5118" s="23"/>
      <c r="V5118" s="23"/>
      <c r="W5118" s="23"/>
      <c r="X5118" s="23"/>
      <c r="Y5118" s="23"/>
      <c r="Z5118" s="23"/>
    </row>
    <row r="5119" spans="1:26" ht="13">
      <c r="A5119" s="562" t="s">
        <v>10947</v>
      </c>
      <c r="B5119" s="563" t="s">
        <v>10948</v>
      </c>
      <c r="C5119" s="564" t="s">
        <v>1370</v>
      </c>
      <c r="D5119" s="565">
        <v>44440</v>
      </c>
      <c r="E5119" s="565">
        <v>44530</v>
      </c>
      <c r="F5119" s="566">
        <v>28181819</v>
      </c>
      <c r="G5119" s="564" t="s">
        <v>1157</v>
      </c>
      <c r="H5119" s="564" t="s">
        <v>1182</v>
      </c>
      <c r="I5119" s="564" t="s">
        <v>802</v>
      </c>
      <c r="J5119" s="564" t="s">
        <v>1069</v>
      </c>
      <c r="K5119" s="564" t="s">
        <v>1198</v>
      </c>
      <c r="L5119" s="564" t="s">
        <v>1390</v>
      </c>
      <c r="M5119" s="564" t="s">
        <v>1390</v>
      </c>
      <c r="N5119" s="564" t="s">
        <v>132</v>
      </c>
      <c r="O5119" s="564" t="s">
        <v>38</v>
      </c>
      <c r="P5119" s="23"/>
      <c r="Q5119" s="23"/>
      <c r="R5119" s="23"/>
      <c r="S5119" s="23"/>
      <c r="T5119" s="23"/>
      <c r="U5119" s="23"/>
      <c r="V5119" s="23"/>
      <c r="W5119" s="23"/>
      <c r="X5119" s="23"/>
      <c r="Y5119" s="23"/>
      <c r="Z5119" s="23"/>
    </row>
    <row r="5120" spans="1:26" ht="13">
      <c r="A5120" s="562" t="s">
        <v>10949</v>
      </c>
      <c r="B5120" s="563" t="s">
        <v>10950</v>
      </c>
      <c r="C5120" s="564" t="s">
        <v>1370</v>
      </c>
      <c r="D5120" s="565">
        <v>44470</v>
      </c>
      <c r="E5120" s="565">
        <v>45291</v>
      </c>
      <c r="F5120" s="566">
        <v>200232000</v>
      </c>
      <c r="G5120" s="564" t="s">
        <v>1623</v>
      </c>
      <c r="H5120" s="564" t="s">
        <v>1996</v>
      </c>
      <c r="I5120" s="564" t="s">
        <v>802</v>
      </c>
      <c r="J5120" s="564" t="s">
        <v>1069</v>
      </c>
      <c r="K5120" s="564" t="s">
        <v>1198</v>
      </c>
      <c r="L5120" s="564" t="s">
        <v>1390</v>
      </c>
      <c r="M5120" s="564" t="s">
        <v>1390</v>
      </c>
      <c r="N5120" s="564" t="s">
        <v>132</v>
      </c>
      <c r="O5120" s="564" t="s">
        <v>38</v>
      </c>
      <c r="P5120" s="23"/>
      <c r="Q5120" s="23"/>
      <c r="R5120" s="23"/>
      <c r="S5120" s="23"/>
      <c r="T5120" s="23"/>
      <c r="U5120" s="23"/>
      <c r="V5120" s="23"/>
      <c r="W5120" s="23"/>
      <c r="X5120" s="23"/>
      <c r="Y5120" s="23"/>
      <c r="Z5120" s="23"/>
    </row>
    <row r="5121" spans="1:26" ht="13">
      <c r="A5121" s="562" t="s">
        <v>10951</v>
      </c>
      <c r="B5121" s="563" t="s">
        <v>10952</v>
      </c>
      <c r="C5121" s="564" t="s">
        <v>1114</v>
      </c>
      <c r="D5121" s="565">
        <v>44440</v>
      </c>
      <c r="E5121" s="565">
        <v>44561</v>
      </c>
      <c r="F5121" s="566">
        <v>29664000</v>
      </c>
      <c r="G5121" s="564" t="s">
        <v>1266</v>
      </c>
      <c r="H5121" s="564" t="s">
        <v>1266</v>
      </c>
      <c r="I5121" s="564" t="s">
        <v>125</v>
      </c>
      <c r="J5121" s="564" t="s">
        <v>1069</v>
      </c>
      <c r="K5121" s="564" t="s">
        <v>1070</v>
      </c>
      <c r="L5121" s="564" t="s">
        <v>1390</v>
      </c>
      <c r="M5121" s="564" t="s">
        <v>1390</v>
      </c>
      <c r="N5121" s="564" t="s">
        <v>1073</v>
      </c>
      <c r="O5121" s="564" t="s">
        <v>38</v>
      </c>
      <c r="P5121" s="23"/>
      <c r="Q5121" s="23"/>
      <c r="R5121" s="23"/>
      <c r="S5121" s="23"/>
      <c r="T5121" s="23"/>
      <c r="U5121" s="23"/>
      <c r="V5121" s="23"/>
      <c r="W5121" s="23"/>
      <c r="X5121" s="23"/>
      <c r="Y5121" s="23"/>
      <c r="Z5121" s="23"/>
    </row>
    <row r="5122" spans="1:26" ht="13">
      <c r="A5122" s="562" t="s">
        <v>10953</v>
      </c>
      <c r="B5122" s="563" t="s">
        <v>10954</v>
      </c>
      <c r="C5122" s="564" t="s">
        <v>1088</v>
      </c>
      <c r="D5122" s="565">
        <v>44440</v>
      </c>
      <c r="E5122" s="565">
        <v>44804</v>
      </c>
      <c r="F5122" s="566">
        <v>70713000</v>
      </c>
      <c r="G5122" s="564" t="s">
        <v>1780</v>
      </c>
      <c r="H5122" s="564" t="s">
        <v>297</v>
      </c>
      <c r="I5122" s="564" t="s">
        <v>1781</v>
      </c>
      <c r="J5122" s="564" t="s">
        <v>1069</v>
      </c>
      <c r="K5122" s="564" t="s">
        <v>1070</v>
      </c>
      <c r="L5122" s="564" t="s">
        <v>1071</v>
      </c>
      <c r="M5122" s="564" t="s">
        <v>1091</v>
      </c>
      <c r="N5122" s="564" t="s">
        <v>1073</v>
      </c>
      <c r="O5122" s="564" t="s">
        <v>241</v>
      </c>
      <c r="P5122" s="23"/>
      <c r="Q5122" s="23"/>
      <c r="R5122" s="23"/>
      <c r="S5122" s="23"/>
      <c r="T5122" s="23"/>
      <c r="U5122" s="23"/>
      <c r="V5122" s="23"/>
      <c r="W5122" s="23"/>
      <c r="X5122" s="23"/>
      <c r="Y5122" s="23"/>
      <c r="Z5122" s="23"/>
    </row>
    <row r="5123" spans="1:26" ht="13">
      <c r="A5123" s="562" t="s">
        <v>10955</v>
      </c>
      <c r="B5123" s="563" t="s">
        <v>10956</v>
      </c>
      <c r="C5123" s="564" t="s">
        <v>1076</v>
      </c>
      <c r="D5123" s="565">
        <v>44409</v>
      </c>
      <c r="E5123" s="565">
        <v>45504</v>
      </c>
      <c r="F5123" s="566">
        <v>754200000</v>
      </c>
      <c r="G5123" s="564" t="s">
        <v>10602</v>
      </c>
      <c r="H5123" s="564" t="s">
        <v>1366</v>
      </c>
      <c r="I5123" s="564" t="s">
        <v>141</v>
      </c>
      <c r="J5123" s="564" t="s">
        <v>1079</v>
      </c>
      <c r="K5123" s="564" t="s">
        <v>1205</v>
      </c>
      <c r="L5123" s="564" t="s">
        <v>1071</v>
      </c>
      <c r="M5123" s="564" t="s">
        <v>1091</v>
      </c>
      <c r="N5123" s="564" t="s">
        <v>1073</v>
      </c>
      <c r="O5123" s="564" t="s">
        <v>241</v>
      </c>
      <c r="P5123" s="23"/>
      <c r="Q5123" s="23"/>
      <c r="R5123" s="23"/>
      <c r="S5123" s="23"/>
      <c r="T5123" s="23"/>
      <c r="U5123" s="23"/>
      <c r="V5123" s="23"/>
      <c r="W5123" s="23"/>
      <c r="X5123" s="23"/>
      <c r="Y5123" s="23"/>
      <c r="Z5123" s="23"/>
    </row>
    <row r="5124" spans="1:26" ht="13">
      <c r="A5124" s="562" t="s">
        <v>10957</v>
      </c>
      <c r="B5124" s="563" t="s">
        <v>10958</v>
      </c>
      <c r="C5124" s="564" t="s">
        <v>1088</v>
      </c>
      <c r="D5124" s="565">
        <v>44409</v>
      </c>
      <c r="E5124" s="565">
        <v>44773</v>
      </c>
      <c r="F5124" s="566">
        <v>90900700</v>
      </c>
      <c r="G5124" s="564" t="s">
        <v>1211</v>
      </c>
      <c r="H5124" s="564" t="s">
        <v>297</v>
      </c>
      <c r="I5124" s="564" t="s">
        <v>107</v>
      </c>
      <c r="J5124" s="564" t="s">
        <v>1069</v>
      </c>
      <c r="K5124" s="564" t="s">
        <v>1120</v>
      </c>
      <c r="L5124" s="564" t="s">
        <v>1071</v>
      </c>
      <c r="M5124" s="564" t="s">
        <v>1091</v>
      </c>
      <c r="N5124" s="564" t="s">
        <v>1073</v>
      </c>
      <c r="O5124" s="564" t="s">
        <v>241</v>
      </c>
      <c r="P5124" s="23"/>
      <c r="Q5124" s="23"/>
      <c r="R5124" s="23"/>
      <c r="S5124" s="23"/>
      <c r="T5124" s="23"/>
      <c r="U5124" s="23"/>
      <c r="V5124" s="23"/>
      <c r="W5124" s="23"/>
      <c r="X5124" s="23"/>
      <c r="Y5124" s="23"/>
      <c r="Z5124" s="23"/>
    </row>
    <row r="5125" spans="1:26" ht="13">
      <c r="A5125" s="562" t="s">
        <v>10959</v>
      </c>
      <c r="B5125" s="563" t="s">
        <v>10960</v>
      </c>
      <c r="C5125" s="564" t="s">
        <v>1076</v>
      </c>
      <c r="D5125" s="565">
        <v>44409</v>
      </c>
      <c r="E5125" s="565">
        <v>44773</v>
      </c>
      <c r="F5125" s="566">
        <v>123805800</v>
      </c>
      <c r="G5125" s="564" t="s">
        <v>1242</v>
      </c>
      <c r="H5125" s="564" t="s">
        <v>297</v>
      </c>
      <c r="I5125" s="564" t="s">
        <v>107</v>
      </c>
      <c r="J5125" s="564" t="s">
        <v>1069</v>
      </c>
      <c r="K5125" s="564" t="s">
        <v>1120</v>
      </c>
      <c r="L5125" s="564" t="s">
        <v>1071</v>
      </c>
      <c r="M5125" s="564" t="s">
        <v>1091</v>
      </c>
      <c r="N5125" s="564" t="s">
        <v>1073</v>
      </c>
      <c r="O5125" s="564" t="s">
        <v>241</v>
      </c>
      <c r="P5125" s="23"/>
      <c r="Q5125" s="23"/>
      <c r="R5125" s="23"/>
      <c r="S5125" s="23"/>
      <c r="T5125" s="23"/>
      <c r="U5125" s="23"/>
      <c r="V5125" s="23"/>
      <c r="W5125" s="23"/>
      <c r="X5125" s="23"/>
      <c r="Y5125" s="23"/>
      <c r="Z5125" s="23"/>
    </row>
    <row r="5126" spans="1:26" ht="13">
      <c r="A5126" s="562" t="s">
        <v>10961</v>
      </c>
      <c r="B5126" s="563" t="s">
        <v>10962</v>
      </c>
      <c r="C5126" s="564" t="s">
        <v>1652</v>
      </c>
      <c r="D5126" s="565">
        <v>44409</v>
      </c>
      <c r="E5126" s="565">
        <v>44773</v>
      </c>
      <c r="F5126" s="566">
        <v>315293500</v>
      </c>
      <c r="G5126" s="564" t="s">
        <v>297</v>
      </c>
      <c r="H5126" s="564" t="s">
        <v>297</v>
      </c>
      <c r="I5126" s="564" t="s">
        <v>107</v>
      </c>
      <c r="J5126" s="564" t="s">
        <v>1069</v>
      </c>
      <c r="K5126" s="564" t="s">
        <v>1120</v>
      </c>
      <c r="L5126" s="564" t="s">
        <v>1071</v>
      </c>
      <c r="M5126" s="564" t="s">
        <v>1091</v>
      </c>
      <c r="N5126" s="564" t="s">
        <v>1073</v>
      </c>
      <c r="O5126" s="564" t="s">
        <v>241</v>
      </c>
      <c r="P5126" s="23"/>
      <c r="Q5126" s="23"/>
      <c r="R5126" s="23"/>
      <c r="S5126" s="23"/>
      <c r="T5126" s="23"/>
      <c r="U5126" s="23"/>
      <c r="V5126" s="23"/>
      <c r="W5126" s="23"/>
      <c r="X5126" s="23"/>
      <c r="Y5126" s="23"/>
      <c r="Z5126" s="23"/>
    </row>
    <row r="5127" spans="1:26" ht="13">
      <c r="A5127" s="562" t="s">
        <v>10963</v>
      </c>
      <c r="B5127" s="563" t="s">
        <v>10964</v>
      </c>
      <c r="C5127" s="564" t="s">
        <v>1186</v>
      </c>
      <c r="D5127" s="565">
        <v>44399</v>
      </c>
      <c r="E5127" s="565">
        <v>44490</v>
      </c>
      <c r="F5127" s="566">
        <v>81600000</v>
      </c>
      <c r="G5127" s="564" t="s">
        <v>311</v>
      </c>
      <c r="H5127" s="564" t="s">
        <v>1128</v>
      </c>
      <c r="I5127" s="564" t="s">
        <v>45</v>
      </c>
      <c r="J5127" s="564" t="s">
        <v>1069</v>
      </c>
      <c r="K5127" s="564" t="s">
        <v>1090</v>
      </c>
      <c r="L5127" s="564" t="s">
        <v>1390</v>
      </c>
      <c r="M5127" s="564" t="s">
        <v>1390</v>
      </c>
      <c r="N5127" s="564" t="s">
        <v>45</v>
      </c>
      <c r="O5127" s="564" t="s">
        <v>38</v>
      </c>
      <c r="P5127" s="23"/>
      <c r="Q5127" s="23"/>
      <c r="R5127" s="23"/>
      <c r="S5127" s="23"/>
      <c r="T5127" s="23"/>
      <c r="U5127" s="23"/>
      <c r="V5127" s="23"/>
      <c r="W5127" s="23"/>
      <c r="X5127" s="23"/>
      <c r="Y5127" s="23"/>
      <c r="Z5127" s="23"/>
    </row>
    <row r="5128" spans="1:26" ht="13">
      <c r="A5128" s="562" t="s">
        <v>10965</v>
      </c>
      <c r="B5128" s="563" t="s">
        <v>10966</v>
      </c>
      <c r="C5128" s="564" t="s">
        <v>1475</v>
      </c>
      <c r="D5128" s="565">
        <v>44378</v>
      </c>
      <c r="E5128" s="565">
        <v>44742</v>
      </c>
      <c r="F5128" s="566">
        <v>80000000</v>
      </c>
      <c r="G5128" s="564" t="s">
        <v>2459</v>
      </c>
      <c r="H5128" s="564" t="s">
        <v>2876</v>
      </c>
      <c r="I5128" s="564" t="s">
        <v>10619</v>
      </c>
      <c r="J5128" s="564" t="s">
        <v>1069</v>
      </c>
      <c r="K5128" s="564" t="s">
        <v>2878</v>
      </c>
      <c r="L5128" s="564" t="s">
        <v>1071</v>
      </c>
      <c r="M5128" s="564" t="s">
        <v>1091</v>
      </c>
      <c r="N5128" s="564" t="s">
        <v>1082</v>
      </c>
      <c r="O5128" s="564" t="s">
        <v>241</v>
      </c>
      <c r="P5128" s="23"/>
      <c r="Q5128" s="23"/>
      <c r="R5128" s="23"/>
      <c r="S5128" s="23"/>
      <c r="T5128" s="23"/>
      <c r="U5128" s="23"/>
      <c r="V5128" s="23"/>
      <c r="W5128" s="23"/>
      <c r="X5128" s="23"/>
      <c r="Y5128" s="23"/>
      <c r="Z5128" s="23"/>
    </row>
    <row r="5129" spans="1:26" ht="13">
      <c r="A5129" s="562" t="s">
        <v>10967</v>
      </c>
      <c r="B5129" s="563" t="s">
        <v>10968</v>
      </c>
      <c r="C5129" s="564" t="s">
        <v>1114</v>
      </c>
      <c r="D5129" s="565">
        <v>44348</v>
      </c>
      <c r="E5129" s="565">
        <v>44712</v>
      </c>
      <c r="F5129" s="566">
        <v>11520000</v>
      </c>
      <c r="G5129" s="564" t="s">
        <v>1115</v>
      </c>
      <c r="H5129" s="564" t="s">
        <v>1366</v>
      </c>
      <c r="I5129" s="564" t="s">
        <v>10969</v>
      </c>
      <c r="J5129" s="564" t="s">
        <v>1069</v>
      </c>
      <c r="K5129" s="564" t="s">
        <v>1205</v>
      </c>
      <c r="L5129" s="564" t="s">
        <v>1071</v>
      </c>
      <c r="M5129" s="564" t="s">
        <v>1091</v>
      </c>
      <c r="N5129" s="564" t="s">
        <v>1082</v>
      </c>
      <c r="O5129" s="564" t="s">
        <v>38</v>
      </c>
      <c r="P5129" s="23"/>
      <c r="Q5129" s="23"/>
      <c r="R5129" s="23"/>
      <c r="S5129" s="23"/>
      <c r="T5129" s="23"/>
      <c r="U5129" s="23"/>
      <c r="V5129" s="23"/>
      <c r="W5129" s="23"/>
      <c r="X5129" s="23"/>
      <c r="Y5129" s="23"/>
      <c r="Z5129" s="23"/>
    </row>
    <row r="5130" spans="1:26" ht="13">
      <c r="A5130" s="562" t="s">
        <v>10970</v>
      </c>
      <c r="B5130" s="563" t="s">
        <v>10971</v>
      </c>
      <c r="C5130" s="564" t="s">
        <v>1475</v>
      </c>
      <c r="D5130" s="565">
        <v>44358</v>
      </c>
      <c r="E5130" s="565">
        <v>44389</v>
      </c>
      <c r="F5130" s="566">
        <v>30500000</v>
      </c>
      <c r="G5130" s="564" t="s">
        <v>297</v>
      </c>
      <c r="H5130" s="564" t="s">
        <v>297</v>
      </c>
      <c r="I5130" s="564" t="s">
        <v>1247</v>
      </c>
      <c r="J5130" s="564" t="s">
        <v>1069</v>
      </c>
      <c r="K5130" s="564" t="s">
        <v>1070</v>
      </c>
      <c r="L5130" s="564" t="s">
        <v>1071</v>
      </c>
      <c r="M5130" s="564" t="s">
        <v>1124</v>
      </c>
      <c r="N5130" s="564" t="s">
        <v>1073</v>
      </c>
      <c r="O5130" s="564" t="s">
        <v>38</v>
      </c>
      <c r="P5130" s="23"/>
      <c r="Q5130" s="23"/>
      <c r="R5130" s="23"/>
      <c r="S5130" s="23"/>
      <c r="T5130" s="23"/>
      <c r="U5130" s="23"/>
      <c r="V5130" s="23"/>
      <c r="W5130" s="23"/>
      <c r="X5130" s="23"/>
      <c r="Y5130" s="23"/>
      <c r="Z5130" s="23"/>
    </row>
    <row r="5131" spans="1:26" ht="13">
      <c r="A5131" s="562" t="s">
        <v>10972</v>
      </c>
      <c r="B5131" s="563" t="s">
        <v>10973</v>
      </c>
      <c r="C5131" s="564" t="s">
        <v>1475</v>
      </c>
      <c r="D5131" s="565">
        <v>44378</v>
      </c>
      <c r="E5131" s="565">
        <v>44742</v>
      </c>
      <c r="F5131" s="566">
        <v>65347200</v>
      </c>
      <c r="G5131" s="564" t="s">
        <v>1526</v>
      </c>
      <c r="H5131" s="564" t="s">
        <v>1123</v>
      </c>
      <c r="I5131" s="564" t="s">
        <v>1842</v>
      </c>
      <c r="J5131" s="564" t="s">
        <v>1069</v>
      </c>
      <c r="K5131" s="564" t="s">
        <v>1070</v>
      </c>
      <c r="L5131" s="564" t="s">
        <v>1071</v>
      </c>
      <c r="M5131" s="564" t="s">
        <v>1091</v>
      </c>
      <c r="N5131" s="564" t="s">
        <v>1082</v>
      </c>
      <c r="O5131" s="564" t="s">
        <v>241</v>
      </c>
      <c r="P5131" s="23"/>
      <c r="Q5131" s="23"/>
      <c r="R5131" s="23"/>
      <c r="S5131" s="23"/>
      <c r="T5131" s="23"/>
      <c r="U5131" s="23"/>
      <c r="V5131" s="23"/>
      <c r="W5131" s="23"/>
      <c r="X5131" s="23"/>
      <c r="Y5131" s="23"/>
      <c r="Z5131" s="23"/>
    </row>
    <row r="5132" spans="1:26" ht="13">
      <c r="A5132" s="562" t="s">
        <v>10974</v>
      </c>
      <c r="B5132" s="563" t="s">
        <v>10975</v>
      </c>
      <c r="C5132" s="564" t="s">
        <v>1088</v>
      </c>
      <c r="D5132" s="565">
        <v>44378</v>
      </c>
      <c r="E5132" s="565">
        <v>44742</v>
      </c>
      <c r="F5132" s="566">
        <v>98020800</v>
      </c>
      <c r="G5132" s="564" t="s">
        <v>1526</v>
      </c>
      <c r="H5132" s="564" t="s">
        <v>1123</v>
      </c>
      <c r="I5132" s="564" t="s">
        <v>1842</v>
      </c>
      <c r="J5132" s="564" t="s">
        <v>1069</v>
      </c>
      <c r="K5132" s="564" t="s">
        <v>1070</v>
      </c>
      <c r="L5132" s="564" t="s">
        <v>1071</v>
      </c>
      <c r="M5132" s="564" t="s">
        <v>1091</v>
      </c>
      <c r="N5132" s="564" t="s">
        <v>1082</v>
      </c>
      <c r="O5132" s="564" t="s">
        <v>241</v>
      </c>
      <c r="P5132" s="23"/>
      <c r="Q5132" s="23"/>
      <c r="R5132" s="23"/>
      <c r="S5132" s="23"/>
      <c r="T5132" s="23"/>
      <c r="U5132" s="23"/>
      <c r="V5132" s="23"/>
      <c r="W5132" s="23"/>
      <c r="X5132" s="23"/>
      <c r="Y5132" s="23"/>
      <c r="Z5132" s="23"/>
    </row>
    <row r="5133" spans="1:26" ht="13">
      <c r="A5133" s="562" t="s">
        <v>10976</v>
      </c>
      <c r="B5133" s="563" t="s">
        <v>10977</v>
      </c>
      <c r="C5133" s="564" t="s">
        <v>1455</v>
      </c>
      <c r="D5133" s="565">
        <v>44328</v>
      </c>
      <c r="E5133" s="565">
        <v>44561</v>
      </c>
      <c r="F5133" s="566">
        <v>128050000</v>
      </c>
      <c r="G5133" s="564" t="s">
        <v>1729</v>
      </c>
      <c r="H5133" s="564" t="s">
        <v>1157</v>
      </c>
      <c r="I5133" s="564" t="s">
        <v>170</v>
      </c>
      <c r="J5133" s="564" t="s">
        <v>1069</v>
      </c>
      <c r="K5133" s="564" t="s">
        <v>1105</v>
      </c>
      <c r="L5133" s="564" t="s">
        <v>1390</v>
      </c>
      <c r="M5133" s="564" t="s">
        <v>1390</v>
      </c>
      <c r="N5133" s="564" t="s">
        <v>170</v>
      </c>
      <c r="O5133" s="564" t="s">
        <v>38</v>
      </c>
      <c r="P5133" s="23"/>
      <c r="Q5133" s="23"/>
      <c r="R5133" s="23"/>
      <c r="S5133" s="23"/>
      <c r="T5133" s="23"/>
      <c r="U5133" s="23"/>
      <c r="V5133" s="23"/>
      <c r="W5133" s="23"/>
      <c r="X5133" s="23"/>
      <c r="Y5133" s="23"/>
      <c r="Z5133" s="23"/>
    </row>
    <row r="5134" spans="1:26" ht="13">
      <c r="A5134" s="562" t="s">
        <v>10978</v>
      </c>
      <c r="B5134" s="563" t="s">
        <v>10979</v>
      </c>
      <c r="C5134" s="564" t="s">
        <v>1370</v>
      </c>
      <c r="D5134" s="565">
        <v>44348</v>
      </c>
      <c r="E5134" s="565">
        <v>44712</v>
      </c>
      <c r="F5134" s="566">
        <v>50727273</v>
      </c>
      <c r="G5134" s="564" t="s">
        <v>1157</v>
      </c>
      <c r="H5134" s="564" t="s">
        <v>1182</v>
      </c>
      <c r="I5134" s="564" t="s">
        <v>802</v>
      </c>
      <c r="J5134" s="564" t="s">
        <v>1069</v>
      </c>
      <c r="K5134" s="564" t="s">
        <v>1198</v>
      </c>
      <c r="L5134" s="564" t="s">
        <v>1071</v>
      </c>
      <c r="M5134" s="564" t="s">
        <v>1091</v>
      </c>
      <c r="N5134" s="564" t="s">
        <v>132</v>
      </c>
      <c r="O5134" s="564" t="s">
        <v>241</v>
      </c>
      <c r="P5134" s="23"/>
      <c r="Q5134" s="23"/>
      <c r="R5134" s="23"/>
      <c r="S5134" s="23"/>
      <c r="T5134" s="23"/>
      <c r="U5134" s="23"/>
      <c r="V5134" s="23"/>
      <c r="W5134" s="23"/>
      <c r="X5134" s="23"/>
      <c r="Y5134" s="23"/>
      <c r="Z5134" s="23"/>
    </row>
    <row r="5135" spans="1:26" ht="13">
      <c r="A5135" s="562" t="s">
        <v>10980</v>
      </c>
      <c r="B5135" s="563" t="s">
        <v>10981</v>
      </c>
      <c r="C5135" s="564" t="s">
        <v>1076</v>
      </c>
      <c r="D5135" s="565">
        <v>44317</v>
      </c>
      <c r="E5135" s="565">
        <v>44681</v>
      </c>
      <c r="F5135" s="566">
        <v>21684000</v>
      </c>
      <c r="G5135" s="564" t="s">
        <v>1025</v>
      </c>
      <c r="H5135" s="564" t="s">
        <v>297</v>
      </c>
      <c r="I5135" s="564" t="s">
        <v>146</v>
      </c>
      <c r="J5135" s="564" t="s">
        <v>1069</v>
      </c>
      <c r="K5135" s="564" t="s">
        <v>1070</v>
      </c>
      <c r="L5135" s="564" t="s">
        <v>1071</v>
      </c>
      <c r="M5135" s="564" t="s">
        <v>1091</v>
      </c>
      <c r="N5135" s="564" t="s">
        <v>1073</v>
      </c>
      <c r="O5135" s="564" t="s">
        <v>241</v>
      </c>
      <c r="P5135" s="23"/>
      <c r="Q5135" s="23"/>
      <c r="R5135" s="23"/>
      <c r="S5135" s="23"/>
      <c r="T5135" s="23"/>
      <c r="U5135" s="23"/>
      <c r="V5135" s="23"/>
      <c r="W5135" s="23"/>
      <c r="X5135" s="23"/>
      <c r="Y5135" s="23"/>
      <c r="Z5135" s="23"/>
    </row>
    <row r="5136" spans="1:26" ht="13">
      <c r="A5136" s="562" t="s">
        <v>10982</v>
      </c>
      <c r="B5136" s="563" t="s">
        <v>10983</v>
      </c>
      <c r="C5136" s="564" t="s">
        <v>1455</v>
      </c>
      <c r="D5136" s="565">
        <v>44277</v>
      </c>
      <c r="E5136" s="565">
        <v>44398</v>
      </c>
      <c r="F5136" s="566">
        <v>78000000</v>
      </c>
      <c r="G5136" s="564" t="s">
        <v>1729</v>
      </c>
      <c r="H5136" s="564" t="s">
        <v>1157</v>
      </c>
      <c r="I5136" s="564" t="s">
        <v>170</v>
      </c>
      <c r="J5136" s="564" t="s">
        <v>1069</v>
      </c>
      <c r="K5136" s="564" t="s">
        <v>1105</v>
      </c>
      <c r="L5136" s="564" t="s">
        <v>1390</v>
      </c>
      <c r="M5136" s="564" t="s">
        <v>1390</v>
      </c>
      <c r="N5136" s="564" t="s">
        <v>170</v>
      </c>
      <c r="O5136" s="564" t="s">
        <v>38</v>
      </c>
      <c r="P5136" s="23"/>
      <c r="Q5136" s="23"/>
      <c r="R5136" s="23"/>
      <c r="S5136" s="23"/>
      <c r="T5136" s="23"/>
      <c r="U5136" s="23"/>
      <c r="V5136" s="23"/>
      <c r="W5136" s="23"/>
      <c r="X5136" s="23"/>
      <c r="Y5136" s="23"/>
      <c r="Z5136" s="23"/>
    </row>
    <row r="5137" spans="1:26" ht="13">
      <c r="A5137" s="562" t="s">
        <v>10984</v>
      </c>
      <c r="B5137" s="563" t="s">
        <v>10985</v>
      </c>
      <c r="C5137" s="564" t="s">
        <v>1088</v>
      </c>
      <c r="D5137" s="565">
        <v>44287</v>
      </c>
      <c r="E5137" s="565">
        <v>45382</v>
      </c>
      <c r="F5137" s="566">
        <v>439090909</v>
      </c>
      <c r="G5137" s="564" t="s">
        <v>1122</v>
      </c>
      <c r="H5137" s="564" t="s">
        <v>1366</v>
      </c>
      <c r="I5137" s="564" t="s">
        <v>140</v>
      </c>
      <c r="J5137" s="564" t="s">
        <v>1069</v>
      </c>
      <c r="K5137" s="564" t="s">
        <v>1205</v>
      </c>
      <c r="L5137" s="564" t="s">
        <v>1071</v>
      </c>
      <c r="M5137" s="564" t="s">
        <v>1091</v>
      </c>
      <c r="N5137" s="564" t="s">
        <v>1073</v>
      </c>
      <c r="O5137" s="564" t="s">
        <v>241</v>
      </c>
      <c r="P5137" s="23"/>
      <c r="Q5137" s="23"/>
      <c r="R5137" s="23"/>
      <c r="S5137" s="23"/>
      <c r="T5137" s="23"/>
      <c r="U5137" s="23"/>
      <c r="V5137" s="23"/>
      <c r="W5137" s="23"/>
      <c r="X5137" s="23"/>
      <c r="Y5137" s="23"/>
      <c r="Z5137" s="23"/>
    </row>
    <row r="5138" spans="1:26" ht="13">
      <c r="A5138" s="562" t="s">
        <v>10986</v>
      </c>
      <c r="B5138" s="563" t="s">
        <v>10987</v>
      </c>
      <c r="C5138" s="564" t="s">
        <v>1114</v>
      </c>
      <c r="D5138" s="565">
        <v>44531</v>
      </c>
      <c r="E5138" s="565">
        <v>44985</v>
      </c>
      <c r="F5138" s="566">
        <v>3750000</v>
      </c>
      <c r="G5138" s="564" t="s">
        <v>1365</v>
      </c>
      <c r="H5138" s="564" t="s">
        <v>1366</v>
      </c>
      <c r="I5138" s="564" t="s">
        <v>10793</v>
      </c>
      <c r="J5138" s="564" t="s">
        <v>1069</v>
      </c>
      <c r="K5138" s="564" t="s">
        <v>1205</v>
      </c>
      <c r="L5138" s="564" t="s">
        <v>1117</v>
      </c>
      <c r="M5138" s="564" t="s">
        <v>1199</v>
      </c>
      <c r="N5138" s="564" t="s">
        <v>1082</v>
      </c>
      <c r="O5138" s="564" t="s">
        <v>241</v>
      </c>
      <c r="P5138" s="23"/>
      <c r="Q5138" s="23"/>
      <c r="R5138" s="23"/>
      <c r="S5138" s="23"/>
      <c r="T5138" s="23"/>
      <c r="U5138" s="23"/>
      <c r="V5138" s="23"/>
      <c r="W5138" s="23"/>
      <c r="X5138" s="23"/>
      <c r="Y5138" s="23"/>
      <c r="Z5138" s="23"/>
    </row>
    <row r="5139" spans="1:26" ht="13">
      <c r="A5139" s="562" t="s">
        <v>10988</v>
      </c>
      <c r="B5139" s="563" t="s">
        <v>10989</v>
      </c>
      <c r="C5139" s="564" t="s">
        <v>1370</v>
      </c>
      <c r="D5139" s="565">
        <v>44256</v>
      </c>
      <c r="E5139" s="565">
        <v>44620</v>
      </c>
      <c r="F5139" s="566">
        <v>401723091</v>
      </c>
      <c r="G5139" s="564" t="s">
        <v>337</v>
      </c>
      <c r="H5139" s="564" t="s">
        <v>1182</v>
      </c>
      <c r="I5139" s="564" t="s">
        <v>802</v>
      </c>
      <c r="J5139" s="564" t="s">
        <v>1069</v>
      </c>
      <c r="K5139" s="564" t="s">
        <v>1198</v>
      </c>
      <c r="L5139" s="564" t="s">
        <v>1071</v>
      </c>
      <c r="M5139" s="564" t="s">
        <v>1091</v>
      </c>
      <c r="N5139" s="564" t="s">
        <v>132</v>
      </c>
      <c r="O5139" s="564" t="s">
        <v>241</v>
      </c>
      <c r="P5139" s="23"/>
      <c r="Q5139" s="23"/>
      <c r="R5139" s="23"/>
      <c r="S5139" s="23"/>
      <c r="T5139" s="23"/>
      <c r="U5139" s="23"/>
      <c r="V5139" s="23"/>
      <c r="W5139" s="23"/>
      <c r="X5139" s="23"/>
      <c r="Y5139" s="23"/>
      <c r="Z5139" s="23"/>
    </row>
    <row r="5140" spans="1:26" ht="13">
      <c r="A5140" s="562" t="s">
        <v>10990</v>
      </c>
      <c r="B5140" s="563" t="s">
        <v>10991</v>
      </c>
      <c r="C5140" s="564" t="s">
        <v>1370</v>
      </c>
      <c r="D5140" s="565">
        <v>44256</v>
      </c>
      <c r="E5140" s="565">
        <v>44620</v>
      </c>
      <c r="F5140" s="566">
        <v>203559818</v>
      </c>
      <c r="G5140" s="564" t="s">
        <v>337</v>
      </c>
      <c r="H5140" s="564" t="s">
        <v>1182</v>
      </c>
      <c r="I5140" s="564" t="s">
        <v>802</v>
      </c>
      <c r="J5140" s="564" t="s">
        <v>1069</v>
      </c>
      <c r="K5140" s="564" t="s">
        <v>1198</v>
      </c>
      <c r="L5140" s="564" t="s">
        <v>1071</v>
      </c>
      <c r="M5140" s="564" t="s">
        <v>1091</v>
      </c>
      <c r="N5140" s="564" t="s">
        <v>132</v>
      </c>
      <c r="O5140" s="564" t="s">
        <v>241</v>
      </c>
      <c r="P5140" s="23"/>
      <c r="Q5140" s="23"/>
      <c r="R5140" s="23"/>
      <c r="S5140" s="23"/>
      <c r="T5140" s="23"/>
      <c r="U5140" s="23"/>
      <c r="V5140" s="23"/>
      <c r="W5140" s="23"/>
      <c r="X5140" s="23"/>
      <c r="Y5140" s="23"/>
      <c r="Z5140" s="23"/>
    </row>
    <row r="5141" spans="1:26" ht="13">
      <c r="A5141" s="562" t="s">
        <v>10992</v>
      </c>
      <c r="B5141" s="563" t="s">
        <v>10993</v>
      </c>
      <c r="C5141" s="564" t="s">
        <v>1475</v>
      </c>
      <c r="D5141" s="565">
        <v>44256</v>
      </c>
      <c r="E5141" s="565">
        <v>44620</v>
      </c>
      <c r="F5141" s="566">
        <v>33930000</v>
      </c>
      <c r="G5141" s="564" t="s">
        <v>10789</v>
      </c>
      <c r="H5141" s="564" t="s">
        <v>1123</v>
      </c>
      <c r="I5141" s="564" t="s">
        <v>1417</v>
      </c>
      <c r="J5141" s="564" t="s">
        <v>1069</v>
      </c>
      <c r="K5141" s="564" t="s">
        <v>1070</v>
      </c>
      <c r="L5141" s="564" t="s">
        <v>1071</v>
      </c>
      <c r="M5141" s="564" t="s">
        <v>1091</v>
      </c>
      <c r="N5141" s="564" t="s">
        <v>1082</v>
      </c>
      <c r="O5141" s="564" t="s">
        <v>241</v>
      </c>
      <c r="P5141" s="23"/>
      <c r="Q5141" s="23"/>
      <c r="R5141" s="23"/>
      <c r="S5141" s="23"/>
      <c r="T5141" s="23"/>
      <c r="U5141" s="23"/>
      <c r="V5141" s="23"/>
      <c r="W5141" s="23"/>
      <c r="X5141" s="23"/>
      <c r="Y5141" s="23"/>
      <c r="Z5141" s="23"/>
    </row>
    <row r="5142" spans="1:26" ht="13">
      <c r="A5142" s="562" t="s">
        <v>10994</v>
      </c>
      <c r="B5142" s="563" t="s">
        <v>10995</v>
      </c>
      <c r="C5142" s="564" t="s">
        <v>1114</v>
      </c>
      <c r="D5142" s="565">
        <v>44256</v>
      </c>
      <c r="E5142" s="565">
        <v>44620</v>
      </c>
      <c r="F5142" s="566">
        <v>4800000</v>
      </c>
      <c r="G5142" s="564" t="s">
        <v>1365</v>
      </c>
      <c r="H5142" s="564" t="s">
        <v>1366</v>
      </c>
      <c r="I5142" s="564" t="s">
        <v>10555</v>
      </c>
      <c r="J5142" s="564" t="s">
        <v>1069</v>
      </c>
      <c r="K5142" s="564" t="s">
        <v>1205</v>
      </c>
      <c r="L5142" s="564" t="s">
        <v>1117</v>
      </c>
      <c r="M5142" s="564" t="s">
        <v>1199</v>
      </c>
      <c r="N5142" s="564" t="s">
        <v>1368</v>
      </c>
      <c r="O5142" s="564" t="s">
        <v>241</v>
      </c>
      <c r="P5142" s="23"/>
      <c r="Q5142" s="23"/>
      <c r="R5142" s="23"/>
      <c r="S5142" s="23"/>
      <c r="T5142" s="23"/>
      <c r="U5142" s="23"/>
      <c r="V5142" s="23"/>
      <c r="W5142" s="23"/>
      <c r="X5142" s="23"/>
      <c r="Y5142" s="23"/>
      <c r="Z5142" s="23"/>
    </row>
    <row r="5143" spans="1:26" ht="13">
      <c r="A5143" s="562" t="s">
        <v>10996</v>
      </c>
      <c r="B5143" s="563" t="s">
        <v>10997</v>
      </c>
      <c r="C5143" s="564" t="s">
        <v>1631</v>
      </c>
      <c r="D5143" s="565">
        <v>44197</v>
      </c>
      <c r="E5143" s="565">
        <v>44561</v>
      </c>
      <c r="F5143" s="566">
        <v>197496000</v>
      </c>
      <c r="G5143" s="564" t="s">
        <v>328</v>
      </c>
      <c r="H5143" s="564" t="s">
        <v>1128</v>
      </c>
      <c r="I5143" s="564" t="s">
        <v>64</v>
      </c>
      <c r="J5143" s="564" t="s">
        <v>1069</v>
      </c>
      <c r="K5143" s="564" t="s">
        <v>1090</v>
      </c>
      <c r="L5143" s="564" t="s">
        <v>1390</v>
      </c>
      <c r="M5143" s="564" t="s">
        <v>1390</v>
      </c>
      <c r="N5143" s="564" t="s">
        <v>64</v>
      </c>
      <c r="O5143" s="564" t="s">
        <v>38</v>
      </c>
      <c r="P5143" s="23"/>
      <c r="Q5143" s="23"/>
      <c r="R5143" s="23"/>
      <c r="S5143" s="23"/>
      <c r="T5143" s="23"/>
      <c r="U5143" s="23"/>
      <c r="V5143" s="23"/>
      <c r="W5143" s="23"/>
      <c r="X5143" s="23"/>
      <c r="Y5143" s="23"/>
      <c r="Z5143" s="23"/>
    </row>
    <row r="5144" spans="1:26" ht="13">
      <c r="A5144" s="562" t="s">
        <v>10998</v>
      </c>
      <c r="B5144" s="563" t="s">
        <v>10999</v>
      </c>
      <c r="C5144" s="564" t="s">
        <v>1103</v>
      </c>
      <c r="D5144" s="565">
        <v>44228</v>
      </c>
      <c r="E5144" s="565">
        <v>44592</v>
      </c>
      <c r="F5144" s="566">
        <v>18300000</v>
      </c>
      <c r="G5144" s="564" t="s">
        <v>11000</v>
      </c>
      <c r="H5144" s="564" t="s">
        <v>297</v>
      </c>
      <c r="I5144" s="564" t="s">
        <v>70</v>
      </c>
      <c r="J5144" s="564" t="s">
        <v>1069</v>
      </c>
      <c r="K5144" s="564" t="s">
        <v>1120</v>
      </c>
      <c r="L5144" s="564" t="s">
        <v>1071</v>
      </c>
      <c r="M5144" s="564" t="s">
        <v>1091</v>
      </c>
      <c r="N5144" s="564" t="s">
        <v>70</v>
      </c>
      <c r="O5144" s="564" t="s">
        <v>241</v>
      </c>
      <c r="P5144" s="23"/>
      <c r="Q5144" s="23"/>
      <c r="R5144" s="23"/>
      <c r="S5144" s="23"/>
      <c r="T5144" s="23"/>
      <c r="U5144" s="23"/>
      <c r="V5144" s="23"/>
      <c r="W5144" s="23"/>
      <c r="X5144" s="23"/>
      <c r="Y5144" s="23"/>
      <c r="Z5144" s="23"/>
    </row>
    <row r="5145" spans="1:26" ht="13">
      <c r="A5145" s="562" t="s">
        <v>11001</v>
      </c>
      <c r="B5145" s="563" t="s">
        <v>11002</v>
      </c>
      <c r="C5145" s="564" t="s">
        <v>1475</v>
      </c>
      <c r="D5145" s="565">
        <v>44197</v>
      </c>
      <c r="E5145" s="565">
        <v>44561</v>
      </c>
      <c r="F5145" s="566">
        <v>46256549</v>
      </c>
      <c r="G5145" s="564" t="s">
        <v>297</v>
      </c>
      <c r="H5145" s="564" t="s">
        <v>297</v>
      </c>
      <c r="I5145" s="564" t="s">
        <v>1247</v>
      </c>
      <c r="J5145" s="564" t="s">
        <v>1069</v>
      </c>
      <c r="K5145" s="564" t="s">
        <v>1070</v>
      </c>
      <c r="L5145" s="564" t="s">
        <v>1071</v>
      </c>
      <c r="M5145" s="564" t="s">
        <v>1091</v>
      </c>
      <c r="N5145" s="564" t="s">
        <v>1073</v>
      </c>
      <c r="O5145" s="564" t="s">
        <v>241</v>
      </c>
      <c r="P5145" s="23"/>
      <c r="Q5145" s="23"/>
      <c r="R5145" s="23"/>
      <c r="S5145" s="23"/>
      <c r="T5145" s="23"/>
      <c r="U5145" s="23"/>
      <c r="V5145" s="23"/>
      <c r="W5145" s="23"/>
      <c r="X5145" s="23"/>
      <c r="Y5145" s="23"/>
      <c r="Z5145" s="23"/>
    </row>
    <row r="5146" spans="1:26" ht="13">
      <c r="A5146" s="562" t="s">
        <v>11003</v>
      </c>
      <c r="B5146" s="563" t="s">
        <v>11004</v>
      </c>
      <c r="C5146" s="564" t="s">
        <v>1186</v>
      </c>
      <c r="D5146" s="565">
        <v>44228</v>
      </c>
      <c r="E5146" s="565">
        <v>44561</v>
      </c>
      <c r="F5146" s="566">
        <v>73260000</v>
      </c>
      <c r="G5146" s="564" t="s">
        <v>11005</v>
      </c>
      <c r="H5146" s="564" t="s">
        <v>1128</v>
      </c>
      <c r="I5146" s="564" t="s">
        <v>1294</v>
      </c>
      <c r="J5146" s="564" t="s">
        <v>1069</v>
      </c>
      <c r="K5146" s="564" t="s">
        <v>1090</v>
      </c>
      <c r="L5146" s="564" t="s">
        <v>1071</v>
      </c>
      <c r="M5146" s="564" t="s">
        <v>1091</v>
      </c>
      <c r="N5146" s="564" t="s">
        <v>1082</v>
      </c>
      <c r="O5146" s="564" t="s">
        <v>241</v>
      </c>
      <c r="P5146" s="23"/>
      <c r="Q5146" s="23"/>
      <c r="R5146" s="23"/>
      <c r="S5146" s="23"/>
      <c r="T5146" s="23"/>
      <c r="U5146" s="23"/>
      <c r="V5146" s="23"/>
      <c r="W5146" s="23"/>
      <c r="X5146" s="23"/>
      <c r="Y5146" s="23"/>
      <c r="Z5146" s="23"/>
    </row>
    <row r="5147" spans="1:26" ht="13">
      <c r="A5147" s="562" t="s">
        <v>11006</v>
      </c>
      <c r="B5147" s="563" t="s">
        <v>11007</v>
      </c>
      <c r="C5147" s="564" t="s">
        <v>1388</v>
      </c>
      <c r="D5147" s="565">
        <v>44200</v>
      </c>
      <c r="E5147" s="565">
        <v>44255</v>
      </c>
      <c r="F5147" s="566">
        <v>49000000</v>
      </c>
      <c r="G5147" s="564" t="s">
        <v>1157</v>
      </c>
      <c r="H5147" s="564" t="s">
        <v>1128</v>
      </c>
      <c r="I5147" s="564" t="s">
        <v>1294</v>
      </c>
      <c r="J5147" s="564" t="s">
        <v>1069</v>
      </c>
      <c r="K5147" s="564" t="s">
        <v>1090</v>
      </c>
      <c r="L5147" s="564" t="s">
        <v>1390</v>
      </c>
      <c r="M5147" s="564" t="s">
        <v>1390</v>
      </c>
      <c r="N5147" s="564" t="s">
        <v>1082</v>
      </c>
      <c r="O5147" s="564" t="s">
        <v>38</v>
      </c>
      <c r="P5147" s="23"/>
      <c r="Q5147" s="23"/>
      <c r="R5147" s="23"/>
      <c r="S5147" s="23"/>
      <c r="T5147" s="23"/>
      <c r="U5147" s="23"/>
      <c r="V5147" s="23"/>
      <c r="W5147" s="23"/>
      <c r="X5147" s="23"/>
      <c r="Y5147" s="23"/>
      <c r="Z5147" s="23"/>
    </row>
    <row r="5148" spans="1:26" ht="13">
      <c r="A5148" s="562" t="s">
        <v>11008</v>
      </c>
      <c r="B5148" s="563" t="s">
        <v>11009</v>
      </c>
      <c r="C5148" s="564" t="s">
        <v>1088</v>
      </c>
      <c r="D5148" s="565">
        <v>44197</v>
      </c>
      <c r="E5148" s="565">
        <v>44561</v>
      </c>
      <c r="F5148" s="566">
        <v>65166000</v>
      </c>
      <c r="G5148" s="564" t="s">
        <v>297</v>
      </c>
      <c r="H5148" s="564" t="s">
        <v>297</v>
      </c>
      <c r="I5148" s="564" t="s">
        <v>1781</v>
      </c>
      <c r="J5148" s="564" t="s">
        <v>1069</v>
      </c>
      <c r="K5148" s="564" t="s">
        <v>1070</v>
      </c>
      <c r="L5148" s="564" t="s">
        <v>1071</v>
      </c>
      <c r="M5148" s="564" t="s">
        <v>1091</v>
      </c>
      <c r="N5148" s="564" t="s">
        <v>1073</v>
      </c>
      <c r="O5148" s="564" t="s">
        <v>241</v>
      </c>
      <c r="P5148" s="23"/>
      <c r="Q5148" s="23"/>
      <c r="R5148" s="23"/>
      <c r="S5148" s="23"/>
      <c r="T5148" s="23"/>
      <c r="U5148" s="23"/>
      <c r="V5148" s="23"/>
      <c r="W5148" s="23"/>
      <c r="X5148" s="23"/>
      <c r="Y5148" s="23"/>
      <c r="Z5148" s="23"/>
    </row>
    <row r="5149" spans="1:26" ht="13">
      <c r="A5149" s="562" t="s">
        <v>11010</v>
      </c>
      <c r="B5149" s="563" t="s">
        <v>11011</v>
      </c>
      <c r="C5149" s="564" t="s">
        <v>1475</v>
      </c>
      <c r="D5149" s="565">
        <v>44197</v>
      </c>
      <c r="E5149" s="565">
        <v>44561</v>
      </c>
      <c r="F5149" s="566">
        <v>426818182</v>
      </c>
      <c r="G5149" s="564" t="s">
        <v>2459</v>
      </c>
      <c r="H5149" s="564" t="s">
        <v>11012</v>
      </c>
      <c r="I5149" s="564" t="s">
        <v>11013</v>
      </c>
      <c r="J5149" s="564" t="s">
        <v>1069</v>
      </c>
      <c r="K5149" s="564" t="s">
        <v>1198</v>
      </c>
      <c r="L5149" s="564" t="s">
        <v>1071</v>
      </c>
      <c r="M5149" s="564" t="s">
        <v>1091</v>
      </c>
      <c r="N5149" s="564" t="s">
        <v>1368</v>
      </c>
      <c r="O5149" s="564" t="s">
        <v>241</v>
      </c>
      <c r="P5149" s="23"/>
      <c r="Q5149" s="23"/>
      <c r="R5149" s="23"/>
      <c r="S5149" s="23"/>
      <c r="T5149" s="23"/>
      <c r="U5149" s="23"/>
      <c r="V5149" s="23"/>
      <c r="W5149" s="23"/>
      <c r="X5149" s="23"/>
      <c r="Y5149" s="23"/>
      <c r="Z5149" s="23"/>
    </row>
    <row r="5150" spans="1:26" ht="13">
      <c r="A5150" s="562" t="s">
        <v>11014</v>
      </c>
      <c r="B5150" s="563" t="s">
        <v>11015</v>
      </c>
      <c r="C5150" s="564" t="s">
        <v>1475</v>
      </c>
      <c r="D5150" s="565">
        <v>44197</v>
      </c>
      <c r="E5150" s="565">
        <v>45291</v>
      </c>
      <c r="F5150" s="566">
        <v>1141200000</v>
      </c>
      <c r="G5150" s="564" t="s">
        <v>2459</v>
      </c>
      <c r="H5150" s="564" t="s">
        <v>1636</v>
      </c>
      <c r="I5150" s="564" t="s">
        <v>10688</v>
      </c>
      <c r="J5150" s="564" t="s">
        <v>1069</v>
      </c>
      <c r="K5150" s="564" t="s">
        <v>1802</v>
      </c>
      <c r="L5150" s="564" t="s">
        <v>1071</v>
      </c>
      <c r="M5150" s="564" t="s">
        <v>1091</v>
      </c>
      <c r="N5150" s="564" t="s">
        <v>1082</v>
      </c>
      <c r="O5150" s="564" t="s">
        <v>241</v>
      </c>
      <c r="P5150" s="23"/>
      <c r="Q5150" s="23"/>
      <c r="R5150" s="23"/>
      <c r="S5150" s="23"/>
      <c r="T5150" s="23"/>
      <c r="U5150" s="23"/>
      <c r="V5150" s="23"/>
      <c r="W5150" s="23"/>
      <c r="X5150" s="23"/>
      <c r="Y5150" s="23"/>
      <c r="Z5150" s="23"/>
    </row>
    <row r="5151" spans="1:26" ht="13">
      <c r="A5151" s="562" t="s">
        <v>11016</v>
      </c>
      <c r="B5151" s="563" t="s">
        <v>11017</v>
      </c>
      <c r="C5151" s="564" t="s">
        <v>1475</v>
      </c>
      <c r="D5151" s="565">
        <v>44197</v>
      </c>
      <c r="E5151" s="565">
        <v>44561</v>
      </c>
      <c r="F5151" s="566">
        <v>57192000</v>
      </c>
      <c r="G5151" s="564" t="s">
        <v>2459</v>
      </c>
      <c r="H5151" s="564" t="s">
        <v>1636</v>
      </c>
      <c r="I5151" s="564" t="s">
        <v>10681</v>
      </c>
      <c r="J5151" s="564" t="s">
        <v>1069</v>
      </c>
      <c r="K5151" s="564" t="s">
        <v>1802</v>
      </c>
      <c r="L5151" s="564" t="s">
        <v>1071</v>
      </c>
      <c r="M5151" s="564" t="s">
        <v>1091</v>
      </c>
      <c r="N5151" s="564" t="s">
        <v>1082</v>
      </c>
      <c r="O5151" s="564" t="s">
        <v>241</v>
      </c>
      <c r="P5151" s="23"/>
      <c r="Q5151" s="23"/>
      <c r="R5151" s="23"/>
      <c r="S5151" s="23"/>
      <c r="T5151" s="23"/>
      <c r="U5151" s="23"/>
      <c r="V5151" s="23"/>
      <c r="W5151" s="23"/>
      <c r="X5151" s="23"/>
      <c r="Y5151" s="23"/>
      <c r="Z5151" s="23"/>
    </row>
    <row r="5152" spans="1:26" ht="13">
      <c r="A5152" s="562" t="s">
        <v>11018</v>
      </c>
      <c r="B5152" s="563" t="s">
        <v>11019</v>
      </c>
      <c r="C5152" s="564" t="s">
        <v>1088</v>
      </c>
      <c r="D5152" s="565">
        <v>44197</v>
      </c>
      <c r="E5152" s="565">
        <v>44561</v>
      </c>
      <c r="F5152" s="566">
        <v>10380000</v>
      </c>
      <c r="G5152" s="564" t="s">
        <v>1164</v>
      </c>
      <c r="H5152" s="564" t="s">
        <v>1123</v>
      </c>
      <c r="I5152" s="564" t="s">
        <v>1842</v>
      </c>
      <c r="J5152" s="564" t="s">
        <v>1069</v>
      </c>
      <c r="K5152" s="564" t="s">
        <v>1070</v>
      </c>
      <c r="L5152" s="564" t="s">
        <v>1071</v>
      </c>
      <c r="M5152" s="564" t="s">
        <v>1091</v>
      </c>
      <c r="N5152" s="564" t="s">
        <v>1082</v>
      </c>
      <c r="O5152" s="564" t="s">
        <v>241</v>
      </c>
      <c r="P5152" s="23"/>
      <c r="Q5152" s="23"/>
      <c r="R5152" s="23"/>
      <c r="S5152" s="23"/>
      <c r="T5152" s="23"/>
      <c r="U5152" s="23"/>
      <c r="V5152" s="23"/>
      <c r="W5152" s="23"/>
      <c r="X5152" s="23"/>
      <c r="Y5152" s="23"/>
      <c r="Z5152" s="23"/>
    </row>
    <row r="5153" spans="1:26" ht="13">
      <c r="A5153" s="562" t="s">
        <v>11020</v>
      </c>
      <c r="B5153" s="563" t="s">
        <v>11021</v>
      </c>
      <c r="C5153" s="564" t="s">
        <v>1388</v>
      </c>
      <c r="D5153" s="565">
        <v>44136</v>
      </c>
      <c r="E5153" s="565">
        <v>44500</v>
      </c>
      <c r="F5153" s="566">
        <v>24000000</v>
      </c>
      <c r="G5153" s="564" t="s">
        <v>297</v>
      </c>
      <c r="H5153" s="564" t="s">
        <v>297</v>
      </c>
      <c r="I5153" s="564" t="s">
        <v>45</v>
      </c>
      <c r="J5153" s="564" t="s">
        <v>1069</v>
      </c>
      <c r="K5153" s="564" t="s">
        <v>1090</v>
      </c>
      <c r="L5153" s="564" t="s">
        <v>1071</v>
      </c>
      <c r="M5153" s="564" t="s">
        <v>1091</v>
      </c>
      <c r="N5153" s="564" t="s">
        <v>45</v>
      </c>
      <c r="O5153" s="564" t="s">
        <v>241</v>
      </c>
      <c r="P5153" s="23"/>
      <c r="Q5153" s="23"/>
      <c r="R5153" s="23"/>
      <c r="S5153" s="23"/>
      <c r="T5153" s="23"/>
      <c r="U5153" s="23"/>
      <c r="V5153" s="23"/>
      <c r="W5153" s="23"/>
      <c r="X5153" s="23"/>
      <c r="Y5153" s="23"/>
      <c r="Z5153" s="23"/>
    </row>
    <row r="5154" spans="1:26" ht="13">
      <c r="A5154" s="562" t="s">
        <v>11022</v>
      </c>
      <c r="B5154" s="563" t="s">
        <v>11023</v>
      </c>
      <c r="C5154" s="564" t="s">
        <v>1388</v>
      </c>
      <c r="D5154" s="565">
        <v>44116</v>
      </c>
      <c r="E5154" s="565">
        <v>44165</v>
      </c>
      <c r="F5154" s="566">
        <v>223300000</v>
      </c>
      <c r="G5154" s="564" t="s">
        <v>7944</v>
      </c>
      <c r="H5154" s="564" t="s">
        <v>297</v>
      </c>
      <c r="I5154" s="564" t="s">
        <v>2789</v>
      </c>
      <c r="J5154" s="564" t="s">
        <v>1069</v>
      </c>
      <c r="K5154" s="564" t="s">
        <v>1070</v>
      </c>
      <c r="L5154" s="564" t="s">
        <v>1390</v>
      </c>
      <c r="M5154" s="564" t="s">
        <v>1390</v>
      </c>
      <c r="N5154" s="564" t="s">
        <v>1082</v>
      </c>
      <c r="O5154" s="564" t="s">
        <v>38</v>
      </c>
      <c r="P5154" s="23"/>
      <c r="Q5154" s="23"/>
      <c r="R5154" s="23"/>
      <c r="S5154" s="23"/>
      <c r="T5154" s="23"/>
      <c r="U5154" s="23"/>
      <c r="V5154" s="23"/>
      <c r="W5154" s="23"/>
      <c r="X5154" s="23"/>
      <c r="Y5154" s="23"/>
      <c r="Z5154" s="23"/>
    </row>
    <row r="5155" spans="1:26" ht="13">
      <c r="A5155" s="562" t="s">
        <v>11024</v>
      </c>
      <c r="B5155" s="563" t="s">
        <v>11025</v>
      </c>
      <c r="C5155" s="564" t="s">
        <v>1370</v>
      </c>
      <c r="D5155" s="565">
        <v>44174</v>
      </c>
      <c r="E5155" s="565">
        <v>44347</v>
      </c>
      <c r="F5155" s="566">
        <v>14545455</v>
      </c>
      <c r="G5155" s="564" t="s">
        <v>1623</v>
      </c>
      <c r="H5155" s="564" t="s">
        <v>1623</v>
      </c>
      <c r="I5155" s="564" t="s">
        <v>802</v>
      </c>
      <c r="J5155" s="564" t="s">
        <v>1069</v>
      </c>
      <c r="K5155" s="564" t="s">
        <v>1198</v>
      </c>
      <c r="L5155" s="564" t="s">
        <v>1390</v>
      </c>
      <c r="M5155" s="564" t="s">
        <v>1390</v>
      </c>
      <c r="N5155" s="564" t="s">
        <v>132</v>
      </c>
      <c r="O5155" s="564" t="s">
        <v>38</v>
      </c>
      <c r="P5155" s="23"/>
      <c r="Q5155" s="23"/>
      <c r="R5155" s="23"/>
      <c r="S5155" s="23"/>
      <c r="T5155" s="23"/>
      <c r="U5155" s="23"/>
      <c r="V5155" s="23"/>
      <c r="W5155" s="23"/>
      <c r="X5155" s="23"/>
      <c r="Y5155" s="23"/>
      <c r="Z5155" s="23"/>
    </row>
    <row r="5156" spans="1:26" ht="13">
      <c r="A5156" s="562" t="s">
        <v>11026</v>
      </c>
      <c r="B5156" s="563" t="s">
        <v>11027</v>
      </c>
      <c r="C5156" s="564" t="s">
        <v>1255</v>
      </c>
      <c r="D5156" s="565">
        <v>44105</v>
      </c>
      <c r="E5156" s="565">
        <v>44166</v>
      </c>
      <c r="F5156" s="566">
        <v>4320000</v>
      </c>
      <c r="G5156" s="564" t="s">
        <v>11028</v>
      </c>
      <c r="H5156" s="564" t="s">
        <v>1366</v>
      </c>
      <c r="I5156" s="564" t="s">
        <v>1301</v>
      </c>
      <c r="J5156" s="564" t="s">
        <v>1069</v>
      </c>
      <c r="K5156" s="564" t="s">
        <v>1070</v>
      </c>
      <c r="L5156" s="564" t="s">
        <v>1117</v>
      </c>
      <c r="M5156" s="564" t="s">
        <v>1199</v>
      </c>
      <c r="N5156" s="564" t="s">
        <v>1082</v>
      </c>
      <c r="O5156" s="564" t="s">
        <v>197</v>
      </c>
      <c r="P5156" s="23"/>
      <c r="Q5156" s="23"/>
      <c r="R5156" s="23"/>
      <c r="S5156" s="23"/>
      <c r="T5156" s="23"/>
      <c r="U5156" s="23"/>
      <c r="V5156" s="23"/>
      <c r="W5156" s="23"/>
      <c r="X5156" s="23"/>
      <c r="Y5156" s="23"/>
      <c r="Z5156" s="23"/>
    </row>
    <row r="5157" spans="1:26" ht="13">
      <c r="A5157" s="562" t="s">
        <v>11029</v>
      </c>
      <c r="B5157" s="563" t="s">
        <v>11030</v>
      </c>
      <c r="C5157" s="564" t="s">
        <v>1076</v>
      </c>
      <c r="D5157" s="565">
        <v>44105</v>
      </c>
      <c r="E5157" s="565">
        <v>44166</v>
      </c>
      <c r="F5157" s="566">
        <v>10080000</v>
      </c>
      <c r="G5157" s="564" t="s">
        <v>11031</v>
      </c>
      <c r="H5157" s="564" t="s">
        <v>1366</v>
      </c>
      <c r="I5157" s="564" t="s">
        <v>1301</v>
      </c>
      <c r="J5157" s="564" t="s">
        <v>1069</v>
      </c>
      <c r="K5157" s="564" t="s">
        <v>1070</v>
      </c>
      <c r="L5157" s="564" t="s">
        <v>1117</v>
      </c>
      <c r="M5157" s="564" t="s">
        <v>1199</v>
      </c>
      <c r="N5157" s="564" t="s">
        <v>1082</v>
      </c>
      <c r="O5157" s="564" t="s">
        <v>1081</v>
      </c>
      <c r="P5157" s="23"/>
      <c r="Q5157" s="23"/>
      <c r="R5157" s="23"/>
      <c r="S5157" s="23"/>
      <c r="T5157" s="23"/>
      <c r="U5157" s="23"/>
      <c r="V5157" s="23"/>
      <c r="W5157" s="23"/>
      <c r="X5157" s="23"/>
      <c r="Y5157" s="23"/>
      <c r="Z5157" s="23"/>
    </row>
    <row r="5158" spans="1:26" ht="13">
      <c r="A5158" s="562" t="s">
        <v>11032</v>
      </c>
      <c r="B5158" s="563" t="s">
        <v>11033</v>
      </c>
      <c r="C5158" s="564" t="s">
        <v>1186</v>
      </c>
      <c r="D5158" s="565">
        <v>44167</v>
      </c>
      <c r="E5158" s="565">
        <v>44377</v>
      </c>
      <c r="F5158" s="566">
        <v>259000000</v>
      </c>
      <c r="G5158" s="564" t="s">
        <v>1123</v>
      </c>
      <c r="H5158" s="564" t="s">
        <v>1123</v>
      </c>
      <c r="I5158" s="564" t="s">
        <v>45</v>
      </c>
      <c r="J5158" s="564" t="s">
        <v>1069</v>
      </c>
      <c r="K5158" s="564" t="s">
        <v>1090</v>
      </c>
      <c r="L5158" s="564" t="s">
        <v>1390</v>
      </c>
      <c r="M5158" s="564" t="s">
        <v>1390</v>
      </c>
      <c r="N5158" s="564" t="s">
        <v>45</v>
      </c>
      <c r="O5158" s="564" t="s">
        <v>38</v>
      </c>
      <c r="P5158" s="23"/>
      <c r="Q5158" s="23"/>
      <c r="R5158" s="23"/>
      <c r="S5158" s="23"/>
      <c r="T5158" s="23"/>
      <c r="U5158" s="23"/>
      <c r="V5158" s="23"/>
      <c r="W5158" s="23"/>
      <c r="X5158" s="23"/>
      <c r="Y5158" s="23"/>
      <c r="Z5158" s="23"/>
    </row>
    <row r="5159" spans="1:26" ht="13">
      <c r="A5159" s="562" t="s">
        <v>11034</v>
      </c>
      <c r="B5159" s="563" t="s">
        <v>11035</v>
      </c>
      <c r="C5159" s="564" t="s">
        <v>1114</v>
      </c>
      <c r="D5159" s="565">
        <v>44166</v>
      </c>
      <c r="E5159" s="565">
        <v>44530</v>
      </c>
      <c r="F5159" s="566">
        <v>5160000</v>
      </c>
      <c r="G5159" s="564" t="s">
        <v>1365</v>
      </c>
      <c r="H5159" s="564" t="s">
        <v>1366</v>
      </c>
      <c r="I5159" s="564" t="s">
        <v>8994</v>
      </c>
      <c r="J5159" s="564" t="s">
        <v>1069</v>
      </c>
      <c r="K5159" s="564" t="s">
        <v>1205</v>
      </c>
      <c r="L5159" s="564" t="s">
        <v>1117</v>
      </c>
      <c r="M5159" s="564" t="s">
        <v>1199</v>
      </c>
      <c r="N5159" s="564" t="s">
        <v>1082</v>
      </c>
      <c r="O5159" s="564" t="s">
        <v>241</v>
      </c>
      <c r="P5159" s="23"/>
      <c r="Q5159" s="23"/>
      <c r="R5159" s="23"/>
      <c r="S5159" s="23"/>
      <c r="T5159" s="23"/>
      <c r="U5159" s="23"/>
      <c r="V5159" s="23"/>
      <c r="W5159" s="23"/>
      <c r="X5159" s="23"/>
      <c r="Y5159" s="23"/>
      <c r="Z5159" s="23"/>
    </row>
    <row r="5160" spans="1:26" ht="13">
      <c r="A5160" s="562" t="s">
        <v>11036</v>
      </c>
      <c r="B5160" s="563" t="s">
        <v>11037</v>
      </c>
      <c r="C5160" s="564" t="s">
        <v>1088</v>
      </c>
      <c r="D5160" s="565">
        <v>44186</v>
      </c>
      <c r="E5160" s="565">
        <v>44246</v>
      </c>
      <c r="F5160" s="566">
        <v>9852000</v>
      </c>
      <c r="G5160" s="564" t="s">
        <v>11038</v>
      </c>
      <c r="H5160" s="564" t="s">
        <v>297</v>
      </c>
      <c r="I5160" s="564" t="s">
        <v>1294</v>
      </c>
      <c r="J5160" s="564" t="s">
        <v>1069</v>
      </c>
      <c r="K5160" s="564" t="s">
        <v>1090</v>
      </c>
      <c r="L5160" s="564" t="s">
        <v>1071</v>
      </c>
      <c r="M5160" s="564" t="s">
        <v>1091</v>
      </c>
      <c r="N5160" s="564" t="s">
        <v>1082</v>
      </c>
      <c r="O5160" s="564" t="s">
        <v>241</v>
      </c>
      <c r="P5160" s="23"/>
      <c r="Q5160" s="23"/>
      <c r="R5160" s="23"/>
      <c r="S5160" s="23"/>
      <c r="T5160" s="23"/>
      <c r="U5160" s="23"/>
      <c r="V5160" s="23"/>
      <c r="W5160" s="23"/>
      <c r="X5160" s="23"/>
      <c r="Y5160" s="23"/>
      <c r="Z5160" s="23"/>
    </row>
    <row r="5161" spans="1:26" ht="13">
      <c r="A5161" s="562" t="s">
        <v>11039</v>
      </c>
      <c r="B5161" s="563" t="s">
        <v>11040</v>
      </c>
      <c r="C5161" s="564" t="s">
        <v>1455</v>
      </c>
      <c r="D5161" s="565">
        <v>44149</v>
      </c>
      <c r="E5161" s="565">
        <v>44178</v>
      </c>
      <c r="F5161" s="566">
        <v>7600000</v>
      </c>
      <c r="G5161" s="564" t="s">
        <v>11041</v>
      </c>
      <c r="H5161" s="564" t="s">
        <v>1157</v>
      </c>
      <c r="I5161" s="564" t="s">
        <v>11042</v>
      </c>
      <c r="J5161" s="564" t="s">
        <v>1069</v>
      </c>
      <c r="K5161" s="564" t="s">
        <v>1090</v>
      </c>
      <c r="L5161" s="564" t="s">
        <v>1390</v>
      </c>
      <c r="M5161" s="564" t="s">
        <v>1390</v>
      </c>
      <c r="N5161" s="564" t="s">
        <v>1082</v>
      </c>
      <c r="O5161" s="564" t="s">
        <v>38</v>
      </c>
      <c r="P5161" s="23"/>
      <c r="Q5161" s="23"/>
      <c r="R5161" s="23"/>
      <c r="S5161" s="23"/>
      <c r="T5161" s="23"/>
      <c r="U5161" s="23"/>
      <c r="V5161" s="23"/>
      <c r="W5161" s="23"/>
      <c r="X5161" s="23"/>
      <c r="Y5161" s="23"/>
      <c r="Z5161" s="23"/>
    </row>
    <row r="5162" spans="1:26" ht="13">
      <c r="A5162" s="562" t="s">
        <v>11043</v>
      </c>
      <c r="B5162" s="563" t="s">
        <v>11044</v>
      </c>
      <c r="C5162" s="564" t="s">
        <v>1370</v>
      </c>
      <c r="D5162" s="565">
        <v>44136</v>
      </c>
      <c r="E5162" s="565">
        <v>44500</v>
      </c>
      <c r="F5162" s="566">
        <v>60000000</v>
      </c>
      <c r="G5162" s="564" t="s">
        <v>1157</v>
      </c>
      <c r="H5162" s="564" t="s">
        <v>1157</v>
      </c>
      <c r="I5162" s="564" t="s">
        <v>802</v>
      </c>
      <c r="J5162" s="564" t="s">
        <v>1069</v>
      </c>
      <c r="K5162" s="564" t="s">
        <v>1198</v>
      </c>
      <c r="L5162" s="564" t="s">
        <v>1071</v>
      </c>
      <c r="M5162" s="564" t="s">
        <v>1091</v>
      </c>
      <c r="N5162" s="564" t="s">
        <v>132</v>
      </c>
      <c r="O5162" s="564" t="s">
        <v>241</v>
      </c>
      <c r="P5162" s="23"/>
      <c r="Q5162" s="23"/>
      <c r="R5162" s="23"/>
      <c r="S5162" s="23"/>
      <c r="T5162" s="23"/>
      <c r="U5162" s="23"/>
      <c r="V5162" s="23"/>
      <c r="W5162" s="23"/>
      <c r="X5162" s="23"/>
      <c r="Y5162" s="23"/>
      <c r="Z5162" s="23"/>
    </row>
    <row r="5163" spans="1:26" ht="13">
      <c r="A5163" s="562" t="s">
        <v>11045</v>
      </c>
      <c r="B5163" s="563" t="s">
        <v>11046</v>
      </c>
      <c r="C5163" s="564" t="s">
        <v>3378</v>
      </c>
      <c r="D5163" s="565">
        <v>44137</v>
      </c>
      <c r="E5163" s="565">
        <v>44561</v>
      </c>
      <c r="F5163" s="566">
        <v>111958000</v>
      </c>
      <c r="G5163" s="564" t="s">
        <v>328</v>
      </c>
      <c r="H5163" s="564" t="s">
        <v>1942</v>
      </c>
      <c r="I5163" s="564" t="s">
        <v>64</v>
      </c>
      <c r="J5163" s="564" t="s">
        <v>1069</v>
      </c>
      <c r="K5163" s="564" t="s">
        <v>1090</v>
      </c>
      <c r="L5163" s="564" t="s">
        <v>1071</v>
      </c>
      <c r="M5163" s="564" t="s">
        <v>1091</v>
      </c>
      <c r="N5163" s="564" t="s">
        <v>64</v>
      </c>
      <c r="O5163" s="564" t="s">
        <v>241</v>
      </c>
      <c r="P5163" s="23"/>
      <c r="Q5163" s="23"/>
      <c r="R5163" s="23"/>
      <c r="S5163" s="23"/>
      <c r="T5163" s="23"/>
      <c r="U5163" s="23"/>
      <c r="V5163" s="23"/>
      <c r="W5163" s="23"/>
      <c r="X5163" s="23"/>
      <c r="Y5163" s="23"/>
      <c r="Z5163" s="23"/>
    </row>
    <row r="5164" spans="1:26" ht="13">
      <c r="A5164" s="562" t="s">
        <v>11047</v>
      </c>
      <c r="B5164" s="563" t="s">
        <v>11048</v>
      </c>
      <c r="C5164" s="564" t="s">
        <v>1388</v>
      </c>
      <c r="D5164" s="565">
        <v>44130</v>
      </c>
      <c r="E5164" s="565">
        <v>44377</v>
      </c>
      <c r="F5164" s="566">
        <v>116000000</v>
      </c>
      <c r="G5164" s="564" t="s">
        <v>2508</v>
      </c>
      <c r="H5164" s="564" t="s">
        <v>2508</v>
      </c>
      <c r="I5164" s="564" t="s">
        <v>11049</v>
      </c>
      <c r="J5164" s="564" t="s">
        <v>1069</v>
      </c>
      <c r="K5164" s="564" t="s">
        <v>1090</v>
      </c>
      <c r="L5164" s="564" t="s">
        <v>1390</v>
      </c>
      <c r="M5164" s="564" t="s">
        <v>1390</v>
      </c>
      <c r="N5164" s="564" t="s">
        <v>1082</v>
      </c>
      <c r="O5164" s="564" t="s">
        <v>38</v>
      </c>
      <c r="P5164" s="23"/>
      <c r="Q5164" s="23"/>
      <c r="R5164" s="23"/>
      <c r="S5164" s="23"/>
      <c r="T5164" s="23"/>
      <c r="U5164" s="23"/>
      <c r="V5164" s="23"/>
      <c r="W5164" s="23"/>
      <c r="X5164" s="23"/>
      <c r="Y5164" s="23"/>
      <c r="Z5164" s="23"/>
    </row>
    <row r="5165" spans="1:26" ht="13">
      <c r="A5165" s="562" t="s">
        <v>11050</v>
      </c>
      <c r="B5165" s="563" t="s">
        <v>11051</v>
      </c>
      <c r="C5165" s="564" t="s">
        <v>1114</v>
      </c>
      <c r="D5165" s="565">
        <v>44136</v>
      </c>
      <c r="E5165" s="565">
        <v>44255</v>
      </c>
      <c r="F5165" s="566">
        <v>1600000</v>
      </c>
      <c r="G5165" s="564" t="s">
        <v>1365</v>
      </c>
      <c r="H5165" s="564" t="s">
        <v>1366</v>
      </c>
      <c r="I5165" s="564" t="s">
        <v>10555</v>
      </c>
      <c r="J5165" s="564" t="s">
        <v>1069</v>
      </c>
      <c r="K5165" s="564" t="s">
        <v>1205</v>
      </c>
      <c r="L5165" s="564" t="s">
        <v>1117</v>
      </c>
      <c r="M5165" s="564" t="s">
        <v>1199</v>
      </c>
      <c r="N5165" s="564" t="s">
        <v>1368</v>
      </c>
      <c r="O5165" s="564" t="s">
        <v>241</v>
      </c>
      <c r="P5165" s="23"/>
      <c r="Q5165" s="23"/>
      <c r="R5165" s="23"/>
      <c r="S5165" s="23"/>
      <c r="T5165" s="23"/>
      <c r="U5165" s="23"/>
      <c r="V5165" s="23"/>
      <c r="W5165" s="23"/>
      <c r="X5165" s="23"/>
      <c r="Y5165" s="23"/>
      <c r="Z5165" s="23"/>
    </row>
    <row r="5166" spans="1:26" ht="13">
      <c r="A5166" s="562" t="s">
        <v>11052</v>
      </c>
      <c r="B5166" s="563" t="s">
        <v>11053</v>
      </c>
      <c r="C5166" s="564" t="s">
        <v>1114</v>
      </c>
      <c r="D5166" s="565">
        <v>44105</v>
      </c>
      <c r="E5166" s="565">
        <v>44166</v>
      </c>
      <c r="F5166" s="566">
        <v>87192000</v>
      </c>
      <c r="G5166" s="564" t="s">
        <v>1197</v>
      </c>
      <c r="H5166" s="564" t="s">
        <v>1366</v>
      </c>
      <c r="I5166" s="564" t="s">
        <v>1301</v>
      </c>
      <c r="J5166" s="564" t="s">
        <v>1069</v>
      </c>
      <c r="K5166" s="564" t="s">
        <v>1070</v>
      </c>
      <c r="L5166" s="564" t="s">
        <v>1117</v>
      </c>
      <c r="M5166" s="564" t="s">
        <v>1199</v>
      </c>
      <c r="N5166" s="564" t="s">
        <v>1082</v>
      </c>
      <c r="O5166" s="564" t="s">
        <v>38</v>
      </c>
      <c r="P5166" s="23"/>
      <c r="Q5166" s="23"/>
      <c r="R5166" s="23"/>
      <c r="S5166" s="23"/>
      <c r="T5166" s="23"/>
      <c r="U5166" s="23"/>
      <c r="V5166" s="23"/>
      <c r="W5166" s="23"/>
      <c r="X5166" s="23"/>
      <c r="Y5166" s="23"/>
      <c r="Z5166" s="23"/>
    </row>
    <row r="5167" spans="1:26" ht="13">
      <c r="A5167" s="562" t="s">
        <v>11054</v>
      </c>
      <c r="B5167" s="563" t="s">
        <v>11055</v>
      </c>
      <c r="C5167" s="564" t="s">
        <v>1475</v>
      </c>
      <c r="D5167" s="565">
        <v>44112</v>
      </c>
      <c r="E5167" s="565">
        <v>44135</v>
      </c>
      <c r="F5167" s="566">
        <v>1497830000</v>
      </c>
      <c r="G5167" s="564" t="s">
        <v>2876</v>
      </c>
      <c r="H5167" s="564" t="s">
        <v>2876</v>
      </c>
      <c r="I5167" s="564" t="s">
        <v>11056</v>
      </c>
      <c r="J5167" s="564" t="s">
        <v>1069</v>
      </c>
      <c r="K5167" s="564" t="s">
        <v>2878</v>
      </c>
      <c r="L5167" s="564" t="s">
        <v>1390</v>
      </c>
      <c r="M5167" s="564" t="s">
        <v>1390</v>
      </c>
      <c r="N5167" s="564" t="s">
        <v>1082</v>
      </c>
      <c r="O5167" s="564" t="s">
        <v>38</v>
      </c>
      <c r="P5167" s="23"/>
      <c r="Q5167" s="23"/>
      <c r="R5167" s="23"/>
      <c r="S5167" s="23"/>
      <c r="T5167" s="23"/>
      <c r="U5167" s="23"/>
      <c r="V5167" s="23"/>
      <c r="W5167" s="23"/>
      <c r="X5167" s="23"/>
      <c r="Y5167" s="23"/>
      <c r="Z5167" s="23"/>
    </row>
    <row r="5168" spans="1:26" ht="13">
      <c r="A5168" s="562" t="s">
        <v>11057</v>
      </c>
      <c r="B5168" s="563" t="s">
        <v>11058</v>
      </c>
      <c r="C5168" s="564" t="s">
        <v>1114</v>
      </c>
      <c r="D5168" s="565">
        <v>44166</v>
      </c>
      <c r="E5168" s="565">
        <v>44530</v>
      </c>
      <c r="F5168" s="566">
        <v>3000000</v>
      </c>
      <c r="G5168" s="564" t="s">
        <v>1365</v>
      </c>
      <c r="H5168" s="564" t="s">
        <v>1366</v>
      </c>
      <c r="I5168" s="564" t="s">
        <v>11059</v>
      </c>
      <c r="J5168" s="564" t="s">
        <v>1069</v>
      </c>
      <c r="K5168" s="564" t="s">
        <v>1205</v>
      </c>
      <c r="L5168" s="564" t="s">
        <v>1117</v>
      </c>
      <c r="M5168" s="564" t="s">
        <v>1199</v>
      </c>
      <c r="N5168" s="564" t="s">
        <v>1368</v>
      </c>
      <c r="O5168" s="564" t="s">
        <v>241</v>
      </c>
      <c r="P5168" s="23"/>
      <c r="Q5168" s="23"/>
      <c r="R5168" s="23"/>
      <c r="S5168" s="23"/>
      <c r="T5168" s="23"/>
      <c r="U5168" s="23"/>
      <c r="V5168" s="23"/>
      <c r="W5168" s="23"/>
      <c r="X5168" s="23"/>
      <c r="Y5168" s="23"/>
      <c r="Z5168" s="23"/>
    </row>
    <row r="5169" spans="1:26" ht="13">
      <c r="A5169" s="562" t="s">
        <v>11060</v>
      </c>
      <c r="B5169" s="563" t="s">
        <v>11061</v>
      </c>
      <c r="C5169" s="564" t="s">
        <v>1388</v>
      </c>
      <c r="D5169" s="565">
        <v>44116</v>
      </c>
      <c r="E5169" s="565">
        <v>44165</v>
      </c>
      <c r="F5169" s="566">
        <v>95700000</v>
      </c>
      <c r="G5169" s="564" t="s">
        <v>11062</v>
      </c>
      <c r="H5169" s="564" t="s">
        <v>297</v>
      </c>
      <c r="I5169" s="564" t="s">
        <v>2789</v>
      </c>
      <c r="J5169" s="564" t="s">
        <v>1069</v>
      </c>
      <c r="K5169" s="564" t="s">
        <v>1070</v>
      </c>
      <c r="L5169" s="564" t="s">
        <v>1390</v>
      </c>
      <c r="M5169" s="564" t="s">
        <v>1390</v>
      </c>
      <c r="N5169" s="564" t="s">
        <v>1082</v>
      </c>
      <c r="O5169" s="564" t="s">
        <v>38</v>
      </c>
      <c r="P5169" s="23"/>
      <c r="Q5169" s="23"/>
      <c r="R5169" s="23"/>
      <c r="S5169" s="23"/>
      <c r="T5169" s="23"/>
      <c r="U5169" s="23"/>
      <c r="V5169" s="23"/>
      <c r="W5169" s="23"/>
      <c r="X5169" s="23"/>
      <c r="Y5169" s="23"/>
      <c r="Z5169" s="23"/>
    </row>
    <row r="5170" spans="1:26" ht="13">
      <c r="A5170" s="562" t="s">
        <v>11063</v>
      </c>
      <c r="B5170" s="563" t="s">
        <v>11064</v>
      </c>
      <c r="C5170" s="564" t="s">
        <v>1455</v>
      </c>
      <c r="D5170" s="565">
        <v>44075</v>
      </c>
      <c r="E5170" s="565">
        <v>44119</v>
      </c>
      <c r="F5170" s="566">
        <v>13000000</v>
      </c>
      <c r="G5170" s="564" t="s">
        <v>1729</v>
      </c>
      <c r="H5170" s="564" t="s">
        <v>1157</v>
      </c>
      <c r="I5170" s="564" t="s">
        <v>170</v>
      </c>
      <c r="J5170" s="564" t="s">
        <v>1069</v>
      </c>
      <c r="K5170" s="564" t="s">
        <v>1105</v>
      </c>
      <c r="L5170" s="564" t="s">
        <v>1390</v>
      </c>
      <c r="M5170" s="564" t="s">
        <v>1390</v>
      </c>
      <c r="N5170" s="564" t="s">
        <v>170</v>
      </c>
      <c r="O5170" s="564" t="s">
        <v>38</v>
      </c>
      <c r="P5170" s="23"/>
      <c r="Q5170" s="23"/>
      <c r="R5170" s="23"/>
      <c r="S5170" s="23"/>
      <c r="T5170" s="23"/>
      <c r="U5170" s="23"/>
      <c r="V5170" s="23"/>
      <c r="W5170" s="23"/>
      <c r="X5170" s="23"/>
      <c r="Y5170" s="23"/>
      <c r="Z5170" s="23"/>
    </row>
    <row r="5171" spans="1:26" ht="13">
      <c r="A5171" s="562" t="s">
        <v>11065</v>
      </c>
      <c r="B5171" s="563" t="s">
        <v>11066</v>
      </c>
      <c r="C5171" s="564" t="s">
        <v>1114</v>
      </c>
      <c r="D5171" s="565">
        <v>44088</v>
      </c>
      <c r="E5171" s="565">
        <v>44148</v>
      </c>
      <c r="F5171" s="566">
        <v>10919079</v>
      </c>
      <c r="G5171" s="564" t="s">
        <v>1197</v>
      </c>
      <c r="H5171" s="564" t="s">
        <v>1366</v>
      </c>
      <c r="I5171" s="564" t="s">
        <v>1301</v>
      </c>
      <c r="J5171" s="564" t="s">
        <v>1069</v>
      </c>
      <c r="K5171" s="564" t="s">
        <v>1070</v>
      </c>
      <c r="L5171" s="564" t="s">
        <v>1117</v>
      </c>
      <c r="M5171" s="564" t="s">
        <v>1199</v>
      </c>
      <c r="N5171" s="564" t="s">
        <v>1082</v>
      </c>
      <c r="O5171" s="564" t="s">
        <v>38</v>
      </c>
      <c r="P5171" s="23"/>
      <c r="Q5171" s="23"/>
      <c r="R5171" s="23"/>
      <c r="S5171" s="23"/>
      <c r="T5171" s="23"/>
      <c r="U5171" s="23"/>
      <c r="V5171" s="23"/>
      <c r="W5171" s="23"/>
      <c r="X5171" s="23"/>
      <c r="Y5171" s="23"/>
      <c r="Z5171" s="23"/>
    </row>
    <row r="5172" spans="1:26" ht="13">
      <c r="A5172" s="562" t="s">
        <v>11067</v>
      </c>
      <c r="B5172" s="563" t="s">
        <v>11068</v>
      </c>
      <c r="C5172" s="564" t="s">
        <v>1388</v>
      </c>
      <c r="D5172" s="565">
        <v>44075</v>
      </c>
      <c r="E5172" s="565">
        <v>44377</v>
      </c>
      <c r="F5172" s="566">
        <v>69600000</v>
      </c>
      <c r="G5172" s="564" t="s">
        <v>2508</v>
      </c>
      <c r="H5172" s="564" t="s">
        <v>2508</v>
      </c>
      <c r="I5172" s="564" t="s">
        <v>11049</v>
      </c>
      <c r="J5172" s="564" t="s">
        <v>1069</v>
      </c>
      <c r="K5172" s="564" t="s">
        <v>1070</v>
      </c>
      <c r="L5172" s="564" t="s">
        <v>1390</v>
      </c>
      <c r="M5172" s="564" t="s">
        <v>1390</v>
      </c>
      <c r="N5172" s="564" t="s">
        <v>1082</v>
      </c>
      <c r="O5172" s="564" t="s">
        <v>38</v>
      </c>
      <c r="P5172" s="23"/>
      <c r="Q5172" s="23"/>
      <c r="R5172" s="23"/>
      <c r="S5172" s="23"/>
      <c r="T5172" s="23"/>
      <c r="U5172" s="23"/>
      <c r="V5172" s="23"/>
      <c r="W5172" s="23"/>
      <c r="X5172" s="23"/>
      <c r="Y5172" s="23"/>
      <c r="Z5172" s="23"/>
    </row>
    <row r="5173" spans="1:26" ht="13">
      <c r="A5173" s="562" t="s">
        <v>11069</v>
      </c>
      <c r="B5173" s="563" t="s">
        <v>11070</v>
      </c>
      <c r="C5173" s="564" t="s">
        <v>1088</v>
      </c>
      <c r="D5173" s="565">
        <v>44075</v>
      </c>
      <c r="E5173" s="565">
        <v>44439</v>
      </c>
      <c r="F5173" s="566">
        <v>67312500</v>
      </c>
      <c r="G5173" s="564" t="s">
        <v>297</v>
      </c>
      <c r="H5173" s="564" t="s">
        <v>297</v>
      </c>
      <c r="I5173" s="564" t="s">
        <v>1781</v>
      </c>
      <c r="J5173" s="564" t="s">
        <v>1069</v>
      </c>
      <c r="K5173" s="564" t="s">
        <v>1070</v>
      </c>
      <c r="L5173" s="564" t="s">
        <v>1071</v>
      </c>
      <c r="M5173" s="564" t="s">
        <v>1091</v>
      </c>
      <c r="N5173" s="564" t="s">
        <v>1073</v>
      </c>
      <c r="O5173" s="564" t="s">
        <v>241</v>
      </c>
      <c r="P5173" s="23"/>
      <c r="Q5173" s="23"/>
      <c r="R5173" s="23"/>
      <c r="S5173" s="23"/>
      <c r="T5173" s="23"/>
      <c r="U5173" s="23"/>
      <c r="V5173" s="23"/>
      <c r="W5173" s="23"/>
      <c r="X5173" s="23"/>
      <c r="Y5173" s="23"/>
      <c r="Z5173" s="23"/>
    </row>
    <row r="5174" spans="1:26" ht="13">
      <c r="A5174" s="562" t="s">
        <v>11071</v>
      </c>
      <c r="B5174" s="563" t="s">
        <v>11072</v>
      </c>
      <c r="C5174" s="564" t="s">
        <v>1475</v>
      </c>
      <c r="D5174" s="565">
        <v>44075</v>
      </c>
      <c r="E5174" s="565">
        <v>44165</v>
      </c>
      <c r="F5174" s="566">
        <v>190500000</v>
      </c>
      <c r="G5174" s="564" t="s">
        <v>2459</v>
      </c>
      <c r="H5174" s="564" t="s">
        <v>1636</v>
      </c>
      <c r="I5174" s="564" t="s">
        <v>10202</v>
      </c>
      <c r="J5174" s="564" t="s">
        <v>1069</v>
      </c>
      <c r="K5174" s="564" t="s">
        <v>1802</v>
      </c>
      <c r="L5174" s="564" t="s">
        <v>1390</v>
      </c>
      <c r="M5174" s="564" t="s">
        <v>1390</v>
      </c>
      <c r="N5174" s="564" t="s">
        <v>1082</v>
      </c>
      <c r="O5174" s="564" t="s">
        <v>38</v>
      </c>
      <c r="P5174" s="23"/>
      <c r="Q5174" s="23"/>
      <c r="R5174" s="23"/>
      <c r="S5174" s="23"/>
      <c r="T5174" s="23"/>
      <c r="U5174" s="23"/>
      <c r="V5174" s="23"/>
      <c r="W5174" s="23"/>
      <c r="X5174" s="23"/>
      <c r="Y5174" s="23"/>
      <c r="Z5174" s="23"/>
    </row>
    <row r="5175" spans="1:26" ht="13">
      <c r="A5175" s="562" t="s">
        <v>11073</v>
      </c>
      <c r="B5175" s="563" t="s">
        <v>11074</v>
      </c>
      <c r="C5175" s="564" t="s">
        <v>1475</v>
      </c>
      <c r="D5175" s="565">
        <v>44050</v>
      </c>
      <c r="E5175" s="565">
        <v>44059</v>
      </c>
      <c r="F5175" s="566">
        <v>10400000</v>
      </c>
      <c r="G5175" s="564" t="s">
        <v>1123</v>
      </c>
      <c r="H5175" s="564" t="s">
        <v>1123</v>
      </c>
      <c r="I5175" s="564" t="s">
        <v>1247</v>
      </c>
      <c r="J5175" s="564" t="s">
        <v>1069</v>
      </c>
      <c r="K5175" s="564" t="s">
        <v>1070</v>
      </c>
      <c r="L5175" s="564" t="s">
        <v>1071</v>
      </c>
      <c r="M5175" s="564" t="s">
        <v>1124</v>
      </c>
      <c r="N5175" s="564" t="s">
        <v>1073</v>
      </c>
      <c r="O5175" s="564" t="s">
        <v>38</v>
      </c>
      <c r="P5175" s="23"/>
      <c r="Q5175" s="23"/>
      <c r="R5175" s="23"/>
      <c r="S5175" s="23"/>
      <c r="T5175" s="23"/>
      <c r="U5175" s="23"/>
      <c r="V5175" s="23"/>
      <c r="W5175" s="23"/>
      <c r="X5175" s="23"/>
      <c r="Y5175" s="23"/>
      <c r="Z5175" s="23"/>
    </row>
    <row r="5176" spans="1:26" ht="13">
      <c r="A5176" s="562" t="s">
        <v>11075</v>
      </c>
      <c r="B5176" s="563" t="s">
        <v>11076</v>
      </c>
      <c r="C5176" s="564" t="s">
        <v>1114</v>
      </c>
      <c r="D5176" s="565">
        <v>44053</v>
      </c>
      <c r="E5176" s="565">
        <v>44144</v>
      </c>
      <c r="F5176" s="566">
        <v>31800000</v>
      </c>
      <c r="G5176" s="564" t="s">
        <v>1365</v>
      </c>
      <c r="H5176" s="564" t="s">
        <v>1366</v>
      </c>
      <c r="I5176" s="564" t="s">
        <v>10660</v>
      </c>
      <c r="J5176" s="564" t="s">
        <v>1069</v>
      </c>
      <c r="K5176" s="564" t="s">
        <v>1205</v>
      </c>
      <c r="L5176" s="564" t="s">
        <v>1390</v>
      </c>
      <c r="M5176" s="564" t="s">
        <v>1390</v>
      </c>
      <c r="N5176" s="564" t="s">
        <v>1368</v>
      </c>
      <c r="O5176" s="564" t="s">
        <v>38</v>
      </c>
      <c r="P5176" s="23"/>
      <c r="Q5176" s="23"/>
      <c r="R5176" s="23"/>
      <c r="S5176" s="23"/>
      <c r="T5176" s="23"/>
      <c r="U5176" s="23"/>
      <c r="V5176" s="23"/>
      <c r="W5176" s="23"/>
      <c r="X5176" s="23"/>
      <c r="Y5176" s="23"/>
      <c r="Z5176" s="23"/>
    </row>
    <row r="5177" spans="1:26" ht="13">
      <c r="A5177" s="562" t="s">
        <v>11077</v>
      </c>
      <c r="B5177" s="563" t="s">
        <v>11078</v>
      </c>
      <c r="C5177" s="564" t="s">
        <v>1114</v>
      </c>
      <c r="D5177" s="565">
        <v>44044</v>
      </c>
      <c r="E5177" s="565">
        <v>44104</v>
      </c>
      <c r="F5177" s="566">
        <v>29000000</v>
      </c>
      <c r="G5177" s="564" t="s">
        <v>1365</v>
      </c>
      <c r="H5177" s="564" t="s">
        <v>1366</v>
      </c>
      <c r="I5177" s="564" t="s">
        <v>10574</v>
      </c>
      <c r="J5177" s="564" t="s">
        <v>1069</v>
      </c>
      <c r="K5177" s="564" t="s">
        <v>1205</v>
      </c>
      <c r="L5177" s="564" t="s">
        <v>1390</v>
      </c>
      <c r="M5177" s="564" t="s">
        <v>1390</v>
      </c>
      <c r="N5177" s="564" t="s">
        <v>1368</v>
      </c>
      <c r="O5177" s="564" t="s">
        <v>38</v>
      </c>
      <c r="P5177" s="23"/>
      <c r="Q5177" s="23"/>
      <c r="R5177" s="23"/>
      <c r="S5177" s="23"/>
      <c r="T5177" s="23"/>
      <c r="U5177" s="23"/>
      <c r="V5177" s="23"/>
      <c r="W5177" s="23"/>
      <c r="X5177" s="23"/>
      <c r="Y5177" s="23"/>
      <c r="Z5177" s="23"/>
    </row>
    <row r="5178" spans="1:26" ht="13">
      <c r="A5178" s="562" t="s">
        <v>11079</v>
      </c>
      <c r="B5178" s="563" t="s">
        <v>11080</v>
      </c>
      <c r="C5178" s="564" t="s">
        <v>1475</v>
      </c>
      <c r="D5178" s="565">
        <v>44013</v>
      </c>
      <c r="E5178" s="565">
        <v>44377</v>
      </c>
      <c r="F5178" s="566">
        <v>75000000</v>
      </c>
      <c r="G5178" s="564" t="s">
        <v>2459</v>
      </c>
      <c r="H5178" s="564" t="s">
        <v>2876</v>
      </c>
      <c r="I5178" s="564" t="s">
        <v>10619</v>
      </c>
      <c r="J5178" s="564" t="s">
        <v>1069</v>
      </c>
      <c r="K5178" s="564" t="s">
        <v>2878</v>
      </c>
      <c r="L5178" s="564" t="s">
        <v>1071</v>
      </c>
      <c r="M5178" s="564" t="s">
        <v>1091</v>
      </c>
      <c r="N5178" s="564" t="s">
        <v>1082</v>
      </c>
      <c r="O5178" s="564" t="s">
        <v>241</v>
      </c>
      <c r="P5178" s="23"/>
      <c r="Q5178" s="23"/>
      <c r="R5178" s="23"/>
      <c r="S5178" s="23"/>
      <c r="T5178" s="23"/>
      <c r="U5178" s="23"/>
      <c r="V5178" s="23"/>
      <c r="W5178" s="23"/>
      <c r="X5178" s="23"/>
      <c r="Y5178" s="23"/>
      <c r="Z5178" s="23"/>
    </row>
    <row r="5179" spans="1:26" ht="13">
      <c r="A5179" s="562" t="s">
        <v>11081</v>
      </c>
      <c r="B5179" s="563" t="s">
        <v>11082</v>
      </c>
      <c r="C5179" s="564" t="s">
        <v>1455</v>
      </c>
      <c r="D5179" s="565">
        <v>44042</v>
      </c>
      <c r="E5179" s="565">
        <v>44133</v>
      </c>
      <c r="F5179" s="566">
        <v>99800000</v>
      </c>
      <c r="G5179" s="564" t="s">
        <v>1729</v>
      </c>
      <c r="H5179" s="564" t="s">
        <v>1157</v>
      </c>
      <c r="I5179" s="564" t="s">
        <v>170</v>
      </c>
      <c r="J5179" s="564" t="s">
        <v>1069</v>
      </c>
      <c r="K5179" s="564" t="s">
        <v>1105</v>
      </c>
      <c r="L5179" s="564" t="s">
        <v>1390</v>
      </c>
      <c r="M5179" s="564" t="s">
        <v>1390</v>
      </c>
      <c r="N5179" s="564" t="s">
        <v>170</v>
      </c>
      <c r="O5179" s="564" t="s">
        <v>38</v>
      </c>
      <c r="P5179" s="23"/>
      <c r="Q5179" s="23"/>
      <c r="R5179" s="23"/>
      <c r="S5179" s="23"/>
      <c r="T5179" s="23"/>
      <c r="U5179" s="23"/>
      <c r="V5179" s="23"/>
      <c r="W5179" s="23"/>
      <c r="X5179" s="23"/>
      <c r="Y5179" s="23"/>
      <c r="Z5179" s="23"/>
    </row>
    <row r="5180" spans="1:26" ht="13">
      <c r="A5180" s="562" t="s">
        <v>11083</v>
      </c>
      <c r="B5180" s="563" t="s">
        <v>11084</v>
      </c>
      <c r="C5180" s="564" t="s">
        <v>1088</v>
      </c>
      <c r="D5180" s="565">
        <v>44044</v>
      </c>
      <c r="E5180" s="565">
        <v>44408</v>
      </c>
      <c r="F5180" s="566">
        <v>112196000</v>
      </c>
      <c r="G5180" s="564" t="s">
        <v>1211</v>
      </c>
      <c r="H5180" s="564" t="s">
        <v>297</v>
      </c>
      <c r="I5180" s="564" t="s">
        <v>107</v>
      </c>
      <c r="J5180" s="564" t="s">
        <v>1069</v>
      </c>
      <c r="K5180" s="564" t="s">
        <v>1120</v>
      </c>
      <c r="L5180" s="564" t="s">
        <v>1071</v>
      </c>
      <c r="M5180" s="564" t="s">
        <v>1091</v>
      </c>
      <c r="N5180" s="564" t="s">
        <v>1073</v>
      </c>
      <c r="O5180" s="564" t="s">
        <v>241</v>
      </c>
      <c r="P5180" s="23"/>
      <c r="Q5180" s="23"/>
      <c r="R5180" s="23"/>
      <c r="S5180" s="23"/>
      <c r="T5180" s="23"/>
      <c r="U5180" s="23"/>
      <c r="V5180" s="23"/>
      <c r="W5180" s="23"/>
      <c r="X5180" s="23"/>
      <c r="Y5180" s="23"/>
      <c r="Z5180" s="23"/>
    </row>
    <row r="5181" spans="1:26" ht="13">
      <c r="A5181" s="562" t="s">
        <v>11085</v>
      </c>
      <c r="B5181" s="563" t="s">
        <v>11086</v>
      </c>
      <c r="C5181" s="564" t="s">
        <v>1076</v>
      </c>
      <c r="D5181" s="565">
        <v>44044</v>
      </c>
      <c r="E5181" s="565">
        <v>44408</v>
      </c>
      <c r="F5181" s="566">
        <v>149932000</v>
      </c>
      <c r="G5181" s="564" t="s">
        <v>1242</v>
      </c>
      <c r="H5181" s="564" t="s">
        <v>297</v>
      </c>
      <c r="I5181" s="564" t="s">
        <v>107</v>
      </c>
      <c r="J5181" s="564" t="s">
        <v>1069</v>
      </c>
      <c r="K5181" s="564" t="s">
        <v>1120</v>
      </c>
      <c r="L5181" s="564" t="s">
        <v>1071</v>
      </c>
      <c r="M5181" s="564" t="s">
        <v>1091</v>
      </c>
      <c r="N5181" s="564" t="s">
        <v>1073</v>
      </c>
      <c r="O5181" s="564" t="s">
        <v>241</v>
      </c>
      <c r="P5181" s="23"/>
      <c r="Q5181" s="23"/>
      <c r="R5181" s="23"/>
      <c r="S5181" s="23"/>
      <c r="T5181" s="23"/>
      <c r="U5181" s="23"/>
      <c r="V5181" s="23"/>
      <c r="W5181" s="23"/>
      <c r="X5181" s="23"/>
      <c r="Y5181" s="23"/>
      <c r="Z5181" s="23"/>
    </row>
    <row r="5182" spans="1:26" ht="13">
      <c r="A5182" s="562" t="s">
        <v>11087</v>
      </c>
      <c r="B5182" s="563" t="s">
        <v>11088</v>
      </c>
      <c r="C5182" s="564" t="s">
        <v>1652</v>
      </c>
      <c r="D5182" s="565">
        <v>44044</v>
      </c>
      <c r="E5182" s="565">
        <v>44408</v>
      </c>
      <c r="F5182" s="566">
        <v>298872000</v>
      </c>
      <c r="G5182" s="564" t="s">
        <v>297</v>
      </c>
      <c r="H5182" s="564" t="s">
        <v>297</v>
      </c>
      <c r="I5182" s="564" t="s">
        <v>107</v>
      </c>
      <c r="J5182" s="564" t="s">
        <v>1069</v>
      </c>
      <c r="K5182" s="564" t="s">
        <v>1120</v>
      </c>
      <c r="L5182" s="564" t="s">
        <v>1071</v>
      </c>
      <c r="M5182" s="564" t="s">
        <v>1091</v>
      </c>
      <c r="N5182" s="564" t="s">
        <v>1073</v>
      </c>
      <c r="O5182" s="564" t="s">
        <v>241</v>
      </c>
      <c r="P5182" s="23"/>
      <c r="Q5182" s="23"/>
      <c r="R5182" s="23"/>
      <c r="S5182" s="23"/>
      <c r="T5182" s="23"/>
      <c r="U5182" s="23"/>
      <c r="V5182" s="23"/>
      <c r="W5182" s="23"/>
      <c r="X5182" s="23"/>
      <c r="Y5182" s="23"/>
      <c r="Z5182" s="23"/>
    </row>
    <row r="5183" spans="1:26" ht="13">
      <c r="A5183" s="562" t="s">
        <v>11089</v>
      </c>
      <c r="B5183" s="563" t="s">
        <v>11090</v>
      </c>
      <c r="C5183" s="564" t="s">
        <v>1370</v>
      </c>
      <c r="D5183" s="565">
        <v>44018</v>
      </c>
      <c r="E5183" s="565">
        <v>44110</v>
      </c>
      <c r="F5183" s="566">
        <v>43618182</v>
      </c>
      <c r="G5183" s="564" t="s">
        <v>1623</v>
      </c>
      <c r="H5183" s="564" t="s">
        <v>1623</v>
      </c>
      <c r="I5183" s="564" t="s">
        <v>802</v>
      </c>
      <c r="J5183" s="564" t="s">
        <v>1069</v>
      </c>
      <c r="K5183" s="564" t="s">
        <v>1198</v>
      </c>
      <c r="L5183" s="564" t="s">
        <v>1390</v>
      </c>
      <c r="M5183" s="564" t="s">
        <v>1390</v>
      </c>
      <c r="N5183" s="564" t="s">
        <v>132</v>
      </c>
      <c r="O5183" s="564" t="s">
        <v>38</v>
      </c>
      <c r="P5183" s="23"/>
      <c r="Q5183" s="23"/>
      <c r="R5183" s="23"/>
      <c r="S5183" s="23"/>
      <c r="T5183" s="23"/>
      <c r="U5183" s="23"/>
      <c r="V5183" s="23"/>
      <c r="W5183" s="23"/>
      <c r="X5183" s="23"/>
      <c r="Y5183" s="23"/>
      <c r="Z5183" s="23"/>
    </row>
    <row r="5184" spans="1:26" ht="13">
      <c r="A5184" s="562" t="s">
        <v>11091</v>
      </c>
      <c r="B5184" s="563" t="s">
        <v>11092</v>
      </c>
      <c r="C5184" s="564" t="s">
        <v>3378</v>
      </c>
      <c r="D5184" s="565">
        <v>44029</v>
      </c>
      <c r="E5184" s="565">
        <v>44196</v>
      </c>
      <c r="F5184" s="566">
        <v>18707625</v>
      </c>
      <c r="G5184" s="564" t="s">
        <v>11093</v>
      </c>
      <c r="H5184" s="564" t="s">
        <v>11093</v>
      </c>
      <c r="I5184" s="564" t="s">
        <v>64</v>
      </c>
      <c r="J5184" s="564" t="s">
        <v>1069</v>
      </c>
      <c r="K5184" s="564" t="s">
        <v>1090</v>
      </c>
      <c r="L5184" s="564" t="s">
        <v>1390</v>
      </c>
      <c r="M5184" s="564" t="s">
        <v>1390</v>
      </c>
      <c r="N5184" s="564" t="s">
        <v>64</v>
      </c>
      <c r="O5184" s="564" t="s">
        <v>38</v>
      </c>
      <c r="P5184" s="23"/>
      <c r="Q5184" s="23"/>
      <c r="R5184" s="23"/>
      <c r="S5184" s="23"/>
      <c r="T5184" s="23"/>
      <c r="U5184" s="23"/>
      <c r="V5184" s="23"/>
      <c r="W5184" s="23"/>
      <c r="X5184" s="23"/>
      <c r="Y5184" s="23"/>
      <c r="Z5184" s="23"/>
    </row>
    <row r="5185" spans="1:26" ht="13">
      <c r="A5185" s="562" t="s">
        <v>11094</v>
      </c>
      <c r="B5185" s="563" t="s">
        <v>11095</v>
      </c>
      <c r="C5185" s="564" t="s">
        <v>1455</v>
      </c>
      <c r="D5185" s="565">
        <v>44033</v>
      </c>
      <c r="E5185" s="565">
        <v>44109</v>
      </c>
      <c r="F5185" s="566">
        <v>19000000</v>
      </c>
      <c r="G5185" s="564" t="s">
        <v>1729</v>
      </c>
      <c r="H5185" s="564" t="s">
        <v>1157</v>
      </c>
      <c r="I5185" s="564" t="s">
        <v>11096</v>
      </c>
      <c r="J5185" s="564" t="s">
        <v>1069</v>
      </c>
      <c r="K5185" s="564" t="s">
        <v>1105</v>
      </c>
      <c r="L5185" s="564" t="s">
        <v>1390</v>
      </c>
      <c r="M5185" s="564" t="s">
        <v>1390</v>
      </c>
      <c r="N5185" s="564" t="s">
        <v>1082</v>
      </c>
      <c r="O5185" s="564" t="s">
        <v>38</v>
      </c>
      <c r="P5185" s="23"/>
      <c r="Q5185" s="23"/>
      <c r="R5185" s="23"/>
      <c r="S5185" s="23"/>
      <c r="T5185" s="23"/>
      <c r="U5185" s="23"/>
      <c r="V5185" s="23"/>
      <c r="W5185" s="23"/>
      <c r="X5185" s="23"/>
      <c r="Y5185" s="23"/>
      <c r="Z5185" s="23"/>
    </row>
    <row r="5186" spans="1:26" ht="13">
      <c r="A5186" s="562" t="s">
        <v>11097</v>
      </c>
      <c r="B5186" s="563" t="s">
        <v>11098</v>
      </c>
      <c r="C5186" s="564" t="s">
        <v>1114</v>
      </c>
      <c r="D5186" s="565">
        <v>43983</v>
      </c>
      <c r="E5186" s="565">
        <v>44347</v>
      </c>
      <c r="F5186" s="566">
        <v>2250000</v>
      </c>
      <c r="G5186" s="564" t="s">
        <v>1365</v>
      </c>
      <c r="H5186" s="564" t="s">
        <v>1366</v>
      </c>
      <c r="I5186" s="564" t="s">
        <v>11099</v>
      </c>
      <c r="J5186" s="564" t="s">
        <v>1069</v>
      </c>
      <c r="K5186" s="564" t="s">
        <v>1205</v>
      </c>
      <c r="L5186" s="564" t="s">
        <v>1117</v>
      </c>
      <c r="M5186" s="564" t="s">
        <v>1199</v>
      </c>
      <c r="N5186" s="564" t="s">
        <v>1082</v>
      </c>
      <c r="O5186" s="564" t="s">
        <v>241</v>
      </c>
      <c r="P5186" s="23"/>
      <c r="Q5186" s="23"/>
      <c r="R5186" s="23"/>
      <c r="S5186" s="23"/>
      <c r="T5186" s="23"/>
      <c r="U5186" s="23"/>
      <c r="V5186" s="23"/>
      <c r="W5186" s="23"/>
      <c r="X5186" s="23"/>
      <c r="Y5186" s="23"/>
      <c r="Z5186" s="23"/>
    </row>
    <row r="5187" spans="1:26" ht="13">
      <c r="A5187" s="562" t="s">
        <v>11100</v>
      </c>
      <c r="B5187" s="563" t="s">
        <v>11101</v>
      </c>
      <c r="C5187" s="564" t="s">
        <v>1652</v>
      </c>
      <c r="D5187" s="565">
        <v>44032</v>
      </c>
      <c r="E5187" s="565">
        <v>44074</v>
      </c>
      <c r="F5187" s="566">
        <v>56000000</v>
      </c>
      <c r="G5187" s="564" t="s">
        <v>1405</v>
      </c>
      <c r="H5187" s="564" t="s">
        <v>1405</v>
      </c>
      <c r="I5187" s="564" t="s">
        <v>107</v>
      </c>
      <c r="J5187" s="564" t="s">
        <v>1069</v>
      </c>
      <c r="K5187" s="564" t="s">
        <v>1120</v>
      </c>
      <c r="L5187" s="564" t="s">
        <v>1390</v>
      </c>
      <c r="M5187" s="564" t="s">
        <v>1390</v>
      </c>
      <c r="N5187" s="564" t="s">
        <v>1073</v>
      </c>
      <c r="O5187" s="564" t="s">
        <v>38</v>
      </c>
      <c r="P5187" s="23"/>
      <c r="Q5187" s="23"/>
      <c r="R5187" s="23"/>
      <c r="S5187" s="23"/>
      <c r="T5187" s="23"/>
      <c r="U5187" s="23"/>
      <c r="V5187" s="23"/>
      <c r="W5187" s="23"/>
      <c r="X5187" s="23"/>
      <c r="Y5187" s="23"/>
      <c r="Z5187" s="23"/>
    </row>
    <row r="5188" spans="1:26" ht="13">
      <c r="A5188" s="562" t="s">
        <v>11102</v>
      </c>
      <c r="B5188" s="563" t="s">
        <v>11103</v>
      </c>
      <c r="C5188" s="564" t="s">
        <v>1475</v>
      </c>
      <c r="D5188" s="565">
        <v>44013</v>
      </c>
      <c r="E5188" s="565">
        <v>44377</v>
      </c>
      <c r="F5188" s="566">
        <v>65347200</v>
      </c>
      <c r="G5188" s="564" t="s">
        <v>1526</v>
      </c>
      <c r="H5188" s="564" t="s">
        <v>1636</v>
      </c>
      <c r="I5188" s="564" t="s">
        <v>1842</v>
      </c>
      <c r="J5188" s="564" t="s">
        <v>1069</v>
      </c>
      <c r="K5188" s="564" t="s">
        <v>1070</v>
      </c>
      <c r="L5188" s="564" t="s">
        <v>1071</v>
      </c>
      <c r="M5188" s="564" t="s">
        <v>1091</v>
      </c>
      <c r="N5188" s="564" t="s">
        <v>1082</v>
      </c>
      <c r="O5188" s="564" t="s">
        <v>241</v>
      </c>
      <c r="P5188" s="23"/>
      <c r="Q5188" s="23"/>
      <c r="R5188" s="23"/>
      <c r="S5188" s="23"/>
      <c r="T5188" s="23"/>
      <c r="U5188" s="23"/>
      <c r="V5188" s="23"/>
      <c r="W5188" s="23"/>
      <c r="X5188" s="23"/>
      <c r="Y5188" s="23"/>
      <c r="Z5188" s="23"/>
    </row>
    <row r="5189" spans="1:26" ht="13">
      <c r="A5189" s="562" t="s">
        <v>11104</v>
      </c>
      <c r="B5189" s="563" t="s">
        <v>11105</v>
      </c>
      <c r="C5189" s="564" t="s">
        <v>1088</v>
      </c>
      <c r="D5189" s="565">
        <v>44013</v>
      </c>
      <c r="E5189" s="565">
        <v>44377</v>
      </c>
      <c r="F5189" s="566">
        <v>98020800</v>
      </c>
      <c r="G5189" s="564" t="s">
        <v>1526</v>
      </c>
      <c r="H5189" s="564" t="s">
        <v>1636</v>
      </c>
      <c r="I5189" s="564" t="s">
        <v>1842</v>
      </c>
      <c r="J5189" s="564" t="s">
        <v>1069</v>
      </c>
      <c r="K5189" s="564" t="s">
        <v>1070</v>
      </c>
      <c r="L5189" s="564" t="s">
        <v>1071</v>
      </c>
      <c r="M5189" s="564" t="s">
        <v>1091</v>
      </c>
      <c r="N5189" s="564" t="s">
        <v>1082</v>
      </c>
      <c r="O5189" s="564" t="s">
        <v>241</v>
      </c>
      <c r="P5189" s="23"/>
      <c r="Q5189" s="23"/>
      <c r="R5189" s="23"/>
      <c r="S5189" s="23"/>
      <c r="T5189" s="23"/>
      <c r="U5189" s="23"/>
      <c r="V5189" s="23"/>
      <c r="W5189" s="23"/>
      <c r="X5189" s="23"/>
      <c r="Y5189" s="23"/>
      <c r="Z5189" s="23"/>
    </row>
    <row r="5190" spans="1:26" ht="13">
      <c r="A5190" s="562" t="s">
        <v>11106</v>
      </c>
      <c r="B5190" s="563" t="s">
        <v>11107</v>
      </c>
      <c r="C5190" s="564" t="s">
        <v>1076</v>
      </c>
      <c r="D5190" s="565">
        <v>44008</v>
      </c>
      <c r="E5190" s="565">
        <v>44022</v>
      </c>
      <c r="F5190" s="566">
        <v>1000000</v>
      </c>
      <c r="G5190" s="564" t="s">
        <v>11108</v>
      </c>
      <c r="H5190" s="564" t="s">
        <v>1157</v>
      </c>
      <c r="I5190" s="564" t="s">
        <v>11109</v>
      </c>
      <c r="J5190" s="564" t="s">
        <v>1069</v>
      </c>
      <c r="K5190" s="564" t="s">
        <v>1070</v>
      </c>
      <c r="L5190" s="564" t="s">
        <v>1390</v>
      </c>
      <c r="M5190" s="564" t="s">
        <v>1390</v>
      </c>
      <c r="N5190" s="564" t="s">
        <v>1082</v>
      </c>
      <c r="O5190" s="564" t="s">
        <v>38</v>
      </c>
      <c r="P5190" s="23"/>
      <c r="Q5190" s="23"/>
      <c r="R5190" s="23"/>
      <c r="S5190" s="23"/>
      <c r="T5190" s="23"/>
      <c r="U5190" s="23"/>
      <c r="V5190" s="23"/>
      <c r="W5190" s="23"/>
      <c r="X5190" s="23"/>
      <c r="Y5190" s="23"/>
      <c r="Z5190" s="23"/>
    </row>
    <row r="5191" spans="1:26" ht="13">
      <c r="A5191" s="562" t="s">
        <v>11110</v>
      </c>
      <c r="B5191" s="563" t="s">
        <v>11111</v>
      </c>
      <c r="C5191" s="564" t="s">
        <v>2322</v>
      </c>
      <c r="D5191" s="565">
        <v>44013</v>
      </c>
      <c r="E5191" s="565">
        <v>44926</v>
      </c>
      <c r="F5191" s="566">
        <v>1149480000</v>
      </c>
      <c r="G5191" s="564" t="s">
        <v>1116</v>
      </c>
      <c r="H5191" s="564" t="s">
        <v>1116</v>
      </c>
      <c r="I5191" s="564" t="s">
        <v>516</v>
      </c>
      <c r="J5191" s="564" t="s">
        <v>1069</v>
      </c>
      <c r="K5191" s="564" t="s">
        <v>1090</v>
      </c>
      <c r="L5191" s="564" t="s">
        <v>1071</v>
      </c>
      <c r="M5191" s="564" t="s">
        <v>1091</v>
      </c>
      <c r="N5191" s="564" t="s">
        <v>1082</v>
      </c>
      <c r="O5191" s="564" t="s">
        <v>241</v>
      </c>
      <c r="P5191" s="23"/>
      <c r="Q5191" s="23"/>
      <c r="R5191" s="23"/>
      <c r="S5191" s="23"/>
      <c r="T5191" s="23"/>
      <c r="U5191" s="23"/>
      <c r="V5191" s="23"/>
      <c r="W5191" s="23"/>
      <c r="X5191" s="23"/>
      <c r="Y5191" s="23"/>
      <c r="Z5191" s="23"/>
    </row>
    <row r="5192" spans="1:26" ht="13">
      <c r="A5192" s="562" t="s">
        <v>11112</v>
      </c>
      <c r="B5192" s="563" t="s">
        <v>11113</v>
      </c>
      <c r="C5192" s="564" t="s">
        <v>1455</v>
      </c>
      <c r="D5192" s="565">
        <v>43994</v>
      </c>
      <c r="E5192" s="565">
        <v>44003</v>
      </c>
      <c r="F5192" s="566">
        <v>4800000</v>
      </c>
      <c r="G5192" s="564" t="s">
        <v>1123</v>
      </c>
      <c r="H5192" s="564" t="s">
        <v>1123</v>
      </c>
      <c r="I5192" s="564" t="s">
        <v>225</v>
      </c>
      <c r="J5192" s="564" t="s">
        <v>1069</v>
      </c>
      <c r="K5192" s="564" t="s">
        <v>1105</v>
      </c>
      <c r="L5192" s="564" t="s">
        <v>1071</v>
      </c>
      <c r="M5192" s="564" t="s">
        <v>1124</v>
      </c>
      <c r="N5192" s="564" t="s">
        <v>225</v>
      </c>
      <c r="O5192" s="564" t="s">
        <v>38</v>
      </c>
      <c r="P5192" s="23"/>
      <c r="Q5192" s="23"/>
      <c r="R5192" s="23"/>
      <c r="S5192" s="23"/>
      <c r="T5192" s="23"/>
      <c r="U5192" s="23"/>
      <c r="V5192" s="23"/>
      <c r="W5192" s="23"/>
      <c r="X5192" s="23"/>
      <c r="Y5192" s="23"/>
      <c r="Z5192" s="23"/>
    </row>
    <row r="5193" spans="1:26" ht="13">
      <c r="A5193" s="562" t="s">
        <v>11114</v>
      </c>
      <c r="B5193" s="563" t="s">
        <v>11115</v>
      </c>
      <c r="C5193" s="564" t="s">
        <v>1455</v>
      </c>
      <c r="D5193" s="565">
        <v>43976</v>
      </c>
      <c r="E5193" s="565">
        <v>44135</v>
      </c>
      <c r="F5193" s="566">
        <v>18000000</v>
      </c>
      <c r="G5193" s="564" t="s">
        <v>1729</v>
      </c>
      <c r="H5193" s="564" t="s">
        <v>1157</v>
      </c>
      <c r="I5193" s="564" t="s">
        <v>11116</v>
      </c>
      <c r="J5193" s="564" t="s">
        <v>1069</v>
      </c>
      <c r="K5193" s="564" t="s">
        <v>1105</v>
      </c>
      <c r="L5193" s="564" t="s">
        <v>1390</v>
      </c>
      <c r="M5193" s="564" t="s">
        <v>1390</v>
      </c>
      <c r="N5193" s="564" t="s">
        <v>1082</v>
      </c>
      <c r="O5193" s="564" t="s">
        <v>38</v>
      </c>
      <c r="P5193" s="23"/>
      <c r="Q5193" s="23"/>
      <c r="R5193" s="23"/>
      <c r="S5193" s="23"/>
      <c r="T5193" s="23"/>
      <c r="U5193" s="23"/>
      <c r="V5193" s="23"/>
      <c r="W5193" s="23"/>
      <c r="X5193" s="23"/>
      <c r="Y5193" s="23"/>
      <c r="Z5193" s="23"/>
    </row>
    <row r="5194" spans="1:26" ht="13">
      <c r="A5194" s="562" t="s">
        <v>11117</v>
      </c>
      <c r="B5194" s="563" t="s">
        <v>11118</v>
      </c>
      <c r="C5194" s="564" t="s">
        <v>1455</v>
      </c>
      <c r="D5194" s="565">
        <v>43983</v>
      </c>
      <c r="E5194" s="565">
        <v>44196</v>
      </c>
      <c r="F5194" s="566">
        <v>19064700</v>
      </c>
      <c r="G5194" s="564" t="s">
        <v>11093</v>
      </c>
      <c r="H5194" s="564" t="s">
        <v>11093</v>
      </c>
      <c r="I5194" s="564" t="s">
        <v>170</v>
      </c>
      <c r="J5194" s="564" t="s">
        <v>1069</v>
      </c>
      <c r="K5194" s="564" t="s">
        <v>1105</v>
      </c>
      <c r="L5194" s="564" t="s">
        <v>1390</v>
      </c>
      <c r="M5194" s="564" t="s">
        <v>1390</v>
      </c>
      <c r="N5194" s="564" t="s">
        <v>170</v>
      </c>
      <c r="O5194" s="564" t="s">
        <v>38</v>
      </c>
      <c r="P5194" s="23"/>
      <c r="Q5194" s="23"/>
      <c r="R5194" s="23"/>
      <c r="S5194" s="23"/>
      <c r="T5194" s="23"/>
      <c r="U5194" s="23"/>
      <c r="V5194" s="23"/>
      <c r="W5194" s="23"/>
      <c r="X5194" s="23"/>
      <c r="Y5194" s="23"/>
      <c r="Z5194" s="23"/>
    </row>
    <row r="5195" spans="1:26" ht="13">
      <c r="A5195" s="562" t="s">
        <v>11119</v>
      </c>
      <c r="B5195" s="563" t="s">
        <v>11120</v>
      </c>
      <c r="C5195" s="564" t="s">
        <v>1114</v>
      </c>
      <c r="D5195" s="565">
        <v>43969</v>
      </c>
      <c r="E5195" s="565">
        <v>44043</v>
      </c>
      <c r="F5195" s="566">
        <v>1755000</v>
      </c>
      <c r="G5195" s="564" t="s">
        <v>1197</v>
      </c>
      <c r="H5195" s="564" t="s">
        <v>1366</v>
      </c>
      <c r="I5195" s="564" t="s">
        <v>11121</v>
      </c>
      <c r="J5195" s="564" t="s">
        <v>1069</v>
      </c>
      <c r="K5195" s="564" t="s">
        <v>1070</v>
      </c>
      <c r="L5195" s="564" t="s">
        <v>1390</v>
      </c>
      <c r="M5195" s="564" t="s">
        <v>1390</v>
      </c>
      <c r="N5195" s="564" t="s">
        <v>1082</v>
      </c>
      <c r="O5195" s="564" t="s">
        <v>38</v>
      </c>
      <c r="P5195" s="23"/>
      <c r="Q5195" s="23"/>
      <c r="R5195" s="23"/>
      <c r="S5195" s="23"/>
      <c r="T5195" s="23"/>
      <c r="U5195" s="23"/>
      <c r="V5195" s="23"/>
      <c r="W5195" s="23"/>
      <c r="X5195" s="23"/>
      <c r="Y5195" s="23"/>
      <c r="Z5195" s="23"/>
    </row>
    <row r="5196" spans="1:26" ht="13">
      <c r="A5196" s="562" t="s">
        <v>11122</v>
      </c>
      <c r="B5196" s="563" t="s">
        <v>11123</v>
      </c>
      <c r="C5196" s="564" t="s">
        <v>1370</v>
      </c>
      <c r="D5196" s="565">
        <v>43952</v>
      </c>
      <c r="E5196" s="565">
        <v>44316</v>
      </c>
      <c r="F5196" s="566">
        <v>42545455</v>
      </c>
      <c r="G5196" s="564" t="s">
        <v>1623</v>
      </c>
      <c r="H5196" s="564" t="s">
        <v>1623</v>
      </c>
      <c r="I5196" s="564" t="s">
        <v>802</v>
      </c>
      <c r="J5196" s="564" t="s">
        <v>1069</v>
      </c>
      <c r="K5196" s="564" t="s">
        <v>1198</v>
      </c>
      <c r="L5196" s="564" t="s">
        <v>1071</v>
      </c>
      <c r="M5196" s="564" t="s">
        <v>1091</v>
      </c>
      <c r="N5196" s="564" t="s">
        <v>132</v>
      </c>
      <c r="O5196" s="564" t="s">
        <v>241</v>
      </c>
      <c r="P5196" s="23"/>
      <c r="Q5196" s="23"/>
      <c r="R5196" s="23"/>
      <c r="S5196" s="23"/>
      <c r="T5196" s="23"/>
      <c r="U5196" s="23"/>
      <c r="V5196" s="23"/>
      <c r="W5196" s="23"/>
      <c r="X5196" s="23"/>
      <c r="Y5196" s="23"/>
      <c r="Z5196" s="23"/>
    </row>
    <row r="5197" spans="1:26" ht="13">
      <c r="A5197" s="562" t="s">
        <v>11124</v>
      </c>
      <c r="B5197" s="563" t="s">
        <v>11125</v>
      </c>
      <c r="C5197" s="564" t="s">
        <v>1652</v>
      </c>
      <c r="D5197" s="565">
        <v>43959</v>
      </c>
      <c r="E5197" s="565">
        <v>44196</v>
      </c>
      <c r="F5197" s="566">
        <v>18956025</v>
      </c>
      <c r="G5197" s="564" t="s">
        <v>11093</v>
      </c>
      <c r="H5197" s="564" t="s">
        <v>11093</v>
      </c>
      <c r="I5197" s="564" t="s">
        <v>70</v>
      </c>
      <c r="J5197" s="564" t="s">
        <v>1069</v>
      </c>
      <c r="K5197" s="564" t="s">
        <v>1120</v>
      </c>
      <c r="L5197" s="564" t="s">
        <v>1390</v>
      </c>
      <c r="M5197" s="564" t="s">
        <v>1390</v>
      </c>
      <c r="N5197" s="564" t="s">
        <v>70</v>
      </c>
      <c r="O5197" s="564" t="s">
        <v>38</v>
      </c>
      <c r="P5197" s="23"/>
      <c r="Q5197" s="23"/>
      <c r="R5197" s="23"/>
      <c r="S5197" s="23"/>
      <c r="T5197" s="23"/>
      <c r="U5197" s="23"/>
      <c r="V5197" s="23"/>
      <c r="W5197" s="23"/>
      <c r="X5197" s="23"/>
      <c r="Y5197" s="23"/>
      <c r="Z5197" s="23"/>
    </row>
    <row r="5198" spans="1:26" ht="13">
      <c r="A5198" s="562" t="s">
        <v>11126</v>
      </c>
      <c r="B5198" s="563" t="s">
        <v>11127</v>
      </c>
      <c r="C5198" s="564" t="s">
        <v>1370</v>
      </c>
      <c r="D5198" s="565">
        <v>43948</v>
      </c>
      <c r="E5198" s="565">
        <v>43990</v>
      </c>
      <c r="F5198" s="566">
        <v>16809091</v>
      </c>
      <c r="G5198" s="564" t="s">
        <v>1623</v>
      </c>
      <c r="H5198" s="564" t="s">
        <v>1623</v>
      </c>
      <c r="I5198" s="564" t="s">
        <v>802</v>
      </c>
      <c r="J5198" s="564" t="s">
        <v>1069</v>
      </c>
      <c r="K5198" s="564" t="s">
        <v>1198</v>
      </c>
      <c r="L5198" s="564" t="s">
        <v>1390</v>
      </c>
      <c r="M5198" s="564" t="s">
        <v>1390</v>
      </c>
      <c r="N5198" s="564" t="s">
        <v>132</v>
      </c>
      <c r="O5198" s="564" t="s">
        <v>38</v>
      </c>
      <c r="P5198" s="23"/>
      <c r="Q5198" s="23"/>
      <c r="R5198" s="23"/>
      <c r="S5198" s="23"/>
      <c r="T5198" s="23"/>
      <c r="U5198" s="23"/>
      <c r="V5198" s="23"/>
      <c r="W5198" s="23"/>
      <c r="X5198" s="23"/>
      <c r="Y5198" s="23"/>
      <c r="Z5198" s="23"/>
    </row>
    <row r="5199" spans="1:26" ht="13">
      <c r="A5199" s="562" t="s">
        <v>11128</v>
      </c>
      <c r="B5199" s="563" t="s">
        <v>11129</v>
      </c>
      <c r="C5199" s="564" t="s">
        <v>1076</v>
      </c>
      <c r="D5199" s="565">
        <v>43952</v>
      </c>
      <c r="E5199" s="565">
        <v>44316</v>
      </c>
      <c r="F5199" s="566">
        <v>15600000</v>
      </c>
      <c r="G5199" s="564" t="s">
        <v>1157</v>
      </c>
      <c r="H5199" s="564" t="s">
        <v>1157</v>
      </c>
      <c r="I5199" s="564" t="s">
        <v>1781</v>
      </c>
      <c r="J5199" s="564" t="s">
        <v>1069</v>
      </c>
      <c r="K5199" s="564" t="s">
        <v>1070</v>
      </c>
      <c r="L5199" s="564" t="s">
        <v>1071</v>
      </c>
      <c r="M5199" s="564" t="s">
        <v>1091</v>
      </c>
      <c r="N5199" s="564" t="s">
        <v>1073</v>
      </c>
      <c r="O5199" s="564" t="s">
        <v>241</v>
      </c>
      <c r="P5199" s="23"/>
      <c r="Q5199" s="23"/>
      <c r="R5199" s="23"/>
      <c r="S5199" s="23"/>
      <c r="T5199" s="23"/>
      <c r="U5199" s="23"/>
      <c r="V5199" s="23"/>
      <c r="W5199" s="23"/>
      <c r="X5199" s="23"/>
      <c r="Y5199" s="23"/>
      <c r="Z5199" s="23"/>
    </row>
    <row r="5200" spans="1:26" ht="13">
      <c r="A5200" s="562" t="s">
        <v>11130</v>
      </c>
      <c r="B5200" s="563" t="s">
        <v>11131</v>
      </c>
      <c r="C5200" s="564" t="s">
        <v>1076</v>
      </c>
      <c r="D5200" s="565">
        <v>43952</v>
      </c>
      <c r="E5200" s="565">
        <v>44316</v>
      </c>
      <c r="F5200" s="566">
        <v>21684000</v>
      </c>
      <c r="G5200" s="564" t="s">
        <v>1157</v>
      </c>
      <c r="H5200" s="564" t="s">
        <v>1157</v>
      </c>
      <c r="I5200" s="564" t="s">
        <v>146</v>
      </c>
      <c r="J5200" s="564" t="s">
        <v>1069</v>
      </c>
      <c r="K5200" s="564" t="s">
        <v>1070</v>
      </c>
      <c r="L5200" s="564" t="s">
        <v>1071</v>
      </c>
      <c r="M5200" s="564" t="s">
        <v>1091</v>
      </c>
      <c r="N5200" s="564" t="s">
        <v>1073</v>
      </c>
      <c r="O5200" s="564" t="s">
        <v>241</v>
      </c>
      <c r="P5200" s="23"/>
      <c r="Q5200" s="23"/>
      <c r="R5200" s="23"/>
      <c r="S5200" s="23"/>
      <c r="T5200" s="23"/>
      <c r="U5200" s="23"/>
      <c r="V5200" s="23"/>
      <c r="W5200" s="23"/>
      <c r="X5200" s="23"/>
      <c r="Y5200" s="23"/>
      <c r="Z5200" s="23"/>
    </row>
    <row r="5201" spans="1:26" ht="13">
      <c r="A5201" s="562" t="s">
        <v>11132</v>
      </c>
      <c r="B5201" s="563" t="s">
        <v>11133</v>
      </c>
      <c r="C5201" s="564" t="s">
        <v>1114</v>
      </c>
      <c r="D5201" s="565">
        <v>43934</v>
      </c>
      <c r="E5201" s="565">
        <v>44074</v>
      </c>
      <c r="F5201" s="566">
        <v>38000000</v>
      </c>
      <c r="G5201" s="564" t="s">
        <v>1365</v>
      </c>
      <c r="H5201" s="564" t="s">
        <v>1366</v>
      </c>
      <c r="I5201" s="564" t="s">
        <v>11134</v>
      </c>
      <c r="J5201" s="564" t="s">
        <v>1069</v>
      </c>
      <c r="K5201" s="564" t="s">
        <v>1205</v>
      </c>
      <c r="L5201" s="564" t="s">
        <v>1390</v>
      </c>
      <c r="M5201" s="564" t="s">
        <v>1390</v>
      </c>
      <c r="N5201" s="564" t="s">
        <v>1082</v>
      </c>
      <c r="O5201" s="564" t="s">
        <v>38</v>
      </c>
      <c r="P5201" s="23"/>
      <c r="Q5201" s="23"/>
      <c r="R5201" s="23"/>
      <c r="S5201" s="23"/>
      <c r="T5201" s="23"/>
      <c r="U5201" s="23"/>
      <c r="V5201" s="23"/>
      <c r="W5201" s="23"/>
      <c r="X5201" s="23"/>
      <c r="Y5201" s="23"/>
      <c r="Z5201" s="23"/>
    </row>
    <row r="5202" spans="1:26" ht="13">
      <c r="A5202" s="562" t="s">
        <v>11135</v>
      </c>
      <c r="B5202" s="563" t="s">
        <v>11136</v>
      </c>
      <c r="C5202" s="564" t="s">
        <v>1114</v>
      </c>
      <c r="D5202" s="565">
        <v>43922</v>
      </c>
      <c r="E5202" s="565">
        <v>44012</v>
      </c>
      <c r="F5202" s="566">
        <v>61815000</v>
      </c>
      <c r="G5202" s="564" t="s">
        <v>1197</v>
      </c>
      <c r="H5202" s="564" t="s">
        <v>674</v>
      </c>
      <c r="I5202" s="564" t="s">
        <v>257</v>
      </c>
      <c r="J5202" s="564" t="s">
        <v>1069</v>
      </c>
      <c r="K5202" s="564" t="s">
        <v>1209</v>
      </c>
      <c r="L5202" s="564" t="s">
        <v>1117</v>
      </c>
      <c r="M5202" s="564" t="s">
        <v>1199</v>
      </c>
      <c r="N5202" s="564" t="s">
        <v>257</v>
      </c>
      <c r="O5202" s="564" t="s">
        <v>38</v>
      </c>
      <c r="P5202" s="23"/>
      <c r="Q5202" s="23"/>
      <c r="R5202" s="23"/>
      <c r="S5202" s="23"/>
      <c r="T5202" s="23"/>
      <c r="U5202" s="23"/>
      <c r="V5202" s="23"/>
      <c r="W5202" s="23"/>
      <c r="X5202" s="23"/>
      <c r="Y5202" s="23"/>
      <c r="Z5202" s="23"/>
    </row>
    <row r="5203" spans="1:26" ht="13">
      <c r="A5203" s="562" t="s">
        <v>11137</v>
      </c>
      <c r="B5203" s="563" t="s">
        <v>11138</v>
      </c>
      <c r="C5203" s="564" t="s">
        <v>1455</v>
      </c>
      <c r="D5203" s="565">
        <v>43906</v>
      </c>
      <c r="E5203" s="565">
        <v>44196</v>
      </c>
      <c r="F5203" s="566">
        <v>240599850</v>
      </c>
      <c r="G5203" s="564" t="s">
        <v>11139</v>
      </c>
      <c r="H5203" s="564" t="s">
        <v>1157</v>
      </c>
      <c r="I5203" s="564" t="s">
        <v>170</v>
      </c>
      <c r="J5203" s="564" t="s">
        <v>1069</v>
      </c>
      <c r="K5203" s="564" t="s">
        <v>1105</v>
      </c>
      <c r="L5203" s="564" t="s">
        <v>1071</v>
      </c>
      <c r="M5203" s="564" t="s">
        <v>1091</v>
      </c>
      <c r="N5203" s="564" t="s">
        <v>170</v>
      </c>
      <c r="O5203" s="564" t="s">
        <v>241</v>
      </c>
      <c r="P5203" s="23"/>
      <c r="Q5203" s="23"/>
      <c r="R5203" s="23"/>
      <c r="S5203" s="23"/>
      <c r="T5203" s="23"/>
      <c r="U5203" s="23"/>
      <c r="V5203" s="23"/>
      <c r="W5203" s="23"/>
      <c r="X5203" s="23"/>
      <c r="Y5203" s="23"/>
      <c r="Z5203" s="23"/>
    </row>
    <row r="5204" spans="1:26" ht="13">
      <c r="A5204" s="562" t="s">
        <v>11140</v>
      </c>
      <c r="B5204" s="563" t="s">
        <v>11141</v>
      </c>
      <c r="C5204" s="564" t="s">
        <v>2437</v>
      </c>
      <c r="D5204" s="565">
        <v>43922</v>
      </c>
      <c r="E5204" s="565">
        <v>44165</v>
      </c>
      <c r="F5204" s="566">
        <v>759090909</v>
      </c>
      <c r="G5204" s="564" t="s">
        <v>2104</v>
      </c>
      <c r="H5204" s="564" t="s">
        <v>11012</v>
      </c>
      <c r="I5204" s="564" t="s">
        <v>11013</v>
      </c>
      <c r="J5204" s="564" t="s">
        <v>1069</v>
      </c>
      <c r="K5204" s="564" t="s">
        <v>1198</v>
      </c>
      <c r="L5204" s="564" t="s">
        <v>1071</v>
      </c>
      <c r="M5204" s="564" t="s">
        <v>1091</v>
      </c>
      <c r="N5204" s="564" t="s">
        <v>1368</v>
      </c>
      <c r="O5204" s="564" t="s">
        <v>38</v>
      </c>
      <c r="P5204" s="23"/>
      <c r="Q5204" s="23"/>
      <c r="R5204" s="23"/>
      <c r="S5204" s="23"/>
      <c r="T5204" s="23"/>
      <c r="U5204" s="23"/>
      <c r="V5204" s="23"/>
      <c r="W5204" s="23"/>
      <c r="X5204" s="23"/>
      <c r="Y5204" s="23"/>
      <c r="Z5204" s="23"/>
    </row>
    <row r="5205" spans="1:26" ht="13">
      <c r="A5205" s="562" t="s">
        <v>11142</v>
      </c>
      <c r="B5205" s="563" t="s">
        <v>11143</v>
      </c>
      <c r="C5205" s="564" t="s">
        <v>1370</v>
      </c>
      <c r="D5205" s="565">
        <v>43891</v>
      </c>
      <c r="E5205" s="565">
        <v>44255</v>
      </c>
      <c r="F5205" s="566">
        <v>232530727</v>
      </c>
      <c r="G5205" s="564" t="s">
        <v>1182</v>
      </c>
      <c r="H5205" s="564" t="s">
        <v>1182</v>
      </c>
      <c r="I5205" s="564" t="s">
        <v>802</v>
      </c>
      <c r="J5205" s="564" t="s">
        <v>1069</v>
      </c>
      <c r="K5205" s="564" t="s">
        <v>1198</v>
      </c>
      <c r="L5205" s="564" t="s">
        <v>1071</v>
      </c>
      <c r="M5205" s="564" t="s">
        <v>1091</v>
      </c>
      <c r="N5205" s="564" t="s">
        <v>132</v>
      </c>
      <c r="O5205" s="564" t="s">
        <v>241</v>
      </c>
      <c r="P5205" s="23"/>
      <c r="Q5205" s="23"/>
      <c r="R5205" s="23"/>
      <c r="S5205" s="23"/>
      <c r="T5205" s="23"/>
      <c r="U5205" s="23"/>
      <c r="V5205" s="23"/>
      <c r="W5205" s="23"/>
      <c r="X5205" s="23"/>
      <c r="Y5205" s="23"/>
      <c r="Z5205" s="23"/>
    </row>
    <row r="5206" spans="1:26" ht="13">
      <c r="A5206" s="562" t="s">
        <v>11144</v>
      </c>
      <c r="B5206" s="563" t="s">
        <v>11145</v>
      </c>
      <c r="C5206" s="564" t="s">
        <v>1114</v>
      </c>
      <c r="D5206" s="565">
        <v>43891</v>
      </c>
      <c r="E5206" s="565">
        <v>44620</v>
      </c>
      <c r="F5206" s="566">
        <v>10800000</v>
      </c>
      <c r="G5206" s="564" t="s">
        <v>1365</v>
      </c>
      <c r="H5206" s="564" t="s">
        <v>1366</v>
      </c>
      <c r="I5206" s="564" t="s">
        <v>11146</v>
      </c>
      <c r="J5206" s="564" t="s">
        <v>1069</v>
      </c>
      <c r="K5206" s="564" t="s">
        <v>1205</v>
      </c>
      <c r="L5206" s="564" t="s">
        <v>1117</v>
      </c>
      <c r="M5206" s="564" t="s">
        <v>1199</v>
      </c>
      <c r="N5206" s="564" t="s">
        <v>1082</v>
      </c>
      <c r="O5206" s="564" t="s">
        <v>241</v>
      </c>
      <c r="P5206" s="23"/>
      <c r="Q5206" s="23"/>
      <c r="R5206" s="23"/>
      <c r="S5206" s="23"/>
      <c r="T5206" s="23"/>
      <c r="U5206" s="23"/>
      <c r="V5206" s="23"/>
      <c r="W5206" s="23"/>
      <c r="X5206" s="23"/>
      <c r="Y5206" s="23"/>
      <c r="Z5206" s="23"/>
    </row>
    <row r="5207" spans="1:26" ht="13">
      <c r="A5207" s="562" t="s">
        <v>11147</v>
      </c>
      <c r="B5207" s="563" t="s">
        <v>11148</v>
      </c>
      <c r="C5207" s="564" t="s">
        <v>1370</v>
      </c>
      <c r="D5207" s="565">
        <v>43891</v>
      </c>
      <c r="E5207" s="565">
        <v>44255</v>
      </c>
      <c r="F5207" s="566">
        <v>137839000</v>
      </c>
      <c r="G5207" s="564" t="s">
        <v>1182</v>
      </c>
      <c r="H5207" s="564" t="s">
        <v>1182</v>
      </c>
      <c r="I5207" s="564" t="s">
        <v>802</v>
      </c>
      <c r="J5207" s="564" t="s">
        <v>1069</v>
      </c>
      <c r="K5207" s="564" t="s">
        <v>1198</v>
      </c>
      <c r="L5207" s="564" t="s">
        <v>1071</v>
      </c>
      <c r="M5207" s="564" t="s">
        <v>1091</v>
      </c>
      <c r="N5207" s="564" t="s">
        <v>132</v>
      </c>
      <c r="O5207" s="564" t="s">
        <v>241</v>
      </c>
      <c r="P5207" s="23"/>
      <c r="Q5207" s="23"/>
      <c r="R5207" s="23"/>
      <c r="S5207" s="23"/>
      <c r="T5207" s="23"/>
      <c r="U5207" s="23"/>
      <c r="V5207" s="23"/>
      <c r="W5207" s="23"/>
      <c r="X5207" s="23"/>
      <c r="Y5207" s="23"/>
      <c r="Z5207" s="23"/>
    </row>
    <row r="5208" spans="1:26" ht="13">
      <c r="A5208" s="562" t="s">
        <v>11149</v>
      </c>
      <c r="B5208" s="563" t="s">
        <v>11150</v>
      </c>
      <c r="C5208" s="564" t="s">
        <v>1114</v>
      </c>
      <c r="D5208" s="565">
        <v>43891</v>
      </c>
      <c r="E5208" s="565">
        <v>44620</v>
      </c>
      <c r="F5208" s="566">
        <v>9600000</v>
      </c>
      <c r="G5208" s="564" t="s">
        <v>1365</v>
      </c>
      <c r="H5208" s="564" t="s">
        <v>1366</v>
      </c>
      <c r="I5208" s="564" t="s">
        <v>2789</v>
      </c>
      <c r="J5208" s="564" t="s">
        <v>1069</v>
      </c>
      <c r="K5208" s="564" t="s">
        <v>1205</v>
      </c>
      <c r="L5208" s="564" t="s">
        <v>1117</v>
      </c>
      <c r="M5208" s="564" t="s">
        <v>1199</v>
      </c>
      <c r="N5208" s="564" t="s">
        <v>1082</v>
      </c>
      <c r="O5208" s="564" t="s">
        <v>241</v>
      </c>
      <c r="P5208" s="23"/>
      <c r="Q5208" s="23"/>
      <c r="R5208" s="23"/>
      <c r="S5208" s="23"/>
      <c r="T5208" s="23"/>
      <c r="U5208" s="23"/>
      <c r="V5208" s="23"/>
      <c r="W5208" s="23"/>
      <c r="X5208" s="23"/>
      <c r="Y5208" s="23"/>
      <c r="Z5208" s="23"/>
    </row>
    <row r="5209" spans="1:26" ht="13">
      <c r="A5209" s="562" t="s">
        <v>11151</v>
      </c>
      <c r="B5209" s="563" t="s">
        <v>11152</v>
      </c>
      <c r="C5209" s="564" t="s">
        <v>1370</v>
      </c>
      <c r="D5209" s="565">
        <v>43891</v>
      </c>
      <c r="E5209" s="565">
        <v>44255</v>
      </c>
      <c r="F5209" s="566">
        <v>4385455</v>
      </c>
      <c r="G5209" s="564" t="s">
        <v>1623</v>
      </c>
      <c r="H5209" s="564" t="s">
        <v>1623</v>
      </c>
      <c r="I5209" s="564" t="s">
        <v>802</v>
      </c>
      <c r="J5209" s="564" t="s">
        <v>1069</v>
      </c>
      <c r="K5209" s="564" t="s">
        <v>1198</v>
      </c>
      <c r="L5209" s="564" t="s">
        <v>1071</v>
      </c>
      <c r="M5209" s="564" t="s">
        <v>1091</v>
      </c>
      <c r="N5209" s="564" t="s">
        <v>132</v>
      </c>
      <c r="O5209" s="564" t="s">
        <v>241</v>
      </c>
      <c r="P5209" s="23"/>
      <c r="Q5209" s="23"/>
      <c r="R5209" s="23"/>
      <c r="S5209" s="23"/>
      <c r="T5209" s="23"/>
      <c r="U5209" s="23"/>
      <c r="V5209" s="23"/>
      <c r="W5209" s="23"/>
      <c r="X5209" s="23"/>
      <c r="Y5209" s="23"/>
      <c r="Z5209" s="23"/>
    </row>
    <row r="5210" spans="1:26" ht="13">
      <c r="A5210" s="562" t="s">
        <v>11153</v>
      </c>
      <c r="B5210" s="563" t="s">
        <v>11154</v>
      </c>
      <c r="C5210" s="564" t="s">
        <v>1370</v>
      </c>
      <c r="D5210" s="565">
        <v>43891</v>
      </c>
      <c r="E5210" s="565">
        <v>44255</v>
      </c>
      <c r="F5210" s="566">
        <v>15632727</v>
      </c>
      <c r="G5210" s="564" t="s">
        <v>1623</v>
      </c>
      <c r="H5210" s="564" t="s">
        <v>1623</v>
      </c>
      <c r="I5210" s="564" t="s">
        <v>802</v>
      </c>
      <c r="J5210" s="564" t="s">
        <v>1069</v>
      </c>
      <c r="K5210" s="564" t="s">
        <v>1198</v>
      </c>
      <c r="L5210" s="564" t="s">
        <v>1071</v>
      </c>
      <c r="M5210" s="564" t="s">
        <v>1091</v>
      </c>
      <c r="N5210" s="564" t="s">
        <v>132</v>
      </c>
      <c r="O5210" s="564" t="s">
        <v>241</v>
      </c>
      <c r="P5210" s="23"/>
      <c r="Q5210" s="23"/>
      <c r="R5210" s="23"/>
      <c r="S5210" s="23"/>
      <c r="T5210" s="23"/>
      <c r="U5210" s="23"/>
      <c r="V5210" s="23"/>
      <c r="W5210" s="23"/>
      <c r="X5210" s="23"/>
      <c r="Y5210" s="23"/>
      <c r="Z5210" s="23"/>
    </row>
    <row r="5211" spans="1:26" ht="13">
      <c r="A5211" s="562" t="s">
        <v>11155</v>
      </c>
      <c r="B5211" s="563" t="s">
        <v>11156</v>
      </c>
      <c r="C5211" s="564" t="s">
        <v>1475</v>
      </c>
      <c r="D5211" s="565">
        <v>43885</v>
      </c>
      <c r="E5211" s="565">
        <v>43913</v>
      </c>
      <c r="F5211" s="566">
        <v>159091000</v>
      </c>
      <c r="G5211" s="564" t="s">
        <v>2104</v>
      </c>
      <c r="H5211" s="564" t="s">
        <v>11012</v>
      </c>
      <c r="I5211" s="564" t="s">
        <v>11013</v>
      </c>
      <c r="J5211" s="564" t="s">
        <v>1069</v>
      </c>
      <c r="K5211" s="564" t="s">
        <v>1198</v>
      </c>
      <c r="L5211" s="564" t="s">
        <v>1390</v>
      </c>
      <c r="M5211" s="564" t="s">
        <v>1390</v>
      </c>
      <c r="N5211" s="564" t="s">
        <v>1368</v>
      </c>
      <c r="O5211" s="564" t="s">
        <v>38</v>
      </c>
      <c r="P5211" s="23"/>
      <c r="Q5211" s="23"/>
      <c r="R5211" s="23"/>
      <c r="S5211" s="23"/>
      <c r="T5211" s="23"/>
      <c r="U5211" s="23"/>
      <c r="V5211" s="23"/>
      <c r="W5211" s="23"/>
      <c r="X5211" s="23"/>
      <c r="Y5211" s="23"/>
      <c r="Z5211" s="23"/>
    </row>
    <row r="5212" spans="1:26" ht="13">
      <c r="A5212" s="562" t="s">
        <v>11157</v>
      </c>
      <c r="B5212" s="563" t="s">
        <v>11158</v>
      </c>
      <c r="C5212" s="564" t="s">
        <v>1475</v>
      </c>
      <c r="D5212" s="565">
        <v>43891</v>
      </c>
      <c r="E5212" s="565">
        <v>44255</v>
      </c>
      <c r="F5212" s="566">
        <v>31770000</v>
      </c>
      <c r="G5212" s="564" t="s">
        <v>10789</v>
      </c>
      <c r="H5212" s="564" t="s">
        <v>1123</v>
      </c>
      <c r="I5212" s="564" t="s">
        <v>1417</v>
      </c>
      <c r="J5212" s="564" t="s">
        <v>1069</v>
      </c>
      <c r="K5212" s="564" t="s">
        <v>1070</v>
      </c>
      <c r="L5212" s="564" t="s">
        <v>1071</v>
      </c>
      <c r="M5212" s="564" t="s">
        <v>1091</v>
      </c>
      <c r="N5212" s="564" t="s">
        <v>1082</v>
      </c>
      <c r="O5212" s="564" t="s">
        <v>241</v>
      </c>
      <c r="P5212" s="23"/>
      <c r="Q5212" s="23"/>
      <c r="R5212" s="23"/>
      <c r="S5212" s="23"/>
      <c r="T5212" s="23"/>
      <c r="U5212" s="23"/>
      <c r="V5212" s="23"/>
      <c r="W5212" s="23"/>
      <c r="X5212" s="23"/>
      <c r="Y5212" s="23"/>
      <c r="Z5212" s="23"/>
    </row>
    <row r="5213" spans="1:26" ht="13">
      <c r="A5213" s="562" t="s">
        <v>11159</v>
      </c>
      <c r="B5213" s="563" t="s">
        <v>11160</v>
      </c>
      <c r="C5213" s="564" t="s">
        <v>1114</v>
      </c>
      <c r="D5213" s="565">
        <v>43892</v>
      </c>
      <c r="E5213" s="565">
        <v>43922</v>
      </c>
      <c r="F5213" s="566">
        <v>8674000</v>
      </c>
      <c r="G5213" s="564" t="s">
        <v>1197</v>
      </c>
      <c r="H5213" s="564" t="s">
        <v>1366</v>
      </c>
      <c r="I5213" s="564" t="s">
        <v>11161</v>
      </c>
      <c r="J5213" s="564" t="s">
        <v>1069</v>
      </c>
      <c r="K5213" s="564" t="s">
        <v>1070</v>
      </c>
      <c r="L5213" s="564" t="s">
        <v>1390</v>
      </c>
      <c r="M5213" s="564" t="s">
        <v>1390</v>
      </c>
      <c r="N5213" s="564" t="s">
        <v>1082</v>
      </c>
      <c r="O5213" s="564" t="s">
        <v>38</v>
      </c>
      <c r="P5213" s="23"/>
      <c r="Q5213" s="23"/>
      <c r="R5213" s="23"/>
      <c r="S5213" s="23"/>
      <c r="T5213" s="23"/>
      <c r="U5213" s="23"/>
      <c r="V5213" s="23"/>
      <c r="W5213" s="23"/>
      <c r="X5213" s="23"/>
      <c r="Y5213" s="23"/>
      <c r="Z5213" s="23"/>
    </row>
    <row r="5214" spans="1:26" ht="13">
      <c r="A5214" s="562" t="s">
        <v>11162</v>
      </c>
      <c r="B5214" s="563" t="s">
        <v>11163</v>
      </c>
      <c r="C5214" s="564" t="s">
        <v>1076</v>
      </c>
      <c r="D5214" s="565">
        <v>43862</v>
      </c>
      <c r="E5214" s="565">
        <v>44025</v>
      </c>
      <c r="F5214" s="566">
        <v>40000000</v>
      </c>
      <c r="G5214" s="564" t="s">
        <v>11164</v>
      </c>
      <c r="H5214" s="564" t="s">
        <v>1941</v>
      </c>
      <c r="I5214" s="564" t="s">
        <v>70</v>
      </c>
      <c r="J5214" s="564" t="s">
        <v>1069</v>
      </c>
      <c r="K5214" s="564" t="s">
        <v>1120</v>
      </c>
      <c r="L5214" s="564" t="s">
        <v>1390</v>
      </c>
      <c r="M5214" s="564" t="s">
        <v>1390</v>
      </c>
      <c r="N5214" s="564" t="s">
        <v>70</v>
      </c>
      <c r="O5214" s="564" t="s">
        <v>38</v>
      </c>
      <c r="P5214" s="23"/>
      <c r="Q5214" s="23"/>
      <c r="R5214" s="23"/>
      <c r="S5214" s="23"/>
      <c r="T5214" s="23"/>
      <c r="U5214" s="23"/>
      <c r="V5214" s="23"/>
      <c r="W5214" s="23"/>
      <c r="X5214" s="23"/>
      <c r="Y5214" s="23"/>
      <c r="Z5214" s="23"/>
    </row>
    <row r="5215" spans="1:26" ht="13">
      <c r="A5215" s="562" t="s">
        <v>11165</v>
      </c>
      <c r="B5215" s="563" t="s">
        <v>11166</v>
      </c>
      <c r="C5215" s="564" t="s">
        <v>1103</v>
      </c>
      <c r="D5215" s="565">
        <v>43891</v>
      </c>
      <c r="E5215" s="565">
        <v>44196</v>
      </c>
      <c r="F5215" s="566">
        <v>7500000</v>
      </c>
      <c r="G5215" s="564" t="s">
        <v>1941</v>
      </c>
      <c r="H5215" s="564" t="s">
        <v>1941</v>
      </c>
      <c r="I5215" s="564" t="s">
        <v>70</v>
      </c>
      <c r="J5215" s="564" t="s">
        <v>1069</v>
      </c>
      <c r="K5215" s="564" t="s">
        <v>1120</v>
      </c>
      <c r="L5215" s="564" t="s">
        <v>1071</v>
      </c>
      <c r="M5215" s="564" t="s">
        <v>1091</v>
      </c>
      <c r="N5215" s="564" t="s">
        <v>70</v>
      </c>
      <c r="O5215" s="564" t="s">
        <v>241</v>
      </c>
      <c r="P5215" s="23"/>
      <c r="Q5215" s="23"/>
      <c r="R5215" s="23"/>
      <c r="S5215" s="23"/>
      <c r="T5215" s="23"/>
      <c r="U5215" s="23"/>
      <c r="V5215" s="23"/>
      <c r="W5215" s="23"/>
      <c r="X5215" s="23"/>
      <c r="Y5215" s="23"/>
      <c r="Z5215" s="23"/>
    </row>
    <row r="5216" spans="1:26" ht="13">
      <c r="A5216" s="562" t="s">
        <v>11167</v>
      </c>
      <c r="B5216" s="563" t="s">
        <v>11168</v>
      </c>
      <c r="C5216" s="564" t="s">
        <v>1103</v>
      </c>
      <c r="D5216" s="565">
        <v>43862</v>
      </c>
      <c r="E5216" s="565">
        <v>44227</v>
      </c>
      <c r="F5216" s="566">
        <v>18300000</v>
      </c>
      <c r="G5216" s="564" t="s">
        <v>11000</v>
      </c>
      <c r="H5216" s="564" t="s">
        <v>1941</v>
      </c>
      <c r="I5216" s="564" t="s">
        <v>70</v>
      </c>
      <c r="J5216" s="564" t="s">
        <v>1069</v>
      </c>
      <c r="K5216" s="564" t="s">
        <v>1120</v>
      </c>
      <c r="L5216" s="564" t="s">
        <v>1071</v>
      </c>
      <c r="M5216" s="564" t="s">
        <v>1091</v>
      </c>
      <c r="N5216" s="564" t="s">
        <v>70</v>
      </c>
      <c r="O5216" s="564" t="s">
        <v>241</v>
      </c>
      <c r="P5216" s="23"/>
      <c r="Q5216" s="23"/>
      <c r="R5216" s="23"/>
      <c r="S5216" s="23"/>
      <c r="T5216" s="23"/>
      <c r="U5216" s="23"/>
      <c r="V5216" s="23"/>
      <c r="W5216" s="23"/>
      <c r="X5216" s="23"/>
      <c r="Y5216" s="23"/>
      <c r="Z5216" s="23"/>
    </row>
    <row r="5217" spans="1:26" ht="13">
      <c r="A5217" s="562" t="s">
        <v>11169</v>
      </c>
      <c r="B5217" s="563" t="s">
        <v>11170</v>
      </c>
      <c r="C5217" s="564" t="s">
        <v>1388</v>
      </c>
      <c r="D5217" s="565">
        <v>43871</v>
      </c>
      <c r="E5217" s="565">
        <v>44012</v>
      </c>
      <c r="F5217" s="566">
        <v>96000000</v>
      </c>
      <c r="G5217" s="564" t="s">
        <v>1128</v>
      </c>
      <c r="H5217" s="564" t="s">
        <v>1128</v>
      </c>
      <c r="I5217" s="564" t="s">
        <v>45</v>
      </c>
      <c r="J5217" s="564" t="s">
        <v>1069</v>
      </c>
      <c r="K5217" s="564" t="s">
        <v>1090</v>
      </c>
      <c r="L5217" s="564" t="s">
        <v>1390</v>
      </c>
      <c r="M5217" s="564" t="s">
        <v>1390</v>
      </c>
      <c r="N5217" s="564" t="s">
        <v>45</v>
      </c>
      <c r="O5217" s="564" t="s">
        <v>38</v>
      </c>
      <c r="P5217" s="23"/>
      <c r="Q5217" s="23"/>
      <c r="R5217" s="23"/>
      <c r="S5217" s="23"/>
      <c r="T5217" s="23"/>
      <c r="U5217" s="23"/>
      <c r="V5217" s="23"/>
      <c r="W5217" s="23"/>
      <c r="X5217" s="23"/>
      <c r="Y5217" s="23"/>
      <c r="Z5217" s="23"/>
    </row>
    <row r="5218" spans="1:26" ht="13">
      <c r="A5218" s="562" t="s">
        <v>11171</v>
      </c>
      <c r="B5218" s="563" t="s">
        <v>11172</v>
      </c>
      <c r="C5218" s="564" t="s">
        <v>1370</v>
      </c>
      <c r="D5218" s="565">
        <v>43831</v>
      </c>
      <c r="E5218" s="565">
        <v>44196</v>
      </c>
      <c r="F5218" s="566">
        <v>58945455</v>
      </c>
      <c r="G5218" s="564" t="s">
        <v>1623</v>
      </c>
      <c r="H5218" s="564" t="s">
        <v>1623</v>
      </c>
      <c r="I5218" s="564" t="s">
        <v>1746</v>
      </c>
      <c r="J5218" s="564" t="s">
        <v>1069</v>
      </c>
      <c r="K5218" s="564" t="s">
        <v>1198</v>
      </c>
      <c r="L5218" s="564" t="s">
        <v>1071</v>
      </c>
      <c r="M5218" s="564" t="s">
        <v>1091</v>
      </c>
      <c r="N5218" s="564" t="s">
        <v>1073</v>
      </c>
      <c r="O5218" s="564" t="s">
        <v>241</v>
      </c>
      <c r="P5218" s="23"/>
      <c r="Q5218" s="23"/>
      <c r="R5218" s="23"/>
      <c r="S5218" s="23"/>
      <c r="T5218" s="23"/>
      <c r="U5218" s="23"/>
      <c r="V5218" s="23"/>
      <c r="W5218" s="23"/>
      <c r="X5218" s="23"/>
      <c r="Y5218" s="23"/>
      <c r="Z5218" s="23"/>
    </row>
    <row r="5219" spans="1:26" ht="13">
      <c r="A5219" s="562" t="s">
        <v>11173</v>
      </c>
      <c r="B5219" s="563" t="s">
        <v>11174</v>
      </c>
      <c r="C5219" s="564" t="s">
        <v>1370</v>
      </c>
      <c r="D5219" s="565">
        <v>43831</v>
      </c>
      <c r="E5219" s="565">
        <v>44196</v>
      </c>
      <c r="F5219" s="566">
        <v>12000000</v>
      </c>
      <c r="G5219" s="564" t="s">
        <v>1623</v>
      </c>
      <c r="H5219" s="564" t="s">
        <v>1623</v>
      </c>
      <c r="I5219" s="564" t="s">
        <v>1746</v>
      </c>
      <c r="J5219" s="564" t="s">
        <v>1069</v>
      </c>
      <c r="K5219" s="564" t="s">
        <v>1198</v>
      </c>
      <c r="L5219" s="564" t="s">
        <v>1071</v>
      </c>
      <c r="M5219" s="564" t="s">
        <v>1091</v>
      </c>
      <c r="N5219" s="564" t="s">
        <v>1073</v>
      </c>
      <c r="O5219" s="564" t="s">
        <v>241</v>
      </c>
      <c r="P5219" s="23"/>
      <c r="Q5219" s="23"/>
      <c r="R5219" s="23"/>
      <c r="S5219" s="23"/>
      <c r="T5219" s="23"/>
      <c r="U5219" s="23"/>
      <c r="V5219" s="23"/>
      <c r="W5219" s="23"/>
      <c r="X5219" s="23"/>
      <c r="Y5219" s="23"/>
      <c r="Z5219" s="23"/>
    </row>
    <row r="5220" spans="1:26" ht="13">
      <c r="A5220" s="562" t="s">
        <v>11175</v>
      </c>
      <c r="B5220" s="563" t="s">
        <v>11176</v>
      </c>
      <c r="C5220" s="564" t="s">
        <v>1370</v>
      </c>
      <c r="D5220" s="565">
        <v>43831</v>
      </c>
      <c r="E5220" s="565">
        <v>44255</v>
      </c>
      <c r="F5220" s="566">
        <v>17922364</v>
      </c>
      <c r="G5220" s="564" t="s">
        <v>1182</v>
      </c>
      <c r="H5220" s="564" t="s">
        <v>1182</v>
      </c>
      <c r="I5220" s="564" t="s">
        <v>802</v>
      </c>
      <c r="J5220" s="564" t="s">
        <v>1069</v>
      </c>
      <c r="K5220" s="564" t="s">
        <v>1198</v>
      </c>
      <c r="L5220" s="564" t="s">
        <v>1071</v>
      </c>
      <c r="M5220" s="564" t="s">
        <v>1091</v>
      </c>
      <c r="N5220" s="564" t="s">
        <v>132</v>
      </c>
      <c r="O5220" s="564" t="s">
        <v>241</v>
      </c>
      <c r="P5220" s="23"/>
      <c r="Q5220" s="23"/>
      <c r="R5220" s="23"/>
      <c r="S5220" s="23"/>
      <c r="T5220" s="23"/>
      <c r="U5220" s="23"/>
      <c r="V5220" s="23"/>
      <c r="W5220" s="23"/>
      <c r="X5220" s="23"/>
      <c r="Y5220" s="23"/>
      <c r="Z5220" s="23"/>
    </row>
    <row r="5221" spans="1:26" ht="13">
      <c r="A5221" s="562" t="s">
        <v>11177</v>
      </c>
      <c r="B5221" s="563" t="s">
        <v>11178</v>
      </c>
      <c r="C5221" s="564" t="s">
        <v>1088</v>
      </c>
      <c r="D5221" s="565">
        <v>43831</v>
      </c>
      <c r="E5221" s="565">
        <v>44773</v>
      </c>
      <c r="F5221" s="566">
        <v>54676250</v>
      </c>
      <c r="G5221" s="564" t="s">
        <v>997</v>
      </c>
      <c r="H5221" s="564" t="s">
        <v>1128</v>
      </c>
      <c r="I5221" s="564" t="s">
        <v>1842</v>
      </c>
      <c r="J5221" s="564" t="s">
        <v>1069</v>
      </c>
      <c r="K5221" s="564" t="s">
        <v>1070</v>
      </c>
      <c r="L5221" s="564" t="s">
        <v>1071</v>
      </c>
      <c r="M5221" s="564" t="s">
        <v>1091</v>
      </c>
      <c r="N5221" s="564" t="s">
        <v>1082</v>
      </c>
      <c r="O5221" s="564" t="s">
        <v>241</v>
      </c>
      <c r="P5221" s="23"/>
      <c r="Q5221" s="23"/>
      <c r="R5221" s="23"/>
      <c r="S5221" s="23"/>
      <c r="T5221" s="23"/>
      <c r="U5221" s="23"/>
      <c r="V5221" s="23"/>
      <c r="W5221" s="23"/>
      <c r="X5221" s="23"/>
      <c r="Y5221" s="23"/>
      <c r="Z5221" s="23"/>
    </row>
    <row r="5222" spans="1:26" ht="13">
      <c r="A5222" s="562" t="s">
        <v>11179</v>
      </c>
      <c r="B5222" s="563" t="s">
        <v>11180</v>
      </c>
      <c r="C5222" s="564" t="s">
        <v>1475</v>
      </c>
      <c r="D5222" s="565">
        <v>43831</v>
      </c>
      <c r="E5222" s="565">
        <v>44196</v>
      </c>
      <c r="F5222" s="566">
        <v>56363636</v>
      </c>
      <c r="G5222" s="564" t="s">
        <v>1211</v>
      </c>
      <c r="H5222" s="564" t="s">
        <v>1636</v>
      </c>
      <c r="I5222" s="564" t="s">
        <v>11181</v>
      </c>
      <c r="J5222" s="564" t="s">
        <v>1069</v>
      </c>
      <c r="K5222" s="564" t="s">
        <v>1802</v>
      </c>
      <c r="L5222" s="564" t="s">
        <v>1071</v>
      </c>
      <c r="M5222" s="564" t="s">
        <v>1091</v>
      </c>
      <c r="N5222" s="564" t="s">
        <v>1082</v>
      </c>
      <c r="O5222" s="564" t="s">
        <v>241</v>
      </c>
      <c r="P5222" s="23"/>
      <c r="Q5222" s="23"/>
      <c r="R5222" s="23"/>
      <c r="S5222" s="23"/>
      <c r="T5222" s="23"/>
      <c r="U5222" s="23"/>
      <c r="V5222" s="23"/>
      <c r="W5222" s="23"/>
      <c r="X5222" s="23"/>
      <c r="Y5222" s="23"/>
      <c r="Z5222" s="23"/>
    </row>
    <row r="5223" spans="1:26" ht="13">
      <c r="A5223" s="562" t="s">
        <v>11182</v>
      </c>
      <c r="B5223" s="563" t="s">
        <v>11183</v>
      </c>
      <c r="C5223" s="564" t="s">
        <v>1088</v>
      </c>
      <c r="D5223" s="565">
        <v>43831</v>
      </c>
      <c r="E5223" s="565">
        <v>44196</v>
      </c>
      <c r="F5223" s="566">
        <v>65166665</v>
      </c>
      <c r="G5223" s="564" t="s">
        <v>1293</v>
      </c>
      <c r="H5223" s="564" t="s">
        <v>1293</v>
      </c>
      <c r="I5223" s="564" t="s">
        <v>1781</v>
      </c>
      <c r="J5223" s="564" t="s">
        <v>1069</v>
      </c>
      <c r="K5223" s="564" t="s">
        <v>1070</v>
      </c>
      <c r="L5223" s="564" t="s">
        <v>1071</v>
      </c>
      <c r="M5223" s="564" t="s">
        <v>1091</v>
      </c>
      <c r="N5223" s="564" t="s">
        <v>1073</v>
      </c>
      <c r="O5223" s="564" t="s">
        <v>241</v>
      </c>
      <c r="P5223" s="23"/>
      <c r="Q5223" s="23"/>
      <c r="R5223" s="23"/>
      <c r="S5223" s="23"/>
      <c r="T5223" s="23"/>
      <c r="U5223" s="23"/>
      <c r="V5223" s="23"/>
      <c r="W5223" s="23"/>
      <c r="X5223" s="23"/>
      <c r="Y5223" s="23"/>
      <c r="Z5223" s="23"/>
    </row>
    <row r="5224" spans="1:26" ht="13">
      <c r="A5224" s="562" t="s">
        <v>11184</v>
      </c>
      <c r="B5224" s="563" t="s">
        <v>11185</v>
      </c>
      <c r="C5224" s="564" t="s">
        <v>1076</v>
      </c>
      <c r="D5224" s="565">
        <v>43822</v>
      </c>
      <c r="E5224" s="565">
        <v>43840</v>
      </c>
      <c r="F5224" s="566">
        <v>1200000</v>
      </c>
      <c r="G5224" s="564" t="s">
        <v>11108</v>
      </c>
      <c r="H5224" s="564" t="s">
        <v>1157</v>
      </c>
      <c r="I5224" s="564" t="s">
        <v>11186</v>
      </c>
      <c r="J5224" s="564" t="s">
        <v>1069</v>
      </c>
      <c r="K5224" s="564" t="s">
        <v>1070</v>
      </c>
      <c r="L5224" s="564" t="s">
        <v>1390</v>
      </c>
      <c r="M5224" s="564" t="s">
        <v>1390</v>
      </c>
      <c r="N5224" s="564" t="s">
        <v>1082</v>
      </c>
      <c r="O5224" s="564" t="s">
        <v>38</v>
      </c>
      <c r="P5224" s="23"/>
      <c r="Q5224" s="23"/>
      <c r="R5224" s="23"/>
      <c r="S5224" s="23"/>
      <c r="T5224" s="23"/>
      <c r="U5224" s="23"/>
      <c r="V5224" s="23"/>
      <c r="W5224" s="23"/>
      <c r="X5224" s="23"/>
      <c r="Y5224" s="23"/>
      <c r="Z5224" s="23"/>
    </row>
    <row r="5225" spans="1:26" ht="13">
      <c r="A5225" s="562" t="s">
        <v>11187</v>
      </c>
      <c r="B5225" s="563" t="s">
        <v>11188</v>
      </c>
      <c r="C5225" s="564" t="s">
        <v>1370</v>
      </c>
      <c r="D5225" s="565">
        <v>43825</v>
      </c>
      <c r="E5225" s="565">
        <v>43921</v>
      </c>
      <c r="F5225" s="566">
        <v>18181818</v>
      </c>
      <c r="G5225" s="564" t="s">
        <v>1623</v>
      </c>
      <c r="H5225" s="564" t="s">
        <v>1623</v>
      </c>
      <c r="I5225" s="564" t="s">
        <v>802</v>
      </c>
      <c r="J5225" s="564" t="s">
        <v>1069</v>
      </c>
      <c r="K5225" s="564" t="s">
        <v>1198</v>
      </c>
      <c r="L5225" s="564" t="s">
        <v>1390</v>
      </c>
      <c r="M5225" s="564" t="s">
        <v>1390</v>
      </c>
      <c r="N5225" s="564" t="s">
        <v>132</v>
      </c>
      <c r="O5225" s="564" t="s">
        <v>38</v>
      </c>
      <c r="P5225" s="23"/>
      <c r="Q5225" s="23"/>
      <c r="R5225" s="23"/>
      <c r="S5225" s="23"/>
      <c r="T5225" s="23"/>
      <c r="U5225" s="23"/>
      <c r="V5225" s="23"/>
      <c r="W5225" s="23"/>
      <c r="X5225" s="23"/>
      <c r="Y5225" s="23"/>
      <c r="Z5225" s="23"/>
    </row>
    <row r="5226" spans="1:26" ht="13">
      <c r="A5226" s="562" t="s">
        <v>11189</v>
      </c>
      <c r="B5226" s="563" t="s">
        <v>11190</v>
      </c>
      <c r="C5226" s="564" t="s">
        <v>1370</v>
      </c>
      <c r="D5226" s="565">
        <v>43789</v>
      </c>
      <c r="E5226" s="565">
        <v>44001</v>
      </c>
      <c r="F5226" s="566">
        <v>650909091</v>
      </c>
      <c r="G5226" s="564" t="s">
        <v>1564</v>
      </c>
      <c r="H5226" s="564" t="s">
        <v>1623</v>
      </c>
      <c r="I5226" s="564" t="s">
        <v>802</v>
      </c>
      <c r="J5226" s="564" t="s">
        <v>1069</v>
      </c>
      <c r="K5226" s="564" t="s">
        <v>1198</v>
      </c>
      <c r="L5226" s="564" t="s">
        <v>1390</v>
      </c>
      <c r="M5226" s="564" t="s">
        <v>1390</v>
      </c>
      <c r="N5226" s="564" t="s">
        <v>132</v>
      </c>
      <c r="O5226" s="564" t="s">
        <v>38</v>
      </c>
      <c r="P5226" s="23"/>
      <c r="Q5226" s="23"/>
      <c r="R5226" s="23"/>
      <c r="S5226" s="23"/>
      <c r="T5226" s="23"/>
      <c r="U5226" s="23"/>
      <c r="V5226" s="23"/>
      <c r="W5226" s="23"/>
      <c r="X5226" s="23"/>
      <c r="Y5226" s="23"/>
      <c r="Z5226" s="23"/>
    </row>
    <row r="5227" spans="1:26" ht="13">
      <c r="A5227" s="562" t="s">
        <v>11191</v>
      </c>
      <c r="B5227" s="563" t="s">
        <v>11192</v>
      </c>
      <c r="C5227" s="564" t="s">
        <v>1370</v>
      </c>
      <c r="D5227" s="565">
        <v>43809</v>
      </c>
      <c r="E5227" s="565">
        <v>43839</v>
      </c>
      <c r="F5227" s="566">
        <v>27272727</v>
      </c>
      <c r="G5227" s="564" t="s">
        <v>1623</v>
      </c>
      <c r="H5227" s="564" t="s">
        <v>1623</v>
      </c>
      <c r="I5227" s="564" t="s">
        <v>11193</v>
      </c>
      <c r="J5227" s="564" t="s">
        <v>1069</v>
      </c>
      <c r="K5227" s="564" t="s">
        <v>1198</v>
      </c>
      <c r="L5227" s="564" t="s">
        <v>1390</v>
      </c>
      <c r="M5227" s="564" t="s">
        <v>1390</v>
      </c>
      <c r="N5227" s="564" t="s">
        <v>1082</v>
      </c>
      <c r="O5227" s="564" t="s">
        <v>38</v>
      </c>
      <c r="P5227" s="23"/>
      <c r="Q5227" s="23"/>
      <c r="R5227" s="23"/>
      <c r="S5227" s="23"/>
      <c r="T5227" s="23"/>
      <c r="U5227" s="23"/>
      <c r="V5227" s="23"/>
      <c r="W5227" s="23"/>
      <c r="X5227" s="23"/>
      <c r="Y5227" s="23"/>
      <c r="Z5227" s="23"/>
    </row>
    <row r="5228" spans="1:26" ht="13">
      <c r="A5228" s="562" t="s">
        <v>11194</v>
      </c>
      <c r="B5228" s="563" t="s">
        <v>11195</v>
      </c>
      <c r="C5228" s="564" t="s">
        <v>1114</v>
      </c>
      <c r="D5228" s="565">
        <v>43800</v>
      </c>
      <c r="E5228" s="565">
        <v>44165</v>
      </c>
      <c r="F5228" s="566">
        <v>5160000</v>
      </c>
      <c r="G5228" s="564" t="s">
        <v>1365</v>
      </c>
      <c r="H5228" s="564" t="s">
        <v>1366</v>
      </c>
      <c r="I5228" s="564" t="s">
        <v>11196</v>
      </c>
      <c r="J5228" s="564" t="s">
        <v>1069</v>
      </c>
      <c r="K5228" s="564" t="s">
        <v>1205</v>
      </c>
      <c r="L5228" s="564" t="s">
        <v>1117</v>
      </c>
      <c r="M5228" s="564" t="s">
        <v>1199</v>
      </c>
      <c r="N5228" s="564" t="s">
        <v>1082</v>
      </c>
      <c r="O5228" s="564" t="s">
        <v>241</v>
      </c>
      <c r="P5228" s="23"/>
      <c r="Q5228" s="23"/>
      <c r="R5228" s="23"/>
      <c r="S5228" s="23"/>
      <c r="T5228" s="23"/>
      <c r="U5228" s="23"/>
      <c r="V5228" s="23"/>
      <c r="W5228" s="23"/>
      <c r="X5228" s="23"/>
      <c r="Y5228" s="23"/>
      <c r="Z5228" s="23"/>
    </row>
    <row r="5229" spans="1:26" ht="13">
      <c r="A5229" s="562" t="s">
        <v>11197</v>
      </c>
      <c r="B5229" s="563" t="s">
        <v>11198</v>
      </c>
      <c r="C5229" s="564" t="s">
        <v>1114</v>
      </c>
      <c r="D5229" s="565">
        <v>43800</v>
      </c>
      <c r="E5229" s="565">
        <v>44165</v>
      </c>
      <c r="F5229" s="566">
        <v>3000000</v>
      </c>
      <c r="G5229" s="564" t="s">
        <v>1365</v>
      </c>
      <c r="H5229" s="564" t="s">
        <v>1366</v>
      </c>
      <c r="I5229" s="564" t="s">
        <v>11199</v>
      </c>
      <c r="J5229" s="564" t="s">
        <v>1069</v>
      </c>
      <c r="K5229" s="564" t="s">
        <v>1205</v>
      </c>
      <c r="L5229" s="564" t="s">
        <v>1117</v>
      </c>
      <c r="M5229" s="564" t="s">
        <v>1199</v>
      </c>
      <c r="N5229" s="564" t="s">
        <v>1368</v>
      </c>
      <c r="O5229" s="564" t="s">
        <v>241</v>
      </c>
      <c r="P5229" s="23"/>
      <c r="Q5229" s="23"/>
      <c r="R5229" s="23"/>
      <c r="S5229" s="23"/>
      <c r="T5229" s="23"/>
      <c r="U5229" s="23"/>
      <c r="V5229" s="23"/>
      <c r="W5229" s="23"/>
      <c r="X5229" s="23"/>
      <c r="Y5229" s="23"/>
      <c r="Z5229" s="23"/>
    </row>
    <row r="5230" spans="1:26" ht="13">
      <c r="A5230" s="562" t="s">
        <v>11200</v>
      </c>
      <c r="B5230" s="563" t="s">
        <v>11201</v>
      </c>
      <c r="C5230" s="564" t="s">
        <v>1455</v>
      </c>
      <c r="D5230" s="565">
        <v>43784</v>
      </c>
      <c r="E5230" s="565">
        <v>44196</v>
      </c>
      <c r="F5230" s="566">
        <v>4171500</v>
      </c>
      <c r="G5230" s="564" t="s">
        <v>1157</v>
      </c>
      <c r="H5230" s="564" t="s">
        <v>1157</v>
      </c>
      <c r="I5230" s="564" t="s">
        <v>6783</v>
      </c>
      <c r="J5230" s="564" t="s">
        <v>1069</v>
      </c>
      <c r="K5230" s="564" t="s">
        <v>1105</v>
      </c>
      <c r="L5230" s="564" t="s">
        <v>1071</v>
      </c>
      <c r="M5230" s="564" t="s">
        <v>1091</v>
      </c>
      <c r="N5230" s="564" t="s">
        <v>1082</v>
      </c>
      <c r="O5230" s="564" t="s">
        <v>241</v>
      </c>
      <c r="P5230" s="23"/>
      <c r="Q5230" s="23"/>
      <c r="R5230" s="23"/>
      <c r="S5230" s="23"/>
      <c r="T5230" s="23"/>
      <c r="U5230" s="23"/>
      <c r="V5230" s="23"/>
      <c r="W5230" s="23"/>
      <c r="X5230" s="23"/>
      <c r="Y5230" s="23"/>
      <c r="Z5230" s="23"/>
    </row>
    <row r="5231" spans="1:26" ht="13">
      <c r="A5231" s="562" t="s">
        <v>11202</v>
      </c>
      <c r="B5231" s="563" t="s">
        <v>11203</v>
      </c>
      <c r="C5231" s="564" t="s">
        <v>1114</v>
      </c>
      <c r="D5231" s="565">
        <v>43770</v>
      </c>
      <c r="E5231" s="565">
        <v>44135</v>
      </c>
      <c r="F5231" s="566">
        <v>4800000</v>
      </c>
      <c r="G5231" s="564" t="s">
        <v>1365</v>
      </c>
      <c r="H5231" s="564" t="s">
        <v>1366</v>
      </c>
      <c r="I5231" s="564" t="s">
        <v>10555</v>
      </c>
      <c r="J5231" s="564" t="s">
        <v>1069</v>
      </c>
      <c r="K5231" s="564" t="s">
        <v>1205</v>
      </c>
      <c r="L5231" s="564" t="s">
        <v>1117</v>
      </c>
      <c r="M5231" s="564" t="s">
        <v>1199</v>
      </c>
      <c r="N5231" s="564" t="s">
        <v>1368</v>
      </c>
      <c r="O5231" s="564" t="s">
        <v>241</v>
      </c>
      <c r="P5231" s="23"/>
      <c r="Q5231" s="23"/>
      <c r="R5231" s="23"/>
      <c r="S5231" s="23"/>
      <c r="T5231" s="23"/>
      <c r="U5231" s="23"/>
      <c r="V5231" s="23"/>
      <c r="W5231" s="23"/>
      <c r="X5231" s="23"/>
      <c r="Y5231" s="23"/>
      <c r="Z5231" s="23"/>
    </row>
    <row r="5232" spans="1:26" ht="13">
      <c r="A5232" s="562" t="s">
        <v>11204</v>
      </c>
      <c r="B5232" s="563" t="s">
        <v>11205</v>
      </c>
      <c r="C5232" s="564" t="s">
        <v>1388</v>
      </c>
      <c r="D5232" s="565">
        <v>43739</v>
      </c>
      <c r="E5232" s="565">
        <v>43861</v>
      </c>
      <c r="F5232" s="566">
        <v>191900000</v>
      </c>
      <c r="G5232" s="564" t="s">
        <v>1942</v>
      </c>
      <c r="H5232" s="564" t="s">
        <v>1942</v>
      </c>
      <c r="I5232" s="564" t="s">
        <v>45</v>
      </c>
      <c r="J5232" s="564" t="s">
        <v>1069</v>
      </c>
      <c r="K5232" s="564" t="s">
        <v>1090</v>
      </c>
      <c r="L5232" s="564" t="s">
        <v>1390</v>
      </c>
      <c r="M5232" s="564" t="s">
        <v>1390</v>
      </c>
      <c r="N5232" s="564" t="s">
        <v>45</v>
      </c>
      <c r="O5232" s="564" t="s">
        <v>38</v>
      </c>
      <c r="P5232" s="23"/>
      <c r="Q5232" s="23"/>
      <c r="R5232" s="23"/>
      <c r="S5232" s="23"/>
      <c r="T5232" s="23"/>
      <c r="U5232" s="23"/>
      <c r="V5232" s="23"/>
      <c r="W5232" s="23"/>
      <c r="X5232" s="23"/>
      <c r="Y5232" s="23"/>
      <c r="Z5232" s="23"/>
    </row>
    <row r="5233" spans="1:26" ht="13">
      <c r="A5233" s="562" t="s">
        <v>11206</v>
      </c>
      <c r="B5233" s="563" t="s">
        <v>11207</v>
      </c>
      <c r="C5233" s="564" t="s">
        <v>1114</v>
      </c>
      <c r="D5233" s="565">
        <v>43770</v>
      </c>
      <c r="E5233" s="565">
        <v>43862</v>
      </c>
      <c r="F5233" s="566">
        <v>367707000</v>
      </c>
      <c r="G5233" s="564" t="s">
        <v>1197</v>
      </c>
      <c r="H5233" s="564" t="s">
        <v>674</v>
      </c>
      <c r="I5233" s="564" t="s">
        <v>125</v>
      </c>
      <c r="J5233" s="564" t="s">
        <v>1069</v>
      </c>
      <c r="K5233" s="564" t="s">
        <v>1070</v>
      </c>
      <c r="L5233" s="564" t="s">
        <v>1117</v>
      </c>
      <c r="M5233" s="564" t="s">
        <v>1199</v>
      </c>
      <c r="N5233" s="564" t="s">
        <v>1073</v>
      </c>
      <c r="O5233" s="564" t="s">
        <v>38</v>
      </c>
      <c r="P5233" s="23"/>
      <c r="Q5233" s="23"/>
      <c r="R5233" s="23"/>
      <c r="S5233" s="23"/>
      <c r="T5233" s="23"/>
      <c r="U5233" s="23"/>
      <c r="V5233" s="23"/>
      <c r="W5233" s="23"/>
      <c r="X5233" s="23"/>
      <c r="Y5233" s="23"/>
      <c r="Z5233" s="23"/>
    </row>
    <row r="5234" spans="1:26" ht="13">
      <c r="A5234" s="562" t="s">
        <v>11208</v>
      </c>
      <c r="B5234" s="563" t="s">
        <v>11209</v>
      </c>
      <c r="C5234" s="564" t="s">
        <v>1114</v>
      </c>
      <c r="D5234" s="565">
        <v>43709</v>
      </c>
      <c r="E5234" s="565">
        <v>44074</v>
      </c>
      <c r="F5234" s="566">
        <v>649800000</v>
      </c>
      <c r="G5234" s="564" t="s">
        <v>10674</v>
      </c>
      <c r="H5234" s="564" t="s">
        <v>1400</v>
      </c>
      <c r="I5234" s="564" t="s">
        <v>11210</v>
      </c>
      <c r="J5234" s="564" t="s">
        <v>1069</v>
      </c>
      <c r="K5234" s="564" t="s">
        <v>1802</v>
      </c>
      <c r="L5234" s="564" t="s">
        <v>1071</v>
      </c>
      <c r="M5234" s="564" t="s">
        <v>1091</v>
      </c>
      <c r="N5234" s="564" t="s">
        <v>1082</v>
      </c>
      <c r="O5234" s="564" t="s">
        <v>241</v>
      </c>
      <c r="P5234" s="23"/>
      <c r="Q5234" s="23"/>
      <c r="R5234" s="23"/>
      <c r="S5234" s="23"/>
      <c r="T5234" s="23"/>
      <c r="U5234" s="23"/>
      <c r="V5234" s="23"/>
      <c r="W5234" s="23"/>
      <c r="X5234" s="23"/>
      <c r="Y5234" s="23"/>
      <c r="Z5234" s="23"/>
    </row>
    <row r="5235" spans="1:26" ht="13">
      <c r="A5235" s="562" t="s">
        <v>11211</v>
      </c>
      <c r="B5235" s="563" t="s">
        <v>11212</v>
      </c>
      <c r="C5235" s="564" t="s">
        <v>1088</v>
      </c>
      <c r="D5235" s="565">
        <v>43709</v>
      </c>
      <c r="E5235" s="565">
        <v>44074</v>
      </c>
      <c r="F5235" s="566">
        <v>76950000</v>
      </c>
      <c r="G5235" s="564" t="s">
        <v>1293</v>
      </c>
      <c r="H5235" s="564" t="s">
        <v>1293</v>
      </c>
      <c r="I5235" s="564" t="s">
        <v>1781</v>
      </c>
      <c r="J5235" s="564" t="s">
        <v>1069</v>
      </c>
      <c r="K5235" s="564" t="s">
        <v>1070</v>
      </c>
      <c r="L5235" s="564" t="s">
        <v>1071</v>
      </c>
      <c r="M5235" s="564" t="s">
        <v>1091</v>
      </c>
      <c r="N5235" s="564" t="s">
        <v>1073</v>
      </c>
      <c r="O5235" s="564" t="s">
        <v>241</v>
      </c>
      <c r="P5235" s="23"/>
      <c r="Q5235" s="23"/>
      <c r="R5235" s="23"/>
      <c r="S5235" s="23"/>
      <c r="T5235" s="23"/>
      <c r="U5235" s="23"/>
      <c r="V5235" s="23"/>
      <c r="W5235" s="23"/>
      <c r="X5235" s="23"/>
      <c r="Y5235" s="23"/>
      <c r="Z5235" s="23"/>
    </row>
    <row r="5236" spans="1:26" ht="13">
      <c r="A5236" s="562" t="s">
        <v>11213</v>
      </c>
      <c r="B5236" s="563" t="s">
        <v>11214</v>
      </c>
      <c r="C5236" s="564" t="s">
        <v>1088</v>
      </c>
      <c r="D5236" s="565">
        <v>43678</v>
      </c>
      <c r="E5236" s="565">
        <v>44043</v>
      </c>
      <c r="F5236" s="566">
        <v>112196000</v>
      </c>
      <c r="G5236" s="564" t="s">
        <v>3688</v>
      </c>
      <c r="H5236" s="564" t="s">
        <v>1405</v>
      </c>
      <c r="I5236" s="564" t="s">
        <v>1637</v>
      </c>
      <c r="J5236" s="564" t="s">
        <v>1069</v>
      </c>
      <c r="K5236" s="564" t="s">
        <v>1120</v>
      </c>
      <c r="L5236" s="564" t="s">
        <v>1071</v>
      </c>
      <c r="M5236" s="564" t="s">
        <v>1091</v>
      </c>
      <c r="N5236" s="564" t="s">
        <v>1073</v>
      </c>
      <c r="O5236" s="564" t="s">
        <v>241</v>
      </c>
      <c r="P5236" s="23"/>
      <c r="Q5236" s="23"/>
      <c r="R5236" s="23"/>
      <c r="S5236" s="23"/>
      <c r="T5236" s="23"/>
      <c r="U5236" s="23"/>
      <c r="V5236" s="23"/>
      <c r="W5236" s="23"/>
      <c r="X5236" s="23"/>
      <c r="Y5236" s="23"/>
      <c r="Z5236" s="23"/>
    </row>
    <row r="5237" spans="1:26" ht="13">
      <c r="A5237" s="562" t="s">
        <v>11215</v>
      </c>
      <c r="B5237" s="563" t="s">
        <v>11216</v>
      </c>
      <c r="C5237" s="564" t="s">
        <v>1076</v>
      </c>
      <c r="D5237" s="565">
        <v>43678</v>
      </c>
      <c r="E5237" s="565">
        <v>44043</v>
      </c>
      <c r="F5237" s="566">
        <v>149932000</v>
      </c>
      <c r="G5237" s="564" t="s">
        <v>1085</v>
      </c>
      <c r="H5237" s="564" t="s">
        <v>1405</v>
      </c>
      <c r="I5237" s="564" t="s">
        <v>1637</v>
      </c>
      <c r="J5237" s="564" t="s">
        <v>1069</v>
      </c>
      <c r="K5237" s="564" t="s">
        <v>1120</v>
      </c>
      <c r="L5237" s="564" t="s">
        <v>1071</v>
      </c>
      <c r="M5237" s="564" t="s">
        <v>1091</v>
      </c>
      <c r="N5237" s="564" t="s">
        <v>1073</v>
      </c>
      <c r="O5237" s="564" t="s">
        <v>241</v>
      </c>
      <c r="P5237" s="23"/>
      <c r="Q5237" s="23"/>
      <c r="R5237" s="23"/>
      <c r="S5237" s="23"/>
      <c r="T5237" s="23"/>
      <c r="U5237" s="23"/>
      <c r="V5237" s="23"/>
      <c r="W5237" s="23"/>
      <c r="X5237" s="23"/>
      <c r="Y5237" s="23"/>
      <c r="Z5237" s="23"/>
    </row>
    <row r="5238" spans="1:26" ht="13">
      <c r="A5238" s="562" t="s">
        <v>11217</v>
      </c>
      <c r="B5238" s="563" t="s">
        <v>11218</v>
      </c>
      <c r="C5238" s="564" t="s">
        <v>1652</v>
      </c>
      <c r="D5238" s="565">
        <v>43678</v>
      </c>
      <c r="E5238" s="565">
        <v>44043</v>
      </c>
      <c r="F5238" s="566">
        <v>298872000</v>
      </c>
      <c r="G5238" s="564" t="s">
        <v>1405</v>
      </c>
      <c r="H5238" s="564" t="s">
        <v>1405</v>
      </c>
      <c r="I5238" s="564" t="s">
        <v>1637</v>
      </c>
      <c r="J5238" s="564" t="s">
        <v>1069</v>
      </c>
      <c r="K5238" s="564" t="s">
        <v>1120</v>
      </c>
      <c r="L5238" s="564" t="s">
        <v>1071</v>
      </c>
      <c r="M5238" s="564" t="s">
        <v>1091</v>
      </c>
      <c r="N5238" s="564" t="s">
        <v>1073</v>
      </c>
      <c r="O5238" s="564" t="s">
        <v>241</v>
      </c>
      <c r="P5238" s="23"/>
      <c r="Q5238" s="23"/>
      <c r="R5238" s="23"/>
      <c r="S5238" s="23"/>
      <c r="T5238" s="23"/>
      <c r="U5238" s="23"/>
      <c r="V5238" s="23"/>
      <c r="W5238" s="23"/>
      <c r="X5238" s="23"/>
      <c r="Y5238" s="23"/>
      <c r="Z5238" s="23"/>
    </row>
    <row r="5239" spans="1:26" ht="13">
      <c r="A5239" s="562" t="s">
        <v>11219</v>
      </c>
      <c r="B5239" s="563" t="s">
        <v>11220</v>
      </c>
      <c r="C5239" s="564" t="s">
        <v>1652</v>
      </c>
      <c r="D5239" s="565">
        <v>43647</v>
      </c>
      <c r="E5239" s="565">
        <v>44012</v>
      </c>
      <c r="F5239" s="566">
        <v>25800000</v>
      </c>
      <c r="G5239" s="564" t="s">
        <v>1298</v>
      </c>
      <c r="H5239" s="564" t="s">
        <v>1941</v>
      </c>
      <c r="I5239" s="564" t="s">
        <v>70</v>
      </c>
      <c r="J5239" s="564" t="s">
        <v>1069</v>
      </c>
      <c r="K5239" s="564" t="s">
        <v>1120</v>
      </c>
      <c r="L5239" s="564" t="s">
        <v>1071</v>
      </c>
      <c r="M5239" s="564" t="s">
        <v>1091</v>
      </c>
      <c r="N5239" s="564" t="s">
        <v>70</v>
      </c>
      <c r="O5239" s="564" t="s">
        <v>241</v>
      </c>
      <c r="P5239" s="23"/>
      <c r="Q5239" s="23"/>
      <c r="R5239" s="23"/>
      <c r="S5239" s="23"/>
      <c r="T5239" s="23"/>
      <c r="U5239" s="23"/>
      <c r="V5239" s="23"/>
      <c r="W5239" s="23"/>
      <c r="X5239" s="23"/>
      <c r="Y5239" s="23"/>
      <c r="Z5239" s="23"/>
    </row>
    <row r="5240" spans="1:26" ht="13">
      <c r="A5240" s="562" t="s">
        <v>11221</v>
      </c>
      <c r="B5240" s="563" t="s">
        <v>11222</v>
      </c>
      <c r="C5240" s="564" t="s">
        <v>1255</v>
      </c>
      <c r="D5240" s="565">
        <v>43657</v>
      </c>
      <c r="E5240" s="565">
        <v>43657</v>
      </c>
      <c r="F5240" s="566">
        <v>629000</v>
      </c>
      <c r="G5240" s="564" t="s">
        <v>1293</v>
      </c>
      <c r="H5240" s="564" t="s">
        <v>1293</v>
      </c>
      <c r="I5240" s="564" t="s">
        <v>2586</v>
      </c>
      <c r="J5240" s="564" t="s">
        <v>1069</v>
      </c>
      <c r="K5240" s="564" t="s">
        <v>1070</v>
      </c>
      <c r="L5240" s="564" t="s">
        <v>1390</v>
      </c>
      <c r="M5240" s="564" t="s">
        <v>1390</v>
      </c>
      <c r="N5240" s="564" t="s">
        <v>1073</v>
      </c>
      <c r="O5240" s="564" t="s">
        <v>38</v>
      </c>
      <c r="P5240" s="23"/>
      <c r="Q5240" s="23"/>
      <c r="R5240" s="23"/>
      <c r="S5240" s="23"/>
      <c r="T5240" s="23"/>
      <c r="U5240" s="23"/>
      <c r="V5240" s="23"/>
      <c r="W5240" s="23"/>
      <c r="X5240" s="23"/>
      <c r="Y5240" s="23"/>
      <c r="Z5240" s="23"/>
    </row>
    <row r="5241" spans="1:26" ht="13">
      <c r="A5241" s="562" t="s">
        <v>11223</v>
      </c>
      <c r="B5241" s="563" t="s">
        <v>11224</v>
      </c>
      <c r="C5241" s="564" t="s">
        <v>1475</v>
      </c>
      <c r="D5241" s="565">
        <v>43644</v>
      </c>
      <c r="E5241" s="565">
        <v>43748</v>
      </c>
      <c r="F5241" s="566">
        <v>18000000</v>
      </c>
      <c r="G5241" s="564" t="s">
        <v>11225</v>
      </c>
      <c r="H5241" s="564" t="s">
        <v>1025</v>
      </c>
      <c r="I5241" s="564" t="s">
        <v>11226</v>
      </c>
      <c r="J5241" s="564" t="s">
        <v>1069</v>
      </c>
      <c r="K5241" s="564" t="s">
        <v>1070</v>
      </c>
      <c r="L5241" s="564" t="s">
        <v>1390</v>
      </c>
      <c r="M5241" s="564" t="s">
        <v>1390</v>
      </c>
      <c r="N5241" s="564" t="s">
        <v>1368</v>
      </c>
      <c r="O5241" s="564" t="s">
        <v>38</v>
      </c>
      <c r="P5241" s="23"/>
      <c r="Q5241" s="23"/>
      <c r="R5241" s="23"/>
      <c r="S5241" s="23"/>
      <c r="T5241" s="23"/>
      <c r="U5241" s="23"/>
      <c r="V5241" s="23"/>
      <c r="W5241" s="23"/>
      <c r="X5241" s="23"/>
      <c r="Y5241" s="23"/>
      <c r="Z5241" s="23"/>
    </row>
    <row r="5242" spans="1:26" ht="13">
      <c r="A5242" s="562" t="s">
        <v>11227</v>
      </c>
      <c r="B5242" s="563" t="s">
        <v>11228</v>
      </c>
      <c r="C5242" s="564" t="s">
        <v>1388</v>
      </c>
      <c r="D5242" s="565">
        <v>43640</v>
      </c>
      <c r="E5242" s="565">
        <v>43661</v>
      </c>
      <c r="F5242" s="566">
        <v>80000000</v>
      </c>
      <c r="G5242" s="564" t="s">
        <v>1498</v>
      </c>
      <c r="H5242" s="564" t="s">
        <v>1498</v>
      </c>
      <c r="I5242" s="564" t="s">
        <v>11229</v>
      </c>
      <c r="J5242" s="564" t="s">
        <v>1069</v>
      </c>
      <c r="K5242" s="564" t="s">
        <v>1070</v>
      </c>
      <c r="L5242" s="564" t="s">
        <v>1071</v>
      </c>
      <c r="M5242" s="564" t="s">
        <v>1124</v>
      </c>
      <c r="N5242" s="564" t="s">
        <v>1082</v>
      </c>
      <c r="O5242" s="564" t="s">
        <v>38</v>
      </c>
      <c r="P5242" s="23"/>
      <c r="Q5242" s="23"/>
      <c r="R5242" s="23"/>
      <c r="S5242" s="23"/>
      <c r="T5242" s="23"/>
      <c r="U5242" s="23"/>
      <c r="V5242" s="23"/>
      <c r="W5242" s="23"/>
      <c r="X5242" s="23"/>
      <c r="Y5242" s="23"/>
      <c r="Z5242" s="23"/>
    </row>
    <row r="5243" spans="1:26" ht="13">
      <c r="A5243" s="562" t="s">
        <v>11230</v>
      </c>
      <c r="B5243" s="563" t="s">
        <v>11231</v>
      </c>
      <c r="C5243" s="564" t="s">
        <v>1114</v>
      </c>
      <c r="D5243" s="565">
        <v>43525</v>
      </c>
      <c r="E5243" s="565">
        <v>43677</v>
      </c>
      <c r="F5243" s="566">
        <v>599500000</v>
      </c>
      <c r="G5243" s="564" t="s">
        <v>1420</v>
      </c>
      <c r="H5243" s="564" t="s">
        <v>674</v>
      </c>
      <c r="I5243" s="564" t="s">
        <v>45</v>
      </c>
      <c r="J5243" s="564" t="s">
        <v>1069</v>
      </c>
      <c r="K5243" s="564" t="s">
        <v>1090</v>
      </c>
      <c r="L5243" s="564" t="s">
        <v>1117</v>
      </c>
      <c r="M5243" s="564" t="s">
        <v>1199</v>
      </c>
      <c r="N5243" s="564" t="s">
        <v>45</v>
      </c>
      <c r="O5243" s="564" t="s">
        <v>38</v>
      </c>
      <c r="P5243" s="23"/>
      <c r="Q5243" s="23"/>
      <c r="R5243" s="23"/>
      <c r="S5243" s="23"/>
      <c r="T5243" s="23"/>
      <c r="U5243" s="23"/>
      <c r="V5243" s="23"/>
      <c r="W5243" s="23"/>
      <c r="X5243" s="23"/>
      <c r="Y5243" s="23"/>
      <c r="Z5243" s="23"/>
    </row>
    <row r="5244" spans="1:26" ht="13">
      <c r="A5244" s="562" t="s">
        <v>11232</v>
      </c>
      <c r="B5244" s="563" t="s">
        <v>11233</v>
      </c>
      <c r="C5244" s="564" t="s">
        <v>1455</v>
      </c>
      <c r="D5244" s="565">
        <v>43647</v>
      </c>
      <c r="E5244" s="565">
        <v>43845</v>
      </c>
      <c r="F5244" s="566">
        <v>199000000</v>
      </c>
      <c r="G5244" s="564" t="s">
        <v>1157</v>
      </c>
      <c r="H5244" s="564" t="s">
        <v>1157</v>
      </c>
      <c r="I5244" s="564" t="s">
        <v>11234</v>
      </c>
      <c r="J5244" s="564" t="s">
        <v>1069</v>
      </c>
      <c r="K5244" s="564" t="s">
        <v>1105</v>
      </c>
      <c r="L5244" s="564" t="s">
        <v>1390</v>
      </c>
      <c r="M5244" s="564" t="s">
        <v>1390</v>
      </c>
      <c r="N5244" s="564" t="s">
        <v>1082</v>
      </c>
      <c r="O5244" s="564" t="s">
        <v>38</v>
      </c>
      <c r="P5244" s="23"/>
      <c r="Q5244" s="23"/>
      <c r="R5244" s="23"/>
      <c r="S5244" s="23"/>
      <c r="T5244" s="23"/>
      <c r="U5244" s="23"/>
      <c r="V5244" s="23"/>
      <c r="W5244" s="23"/>
      <c r="X5244" s="23"/>
      <c r="Y5244" s="23"/>
      <c r="Z5244" s="23"/>
    </row>
    <row r="5245" spans="1:26" ht="13">
      <c r="A5245" s="562" t="s">
        <v>11235</v>
      </c>
      <c r="B5245" s="563" t="s">
        <v>11236</v>
      </c>
      <c r="C5245" s="564" t="s">
        <v>1114</v>
      </c>
      <c r="D5245" s="565">
        <v>43617</v>
      </c>
      <c r="E5245" s="565">
        <v>43982</v>
      </c>
      <c r="F5245" s="566">
        <v>2250000</v>
      </c>
      <c r="G5245" s="564" t="s">
        <v>1365</v>
      </c>
      <c r="H5245" s="564" t="s">
        <v>1366</v>
      </c>
      <c r="I5245" s="564" t="s">
        <v>11099</v>
      </c>
      <c r="J5245" s="564" t="s">
        <v>1069</v>
      </c>
      <c r="K5245" s="564" t="s">
        <v>1205</v>
      </c>
      <c r="L5245" s="564" t="s">
        <v>1117</v>
      </c>
      <c r="M5245" s="564" t="s">
        <v>1199</v>
      </c>
      <c r="N5245" s="564" t="s">
        <v>1082</v>
      </c>
      <c r="O5245" s="564" t="s">
        <v>1081</v>
      </c>
      <c r="P5245" s="23"/>
      <c r="Q5245" s="23"/>
      <c r="R5245" s="23"/>
      <c r="S5245" s="23"/>
      <c r="T5245" s="23"/>
      <c r="U5245" s="23"/>
      <c r="V5245" s="23"/>
      <c r="W5245" s="23"/>
      <c r="X5245" s="23"/>
      <c r="Y5245" s="23"/>
      <c r="Z5245" s="23"/>
    </row>
    <row r="5246" spans="1:26" ht="13">
      <c r="A5246" s="562" t="s">
        <v>11237</v>
      </c>
      <c r="B5246" s="563" t="s">
        <v>11238</v>
      </c>
      <c r="C5246" s="564" t="s">
        <v>1652</v>
      </c>
      <c r="D5246" s="565">
        <v>43647</v>
      </c>
      <c r="E5246" s="565">
        <v>44012</v>
      </c>
      <c r="F5246" s="566">
        <v>25800000</v>
      </c>
      <c r="G5246" s="564" t="s">
        <v>1298</v>
      </c>
      <c r="H5246" s="564" t="s">
        <v>1941</v>
      </c>
      <c r="I5246" s="564" t="s">
        <v>70</v>
      </c>
      <c r="J5246" s="564" t="s">
        <v>1069</v>
      </c>
      <c r="K5246" s="564" t="s">
        <v>1120</v>
      </c>
      <c r="L5246" s="564" t="s">
        <v>1071</v>
      </c>
      <c r="M5246" s="564" t="s">
        <v>1091</v>
      </c>
      <c r="N5246" s="564" t="s">
        <v>70</v>
      </c>
      <c r="O5246" s="564" t="s">
        <v>241</v>
      </c>
      <c r="P5246" s="23"/>
      <c r="Q5246" s="23"/>
      <c r="R5246" s="23"/>
      <c r="S5246" s="23"/>
      <c r="T5246" s="23"/>
      <c r="U5246" s="23"/>
      <c r="V5246" s="23"/>
      <c r="W5246" s="23"/>
      <c r="X5246" s="23"/>
      <c r="Y5246" s="23"/>
      <c r="Z5246" s="23"/>
    </row>
    <row r="5247" spans="1:26" ht="13">
      <c r="A5247" s="562" t="s">
        <v>11239</v>
      </c>
      <c r="B5247" s="563" t="s">
        <v>11240</v>
      </c>
      <c r="C5247" s="564" t="s">
        <v>1103</v>
      </c>
      <c r="D5247" s="565">
        <v>43619</v>
      </c>
      <c r="E5247" s="565">
        <v>43630</v>
      </c>
      <c r="F5247" s="566">
        <v>5500000</v>
      </c>
      <c r="G5247" s="564" t="s">
        <v>1431</v>
      </c>
      <c r="H5247" s="564" t="s">
        <v>1293</v>
      </c>
      <c r="I5247" s="564" t="s">
        <v>225</v>
      </c>
      <c r="J5247" s="564" t="s">
        <v>1069</v>
      </c>
      <c r="K5247" s="564" t="s">
        <v>1105</v>
      </c>
      <c r="L5247" s="564" t="s">
        <v>1071</v>
      </c>
      <c r="M5247" s="564" t="s">
        <v>1091</v>
      </c>
      <c r="N5247" s="564" t="s">
        <v>225</v>
      </c>
      <c r="O5247" s="564" t="s">
        <v>241</v>
      </c>
      <c r="P5247" s="23"/>
      <c r="Q5247" s="23"/>
      <c r="R5247" s="23"/>
      <c r="S5247" s="23"/>
      <c r="T5247" s="23"/>
      <c r="U5247" s="23"/>
      <c r="V5247" s="23"/>
      <c r="W5247" s="23"/>
      <c r="X5247" s="23"/>
      <c r="Y5247" s="23"/>
      <c r="Z5247" s="23"/>
    </row>
    <row r="5248" spans="1:26" ht="13">
      <c r="A5248" s="562" t="s">
        <v>11241</v>
      </c>
      <c r="B5248" s="563" t="s">
        <v>11242</v>
      </c>
      <c r="C5248" s="564" t="s">
        <v>1388</v>
      </c>
      <c r="D5248" s="565">
        <v>43614</v>
      </c>
      <c r="E5248" s="565">
        <v>43830</v>
      </c>
      <c r="F5248" s="566">
        <v>96170000</v>
      </c>
      <c r="G5248" s="564" t="s">
        <v>11243</v>
      </c>
      <c r="H5248" s="564" t="s">
        <v>1128</v>
      </c>
      <c r="I5248" s="564" t="s">
        <v>45</v>
      </c>
      <c r="J5248" s="564" t="s">
        <v>1069</v>
      </c>
      <c r="K5248" s="564" t="s">
        <v>1090</v>
      </c>
      <c r="L5248" s="564" t="s">
        <v>1080</v>
      </c>
      <c r="M5248" s="564" t="s">
        <v>1081</v>
      </c>
      <c r="N5248" s="564" t="s">
        <v>45</v>
      </c>
      <c r="O5248" s="564" t="s">
        <v>38</v>
      </c>
      <c r="P5248" s="23"/>
      <c r="Q5248" s="23"/>
      <c r="R5248" s="23"/>
      <c r="S5248" s="23"/>
      <c r="T5248" s="23"/>
      <c r="U5248" s="23"/>
      <c r="V5248" s="23"/>
      <c r="W5248" s="23"/>
      <c r="X5248" s="23"/>
      <c r="Y5248" s="23"/>
      <c r="Z5248" s="23"/>
    </row>
    <row r="5249" spans="1:26" ht="13">
      <c r="A5249" s="562" t="s">
        <v>11244</v>
      </c>
      <c r="B5249" s="563" t="s">
        <v>11245</v>
      </c>
      <c r="C5249" s="564" t="s">
        <v>1388</v>
      </c>
      <c r="D5249" s="565">
        <v>43613</v>
      </c>
      <c r="E5249" s="565">
        <v>43633</v>
      </c>
      <c r="F5249" s="566">
        <v>9880000</v>
      </c>
      <c r="G5249" s="564" t="s">
        <v>1128</v>
      </c>
      <c r="H5249" s="564" t="s">
        <v>1128</v>
      </c>
      <c r="I5249" s="564" t="s">
        <v>45</v>
      </c>
      <c r="J5249" s="564" t="s">
        <v>1069</v>
      </c>
      <c r="K5249" s="564" t="s">
        <v>1090</v>
      </c>
      <c r="L5249" s="564" t="s">
        <v>1390</v>
      </c>
      <c r="M5249" s="564" t="s">
        <v>1390</v>
      </c>
      <c r="N5249" s="564" t="s">
        <v>45</v>
      </c>
      <c r="O5249" s="564" t="s">
        <v>38</v>
      </c>
      <c r="P5249" s="23"/>
      <c r="Q5249" s="23"/>
      <c r="R5249" s="23"/>
      <c r="S5249" s="23"/>
      <c r="T5249" s="23"/>
      <c r="U5249" s="23"/>
      <c r="V5249" s="23"/>
      <c r="W5249" s="23"/>
      <c r="X5249" s="23"/>
      <c r="Y5249" s="23"/>
      <c r="Z5249" s="23"/>
    </row>
    <row r="5250" spans="1:26" ht="13">
      <c r="A5250" s="562" t="s">
        <v>11246</v>
      </c>
      <c r="B5250" s="563" t="s">
        <v>11247</v>
      </c>
      <c r="C5250" s="564" t="s">
        <v>1388</v>
      </c>
      <c r="D5250" s="565">
        <v>43556</v>
      </c>
      <c r="E5250" s="565">
        <v>43921</v>
      </c>
      <c r="F5250" s="566">
        <v>29988000</v>
      </c>
      <c r="G5250" s="564" t="s">
        <v>1128</v>
      </c>
      <c r="H5250" s="564" t="s">
        <v>1128</v>
      </c>
      <c r="I5250" s="564" t="s">
        <v>45</v>
      </c>
      <c r="J5250" s="564" t="s">
        <v>1069</v>
      </c>
      <c r="K5250" s="564" t="s">
        <v>1090</v>
      </c>
      <c r="L5250" s="564" t="s">
        <v>1071</v>
      </c>
      <c r="M5250" s="564" t="s">
        <v>1091</v>
      </c>
      <c r="N5250" s="564" t="s">
        <v>45</v>
      </c>
      <c r="O5250" s="564" t="s">
        <v>241</v>
      </c>
      <c r="P5250" s="23"/>
      <c r="Q5250" s="23"/>
      <c r="R5250" s="23"/>
      <c r="S5250" s="23"/>
      <c r="T5250" s="23"/>
      <c r="U5250" s="23"/>
      <c r="V5250" s="23"/>
      <c r="W5250" s="23"/>
      <c r="X5250" s="23"/>
      <c r="Y5250" s="23"/>
      <c r="Z5250" s="23"/>
    </row>
    <row r="5251" spans="1:26" ht="13">
      <c r="A5251" s="562" t="s">
        <v>11248</v>
      </c>
      <c r="B5251" s="563" t="s">
        <v>11249</v>
      </c>
      <c r="C5251" s="564" t="s">
        <v>1076</v>
      </c>
      <c r="D5251" s="565">
        <v>43586</v>
      </c>
      <c r="E5251" s="565">
        <v>43951</v>
      </c>
      <c r="F5251" s="566">
        <v>17800000</v>
      </c>
      <c r="G5251" s="564" t="s">
        <v>1157</v>
      </c>
      <c r="H5251" s="564" t="s">
        <v>1157</v>
      </c>
      <c r="I5251" s="564" t="s">
        <v>1781</v>
      </c>
      <c r="J5251" s="564" t="s">
        <v>1069</v>
      </c>
      <c r="K5251" s="564" t="s">
        <v>1070</v>
      </c>
      <c r="L5251" s="564" t="s">
        <v>1071</v>
      </c>
      <c r="M5251" s="564" t="s">
        <v>1091</v>
      </c>
      <c r="N5251" s="564" t="s">
        <v>1073</v>
      </c>
      <c r="O5251" s="564" t="s">
        <v>241</v>
      </c>
      <c r="P5251" s="23"/>
      <c r="Q5251" s="23"/>
      <c r="R5251" s="23"/>
      <c r="S5251" s="23"/>
      <c r="T5251" s="23"/>
      <c r="U5251" s="23"/>
      <c r="V5251" s="23"/>
      <c r="W5251" s="23"/>
      <c r="X5251" s="23"/>
      <c r="Y5251" s="23"/>
      <c r="Z5251" s="23"/>
    </row>
    <row r="5252" spans="1:26" ht="13">
      <c r="A5252" s="562" t="s">
        <v>11250</v>
      </c>
      <c r="B5252" s="563" t="s">
        <v>11251</v>
      </c>
      <c r="C5252" s="564" t="s">
        <v>1076</v>
      </c>
      <c r="D5252" s="565">
        <v>43586</v>
      </c>
      <c r="E5252" s="565">
        <v>43951</v>
      </c>
      <c r="F5252" s="566">
        <v>25560000</v>
      </c>
      <c r="G5252" s="564" t="s">
        <v>1157</v>
      </c>
      <c r="H5252" s="564" t="s">
        <v>1157</v>
      </c>
      <c r="I5252" s="564" t="s">
        <v>146</v>
      </c>
      <c r="J5252" s="564" t="s">
        <v>1069</v>
      </c>
      <c r="K5252" s="564" t="s">
        <v>1070</v>
      </c>
      <c r="L5252" s="564" t="s">
        <v>1071</v>
      </c>
      <c r="M5252" s="564" t="s">
        <v>1091</v>
      </c>
      <c r="N5252" s="564" t="s">
        <v>1073</v>
      </c>
      <c r="O5252" s="564" t="s">
        <v>241</v>
      </c>
      <c r="P5252" s="23"/>
      <c r="Q5252" s="23"/>
      <c r="R5252" s="23"/>
      <c r="S5252" s="23"/>
      <c r="T5252" s="23"/>
      <c r="U5252" s="23"/>
      <c r="V5252" s="23"/>
      <c r="W5252" s="23"/>
      <c r="X5252" s="23"/>
      <c r="Y5252" s="23"/>
      <c r="Z5252" s="23"/>
    </row>
    <row r="5253" spans="1:26" ht="13">
      <c r="A5253" s="562" t="s">
        <v>11252</v>
      </c>
      <c r="B5253" s="563" t="s">
        <v>11253</v>
      </c>
      <c r="C5253" s="564" t="s">
        <v>1475</v>
      </c>
      <c r="D5253" s="565">
        <v>43561</v>
      </c>
      <c r="E5253" s="565">
        <v>43982</v>
      </c>
      <c r="F5253" s="566">
        <v>5800000</v>
      </c>
      <c r="G5253" s="564" t="s">
        <v>1025</v>
      </c>
      <c r="H5253" s="564" t="s">
        <v>1025</v>
      </c>
      <c r="I5253" s="564" t="s">
        <v>11254</v>
      </c>
      <c r="J5253" s="564" t="s">
        <v>1069</v>
      </c>
      <c r="K5253" s="564" t="s">
        <v>2430</v>
      </c>
      <c r="L5253" s="564" t="s">
        <v>1390</v>
      </c>
      <c r="M5253" s="564" t="s">
        <v>1390</v>
      </c>
      <c r="N5253" s="564" t="s">
        <v>1082</v>
      </c>
      <c r="O5253" s="564" t="s">
        <v>38</v>
      </c>
      <c r="P5253" s="23"/>
      <c r="Q5253" s="23"/>
      <c r="R5253" s="23"/>
      <c r="S5253" s="23"/>
      <c r="T5253" s="23"/>
      <c r="U5253" s="23"/>
      <c r="V5253" s="23"/>
      <c r="W5253" s="23"/>
      <c r="X5253" s="23"/>
      <c r="Y5253" s="23"/>
      <c r="Z5253" s="23"/>
    </row>
    <row r="5254" spans="1:26" ht="13">
      <c r="A5254" s="562" t="s">
        <v>11255</v>
      </c>
      <c r="B5254" s="563" t="s">
        <v>11256</v>
      </c>
      <c r="C5254" s="564" t="s">
        <v>1370</v>
      </c>
      <c r="D5254" s="565">
        <v>43507</v>
      </c>
      <c r="E5254" s="565">
        <v>45392</v>
      </c>
      <c r="F5254" s="566">
        <v>106920000</v>
      </c>
      <c r="G5254" s="564" t="s">
        <v>1623</v>
      </c>
      <c r="H5254" s="564" t="s">
        <v>1623</v>
      </c>
      <c r="I5254" s="564" t="s">
        <v>1746</v>
      </c>
      <c r="J5254" s="564" t="s">
        <v>1069</v>
      </c>
      <c r="K5254" s="564" t="s">
        <v>1198</v>
      </c>
      <c r="L5254" s="564" t="s">
        <v>1071</v>
      </c>
      <c r="M5254" s="564" t="s">
        <v>1091</v>
      </c>
      <c r="N5254" s="564" t="s">
        <v>1073</v>
      </c>
      <c r="O5254" s="564" t="s">
        <v>241</v>
      </c>
      <c r="P5254" s="23"/>
      <c r="Q5254" s="23"/>
      <c r="R5254" s="23"/>
      <c r="S5254" s="23"/>
      <c r="T5254" s="23"/>
      <c r="U5254" s="23"/>
      <c r="V5254" s="23"/>
      <c r="W5254" s="23"/>
      <c r="X5254" s="23"/>
      <c r="Y5254" s="23"/>
      <c r="Z5254" s="23"/>
    </row>
    <row r="5255" spans="1:26" ht="13">
      <c r="A5255" s="562" t="s">
        <v>11257</v>
      </c>
      <c r="B5255" s="563" t="s">
        <v>11258</v>
      </c>
      <c r="C5255" s="564" t="s">
        <v>1114</v>
      </c>
      <c r="D5255" s="565">
        <v>43525</v>
      </c>
      <c r="E5255" s="565">
        <v>43890</v>
      </c>
      <c r="F5255" s="566">
        <v>4090909</v>
      </c>
      <c r="G5255" s="564" t="s">
        <v>1365</v>
      </c>
      <c r="H5255" s="564" t="s">
        <v>1366</v>
      </c>
      <c r="I5255" s="564" t="s">
        <v>11259</v>
      </c>
      <c r="J5255" s="564" t="s">
        <v>1069</v>
      </c>
      <c r="K5255" s="564" t="s">
        <v>1205</v>
      </c>
      <c r="L5255" s="564" t="s">
        <v>1117</v>
      </c>
      <c r="M5255" s="564" t="s">
        <v>1199</v>
      </c>
      <c r="N5255" s="564" t="s">
        <v>1082</v>
      </c>
      <c r="O5255" s="564" t="s">
        <v>241</v>
      </c>
      <c r="P5255" s="23"/>
      <c r="Q5255" s="23"/>
      <c r="R5255" s="23"/>
      <c r="S5255" s="23"/>
      <c r="T5255" s="23"/>
      <c r="U5255" s="23"/>
      <c r="V5255" s="23"/>
      <c r="W5255" s="23"/>
      <c r="X5255" s="23"/>
      <c r="Y5255" s="23"/>
      <c r="Z5255" s="23"/>
    </row>
    <row r="5256" spans="1:26" ht="13">
      <c r="A5256" s="562" t="s">
        <v>11260</v>
      </c>
      <c r="B5256" s="563" t="s">
        <v>11261</v>
      </c>
      <c r="C5256" s="564" t="s">
        <v>1455</v>
      </c>
      <c r="D5256" s="565">
        <v>43549</v>
      </c>
      <c r="E5256" s="565">
        <v>43914</v>
      </c>
      <c r="F5256" s="566">
        <v>22200000</v>
      </c>
      <c r="G5256" s="564" t="s">
        <v>1216</v>
      </c>
      <c r="H5256" s="564" t="s">
        <v>1157</v>
      </c>
      <c r="I5256" s="564" t="s">
        <v>225</v>
      </c>
      <c r="J5256" s="564" t="s">
        <v>1069</v>
      </c>
      <c r="K5256" s="564" t="s">
        <v>1105</v>
      </c>
      <c r="L5256" s="564" t="s">
        <v>1071</v>
      </c>
      <c r="M5256" s="564" t="s">
        <v>1091</v>
      </c>
      <c r="N5256" s="564" t="s">
        <v>225</v>
      </c>
      <c r="O5256" s="564" t="s">
        <v>241</v>
      </c>
      <c r="P5256" s="23"/>
      <c r="Q5256" s="23"/>
      <c r="R5256" s="23"/>
      <c r="S5256" s="23"/>
      <c r="T5256" s="23"/>
      <c r="U5256" s="23"/>
      <c r="V5256" s="23"/>
      <c r="W5256" s="23"/>
      <c r="X5256" s="23"/>
      <c r="Y5256" s="23"/>
      <c r="Z5256" s="23"/>
    </row>
    <row r="5257" spans="1:26" ht="13">
      <c r="A5257" s="562" t="s">
        <v>11262</v>
      </c>
      <c r="B5257" s="563" t="s">
        <v>11263</v>
      </c>
      <c r="C5257" s="564" t="s">
        <v>1475</v>
      </c>
      <c r="D5257" s="565">
        <v>43556</v>
      </c>
      <c r="E5257" s="565">
        <v>43890</v>
      </c>
      <c r="F5257" s="566">
        <v>30000000</v>
      </c>
      <c r="G5257" s="564" t="s">
        <v>10789</v>
      </c>
      <c r="H5257" s="564" t="s">
        <v>1529</v>
      </c>
      <c r="I5257" s="564" t="s">
        <v>1417</v>
      </c>
      <c r="J5257" s="564" t="s">
        <v>1069</v>
      </c>
      <c r="K5257" s="564" t="s">
        <v>1070</v>
      </c>
      <c r="L5257" s="564" t="s">
        <v>1071</v>
      </c>
      <c r="M5257" s="564" t="s">
        <v>1091</v>
      </c>
      <c r="N5257" s="564" t="s">
        <v>1082</v>
      </c>
      <c r="O5257" s="564" t="s">
        <v>241</v>
      </c>
      <c r="P5257" s="23"/>
      <c r="Q5257" s="23"/>
      <c r="R5257" s="23"/>
      <c r="S5257" s="23"/>
      <c r="T5257" s="23"/>
      <c r="U5257" s="23"/>
      <c r="V5257" s="23"/>
      <c r="W5257" s="23"/>
      <c r="X5257" s="23"/>
      <c r="Y5257" s="23"/>
      <c r="Z5257" s="23"/>
    </row>
    <row r="5258" spans="1:26" ht="13">
      <c r="A5258" s="562" t="s">
        <v>11264</v>
      </c>
      <c r="B5258" s="563" t="s">
        <v>11265</v>
      </c>
      <c r="C5258" s="564" t="s">
        <v>1114</v>
      </c>
      <c r="D5258" s="565">
        <v>43525</v>
      </c>
      <c r="E5258" s="565">
        <v>43890</v>
      </c>
      <c r="F5258" s="566">
        <v>1500000</v>
      </c>
      <c r="G5258" s="564" t="s">
        <v>1365</v>
      </c>
      <c r="H5258" s="564" t="s">
        <v>1366</v>
      </c>
      <c r="I5258" s="564" t="s">
        <v>11266</v>
      </c>
      <c r="J5258" s="564" t="s">
        <v>1069</v>
      </c>
      <c r="K5258" s="564" t="s">
        <v>1205</v>
      </c>
      <c r="L5258" s="564" t="s">
        <v>1117</v>
      </c>
      <c r="M5258" s="564" t="s">
        <v>1199</v>
      </c>
      <c r="N5258" s="564" t="s">
        <v>1368</v>
      </c>
      <c r="O5258" s="564" t="s">
        <v>241</v>
      </c>
      <c r="P5258" s="23"/>
      <c r="Q5258" s="23"/>
      <c r="R5258" s="23"/>
      <c r="S5258" s="23"/>
      <c r="T5258" s="23"/>
      <c r="U5258" s="23"/>
      <c r="V5258" s="23"/>
      <c r="W5258" s="23"/>
      <c r="X5258" s="23"/>
      <c r="Y5258" s="23"/>
      <c r="Z5258" s="23"/>
    </row>
    <row r="5259" spans="1:26" ht="13">
      <c r="A5259" s="562" t="s">
        <v>11267</v>
      </c>
      <c r="B5259" s="563" t="s">
        <v>11268</v>
      </c>
      <c r="C5259" s="564" t="s">
        <v>1370</v>
      </c>
      <c r="D5259" s="565">
        <v>43525</v>
      </c>
      <c r="E5259" s="565">
        <v>43890</v>
      </c>
      <c r="F5259" s="566">
        <v>4385455</v>
      </c>
      <c r="G5259" s="564" t="s">
        <v>1623</v>
      </c>
      <c r="H5259" s="564" t="s">
        <v>1623</v>
      </c>
      <c r="I5259" s="564" t="s">
        <v>802</v>
      </c>
      <c r="J5259" s="564" t="s">
        <v>1069</v>
      </c>
      <c r="K5259" s="564" t="s">
        <v>1198</v>
      </c>
      <c r="L5259" s="564" t="s">
        <v>1071</v>
      </c>
      <c r="M5259" s="564" t="s">
        <v>1091</v>
      </c>
      <c r="N5259" s="564" t="s">
        <v>132</v>
      </c>
      <c r="O5259" s="564" t="s">
        <v>241</v>
      </c>
      <c r="P5259" s="23"/>
      <c r="Q5259" s="23"/>
      <c r="R5259" s="23"/>
      <c r="S5259" s="23"/>
      <c r="T5259" s="23"/>
      <c r="U5259" s="23"/>
      <c r="V5259" s="23"/>
      <c r="W5259" s="23"/>
      <c r="X5259" s="23"/>
      <c r="Y5259" s="23"/>
      <c r="Z5259" s="23"/>
    </row>
    <row r="5260" spans="1:26" ht="13">
      <c r="A5260" s="562" t="s">
        <v>11269</v>
      </c>
      <c r="B5260" s="563" t="s">
        <v>11270</v>
      </c>
      <c r="C5260" s="564" t="s">
        <v>1370</v>
      </c>
      <c r="D5260" s="565">
        <v>43525</v>
      </c>
      <c r="E5260" s="565">
        <v>43890</v>
      </c>
      <c r="F5260" s="566">
        <v>15632727</v>
      </c>
      <c r="G5260" s="564" t="s">
        <v>1623</v>
      </c>
      <c r="H5260" s="564" t="s">
        <v>1623</v>
      </c>
      <c r="I5260" s="564" t="s">
        <v>802</v>
      </c>
      <c r="J5260" s="564" t="s">
        <v>1069</v>
      </c>
      <c r="K5260" s="564" t="s">
        <v>1198</v>
      </c>
      <c r="L5260" s="564" t="s">
        <v>1071</v>
      </c>
      <c r="M5260" s="564" t="s">
        <v>1091</v>
      </c>
      <c r="N5260" s="564" t="s">
        <v>132</v>
      </c>
      <c r="O5260" s="564" t="s">
        <v>241</v>
      </c>
      <c r="P5260" s="23"/>
      <c r="Q5260" s="23"/>
      <c r="R5260" s="23"/>
      <c r="S5260" s="23"/>
      <c r="T5260" s="23"/>
      <c r="U5260" s="23"/>
      <c r="V5260" s="23"/>
      <c r="W5260" s="23"/>
      <c r="X5260" s="23"/>
      <c r="Y5260" s="23"/>
      <c r="Z5260" s="23"/>
    </row>
    <row r="5261" spans="1:26" ht="13">
      <c r="A5261" s="562" t="s">
        <v>11271</v>
      </c>
      <c r="B5261" s="563" t="s">
        <v>11272</v>
      </c>
      <c r="C5261" s="564" t="s">
        <v>353</v>
      </c>
      <c r="D5261" s="565">
        <v>43539</v>
      </c>
      <c r="E5261" s="565">
        <v>43646</v>
      </c>
      <c r="F5261" s="566">
        <v>10000000</v>
      </c>
      <c r="G5261" s="564" t="s">
        <v>11273</v>
      </c>
      <c r="H5261" s="564" t="s">
        <v>1128</v>
      </c>
      <c r="I5261" s="564" t="s">
        <v>11274</v>
      </c>
      <c r="J5261" s="564" t="s">
        <v>1069</v>
      </c>
      <c r="K5261" s="564" t="s">
        <v>1070</v>
      </c>
      <c r="L5261" s="564" t="s">
        <v>1390</v>
      </c>
      <c r="M5261" s="564" t="s">
        <v>1390</v>
      </c>
      <c r="N5261" s="564" t="s">
        <v>1082</v>
      </c>
      <c r="O5261" s="564" t="s">
        <v>38</v>
      </c>
      <c r="P5261" s="23"/>
      <c r="Q5261" s="23"/>
      <c r="R5261" s="23"/>
      <c r="S5261" s="23"/>
      <c r="T5261" s="23"/>
      <c r="U5261" s="23"/>
      <c r="V5261" s="23"/>
      <c r="W5261" s="23"/>
      <c r="X5261" s="23"/>
      <c r="Y5261" s="23"/>
      <c r="Z5261" s="23"/>
    </row>
    <row r="5262" spans="1:26" ht="13">
      <c r="A5262" s="562" t="s">
        <v>11275</v>
      </c>
      <c r="B5262" s="563" t="s">
        <v>11185</v>
      </c>
      <c r="C5262" s="564" t="s">
        <v>1076</v>
      </c>
      <c r="D5262" s="565">
        <v>43535</v>
      </c>
      <c r="E5262" s="565">
        <v>43555</v>
      </c>
      <c r="F5262" s="566">
        <v>900000</v>
      </c>
      <c r="G5262" s="564" t="s">
        <v>11108</v>
      </c>
      <c r="H5262" s="564" t="s">
        <v>1157</v>
      </c>
      <c r="I5262" s="564" t="s">
        <v>11186</v>
      </c>
      <c r="J5262" s="564" t="s">
        <v>1069</v>
      </c>
      <c r="K5262" s="564" t="s">
        <v>1105</v>
      </c>
      <c r="L5262" s="564" t="s">
        <v>1390</v>
      </c>
      <c r="M5262" s="564" t="s">
        <v>1390</v>
      </c>
      <c r="N5262" s="564" t="s">
        <v>1082</v>
      </c>
      <c r="O5262" s="564" t="s">
        <v>38</v>
      </c>
      <c r="P5262" s="23"/>
      <c r="Q5262" s="23"/>
      <c r="R5262" s="23"/>
      <c r="S5262" s="23"/>
      <c r="T5262" s="23"/>
      <c r="U5262" s="23"/>
      <c r="V5262" s="23"/>
      <c r="W5262" s="23"/>
      <c r="X5262" s="23"/>
      <c r="Y5262" s="23"/>
      <c r="Z5262" s="23"/>
    </row>
    <row r="5263" spans="1:26" ht="13">
      <c r="A5263" s="562" t="s">
        <v>11276</v>
      </c>
      <c r="B5263" s="563" t="s">
        <v>11277</v>
      </c>
      <c r="C5263" s="564" t="s">
        <v>1088</v>
      </c>
      <c r="D5263" s="565">
        <v>43507</v>
      </c>
      <c r="E5263" s="565">
        <v>43871</v>
      </c>
      <c r="F5263" s="566">
        <v>70596000</v>
      </c>
      <c r="G5263" s="564" t="s">
        <v>11038</v>
      </c>
      <c r="H5263" s="564" t="s">
        <v>11038</v>
      </c>
      <c r="I5263" s="564" t="s">
        <v>125</v>
      </c>
      <c r="J5263" s="564" t="s">
        <v>1069</v>
      </c>
      <c r="K5263" s="564" t="s">
        <v>1070</v>
      </c>
      <c r="L5263" s="564" t="s">
        <v>1071</v>
      </c>
      <c r="M5263" s="564" t="s">
        <v>1091</v>
      </c>
      <c r="N5263" s="564" t="s">
        <v>1073</v>
      </c>
      <c r="O5263" s="564" t="s">
        <v>241</v>
      </c>
      <c r="P5263" s="23"/>
      <c r="Q5263" s="23"/>
      <c r="R5263" s="23"/>
      <c r="S5263" s="23"/>
      <c r="T5263" s="23"/>
      <c r="U5263" s="23"/>
      <c r="V5263" s="23"/>
      <c r="W5263" s="23"/>
      <c r="X5263" s="23"/>
      <c r="Y5263" s="23"/>
      <c r="Z5263" s="23"/>
    </row>
    <row r="5264" spans="1:26" ht="13">
      <c r="A5264" s="562" t="s">
        <v>11278</v>
      </c>
      <c r="B5264" s="563" t="s">
        <v>11279</v>
      </c>
      <c r="C5264" s="564" t="s">
        <v>1475</v>
      </c>
      <c r="D5264" s="565">
        <v>43466</v>
      </c>
      <c r="E5264" s="565">
        <v>43830</v>
      </c>
      <c r="F5264" s="566">
        <v>54517200</v>
      </c>
      <c r="G5264" s="564" t="s">
        <v>3688</v>
      </c>
      <c r="H5264" s="564" t="s">
        <v>2459</v>
      </c>
      <c r="I5264" s="564" t="s">
        <v>11181</v>
      </c>
      <c r="J5264" s="564" t="s">
        <v>1069</v>
      </c>
      <c r="K5264" s="564" t="s">
        <v>1802</v>
      </c>
      <c r="L5264" s="564" t="s">
        <v>1071</v>
      </c>
      <c r="M5264" s="564" t="s">
        <v>1091</v>
      </c>
      <c r="N5264" s="564" t="s">
        <v>1082</v>
      </c>
      <c r="O5264" s="564" t="s">
        <v>241</v>
      </c>
      <c r="P5264" s="23"/>
      <c r="Q5264" s="23"/>
      <c r="R5264" s="23"/>
      <c r="S5264" s="23"/>
      <c r="T5264" s="23"/>
      <c r="U5264" s="23"/>
      <c r="V5264" s="23"/>
      <c r="W5264" s="23"/>
      <c r="X5264" s="23"/>
      <c r="Y5264" s="23"/>
      <c r="Z5264" s="23"/>
    </row>
    <row r="5265" spans="1:26" ht="13">
      <c r="A5265" s="562" t="s">
        <v>11280</v>
      </c>
      <c r="B5265" s="563" t="s">
        <v>11281</v>
      </c>
      <c r="C5265" s="564" t="s">
        <v>1103</v>
      </c>
      <c r="D5265" s="565">
        <v>43525</v>
      </c>
      <c r="E5265" s="565">
        <v>43890</v>
      </c>
      <c r="F5265" s="566">
        <v>9000000</v>
      </c>
      <c r="G5265" s="564" t="s">
        <v>1941</v>
      </c>
      <c r="H5265" s="564" t="s">
        <v>1941</v>
      </c>
      <c r="I5265" s="564" t="s">
        <v>70</v>
      </c>
      <c r="J5265" s="564" t="s">
        <v>1069</v>
      </c>
      <c r="K5265" s="564" t="s">
        <v>1120</v>
      </c>
      <c r="L5265" s="564" t="s">
        <v>1071</v>
      </c>
      <c r="M5265" s="564" t="s">
        <v>1091</v>
      </c>
      <c r="N5265" s="564" t="s">
        <v>70</v>
      </c>
      <c r="O5265" s="564" t="s">
        <v>241</v>
      </c>
      <c r="P5265" s="23"/>
      <c r="Q5265" s="23"/>
      <c r="R5265" s="23"/>
      <c r="S5265" s="23"/>
      <c r="T5265" s="23"/>
      <c r="U5265" s="23"/>
      <c r="V5265" s="23"/>
      <c r="W5265" s="23"/>
      <c r="X5265" s="23"/>
      <c r="Y5265" s="23"/>
      <c r="Z5265" s="23"/>
    </row>
    <row r="5266" spans="1:26" ht="13">
      <c r="A5266" s="562" t="s">
        <v>11282</v>
      </c>
      <c r="B5266" s="563" t="s">
        <v>11283</v>
      </c>
      <c r="C5266" s="564" t="s">
        <v>1103</v>
      </c>
      <c r="D5266" s="565">
        <v>43497</v>
      </c>
      <c r="E5266" s="565">
        <v>43861</v>
      </c>
      <c r="F5266" s="566">
        <v>18300000</v>
      </c>
      <c r="G5266" s="564" t="s">
        <v>11000</v>
      </c>
      <c r="H5266" s="564" t="s">
        <v>1941</v>
      </c>
      <c r="I5266" s="564" t="s">
        <v>70</v>
      </c>
      <c r="J5266" s="564" t="s">
        <v>1069</v>
      </c>
      <c r="K5266" s="564" t="s">
        <v>1120</v>
      </c>
      <c r="L5266" s="564" t="s">
        <v>1071</v>
      </c>
      <c r="M5266" s="564" t="s">
        <v>1091</v>
      </c>
      <c r="N5266" s="564" t="s">
        <v>70</v>
      </c>
      <c r="O5266" s="564" t="s">
        <v>241</v>
      </c>
      <c r="P5266" s="23"/>
      <c r="Q5266" s="23"/>
      <c r="R5266" s="23"/>
      <c r="S5266" s="23"/>
      <c r="T5266" s="23"/>
      <c r="U5266" s="23"/>
      <c r="V5266" s="23"/>
      <c r="W5266" s="23"/>
      <c r="X5266" s="23"/>
      <c r="Y5266" s="23"/>
      <c r="Z5266" s="23"/>
    </row>
    <row r="5267" spans="1:26" ht="13">
      <c r="A5267" s="562" t="s">
        <v>11284</v>
      </c>
      <c r="B5267" s="563" t="s">
        <v>11285</v>
      </c>
      <c r="C5267" s="564" t="s">
        <v>1388</v>
      </c>
      <c r="D5267" s="565">
        <v>43466</v>
      </c>
      <c r="E5267" s="565">
        <v>44561</v>
      </c>
      <c r="F5267" s="566">
        <v>523357800</v>
      </c>
      <c r="G5267" s="564" t="s">
        <v>1128</v>
      </c>
      <c r="H5267" s="564" t="s">
        <v>1128</v>
      </c>
      <c r="I5267" s="564" t="s">
        <v>45</v>
      </c>
      <c r="J5267" s="564" t="s">
        <v>1069</v>
      </c>
      <c r="K5267" s="564" t="s">
        <v>1090</v>
      </c>
      <c r="L5267" s="564" t="s">
        <v>1071</v>
      </c>
      <c r="M5267" s="564" t="s">
        <v>1091</v>
      </c>
      <c r="N5267" s="564" t="s">
        <v>45</v>
      </c>
      <c r="O5267" s="564" t="s">
        <v>241</v>
      </c>
      <c r="P5267" s="23"/>
      <c r="Q5267" s="23"/>
      <c r="R5267" s="23"/>
      <c r="S5267" s="23"/>
      <c r="T5267" s="23"/>
      <c r="U5267" s="23"/>
      <c r="V5267" s="23"/>
      <c r="W5267" s="23"/>
      <c r="X5267" s="23"/>
      <c r="Y5267" s="23"/>
      <c r="Z5267" s="23"/>
    </row>
    <row r="5268" spans="1:26" ht="13">
      <c r="A5268" s="562" t="s">
        <v>11286</v>
      </c>
      <c r="B5268" s="563" t="s">
        <v>11287</v>
      </c>
      <c r="C5268" s="564" t="s">
        <v>1455</v>
      </c>
      <c r="D5268" s="565">
        <v>43486</v>
      </c>
      <c r="E5268" s="565">
        <v>43605</v>
      </c>
      <c r="F5268" s="566">
        <v>85000000</v>
      </c>
      <c r="G5268" s="564" t="s">
        <v>1312</v>
      </c>
      <c r="H5268" s="564" t="s">
        <v>1157</v>
      </c>
      <c r="I5268" s="564" t="s">
        <v>170</v>
      </c>
      <c r="J5268" s="564" t="s">
        <v>1069</v>
      </c>
      <c r="K5268" s="564" t="s">
        <v>1105</v>
      </c>
      <c r="L5268" s="564" t="s">
        <v>1390</v>
      </c>
      <c r="M5268" s="564" t="s">
        <v>1390</v>
      </c>
      <c r="N5268" s="564" t="s">
        <v>170</v>
      </c>
      <c r="O5268" s="564" t="s">
        <v>38</v>
      </c>
      <c r="P5268" s="23"/>
      <c r="Q5268" s="23"/>
      <c r="R5268" s="23"/>
      <c r="S5268" s="23"/>
      <c r="T5268" s="23"/>
      <c r="U5268" s="23"/>
      <c r="V5268" s="23"/>
      <c r="W5268" s="23"/>
      <c r="X5268" s="23"/>
      <c r="Y5268" s="23"/>
      <c r="Z5268" s="23"/>
    </row>
    <row r="5269" spans="1:26" ht="13">
      <c r="A5269" s="562" t="s">
        <v>11288</v>
      </c>
      <c r="B5269" s="563" t="s">
        <v>11289</v>
      </c>
      <c r="C5269" s="564" t="s">
        <v>1370</v>
      </c>
      <c r="D5269" s="565">
        <v>43466</v>
      </c>
      <c r="E5269" s="565">
        <v>43830</v>
      </c>
      <c r="F5269" s="566">
        <v>58946540</v>
      </c>
      <c r="G5269" s="564" t="s">
        <v>1623</v>
      </c>
      <c r="H5269" s="564" t="s">
        <v>1157</v>
      </c>
      <c r="I5269" s="564" t="s">
        <v>1746</v>
      </c>
      <c r="J5269" s="564" t="s">
        <v>1069</v>
      </c>
      <c r="K5269" s="564" t="s">
        <v>1198</v>
      </c>
      <c r="L5269" s="564" t="s">
        <v>1071</v>
      </c>
      <c r="M5269" s="564" t="s">
        <v>1091</v>
      </c>
      <c r="N5269" s="564" t="s">
        <v>1073</v>
      </c>
      <c r="O5269" s="564" t="s">
        <v>241</v>
      </c>
      <c r="P5269" s="23"/>
      <c r="Q5269" s="23"/>
      <c r="R5269" s="23"/>
      <c r="S5269" s="23"/>
      <c r="T5269" s="23"/>
      <c r="U5269" s="23"/>
      <c r="V5269" s="23"/>
      <c r="W5269" s="23"/>
      <c r="X5269" s="23"/>
      <c r="Y5269" s="23"/>
      <c r="Z5269" s="23"/>
    </row>
    <row r="5270" spans="1:26" ht="13">
      <c r="A5270" s="562" t="s">
        <v>11290</v>
      </c>
      <c r="B5270" s="563" t="s">
        <v>11291</v>
      </c>
      <c r="C5270" s="564" t="s">
        <v>1370</v>
      </c>
      <c r="D5270" s="565">
        <v>43466</v>
      </c>
      <c r="E5270" s="565">
        <v>43830</v>
      </c>
      <c r="F5270" s="566">
        <v>12000000</v>
      </c>
      <c r="G5270" s="564" t="s">
        <v>1623</v>
      </c>
      <c r="H5270" s="564" t="s">
        <v>1623</v>
      </c>
      <c r="I5270" s="564" t="s">
        <v>1746</v>
      </c>
      <c r="J5270" s="564" t="s">
        <v>1069</v>
      </c>
      <c r="K5270" s="564" t="s">
        <v>1198</v>
      </c>
      <c r="L5270" s="564" t="s">
        <v>1071</v>
      </c>
      <c r="M5270" s="564" t="s">
        <v>1091</v>
      </c>
      <c r="N5270" s="564" t="s">
        <v>1073</v>
      </c>
      <c r="O5270" s="564" t="s">
        <v>241</v>
      </c>
      <c r="P5270" s="23"/>
      <c r="Q5270" s="23"/>
      <c r="R5270" s="23"/>
      <c r="S5270" s="23"/>
      <c r="T5270" s="23"/>
      <c r="U5270" s="23"/>
      <c r="V5270" s="23"/>
      <c r="W5270" s="23"/>
      <c r="X5270" s="23"/>
      <c r="Y5270" s="23"/>
      <c r="Z5270" s="23"/>
    </row>
    <row r="5271" spans="1:26" ht="13">
      <c r="A5271" s="562" t="s">
        <v>11292</v>
      </c>
      <c r="B5271" s="563" t="s">
        <v>11293</v>
      </c>
      <c r="C5271" s="564" t="s">
        <v>1088</v>
      </c>
      <c r="D5271" s="565">
        <v>43466</v>
      </c>
      <c r="E5271" s="565">
        <v>43830</v>
      </c>
      <c r="F5271" s="566">
        <v>21165000</v>
      </c>
      <c r="G5271" s="564" t="s">
        <v>997</v>
      </c>
      <c r="H5271" s="564" t="s">
        <v>1366</v>
      </c>
      <c r="I5271" s="564" t="s">
        <v>1842</v>
      </c>
      <c r="J5271" s="564" t="s">
        <v>1069</v>
      </c>
      <c r="K5271" s="564" t="s">
        <v>1205</v>
      </c>
      <c r="L5271" s="564" t="s">
        <v>1071</v>
      </c>
      <c r="M5271" s="564" t="s">
        <v>1091</v>
      </c>
      <c r="N5271" s="564" t="s">
        <v>1082</v>
      </c>
      <c r="O5271" s="564" t="s">
        <v>241</v>
      </c>
      <c r="P5271" s="23"/>
      <c r="Q5271" s="23"/>
      <c r="R5271" s="23"/>
      <c r="S5271" s="23"/>
      <c r="T5271" s="23"/>
      <c r="U5271" s="23"/>
      <c r="V5271" s="23"/>
      <c r="W5271" s="23"/>
      <c r="X5271" s="23"/>
      <c r="Y5271" s="23"/>
      <c r="Z5271" s="23"/>
    </row>
    <row r="5272" spans="1:26" ht="13">
      <c r="A5272" s="562" t="s">
        <v>11294</v>
      </c>
      <c r="B5272" s="563" t="s">
        <v>11295</v>
      </c>
      <c r="C5272" s="564" t="s">
        <v>1370</v>
      </c>
      <c r="D5272" s="565">
        <v>43466</v>
      </c>
      <c r="E5272" s="565">
        <v>43830</v>
      </c>
      <c r="F5272" s="566">
        <v>9032727</v>
      </c>
      <c r="G5272" s="564" t="s">
        <v>1623</v>
      </c>
      <c r="H5272" s="564" t="s">
        <v>1623</v>
      </c>
      <c r="I5272" s="564" t="s">
        <v>802</v>
      </c>
      <c r="J5272" s="564" t="s">
        <v>1069</v>
      </c>
      <c r="K5272" s="564" t="s">
        <v>1198</v>
      </c>
      <c r="L5272" s="564" t="s">
        <v>1071</v>
      </c>
      <c r="M5272" s="564" t="s">
        <v>1091</v>
      </c>
      <c r="N5272" s="564" t="s">
        <v>132</v>
      </c>
      <c r="O5272" s="564" t="s">
        <v>241</v>
      </c>
      <c r="P5272" s="23"/>
      <c r="Q5272" s="23"/>
      <c r="R5272" s="23"/>
      <c r="S5272" s="23"/>
      <c r="T5272" s="23"/>
      <c r="U5272" s="23"/>
      <c r="V5272" s="23"/>
      <c r="W5272" s="23"/>
      <c r="X5272" s="23"/>
      <c r="Y5272" s="23"/>
      <c r="Z5272" s="23"/>
    </row>
    <row r="5273" spans="1:26" ht="13">
      <c r="A5273" s="562" t="s">
        <v>11296</v>
      </c>
      <c r="B5273" s="563" t="s">
        <v>11297</v>
      </c>
      <c r="C5273" s="564" t="s">
        <v>1088</v>
      </c>
      <c r="D5273" s="565">
        <v>43466</v>
      </c>
      <c r="E5273" s="565">
        <v>43830</v>
      </c>
      <c r="F5273" s="566">
        <v>68000000</v>
      </c>
      <c r="G5273" s="564" t="s">
        <v>1032</v>
      </c>
      <c r="H5273" s="564" t="s">
        <v>1123</v>
      </c>
      <c r="I5273" s="564" t="s">
        <v>1781</v>
      </c>
      <c r="J5273" s="564" t="s">
        <v>1069</v>
      </c>
      <c r="K5273" s="564" t="s">
        <v>1070</v>
      </c>
      <c r="L5273" s="564" t="s">
        <v>1071</v>
      </c>
      <c r="M5273" s="564" t="s">
        <v>1091</v>
      </c>
      <c r="N5273" s="564" t="s">
        <v>1073</v>
      </c>
      <c r="O5273" s="564" t="s">
        <v>241</v>
      </c>
      <c r="P5273" s="23"/>
      <c r="Q5273" s="23"/>
      <c r="R5273" s="23"/>
      <c r="S5273" s="23"/>
      <c r="T5273" s="23"/>
      <c r="U5273" s="23"/>
      <c r="V5273" s="23"/>
      <c r="W5273" s="23"/>
      <c r="X5273" s="23"/>
      <c r="Y5273" s="23"/>
      <c r="Z5273" s="23"/>
    </row>
    <row r="5274" spans="1:26" ht="13">
      <c r="A5274" s="562" t="s">
        <v>11298</v>
      </c>
      <c r="B5274" s="563" t="s">
        <v>11299</v>
      </c>
      <c r="C5274" s="564" t="s">
        <v>1388</v>
      </c>
      <c r="D5274" s="565">
        <v>43448</v>
      </c>
      <c r="E5274" s="565">
        <v>43829</v>
      </c>
      <c r="F5274" s="566">
        <v>224000000</v>
      </c>
      <c r="G5274" s="564" t="s">
        <v>1128</v>
      </c>
      <c r="H5274" s="564" t="s">
        <v>1128</v>
      </c>
      <c r="I5274" s="564" t="s">
        <v>45</v>
      </c>
      <c r="J5274" s="564" t="s">
        <v>1069</v>
      </c>
      <c r="K5274" s="564" t="s">
        <v>1090</v>
      </c>
      <c r="L5274" s="564" t="s">
        <v>1390</v>
      </c>
      <c r="M5274" s="564" t="s">
        <v>1390</v>
      </c>
      <c r="N5274" s="564" t="s">
        <v>45</v>
      </c>
      <c r="O5274" s="564" t="s">
        <v>38</v>
      </c>
      <c r="P5274" s="23"/>
      <c r="Q5274" s="23"/>
      <c r="R5274" s="23"/>
      <c r="S5274" s="23"/>
      <c r="T5274" s="23"/>
      <c r="U5274" s="23"/>
      <c r="V5274" s="23"/>
      <c r="W5274" s="23"/>
      <c r="X5274" s="23"/>
      <c r="Y5274" s="23"/>
      <c r="Z5274" s="23"/>
    </row>
    <row r="5275" spans="1:26" ht="13">
      <c r="A5275" s="562" t="s">
        <v>11300</v>
      </c>
      <c r="B5275" s="563" t="s">
        <v>11301</v>
      </c>
      <c r="C5275" s="564" t="s">
        <v>1114</v>
      </c>
      <c r="D5275" s="565">
        <v>43435</v>
      </c>
      <c r="E5275" s="565">
        <v>43799</v>
      </c>
      <c r="F5275" s="566">
        <v>3000000</v>
      </c>
      <c r="G5275" s="564" t="s">
        <v>1365</v>
      </c>
      <c r="H5275" s="564" t="s">
        <v>674</v>
      </c>
      <c r="I5275" s="564" t="s">
        <v>11199</v>
      </c>
      <c r="J5275" s="564" t="s">
        <v>1069</v>
      </c>
      <c r="K5275" s="564" t="s">
        <v>1205</v>
      </c>
      <c r="L5275" s="564" t="s">
        <v>1117</v>
      </c>
      <c r="M5275" s="564" t="s">
        <v>1199</v>
      </c>
      <c r="N5275" s="564" t="s">
        <v>1368</v>
      </c>
      <c r="O5275" s="564" t="s">
        <v>241</v>
      </c>
      <c r="P5275" s="23"/>
      <c r="Q5275" s="23"/>
      <c r="R5275" s="23"/>
      <c r="S5275" s="23"/>
      <c r="T5275" s="23"/>
      <c r="U5275" s="23"/>
      <c r="V5275" s="23"/>
      <c r="W5275" s="23"/>
      <c r="X5275" s="23"/>
      <c r="Y5275" s="23"/>
      <c r="Z5275" s="23"/>
    </row>
    <row r="5276" spans="1:26" ht="13">
      <c r="A5276" s="562" t="s">
        <v>11302</v>
      </c>
      <c r="B5276" s="563" t="s">
        <v>11303</v>
      </c>
      <c r="C5276" s="564" t="s">
        <v>1548</v>
      </c>
      <c r="D5276" s="565">
        <v>43418</v>
      </c>
      <c r="E5276" s="565">
        <v>43431</v>
      </c>
      <c r="F5276" s="566">
        <v>5400000</v>
      </c>
      <c r="G5276" s="564" t="s">
        <v>2492</v>
      </c>
      <c r="H5276" s="564" t="s">
        <v>1157</v>
      </c>
      <c r="I5276" s="564" t="s">
        <v>1247</v>
      </c>
      <c r="J5276" s="564" t="s">
        <v>1069</v>
      </c>
      <c r="K5276" s="564" t="s">
        <v>1070</v>
      </c>
      <c r="L5276" s="564" t="s">
        <v>1390</v>
      </c>
      <c r="M5276" s="564" t="s">
        <v>1390</v>
      </c>
      <c r="N5276" s="564" t="s">
        <v>1073</v>
      </c>
      <c r="O5276" s="564" t="s">
        <v>38</v>
      </c>
      <c r="P5276" s="23"/>
      <c r="Q5276" s="23"/>
      <c r="R5276" s="23"/>
      <c r="S5276" s="23"/>
      <c r="T5276" s="23"/>
      <c r="U5276" s="23"/>
      <c r="V5276" s="23"/>
      <c r="W5276" s="23"/>
      <c r="X5276" s="23"/>
      <c r="Y5276" s="23"/>
      <c r="Z5276" s="23"/>
    </row>
    <row r="5277" spans="1:26" ht="13">
      <c r="A5277" s="562" t="s">
        <v>11304</v>
      </c>
      <c r="B5277" s="563" t="s">
        <v>11305</v>
      </c>
      <c r="C5277" s="564" t="s">
        <v>1088</v>
      </c>
      <c r="D5277" s="565">
        <v>43405</v>
      </c>
      <c r="E5277" s="565">
        <v>43769</v>
      </c>
      <c r="F5277" s="566">
        <v>156059000</v>
      </c>
      <c r="G5277" s="564" t="s">
        <v>3688</v>
      </c>
      <c r="H5277" s="564" t="s">
        <v>1636</v>
      </c>
      <c r="I5277" s="564" t="s">
        <v>1637</v>
      </c>
      <c r="J5277" s="564" t="s">
        <v>1069</v>
      </c>
      <c r="K5277" s="564" t="s">
        <v>1120</v>
      </c>
      <c r="L5277" s="564" t="s">
        <v>1071</v>
      </c>
      <c r="M5277" s="564" t="s">
        <v>1091</v>
      </c>
      <c r="N5277" s="564" t="s">
        <v>1073</v>
      </c>
      <c r="O5277" s="564" t="s">
        <v>241</v>
      </c>
      <c r="P5277" s="23"/>
      <c r="Q5277" s="23"/>
      <c r="R5277" s="23"/>
      <c r="S5277" s="23"/>
      <c r="T5277" s="23"/>
      <c r="U5277" s="23"/>
      <c r="V5277" s="23"/>
      <c r="W5277" s="23"/>
      <c r="X5277" s="23"/>
      <c r="Y5277" s="23"/>
      <c r="Z5277" s="23"/>
    </row>
    <row r="5278" spans="1:26" ht="13">
      <c r="A5278" s="562" t="s">
        <v>11306</v>
      </c>
      <c r="B5278" s="563" t="s">
        <v>11307</v>
      </c>
      <c r="C5278" s="564" t="s">
        <v>1455</v>
      </c>
      <c r="D5278" s="565">
        <v>43361</v>
      </c>
      <c r="E5278" s="565">
        <v>43482</v>
      </c>
      <c r="F5278" s="566">
        <v>120000000</v>
      </c>
      <c r="G5278" s="564" t="s">
        <v>10646</v>
      </c>
      <c r="H5278" s="564" t="s">
        <v>1157</v>
      </c>
      <c r="I5278" s="564" t="s">
        <v>170</v>
      </c>
      <c r="J5278" s="564" t="s">
        <v>1069</v>
      </c>
      <c r="K5278" s="564" t="s">
        <v>1105</v>
      </c>
      <c r="L5278" s="564" t="s">
        <v>1390</v>
      </c>
      <c r="M5278" s="564" t="s">
        <v>1390</v>
      </c>
      <c r="N5278" s="564" t="s">
        <v>170</v>
      </c>
      <c r="O5278" s="564" t="s">
        <v>38</v>
      </c>
      <c r="P5278" s="23"/>
      <c r="Q5278" s="23"/>
      <c r="R5278" s="23"/>
      <c r="S5278" s="23"/>
      <c r="T5278" s="23"/>
      <c r="U5278" s="23"/>
      <c r="V5278" s="23"/>
      <c r="W5278" s="23"/>
      <c r="X5278" s="23"/>
      <c r="Y5278" s="23"/>
      <c r="Z5278" s="23"/>
    </row>
    <row r="5279" spans="1:26" ht="13">
      <c r="A5279" s="562" t="s">
        <v>11308</v>
      </c>
      <c r="B5279" s="563" t="s">
        <v>11309</v>
      </c>
      <c r="C5279" s="564" t="s">
        <v>1076</v>
      </c>
      <c r="D5279" s="565">
        <v>43405</v>
      </c>
      <c r="E5279" s="565">
        <v>43769</v>
      </c>
      <c r="F5279" s="566">
        <v>152599000</v>
      </c>
      <c r="G5279" s="564" t="s">
        <v>1085</v>
      </c>
      <c r="H5279" s="564" t="s">
        <v>1636</v>
      </c>
      <c r="I5279" s="564" t="s">
        <v>1637</v>
      </c>
      <c r="J5279" s="564" t="s">
        <v>1069</v>
      </c>
      <c r="K5279" s="564" t="s">
        <v>1120</v>
      </c>
      <c r="L5279" s="564" t="s">
        <v>1071</v>
      </c>
      <c r="M5279" s="564" t="s">
        <v>1091</v>
      </c>
      <c r="N5279" s="564" t="s">
        <v>1073</v>
      </c>
      <c r="O5279" s="564" t="s">
        <v>241</v>
      </c>
      <c r="P5279" s="23"/>
      <c r="Q5279" s="23"/>
      <c r="R5279" s="23"/>
      <c r="S5279" s="23"/>
      <c r="T5279" s="23"/>
      <c r="U5279" s="23"/>
      <c r="V5279" s="23"/>
      <c r="W5279" s="23"/>
      <c r="X5279" s="23"/>
      <c r="Y5279" s="23"/>
      <c r="Z5279" s="23"/>
    </row>
    <row r="5280" spans="1:26" ht="13">
      <c r="A5280" s="562" t="s">
        <v>11310</v>
      </c>
      <c r="B5280" s="563" t="s">
        <v>11311</v>
      </c>
      <c r="C5280" s="564" t="s">
        <v>277</v>
      </c>
      <c r="D5280" s="565">
        <v>43391</v>
      </c>
      <c r="E5280" s="565">
        <v>43434</v>
      </c>
      <c r="F5280" s="566">
        <v>50940000</v>
      </c>
      <c r="G5280" s="564" t="s">
        <v>1123</v>
      </c>
      <c r="H5280" s="564" t="s">
        <v>5844</v>
      </c>
      <c r="I5280" s="564" t="s">
        <v>45</v>
      </c>
      <c r="J5280" s="564" t="s">
        <v>1069</v>
      </c>
      <c r="K5280" s="564" t="s">
        <v>1090</v>
      </c>
      <c r="L5280" s="564" t="s">
        <v>1071</v>
      </c>
      <c r="M5280" s="564" t="s">
        <v>1124</v>
      </c>
      <c r="N5280" s="564" t="s">
        <v>45</v>
      </c>
      <c r="O5280" s="564" t="s">
        <v>38</v>
      </c>
      <c r="P5280" s="23"/>
      <c r="Q5280" s="23"/>
      <c r="R5280" s="23"/>
      <c r="S5280" s="23"/>
      <c r="T5280" s="23"/>
      <c r="U5280" s="23"/>
      <c r="V5280" s="23"/>
      <c r="W5280" s="23"/>
      <c r="X5280" s="23"/>
      <c r="Y5280" s="23"/>
      <c r="Z5280" s="23"/>
    </row>
    <row r="5281" spans="1:26" ht="13">
      <c r="A5281" s="562" t="s">
        <v>11312</v>
      </c>
      <c r="B5281" s="563" t="s">
        <v>11313</v>
      </c>
      <c r="C5281" s="564" t="s">
        <v>1475</v>
      </c>
      <c r="D5281" s="565">
        <v>43374</v>
      </c>
      <c r="E5281" s="565">
        <v>43501</v>
      </c>
      <c r="F5281" s="566">
        <v>606504000</v>
      </c>
      <c r="G5281" s="564" t="s">
        <v>1298</v>
      </c>
      <c r="H5281" s="564" t="s">
        <v>1529</v>
      </c>
      <c r="I5281" s="564" t="s">
        <v>8772</v>
      </c>
      <c r="J5281" s="564" t="s">
        <v>1069</v>
      </c>
      <c r="K5281" s="564" t="s">
        <v>1070</v>
      </c>
      <c r="L5281" s="564" t="s">
        <v>1390</v>
      </c>
      <c r="M5281" s="564" t="s">
        <v>1390</v>
      </c>
      <c r="N5281" s="564" t="s">
        <v>1082</v>
      </c>
      <c r="O5281" s="564" t="s">
        <v>38</v>
      </c>
      <c r="P5281" s="23"/>
      <c r="Q5281" s="23"/>
      <c r="R5281" s="23"/>
      <c r="S5281" s="23"/>
      <c r="T5281" s="23"/>
      <c r="U5281" s="23"/>
      <c r="V5281" s="23"/>
      <c r="W5281" s="23"/>
      <c r="X5281" s="23"/>
      <c r="Y5281" s="23"/>
      <c r="Z5281" s="23"/>
    </row>
    <row r="5282" spans="1:26" ht="13">
      <c r="A5282" s="562" t="s">
        <v>11314</v>
      </c>
      <c r="B5282" s="563" t="s">
        <v>11315</v>
      </c>
      <c r="C5282" s="564" t="s">
        <v>1551</v>
      </c>
      <c r="D5282" s="565">
        <v>43388</v>
      </c>
      <c r="E5282" s="565">
        <v>43418</v>
      </c>
      <c r="F5282" s="566">
        <v>5000000</v>
      </c>
      <c r="G5282" s="564" t="s">
        <v>2405</v>
      </c>
      <c r="H5282" s="564" t="s">
        <v>1128</v>
      </c>
      <c r="I5282" s="564" t="s">
        <v>1514</v>
      </c>
      <c r="J5282" s="564" t="s">
        <v>1069</v>
      </c>
      <c r="K5282" s="564" t="s">
        <v>1090</v>
      </c>
      <c r="L5282" s="564" t="s">
        <v>1390</v>
      </c>
      <c r="M5282" s="564" t="s">
        <v>1390</v>
      </c>
      <c r="N5282" s="564" t="s">
        <v>1073</v>
      </c>
      <c r="O5282" s="564" t="s">
        <v>38</v>
      </c>
      <c r="P5282" s="23"/>
      <c r="Q5282" s="23"/>
      <c r="R5282" s="23"/>
      <c r="S5282" s="23"/>
      <c r="T5282" s="23"/>
      <c r="U5282" s="23"/>
      <c r="V5282" s="23"/>
      <c r="W5282" s="23"/>
      <c r="X5282" s="23"/>
      <c r="Y5282" s="23"/>
      <c r="Z5282" s="23"/>
    </row>
    <row r="5283" spans="1:26" ht="13">
      <c r="A5283" s="562" t="s">
        <v>11316</v>
      </c>
      <c r="B5283" s="563" t="s">
        <v>11317</v>
      </c>
      <c r="C5283" s="564" t="s">
        <v>1204</v>
      </c>
      <c r="D5283" s="565">
        <v>43344</v>
      </c>
      <c r="E5283" s="565">
        <v>43434</v>
      </c>
      <c r="F5283" s="566">
        <v>31818182</v>
      </c>
      <c r="G5283" s="564" t="s">
        <v>1365</v>
      </c>
      <c r="H5283" s="564" t="s">
        <v>674</v>
      </c>
      <c r="I5283" s="564" t="s">
        <v>11196</v>
      </c>
      <c r="J5283" s="564" t="s">
        <v>1069</v>
      </c>
      <c r="K5283" s="564" t="s">
        <v>1205</v>
      </c>
      <c r="L5283" s="564" t="s">
        <v>1117</v>
      </c>
      <c r="M5283" s="564" t="s">
        <v>1199</v>
      </c>
      <c r="N5283" s="564" t="s">
        <v>1082</v>
      </c>
      <c r="O5283" s="564" t="s">
        <v>38</v>
      </c>
      <c r="P5283" s="23"/>
      <c r="Q5283" s="23"/>
      <c r="R5283" s="23"/>
      <c r="S5283" s="23"/>
      <c r="T5283" s="23"/>
      <c r="U5283" s="23"/>
      <c r="V5283" s="23"/>
      <c r="W5283" s="23"/>
      <c r="X5283" s="23"/>
      <c r="Y5283" s="23"/>
      <c r="Z5283" s="23"/>
    </row>
    <row r="5284" spans="1:26" ht="13">
      <c r="A5284" s="562" t="s">
        <v>11318</v>
      </c>
      <c r="B5284" s="563" t="s">
        <v>11319</v>
      </c>
      <c r="C5284" s="564" t="s">
        <v>1551</v>
      </c>
      <c r="D5284" s="565">
        <v>43361</v>
      </c>
      <c r="E5284" s="565">
        <v>43378</v>
      </c>
      <c r="F5284" s="566">
        <v>8030000</v>
      </c>
      <c r="G5284" s="564" t="s">
        <v>1312</v>
      </c>
      <c r="H5284" s="564" t="s">
        <v>1157</v>
      </c>
      <c r="I5284" s="564" t="s">
        <v>45</v>
      </c>
      <c r="J5284" s="564" t="s">
        <v>1069</v>
      </c>
      <c r="K5284" s="564" t="s">
        <v>1090</v>
      </c>
      <c r="L5284" s="564" t="s">
        <v>1390</v>
      </c>
      <c r="M5284" s="564" t="s">
        <v>1390</v>
      </c>
      <c r="N5284" s="564" t="s">
        <v>45</v>
      </c>
      <c r="O5284" s="564" t="s">
        <v>38</v>
      </c>
      <c r="P5284" s="23"/>
      <c r="Q5284" s="23"/>
      <c r="R5284" s="23"/>
      <c r="S5284" s="23"/>
      <c r="T5284" s="23"/>
      <c r="U5284" s="23"/>
      <c r="V5284" s="23"/>
      <c r="W5284" s="23"/>
      <c r="X5284" s="23"/>
      <c r="Y5284" s="23"/>
      <c r="Z5284" s="23"/>
    </row>
    <row r="5285" spans="1:26" ht="13">
      <c r="A5285" s="562" t="s">
        <v>11320</v>
      </c>
      <c r="B5285" s="563" t="s">
        <v>11321</v>
      </c>
      <c r="C5285" s="564" t="s">
        <v>1475</v>
      </c>
      <c r="D5285" s="565">
        <v>43344</v>
      </c>
      <c r="E5285" s="565">
        <v>43708</v>
      </c>
      <c r="F5285" s="566">
        <v>335160000</v>
      </c>
      <c r="G5285" s="564" t="s">
        <v>10674</v>
      </c>
      <c r="H5285" s="564" t="s">
        <v>1400</v>
      </c>
      <c r="I5285" s="564" t="s">
        <v>11210</v>
      </c>
      <c r="J5285" s="564" t="s">
        <v>1069</v>
      </c>
      <c r="K5285" s="564" t="s">
        <v>1802</v>
      </c>
      <c r="L5285" s="564" t="s">
        <v>1071</v>
      </c>
      <c r="M5285" s="564" t="s">
        <v>1091</v>
      </c>
      <c r="N5285" s="564" t="s">
        <v>1082</v>
      </c>
      <c r="O5285" s="564" t="s">
        <v>241</v>
      </c>
      <c r="P5285" s="23"/>
      <c r="Q5285" s="23"/>
      <c r="R5285" s="23"/>
      <c r="S5285" s="23"/>
      <c r="T5285" s="23"/>
      <c r="U5285" s="23"/>
      <c r="V5285" s="23"/>
      <c r="W5285" s="23"/>
      <c r="X5285" s="23"/>
      <c r="Y5285" s="23"/>
      <c r="Z5285" s="23"/>
    </row>
    <row r="5286" spans="1:26" ht="13">
      <c r="A5286" s="562" t="s">
        <v>11322</v>
      </c>
      <c r="B5286" s="563" t="s">
        <v>11323</v>
      </c>
      <c r="C5286" s="564" t="s">
        <v>1088</v>
      </c>
      <c r="D5286" s="565">
        <v>43344</v>
      </c>
      <c r="E5286" s="565">
        <v>43708</v>
      </c>
      <c r="F5286" s="566">
        <v>76950000</v>
      </c>
      <c r="G5286" s="564" t="s">
        <v>10674</v>
      </c>
      <c r="H5286" s="564" t="s">
        <v>1400</v>
      </c>
      <c r="I5286" s="564" t="s">
        <v>1781</v>
      </c>
      <c r="J5286" s="564" t="s">
        <v>1069</v>
      </c>
      <c r="K5286" s="564" t="s">
        <v>1070</v>
      </c>
      <c r="L5286" s="564" t="s">
        <v>1071</v>
      </c>
      <c r="M5286" s="564" t="s">
        <v>1091</v>
      </c>
      <c r="N5286" s="564" t="s">
        <v>1073</v>
      </c>
      <c r="O5286" s="564" t="s">
        <v>241</v>
      </c>
      <c r="P5286" s="23"/>
      <c r="Q5286" s="23"/>
      <c r="R5286" s="23"/>
      <c r="S5286" s="23"/>
      <c r="T5286" s="23"/>
      <c r="U5286" s="23"/>
      <c r="V5286" s="23"/>
      <c r="W5286" s="23"/>
      <c r="X5286" s="23"/>
      <c r="Y5286" s="23"/>
      <c r="Z5286" s="23"/>
    </row>
    <row r="5287" spans="1:26" ht="13">
      <c r="A5287" s="562" t="s">
        <v>11324</v>
      </c>
      <c r="B5287" s="563" t="s">
        <v>11325</v>
      </c>
      <c r="C5287" s="564" t="s">
        <v>1255</v>
      </c>
      <c r="D5287" s="565">
        <v>43344</v>
      </c>
      <c r="E5287" s="565">
        <v>43708</v>
      </c>
      <c r="F5287" s="566">
        <v>23550000</v>
      </c>
      <c r="G5287" s="564" t="s">
        <v>1780</v>
      </c>
      <c r="H5287" s="564" t="s">
        <v>1123</v>
      </c>
      <c r="I5287" s="564" t="s">
        <v>1781</v>
      </c>
      <c r="J5287" s="564" t="s">
        <v>1069</v>
      </c>
      <c r="K5287" s="564" t="s">
        <v>1070</v>
      </c>
      <c r="L5287" s="564" t="s">
        <v>1071</v>
      </c>
      <c r="M5287" s="564" t="s">
        <v>1091</v>
      </c>
      <c r="N5287" s="564" t="s">
        <v>1073</v>
      </c>
      <c r="O5287" s="564" t="s">
        <v>241</v>
      </c>
      <c r="P5287" s="23"/>
      <c r="Q5287" s="23"/>
      <c r="R5287" s="23"/>
      <c r="S5287" s="23"/>
      <c r="T5287" s="23"/>
      <c r="U5287" s="23"/>
      <c r="V5287" s="23"/>
      <c r="W5287" s="23"/>
      <c r="X5287" s="23"/>
      <c r="Y5287" s="23"/>
      <c r="Z5287" s="23"/>
    </row>
    <row r="5288" spans="1:26" ht="13">
      <c r="A5288" s="562" t="s">
        <v>11326</v>
      </c>
      <c r="B5288" s="563" t="s">
        <v>11327</v>
      </c>
      <c r="C5288" s="564" t="s">
        <v>1455</v>
      </c>
      <c r="D5288" s="565">
        <v>43313</v>
      </c>
      <c r="E5288" s="565">
        <v>43677</v>
      </c>
      <c r="F5288" s="566">
        <v>60000000</v>
      </c>
      <c r="G5288" s="564" t="s">
        <v>11328</v>
      </c>
      <c r="H5288" s="564" t="s">
        <v>1157</v>
      </c>
      <c r="I5288" s="564" t="s">
        <v>11329</v>
      </c>
      <c r="J5288" s="564" t="s">
        <v>1069</v>
      </c>
      <c r="K5288" s="564" t="s">
        <v>1105</v>
      </c>
      <c r="L5288" s="564" t="s">
        <v>1071</v>
      </c>
      <c r="M5288" s="564" t="s">
        <v>1091</v>
      </c>
      <c r="N5288" s="564" t="s">
        <v>1082</v>
      </c>
      <c r="O5288" s="564" t="s">
        <v>241</v>
      </c>
      <c r="P5288" s="23"/>
      <c r="Q5288" s="23"/>
      <c r="R5288" s="23"/>
      <c r="S5288" s="23"/>
      <c r="T5288" s="23"/>
      <c r="U5288" s="23"/>
      <c r="V5288" s="23"/>
      <c r="W5288" s="23"/>
      <c r="X5288" s="23"/>
      <c r="Y5288" s="23"/>
      <c r="Z5288" s="23"/>
    </row>
    <row r="5289" spans="1:26" ht="13">
      <c r="A5289" s="562" t="s">
        <v>11330</v>
      </c>
      <c r="B5289" s="563" t="s">
        <v>11331</v>
      </c>
      <c r="C5289" s="564" t="s">
        <v>1204</v>
      </c>
      <c r="D5289" s="565">
        <v>43294</v>
      </c>
      <c r="E5289" s="565">
        <v>43404</v>
      </c>
      <c r="F5289" s="566">
        <v>40000000</v>
      </c>
      <c r="G5289" s="564" t="s">
        <v>1365</v>
      </c>
      <c r="H5289" s="564" t="s">
        <v>674</v>
      </c>
      <c r="I5289" s="564" t="s">
        <v>11332</v>
      </c>
      <c r="J5289" s="564" t="s">
        <v>1069</v>
      </c>
      <c r="K5289" s="564" t="s">
        <v>1205</v>
      </c>
      <c r="L5289" s="564" t="s">
        <v>1117</v>
      </c>
      <c r="M5289" s="564" t="s">
        <v>1199</v>
      </c>
      <c r="N5289" s="564" t="s">
        <v>1082</v>
      </c>
      <c r="O5289" s="564" t="s">
        <v>38</v>
      </c>
      <c r="P5289" s="23"/>
      <c r="Q5289" s="23"/>
      <c r="R5289" s="23"/>
      <c r="S5289" s="23"/>
      <c r="T5289" s="23"/>
      <c r="U5289" s="23"/>
      <c r="V5289" s="23"/>
      <c r="W5289" s="23"/>
      <c r="X5289" s="23"/>
      <c r="Y5289" s="23"/>
      <c r="Z5289" s="23"/>
    </row>
    <row r="5290" spans="1:26" ht="13">
      <c r="A5290" s="562" t="s">
        <v>11333</v>
      </c>
      <c r="B5290" s="563" t="s">
        <v>11334</v>
      </c>
      <c r="C5290" s="564" t="s">
        <v>1388</v>
      </c>
      <c r="D5290" s="565">
        <v>43304</v>
      </c>
      <c r="E5290" s="565">
        <v>43585</v>
      </c>
      <c r="F5290" s="566">
        <v>104200000</v>
      </c>
      <c r="G5290" s="564" t="s">
        <v>1128</v>
      </c>
      <c r="H5290" s="564" t="s">
        <v>1128</v>
      </c>
      <c r="I5290" s="564" t="s">
        <v>45</v>
      </c>
      <c r="J5290" s="564" t="s">
        <v>1069</v>
      </c>
      <c r="K5290" s="564" t="s">
        <v>1090</v>
      </c>
      <c r="L5290" s="564" t="s">
        <v>1390</v>
      </c>
      <c r="M5290" s="564" t="s">
        <v>1390</v>
      </c>
      <c r="N5290" s="564" t="s">
        <v>45</v>
      </c>
      <c r="O5290" s="564" t="s">
        <v>38</v>
      </c>
      <c r="P5290" s="23"/>
      <c r="Q5290" s="23"/>
      <c r="R5290" s="23"/>
      <c r="S5290" s="23"/>
      <c r="T5290" s="23"/>
      <c r="U5290" s="23"/>
      <c r="V5290" s="23"/>
      <c r="W5290" s="23"/>
      <c r="X5290" s="23"/>
      <c r="Y5290" s="23"/>
      <c r="Z5290" s="23"/>
    </row>
    <row r="5291" spans="1:26" ht="13">
      <c r="A5291" s="562" t="s">
        <v>11335</v>
      </c>
      <c r="B5291" s="563" t="s">
        <v>11336</v>
      </c>
      <c r="C5291" s="564" t="s">
        <v>1255</v>
      </c>
      <c r="D5291" s="565">
        <v>43291</v>
      </c>
      <c r="E5291" s="565">
        <v>43373</v>
      </c>
      <c r="F5291" s="566">
        <v>539460000</v>
      </c>
      <c r="G5291" s="564" t="s">
        <v>3688</v>
      </c>
      <c r="H5291" s="564" t="s">
        <v>1123</v>
      </c>
      <c r="I5291" s="564" t="s">
        <v>3824</v>
      </c>
      <c r="J5291" s="564" t="s">
        <v>1069</v>
      </c>
      <c r="K5291" s="564" t="s">
        <v>1070</v>
      </c>
      <c r="L5291" s="564" t="s">
        <v>1390</v>
      </c>
      <c r="M5291" s="564" t="s">
        <v>1390</v>
      </c>
      <c r="N5291" s="564" t="s">
        <v>1073</v>
      </c>
      <c r="O5291" s="564" t="s">
        <v>38</v>
      </c>
      <c r="P5291" s="23"/>
      <c r="Q5291" s="23"/>
      <c r="R5291" s="23"/>
      <c r="S5291" s="23"/>
      <c r="T5291" s="23"/>
      <c r="U5291" s="23"/>
      <c r="V5291" s="23"/>
      <c r="W5291" s="23"/>
      <c r="X5291" s="23"/>
      <c r="Y5291" s="23"/>
      <c r="Z5291" s="23"/>
    </row>
    <row r="5292" spans="1:26" ht="13">
      <c r="A5292" s="562" t="s">
        <v>11337</v>
      </c>
      <c r="B5292" s="563" t="s">
        <v>11338</v>
      </c>
      <c r="C5292" s="564" t="s">
        <v>1548</v>
      </c>
      <c r="D5292" s="565">
        <v>43252</v>
      </c>
      <c r="E5292" s="565">
        <v>43281</v>
      </c>
      <c r="F5292" s="566">
        <v>45470000</v>
      </c>
      <c r="G5292" s="564" t="s">
        <v>2428</v>
      </c>
      <c r="H5292" s="564" t="s">
        <v>2428</v>
      </c>
      <c r="I5292" s="564" t="s">
        <v>11013</v>
      </c>
      <c r="J5292" s="564" t="s">
        <v>1069</v>
      </c>
      <c r="K5292" s="564" t="s">
        <v>1198</v>
      </c>
      <c r="L5292" s="564" t="s">
        <v>1390</v>
      </c>
      <c r="M5292" s="564" t="s">
        <v>1390</v>
      </c>
      <c r="N5292" s="564" t="s">
        <v>1368</v>
      </c>
      <c r="O5292" s="564" t="s">
        <v>38</v>
      </c>
      <c r="P5292" s="23"/>
      <c r="Q5292" s="23"/>
      <c r="R5292" s="23"/>
      <c r="S5292" s="23"/>
      <c r="T5292" s="23"/>
      <c r="U5292" s="23"/>
      <c r="V5292" s="23"/>
      <c r="W5292" s="23"/>
      <c r="X5292" s="23"/>
      <c r="Y5292" s="23"/>
      <c r="Z5292" s="23"/>
    </row>
    <row r="5293" spans="1:26" ht="13">
      <c r="A5293" s="562" t="s">
        <v>11339</v>
      </c>
      <c r="B5293" s="563" t="s">
        <v>11338</v>
      </c>
      <c r="C5293" s="564" t="s">
        <v>1548</v>
      </c>
      <c r="D5293" s="565">
        <v>43252</v>
      </c>
      <c r="E5293" s="565">
        <v>43281</v>
      </c>
      <c r="F5293" s="566">
        <v>739000</v>
      </c>
      <c r="G5293" s="564" t="s">
        <v>11273</v>
      </c>
      <c r="H5293" s="564" t="s">
        <v>5465</v>
      </c>
      <c r="I5293" s="564" t="s">
        <v>11340</v>
      </c>
      <c r="J5293" s="564" t="s">
        <v>1069</v>
      </c>
      <c r="K5293" s="564" t="s">
        <v>1070</v>
      </c>
      <c r="L5293" s="564" t="s">
        <v>1390</v>
      </c>
      <c r="M5293" s="564" t="s">
        <v>1390</v>
      </c>
      <c r="N5293" s="564" t="s">
        <v>1082</v>
      </c>
      <c r="O5293" s="564" t="s">
        <v>38</v>
      </c>
      <c r="P5293" s="23"/>
      <c r="Q5293" s="23"/>
      <c r="R5293" s="23"/>
      <c r="S5293" s="23"/>
      <c r="T5293" s="23"/>
      <c r="U5293" s="23"/>
      <c r="V5293" s="23"/>
      <c r="W5293" s="23"/>
      <c r="X5293" s="23"/>
      <c r="Y5293" s="23"/>
      <c r="Z5293" s="23"/>
    </row>
    <row r="5294" spans="1:26" ht="13">
      <c r="A5294" s="562" t="s">
        <v>11341</v>
      </c>
      <c r="B5294" s="563" t="s">
        <v>11342</v>
      </c>
      <c r="C5294" s="564" t="s">
        <v>1114</v>
      </c>
      <c r="D5294" s="565">
        <v>43252</v>
      </c>
      <c r="E5294" s="565">
        <v>43616</v>
      </c>
      <c r="F5294" s="566">
        <v>2250000</v>
      </c>
      <c r="G5294" s="564" t="s">
        <v>1365</v>
      </c>
      <c r="H5294" s="564" t="s">
        <v>674</v>
      </c>
      <c r="I5294" s="564" t="s">
        <v>11099</v>
      </c>
      <c r="J5294" s="564" t="s">
        <v>1069</v>
      </c>
      <c r="K5294" s="564" t="s">
        <v>1205</v>
      </c>
      <c r="L5294" s="564" t="s">
        <v>1117</v>
      </c>
      <c r="M5294" s="564" t="s">
        <v>1199</v>
      </c>
      <c r="N5294" s="564" t="s">
        <v>1082</v>
      </c>
      <c r="O5294" s="564" t="s">
        <v>1081</v>
      </c>
      <c r="P5294" s="23"/>
      <c r="Q5294" s="23"/>
      <c r="R5294" s="23"/>
      <c r="S5294" s="23"/>
      <c r="T5294" s="23"/>
      <c r="U5294" s="23"/>
      <c r="V5294" s="23"/>
      <c r="W5294" s="23"/>
      <c r="X5294" s="23"/>
      <c r="Y5294" s="23"/>
      <c r="Z5294" s="23"/>
    </row>
    <row r="5295" spans="1:26" ht="13">
      <c r="A5295" s="562" t="s">
        <v>11343</v>
      </c>
      <c r="B5295" s="563" t="s">
        <v>11344</v>
      </c>
      <c r="C5295" s="564" t="s">
        <v>1652</v>
      </c>
      <c r="D5295" s="565">
        <v>43282</v>
      </c>
      <c r="E5295" s="565">
        <v>43646</v>
      </c>
      <c r="F5295" s="566">
        <v>25800000</v>
      </c>
      <c r="G5295" s="564" t="s">
        <v>1298</v>
      </c>
      <c r="H5295" s="564" t="s">
        <v>1941</v>
      </c>
      <c r="I5295" s="564" t="s">
        <v>70</v>
      </c>
      <c r="J5295" s="564" t="s">
        <v>1069</v>
      </c>
      <c r="K5295" s="564" t="s">
        <v>1120</v>
      </c>
      <c r="L5295" s="564" t="s">
        <v>1071</v>
      </c>
      <c r="M5295" s="564" t="s">
        <v>1091</v>
      </c>
      <c r="N5295" s="564" t="s">
        <v>70</v>
      </c>
      <c r="O5295" s="564" t="s">
        <v>241</v>
      </c>
      <c r="P5295" s="23"/>
      <c r="Q5295" s="23"/>
      <c r="R5295" s="23"/>
      <c r="S5295" s="23"/>
      <c r="T5295" s="23"/>
      <c r="U5295" s="23"/>
      <c r="V5295" s="23"/>
      <c r="W5295" s="23"/>
      <c r="X5295" s="23"/>
      <c r="Y5295" s="23"/>
      <c r="Z5295" s="23"/>
    </row>
    <row r="5296" spans="1:26" ht="13">
      <c r="A5296" s="562" t="s">
        <v>11345</v>
      </c>
      <c r="B5296" s="563" t="s">
        <v>11346</v>
      </c>
      <c r="C5296" s="564" t="s">
        <v>1255</v>
      </c>
      <c r="D5296" s="565">
        <v>43282</v>
      </c>
      <c r="E5296" s="565">
        <v>43404</v>
      </c>
      <c r="F5296" s="566">
        <v>4749999</v>
      </c>
      <c r="G5296" s="564" t="s">
        <v>1032</v>
      </c>
      <c r="H5296" s="564" t="s">
        <v>1123</v>
      </c>
      <c r="I5296" s="564" t="s">
        <v>143</v>
      </c>
      <c r="J5296" s="564" t="s">
        <v>1069</v>
      </c>
      <c r="K5296" s="564" t="s">
        <v>1205</v>
      </c>
      <c r="L5296" s="564" t="s">
        <v>1071</v>
      </c>
      <c r="M5296" s="564" t="s">
        <v>1091</v>
      </c>
      <c r="N5296" s="564" t="s">
        <v>1073</v>
      </c>
      <c r="O5296" s="564" t="s">
        <v>241</v>
      </c>
      <c r="P5296" s="23"/>
      <c r="Q5296" s="23"/>
      <c r="R5296" s="23"/>
      <c r="S5296" s="23"/>
      <c r="T5296" s="23"/>
      <c r="U5296" s="23"/>
      <c r="V5296" s="23"/>
      <c r="W5296" s="23"/>
      <c r="X5296" s="23"/>
      <c r="Y5296" s="23"/>
      <c r="Z5296" s="23"/>
    </row>
    <row r="5297" spans="1:26" ht="13">
      <c r="A5297" s="562" t="s">
        <v>11347</v>
      </c>
      <c r="B5297" s="563" t="s">
        <v>11348</v>
      </c>
      <c r="C5297" s="564" t="s">
        <v>2322</v>
      </c>
      <c r="D5297" s="565">
        <v>43256</v>
      </c>
      <c r="E5297" s="565">
        <v>43358</v>
      </c>
      <c r="F5297" s="566">
        <v>18181818</v>
      </c>
      <c r="G5297" s="564" t="s">
        <v>4925</v>
      </c>
      <c r="H5297" s="564" t="s">
        <v>4925</v>
      </c>
      <c r="I5297" s="564" t="s">
        <v>3041</v>
      </c>
      <c r="J5297" s="564" t="s">
        <v>1069</v>
      </c>
      <c r="K5297" s="564" t="s">
        <v>1209</v>
      </c>
      <c r="L5297" s="564" t="s">
        <v>1390</v>
      </c>
      <c r="M5297" s="564" t="s">
        <v>1390</v>
      </c>
      <c r="N5297" s="564" t="s">
        <v>1082</v>
      </c>
      <c r="O5297" s="564" t="s">
        <v>38</v>
      </c>
      <c r="P5297" s="23"/>
      <c r="Q5297" s="23"/>
      <c r="R5297" s="23"/>
      <c r="S5297" s="23"/>
      <c r="T5297" s="23"/>
      <c r="U5297" s="23"/>
      <c r="V5297" s="23"/>
      <c r="W5297" s="23"/>
      <c r="X5297" s="23"/>
      <c r="Y5297" s="23"/>
      <c r="Z5297" s="23"/>
    </row>
    <row r="5298" spans="1:26" ht="13">
      <c r="A5298" s="562" t="s">
        <v>11349</v>
      </c>
      <c r="B5298" s="563" t="s">
        <v>11350</v>
      </c>
      <c r="C5298" s="564" t="s">
        <v>1455</v>
      </c>
      <c r="D5298" s="565">
        <v>43259</v>
      </c>
      <c r="E5298" s="565">
        <v>43465</v>
      </c>
      <c r="F5298" s="566">
        <v>59000000</v>
      </c>
      <c r="G5298" s="564" t="s">
        <v>1431</v>
      </c>
      <c r="H5298" s="564" t="s">
        <v>1157</v>
      </c>
      <c r="I5298" s="564" t="s">
        <v>170</v>
      </c>
      <c r="J5298" s="564" t="s">
        <v>1069</v>
      </c>
      <c r="K5298" s="564" t="s">
        <v>1105</v>
      </c>
      <c r="L5298" s="564" t="s">
        <v>1390</v>
      </c>
      <c r="M5298" s="564" t="s">
        <v>1390</v>
      </c>
      <c r="N5298" s="564" t="s">
        <v>170</v>
      </c>
      <c r="O5298" s="564" t="s">
        <v>38</v>
      </c>
      <c r="P5298" s="23"/>
      <c r="Q5298" s="23"/>
      <c r="R5298" s="23"/>
      <c r="S5298" s="23"/>
      <c r="T5298" s="23"/>
      <c r="U5298" s="23"/>
      <c r="V5298" s="23"/>
      <c r="W5298" s="23"/>
      <c r="X5298" s="23"/>
      <c r="Y5298" s="23"/>
      <c r="Z5298" s="23"/>
    </row>
    <row r="5299" spans="1:26" ht="13">
      <c r="A5299" s="562" t="s">
        <v>11351</v>
      </c>
      <c r="B5299" s="563" t="s">
        <v>11352</v>
      </c>
      <c r="C5299" s="564" t="s">
        <v>1551</v>
      </c>
      <c r="D5299" s="565">
        <v>43256</v>
      </c>
      <c r="E5299" s="565">
        <v>43418</v>
      </c>
      <c r="F5299" s="566">
        <v>49500000</v>
      </c>
      <c r="G5299" s="564" t="s">
        <v>11328</v>
      </c>
      <c r="H5299" s="564" t="s">
        <v>1157</v>
      </c>
      <c r="I5299" s="564" t="s">
        <v>170</v>
      </c>
      <c r="J5299" s="564" t="s">
        <v>1069</v>
      </c>
      <c r="K5299" s="564" t="s">
        <v>1105</v>
      </c>
      <c r="L5299" s="564" t="s">
        <v>1390</v>
      </c>
      <c r="M5299" s="564" t="s">
        <v>1390</v>
      </c>
      <c r="N5299" s="564" t="s">
        <v>170</v>
      </c>
      <c r="O5299" s="564" t="s">
        <v>38</v>
      </c>
      <c r="P5299" s="23"/>
      <c r="Q5299" s="23"/>
      <c r="R5299" s="23"/>
      <c r="S5299" s="23"/>
      <c r="T5299" s="23"/>
      <c r="U5299" s="23"/>
      <c r="V5299" s="23"/>
      <c r="W5299" s="23"/>
      <c r="X5299" s="23"/>
      <c r="Y5299" s="23"/>
      <c r="Z5299" s="23"/>
    </row>
    <row r="5300" spans="1:26" ht="13">
      <c r="A5300" s="562" t="s">
        <v>11353</v>
      </c>
      <c r="B5300" s="563" t="s">
        <v>11354</v>
      </c>
      <c r="C5300" s="564" t="s">
        <v>1186</v>
      </c>
      <c r="D5300" s="565">
        <v>43196</v>
      </c>
      <c r="E5300" s="565">
        <v>44196</v>
      </c>
      <c r="F5300" s="566">
        <v>2396820000</v>
      </c>
      <c r="G5300" s="564" t="s">
        <v>10674</v>
      </c>
      <c r="H5300" s="564" t="s">
        <v>1636</v>
      </c>
      <c r="I5300" s="564" t="s">
        <v>45</v>
      </c>
      <c r="J5300" s="564" t="s">
        <v>1069</v>
      </c>
      <c r="K5300" s="564" t="s">
        <v>1090</v>
      </c>
      <c r="L5300" s="564" t="s">
        <v>1390</v>
      </c>
      <c r="M5300" s="564" t="s">
        <v>1390</v>
      </c>
      <c r="N5300" s="564" t="s">
        <v>45</v>
      </c>
      <c r="O5300" s="564" t="s">
        <v>38</v>
      </c>
      <c r="P5300" s="23"/>
      <c r="Q5300" s="23"/>
      <c r="R5300" s="23"/>
      <c r="S5300" s="23"/>
      <c r="T5300" s="23"/>
      <c r="U5300" s="23"/>
      <c r="V5300" s="23"/>
      <c r="W5300" s="23"/>
      <c r="X5300" s="23"/>
      <c r="Y5300" s="23"/>
      <c r="Z5300" s="23"/>
    </row>
    <row r="5301" spans="1:26" ht="13">
      <c r="A5301" s="562" t="s">
        <v>11355</v>
      </c>
      <c r="B5301" s="563" t="s">
        <v>11356</v>
      </c>
      <c r="C5301" s="564" t="s">
        <v>1076</v>
      </c>
      <c r="D5301" s="565">
        <v>43221</v>
      </c>
      <c r="E5301" s="565">
        <v>43585</v>
      </c>
      <c r="F5301" s="566">
        <v>17040000</v>
      </c>
      <c r="G5301" s="564" t="s">
        <v>1424</v>
      </c>
      <c r="H5301" s="564" t="s">
        <v>1424</v>
      </c>
      <c r="I5301" s="564" t="s">
        <v>1781</v>
      </c>
      <c r="J5301" s="564" t="s">
        <v>1069</v>
      </c>
      <c r="K5301" s="564" t="s">
        <v>1070</v>
      </c>
      <c r="L5301" s="564" t="s">
        <v>1071</v>
      </c>
      <c r="M5301" s="564" t="s">
        <v>1091</v>
      </c>
      <c r="N5301" s="564" t="s">
        <v>1073</v>
      </c>
      <c r="O5301" s="564" t="s">
        <v>241</v>
      </c>
      <c r="P5301" s="23"/>
      <c r="Q5301" s="23"/>
      <c r="R5301" s="23"/>
      <c r="S5301" s="23"/>
      <c r="T5301" s="23"/>
      <c r="U5301" s="23"/>
      <c r="V5301" s="23"/>
      <c r="W5301" s="23"/>
      <c r="X5301" s="23"/>
      <c r="Y5301" s="23"/>
      <c r="Z5301" s="23"/>
    </row>
    <row r="5302" spans="1:26" ht="13">
      <c r="A5302" s="562" t="s">
        <v>11357</v>
      </c>
      <c r="B5302" s="563" t="s">
        <v>11358</v>
      </c>
      <c r="C5302" s="564" t="s">
        <v>1076</v>
      </c>
      <c r="D5302" s="565">
        <v>43221</v>
      </c>
      <c r="E5302" s="565">
        <v>43585</v>
      </c>
      <c r="F5302" s="566">
        <v>25569600</v>
      </c>
      <c r="G5302" s="564" t="s">
        <v>1424</v>
      </c>
      <c r="H5302" s="564" t="s">
        <v>1424</v>
      </c>
      <c r="I5302" s="564" t="s">
        <v>2586</v>
      </c>
      <c r="J5302" s="564" t="s">
        <v>1069</v>
      </c>
      <c r="K5302" s="564" t="s">
        <v>1070</v>
      </c>
      <c r="L5302" s="564" t="s">
        <v>1071</v>
      </c>
      <c r="M5302" s="564" t="s">
        <v>1091</v>
      </c>
      <c r="N5302" s="564" t="s">
        <v>1073</v>
      </c>
      <c r="O5302" s="564" t="s">
        <v>241</v>
      </c>
      <c r="P5302" s="23"/>
      <c r="Q5302" s="23"/>
      <c r="R5302" s="23"/>
      <c r="S5302" s="23"/>
      <c r="T5302" s="23"/>
      <c r="U5302" s="23"/>
      <c r="V5302" s="23"/>
      <c r="W5302" s="23"/>
      <c r="X5302" s="23"/>
      <c r="Y5302" s="23"/>
      <c r="Z5302" s="23"/>
    </row>
    <row r="5303" spans="1:26" ht="13">
      <c r="A5303" s="562" t="s">
        <v>11359</v>
      </c>
      <c r="B5303" s="563" t="s">
        <v>11360</v>
      </c>
      <c r="C5303" s="564" t="s">
        <v>1548</v>
      </c>
      <c r="D5303" s="565">
        <v>43101</v>
      </c>
      <c r="E5303" s="565">
        <v>43465</v>
      </c>
      <c r="F5303" s="566">
        <v>46236000</v>
      </c>
      <c r="G5303" s="564" t="s">
        <v>3688</v>
      </c>
      <c r="H5303" s="564" t="s">
        <v>297</v>
      </c>
      <c r="I5303" s="564" t="s">
        <v>11181</v>
      </c>
      <c r="J5303" s="564" t="s">
        <v>1069</v>
      </c>
      <c r="K5303" s="564" t="s">
        <v>1802</v>
      </c>
      <c r="L5303" s="564" t="s">
        <v>1071</v>
      </c>
      <c r="M5303" s="564" t="s">
        <v>1091</v>
      </c>
      <c r="N5303" s="564" t="s">
        <v>1082</v>
      </c>
      <c r="O5303" s="564" t="s">
        <v>241</v>
      </c>
      <c r="P5303" s="23"/>
      <c r="Q5303" s="23"/>
      <c r="R5303" s="23"/>
      <c r="S5303" s="23"/>
      <c r="T5303" s="23"/>
      <c r="U5303" s="23"/>
      <c r="V5303" s="23"/>
      <c r="W5303" s="23"/>
      <c r="X5303" s="23"/>
      <c r="Y5303" s="23"/>
      <c r="Z5303" s="23"/>
    </row>
    <row r="5304" spans="1:26" ht="13">
      <c r="A5304" s="562" t="s">
        <v>11361</v>
      </c>
      <c r="B5304" s="563" t="s">
        <v>11362</v>
      </c>
      <c r="C5304" s="564" t="s">
        <v>1548</v>
      </c>
      <c r="D5304" s="565">
        <v>43101</v>
      </c>
      <c r="E5304" s="565">
        <v>43465</v>
      </c>
      <c r="F5304" s="566">
        <v>10068000</v>
      </c>
      <c r="G5304" s="564" t="s">
        <v>3688</v>
      </c>
      <c r="H5304" s="564" t="s">
        <v>297</v>
      </c>
      <c r="I5304" s="564" t="s">
        <v>11181</v>
      </c>
      <c r="J5304" s="564" t="s">
        <v>1069</v>
      </c>
      <c r="K5304" s="564" t="s">
        <v>1802</v>
      </c>
      <c r="L5304" s="564" t="s">
        <v>1071</v>
      </c>
      <c r="M5304" s="564" t="s">
        <v>1091</v>
      </c>
      <c r="N5304" s="564" t="s">
        <v>1082</v>
      </c>
      <c r="O5304" s="564" t="s">
        <v>241</v>
      </c>
      <c r="P5304" s="23"/>
      <c r="Q5304" s="23"/>
      <c r="R5304" s="23"/>
      <c r="S5304" s="23"/>
      <c r="T5304" s="23"/>
      <c r="U5304" s="23"/>
      <c r="V5304" s="23"/>
      <c r="W5304" s="23"/>
      <c r="X5304" s="23"/>
      <c r="Y5304" s="23"/>
      <c r="Z5304" s="23"/>
    </row>
    <row r="5305" spans="1:26" ht="13">
      <c r="A5305" s="562" t="s">
        <v>11363</v>
      </c>
      <c r="B5305" s="563" t="s">
        <v>11364</v>
      </c>
      <c r="C5305" s="564" t="s">
        <v>1114</v>
      </c>
      <c r="D5305" s="565">
        <v>43160</v>
      </c>
      <c r="E5305" s="565">
        <v>43524</v>
      </c>
      <c r="F5305" s="566">
        <v>4090909</v>
      </c>
      <c r="G5305" s="564" t="s">
        <v>1365</v>
      </c>
      <c r="H5305" s="564" t="s">
        <v>674</v>
      </c>
      <c r="I5305" s="564" t="s">
        <v>11259</v>
      </c>
      <c r="J5305" s="564" t="s">
        <v>1069</v>
      </c>
      <c r="K5305" s="564" t="s">
        <v>1205</v>
      </c>
      <c r="L5305" s="564" t="s">
        <v>1117</v>
      </c>
      <c r="M5305" s="564" t="s">
        <v>1199</v>
      </c>
      <c r="N5305" s="564" t="s">
        <v>1082</v>
      </c>
      <c r="O5305" s="564" t="s">
        <v>241</v>
      </c>
      <c r="P5305" s="23"/>
      <c r="Q5305" s="23"/>
      <c r="R5305" s="23"/>
      <c r="S5305" s="23"/>
      <c r="T5305" s="23"/>
      <c r="U5305" s="23"/>
      <c r="V5305" s="23"/>
      <c r="W5305" s="23"/>
      <c r="X5305" s="23"/>
      <c r="Y5305" s="23"/>
      <c r="Z5305" s="23"/>
    </row>
    <row r="5306" spans="1:26" ht="13">
      <c r="A5306" s="562" t="s">
        <v>11365</v>
      </c>
      <c r="B5306" s="563" t="s">
        <v>11366</v>
      </c>
      <c r="C5306" s="564" t="s">
        <v>1114</v>
      </c>
      <c r="D5306" s="565">
        <v>43160</v>
      </c>
      <c r="E5306" s="565">
        <v>43524</v>
      </c>
      <c r="F5306" s="566">
        <v>1500000</v>
      </c>
      <c r="G5306" s="564" t="s">
        <v>1365</v>
      </c>
      <c r="H5306" s="564" t="s">
        <v>674</v>
      </c>
      <c r="I5306" s="564" t="s">
        <v>11266</v>
      </c>
      <c r="J5306" s="564" t="s">
        <v>1069</v>
      </c>
      <c r="K5306" s="564" t="s">
        <v>1205</v>
      </c>
      <c r="L5306" s="564" t="s">
        <v>1117</v>
      </c>
      <c r="M5306" s="564" t="s">
        <v>1199</v>
      </c>
      <c r="N5306" s="564" t="s">
        <v>1368</v>
      </c>
      <c r="O5306" s="564" t="s">
        <v>241</v>
      </c>
      <c r="P5306" s="23"/>
      <c r="Q5306" s="23"/>
      <c r="R5306" s="23"/>
      <c r="S5306" s="23"/>
      <c r="T5306" s="23"/>
      <c r="U5306" s="23"/>
      <c r="V5306" s="23"/>
      <c r="W5306" s="23"/>
      <c r="X5306" s="23"/>
      <c r="Y5306" s="23"/>
      <c r="Z5306" s="23"/>
    </row>
    <row r="5307" spans="1:26" ht="13">
      <c r="A5307" s="562" t="s">
        <v>11367</v>
      </c>
      <c r="B5307" s="563" t="s">
        <v>11368</v>
      </c>
      <c r="C5307" s="564" t="s">
        <v>1114</v>
      </c>
      <c r="D5307" s="565">
        <v>43525</v>
      </c>
      <c r="E5307" s="565">
        <v>43890</v>
      </c>
      <c r="F5307" s="566">
        <v>5400000</v>
      </c>
      <c r="G5307" s="564" t="s">
        <v>1365</v>
      </c>
      <c r="H5307" s="564" t="s">
        <v>674</v>
      </c>
      <c r="I5307" s="564" t="s">
        <v>11369</v>
      </c>
      <c r="J5307" s="564" t="s">
        <v>1069</v>
      </c>
      <c r="K5307" s="564" t="s">
        <v>1205</v>
      </c>
      <c r="L5307" s="564" t="s">
        <v>1117</v>
      </c>
      <c r="M5307" s="564" t="s">
        <v>1118</v>
      </c>
      <c r="N5307" s="564" t="s">
        <v>1082</v>
      </c>
      <c r="O5307" s="564" t="s">
        <v>241</v>
      </c>
      <c r="P5307" s="23"/>
      <c r="Q5307" s="23"/>
      <c r="R5307" s="23"/>
      <c r="S5307" s="23"/>
      <c r="T5307" s="23"/>
      <c r="U5307" s="23"/>
      <c r="V5307" s="23"/>
      <c r="W5307" s="23"/>
      <c r="X5307" s="23"/>
      <c r="Y5307" s="23"/>
      <c r="Z5307" s="23"/>
    </row>
    <row r="5308" spans="1:26" ht="13">
      <c r="A5308" s="562" t="s">
        <v>11370</v>
      </c>
      <c r="B5308" s="563" t="s">
        <v>11371</v>
      </c>
      <c r="C5308" s="564" t="s">
        <v>1548</v>
      </c>
      <c r="D5308" s="565">
        <v>43191</v>
      </c>
      <c r="E5308" s="565">
        <v>43312</v>
      </c>
      <c r="F5308" s="566">
        <v>277272727</v>
      </c>
      <c r="G5308" s="564" t="s">
        <v>10710</v>
      </c>
      <c r="H5308" s="564" t="s">
        <v>1564</v>
      </c>
      <c r="I5308" s="564" t="s">
        <v>11372</v>
      </c>
      <c r="J5308" s="564" t="s">
        <v>1069</v>
      </c>
      <c r="K5308" s="564" t="s">
        <v>1198</v>
      </c>
      <c r="L5308" s="564" t="s">
        <v>1390</v>
      </c>
      <c r="M5308" s="564" t="s">
        <v>1390</v>
      </c>
      <c r="N5308" s="564" t="s">
        <v>1368</v>
      </c>
      <c r="O5308" s="564" t="s">
        <v>38</v>
      </c>
      <c r="P5308" s="23"/>
      <c r="Q5308" s="23"/>
      <c r="R5308" s="23"/>
      <c r="S5308" s="23"/>
      <c r="T5308" s="23"/>
      <c r="U5308" s="23"/>
      <c r="V5308" s="23"/>
      <c r="W5308" s="23"/>
      <c r="X5308" s="23"/>
      <c r="Y5308" s="23"/>
      <c r="Z5308" s="23"/>
    </row>
    <row r="5309" spans="1:26" ht="13">
      <c r="A5309" s="562" t="s">
        <v>11373</v>
      </c>
      <c r="B5309" s="563" t="s">
        <v>11374</v>
      </c>
      <c r="C5309" s="564" t="s">
        <v>1370</v>
      </c>
      <c r="D5309" s="565">
        <v>43101</v>
      </c>
      <c r="E5309" s="565">
        <v>43465</v>
      </c>
      <c r="F5309" s="566">
        <v>12000000</v>
      </c>
      <c r="G5309" s="564" t="s">
        <v>1623</v>
      </c>
      <c r="H5309" s="564" t="s">
        <v>1623</v>
      </c>
      <c r="I5309" s="564" t="s">
        <v>1746</v>
      </c>
      <c r="J5309" s="564" t="s">
        <v>1069</v>
      </c>
      <c r="K5309" s="564" t="s">
        <v>1198</v>
      </c>
      <c r="L5309" s="564" t="s">
        <v>1071</v>
      </c>
      <c r="M5309" s="564" t="s">
        <v>1091</v>
      </c>
      <c r="N5309" s="564" t="s">
        <v>1073</v>
      </c>
      <c r="O5309" s="564" t="s">
        <v>241</v>
      </c>
      <c r="P5309" s="23"/>
      <c r="Q5309" s="23"/>
      <c r="R5309" s="23"/>
      <c r="S5309" s="23"/>
      <c r="T5309" s="23"/>
      <c r="U5309" s="23"/>
      <c r="V5309" s="23"/>
      <c r="W5309" s="23"/>
      <c r="X5309" s="23"/>
      <c r="Y5309" s="23"/>
      <c r="Z5309" s="23"/>
    </row>
    <row r="5310" spans="1:26" ht="13">
      <c r="A5310" s="562" t="s">
        <v>11375</v>
      </c>
      <c r="B5310" s="563" t="s">
        <v>11376</v>
      </c>
      <c r="C5310" s="564" t="s">
        <v>1370</v>
      </c>
      <c r="D5310" s="565">
        <v>43101</v>
      </c>
      <c r="E5310" s="565">
        <v>43465</v>
      </c>
      <c r="F5310" s="566">
        <v>58946540</v>
      </c>
      <c r="G5310" s="564" t="s">
        <v>1145</v>
      </c>
      <c r="H5310" s="564" t="s">
        <v>1145</v>
      </c>
      <c r="I5310" s="564" t="s">
        <v>1746</v>
      </c>
      <c r="J5310" s="564" t="s">
        <v>1069</v>
      </c>
      <c r="K5310" s="564" t="s">
        <v>1198</v>
      </c>
      <c r="L5310" s="564" t="s">
        <v>1071</v>
      </c>
      <c r="M5310" s="564" t="s">
        <v>1091</v>
      </c>
      <c r="N5310" s="564" t="s">
        <v>1073</v>
      </c>
      <c r="O5310" s="564" t="s">
        <v>241</v>
      </c>
      <c r="P5310" s="23"/>
      <c r="Q5310" s="23"/>
      <c r="R5310" s="23"/>
      <c r="S5310" s="23"/>
      <c r="T5310" s="23"/>
      <c r="U5310" s="23"/>
      <c r="V5310" s="23"/>
      <c r="W5310" s="23"/>
      <c r="X5310" s="23"/>
      <c r="Y5310" s="23"/>
      <c r="Z5310" s="23"/>
    </row>
    <row r="5311" spans="1:26" ht="13">
      <c r="A5311" s="562" t="s">
        <v>11377</v>
      </c>
      <c r="B5311" s="563" t="s">
        <v>11378</v>
      </c>
      <c r="C5311" s="564" t="s">
        <v>1548</v>
      </c>
      <c r="D5311" s="565">
        <v>43105</v>
      </c>
      <c r="E5311" s="565">
        <v>43465</v>
      </c>
      <c r="F5311" s="566">
        <v>2503050000</v>
      </c>
      <c r="G5311" s="564" t="s">
        <v>2876</v>
      </c>
      <c r="H5311" s="564" t="s">
        <v>2876</v>
      </c>
      <c r="I5311" s="564" t="s">
        <v>1842</v>
      </c>
      <c r="J5311" s="564" t="s">
        <v>1069</v>
      </c>
      <c r="K5311" s="564" t="s">
        <v>2878</v>
      </c>
      <c r="L5311" s="564" t="s">
        <v>1390</v>
      </c>
      <c r="M5311" s="564" t="s">
        <v>1390</v>
      </c>
      <c r="N5311" s="564" t="s">
        <v>1082</v>
      </c>
      <c r="O5311" s="564" t="s">
        <v>38</v>
      </c>
      <c r="P5311" s="23"/>
      <c r="Q5311" s="23"/>
      <c r="R5311" s="23"/>
      <c r="S5311" s="23"/>
      <c r="T5311" s="23"/>
      <c r="U5311" s="23"/>
      <c r="V5311" s="23"/>
      <c r="W5311" s="23"/>
      <c r="X5311" s="23"/>
      <c r="Y5311" s="23"/>
      <c r="Z5311" s="23"/>
    </row>
    <row r="5312" spans="1:26" ht="13">
      <c r="A5312" s="562" t="s">
        <v>11379</v>
      </c>
      <c r="B5312" s="563" t="s">
        <v>11380</v>
      </c>
      <c r="C5312" s="564" t="s">
        <v>1548</v>
      </c>
      <c r="D5312" s="565">
        <v>43105</v>
      </c>
      <c r="E5312" s="565">
        <v>43251</v>
      </c>
      <c r="F5312" s="566">
        <v>5081950000</v>
      </c>
      <c r="G5312" s="564" t="s">
        <v>2876</v>
      </c>
      <c r="H5312" s="564" t="s">
        <v>2876</v>
      </c>
      <c r="I5312" s="564" t="s">
        <v>1842</v>
      </c>
      <c r="J5312" s="564" t="s">
        <v>1069</v>
      </c>
      <c r="K5312" s="564" t="s">
        <v>2878</v>
      </c>
      <c r="L5312" s="564" t="s">
        <v>1390</v>
      </c>
      <c r="M5312" s="564" t="s">
        <v>1390</v>
      </c>
      <c r="N5312" s="564" t="s">
        <v>1082</v>
      </c>
      <c r="O5312" s="564" t="s">
        <v>38</v>
      </c>
      <c r="P5312" s="23"/>
      <c r="Q5312" s="23"/>
      <c r="R5312" s="23"/>
      <c r="S5312" s="23"/>
      <c r="T5312" s="23"/>
      <c r="U5312" s="23"/>
      <c r="V5312" s="23"/>
      <c r="W5312" s="23"/>
      <c r="X5312" s="23"/>
      <c r="Y5312" s="23"/>
      <c r="Z5312" s="23"/>
    </row>
    <row r="5313" spans="1:26" ht="13">
      <c r="A5313" s="562" t="s">
        <v>11381</v>
      </c>
      <c r="B5313" s="563" t="s">
        <v>11382</v>
      </c>
      <c r="C5313" s="564" t="s">
        <v>1388</v>
      </c>
      <c r="D5313" s="565">
        <v>43174</v>
      </c>
      <c r="E5313" s="565">
        <v>43555</v>
      </c>
      <c r="F5313" s="566">
        <v>294800000</v>
      </c>
      <c r="G5313" s="564" t="s">
        <v>1128</v>
      </c>
      <c r="H5313" s="564" t="s">
        <v>1128</v>
      </c>
      <c r="I5313" s="564" t="s">
        <v>45</v>
      </c>
      <c r="J5313" s="564" t="s">
        <v>1069</v>
      </c>
      <c r="K5313" s="564" t="s">
        <v>1090</v>
      </c>
      <c r="L5313" s="564" t="s">
        <v>1390</v>
      </c>
      <c r="M5313" s="564" t="s">
        <v>1390</v>
      </c>
      <c r="N5313" s="564" t="s">
        <v>45</v>
      </c>
      <c r="O5313" s="564" t="s">
        <v>38</v>
      </c>
      <c r="P5313" s="23"/>
      <c r="Q5313" s="23"/>
      <c r="R5313" s="23"/>
      <c r="S5313" s="23"/>
      <c r="T5313" s="23"/>
      <c r="U5313" s="23"/>
      <c r="V5313" s="23"/>
      <c r="W5313" s="23"/>
      <c r="X5313" s="23"/>
      <c r="Y5313" s="23"/>
      <c r="Z5313" s="23"/>
    </row>
    <row r="5314" spans="1:26" ht="13">
      <c r="A5314" s="562" t="s">
        <v>11383</v>
      </c>
      <c r="B5314" s="563" t="s">
        <v>11384</v>
      </c>
      <c r="C5314" s="564" t="s">
        <v>1255</v>
      </c>
      <c r="D5314" s="565">
        <v>43160</v>
      </c>
      <c r="E5314" s="565">
        <v>43312</v>
      </c>
      <c r="F5314" s="566">
        <v>12250000</v>
      </c>
      <c r="G5314" s="564" t="s">
        <v>1032</v>
      </c>
      <c r="H5314" s="564" t="s">
        <v>1123</v>
      </c>
      <c r="I5314" s="564" t="s">
        <v>143</v>
      </c>
      <c r="J5314" s="564" t="s">
        <v>1069</v>
      </c>
      <c r="K5314" s="564" t="s">
        <v>1205</v>
      </c>
      <c r="L5314" s="564" t="s">
        <v>1071</v>
      </c>
      <c r="M5314" s="564" t="s">
        <v>1091</v>
      </c>
      <c r="N5314" s="564" t="s">
        <v>1073</v>
      </c>
      <c r="O5314" s="564" t="s">
        <v>241</v>
      </c>
      <c r="P5314" s="23"/>
      <c r="Q5314" s="23"/>
      <c r="R5314" s="23"/>
      <c r="S5314" s="23"/>
      <c r="T5314" s="23"/>
      <c r="U5314" s="23"/>
      <c r="V5314" s="23"/>
      <c r="W5314" s="23"/>
      <c r="X5314" s="23"/>
      <c r="Y5314" s="23"/>
      <c r="Z5314" s="23"/>
    </row>
    <row r="5315" spans="1:26" ht="13">
      <c r="A5315" s="562" t="s">
        <v>11385</v>
      </c>
      <c r="B5315" s="563" t="s">
        <v>11386</v>
      </c>
      <c r="C5315" s="564" t="s">
        <v>1652</v>
      </c>
      <c r="D5315" s="565">
        <v>43160</v>
      </c>
      <c r="E5315" s="565">
        <v>43251</v>
      </c>
      <c r="F5315" s="566">
        <v>1800000</v>
      </c>
      <c r="G5315" s="564" t="s">
        <v>11164</v>
      </c>
      <c r="H5315" s="564" t="s">
        <v>1187</v>
      </c>
      <c r="I5315" s="564" t="s">
        <v>70</v>
      </c>
      <c r="J5315" s="564" t="s">
        <v>1069</v>
      </c>
      <c r="K5315" s="564" t="s">
        <v>1120</v>
      </c>
      <c r="L5315" s="564" t="s">
        <v>1071</v>
      </c>
      <c r="M5315" s="564" t="s">
        <v>1091</v>
      </c>
      <c r="N5315" s="564" t="s">
        <v>70</v>
      </c>
      <c r="O5315" s="564" t="s">
        <v>241</v>
      </c>
      <c r="P5315" s="23"/>
      <c r="Q5315" s="23"/>
      <c r="R5315" s="23"/>
      <c r="S5315" s="23"/>
      <c r="T5315" s="23"/>
      <c r="U5315" s="23"/>
      <c r="V5315" s="23"/>
      <c r="W5315" s="23"/>
      <c r="X5315" s="23"/>
      <c r="Y5315" s="23"/>
      <c r="Z5315" s="23"/>
    </row>
    <row r="5316" spans="1:26" ht="13">
      <c r="A5316" s="562" t="s">
        <v>11387</v>
      </c>
      <c r="B5316" s="563" t="s">
        <v>11388</v>
      </c>
      <c r="C5316" s="564" t="s">
        <v>1103</v>
      </c>
      <c r="D5316" s="565">
        <v>43160</v>
      </c>
      <c r="E5316" s="565">
        <v>43524</v>
      </c>
      <c r="F5316" s="566">
        <v>9000000</v>
      </c>
      <c r="G5316" s="564" t="s">
        <v>1187</v>
      </c>
      <c r="H5316" s="564" t="s">
        <v>1187</v>
      </c>
      <c r="I5316" s="564" t="s">
        <v>70</v>
      </c>
      <c r="J5316" s="564" t="s">
        <v>1069</v>
      </c>
      <c r="K5316" s="564" t="s">
        <v>1120</v>
      </c>
      <c r="L5316" s="564" t="s">
        <v>1071</v>
      </c>
      <c r="M5316" s="564" t="s">
        <v>1091</v>
      </c>
      <c r="N5316" s="564" t="s">
        <v>70</v>
      </c>
      <c r="O5316" s="564" t="s">
        <v>241</v>
      </c>
      <c r="P5316" s="23"/>
      <c r="Q5316" s="23"/>
      <c r="R5316" s="23"/>
      <c r="S5316" s="23"/>
      <c r="T5316" s="23"/>
      <c r="U5316" s="23"/>
      <c r="V5316" s="23"/>
      <c r="W5316" s="23"/>
      <c r="X5316" s="23"/>
      <c r="Y5316" s="23"/>
      <c r="Z5316" s="23"/>
    </row>
    <row r="5317" spans="1:26" ht="13">
      <c r="A5317" s="562" t="s">
        <v>11389</v>
      </c>
      <c r="B5317" s="563" t="s">
        <v>11390</v>
      </c>
      <c r="C5317" s="564" t="s">
        <v>1255</v>
      </c>
      <c r="D5317" s="565">
        <v>43160</v>
      </c>
      <c r="E5317" s="565">
        <v>43404</v>
      </c>
      <c r="F5317" s="566">
        <v>4800000</v>
      </c>
      <c r="G5317" s="564" t="s">
        <v>1032</v>
      </c>
      <c r="H5317" s="564" t="s">
        <v>1123</v>
      </c>
      <c r="I5317" s="564" t="s">
        <v>143</v>
      </c>
      <c r="J5317" s="564" t="s">
        <v>1069</v>
      </c>
      <c r="K5317" s="564" t="s">
        <v>1205</v>
      </c>
      <c r="L5317" s="564" t="s">
        <v>1071</v>
      </c>
      <c r="M5317" s="564" t="s">
        <v>1091</v>
      </c>
      <c r="N5317" s="564" t="s">
        <v>1073</v>
      </c>
      <c r="O5317" s="564" t="s">
        <v>241</v>
      </c>
      <c r="P5317" s="23"/>
      <c r="Q5317" s="23"/>
      <c r="R5317" s="23"/>
      <c r="S5317" s="23"/>
      <c r="T5317" s="23"/>
      <c r="U5317" s="23"/>
      <c r="V5317" s="23"/>
      <c r="W5317" s="23"/>
      <c r="X5317" s="23"/>
      <c r="Y5317" s="23"/>
      <c r="Z5317" s="23"/>
    </row>
    <row r="5318" spans="1:26" ht="13">
      <c r="A5318" s="562" t="s">
        <v>11391</v>
      </c>
      <c r="B5318" s="563" t="s">
        <v>11392</v>
      </c>
      <c r="C5318" s="564" t="s">
        <v>1255</v>
      </c>
      <c r="D5318" s="565">
        <v>43160</v>
      </c>
      <c r="E5318" s="565">
        <v>43312</v>
      </c>
      <c r="F5318" s="566">
        <v>7409091</v>
      </c>
      <c r="G5318" s="564" t="s">
        <v>1032</v>
      </c>
      <c r="H5318" s="564" t="s">
        <v>1123</v>
      </c>
      <c r="I5318" s="564" t="s">
        <v>143</v>
      </c>
      <c r="J5318" s="564" t="s">
        <v>1069</v>
      </c>
      <c r="K5318" s="564" t="s">
        <v>1205</v>
      </c>
      <c r="L5318" s="564" t="s">
        <v>1071</v>
      </c>
      <c r="M5318" s="564" t="s">
        <v>1091</v>
      </c>
      <c r="N5318" s="564" t="s">
        <v>1073</v>
      </c>
      <c r="O5318" s="564" t="s">
        <v>241</v>
      </c>
      <c r="P5318" s="23"/>
      <c r="Q5318" s="23"/>
      <c r="R5318" s="23"/>
      <c r="S5318" s="23"/>
      <c r="T5318" s="23"/>
      <c r="U5318" s="23"/>
      <c r="V5318" s="23"/>
      <c r="W5318" s="23"/>
      <c r="X5318" s="23"/>
      <c r="Y5318" s="23"/>
      <c r="Z5318" s="23"/>
    </row>
    <row r="5319" spans="1:26" ht="13">
      <c r="A5319" s="562" t="s">
        <v>11393</v>
      </c>
      <c r="B5319" s="563" t="s">
        <v>11394</v>
      </c>
      <c r="C5319" s="564" t="s">
        <v>1551</v>
      </c>
      <c r="D5319" s="565">
        <v>43157</v>
      </c>
      <c r="E5319" s="565">
        <v>43273</v>
      </c>
      <c r="F5319" s="566">
        <v>173000000</v>
      </c>
      <c r="G5319" s="564" t="s">
        <v>11328</v>
      </c>
      <c r="H5319" s="564" t="s">
        <v>1157</v>
      </c>
      <c r="I5319" s="564" t="s">
        <v>170</v>
      </c>
      <c r="J5319" s="564" t="s">
        <v>1069</v>
      </c>
      <c r="K5319" s="564" t="s">
        <v>1105</v>
      </c>
      <c r="L5319" s="564" t="s">
        <v>1390</v>
      </c>
      <c r="M5319" s="564" t="s">
        <v>1390</v>
      </c>
      <c r="N5319" s="564" t="s">
        <v>170</v>
      </c>
      <c r="O5319" s="564" t="s">
        <v>38</v>
      </c>
      <c r="P5319" s="23"/>
      <c r="Q5319" s="23"/>
      <c r="R5319" s="23"/>
      <c r="S5319" s="23"/>
      <c r="T5319" s="23"/>
      <c r="U5319" s="23"/>
      <c r="V5319" s="23"/>
      <c r="W5319" s="23"/>
      <c r="X5319" s="23"/>
      <c r="Y5319" s="23"/>
      <c r="Z5319" s="23"/>
    </row>
    <row r="5320" spans="1:26" ht="13">
      <c r="A5320" s="562" t="s">
        <v>11395</v>
      </c>
      <c r="B5320" s="563" t="s">
        <v>11396</v>
      </c>
      <c r="C5320" s="564" t="s">
        <v>1370</v>
      </c>
      <c r="D5320" s="565">
        <v>43160</v>
      </c>
      <c r="E5320" s="565">
        <v>43524</v>
      </c>
      <c r="F5320" s="566">
        <v>28472727</v>
      </c>
      <c r="G5320" s="564" t="s">
        <v>1623</v>
      </c>
      <c r="H5320" s="564" t="s">
        <v>1623</v>
      </c>
      <c r="I5320" s="564" t="s">
        <v>802</v>
      </c>
      <c r="J5320" s="564" t="s">
        <v>1069</v>
      </c>
      <c r="K5320" s="564" t="s">
        <v>1198</v>
      </c>
      <c r="L5320" s="564" t="s">
        <v>1071</v>
      </c>
      <c r="M5320" s="564" t="s">
        <v>1091</v>
      </c>
      <c r="N5320" s="564" t="s">
        <v>132</v>
      </c>
      <c r="O5320" s="564" t="s">
        <v>241</v>
      </c>
      <c r="P5320" s="23"/>
      <c r="Q5320" s="23"/>
      <c r="R5320" s="23"/>
      <c r="S5320" s="23"/>
      <c r="T5320" s="23"/>
      <c r="U5320" s="23"/>
      <c r="V5320" s="23"/>
      <c r="W5320" s="23"/>
      <c r="X5320" s="23"/>
      <c r="Y5320" s="23"/>
      <c r="Z5320" s="23"/>
    </row>
    <row r="5321" spans="1:26" ht="13">
      <c r="A5321" s="562" t="s">
        <v>11397</v>
      </c>
      <c r="B5321" s="563" t="s">
        <v>11398</v>
      </c>
      <c r="C5321" s="564" t="s">
        <v>1370</v>
      </c>
      <c r="D5321" s="565">
        <v>43160</v>
      </c>
      <c r="E5321" s="565">
        <v>43524</v>
      </c>
      <c r="F5321" s="566">
        <v>1500000</v>
      </c>
      <c r="G5321" s="564" t="s">
        <v>1623</v>
      </c>
      <c r="H5321" s="564" t="s">
        <v>1623</v>
      </c>
      <c r="I5321" s="564" t="s">
        <v>802</v>
      </c>
      <c r="J5321" s="564" t="s">
        <v>1069</v>
      </c>
      <c r="K5321" s="564" t="s">
        <v>1198</v>
      </c>
      <c r="L5321" s="564" t="s">
        <v>1071</v>
      </c>
      <c r="M5321" s="564" t="s">
        <v>1091</v>
      </c>
      <c r="N5321" s="564" t="s">
        <v>132</v>
      </c>
      <c r="O5321" s="564" t="s">
        <v>241</v>
      </c>
      <c r="P5321" s="23"/>
      <c r="Q5321" s="23"/>
      <c r="R5321" s="23"/>
      <c r="S5321" s="23"/>
      <c r="T5321" s="23"/>
      <c r="U5321" s="23"/>
      <c r="V5321" s="23"/>
      <c r="W5321" s="23"/>
      <c r="X5321" s="23"/>
      <c r="Y5321" s="23"/>
      <c r="Z5321" s="23"/>
    </row>
    <row r="5322" spans="1:26" ht="13">
      <c r="A5322" s="562" t="s">
        <v>11399</v>
      </c>
      <c r="B5322" s="563" t="s">
        <v>11400</v>
      </c>
      <c r="C5322" s="564" t="s">
        <v>1370</v>
      </c>
      <c r="D5322" s="565">
        <v>43160</v>
      </c>
      <c r="E5322" s="565">
        <v>43524</v>
      </c>
      <c r="F5322" s="566">
        <v>14890000</v>
      </c>
      <c r="G5322" s="564" t="s">
        <v>1623</v>
      </c>
      <c r="H5322" s="564" t="s">
        <v>1623</v>
      </c>
      <c r="I5322" s="564" t="s">
        <v>802</v>
      </c>
      <c r="J5322" s="564" t="s">
        <v>1069</v>
      </c>
      <c r="K5322" s="564" t="s">
        <v>1198</v>
      </c>
      <c r="L5322" s="564" t="s">
        <v>1071</v>
      </c>
      <c r="M5322" s="564" t="s">
        <v>1091</v>
      </c>
      <c r="N5322" s="564" t="s">
        <v>132</v>
      </c>
      <c r="O5322" s="564" t="s">
        <v>241</v>
      </c>
      <c r="P5322" s="23"/>
      <c r="Q5322" s="23"/>
      <c r="R5322" s="23"/>
      <c r="S5322" s="23"/>
      <c r="T5322" s="23"/>
      <c r="U5322" s="23"/>
      <c r="V5322" s="23"/>
      <c r="W5322" s="23"/>
      <c r="X5322" s="23"/>
      <c r="Y5322" s="23"/>
      <c r="Z5322" s="23"/>
    </row>
    <row r="5323" spans="1:26" ht="13">
      <c r="A5323" s="562" t="s">
        <v>11401</v>
      </c>
      <c r="B5323" s="563" t="s">
        <v>11402</v>
      </c>
      <c r="C5323" s="564" t="s">
        <v>1370</v>
      </c>
      <c r="D5323" s="565">
        <v>43160</v>
      </c>
      <c r="E5323" s="565">
        <v>43524</v>
      </c>
      <c r="F5323" s="566">
        <v>4178182</v>
      </c>
      <c r="G5323" s="564" t="s">
        <v>1623</v>
      </c>
      <c r="H5323" s="564" t="s">
        <v>1623</v>
      </c>
      <c r="I5323" s="564" t="s">
        <v>802</v>
      </c>
      <c r="J5323" s="564" t="s">
        <v>1069</v>
      </c>
      <c r="K5323" s="564" t="s">
        <v>1198</v>
      </c>
      <c r="L5323" s="564" t="s">
        <v>1071</v>
      </c>
      <c r="M5323" s="564" t="s">
        <v>1091</v>
      </c>
      <c r="N5323" s="564" t="s">
        <v>132</v>
      </c>
      <c r="O5323" s="564" t="s">
        <v>241</v>
      </c>
      <c r="P5323" s="23"/>
      <c r="Q5323" s="23"/>
      <c r="R5323" s="23"/>
      <c r="S5323" s="23"/>
      <c r="T5323" s="23"/>
      <c r="U5323" s="23"/>
      <c r="V5323" s="23"/>
      <c r="W5323" s="23"/>
      <c r="X5323" s="23"/>
      <c r="Y5323" s="23"/>
      <c r="Z5323" s="23"/>
    </row>
    <row r="5324" spans="1:26" ht="13">
      <c r="A5324" s="562" t="s">
        <v>11403</v>
      </c>
      <c r="B5324" s="563" t="s">
        <v>11404</v>
      </c>
      <c r="C5324" s="564" t="s">
        <v>1475</v>
      </c>
      <c r="D5324" s="565">
        <v>43101</v>
      </c>
      <c r="E5324" s="565">
        <v>44196</v>
      </c>
      <c r="F5324" s="566">
        <v>942724091</v>
      </c>
      <c r="G5324" s="564" t="s">
        <v>1636</v>
      </c>
      <c r="H5324" s="564" t="s">
        <v>297</v>
      </c>
      <c r="I5324" s="564" t="s">
        <v>10688</v>
      </c>
      <c r="J5324" s="564" t="s">
        <v>1069</v>
      </c>
      <c r="K5324" s="564" t="s">
        <v>1802</v>
      </c>
      <c r="L5324" s="564" t="s">
        <v>1071</v>
      </c>
      <c r="M5324" s="564" t="s">
        <v>1091</v>
      </c>
      <c r="N5324" s="564" t="s">
        <v>1082</v>
      </c>
      <c r="O5324" s="564" t="s">
        <v>241</v>
      </c>
      <c r="P5324" s="23"/>
      <c r="Q5324" s="23"/>
      <c r="R5324" s="23"/>
      <c r="S5324" s="23"/>
      <c r="T5324" s="23"/>
      <c r="U5324" s="23"/>
      <c r="V5324" s="23"/>
      <c r="W5324" s="23"/>
      <c r="X5324" s="23"/>
      <c r="Y5324" s="23"/>
      <c r="Z5324" s="23"/>
    </row>
    <row r="5325" spans="1:26" ht="13">
      <c r="A5325" s="562" t="s">
        <v>11405</v>
      </c>
      <c r="B5325" s="563" t="s">
        <v>11406</v>
      </c>
      <c r="C5325" s="564" t="s">
        <v>1103</v>
      </c>
      <c r="D5325" s="565">
        <v>43132</v>
      </c>
      <c r="E5325" s="565">
        <v>43496</v>
      </c>
      <c r="F5325" s="566">
        <v>18300000</v>
      </c>
      <c r="G5325" s="564" t="s">
        <v>11000</v>
      </c>
      <c r="H5325" s="564" t="s">
        <v>1187</v>
      </c>
      <c r="I5325" s="564" t="s">
        <v>70</v>
      </c>
      <c r="J5325" s="564" t="s">
        <v>1069</v>
      </c>
      <c r="K5325" s="564" t="s">
        <v>1120</v>
      </c>
      <c r="L5325" s="564" t="s">
        <v>1071</v>
      </c>
      <c r="M5325" s="564" t="s">
        <v>1091</v>
      </c>
      <c r="N5325" s="564" t="s">
        <v>70</v>
      </c>
      <c r="O5325" s="564" t="s">
        <v>241</v>
      </c>
      <c r="P5325" s="23"/>
      <c r="Q5325" s="23"/>
      <c r="R5325" s="23"/>
      <c r="S5325" s="23"/>
      <c r="T5325" s="23"/>
      <c r="U5325" s="23"/>
      <c r="V5325" s="23"/>
      <c r="W5325" s="23"/>
      <c r="X5325" s="23"/>
      <c r="Y5325" s="23"/>
      <c r="Z5325" s="23"/>
    </row>
    <row r="5326" spans="1:26" ht="13">
      <c r="A5326" s="562" t="s">
        <v>11407</v>
      </c>
      <c r="B5326" s="563" t="s">
        <v>11408</v>
      </c>
      <c r="C5326" s="564" t="s">
        <v>1114</v>
      </c>
      <c r="D5326" s="565">
        <v>43101</v>
      </c>
      <c r="E5326" s="565">
        <v>43465</v>
      </c>
      <c r="F5326" s="566">
        <v>21165000</v>
      </c>
      <c r="G5326" s="564" t="s">
        <v>1526</v>
      </c>
      <c r="H5326" s="564" t="s">
        <v>1400</v>
      </c>
      <c r="I5326" s="564" t="s">
        <v>1842</v>
      </c>
      <c r="J5326" s="564" t="s">
        <v>1069</v>
      </c>
      <c r="K5326" s="564" t="s">
        <v>1205</v>
      </c>
      <c r="L5326" s="564" t="s">
        <v>1071</v>
      </c>
      <c r="M5326" s="564" t="s">
        <v>1091</v>
      </c>
      <c r="N5326" s="564" t="s">
        <v>1082</v>
      </c>
      <c r="O5326" s="564" t="s">
        <v>241</v>
      </c>
      <c r="P5326" s="23"/>
      <c r="Q5326" s="23"/>
      <c r="R5326" s="23"/>
      <c r="S5326" s="23"/>
      <c r="T5326" s="23"/>
      <c r="U5326" s="23"/>
      <c r="V5326" s="23"/>
      <c r="W5326" s="23"/>
      <c r="X5326" s="23"/>
      <c r="Y5326" s="23"/>
      <c r="Z5326" s="23"/>
    </row>
    <row r="5327" spans="1:26" ht="13">
      <c r="A5327" s="562" t="s">
        <v>11409</v>
      </c>
      <c r="B5327" s="563" t="s">
        <v>11410</v>
      </c>
      <c r="C5327" s="564" t="s">
        <v>1255</v>
      </c>
      <c r="D5327" s="565">
        <v>43101</v>
      </c>
      <c r="E5327" s="565">
        <v>43465</v>
      </c>
      <c r="F5327" s="566">
        <v>35464000</v>
      </c>
      <c r="G5327" s="564" t="s">
        <v>1032</v>
      </c>
      <c r="H5327" s="564" t="s">
        <v>1123</v>
      </c>
      <c r="I5327" s="564" t="s">
        <v>1781</v>
      </c>
      <c r="J5327" s="564" t="s">
        <v>1069</v>
      </c>
      <c r="K5327" s="564" t="s">
        <v>1070</v>
      </c>
      <c r="L5327" s="564" t="s">
        <v>1071</v>
      </c>
      <c r="M5327" s="564" t="s">
        <v>1091</v>
      </c>
      <c r="N5327" s="564" t="s">
        <v>1073</v>
      </c>
      <c r="O5327" s="564" t="s">
        <v>241</v>
      </c>
      <c r="P5327" s="23"/>
      <c r="Q5327" s="23"/>
      <c r="R5327" s="23"/>
      <c r="S5327" s="23"/>
      <c r="T5327" s="23"/>
      <c r="U5327" s="23"/>
      <c r="V5327" s="23"/>
      <c r="W5327" s="23"/>
      <c r="X5327" s="23"/>
      <c r="Y5327" s="23"/>
      <c r="Z5327" s="23"/>
    </row>
    <row r="5328" spans="1:26" ht="13">
      <c r="A5328" s="562" t="s">
        <v>11411</v>
      </c>
      <c r="B5328" s="563" t="s">
        <v>11412</v>
      </c>
      <c r="C5328" s="564" t="s">
        <v>1255</v>
      </c>
      <c r="D5328" s="565">
        <v>43101</v>
      </c>
      <c r="E5328" s="565">
        <v>43465</v>
      </c>
      <c r="F5328" s="566">
        <v>29290000</v>
      </c>
      <c r="G5328" s="564" t="s">
        <v>1097</v>
      </c>
      <c r="H5328" s="564" t="s">
        <v>1123</v>
      </c>
      <c r="I5328" s="564" t="s">
        <v>143</v>
      </c>
      <c r="J5328" s="564" t="s">
        <v>1069</v>
      </c>
      <c r="K5328" s="564" t="s">
        <v>1205</v>
      </c>
      <c r="L5328" s="564" t="s">
        <v>1071</v>
      </c>
      <c r="M5328" s="564" t="s">
        <v>1091</v>
      </c>
      <c r="N5328" s="564" t="s">
        <v>1073</v>
      </c>
      <c r="O5328" s="564" t="s">
        <v>241</v>
      </c>
      <c r="P5328" s="23"/>
      <c r="Q5328" s="23"/>
      <c r="R5328" s="23"/>
      <c r="S5328" s="23"/>
      <c r="T5328" s="23"/>
      <c r="U5328" s="23"/>
      <c r="V5328" s="23"/>
      <c r="W5328" s="23"/>
      <c r="X5328" s="23"/>
      <c r="Y5328" s="23"/>
      <c r="Z5328" s="23"/>
    </row>
    <row r="5329" spans="1:26" ht="13">
      <c r="A5329" s="562" t="s">
        <v>11413</v>
      </c>
      <c r="B5329" s="563" t="s">
        <v>11414</v>
      </c>
      <c r="C5329" s="564" t="s">
        <v>1204</v>
      </c>
      <c r="D5329" s="565">
        <v>43101</v>
      </c>
      <c r="E5329" s="565">
        <v>43465</v>
      </c>
      <c r="F5329" s="566">
        <v>2814000</v>
      </c>
      <c r="G5329" s="564" t="s">
        <v>674</v>
      </c>
      <c r="H5329" s="564" t="s">
        <v>674</v>
      </c>
      <c r="I5329" s="564" t="s">
        <v>2579</v>
      </c>
      <c r="J5329" s="564" t="s">
        <v>1069</v>
      </c>
      <c r="K5329" s="564" t="s">
        <v>1205</v>
      </c>
      <c r="L5329" s="564" t="s">
        <v>1071</v>
      </c>
      <c r="M5329" s="564" t="s">
        <v>1091</v>
      </c>
      <c r="N5329" s="564" t="s">
        <v>1368</v>
      </c>
      <c r="O5329" s="564" t="s">
        <v>241</v>
      </c>
      <c r="P5329" s="23"/>
      <c r="Q5329" s="23"/>
      <c r="R5329" s="23"/>
      <c r="S5329" s="23"/>
      <c r="T5329" s="23"/>
      <c r="U5329" s="23"/>
      <c r="V5329" s="23"/>
      <c r="W5329" s="23"/>
      <c r="X5329" s="23"/>
      <c r="Y5329" s="23"/>
      <c r="Z5329" s="23"/>
    </row>
    <row r="5330" spans="1:26" ht="13">
      <c r="A5330" s="562" t="s">
        <v>11415</v>
      </c>
      <c r="B5330" s="563" t="s">
        <v>11416</v>
      </c>
      <c r="C5330" s="564" t="s">
        <v>1204</v>
      </c>
      <c r="D5330" s="565">
        <v>43070</v>
      </c>
      <c r="E5330" s="565">
        <v>43434</v>
      </c>
      <c r="F5330" s="566">
        <v>3000000</v>
      </c>
      <c r="G5330" s="564" t="s">
        <v>1365</v>
      </c>
      <c r="H5330" s="564" t="s">
        <v>674</v>
      </c>
      <c r="I5330" s="564" t="s">
        <v>11199</v>
      </c>
      <c r="J5330" s="564" t="s">
        <v>1069</v>
      </c>
      <c r="K5330" s="564" t="s">
        <v>1205</v>
      </c>
      <c r="L5330" s="564" t="s">
        <v>1117</v>
      </c>
      <c r="M5330" s="564" t="s">
        <v>1199</v>
      </c>
      <c r="N5330" s="564" t="s">
        <v>1368</v>
      </c>
      <c r="O5330" s="564" t="s">
        <v>241</v>
      </c>
      <c r="P5330" s="23"/>
      <c r="Q5330" s="23"/>
      <c r="R5330" s="23"/>
      <c r="S5330" s="23"/>
      <c r="T5330" s="23"/>
      <c r="U5330" s="23"/>
      <c r="V5330" s="23"/>
      <c r="W5330" s="23"/>
      <c r="X5330" s="23"/>
      <c r="Y5330" s="23"/>
      <c r="Z5330" s="23"/>
    </row>
    <row r="5331" spans="1:26" ht="13">
      <c r="A5331" s="562" t="s">
        <v>11417</v>
      </c>
      <c r="B5331" s="563" t="s">
        <v>11418</v>
      </c>
      <c r="C5331" s="564" t="s">
        <v>1873</v>
      </c>
      <c r="D5331" s="565">
        <v>43073</v>
      </c>
      <c r="E5331" s="565">
        <v>43097</v>
      </c>
      <c r="F5331" s="566">
        <v>42000000</v>
      </c>
      <c r="G5331" s="564" t="s">
        <v>11328</v>
      </c>
      <c r="H5331" s="564" t="s">
        <v>1157</v>
      </c>
      <c r="I5331" s="564" t="s">
        <v>170</v>
      </c>
      <c r="J5331" s="564" t="s">
        <v>1069</v>
      </c>
      <c r="K5331" s="564" t="s">
        <v>1105</v>
      </c>
      <c r="L5331" s="564" t="s">
        <v>1390</v>
      </c>
      <c r="M5331" s="564" t="s">
        <v>1390</v>
      </c>
      <c r="N5331" s="564" t="s">
        <v>170</v>
      </c>
      <c r="O5331" s="564" t="s">
        <v>38</v>
      </c>
      <c r="P5331" s="23"/>
      <c r="Q5331" s="23"/>
      <c r="R5331" s="23"/>
      <c r="S5331" s="23"/>
      <c r="T5331" s="23"/>
      <c r="U5331" s="23"/>
      <c r="V5331" s="23"/>
      <c r="W5331" s="23"/>
      <c r="X5331" s="23"/>
      <c r="Y5331" s="23"/>
      <c r="Z5331" s="23"/>
    </row>
    <row r="5332" spans="1:26" ht="13">
      <c r="A5332" s="562" t="s">
        <v>11419</v>
      </c>
      <c r="B5332" s="563" t="s">
        <v>11420</v>
      </c>
      <c r="C5332" s="564" t="s">
        <v>1652</v>
      </c>
      <c r="D5332" s="565">
        <v>43040</v>
      </c>
      <c r="E5332" s="565">
        <v>43404</v>
      </c>
      <c r="F5332" s="566">
        <v>108155000</v>
      </c>
      <c r="G5332" s="564" t="s">
        <v>3688</v>
      </c>
      <c r="H5332" s="564" t="s">
        <v>1636</v>
      </c>
      <c r="I5332" s="564" t="s">
        <v>1637</v>
      </c>
      <c r="J5332" s="564" t="s">
        <v>1069</v>
      </c>
      <c r="K5332" s="564" t="s">
        <v>1120</v>
      </c>
      <c r="L5332" s="564" t="s">
        <v>1071</v>
      </c>
      <c r="M5332" s="564" t="s">
        <v>1091</v>
      </c>
      <c r="N5332" s="564" t="s">
        <v>1073</v>
      </c>
      <c r="O5332" s="564" t="s">
        <v>241</v>
      </c>
      <c r="P5332" s="23"/>
      <c r="Q5332" s="23"/>
      <c r="R5332" s="23"/>
      <c r="S5332" s="23"/>
      <c r="T5332" s="23"/>
      <c r="U5332" s="23"/>
      <c r="V5332" s="23"/>
      <c r="W5332" s="23"/>
      <c r="X5332" s="23"/>
      <c r="Y5332" s="23"/>
      <c r="Z5332" s="23"/>
    </row>
    <row r="5333" spans="1:26" ht="13">
      <c r="A5333" s="562" t="s">
        <v>11421</v>
      </c>
      <c r="B5333" s="563" t="s">
        <v>11422</v>
      </c>
      <c r="C5333" s="564" t="s">
        <v>1652</v>
      </c>
      <c r="D5333" s="565">
        <v>43040</v>
      </c>
      <c r="E5333" s="565">
        <v>43404</v>
      </c>
      <c r="F5333" s="566">
        <v>143277000</v>
      </c>
      <c r="G5333" s="564" t="s">
        <v>3688</v>
      </c>
      <c r="H5333" s="564" t="s">
        <v>1636</v>
      </c>
      <c r="I5333" s="564" t="s">
        <v>1637</v>
      </c>
      <c r="J5333" s="564" t="s">
        <v>1069</v>
      </c>
      <c r="K5333" s="564" t="s">
        <v>1120</v>
      </c>
      <c r="L5333" s="564" t="s">
        <v>1071</v>
      </c>
      <c r="M5333" s="564" t="s">
        <v>1091</v>
      </c>
      <c r="N5333" s="564" t="s">
        <v>1073</v>
      </c>
      <c r="O5333" s="564" t="s">
        <v>241</v>
      </c>
      <c r="P5333" s="23"/>
      <c r="Q5333" s="23"/>
      <c r="R5333" s="23"/>
      <c r="S5333" s="23"/>
      <c r="T5333" s="23"/>
      <c r="U5333" s="23"/>
      <c r="V5333" s="23"/>
      <c r="W5333" s="23"/>
      <c r="X5333" s="23"/>
      <c r="Y5333" s="23"/>
      <c r="Z5333" s="23"/>
    </row>
    <row r="5334" spans="1:26" ht="13">
      <c r="A5334" s="562" t="s">
        <v>11423</v>
      </c>
      <c r="B5334" s="563" t="s">
        <v>11424</v>
      </c>
      <c r="C5334" s="564" t="s">
        <v>1088</v>
      </c>
      <c r="D5334" s="565">
        <v>43040</v>
      </c>
      <c r="E5334" s="565">
        <v>44286</v>
      </c>
      <c r="F5334" s="566">
        <v>386425000</v>
      </c>
      <c r="G5334" s="564" t="s">
        <v>1032</v>
      </c>
      <c r="H5334" s="564" t="s">
        <v>1123</v>
      </c>
      <c r="I5334" s="564" t="s">
        <v>140</v>
      </c>
      <c r="J5334" s="564" t="s">
        <v>1069</v>
      </c>
      <c r="K5334" s="564" t="s">
        <v>1205</v>
      </c>
      <c r="L5334" s="564" t="s">
        <v>1071</v>
      </c>
      <c r="M5334" s="564" t="s">
        <v>1091</v>
      </c>
      <c r="N5334" s="564" t="s">
        <v>1073</v>
      </c>
      <c r="O5334" s="564" t="s">
        <v>241</v>
      </c>
      <c r="P5334" s="23"/>
      <c r="Q5334" s="23"/>
      <c r="R5334" s="23"/>
      <c r="S5334" s="23"/>
      <c r="T5334" s="23"/>
      <c r="U5334" s="23"/>
      <c r="V5334" s="23"/>
      <c r="W5334" s="23"/>
      <c r="X5334" s="23"/>
      <c r="Y5334" s="23"/>
      <c r="Z5334" s="23"/>
    </row>
    <row r="5335" spans="1:26" ht="13">
      <c r="A5335" s="562" t="s">
        <v>11425</v>
      </c>
      <c r="B5335" s="563" t="s">
        <v>11426</v>
      </c>
      <c r="C5335" s="564" t="s">
        <v>1873</v>
      </c>
      <c r="D5335" s="565">
        <v>43047</v>
      </c>
      <c r="E5335" s="565">
        <v>43063</v>
      </c>
      <c r="F5335" s="566">
        <v>16500000</v>
      </c>
      <c r="G5335" s="564" t="s">
        <v>11328</v>
      </c>
      <c r="H5335" s="564" t="s">
        <v>1157</v>
      </c>
      <c r="I5335" s="564" t="s">
        <v>170</v>
      </c>
      <c r="J5335" s="564" t="s">
        <v>1069</v>
      </c>
      <c r="K5335" s="564" t="s">
        <v>1105</v>
      </c>
      <c r="L5335" s="564" t="s">
        <v>1390</v>
      </c>
      <c r="M5335" s="564" t="s">
        <v>1390</v>
      </c>
      <c r="N5335" s="564" t="s">
        <v>170</v>
      </c>
      <c r="O5335" s="564" t="s">
        <v>38</v>
      </c>
      <c r="P5335" s="23"/>
      <c r="Q5335" s="23"/>
      <c r="R5335" s="23"/>
      <c r="S5335" s="23"/>
      <c r="T5335" s="23"/>
      <c r="U5335" s="23"/>
      <c r="V5335" s="23"/>
      <c r="W5335" s="23"/>
      <c r="X5335" s="23"/>
      <c r="Y5335" s="23"/>
      <c r="Z5335" s="23"/>
    </row>
    <row r="5336" spans="1:26" ht="13">
      <c r="A5336" s="562" t="s">
        <v>11427</v>
      </c>
      <c r="B5336" s="563" t="s">
        <v>11428</v>
      </c>
      <c r="C5336" s="564" t="s">
        <v>1612</v>
      </c>
      <c r="D5336" s="565">
        <v>43042</v>
      </c>
      <c r="E5336" s="565">
        <v>43071</v>
      </c>
      <c r="F5336" s="566">
        <v>7530000</v>
      </c>
      <c r="G5336" s="564" t="s">
        <v>1564</v>
      </c>
      <c r="H5336" s="564" t="s">
        <v>1564</v>
      </c>
      <c r="I5336" s="564" t="s">
        <v>125</v>
      </c>
      <c r="J5336" s="564" t="s">
        <v>1069</v>
      </c>
      <c r="K5336" s="564" t="s">
        <v>1070</v>
      </c>
      <c r="L5336" s="564" t="s">
        <v>1390</v>
      </c>
      <c r="M5336" s="564" t="s">
        <v>1390</v>
      </c>
      <c r="N5336" s="564" t="s">
        <v>1073</v>
      </c>
      <c r="O5336" s="564" t="s">
        <v>38</v>
      </c>
      <c r="P5336" s="23"/>
      <c r="Q5336" s="23"/>
      <c r="R5336" s="23"/>
      <c r="S5336" s="23"/>
      <c r="T5336" s="23"/>
      <c r="U5336" s="23"/>
      <c r="V5336" s="23"/>
      <c r="W5336" s="23"/>
      <c r="X5336" s="23"/>
      <c r="Y5336" s="23"/>
      <c r="Z5336" s="23"/>
    </row>
    <row r="5337" spans="1:26" ht="13">
      <c r="A5337" s="562" t="s">
        <v>11429</v>
      </c>
      <c r="B5337" s="563" t="s">
        <v>11430</v>
      </c>
      <c r="C5337" s="564" t="s">
        <v>1548</v>
      </c>
      <c r="D5337" s="565">
        <v>43040</v>
      </c>
      <c r="E5337" s="565">
        <v>43220</v>
      </c>
      <c r="F5337" s="566">
        <v>6000000</v>
      </c>
      <c r="G5337" s="564" t="s">
        <v>10789</v>
      </c>
      <c r="H5337" s="564" t="s">
        <v>1529</v>
      </c>
      <c r="I5337" s="564" t="s">
        <v>1417</v>
      </c>
      <c r="J5337" s="564" t="s">
        <v>1069</v>
      </c>
      <c r="K5337" s="564" t="s">
        <v>1070</v>
      </c>
      <c r="L5337" s="564" t="s">
        <v>1071</v>
      </c>
      <c r="M5337" s="564" t="s">
        <v>1091</v>
      </c>
      <c r="N5337" s="564" t="s">
        <v>1082</v>
      </c>
      <c r="O5337" s="564" t="s">
        <v>241</v>
      </c>
      <c r="P5337" s="23"/>
      <c r="Q5337" s="23"/>
      <c r="R5337" s="23"/>
      <c r="S5337" s="23"/>
      <c r="T5337" s="23"/>
      <c r="U5337" s="23"/>
      <c r="V5337" s="23"/>
      <c r="W5337" s="23"/>
      <c r="X5337" s="23"/>
      <c r="Y5337" s="23"/>
      <c r="Z5337" s="23"/>
    </row>
    <row r="5338" spans="1:26" ht="13">
      <c r="A5338" s="562" t="s">
        <v>11431</v>
      </c>
      <c r="B5338" s="563" t="s">
        <v>11432</v>
      </c>
      <c r="C5338" s="564" t="s">
        <v>1548</v>
      </c>
      <c r="D5338" s="565">
        <v>42826</v>
      </c>
      <c r="E5338" s="565">
        <v>43190</v>
      </c>
      <c r="F5338" s="567"/>
      <c r="G5338" s="564" t="s">
        <v>10674</v>
      </c>
      <c r="H5338" s="564" t="s">
        <v>10674</v>
      </c>
      <c r="I5338" s="564" t="s">
        <v>11433</v>
      </c>
      <c r="J5338" s="564" t="s">
        <v>1069</v>
      </c>
      <c r="K5338" s="564" t="s">
        <v>1070</v>
      </c>
      <c r="L5338" s="564" t="s">
        <v>1071</v>
      </c>
      <c r="M5338" s="564" t="s">
        <v>1091</v>
      </c>
      <c r="N5338" s="564" t="s">
        <v>1082</v>
      </c>
      <c r="O5338" s="564" t="s">
        <v>241</v>
      </c>
      <c r="P5338" s="23"/>
      <c r="Q5338" s="23"/>
      <c r="R5338" s="23"/>
      <c r="S5338" s="23"/>
      <c r="T5338" s="23"/>
      <c r="U5338" s="23"/>
      <c r="V5338" s="23"/>
      <c r="W5338" s="23"/>
      <c r="X5338" s="23"/>
      <c r="Y5338" s="23"/>
      <c r="Z5338" s="23"/>
    </row>
    <row r="5339" spans="1:26" ht="13">
      <c r="A5339" s="562" t="s">
        <v>11434</v>
      </c>
      <c r="B5339" s="563" t="s">
        <v>11435</v>
      </c>
      <c r="C5339" s="564" t="s">
        <v>1612</v>
      </c>
      <c r="D5339" s="565">
        <v>42675</v>
      </c>
      <c r="E5339" s="565">
        <v>43039</v>
      </c>
      <c r="F5339" s="566">
        <v>1340000</v>
      </c>
      <c r="G5339" s="564" t="s">
        <v>1526</v>
      </c>
      <c r="H5339" s="564" t="s">
        <v>1400</v>
      </c>
      <c r="I5339" s="564" t="s">
        <v>802</v>
      </c>
      <c r="J5339" s="564" t="s">
        <v>1069</v>
      </c>
      <c r="K5339" s="564" t="s">
        <v>1198</v>
      </c>
      <c r="L5339" s="564" t="s">
        <v>1071</v>
      </c>
      <c r="M5339" s="564" t="s">
        <v>1091</v>
      </c>
      <c r="N5339" s="564" t="s">
        <v>132</v>
      </c>
      <c r="O5339" s="564" t="s">
        <v>241</v>
      </c>
      <c r="P5339" s="23"/>
      <c r="Q5339" s="23"/>
      <c r="R5339" s="23"/>
      <c r="S5339" s="23"/>
      <c r="T5339" s="23"/>
      <c r="U5339" s="23"/>
      <c r="V5339" s="23"/>
      <c r="W5339" s="23"/>
      <c r="X5339" s="23"/>
      <c r="Y5339" s="23"/>
      <c r="Z5339" s="23"/>
    </row>
    <row r="5340" spans="1:26" ht="13">
      <c r="A5340" s="562" t="s">
        <v>11436</v>
      </c>
      <c r="B5340" s="563" t="s">
        <v>11437</v>
      </c>
      <c r="C5340" s="564" t="s">
        <v>2437</v>
      </c>
      <c r="D5340" s="565">
        <v>42736</v>
      </c>
      <c r="E5340" s="565">
        <v>43100</v>
      </c>
      <c r="F5340" s="566">
        <v>5291250</v>
      </c>
      <c r="G5340" s="564" t="s">
        <v>1526</v>
      </c>
      <c r="H5340" s="564" t="s">
        <v>1400</v>
      </c>
      <c r="I5340" s="564" t="s">
        <v>1842</v>
      </c>
      <c r="J5340" s="564" t="s">
        <v>1069</v>
      </c>
      <c r="K5340" s="564" t="s">
        <v>1205</v>
      </c>
      <c r="L5340" s="564" t="s">
        <v>1071</v>
      </c>
      <c r="M5340" s="564" t="s">
        <v>1091</v>
      </c>
      <c r="N5340" s="564" t="s">
        <v>1082</v>
      </c>
      <c r="O5340" s="564" t="s">
        <v>241</v>
      </c>
      <c r="P5340" s="23"/>
      <c r="Q5340" s="23"/>
      <c r="R5340" s="23"/>
      <c r="S5340" s="23"/>
      <c r="T5340" s="23"/>
      <c r="U5340" s="23"/>
      <c r="V5340" s="23"/>
      <c r="W5340" s="23"/>
      <c r="X5340" s="23"/>
      <c r="Y5340" s="23"/>
      <c r="Z5340" s="23"/>
    </row>
    <row r="5341" spans="1:26" ht="13">
      <c r="A5341" s="562" t="s">
        <v>11438</v>
      </c>
      <c r="B5341" s="563" t="s">
        <v>11439</v>
      </c>
      <c r="C5341" s="564" t="s">
        <v>1204</v>
      </c>
      <c r="D5341" s="565">
        <v>42795</v>
      </c>
      <c r="E5341" s="565">
        <v>43159</v>
      </c>
      <c r="F5341" s="566">
        <v>1704545</v>
      </c>
      <c r="G5341" s="564" t="s">
        <v>1365</v>
      </c>
      <c r="H5341" s="564" t="s">
        <v>674</v>
      </c>
      <c r="I5341" s="564" t="s">
        <v>11259</v>
      </c>
      <c r="J5341" s="564" t="s">
        <v>1069</v>
      </c>
      <c r="K5341" s="564" t="s">
        <v>1205</v>
      </c>
      <c r="L5341" s="564" t="s">
        <v>1117</v>
      </c>
      <c r="M5341" s="564" t="s">
        <v>1199</v>
      </c>
      <c r="N5341" s="564" t="s">
        <v>1082</v>
      </c>
      <c r="O5341" s="564" t="s">
        <v>241</v>
      </c>
      <c r="P5341" s="23"/>
      <c r="Q5341" s="23"/>
      <c r="R5341" s="23"/>
      <c r="S5341" s="23"/>
      <c r="T5341" s="23"/>
      <c r="U5341" s="23"/>
      <c r="V5341" s="23"/>
      <c r="W5341" s="23"/>
      <c r="X5341" s="23"/>
      <c r="Y5341" s="23"/>
      <c r="Z5341" s="23"/>
    </row>
    <row r="5342" spans="1:26" ht="13">
      <c r="A5342" s="562" t="s">
        <v>11440</v>
      </c>
      <c r="B5342" s="563" t="s">
        <v>11441</v>
      </c>
      <c r="C5342" s="564" t="s">
        <v>1204</v>
      </c>
      <c r="D5342" s="565">
        <v>42795</v>
      </c>
      <c r="E5342" s="565">
        <v>43159</v>
      </c>
      <c r="F5342" s="566">
        <v>2425000</v>
      </c>
      <c r="G5342" s="564" t="s">
        <v>1365</v>
      </c>
      <c r="H5342" s="564" t="s">
        <v>674</v>
      </c>
      <c r="I5342" s="564" t="s">
        <v>11266</v>
      </c>
      <c r="J5342" s="564" t="s">
        <v>1069</v>
      </c>
      <c r="K5342" s="564" t="s">
        <v>1205</v>
      </c>
      <c r="L5342" s="564" t="s">
        <v>1117</v>
      </c>
      <c r="M5342" s="564" t="s">
        <v>1199</v>
      </c>
      <c r="N5342" s="564" t="s">
        <v>1368</v>
      </c>
      <c r="O5342" s="564" t="s">
        <v>241</v>
      </c>
      <c r="P5342" s="23"/>
      <c r="Q5342" s="23"/>
      <c r="R5342" s="23"/>
      <c r="S5342" s="23"/>
      <c r="T5342" s="23"/>
      <c r="U5342" s="23"/>
      <c r="V5342" s="23"/>
      <c r="W5342" s="23"/>
      <c r="X5342" s="23"/>
      <c r="Y5342" s="23"/>
      <c r="Z5342" s="23"/>
    </row>
    <row r="5343" spans="1:26" ht="13">
      <c r="A5343" s="562" t="s">
        <v>11442</v>
      </c>
      <c r="B5343" s="563" t="s">
        <v>11443</v>
      </c>
      <c r="C5343" s="564" t="s">
        <v>1204</v>
      </c>
      <c r="D5343" s="565">
        <v>42886</v>
      </c>
      <c r="E5343" s="565">
        <v>43251</v>
      </c>
      <c r="F5343" s="566">
        <v>1500000</v>
      </c>
      <c r="G5343" s="564" t="s">
        <v>1365</v>
      </c>
      <c r="H5343" s="564" t="s">
        <v>674</v>
      </c>
      <c r="I5343" s="564" t="s">
        <v>11099</v>
      </c>
      <c r="J5343" s="564" t="s">
        <v>1069</v>
      </c>
      <c r="K5343" s="564" t="s">
        <v>1205</v>
      </c>
      <c r="L5343" s="564" t="s">
        <v>1117</v>
      </c>
      <c r="M5343" s="564" t="s">
        <v>1199</v>
      </c>
      <c r="N5343" s="564" t="s">
        <v>1082</v>
      </c>
      <c r="O5343" s="564" t="s">
        <v>241</v>
      </c>
      <c r="P5343" s="23"/>
      <c r="Q5343" s="23"/>
      <c r="R5343" s="23"/>
      <c r="S5343" s="23"/>
      <c r="T5343" s="23"/>
      <c r="U5343" s="23"/>
      <c r="V5343" s="23"/>
      <c r="W5343" s="23"/>
      <c r="X5343" s="23"/>
      <c r="Y5343" s="23"/>
      <c r="Z5343" s="23"/>
    </row>
    <row r="5344" spans="1:26" ht="13">
      <c r="A5344" s="562" t="s">
        <v>11444</v>
      </c>
      <c r="B5344" s="563" t="s">
        <v>11445</v>
      </c>
      <c r="C5344" s="564" t="s">
        <v>1204</v>
      </c>
      <c r="D5344" s="565">
        <v>42886</v>
      </c>
      <c r="E5344" s="565">
        <v>43093</v>
      </c>
      <c r="F5344" s="567"/>
      <c r="G5344" s="564" t="s">
        <v>1365</v>
      </c>
      <c r="H5344" s="564" t="s">
        <v>674</v>
      </c>
      <c r="I5344" s="564" t="s">
        <v>11446</v>
      </c>
      <c r="J5344" s="564" t="s">
        <v>1069</v>
      </c>
      <c r="K5344" s="564" t="s">
        <v>1205</v>
      </c>
      <c r="L5344" s="564" t="s">
        <v>1117</v>
      </c>
      <c r="M5344" s="564" t="s">
        <v>1199</v>
      </c>
      <c r="N5344" s="564" t="s">
        <v>1082</v>
      </c>
      <c r="O5344" s="564" t="s">
        <v>38</v>
      </c>
      <c r="P5344" s="23"/>
      <c r="Q5344" s="23"/>
      <c r="R5344" s="23"/>
      <c r="S5344" s="23"/>
      <c r="T5344" s="23"/>
      <c r="U5344" s="23"/>
      <c r="V5344" s="23"/>
      <c r="W5344" s="23"/>
      <c r="X5344" s="23"/>
      <c r="Y5344" s="23"/>
      <c r="Z5344" s="23"/>
    </row>
    <row r="5345" spans="1:26" ht="13">
      <c r="A5345" s="562" t="s">
        <v>11447</v>
      </c>
      <c r="B5345" s="563" t="s">
        <v>11448</v>
      </c>
      <c r="C5345" s="564" t="s">
        <v>2437</v>
      </c>
      <c r="D5345" s="565">
        <v>42736</v>
      </c>
      <c r="E5345" s="565">
        <v>43100</v>
      </c>
      <c r="F5345" s="566">
        <v>1602272</v>
      </c>
      <c r="G5345" s="564" t="s">
        <v>674</v>
      </c>
      <c r="H5345" s="564" t="s">
        <v>674</v>
      </c>
      <c r="I5345" s="564" t="s">
        <v>2579</v>
      </c>
      <c r="J5345" s="564" t="s">
        <v>1069</v>
      </c>
      <c r="K5345" s="564" t="s">
        <v>1205</v>
      </c>
      <c r="L5345" s="564" t="s">
        <v>1071</v>
      </c>
      <c r="M5345" s="564" t="s">
        <v>1091</v>
      </c>
      <c r="N5345" s="564" t="s">
        <v>1368</v>
      </c>
      <c r="O5345" s="564" t="s">
        <v>241</v>
      </c>
      <c r="P5345" s="23"/>
      <c r="Q5345" s="23"/>
      <c r="R5345" s="23"/>
      <c r="S5345" s="23"/>
      <c r="T5345" s="23"/>
      <c r="U5345" s="23"/>
      <c r="V5345" s="23"/>
      <c r="W5345" s="23"/>
      <c r="X5345" s="23"/>
      <c r="Y5345" s="23"/>
      <c r="Z5345" s="23"/>
    </row>
    <row r="5346" spans="1:26" ht="13">
      <c r="A5346" s="562" t="s">
        <v>11449</v>
      </c>
      <c r="B5346" s="563" t="s">
        <v>11450</v>
      </c>
      <c r="C5346" s="564" t="s">
        <v>1548</v>
      </c>
      <c r="D5346" s="565">
        <v>42887</v>
      </c>
      <c r="E5346" s="565">
        <v>43251</v>
      </c>
      <c r="F5346" s="566">
        <v>2240000</v>
      </c>
      <c r="G5346" s="564" t="s">
        <v>11451</v>
      </c>
      <c r="H5346" s="564" t="s">
        <v>10674</v>
      </c>
      <c r="I5346" s="564" t="s">
        <v>11099</v>
      </c>
      <c r="J5346" s="564" t="s">
        <v>1069</v>
      </c>
      <c r="K5346" s="564" t="s">
        <v>1205</v>
      </c>
      <c r="L5346" s="564" t="s">
        <v>1071</v>
      </c>
      <c r="M5346" s="564" t="s">
        <v>1091</v>
      </c>
      <c r="N5346" s="564" t="s">
        <v>1082</v>
      </c>
      <c r="O5346" s="564" t="s">
        <v>241</v>
      </c>
      <c r="P5346" s="23"/>
      <c r="Q5346" s="23"/>
      <c r="R5346" s="23"/>
      <c r="S5346" s="23"/>
      <c r="T5346" s="23"/>
      <c r="U5346" s="23"/>
      <c r="V5346" s="23"/>
      <c r="W5346" s="23"/>
      <c r="X5346" s="23"/>
      <c r="Y5346" s="23"/>
      <c r="Z5346" s="23"/>
    </row>
    <row r="5347" spans="1:26" ht="13">
      <c r="A5347" s="562" t="s">
        <v>11452</v>
      </c>
      <c r="B5347" s="563" t="s">
        <v>11453</v>
      </c>
      <c r="C5347" s="564" t="s">
        <v>1114</v>
      </c>
      <c r="D5347" s="565">
        <v>42795</v>
      </c>
      <c r="E5347" s="565">
        <v>43524</v>
      </c>
      <c r="F5347" s="566">
        <v>19800000</v>
      </c>
      <c r="G5347" s="564" t="s">
        <v>11451</v>
      </c>
      <c r="H5347" s="564" t="s">
        <v>10674</v>
      </c>
      <c r="I5347" s="564" t="s">
        <v>11454</v>
      </c>
      <c r="J5347" s="564" t="s">
        <v>1069</v>
      </c>
      <c r="K5347" s="564" t="s">
        <v>1205</v>
      </c>
      <c r="L5347" s="564" t="s">
        <v>1071</v>
      </c>
      <c r="M5347" s="564" t="s">
        <v>1091</v>
      </c>
      <c r="N5347" s="564" t="s">
        <v>1082</v>
      </c>
      <c r="O5347" s="564" t="s">
        <v>241</v>
      </c>
      <c r="P5347" s="23"/>
      <c r="Q5347" s="23"/>
      <c r="R5347" s="23"/>
      <c r="S5347" s="23"/>
      <c r="T5347" s="23"/>
      <c r="U5347" s="23"/>
      <c r="V5347" s="23"/>
      <c r="W5347" s="23"/>
      <c r="X5347" s="23"/>
      <c r="Y5347" s="23"/>
      <c r="Z5347" s="23"/>
    </row>
    <row r="5348" spans="1:26" ht="13">
      <c r="A5348" s="562" t="s">
        <v>11455</v>
      </c>
      <c r="B5348" s="563" t="s">
        <v>11456</v>
      </c>
      <c r="C5348" s="564" t="s">
        <v>1548</v>
      </c>
      <c r="D5348" s="565">
        <v>42979</v>
      </c>
      <c r="E5348" s="565">
        <v>43343</v>
      </c>
      <c r="F5348" s="566">
        <v>307230000</v>
      </c>
      <c r="G5348" s="564" t="s">
        <v>10674</v>
      </c>
      <c r="H5348" s="564" t="s">
        <v>10674</v>
      </c>
      <c r="I5348" s="564" t="s">
        <v>11210</v>
      </c>
      <c r="J5348" s="564" t="s">
        <v>1069</v>
      </c>
      <c r="K5348" s="564" t="s">
        <v>1802</v>
      </c>
      <c r="L5348" s="564" t="s">
        <v>1071</v>
      </c>
      <c r="M5348" s="564" t="s">
        <v>1091</v>
      </c>
      <c r="N5348" s="564" t="s">
        <v>1082</v>
      </c>
      <c r="O5348" s="564" t="s">
        <v>241</v>
      </c>
      <c r="P5348" s="23"/>
      <c r="Q5348" s="23"/>
      <c r="R5348" s="23"/>
      <c r="S5348" s="23"/>
      <c r="T5348" s="23"/>
      <c r="U5348" s="23"/>
      <c r="V5348" s="23"/>
      <c r="W5348" s="23"/>
      <c r="X5348" s="23"/>
      <c r="Y5348" s="23"/>
      <c r="Z5348" s="23"/>
    </row>
    <row r="5349" spans="1:26" ht="13">
      <c r="A5349" s="562" t="s">
        <v>11457</v>
      </c>
      <c r="B5349" s="563" t="s">
        <v>11458</v>
      </c>
      <c r="C5349" s="564" t="s">
        <v>1255</v>
      </c>
      <c r="D5349" s="565">
        <v>42979</v>
      </c>
      <c r="E5349" s="565">
        <v>43343</v>
      </c>
      <c r="F5349" s="566">
        <v>70537500</v>
      </c>
      <c r="G5349" s="564" t="s">
        <v>10674</v>
      </c>
      <c r="H5349" s="564" t="s">
        <v>10674</v>
      </c>
      <c r="I5349" s="564" t="s">
        <v>1781</v>
      </c>
      <c r="J5349" s="564" t="s">
        <v>1069</v>
      </c>
      <c r="K5349" s="564" t="s">
        <v>1070</v>
      </c>
      <c r="L5349" s="564" t="s">
        <v>1071</v>
      </c>
      <c r="M5349" s="564" t="s">
        <v>1091</v>
      </c>
      <c r="N5349" s="564" t="s">
        <v>1073</v>
      </c>
      <c r="O5349" s="564" t="s">
        <v>241</v>
      </c>
      <c r="P5349" s="23"/>
      <c r="Q5349" s="23"/>
      <c r="R5349" s="23"/>
      <c r="S5349" s="23"/>
      <c r="T5349" s="23"/>
      <c r="U5349" s="23"/>
      <c r="V5349" s="23"/>
      <c r="W5349" s="23"/>
      <c r="X5349" s="23"/>
      <c r="Y5349" s="23"/>
      <c r="Z5349" s="23"/>
    </row>
    <row r="5350" spans="1:26" ht="13">
      <c r="A5350" s="562" t="s">
        <v>11459</v>
      </c>
      <c r="B5350" s="563" t="s">
        <v>11460</v>
      </c>
      <c r="C5350" s="564" t="s">
        <v>1255</v>
      </c>
      <c r="D5350" s="565">
        <v>42979</v>
      </c>
      <c r="E5350" s="565">
        <v>43100</v>
      </c>
      <c r="F5350" s="566">
        <v>11821333</v>
      </c>
      <c r="G5350" s="564" t="s">
        <v>1780</v>
      </c>
      <c r="H5350" s="564" t="s">
        <v>1123</v>
      </c>
      <c r="I5350" s="564" t="s">
        <v>1781</v>
      </c>
      <c r="J5350" s="564" t="s">
        <v>1069</v>
      </c>
      <c r="K5350" s="564" t="s">
        <v>1070</v>
      </c>
      <c r="L5350" s="564" t="s">
        <v>1071</v>
      </c>
      <c r="M5350" s="564" t="s">
        <v>1091</v>
      </c>
      <c r="N5350" s="564" t="s">
        <v>1073</v>
      </c>
      <c r="O5350" s="564" t="s">
        <v>241</v>
      </c>
      <c r="P5350" s="23"/>
      <c r="Q5350" s="23"/>
      <c r="R5350" s="23"/>
      <c r="S5350" s="23"/>
      <c r="T5350" s="23"/>
      <c r="U5350" s="23"/>
      <c r="V5350" s="23"/>
      <c r="W5350" s="23"/>
      <c r="X5350" s="23"/>
      <c r="Y5350" s="23"/>
      <c r="Z5350" s="23"/>
    </row>
    <row r="5351" spans="1:26" ht="13">
      <c r="A5351" s="562" t="s">
        <v>11461</v>
      </c>
      <c r="B5351" s="563" t="s">
        <v>11462</v>
      </c>
      <c r="C5351" s="564" t="s">
        <v>1255</v>
      </c>
      <c r="D5351" s="565">
        <v>42979</v>
      </c>
      <c r="E5351" s="565">
        <v>43343</v>
      </c>
      <c r="F5351" s="566">
        <v>23550000</v>
      </c>
      <c r="G5351" s="564" t="s">
        <v>1780</v>
      </c>
      <c r="H5351" s="564" t="s">
        <v>1123</v>
      </c>
      <c r="I5351" s="564" t="s">
        <v>1781</v>
      </c>
      <c r="J5351" s="564" t="s">
        <v>1069</v>
      </c>
      <c r="K5351" s="564" t="s">
        <v>1070</v>
      </c>
      <c r="L5351" s="564" t="s">
        <v>1071</v>
      </c>
      <c r="M5351" s="564" t="s">
        <v>1091</v>
      </c>
      <c r="N5351" s="564" t="s">
        <v>1073</v>
      </c>
      <c r="O5351" s="564" t="s">
        <v>241</v>
      </c>
      <c r="P5351" s="23"/>
      <c r="Q5351" s="23"/>
      <c r="R5351" s="23"/>
      <c r="S5351" s="23"/>
      <c r="T5351" s="23"/>
      <c r="U5351" s="23"/>
      <c r="V5351" s="23"/>
      <c r="W5351" s="23"/>
      <c r="X5351" s="23"/>
      <c r="Y5351" s="23"/>
      <c r="Z5351" s="23"/>
    </row>
    <row r="5352" spans="1:26" ht="13">
      <c r="A5352" s="562" t="s">
        <v>11463</v>
      </c>
      <c r="B5352" s="563" t="s">
        <v>11464</v>
      </c>
      <c r="C5352" s="564" t="s">
        <v>6184</v>
      </c>
      <c r="D5352" s="565">
        <v>42975</v>
      </c>
      <c r="E5352" s="565">
        <v>42985</v>
      </c>
      <c r="F5352" s="566">
        <v>3000000</v>
      </c>
      <c r="G5352" s="564" t="s">
        <v>1298</v>
      </c>
      <c r="H5352" s="564" t="s">
        <v>1157</v>
      </c>
      <c r="I5352" s="564" t="s">
        <v>9689</v>
      </c>
      <c r="J5352" s="564" t="s">
        <v>1069</v>
      </c>
      <c r="K5352" s="564" t="s">
        <v>1070</v>
      </c>
      <c r="L5352" s="564" t="s">
        <v>1117</v>
      </c>
      <c r="M5352" s="564" t="s">
        <v>1118</v>
      </c>
      <c r="N5352" s="564" t="s">
        <v>1082</v>
      </c>
      <c r="O5352" s="564" t="s">
        <v>1081</v>
      </c>
      <c r="P5352" s="23"/>
      <c r="Q5352" s="23"/>
      <c r="R5352" s="23"/>
      <c r="S5352" s="23"/>
      <c r="T5352" s="23"/>
      <c r="U5352" s="23"/>
      <c r="V5352" s="23"/>
      <c r="W5352" s="23"/>
      <c r="X5352" s="23"/>
      <c r="Y5352" s="23"/>
      <c r="Z5352" s="23"/>
    </row>
    <row r="5353" spans="1:26" ht="13">
      <c r="A5353" s="562" t="s">
        <v>11465</v>
      </c>
      <c r="B5353" s="563" t="s">
        <v>11466</v>
      </c>
      <c r="C5353" s="564" t="s">
        <v>1652</v>
      </c>
      <c r="D5353" s="565">
        <v>42979</v>
      </c>
      <c r="E5353" s="565">
        <v>43343</v>
      </c>
      <c r="F5353" s="566">
        <v>6670200</v>
      </c>
      <c r="G5353" s="564" t="s">
        <v>1330</v>
      </c>
      <c r="H5353" s="564" t="s">
        <v>1187</v>
      </c>
      <c r="I5353" s="564" t="s">
        <v>70</v>
      </c>
      <c r="J5353" s="564" t="s">
        <v>1069</v>
      </c>
      <c r="K5353" s="564" t="s">
        <v>1120</v>
      </c>
      <c r="L5353" s="564" t="s">
        <v>1071</v>
      </c>
      <c r="M5353" s="564" t="s">
        <v>1091</v>
      </c>
      <c r="N5353" s="564" t="s">
        <v>70</v>
      </c>
      <c r="O5353" s="564" t="s">
        <v>241</v>
      </c>
      <c r="P5353" s="23"/>
      <c r="Q5353" s="23"/>
      <c r="R5353" s="23"/>
      <c r="S5353" s="23"/>
      <c r="T5353" s="23"/>
      <c r="U5353" s="23"/>
      <c r="V5353" s="23"/>
      <c r="W5353" s="23"/>
      <c r="X5353" s="23"/>
      <c r="Y5353" s="23"/>
      <c r="Z5353" s="23"/>
    </row>
    <row r="5354" spans="1:26" ht="13">
      <c r="A5354" s="562" t="s">
        <v>11467</v>
      </c>
      <c r="B5354" s="563" t="s">
        <v>11468</v>
      </c>
      <c r="C5354" s="564" t="s">
        <v>1475</v>
      </c>
      <c r="D5354" s="565">
        <v>42948</v>
      </c>
      <c r="E5354" s="565">
        <v>43024</v>
      </c>
      <c r="F5354" s="566">
        <v>2850000000</v>
      </c>
      <c r="G5354" s="564" t="s">
        <v>2876</v>
      </c>
      <c r="H5354" s="564" t="s">
        <v>11469</v>
      </c>
      <c r="I5354" s="564" t="s">
        <v>11470</v>
      </c>
      <c r="J5354" s="564" t="s">
        <v>1069</v>
      </c>
      <c r="K5354" s="564" t="s">
        <v>2878</v>
      </c>
      <c r="L5354" s="564" t="s">
        <v>1390</v>
      </c>
      <c r="M5354" s="564" t="s">
        <v>1390</v>
      </c>
      <c r="N5354" s="564" t="s">
        <v>1082</v>
      </c>
      <c r="O5354" s="564" t="s">
        <v>38</v>
      </c>
      <c r="P5354" s="23"/>
      <c r="Q5354" s="23"/>
      <c r="R5354" s="23"/>
      <c r="S5354" s="23"/>
      <c r="T5354" s="23"/>
      <c r="U5354" s="23"/>
      <c r="V5354" s="23"/>
      <c r="W5354" s="23"/>
      <c r="X5354" s="23"/>
      <c r="Y5354" s="23"/>
      <c r="Z5354" s="23"/>
    </row>
    <row r="5355" spans="1:26" ht="13">
      <c r="A5355" s="562" t="s">
        <v>11471</v>
      </c>
      <c r="B5355" s="563" t="s">
        <v>11472</v>
      </c>
      <c r="C5355" s="564" t="s">
        <v>1873</v>
      </c>
      <c r="D5355" s="565">
        <v>42936</v>
      </c>
      <c r="E5355" s="565">
        <v>42966</v>
      </c>
      <c r="F5355" s="566">
        <v>28400000</v>
      </c>
      <c r="G5355" s="564" t="s">
        <v>2492</v>
      </c>
      <c r="H5355" s="564" t="s">
        <v>1157</v>
      </c>
      <c r="I5355" s="564" t="s">
        <v>170</v>
      </c>
      <c r="J5355" s="564" t="s">
        <v>1069</v>
      </c>
      <c r="K5355" s="564" t="s">
        <v>1105</v>
      </c>
      <c r="L5355" s="564" t="s">
        <v>1390</v>
      </c>
      <c r="M5355" s="564" t="s">
        <v>1390</v>
      </c>
      <c r="N5355" s="564" t="s">
        <v>170</v>
      </c>
      <c r="O5355" s="564" t="s">
        <v>38</v>
      </c>
      <c r="P5355" s="23"/>
      <c r="Q5355" s="23"/>
      <c r="R5355" s="23"/>
      <c r="S5355" s="23"/>
      <c r="T5355" s="23"/>
      <c r="U5355" s="23"/>
      <c r="V5355" s="23"/>
      <c r="W5355" s="23"/>
      <c r="X5355" s="23"/>
      <c r="Y5355" s="23"/>
      <c r="Z5355" s="23"/>
    </row>
    <row r="5356" spans="1:26" ht="13">
      <c r="A5356" s="562" t="s">
        <v>11473</v>
      </c>
      <c r="B5356" s="563" t="s">
        <v>11474</v>
      </c>
      <c r="C5356" s="564" t="s">
        <v>2387</v>
      </c>
      <c r="D5356" s="565">
        <v>42948</v>
      </c>
      <c r="E5356" s="565">
        <v>43312</v>
      </c>
      <c r="F5356" s="566">
        <v>3852000</v>
      </c>
      <c r="G5356" s="564" t="s">
        <v>1298</v>
      </c>
      <c r="H5356" s="564" t="s">
        <v>1157</v>
      </c>
      <c r="I5356" s="564" t="s">
        <v>1484</v>
      </c>
      <c r="J5356" s="564" t="s">
        <v>1069</v>
      </c>
      <c r="K5356" s="564" t="s">
        <v>1070</v>
      </c>
      <c r="L5356" s="564" t="s">
        <v>1071</v>
      </c>
      <c r="M5356" s="564" t="s">
        <v>1091</v>
      </c>
      <c r="N5356" s="564" t="s">
        <v>1082</v>
      </c>
      <c r="O5356" s="564" t="s">
        <v>241</v>
      </c>
      <c r="P5356" s="23"/>
      <c r="Q5356" s="23"/>
      <c r="R5356" s="23"/>
      <c r="S5356" s="23"/>
      <c r="T5356" s="23"/>
      <c r="U5356" s="23"/>
      <c r="V5356" s="23"/>
      <c r="W5356" s="23"/>
      <c r="X5356" s="23"/>
      <c r="Y5356" s="23"/>
      <c r="Z5356" s="23"/>
    </row>
    <row r="5357" spans="1:26" ht="13">
      <c r="A5357" s="562" t="s">
        <v>11475</v>
      </c>
      <c r="B5357" s="563" t="s">
        <v>11476</v>
      </c>
      <c r="C5357" s="564" t="s">
        <v>1255</v>
      </c>
      <c r="D5357" s="565">
        <v>42917</v>
      </c>
      <c r="E5357" s="565">
        <v>43281</v>
      </c>
      <c r="F5357" s="566">
        <v>19000000</v>
      </c>
      <c r="G5357" s="564" t="s">
        <v>1032</v>
      </c>
      <c r="H5357" s="564" t="s">
        <v>1123</v>
      </c>
      <c r="I5357" s="564" t="s">
        <v>143</v>
      </c>
      <c r="J5357" s="564" t="s">
        <v>1069</v>
      </c>
      <c r="K5357" s="564" t="s">
        <v>1205</v>
      </c>
      <c r="L5357" s="564" t="s">
        <v>1071</v>
      </c>
      <c r="M5357" s="564" t="s">
        <v>1091</v>
      </c>
      <c r="N5357" s="564" t="s">
        <v>1073</v>
      </c>
      <c r="O5357" s="564" t="s">
        <v>241</v>
      </c>
      <c r="P5357" s="23"/>
      <c r="Q5357" s="23"/>
      <c r="R5357" s="23"/>
      <c r="S5357" s="23"/>
      <c r="T5357" s="23"/>
      <c r="U5357" s="23"/>
      <c r="V5357" s="23"/>
      <c r="W5357" s="23"/>
      <c r="X5357" s="23"/>
      <c r="Y5357" s="23"/>
      <c r="Z5357" s="23"/>
    </row>
    <row r="5358" spans="1:26" ht="13">
      <c r="A5358" s="562" t="s">
        <v>11477</v>
      </c>
      <c r="B5358" s="563" t="s">
        <v>11478</v>
      </c>
      <c r="C5358" s="564" t="s">
        <v>1103</v>
      </c>
      <c r="D5358" s="565">
        <v>42948</v>
      </c>
      <c r="E5358" s="565">
        <v>43159</v>
      </c>
      <c r="F5358" s="566">
        <v>77000000</v>
      </c>
      <c r="G5358" s="564" t="s">
        <v>1458</v>
      </c>
      <c r="H5358" s="564" t="s">
        <v>1623</v>
      </c>
      <c r="I5358" s="564" t="s">
        <v>802</v>
      </c>
      <c r="J5358" s="564" t="s">
        <v>1069</v>
      </c>
      <c r="K5358" s="564" t="s">
        <v>1198</v>
      </c>
      <c r="L5358" s="564" t="s">
        <v>1071</v>
      </c>
      <c r="M5358" s="564" t="s">
        <v>251</v>
      </c>
      <c r="N5358" s="564" t="s">
        <v>132</v>
      </c>
      <c r="O5358" s="564" t="s">
        <v>38</v>
      </c>
      <c r="P5358" s="23"/>
      <c r="Q5358" s="23"/>
      <c r="R5358" s="23"/>
      <c r="S5358" s="23"/>
      <c r="T5358" s="23"/>
      <c r="U5358" s="23"/>
      <c r="V5358" s="23"/>
      <c r="W5358" s="23"/>
      <c r="X5358" s="23"/>
      <c r="Y5358" s="23"/>
      <c r="Z5358" s="23"/>
    </row>
    <row r="5359" spans="1:26" ht="13">
      <c r="A5359" s="562" t="s">
        <v>11479</v>
      </c>
      <c r="B5359" s="563" t="s">
        <v>11480</v>
      </c>
      <c r="C5359" s="564" t="s">
        <v>1255</v>
      </c>
      <c r="D5359" s="565">
        <v>42948</v>
      </c>
      <c r="E5359" s="565">
        <v>43312</v>
      </c>
      <c r="F5359" s="566">
        <v>27000000</v>
      </c>
      <c r="G5359" s="564" t="s">
        <v>1032</v>
      </c>
      <c r="H5359" s="564" t="s">
        <v>1123</v>
      </c>
      <c r="I5359" s="564" t="s">
        <v>143</v>
      </c>
      <c r="J5359" s="564" t="s">
        <v>1069</v>
      </c>
      <c r="K5359" s="564" t="s">
        <v>1205</v>
      </c>
      <c r="L5359" s="564" t="s">
        <v>1071</v>
      </c>
      <c r="M5359" s="564" t="s">
        <v>1091</v>
      </c>
      <c r="N5359" s="564" t="s">
        <v>1073</v>
      </c>
      <c r="O5359" s="564" t="s">
        <v>241</v>
      </c>
      <c r="P5359" s="23"/>
      <c r="Q5359" s="23"/>
      <c r="R5359" s="23"/>
      <c r="S5359" s="23"/>
      <c r="T5359" s="23"/>
      <c r="U5359" s="23"/>
      <c r="V5359" s="23"/>
      <c r="W5359" s="23"/>
      <c r="X5359" s="23"/>
      <c r="Y5359" s="23"/>
      <c r="Z5359" s="23"/>
    </row>
    <row r="5360" spans="1:26" ht="13">
      <c r="A5360" s="562" t="s">
        <v>11481</v>
      </c>
      <c r="B5360" s="563" t="s">
        <v>11482</v>
      </c>
      <c r="C5360" s="564" t="s">
        <v>1475</v>
      </c>
      <c r="D5360" s="565">
        <v>42948</v>
      </c>
      <c r="E5360" s="565">
        <v>44196</v>
      </c>
      <c r="F5360" s="566">
        <v>694788818</v>
      </c>
      <c r="G5360" s="564" t="s">
        <v>1145</v>
      </c>
      <c r="H5360" s="564" t="s">
        <v>1187</v>
      </c>
      <c r="I5360" s="564" t="s">
        <v>5752</v>
      </c>
      <c r="J5360" s="564" t="s">
        <v>1069</v>
      </c>
      <c r="K5360" s="564" t="s">
        <v>1802</v>
      </c>
      <c r="L5360" s="564" t="s">
        <v>1071</v>
      </c>
      <c r="M5360" s="564" t="s">
        <v>1091</v>
      </c>
      <c r="N5360" s="564" t="s">
        <v>1082</v>
      </c>
      <c r="O5360" s="564" t="s">
        <v>241</v>
      </c>
      <c r="P5360" s="23"/>
      <c r="Q5360" s="23"/>
      <c r="R5360" s="23"/>
      <c r="S5360" s="23"/>
      <c r="T5360" s="23"/>
      <c r="U5360" s="23"/>
      <c r="V5360" s="23"/>
      <c r="W5360" s="23"/>
      <c r="X5360" s="23"/>
      <c r="Y5360" s="23"/>
      <c r="Z5360" s="23"/>
    </row>
    <row r="5361" spans="1:26" ht="13">
      <c r="A5361" s="562" t="s">
        <v>11483</v>
      </c>
      <c r="B5361" s="563" t="s">
        <v>11484</v>
      </c>
      <c r="C5361" s="564" t="s">
        <v>1873</v>
      </c>
      <c r="D5361" s="565">
        <v>42941</v>
      </c>
      <c r="E5361" s="565">
        <v>43039</v>
      </c>
      <c r="F5361" s="566">
        <v>149000000</v>
      </c>
      <c r="G5361" s="564" t="s">
        <v>2492</v>
      </c>
      <c r="H5361" s="564" t="s">
        <v>1157</v>
      </c>
      <c r="I5361" s="564" t="s">
        <v>170</v>
      </c>
      <c r="J5361" s="564" t="s">
        <v>1069</v>
      </c>
      <c r="K5361" s="564" t="s">
        <v>1105</v>
      </c>
      <c r="L5361" s="564" t="s">
        <v>1390</v>
      </c>
      <c r="M5361" s="564" t="s">
        <v>1390</v>
      </c>
      <c r="N5361" s="564" t="s">
        <v>170</v>
      </c>
      <c r="O5361" s="564" t="s">
        <v>38</v>
      </c>
      <c r="P5361" s="23"/>
      <c r="Q5361" s="23"/>
      <c r="R5361" s="23"/>
      <c r="S5361" s="23"/>
      <c r="T5361" s="23"/>
      <c r="U5361" s="23"/>
      <c r="V5361" s="23"/>
      <c r="W5361" s="23"/>
      <c r="X5361" s="23"/>
      <c r="Y5361" s="23"/>
      <c r="Z5361" s="23"/>
    </row>
    <row r="5362" spans="1:26" ht="13">
      <c r="A5362" s="562" t="s">
        <v>11485</v>
      </c>
      <c r="B5362" s="563" t="s">
        <v>11486</v>
      </c>
      <c r="C5362" s="564" t="s">
        <v>1475</v>
      </c>
      <c r="D5362" s="565">
        <v>42887</v>
      </c>
      <c r="E5362" s="565">
        <v>44712</v>
      </c>
      <c r="F5362" s="566">
        <v>358200000</v>
      </c>
      <c r="G5362" s="564" t="s">
        <v>10789</v>
      </c>
      <c r="H5362" s="564" t="s">
        <v>1529</v>
      </c>
      <c r="I5362" s="564" t="s">
        <v>1417</v>
      </c>
      <c r="J5362" s="564" t="s">
        <v>1069</v>
      </c>
      <c r="K5362" s="564" t="s">
        <v>1070</v>
      </c>
      <c r="L5362" s="564" t="s">
        <v>1071</v>
      </c>
      <c r="M5362" s="564" t="s">
        <v>1091</v>
      </c>
      <c r="N5362" s="564" t="s">
        <v>1082</v>
      </c>
      <c r="O5362" s="564" t="s">
        <v>241</v>
      </c>
      <c r="P5362" s="23"/>
      <c r="Q5362" s="23"/>
      <c r="R5362" s="23"/>
      <c r="S5362" s="23"/>
      <c r="T5362" s="23"/>
      <c r="U5362" s="23"/>
      <c r="V5362" s="23"/>
      <c r="W5362" s="23"/>
      <c r="X5362" s="23"/>
      <c r="Y5362" s="23"/>
      <c r="Z5362" s="23"/>
    </row>
    <row r="5363" spans="1:26" ht="13">
      <c r="A5363" s="562" t="s">
        <v>11487</v>
      </c>
      <c r="B5363" s="563" t="s">
        <v>11488</v>
      </c>
      <c r="C5363" s="564" t="s">
        <v>1612</v>
      </c>
      <c r="D5363" s="565">
        <v>42922</v>
      </c>
      <c r="E5363" s="565">
        <v>42940</v>
      </c>
      <c r="F5363" s="566">
        <v>20022500</v>
      </c>
      <c r="G5363" s="564" t="s">
        <v>1420</v>
      </c>
      <c r="H5363" s="564" t="s">
        <v>1128</v>
      </c>
      <c r="I5363" s="564" t="s">
        <v>45</v>
      </c>
      <c r="J5363" s="564" t="s">
        <v>1069</v>
      </c>
      <c r="K5363" s="564" t="s">
        <v>1090</v>
      </c>
      <c r="L5363" s="564" t="s">
        <v>1390</v>
      </c>
      <c r="M5363" s="564" t="s">
        <v>1390</v>
      </c>
      <c r="N5363" s="564" t="s">
        <v>45</v>
      </c>
      <c r="O5363" s="564" t="s">
        <v>38</v>
      </c>
      <c r="P5363" s="23"/>
      <c r="Q5363" s="23"/>
      <c r="R5363" s="23"/>
      <c r="S5363" s="23"/>
      <c r="T5363" s="23"/>
      <c r="U5363" s="23"/>
      <c r="V5363" s="23"/>
      <c r="W5363" s="23"/>
      <c r="X5363" s="23"/>
      <c r="Y5363" s="23"/>
      <c r="Z5363" s="23"/>
    </row>
    <row r="5364" spans="1:26" ht="13">
      <c r="A5364" s="562" t="s">
        <v>11489</v>
      </c>
      <c r="B5364" s="563" t="s">
        <v>11490</v>
      </c>
      <c r="C5364" s="564" t="s">
        <v>2387</v>
      </c>
      <c r="D5364" s="565">
        <v>42887</v>
      </c>
      <c r="E5364" s="565">
        <v>43251</v>
      </c>
      <c r="F5364" s="566">
        <v>672000</v>
      </c>
      <c r="G5364" s="564" t="s">
        <v>1268</v>
      </c>
      <c r="H5364" s="564" t="s">
        <v>1157</v>
      </c>
      <c r="I5364" s="564" t="s">
        <v>11491</v>
      </c>
      <c r="J5364" s="564" t="s">
        <v>1069</v>
      </c>
      <c r="K5364" s="564" t="s">
        <v>1105</v>
      </c>
      <c r="L5364" s="564" t="s">
        <v>1071</v>
      </c>
      <c r="M5364" s="564" t="s">
        <v>1091</v>
      </c>
      <c r="N5364" s="564" t="s">
        <v>1082</v>
      </c>
      <c r="O5364" s="564" t="s">
        <v>241</v>
      </c>
      <c r="P5364" s="23"/>
      <c r="Q5364" s="23"/>
      <c r="R5364" s="23"/>
      <c r="S5364" s="23"/>
      <c r="T5364" s="23"/>
      <c r="U5364" s="23"/>
      <c r="V5364" s="23"/>
      <c r="W5364" s="23"/>
      <c r="X5364" s="23"/>
      <c r="Y5364" s="23"/>
      <c r="Z5364" s="23"/>
    </row>
    <row r="5365" spans="1:26" ht="13">
      <c r="A5365" s="562" t="s">
        <v>11492</v>
      </c>
      <c r="B5365" s="563" t="s">
        <v>11493</v>
      </c>
      <c r="C5365" s="564" t="s">
        <v>1455</v>
      </c>
      <c r="D5365" s="565">
        <v>42917</v>
      </c>
      <c r="E5365" s="565">
        <v>43830</v>
      </c>
      <c r="F5365" s="566">
        <v>16500000</v>
      </c>
      <c r="G5365" s="564" t="s">
        <v>1157</v>
      </c>
      <c r="H5365" s="564" t="s">
        <v>1157</v>
      </c>
      <c r="I5365" s="564" t="s">
        <v>170</v>
      </c>
      <c r="J5365" s="564" t="s">
        <v>1069</v>
      </c>
      <c r="K5365" s="564" t="s">
        <v>1105</v>
      </c>
      <c r="L5365" s="564" t="s">
        <v>1071</v>
      </c>
      <c r="M5365" s="564" t="s">
        <v>1091</v>
      </c>
      <c r="N5365" s="564" t="s">
        <v>170</v>
      </c>
      <c r="O5365" s="564" t="s">
        <v>241</v>
      </c>
      <c r="P5365" s="23"/>
      <c r="Q5365" s="23"/>
      <c r="R5365" s="23"/>
      <c r="S5365" s="23"/>
      <c r="T5365" s="23"/>
      <c r="U5365" s="23"/>
      <c r="V5365" s="23"/>
      <c r="W5365" s="23"/>
      <c r="X5365" s="23"/>
      <c r="Y5365" s="23"/>
      <c r="Z5365" s="23"/>
    </row>
    <row r="5366" spans="1:26" ht="13">
      <c r="A5366" s="562" t="s">
        <v>11494</v>
      </c>
      <c r="B5366" s="563" t="s">
        <v>11495</v>
      </c>
      <c r="C5366" s="564" t="s">
        <v>1548</v>
      </c>
      <c r="D5366" s="565">
        <v>42979</v>
      </c>
      <c r="E5366" s="565">
        <v>43113</v>
      </c>
      <c r="F5366" s="566">
        <v>231000000</v>
      </c>
      <c r="G5366" s="564" t="s">
        <v>11496</v>
      </c>
      <c r="H5366" s="564" t="s">
        <v>1529</v>
      </c>
      <c r="I5366" s="564" t="s">
        <v>1417</v>
      </c>
      <c r="J5366" s="564" t="s">
        <v>1069</v>
      </c>
      <c r="K5366" s="564" t="s">
        <v>1070</v>
      </c>
      <c r="L5366" s="564" t="s">
        <v>1390</v>
      </c>
      <c r="M5366" s="564" t="s">
        <v>1390</v>
      </c>
      <c r="N5366" s="564" t="s">
        <v>1082</v>
      </c>
      <c r="O5366" s="564" t="s">
        <v>38</v>
      </c>
      <c r="P5366" s="23"/>
      <c r="Q5366" s="23"/>
      <c r="R5366" s="23"/>
      <c r="S5366" s="23"/>
      <c r="T5366" s="23"/>
      <c r="U5366" s="23"/>
      <c r="V5366" s="23"/>
      <c r="W5366" s="23"/>
      <c r="X5366" s="23"/>
      <c r="Y5366" s="23"/>
      <c r="Z5366" s="23"/>
    </row>
    <row r="5367" spans="1:26" ht="13">
      <c r="A5367" s="562" t="s">
        <v>11497</v>
      </c>
      <c r="B5367" s="563" t="s">
        <v>11498</v>
      </c>
      <c r="C5367" s="564" t="s">
        <v>1652</v>
      </c>
      <c r="D5367" s="565">
        <v>42917</v>
      </c>
      <c r="E5367" s="565">
        <v>43281</v>
      </c>
      <c r="F5367" s="566">
        <v>24960000</v>
      </c>
      <c r="G5367" s="564" t="s">
        <v>1298</v>
      </c>
      <c r="H5367" s="564" t="s">
        <v>1187</v>
      </c>
      <c r="I5367" s="564" t="s">
        <v>70</v>
      </c>
      <c r="J5367" s="564" t="s">
        <v>1069</v>
      </c>
      <c r="K5367" s="564" t="s">
        <v>1120</v>
      </c>
      <c r="L5367" s="564" t="s">
        <v>1071</v>
      </c>
      <c r="M5367" s="564" t="s">
        <v>1091</v>
      </c>
      <c r="N5367" s="564" t="s">
        <v>70</v>
      </c>
      <c r="O5367" s="564" t="s">
        <v>241</v>
      </c>
      <c r="P5367" s="23"/>
      <c r="Q5367" s="23"/>
      <c r="R5367" s="23"/>
      <c r="S5367" s="23"/>
      <c r="T5367" s="23"/>
      <c r="U5367" s="23"/>
      <c r="V5367" s="23"/>
      <c r="W5367" s="23"/>
      <c r="X5367" s="23"/>
      <c r="Y5367" s="23"/>
      <c r="Z5367" s="23"/>
    </row>
    <row r="5368" spans="1:26" ht="13">
      <c r="A5368" s="562" t="s">
        <v>11499</v>
      </c>
      <c r="B5368" s="563" t="s">
        <v>11500</v>
      </c>
      <c r="C5368" s="564" t="s">
        <v>1873</v>
      </c>
      <c r="D5368" s="565">
        <v>42898</v>
      </c>
      <c r="E5368" s="565">
        <v>43100</v>
      </c>
      <c r="F5368" s="566">
        <v>200000000</v>
      </c>
      <c r="G5368" s="564" t="s">
        <v>11139</v>
      </c>
      <c r="H5368" s="564" t="s">
        <v>1157</v>
      </c>
      <c r="I5368" s="564" t="s">
        <v>170</v>
      </c>
      <c r="J5368" s="564" t="s">
        <v>1069</v>
      </c>
      <c r="K5368" s="564" t="s">
        <v>1105</v>
      </c>
      <c r="L5368" s="564" t="s">
        <v>1390</v>
      </c>
      <c r="M5368" s="564" t="s">
        <v>1390</v>
      </c>
      <c r="N5368" s="564" t="s">
        <v>170</v>
      </c>
      <c r="O5368" s="564" t="s">
        <v>38</v>
      </c>
      <c r="P5368" s="23"/>
      <c r="Q5368" s="23"/>
      <c r="R5368" s="23"/>
      <c r="S5368" s="23"/>
      <c r="T5368" s="23"/>
      <c r="U5368" s="23"/>
      <c r="V5368" s="23"/>
      <c r="W5368" s="23"/>
      <c r="X5368" s="23"/>
      <c r="Y5368" s="23"/>
      <c r="Z5368" s="23"/>
    </row>
    <row r="5369" spans="1:26" ht="13">
      <c r="A5369" s="562" t="s">
        <v>11501</v>
      </c>
      <c r="B5369" s="563" t="s">
        <v>11502</v>
      </c>
      <c r="C5369" s="564" t="s">
        <v>1873</v>
      </c>
      <c r="D5369" s="565">
        <v>42909</v>
      </c>
      <c r="E5369" s="565">
        <v>42969</v>
      </c>
      <c r="F5369" s="566">
        <v>48600000</v>
      </c>
      <c r="G5369" s="564" t="s">
        <v>2492</v>
      </c>
      <c r="H5369" s="564" t="s">
        <v>1157</v>
      </c>
      <c r="I5369" s="564" t="s">
        <v>170</v>
      </c>
      <c r="J5369" s="564" t="s">
        <v>1069</v>
      </c>
      <c r="K5369" s="564" t="s">
        <v>1105</v>
      </c>
      <c r="L5369" s="564" t="s">
        <v>1390</v>
      </c>
      <c r="M5369" s="564" t="s">
        <v>1390</v>
      </c>
      <c r="N5369" s="564" t="s">
        <v>170</v>
      </c>
      <c r="O5369" s="564" t="s">
        <v>38</v>
      </c>
      <c r="P5369" s="23"/>
      <c r="Q5369" s="23"/>
      <c r="R5369" s="23"/>
      <c r="S5369" s="23"/>
      <c r="T5369" s="23"/>
      <c r="U5369" s="23"/>
      <c r="V5369" s="23"/>
      <c r="W5369" s="23"/>
      <c r="X5369" s="23"/>
      <c r="Y5369" s="23"/>
      <c r="Z5369" s="23"/>
    </row>
    <row r="5370" spans="1:26" ht="13">
      <c r="A5370" s="562" t="s">
        <v>11503</v>
      </c>
      <c r="B5370" s="563" t="s">
        <v>11504</v>
      </c>
      <c r="C5370" s="564" t="s">
        <v>1551</v>
      </c>
      <c r="D5370" s="565">
        <v>42886</v>
      </c>
      <c r="E5370" s="565">
        <v>43250</v>
      </c>
      <c r="F5370" s="566">
        <v>1379000000</v>
      </c>
      <c r="G5370" s="564" t="s">
        <v>1297</v>
      </c>
      <c r="H5370" s="564" t="s">
        <v>1424</v>
      </c>
      <c r="I5370" s="564" t="s">
        <v>45</v>
      </c>
      <c r="J5370" s="564" t="s">
        <v>1069</v>
      </c>
      <c r="K5370" s="564" t="s">
        <v>1090</v>
      </c>
      <c r="L5370" s="564" t="s">
        <v>1071</v>
      </c>
      <c r="M5370" s="564" t="s">
        <v>1091</v>
      </c>
      <c r="N5370" s="564" t="s">
        <v>45</v>
      </c>
      <c r="O5370" s="564" t="s">
        <v>241</v>
      </c>
      <c r="P5370" s="23"/>
      <c r="Q5370" s="23"/>
      <c r="R5370" s="23"/>
      <c r="S5370" s="23"/>
      <c r="T5370" s="23"/>
      <c r="U5370" s="23"/>
      <c r="V5370" s="23"/>
      <c r="W5370" s="23"/>
      <c r="X5370" s="23"/>
      <c r="Y5370" s="23"/>
      <c r="Z5370" s="23"/>
    </row>
    <row r="5371" spans="1:26" ht="13">
      <c r="A5371" s="562" t="s">
        <v>11505</v>
      </c>
      <c r="B5371" s="563" t="s">
        <v>11506</v>
      </c>
      <c r="C5371" s="564" t="s">
        <v>1255</v>
      </c>
      <c r="D5371" s="565">
        <v>42887</v>
      </c>
      <c r="E5371" s="565">
        <v>43251</v>
      </c>
      <c r="F5371" s="566">
        <v>26181818</v>
      </c>
      <c r="G5371" s="564" t="s">
        <v>1032</v>
      </c>
      <c r="H5371" s="564" t="s">
        <v>1123</v>
      </c>
      <c r="I5371" s="564" t="s">
        <v>143</v>
      </c>
      <c r="J5371" s="564" t="s">
        <v>1069</v>
      </c>
      <c r="K5371" s="564" t="s">
        <v>1205</v>
      </c>
      <c r="L5371" s="564" t="s">
        <v>1071</v>
      </c>
      <c r="M5371" s="564" t="s">
        <v>1091</v>
      </c>
      <c r="N5371" s="564" t="s">
        <v>1073</v>
      </c>
      <c r="O5371" s="564" t="s">
        <v>241</v>
      </c>
      <c r="P5371" s="23"/>
      <c r="Q5371" s="23"/>
      <c r="R5371" s="23"/>
      <c r="S5371" s="23"/>
      <c r="T5371" s="23"/>
      <c r="U5371" s="23"/>
      <c r="V5371" s="23"/>
      <c r="W5371" s="23"/>
      <c r="X5371" s="23"/>
      <c r="Y5371" s="23"/>
      <c r="Z5371" s="23"/>
    </row>
    <row r="5372" spans="1:26" ht="13">
      <c r="A5372" s="562" t="s">
        <v>11507</v>
      </c>
      <c r="B5372" s="563" t="s">
        <v>11508</v>
      </c>
      <c r="C5372" s="564" t="s">
        <v>1255</v>
      </c>
      <c r="D5372" s="565">
        <v>43009</v>
      </c>
      <c r="E5372" s="565">
        <v>43039</v>
      </c>
      <c r="F5372" s="566">
        <v>38277500</v>
      </c>
      <c r="G5372" s="564" t="s">
        <v>1097</v>
      </c>
      <c r="H5372" s="564" t="s">
        <v>1123</v>
      </c>
      <c r="I5372" s="564" t="s">
        <v>140</v>
      </c>
      <c r="J5372" s="564" t="s">
        <v>1069</v>
      </c>
      <c r="K5372" s="564" t="s">
        <v>1205</v>
      </c>
      <c r="L5372" s="564" t="s">
        <v>1071</v>
      </c>
      <c r="M5372" s="564" t="s">
        <v>1091</v>
      </c>
      <c r="N5372" s="564" t="s">
        <v>1073</v>
      </c>
      <c r="O5372" s="564" t="s">
        <v>241</v>
      </c>
      <c r="P5372" s="23"/>
      <c r="Q5372" s="23"/>
      <c r="R5372" s="23"/>
      <c r="S5372" s="23"/>
      <c r="T5372" s="23"/>
      <c r="U5372" s="23"/>
      <c r="V5372" s="23"/>
      <c r="W5372" s="23"/>
      <c r="X5372" s="23"/>
      <c r="Y5372" s="23"/>
      <c r="Z5372" s="23"/>
    </row>
    <row r="5373" spans="1:26" ht="13">
      <c r="A5373" s="562" t="s">
        <v>11509</v>
      </c>
      <c r="B5373" s="563" t="s">
        <v>11510</v>
      </c>
      <c r="C5373" s="564" t="s">
        <v>2387</v>
      </c>
      <c r="D5373" s="565">
        <v>42887</v>
      </c>
      <c r="E5373" s="565">
        <v>43251</v>
      </c>
      <c r="F5373" s="566">
        <v>33871680</v>
      </c>
      <c r="G5373" s="564" t="s">
        <v>1298</v>
      </c>
      <c r="H5373" s="564" t="s">
        <v>1157</v>
      </c>
      <c r="I5373" s="564" t="s">
        <v>64</v>
      </c>
      <c r="J5373" s="564" t="s">
        <v>1069</v>
      </c>
      <c r="K5373" s="564" t="s">
        <v>1090</v>
      </c>
      <c r="L5373" s="564" t="s">
        <v>1117</v>
      </c>
      <c r="M5373" s="564" t="s">
        <v>1118</v>
      </c>
      <c r="N5373" s="564" t="s">
        <v>64</v>
      </c>
      <c r="O5373" s="564" t="s">
        <v>1081</v>
      </c>
      <c r="P5373" s="23"/>
      <c r="Q5373" s="23"/>
      <c r="R5373" s="23"/>
      <c r="S5373" s="23"/>
      <c r="T5373" s="23"/>
      <c r="U5373" s="23"/>
      <c r="V5373" s="23"/>
      <c r="W5373" s="23"/>
      <c r="X5373" s="23"/>
      <c r="Y5373" s="23"/>
      <c r="Z5373" s="23"/>
    </row>
    <row r="5374" spans="1:26" ht="13">
      <c r="A5374" s="562" t="s">
        <v>11511</v>
      </c>
      <c r="B5374" s="563" t="s">
        <v>11512</v>
      </c>
      <c r="C5374" s="564" t="s">
        <v>1873</v>
      </c>
      <c r="D5374" s="565">
        <v>42884</v>
      </c>
      <c r="E5374" s="565">
        <v>42925</v>
      </c>
      <c r="F5374" s="566">
        <v>96600000</v>
      </c>
      <c r="G5374" s="564" t="s">
        <v>11139</v>
      </c>
      <c r="H5374" s="564" t="s">
        <v>1157</v>
      </c>
      <c r="I5374" s="564" t="s">
        <v>170</v>
      </c>
      <c r="J5374" s="564" t="s">
        <v>1069</v>
      </c>
      <c r="K5374" s="564" t="s">
        <v>1105</v>
      </c>
      <c r="L5374" s="564" t="s">
        <v>1390</v>
      </c>
      <c r="M5374" s="564" t="s">
        <v>1390</v>
      </c>
      <c r="N5374" s="564" t="s">
        <v>170</v>
      </c>
      <c r="O5374" s="564" t="s">
        <v>38</v>
      </c>
      <c r="P5374" s="23"/>
      <c r="Q5374" s="23"/>
      <c r="R5374" s="23"/>
      <c r="S5374" s="23"/>
      <c r="T5374" s="23"/>
      <c r="U5374" s="23"/>
      <c r="V5374" s="23"/>
      <c r="W5374" s="23"/>
      <c r="X5374" s="23"/>
      <c r="Y5374" s="23"/>
      <c r="Z5374" s="23"/>
    </row>
    <row r="5375" spans="1:26" ht="13">
      <c r="A5375" s="562" t="s">
        <v>11513</v>
      </c>
      <c r="B5375" s="563" t="s">
        <v>11514</v>
      </c>
      <c r="C5375" s="564" t="s">
        <v>1548</v>
      </c>
      <c r="D5375" s="565">
        <v>42877</v>
      </c>
      <c r="E5375" s="565">
        <v>43281</v>
      </c>
      <c r="F5375" s="566">
        <v>60600000</v>
      </c>
      <c r="G5375" s="564" t="s">
        <v>10789</v>
      </c>
      <c r="H5375" s="564" t="s">
        <v>1529</v>
      </c>
      <c r="I5375" s="564" t="s">
        <v>1417</v>
      </c>
      <c r="J5375" s="564" t="s">
        <v>1069</v>
      </c>
      <c r="K5375" s="564" t="s">
        <v>1070</v>
      </c>
      <c r="L5375" s="564" t="s">
        <v>1071</v>
      </c>
      <c r="M5375" s="564" t="s">
        <v>1091</v>
      </c>
      <c r="N5375" s="564" t="s">
        <v>1082</v>
      </c>
      <c r="O5375" s="564" t="s">
        <v>1092</v>
      </c>
      <c r="P5375" s="23"/>
      <c r="Q5375" s="23"/>
      <c r="R5375" s="23"/>
      <c r="S5375" s="23"/>
      <c r="T5375" s="23"/>
      <c r="U5375" s="23"/>
      <c r="V5375" s="23"/>
      <c r="W5375" s="23"/>
      <c r="X5375" s="23"/>
      <c r="Y5375" s="23"/>
      <c r="Z5375" s="23"/>
    </row>
    <row r="5376" spans="1:26" ht="13">
      <c r="A5376" s="562" t="s">
        <v>11515</v>
      </c>
      <c r="B5376" s="563" t="s">
        <v>11516</v>
      </c>
      <c r="C5376" s="564" t="s">
        <v>1136</v>
      </c>
      <c r="D5376" s="565">
        <v>43101</v>
      </c>
      <c r="E5376" s="565">
        <v>43131</v>
      </c>
      <c r="F5376" s="566">
        <v>116180000</v>
      </c>
      <c r="G5376" s="564" t="s">
        <v>2508</v>
      </c>
      <c r="H5376" s="564" t="s">
        <v>1640</v>
      </c>
      <c r="I5376" s="564" t="s">
        <v>125</v>
      </c>
      <c r="J5376" s="564" t="s">
        <v>1069</v>
      </c>
      <c r="K5376" s="564" t="s">
        <v>1070</v>
      </c>
      <c r="L5376" s="564" t="s">
        <v>1390</v>
      </c>
      <c r="M5376" s="564" t="s">
        <v>1390</v>
      </c>
      <c r="N5376" s="564" t="s">
        <v>1073</v>
      </c>
      <c r="O5376" s="564" t="s">
        <v>38</v>
      </c>
      <c r="P5376" s="23"/>
      <c r="Q5376" s="23"/>
      <c r="R5376" s="23"/>
      <c r="S5376" s="23"/>
      <c r="T5376" s="23"/>
      <c r="U5376" s="23"/>
      <c r="V5376" s="23"/>
      <c r="W5376" s="23"/>
      <c r="X5376" s="23"/>
      <c r="Y5376" s="23"/>
      <c r="Z5376" s="23"/>
    </row>
    <row r="5377" spans="1:26" ht="13">
      <c r="A5377" s="562" t="s">
        <v>11517</v>
      </c>
      <c r="B5377" s="563" t="s">
        <v>11518</v>
      </c>
      <c r="C5377" s="564" t="s">
        <v>1873</v>
      </c>
      <c r="D5377" s="565">
        <v>42788</v>
      </c>
      <c r="E5377" s="565">
        <v>43100</v>
      </c>
      <c r="F5377" s="566">
        <v>149000000</v>
      </c>
      <c r="G5377" s="564" t="s">
        <v>11328</v>
      </c>
      <c r="H5377" s="564" t="s">
        <v>1157</v>
      </c>
      <c r="I5377" s="564" t="s">
        <v>170</v>
      </c>
      <c r="J5377" s="564" t="s">
        <v>1069</v>
      </c>
      <c r="K5377" s="564" t="s">
        <v>1105</v>
      </c>
      <c r="L5377" s="564" t="s">
        <v>1071</v>
      </c>
      <c r="M5377" s="564" t="s">
        <v>1091</v>
      </c>
      <c r="N5377" s="564" t="s">
        <v>170</v>
      </c>
      <c r="O5377" s="564" t="s">
        <v>241</v>
      </c>
      <c r="P5377" s="23"/>
      <c r="Q5377" s="23"/>
      <c r="R5377" s="23"/>
      <c r="S5377" s="23"/>
      <c r="T5377" s="23"/>
      <c r="U5377" s="23"/>
      <c r="V5377" s="23"/>
      <c r="W5377" s="23"/>
      <c r="X5377" s="23"/>
      <c r="Y5377" s="23"/>
      <c r="Z5377" s="23"/>
    </row>
    <row r="5378" spans="1:26" ht="13">
      <c r="A5378" s="562" t="s">
        <v>11519</v>
      </c>
      <c r="B5378" s="563" t="s">
        <v>11520</v>
      </c>
      <c r="C5378" s="564" t="s">
        <v>1612</v>
      </c>
      <c r="D5378" s="565">
        <v>42887</v>
      </c>
      <c r="E5378" s="565">
        <v>43039</v>
      </c>
      <c r="F5378" s="566">
        <v>955948182</v>
      </c>
      <c r="G5378" s="564" t="s">
        <v>1623</v>
      </c>
      <c r="H5378" s="564" t="s">
        <v>1623</v>
      </c>
      <c r="I5378" s="564" t="s">
        <v>802</v>
      </c>
      <c r="J5378" s="564" t="s">
        <v>1069</v>
      </c>
      <c r="K5378" s="564" t="s">
        <v>1198</v>
      </c>
      <c r="L5378" s="564" t="s">
        <v>1390</v>
      </c>
      <c r="M5378" s="564" t="s">
        <v>1390</v>
      </c>
      <c r="N5378" s="564" t="s">
        <v>132</v>
      </c>
      <c r="O5378" s="564" t="s">
        <v>38</v>
      </c>
      <c r="P5378" s="23"/>
      <c r="Q5378" s="23"/>
      <c r="R5378" s="23"/>
      <c r="S5378" s="23"/>
      <c r="T5378" s="23"/>
      <c r="U5378" s="23"/>
      <c r="V5378" s="23"/>
      <c r="W5378" s="23"/>
      <c r="X5378" s="23"/>
      <c r="Y5378" s="23"/>
      <c r="Z5378" s="23"/>
    </row>
    <row r="5379" spans="1:26" ht="13">
      <c r="A5379" s="562" t="s">
        <v>11521</v>
      </c>
      <c r="B5379" s="563" t="s">
        <v>11522</v>
      </c>
      <c r="C5379" s="564" t="s">
        <v>1873</v>
      </c>
      <c r="D5379" s="565">
        <v>42788</v>
      </c>
      <c r="E5379" s="565">
        <v>42930</v>
      </c>
      <c r="F5379" s="566">
        <v>209000000</v>
      </c>
      <c r="G5379" s="564" t="s">
        <v>11328</v>
      </c>
      <c r="H5379" s="564" t="s">
        <v>1157</v>
      </c>
      <c r="I5379" s="564" t="s">
        <v>170</v>
      </c>
      <c r="J5379" s="564" t="s">
        <v>1069</v>
      </c>
      <c r="K5379" s="564" t="s">
        <v>1105</v>
      </c>
      <c r="L5379" s="564" t="s">
        <v>1390</v>
      </c>
      <c r="M5379" s="564" t="s">
        <v>1390</v>
      </c>
      <c r="N5379" s="564" t="s">
        <v>170</v>
      </c>
      <c r="O5379" s="564" t="s">
        <v>38</v>
      </c>
      <c r="P5379" s="23"/>
      <c r="Q5379" s="23"/>
      <c r="R5379" s="23"/>
      <c r="S5379" s="23"/>
      <c r="T5379" s="23"/>
      <c r="U5379" s="23"/>
      <c r="V5379" s="23"/>
      <c r="W5379" s="23"/>
      <c r="X5379" s="23"/>
      <c r="Y5379" s="23"/>
      <c r="Z5379" s="23"/>
    </row>
    <row r="5380" spans="1:26" ht="13">
      <c r="A5380" s="562" t="s">
        <v>11523</v>
      </c>
      <c r="B5380" s="563" t="s">
        <v>11524</v>
      </c>
      <c r="C5380" s="564" t="s">
        <v>2387</v>
      </c>
      <c r="D5380" s="565">
        <v>42856</v>
      </c>
      <c r="E5380" s="565">
        <v>43220</v>
      </c>
      <c r="F5380" s="566">
        <v>25569600</v>
      </c>
      <c r="G5380" s="564" t="s">
        <v>1424</v>
      </c>
      <c r="H5380" s="564" t="s">
        <v>1424</v>
      </c>
      <c r="I5380" s="564" t="s">
        <v>2586</v>
      </c>
      <c r="J5380" s="564" t="s">
        <v>1069</v>
      </c>
      <c r="K5380" s="564" t="s">
        <v>1070</v>
      </c>
      <c r="L5380" s="564" t="s">
        <v>1071</v>
      </c>
      <c r="M5380" s="564" t="s">
        <v>1091</v>
      </c>
      <c r="N5380" s="564" t="s">
        <v>1073</v>
      </c>
      <c r="O5380" s="564" t="s">
        <v>241</v>
      </c>
      <c r="P5380" s="23"/>
      <c r="Q5380" s="23"/>
      <c r="R5380" s="23"/>
      <c r="S5380" s="23"/>
      <c r="T5380" s="23"/>
      <c r="U5380" s="23"/>
      <c r="V5380" s="23"/>
      <c r="W5380" s="23"/>
      <c r="X5380" s="23"/>
      <c r="Y5380" s="23"/>
      <c r="Z5380" s="23"/>
    </row>
    <row r="5381" spans="1:26" ht="13">
      <c r="A5381" s="562" t="s">
        <v>11525</v>
      </c>
      <c r="B5381" s="563" t="s">
        <v>11526</v>
      </c>
      <c r="C5381" s="564" t="s">
        <v>2387</v>
      </c>
      <c r="D5381" s="565">
        <v>42856</v>
      </c>
      <c r="E5381" s="565">
        <v>43220</v>
      </c>
      <c r="F5381" s="566">
        <v>16500000</v>
      </c>
      <c r="G5381" s="564" t="s">
        <v>1424</v>
      </c>
      <c r="H5381" s="564" t="s">
        <v>1424</v>
      </c>
      <c r="I5381" s="564" t="s">
        <v>1781</v>
      </c>
      <c r="J5381" s="564" t="s">
        <v>1069</v>
      </c>
      <c r="K5381" s="564" t="s">
        <v>1070</v>
      </c>
      <c r="L5381" s="564" t="s">
        <v>1071</v>
      </c>
      <c r="M5381" s="564" t="s">
        <v>1091</v>
      </c>
      <c r="N5381" s="564" t="s">
        <v>1073</v>
      </c>
      <c r="O5381" s="564" t="s">
        <v>241</v>
      </c>
      <c r="P5381" s="23"/>
      <c r="Q5381" s="23"/>
      <c r="R5381" s="23"/>
      <c r="S5381" s="23"/>
      <c r="T5381" s="23"/>
      <c r="U5381" s="23"/>
      <c r="V5381" s="23"/>
      <c r="W5381" s="23"/>
      <c r="X5381" s="23"/>
      <c r="Y5381" s="23"/>
      <c r="Z5381" s="23"/>
    </row>
    <row r="5382" spans="1:26" ht="13">
      <c r="A5382" s="562" t="s">
        <v>11527</v>
      </c>
      <c r="B5382" s="563" t="s">
        <v>11528</v>
      </c>
      <c r="C5382" s="564" t="s">
        <v>1370</v>
      </c>
      <c r="D5382" s="565">
        <v>42736</v>
      </c>
      <c r="E5382" s="565">
        <v>43100</v>
      </c>
      <c r="F5382" s="566">
        <v>12000000</v>
      </c>
      <c r="G5382" s="564" t="s">
        <v>1623</v>
      </c>
      <c r="H5382" s="564" t="s">
        <v>1623</v>
      </c>
      <c r="I5382" s="564" t="s">
        <v>1746</v>
      </c>
      <c r="J5382" s="564" t="s">
        <v>1069</v>
      </c>
      <c r="K5382" s="564" t="s">
        <v>1198</v>
      </c>
      <c r="L5382" s="564" t="s">
        <v>1071</v>
      </c>
      <c r="M5382" s="564" t="s">
        <v>1091</v>
      </c>
      <c r="N5382" s="564" t="s">
        <v>1073</v>
      </c>
      <c r="O5382" s="564" t="s">
        <v>241</v>
      </c>
      <c r="P5382" s="23"/>
      <c r="Q5382" s="23"/>
      <c r="R5382" s="23"/>
      <c r="S5382" s="23"/>
      <c r="T5382" s="23"/>
      <c r="U5382" s="23"/>
      <c r="V5382" s="23"/>
      <c r="W5382" s="23"/>
      <c r="X5382" s="23"/>
      <c r="Y5382" s="23"/>
      <c r="Z5382" s="23"/>
    </row>
    <row r="5383" spans="1:26" ht="13">
      <c r="A5383" s="562" t="s">
        <v>11529</v>
      </c>
      <c r="B5383" s="563" t="s">
        <v>11530</v>
      </c>
      <c r="C5383" s="564" t="s">
        <v>1370</v>
      </c>
      <c r="D5383" s="565">
        <v>42736</v>
      </c>
      <c r="E5383" s="565">
        <v>43100</v>
      </c>
      <c r="F5383" s="566">
        <v>56546540</v>
      </c>
      <c r="G5383" s="564" t="s">
        <v>1145</v>
      </c>
      <c r="H5383" s="564" t="s">
        <v>1145</v>
      </c>
      <c r="I5383" s="564" t="s">
        <v>1746</v>
      </c>
      <c r="J5383" s="564" t="s">
        <v>1069</v>
      </c>
      <c r="K5383" s="564" t="s">
        <v>1198</v>
      </c>
      <c r="L5383" s="564" t="s">
        <v>1071</v>
      </c>
      <c r="M5383" s="564" t="s">
        <v>1091</v>
      </c>
      <c r="N5383" s="564" t="s">
        <v>1073</v>
      </c>
      <c r="O5383" s="564" t="s">
        <v>241</v>
      </c>
      <c r="P5383" s="23"/>
      <c r="Q5383" s="23"/>
      <c r="R5383" s="23"/>
      <c r="S5383" s="23"/>
      <c r="T5383" s="23"/>
      <c r="U5383" s="23"/>
      <c r="V5383" s="23"/>
      <c r="W5383" s="23"/>
      <c r="X5383" s="23"/>
      <c r="Y5383" s="23"/>
      <c r="Z5383" s="23"/>
    </row>
    <row r="5384" spans="1:26" ht="13">
      <c r="A5384" s="562" t="s">
        <v>11531</v>
      </c>
      <c r="B5384" s="563" t="s">
        <v>11532</v>
      </c>
      <c r="C5384" s="564" t="s">
        <v>1370</v>
      </c>
      <c r="D5384" s="565">
        <v>42795</v>
      </c>
      <c r="E5384" s="565">
        <v>43159</v>
      </c>
      <c r="F5384" s="566">
        <v>14181818</v>
      </c>
      <c r="G5384" s="564" t="s">
        <v>1623</v>
      </c>
      <c r="H5384" s="564" t="s">
        <v>1623</v>
      </c>
      <c r="I5384" s="564" t="s">
        <v>802</v>
      </c>
      <c r="J5384" s="564" t="s">
        <v>1069</v>
      </c>
      <c r="K5384" s="564" t="s">
        <v>1198</v>
      </c>
      <c r="L5384" s="564" t="s">
        <v>1071</v>
      </c>
      <c r="M5384" s="564" t="s">
        <v>1091</v>
      </c>
      <c r="N5384" s="564" t="s">
        <v>132</v>
      </c>
      <c r="O5384" s="564" t="s">
        <v>241</v>
      </c>
      <c r="P5384" s="23"/>
      <c r="Q5384" s="23"/>
      <c r="R5384" s="23"/>
      <c r="S5384" s="23"/>
      <c r="T5384" s="23"/>
      <c r="U5384" s="23"/>
      <c r="V5384" s="23"/>
      <c r="W5384" s="23"/>
      <c r="X5384" s="23"/>
      <c r="Y5384" s="23"/>
      <c r="Z5384" s="23"/>
    </row>
    <row r="5385" spans="1:26" ht="13">
      <c r="A5385" s="562" t="s">
        <v>11533</v>
      </c>
      <c r="B5385" s="563" t="s">
        <v>11534</v>
      </c>
      <c r="C5385" s="564" t="s">
        <v>1370</v>
      </c>
      <c r="D5385" s="565">
        <v>42795</v>
      </c>
      <c r="E5385" s="565">
        <v>43159</v>
      </c>
      <c r="F5385" s="566">
        <v>3981818</v>
      </c>
      <c r="G5385" s="564" t="s">
        <v>1623</v>
      </c>
      <c r="H5385" s="564" t="s">
        <v>1623</v>
      </c>
      <c r="I5385" s="564" t="s">
        <v>802</v>
      </c>
      <c r="J5385" s="564" t="s">
        <v>1069</v>
      </c>
      <c r="K5385" s="564" t="s">
        <v>1198</v>
      </c>
      <c r="L5385" s="564" t="s">
        <v>1071</v>
      </c>
      <c r="M5385" s="564" t="s">
        <v>1091</v>
      </c>
      <c r="N5385" s="564" t="s">
        <v>132</v>
      </c>
      <c r="O5385" s="564" t="s">
        <v>241</v>
      </c>
      <c r="P5385" s="23"/>
      <c r="Q5385" s="23"/>
      <c r="R5385" s="23"/>
      <c r="S5385" s="23"/>
      <c r="T5385" s="23"/>
      <c r="U5385" s="23"/>
      <c r="V5385" s="23"/>
      <c r="W5385" s="23"/>
      <c r="X5385" s="23"/>
      <c r="Y5385" s="23"/>
      <c r="Z5385" s="23"/>
    </row>
    <row r="5386" spans="1:26" ht="13">
      <c r="A5386" s="562" t="s">
        <v>11535</v>
      </c>
      <c r="B5386" s="563" t="s">
        <v>11536</v>
      </c>
      <c r="C5386" s="564" t="s">
        <v>1612</v>
      </c>
      <c r="D5386" s="565">
        <v>42810</v>
      </c>
      <c r="E5386" s="565">
        <v>42855</v>
      </c>
      <c r="F5386" s="566">
        <v>27727273</v>
      </c>
      <c r="G5386" s="564" t="s">
        <v>1312</v>
      </c>
      <c r="H5386" s="564" t="s">
        <v>1623</v>
      </c>
      <c r="I5386" s="564" t="s">
        <v>802</v>
      </c>
      <c r="J5386" s="564" t="s">
        <v>1069</v>
      </c>
      <c r="K5386" s="564" t="s">
        <v>1198</v>
      </c>
      <c r="L5386" s="564" t="s">
        <v>1390</v>
      </c>
      <c r="M5386" s="564" t="s">
        <v>1390</v>
      </c>
      <c r="N5386" s="564" t="s">
        <v>132</v>
      </c>
      <c r="O5386" s="564" t="s">
        <v>38</v>
      </c>
      <c r="P5386" s="23"/>
      <c r="Q5386" s="23"/>
      <c r="R5386" s="23"/>
      <c r="S5386" s="23"/>
      <c r="T5386" s="23"/>
      <c r="U5386" s="23"/>
      <c r="V5386" s="23"/>
      <c r="W5386" s="23"/>
      <c r="X5386" s="23"/>
      <c r="Y5386" s="23"/>
      <c r="Z5386" s="23"/>
    </row>
    <row r="5387" spans="1:26" ht="13">
      <c r="A5387" s="562" t="s">
        <v>11537</v>
      </c>
      <c r="B5387" s="563" t="s">
        <v>11538</v>
      </c>
      <c r="C5387" s="564" t="s">
        <v>1370</v>
      </c>
      <c r="D5387" s="565">
        <v>42795</v>
      </c>
      <c r="E5387" s="565">
        <v>43159</v>
      </c>
      <c r="F5387" s="566">
        <v>28472724</v>
      </c>
      <c r="G5387" s="564" t="s">
        <v>1623</v>
      </c>
      <c r="H5387" s="564" t="s">
        <v>1623</v>
      </c>
      <c r="I5387" s="564" t="s">
        <v>802</v>
      </c>
      <c r="J5387" s="564" t="s">
        <v>1069</v>
      </c>
      <c r="K5387" s="564" t="s">
        <v>1198</v>
      </c>
      <c r="L5387" s="564" t="s">
        <v>1071</v>
      </c>
      <c r="M5387" s="564" t="s">
        <v>1091</v>
      </c>
      <c r="N5387" s="564" t="s">
        <v>132</v>
      </c>
      <c r="O5387" s="564" t="s">
        <v>241</v>
      </c>
      <c r="P5387" s="23"/>
      <c r="Q5387" s="23"/>
      <c r="R5387" s="23"/>
      <c r="S5387" s="23"/>
      <c r="T5387" s="23"/>
      <c r="U5387" s="23"/>
      <c r="V5387" s="23"/>
      <c r="W5387" s="23"/>
      <c r="X5387" s="23"/>
      <c r="Y5387" s="23"/>
      <c r="Z5387" s="23"/>
    </row>
    <row r="5388" spans="1:26" ht="13">
      <c r="A5388" s="562" t="s">
        <v>11539</v>
      </c>
      <c r="B5388" s="563" t="s">
        <v>11540</v>
      </c>
      <c r="C5388" s="564" t="s">
        <v>1103</v>
      </c>
      <c r="D5388" s="565">
        <v>42795</v>
      </c>
      <c r="E5388" s="565">
        <v>43159</v>
      </c>
      <c r="F5388" s="566">
        <v>8000000</v>
      </c>
      <c r="G5388" s="564" t="s">
        <v>1187</v>
      </c>
      <c r="H5388" s="564" t="s">
        <v>1187</v>
      </c>
      <c r="I5388" s="564" t="s">
        <v>70</v>
      </c>
      <c r="J5388" s="564" t="s">
        <v>1069</v>
      </c>
      <c r="K5388" s="564" t="s">
        <v>1120</v>
      </c>
      <c r="L5388" s="564" t="s">
        <v>1071</v>
      </c>
      <c r="M5388" s="564" t="s">
        <v>1091</v>
      </c>
      <c r="N5388" s="564" t="s">
        <v>70</v>
      </c>
      <c r="O5388" s="564" t="s">
        <v>241</v>
      </c>
      <c r="P5388" s="23"/>
      <c r="Q5388" s="23"/>
      <c r="R5388" s="23"/>
      <c r="S5388" s="23"/>
      <c r="T5388" s="23"/>
      <c r="U5388" s="23"/>
      <c r="V5388" s="23"/>
      <c r="W5388" s="23"/>
      <c r="X5388" s="23"/>
      <c r="Y5388" s="23"/>
      <c r="Z5388" s="23"/>
    </row>
    <row r="5389" spans="1:26" ht="13">
      <c r="A5389" s="562" t="s">
        <v>11541</v>
      </c>
      <c r="B5389" s="563" t="s">
        <v>11542</v>
      </c>
      <c r="C5389" s="564" t="s">
        <v>1370</v>
      </c>
      <c r="D5389" s="565">
        <v>42795</v>
      </c>
      <c r="E5389" s="565">
        <v>43159</v>
      </c>
      <c r="F5389" s="566">
        <v>1500000</v>
      </c>
      <c r="G5389" s="564" t="s">
        <v>1623</v>
      </c>
      <c r="H5389" s="564" t="s">
        <v>1623</v>
      </c>
      <c r="I5389" s="564" t="s">
        <v>802</v>
      </c>
      <c r="J5389" s="564" t="s">
        <v>1069</v>
      </c>
      <c r="K5389" s="564" t="s">
        <v>1198</v>
      </c>
      <c r="L5389" s="564" t="s">
        <v>1071</v>
      </c>
      <c r="M5389" s="564" t="s">
        <v>1091</v>
      </c>
      <c r="N5389" s="564" t="s">
        <v>132</v>
      </c>
      <c r="O5389" s="564" t="s">
        <v>241</v>
      </c>
      <c r="P5389" s="23"/>
      <c r="Q5389" s="23"/>
      <c r="R5389" s="23"/>
      <c r="S5389" s="23"/>
      <c r="T5389" s="23"/>
      <c r="U5389" s="23"/>
      <c r="V5389" s="23"/>
      <c r="W5389" s="23"/>
      <c r="X5389" s="23"/>
      <c r="Y5389" s="23"/>
      <c r="Z5389" s="23"/>
    </row>
    <row r="5390" spans="1:26" ht="13">
      <c r="A5390" s="562" t="s">
        <v>11543</v>
      </c>
      <c r="B5390" s="563" t="s">
        <v>11544</v>
      </c>
      <c r="C5390" s="564" t="s">
        <v>1255</v>
      </c>
      <c r="D5390" s="565">
        <v>42795</v>
      </c>
      <c r="E5390" s="565">
        <v>43159</v>
      </c>
      <c r="F5390" s="566">
        <v>7200000</v>
      </c>
      <c r="G5390" s="564" t="s">
        <v>1097</v>
      </c>
      <c r="H5390" s="564" t="s">
        <v>1123</v>
      </c>
      <c r="I5390" s="564" t="s">
        <v>143</v>
      </c>
      <c r="J5390" s="564" t="s">
        <v>1069</v>
      </c>
      <c r="K5390" s="564" t="s">
        <v>1205</v>
      </c>
      <c r="L5390" s="564" t="s">
        <v>1071</v>
      </c>
      <c r="M5390" s="564" t="s">
        <v>1091</v>
      </c>
      <c r="N5390" s="564" t="s">
        <v>1073</v>
      </c>
      <c r="O5390" s="564" t="s">
        <v>241</v>
      </c>
      <c r="P5390" s="23"/>
      <c r="Q5390" s="23"/>
      <c r="R5390" s="23"/>
      <c r="S5390" s="23"/>
      <c r="T5390" s="23"/>
      <c r="U5390" s="23"/>
      <c r="V5390" s="23"/>
      <c r="W5390" s="23"/>
      <c r="X5390" s="23"/>
      <c r="Y5390" s="23"/>
      <c r="Z5390" s="23"/>
    </row>
    <row r="5391" spans="1:26" ht="13">
      <c r="A5391" s="562" t="s">
        <v>11545</v>
      </c>
      <c r="B5391" s="563" t="s">
        <v>11546</v>
      </c>
      <c r="C5391" s="564" t="s">
        <v>1370</v>
      </c>
      <c r="D5391" s="565">
        <v>42736</v>
      </c>
      <c r="E5391" s="565">
        <v>43465</v>
      </c>
      <c r="F5391" s="566">
        <v>30518176</v>
      </c>
      <c r="G5391" s="564" t="s">
        <v>1623</v>
      </c>
      <c r="H5391" s="564" t="s">
        <v>1623</v>
      </c>
      <c r="I5391" s="564" t="s">
        <v>802</v>
      </c>
      <c r="J5391" s="564" t="s">
        <v>1069</v>
      </c>
      <c r="K5391" s="564" t="s">
        <v>1198</v>
      </c>
      <c r="L5391" s="564" t="s">
        <v>1071</v>
      </c>
      <c r="M5391" s="564" t="s">
        <v>1091</v>
      </c>
      <c r="N5391" s="564" t="s">
        <v>132</v>
      </c>
      <c r="O5391" s="564" t="s">
        <v>241</v>
      </c>
      <c r="P5391" s="23"/>
      <c r="Q5391" s="23"/>
      <c r="R5391" s="23"/>
      <c r="S5391" s="23"/>
      <c r="T5391" s="23"/>
      <c r="U5391" s="23"/>
      <c r="V5391" s="23"/>
      <c r="W5391" s="23"/>
      <c r="X5391" s="23"/>
      <c r="Y5391" s="23"/>
      <c r="Z5391" s="23"/>
    </row>
    <row r="5392" spans="1:26" ht="13">
      <c r="A5392" s="562" t="s">
        <v>11547</v>
      </c>
      <c r="B5392" s="563" t="s">
        <v>11548</v>
      </c>
      <c r="C5392" s="564" t="s">
        <v>2322</v>
      </c>
      <c r="D5392" s="565">
        <v>42786</v>
      </c>
      <c r="E5392" s="565">
        <v>43373</v>
      </c>
      <c r="F5392" s="566">
        <v>48000000</v>
      </c>
      <c r="G5392" s="564" t="s">
        <v>11273</v>
      </c>
      <c r="H5392" s="564" t="s">
        <v>5465</v>
      </c>
      <c r="I5392" s="564" t="s">
        <v>11549</v>
      </c>
      <c r="J5392" s="564" t="s">
        <v>1069</v>
      </c>
      <c r="K5392" s="564" t="s">
        <v>1070</v>
      </c>
      <c r="L5392" s="564" t="s">
        <v>1390</v>
      </c>
      <c r="M5392" s="564" t="s">
        <v>1390</v>
      </c>
      <c r="N5392" s="564" t="s">
        <v>1082</v>
      </c>
      <c r="O5392" s="564" t="s">
        <v>38</v>
      </c>
      <c r="P5392" s="23"/>
      <c r="Q5392" s="23"/>
      <c r="R5392" s="23"/>
      <c r="S5392" s="23"/>
      <c r="T5392" s="23"/>
      <c r="U5392" s="23"/>
      <c r="V5392" s="23"/>
      <c r="W5392" s="23"/>
      <c r="X5392" s="23"/>
      <c r="Y5392" s="23"/>
      <c r="Z5392" s="23"/>
    </row>
    <row r="5393" spans="1:26" ht="13">
      <c r="A5393" s="562" t="s">
        <v>11550</v>
      </c>
      <c r="B5393" s="563" t="s">
        <v>11551</v>
      </c>
      <c r="C5393" s="564" t="s">
        <v>1612</v>
      </c>
      <c r="D5393" s="565">
        <v>42781</v>
      </c>
      <c r="E5393" s="565">
        <v>42839</v>
      </c>
      <c r="F5393" s="566">
        <v>24800000</v>
      </c>
      <c r="G5393" s="564" t="s">
        <v>1563</v>
      </c>
      <c r="H5393" s="564" t="s">
        <v>1157</v>
      </c>
      <c r="I5393" s="564" t="s">
        <v>64</v>
      </c>
      <c r="J5393" s="564" t="s">
        <v>1069</v>
      </c>
      <c r="K5393" s="564" t="s">
        <v>1090</v>
      </c>
      <c r="L5393" s="564" t="s">
        <v>1390</v>
      </c>
      <c r="M5393" s="564" t="s">
        <v>1390</v>
      </c>
      <c r="N5393" s="564" t="s">
        <v>64</v>
      </c>
      <c r="O5393" s="564" t="s">
        <v>38</v>
      </c>
      <c r="P5393" s="23"/>
      <c r="Q5393" s="23"/>
      <c r="R5393" s="23"/>
      <c r="S5393" s="23"/>
      <c r="T5393" s="23"/>
      <c r="U5393" s="23"/>
      <c r="V5393" s="23"/>
      <c r="W5393" s="23"/>
      <c r="X5393" s="23"/>
      <c r="Y5393" s="23"/>
      <c r="Z5393" s="23"/>
    </row>
    <row r="5394" spans="1:26" ht="13">
      <c r="A5394" s="562" t="s">
        <v>11552</v>
      </c>
      <c r="B5394" s="563" t="s">
        <v>11553</v>
      </c>
      <c r="C5394" s="564" t="s">
        <v>3935</v>
      </c>
      <c r="D5394" s="565">
        <v>42790</v>
      </c>
      <c r="E5394" s="565">
        <v>42978</v>
      </c>
      <c r="F5394" s="566">
        <v>550000000</v>
      </c>
      <c r="G5394" s="564" t="s">
        <v>1912</v>
      </c>
      <c r="H5394" s="564" t="s">
        <v>1640</v>
      </c>
      <c r="I5394" s="564" t="s">
        <v>45</v>
      </c>
      <c r="J5394" s="564" t="s">
        <v>1069</v>
      </c>
      <c r="K5394" s="564" t="s">
        <v>1090</v>
      </c>
      <c r="L5394" s="564" t="s">
        <v>1390</v>
      </c>
      <c r="M5394" s="564" t="s">
        <v>1390</v>
      </c>
      <c r="N5394" s="564" t="s">
        <v>45</v>
      </c>
      <c r="O5394" s="564" t="s">
        <v>38</v>
      </c>
      <c r="P5394" s="23"/>
      <c r="Q5394" s="23"/>
      <c r="R5394" s="23"/>
      <c r="S5394" s="23"/>
      <c r="T5394" s="23"/>
      <c r="U5394" s="23"/>
      <c r="V5394" s="23"/>
      <c r="W5394" s="23"/>
      <c r="X5394" s="23"/>
      <c r="Y5394" s="23"/>
      <c r="Z5394" s="23"/>
    </row>
    <row r="5395" spans="1:26" ht="13">
      <c r="A5395" s="562" t="s">
        <v>11554</v>
      </c>
      <c r="B5395" s="563" t="s">
        <v>11555</v>
      </c>
      <c r="C5395" s="564" t="s">
        <v>1255</v>
      </c>
      <c r="D5395" s="565">
        <v>42795</v>
      </c>
      <c r="E5395" s="565">
        <v>43159</v>
      </c>
      <c r="F5395" s="566">
        <v>17781818</v>
      </c>
      <c r="G5395" s="564" t="s">
        <v>1097</v>
      </c>
      <c r="H5395" s="564" t="s">
        <v>1123</v>
      </c>
      <c r="I5395" s="564" t="s">
        <v>143</v>
      </c>
      <c r="J5395" s="564" t="s">
        <v>1069</v>
      </c>
      <c r="K5395" s="564" t="s">
        <v>1205</v>
      </c>
      <c r="L5395" s="564" t="s">
        <v>1071</v>
      </c>
      <c r="M5395" s="564" t="s">
        <v>1091</v>
      </c>
      <c r="N5395" s="564" t="s">
        <v>1073</v>
      </c>
      <c r="O5395" s="564" t="s">
        <v>241</v>
      </c>
      <c r="P5395" s="23"/>
      <c r="Q5395" s="23"/>
      <c r="R5395" s="23"/>
      <c r="S5395" s="23"/>
      <c r="T5395" s="23"/>
      <c r="U5395" s="23"/>
      <c r="V5395" s="23"/>
      <c r="W5395" s="23"/>
      <c r="X5395" s="23"/>
      <c r="Y5395" s="23"/>
      <c r="Z5395" s="23"/>
    </row>
    <row r="5396" spans="1:26" ht="13">
      <c r="A5396" s="562" t="s">
        <v>11556</v>
      </c>
      <c r="B5396" s="563" t="s">
        <v>11557</v>
      </c>
      <c r="C5396" s="564" t="s">
        <v>1255</v>
      </c>
      <c r="D5396" s="565">
        <v>42795</v>
      </c>
      <c r="E5396" s="565">
        <v>43159</v>
      </c>
      <c r="F5396" s="566">
        <v>29400000</v>
      </c>
      <c r="G5396" s="564" t="s">
        <v>1097</v>
      </c>
      <c r="H5396" s="564" t="s">
        <v>1123</v>
      </c>
      <c r="I5396" s="564" t="s">
        <v>143</v>
      </c>
      <c r="J5396" s="564" t="s">
        <v>1069</v>
      </c>
      <c r="K5396" s="564" t="s">
        <v>1205</v>
      </c>
      <c r="L5396" s="564" t="s">
        <v>1071</v>
      </c>
      <c r="M5396" s="564" t="s">
        <v>1091</v>
      </c>
      <c r="N5396" s="564" t="s">
        <v>1073</v>
      </c>
      <c r="O5396" s="564" t="s">
        <v>241</v>
      </c>
      <c r="P5396" s="23"/>
      <c r="Q5396" s="23"/>
      <c r="R5396" s="23"/>
      <c r="S5396" s="23"/>
      <c r="T5396" s="23"/>
      <c r="U5396" s="23"/>
      <c r="V5396" s="23"/>
      <c r="W5396" s="23"/>
      <c r="X5396" s="23"/>
      <c r="Y5396" s="23"/>
      <c r="Z5396" s="23"/>
    </row>
    <row r="5397" spans="1:26" ht="13">
      <c r="A5397" s="562" t="s">
        <v>11558</v>
      </c>
      <c r="B5397" s="563" t="s">
        <v>11559</v>
      </c>
      <c r="C5397" s="564" t="s">
        <v>1873</v>
      </c>
      <c r="D5397" s="565">
        <v>42781</v>
      </c>
      <c r="E5397" s="565">
        <v>42869</v>
      </c>
      <c r="F5397" s="566">
        <v>56000000</v>
      </c>
      <c r="G5397" s="564" t="s">
        <v>2492</v>
      </c>
      <c r="H5397" s="564" t="s">
        <v>1157</v>
      </c>
      <c r="I5397" s="564" t="s">
        <v>170</v>
      </c>
      <c r="J5397" s="564" t="s">
        <v>1069</v>
      </c>
      <c r="K5397" s="564" t="s">
        <v>1105</v>
      </c>
      <c r="L5397" s="564" t="s">
        <v>1390</v>
      </c>
      <c r="M5397" s="564" t="s">
        <v>1390</v>
      </c>
      <c r="N5397" s="564" t="s">
        <v>170</v>
      </c>
      <c r="O5397" s="564" t="s">
        <v>38</v>
      </c>
      <c r="P5397" s="23"/>
      <c r="Q5397" s="23"/>
      <c r="R5397" s="23"/>
      <c r="S5397" s="23"/>
      <c r="T5397" s="23"/>
      <c r="U5397" s="23"/>
      <c r="V5397" s="23"/>
      <c r="W5397" s="23"/>
      <c r="X5397" s="23"/>
      <c r="Y5397" s="23"/>
      <c r="Z5397" s="23"/>
    </row>
    <row r="5398" spans="1:26" ht="13">
      <c r="A5398" s="562" t="s">
        <v>11560</v>
      </c>
      <c r="B5398" s="563" t="s">
        <v>11561</v>
      </c>
      <c r="C5398" s="564" t="s">
        <v>1475</v>
      </c>
      <c r="D5398" s="565">
        <v>42760</v>
      </c>
      <c r="E5398" s="565">
        <v>43131</v>
      </c>
      <c r="F5398" s="566">
        <v>6680000000</v>
      </c>
      <c r="G5398" s="564" t="s">
        <v>1131</v>
      </c>
      <c r="H5398" s="564" t="s">
        <v>2459</v>
      </c>
      <c r="I5398" s="564" t="s">
        <v>11562</v>
      </c>
      <c r="J5398" s="564" t="s">
        <v>1069</v>
      </c>
      <c r="K5398" s="564" t="s">
        <v>2878</v>
      </c>
      <c r="L5398" s="564" t="s">
        <v>1390</v>
      </c>
      <c r="M5398" s="564" t="s">
        <v>1390</v>
      </c>
      <c r="N5398" s="564" t="s">
        <v>1082</v>
      </c>
      <c r="O5398" s="564" t="s">
        <v>38</v>
      </c>
      <c r="P5398" s="23"/>
      <c r="Q5398" s="23"/>
      <c r="R5398" s="23"/>
      <c r="S5398" s="23"/>
      <c r="T5398" s="23"/>
      <c r="U5398" s="23"/>
      <c r="V5398" s="23"/>
      <c r="W5398" s="23"/>
      <c r="X5398" s="23"/>
      <c r="Y5398" s="23"/>
      <c r="Z5398" s="23"/>
    </row>
    <row r="5399" spans="1:26" ht="13">
      <c r="A5399" s="562" t="s">
        <v>11563</v>
      </c>
      <c r="B5399" s="563" t="s">
        <v>11564</v>
      </c>
      <c r="C5399" s="564" t="s">
        <v>1103</v>
      </c>
      <c r="D5399" s="565">
        <v>42767</v>
      </c>
      <c r="E5399" s="565">
        <v>43131</v>
      </c>
      <c r="F5399" s="566">
        <v>15061000</v>
      </c>
      <c r="G5399" s="564" t="s">
        <v>11000</v>
      </c>
      <c r="H5399" s="564" t="s">
        <v>1187</v>
      </c>
      <c r="I5399" s="564" t="s">
        <v>70</v>
      </c>
      <c r="J5399" s="564" t="s">
        <v>1069</v>
      </c>
      <c r="K5399" s="564" t="s">
        <v>1120</v>
      </c>
      <c r="L5399" s="564" t="s">
        <v>1071</v>
      </c>
      <c r="M5399" s="564" t="s">
        <v>1091</v>
      </c>
      <c r="N5399" s="564" t="s">
        <v>70</v>
      </c>
      <c r="O5399" s="564" t="s">
        <v>241</v>
      </c>
      <c r="P5399" s="23"/>
      <c r="Q5399" s="23"/>
      <c r="R5399" s="23"/>
      <c r="S5399" s="23"/>
      <c r="T5399" s="23"/>
      <c r="U5399" s="23"/>
      <c r="V5399" s="23"/>
      <c r="W5399" s="23"/>
      <c r="X5399" s="23"/>
      <c r="Y5399" s="23"/>
      <c r="Z5399" s="23"/>
    </row>
    <row r="5400" spans="1:26" ht="13">
      <c r="A5400" s="562" t="s">
        <v>11565</v>
      </c>
      <c r="B5400" s="563" t="s">
        <v>11566</v>
      </c>
      <c r="C5400" s="564" t="s">
        <v>1873</v>
      </c>
      <c r="D5400" s="565">
        <v>42737</v>
      </c>
      <c r="E5400" s="565">
        <v>42794</v>
      </c>
      <c r="F5400" s="566">
        <v>60000000</v>
      </c>
      <c r="G5400" s="564" t="s">
        <v>2492</v>
      </c>
      <c r="H5400" s="564" t="s">
        <v>1157</v>
      </c>
      <c r="I5400" s="564" t="s">
        <v>170</v>
      </c>
      <c r="J5400" s="564" t="s">
        <v>1069</v>
      </c>
      <c r="K5400" s="564" t="s">
        <v>1105</v>
      </c>
      <c r="L5400" s="564" t="s">
        <v>1390</v>
      </c>
      <c r="M5400" s="564" t="s">
        <v>1390</v>
      </c>
      <c r="N5400" s="564" t="s">
        <v>170</v>
      </c>
      <c r="O5400" s="564" t="s">
        <v>38</v>
      </c>
      <c r="P5400" s="23"/>
      <c r="Q5400" s="23"/>
      <c r="R5400" s="23"/>
      <c r="S5400" s="23"/>
      <c r="T5400" s="23"/>
      <c r="U5400" s="23"/>
      <c r="V5400" s="23"/>
      <c r="W5400" s="23"/>
      <c r="X5400" s="23"/>
      <c r="Y5400" s="23"/>
      <c r="Z5400" s="23"/>
    </row>
    <row r="5401" spans="1:26" ht="13">
      <c r="A5401" s="562" t="s">
        <v>11567</v>
      </c>
      <c r="B5401" s="563" t="s">
        <v>11568</v>
      </c>
      <c r="C5401" s="564" t="s">
        <v>1255</v>
      </c>
      <c r="D5401" s="565">
        <v>42736</v>
      </c>
      <c r="E5401" s="565">
        <v>43100</v>
      </c>
      <c r="F5401" s="566">
        <v>29290000</v>
      </c>
      <c r="G5401" s="564" t="s">
        <v>1097</v>
      </c>
      <c r="H5401" s="564" t="s">
        <v>1123</v>
      </c>
      <c r="I5401" s="564" t="s">
        <v>143</v>
      </c>
      <c r="J5401" s="564" t="s">
        <v>1069</v>
      </c>
      <c r="K5401" s="564" t="s">
        <v>1205</v>
      </c>
      <c r="L5401" s="564" t="s">
        <v>1071</v>
      </c>
      <c r="M5401" s="564" t="s">
        <v>1091</v>
      </c>
      <c r="N5401" s="564" t="s">
        <v>1073</v>
      </c>
      <c r="O5401" s="564" t="s">
        <v>241</v>
      </c>
      <c r="P5401" s="23"/>
      <c r="Q5401" s="23"/>
      <c r="R5401" s="23"/>
      <c r="S5401" s="23"/>
      <c r="T5401" s="23"/>
      <c r="U5401" s="23"/>
      <c r="V5401" s="23"/>
      <c r="W5401" s="23"/>
      <c r="X5401" s="23"/>
      <c r="Y5401" s="23"/>
      <c r="Z5401" s="23"/>
    </row>
    <row r="5402" spans="1:26" ht="13">
      <c r="A5402" s="562" t="s">
        <v>11569</v>
      </c>
      <c r="B5402" s="563" t="s">
        <v>11570</v>
      </c>
      <c r="C5402" s="564" t="s">
        <v>2437</v>
      </c>
      <c r="D5402" s="565">
        <v>42731</v>
      </c>
      <c r="E5402" s="565">
        <v>43312</v>
      </c>
      <c r="F5402" s="566">
        <v>1988708000</v>
      </c>
      <c r="G5402" s="564" t="s">
        <v>1604</v>
      </c>
      <c r="H5402" s="564" t="s">
        <v>2459</v>
      </c>
      <c r="I5402" s="564" t="s">
        <v>11571</v>
      </c>
      <c r="J5402" s="564" t="s">
        <v>1069</v>
      </c>
      <c r="K5402" s="564" t="s">
        <v>2430</v>
      </c>
      <c r="L5402" s="564" t="s">
        <v>1071</v>
      </c>
      <c r="M5402" s="564" t="s">
        <v>1124</v>
      </c>
      <c r="N5402" s="564" t="s">
        <v>1082</v>
      </c>
      <c r="O5402" s="564" t="s">
        <v>38</v>
      </c>
      <c r="P5402" s="23"/>
      <c r="Q5402" s="23"/>
      <c r="R5402" s="23"/>
      <c r="S5402" s="23"/>
      <c r="T5402" s="23"/>
      <c r="U5402" s="23"/>
      <c r="V5402" s="23"/>
      <c r="W5402" s="23"/>
      <c r="X5402" s="23"/>
      <c r="Y5402" s="23"/>
      <c r="Z5402" s="23"/>
    </row>
    <row r="5403" spans="1:26" ht="13">
      <c r="A5403" s="562" t="s">
        <v>11572</v>
      </c>
      <c r="B5403" s="563" t="s">
        <v>11573</v>
      </c>
      <c r="C5403" s="564" t="s">
        <v>1612</v>
      </c>
      <c r="D5403" s="565">
        <v>42675</v>
      </c>
      <c r="E5403" s="565">
        <v>43039</v>
      </c>
      <c r="F5403" s="566">
        <v>217648000</v>
      </c>
      <c r="G5403" s="564" t="s">
        <v>3688</v>
      </c>
      <c r="H5403" s="564" t="s">
        <v>1636</v>
      </c>
      <c r="I5403" s="564" t="s">
        <v>1637</v>
      </c>
      <c r="J5403" s="564" t="s">
        <v>1069</v>
      </c>
      <c r="K5403" s="564" t="s">
        <v>1120</v>
      </c>
      <c r="L5403" s="564" t="s">
        <v>1071</v>
      </c>
      <c r="M5403" s="564" t="s">
        <v>1091</v>
      </c>
      <c r="N5403" s="564" t="s">
        <v>1073</v>
      </c>
      <c r="O5403" s="564" t="s">
        <v>241</v>
      </c>
      <c r="P5403" s="23"/>
      <c r="Q5403" s="23"/>
      <c r="R5403" s="23"/>
      <c r="S5403" s="23"/>
      <c r="T5403" s="23"/>
      <c r="U5403" s="23"/>
      <c r="V5403" s="23"/>
      <c r="W5403" s="23"/>
      <c r="X5403" s="23"/>
      <c r="Y5403" s="23"/>
      <c r="Z5403" s="23"/>
    </row>
    <row r="5404" spans="1:26" ht="13">
      <c r="A5404" s="562" t="s">
        <v>11574</v>
      </c>
      <c r="B5404" s="563" t="s">
        <v>11575</v>
      </c>
      <c r="C5404" s="564" t="s">
        <v>1873</v>
      </c>
      <c r="D5404" s="565">
        <v>42705</v>
      </c>
      <c r="E5404" s="565">
        <v>42794</v>
      </c>
      <c r="F5404" s="566">
        <v>65800000</v>
      </c>
      <c r="G5404" s="564" t="s">
        <v>2492</v>
      </c>
      <c r="H5404" s="564" t="s">
        <v>1157</v>
      </c>
      <c r="I5404" s="564" t="s">
        <v>170</v>
      </c>
      <c r="J5404" s="564" t="s">
        <v>1069</v>
      </c>
      <c r="K5404" s="564" t="s">
        <v>1105</v>
      </c>
      <c r="L5404" s="564" t="s">
        <v>1390</v>
      </c>
      <c r="M5404" s="564" t="s">
        <v>1390</v>
      </c>
      <c r="N5404" s="564" t="s">
        <v>170</v>
      </c>
      <c r="O5404" s="564" t="s">
        <v>38</v>
      </c>
      <c r="P5404" s="23"/>
      <c r="Q5404" s="23"/>
      <c r="R5404" s="23"/>
      <c r="S5404" s="23"/>
      <c r="T5404" s="23"/>
      <c r="U5404" s="23"/>
      <c r="V5404" s="23"/>
      <c r="W5404" s="23"/>
      <c r="X5404" s="23"/>
      <c r="Y5404" s="23"/>
      <c r="Z5404" s="23"/>
    </row>
    <row r="5405" spans="1:26" ht="13">
      <c r="A5405" s="562" t="s">
        <v>11576</v>
      </c>
      <c r="B5405" s="563" t="s">
        <v>11577</v>
      </c>
      <c r="C5405" s="564" t="s">
        <v>2437</v>
      </c>
      <c r="D5405" s="565">
        <v>42689</v>
      </c>
      <c r="E5405" s="565">
        <v>42734</v>
      </c>
      <c r="F5405" s="566">
        <v>49820000</v>
      </c>
      <c r="G5405" s="564" t="s">
        <v>5844</v>
      </c>
      <c r="H5405" s="564" t="s">
        <v>5844</v>
      </c>
      <c r="I5405" s="564" t="s">
        <v>11578</v>
      </c>
      <c r="J5405" s="564" t="s">
        <v>1069</v>
      </c>
      <c r="K5405" s="564" t="s">
        <v>1209</v>
      </c>
      <c r="L5405" s="564" t="s">
        <v>1071</v>
      </c>
      <c r="M5405" s="564" t="s">
        <v>1124</v>
      </c>
      <c r="N5405" s="564" t="s">
        <v>2325</v>
      </c>
      <c r="O5405" s="564" t="s">
        <v>38</v>
      </c>
      <c r="P5405" s="23"/>
      <c r="Q5405" s="23"/>
      <c r="R5405" s="23"/>
      <c r="S5405" s="23"/>
      <c r="T5405" s="23"/>
      <c r="U5405" s="23"/>
      <c r="V5405" s="23"/>
      <c r="W5405" s="23"/>
      <c r="X5405" s="23"/>
      <c r="Y5405" s="23"/>
      <c r="Z5405" s="23"/>
    </row>
    <row r="5406" spans="1:26" ht="13">
      <c r="A5406" s="562" t="s">
        <v>11579</v>
      </c>
      <c r="B5406" s="563" t="s">
        <v>11580</v>
      </c>
      <c r="C5406" s="564" t="s">
        <v>1612</v>
      </c>
      <c r="D5406" s="565">
        <v>42675</v>
      </c>
      <c r="E5406" s="565">
        <v>43039</v>
      </c>
      <c r="F5406" s="566">
        <v>13800000</v>
      </c>
      <c r="G5406" s="564" t="s">
        <v>11164</v>
      </c>
      <c r="H5406" s="564" t="s">
        <v>1187</v>
      </c>
      <c r="I5406" s="564" t="s">
        <v>70</v>
      </c>
      <c r="J5406" s="564" t="s">
        <v>1069</v>
      </c>
      <c r="K5406" s="564" t="s">
        <v>1120</v>
      </c>
      <c r="L5406" s="564" t="s">
        <v>1071</v>
      </c>
      <c r="M5406" s="564" t="s">
        <v>1091</v>
      </c>
      <c r="N5406" s="564" t="s">
        <v>70</v>
      </c>
      <c r="O5406" s="564" t="s">
        <v>241</v>
      </c>
      <c r="P5406" s="23"/>
      <c r="Q5406" s="23"/>
      <c r="R5406" s="23"/>
      <c r="S5406" s="23"/>
      <c r="T5406" s="23"/>
      <c r="U5406" s="23"/>
      <c r="V5406" s="23"/>
      <c r="W5406" s="23"/>
      <c r="X5406" s="23"/>
      <c r="Y5406" s="23"/>
      <c r="Z5406" s="23"/>
    </row>
    <row r="5407" spans="1:26" ht="13">
      <c r="A5407" s="562" t="s">
        <v>11581</v>
      </c>
      <c r="B5407" s="563" t="s">
        <v>11582</v>
      </c>
      <c r="C5407" s="564" t="s">
        <v>1612</v>
      </c>
      <c r="D5407" s="565">
        <v>42675</v>
      </c>
      <c r="E5407" s="565">
        <v>42795</v>
      </c>
      <c r="F5407" s="566">
        <v>30250000</v>
      </c>
      <c r="G5407" s="564" t="s">
        <v>1266</v>
      </c>
      <c r="H5407" s="564" t="s">
        <v>11583</v>
      </c>
      <c r="I5407" s="564" t="s">
        <v>11584</v>
      </c>
      <c r="J5407" s="564" t="s">
        <v>1069</v>
      </c>
      <c r="K5407" s="564" t="s">
        <v>1090</v>
      </c>
      <c r="L5407" s="564" t="s">
        <v>1390</v>
      </c>
      <c r="M5407" s="564" t="s">
        <v>1390</v>
      </c>
      <c r="N5407" s="564" t="s">
        <v>1082</v>
      </c>
      <c r="O5407" s="564" t="s">
        <v>38</v>
      </c>
      <c r="P5407" s="23"/>
      <c r="Q5407" s="23"/>
      <c r="R5407" s="23"/>
      <c r="S5407" s="23"/>
      <c r="T5407" s="23"/>
      <c r="U5407" s="23"/>
      <c r="V5407" s="23"/>
      <c r="W5407" s="23"/>
      <c r="X5407" s="23"/>
      <c r="Y5407" s="23"/>
      <c r="Z5407" s="23"/>
    </row>
    <row r="5408" spans="1:26" ht="13">
      <c r="A5408" s="562" t="s">
        <v>11585</v>
      </c>
      <c r="B5408" s="563" t="s">
        <v>11586</v>
      </c>
      <c r="C5408" s="564" t="s">
        <v>1612</v>
      </c>
      <c r="D5408" s="565">
        <v>42644</v>
      </c>
      <c r="E5408" s="565">
        <v>42766</v>
      </c>
      <c r="F5408" s="566">
        <v>64200000</v>
      </c>
      <c r="G5408" s="564" t="s">
        <v>11587</v>
      </c>
      <c r="H5408" s="564" t="s">
        <v>1640</v>
      </c>
      <c r="I5408" s="564" t="s">
        <v>64</v>
      </c>
      <c r="J5408" s="564" t="s">
        <v>1069</v>
      </c>
      <c r="K5408" s="564" t="s">
        <v>1090</v>
      </c>
      <c r="L5408" s="564" t="s">
        <v>1390</v>
      </c>
      <c r="M5408" s="564" t="s">
        <v>1390</v>
      </c>
      <c r="N5408" s="564" t="s">
        <v>64</v>
      </c>
      <c r="O5408" s="564" t="s">
        <v>38</v>
      </c>
      <c r="P5408" s="23"/>
      <c r="Q5408" s="23"/>
      <c r="R5408" s="23"/>
      <c r="S5408" s="23"/>
      <c r="T5408" s="23"/>
      <c r="U5408" s="23"/>
      <c r="V5408" s="23"/>
      <c r="W5408" s="23"/>
      <c r="X5408" s="23"/>
      <c r="Y5408" s="23"/>
      <c r="Z5408" s="23"/>
    </row>
    <row r="5409" spans="1:26" ht="13">
      <c r="A5409" s="562" t="s">
        <v>11588</v>
      </c>
      <c r="B5409" s="563" t="s">
        <v>11589</v>
      </c>
      <c r="C5409" s="564" t="s">
        <v>2437</v>
      </c>
      <c r="D5409" s="565">
        <v>42675</v>
      </c>
      <c r="E5409" s="565">
        <v>43039</v>
      </c>
      <c r="F5409" s="566">
        <v>12000000</v>
      </c>
      <c r="G5409" s="564" t="s">
        <v>10789</v>
      </c>
      <c r="H5409" s="564" t="s">
        <v>1529</v>
      </c>
      <c r="I5409" s="564" t="s">
        <v>1417</v>
      </c>
      <c r="J5409" s="564" t="s">
        <v>1069</v>
      </c>
      <c r="K5409" s="564" t="s">
        <v>1070</v>
      </c>
      <c r="L5409" s="564" t="s">
        <v>1071</v>
      </c>
      <c r="M5409" s="564" t="s">
        <v>1091</v>
      </c>
      <c r="N5409" s="564" t="s">
        <v>1082</v>
      </c>
      <c r="O5409" s="564" t="s">
        <v>241</v>
      </c>
      <c r="P5409" s="23"/>
      <c r="Q5409" s="23"/>
      <c r="R5409" s="23"/>
      <c r="S5409" s="23"/>
      <c r="T5409" s="23"/>
      <c r="U5409" s="23"/>
      <c r="V5409" s="23"/>
      <c r="W5409" s="23"/>
      <c r="X5409" s="23"/>
      <c r="Y5409" s="23"/>
      <c r="Z5409" s="23"/>
    </row>
    <row r="5410" spans="1:26" ht="13">
      <c r="A5410" s="562" t="s">
        <v>11590</v>
      </c>
      <c r="B5410" s="563" t="s">
        <v>11591</v>
      </c>
      <c r="C5410" s="564" t="s">
        <v>1612</v>
      </c>
      <c r="D5410" s="565">
        <v>42634</v>
      </c>
      <c r="E5410" s="565">
        <v>42694</v>
      </c>
      <c r="F5410" s="566">
        <v>44800000</v>
      </c>
      <c r="G5410" s="564" t="s">
        <v>5844</v>
      </c>
      <c r="H5410" s="564" t="s">
        <v>5844</v>
      </c>
      <c r="I5410" s="564" t="s">
        <v>1628</v>
      </c>
      <c r="J5410" s="564" t="s">
        <v>1069</v>
      </c>
      <c r="K5410" s="564" t="s">
        <v>1105</v>
      </c>
      <c r="L5410" s="564" t="s">
        <v>1071</v>
      </c>
      <c r="M5410" s="564" t="s">
        <v>1124</v>
      </c>
      <c r="N5410" s="564" t="s">
        <v>1073</v>
      </c>
      <c r="O5410" s="564" t="s">
        <v>38</v>
      </c>
      <c r="P5410" s="23"/>
      <c r="Q5410" s="23"/>
      <c r="R5410" s="23"/>
      <c r="S5410" s="23"/>
      <c r="T5410" s="23"/>
      <c r="U5410" s="23"/>
      <c r="V5410" s="23"/>
      <c r="W5410" s="23"/>
      <c r="X5410" s="23"/>
      <c r="Y5410" s="23"/>
      <c r="Z5410" s="23"/>
    </row>
    <row r="5411" spans="1:26" ht="13">
      <c r="A5411" s="562" t="s">
        <v>11592</v>
      </c>
      <c r="B5411" s="563" t="s">
        <v>11593</v>
      </c>
      <c r="C5411" s="564" t="s">
        <v>2437</v>
      </c>
      <c r="D5411" s="565">
        <v>42639</v>
      </c>
      <c r="E5411" s="565">
        <v>42735</v>
      </c>
      <c r="F5411" s="566">
        <v>20000000</v>
      </c>
      <c r="G5411" s="564" t="s">
        <v>10823</v>
      </c>
      <c r="H5411" s="564" t="s">
        <v>1157</v>
      </c>
      <c r="I5411" s="564" t="s">
        <v>11594</v>
      </c>
      <c r="J5411" s="564" t="s">
        <v>1069</v>
      </c>
      <c r="K5411" s="564" t="s">
        <v>1105</v>
      </c>
      <c r="L5411" s="564" t="s">
        <v>1390</v>
      </c>
      <c r="M5411" s="564" t="s">
        <v>1390</v>
      </c>
      <c r="N5411" s="564" t="s">
        <v>1082</v>
      </c>
      <c r="O5411" s="564" t="s">
        <v>38</v>
      </c>
      <c r="P5411" s="23"/>
      <c r="Q5411" s="23"/>
      <c r="R5411" s="23"/>
      <c r="S5411" s="23"/>
      <c r="T5411" s="23"/>
      <c r="U5411" s="23"/>
      <c r="V5411" s="23"/>
      <c r="W5411" s="23"/>
      <c r="X5411" s="23"/>
      <c r="Y5411" s="23"/>
      <c r="Z5411" s="23"/>
    </row>
    <row r="5412" spans="1:26" ht="13">
      <c r="A5412" s="562" t="s">
        <v>11595</v>
      </c>
      <c r="B5412" s="563" t="s">
        <v>11596</v>
      </c>
      <c r="C5412" s="564" t="s">
        <v>2437</v>
      </c>
      <c r="D5412" s="565">
        <v>42639</v>
      </c>
      <c r="E5412" s="565">
        <v>42735</v>
      </c>
      <c r="F5412" s="566">
        <v>20000000</v>
      </c>
      <c r="G5412" s="564" t="s">
        <v>10823</v>
      </c>
      <c r="H5412" s="564" t="s">
        <v>1157</v>
      </c>
      <c r="I5412" s="564" t="s">
        <v>11597</v>
      </c>
      <c r="J5412" s="564" t="s">
        <v>1069</v>
      </c>
      <c r="K5412" s="564" t="s">
        <v>1105</v>
      </c>
      <c r="L5412" s="564" t="s">
        <v>1390</v>
      </c>
      <c r="M5412" s="564" t="s">
        <v>1390</v>
      </c>
      <c r="N5412" s="564" t="s">
        <v>1082</v>
      </c>
      <c r="O5412" s="564" t="s">
        <v>38</v>
      </c>
      <c r="P5412" s="23"/>
      <c r="Q5412" s="23"/>
      <c r="R5412" s="23"/>
      <c r="S5412" s="23"/>
      <c r="T5412" s="23"/>
      <c r="U5412" s="23"/>
      <c r="V5412" s="23"/>
      <c r="W5412" s="23"/>
      <c r="X5412" s="23"/>
      <c r="Y5412" s="23"/>
      <c r="Z5412" s="23"/>
    </row>
    <row r="5413" spans="1:26" ht="13">
      <c r="A5413" s="562" t="s">
        <v>11598</v>
      </c>
      <c r="B5413" s="563" t="s">
        <v>11599</v>
      </c>
      <c r="C5413" s="564" t="s">
        <v>2437</v>
      </c>
      <c r="D5413" s="565">
        <v>42639</v>
      </c>
      <c r="E5413" s="565">
        <v>42735</v>
      </c>
      <c r="F5413" s="566">
        <v>20000000</v>
      </c>
      <c r="G5413" s="564" t="s">
        <v>10823</v>
      </c>
      <c r="H5413" s="564" t="s">
        <v>1157</v>
      </c>
      <c r="I5413" s="564" t="s">
        <v>11600</v>
      </c>
      <c r="J5413" s="564" t="s">
        <v>1069</v>
      </c>
      <c r="K5413" s="564" t="s">
        <v>1105</v>
      </c>
      <c r="L5413" s="564" t="s">
        <v>1390</v>
      </c>
      <c r="M5413" s="564" t="s">
        <v>1390</v>
      </c>
      <c r="N5413" s="564" t="s">
        <v>1082</v>
      </c>
      <c r="O5413" s="564" t="s">
        <v>38</v>
      </c>
      <c r="P5413" s="23"/>
      <c r="Q5413" s="23"/>
      <c r="R5413" s="23"/>
      <c r="S5413" s="23"/>
      <c r="T5413" s="23"/>
      <c r="U5413" s="23"/>
      <c r="V5413" s="23"/>
      <c r="W5413" s="23"/>
      <c r="X5413" s="23"/>
      <c r="Y5413" s="23"/>
      <c r="Z5413" s="23"/>
    </row>
    <row r="5414" spans="1:26" ht="13">
      <c r="A5414" s="562" t="s">
        <v>11601</v>
      </c>
      <c r="B5414" s="563" t="s">
        <v>11602</v>
      </c>
      <c r="C5414" s="564" t="s">
        <v>1612</v>
      </c>
      <c r="D5414" s="565">
        <v>42639</v>
      </c>
      <c r="E5414" s="565">
        <v>42685</v>
      </c>
      <c r="F5414" s="566">
        <v>9000000</v>
      </c>
      <c r="G5414" s="564" t="s">
        <v>10823</v>
      </c>
      <c r="H5414" s="564" t="s">
        <v>1157</v>
      </c>
      <c r="I5414" s="564" t="s">
        <v>11600</v>
      </c>
      <c r="J5414" s="564" t="s">
        <v>1069</v>
      </c>
      <c r="K5414" s="564" t="s">
        <v>1105</v>
      </c>
      <c r="L5414" s="564" t="s">
        <v>1390</v>
      </c>
      <c r="M5414" s="564" t="s">
        <v>1390</v>
      </c>
      <c r="N5414" s="564" t="s">
        <v>1082</v>
      </c>
      <c r="O5414" s="564" t="s">
        <v>38</v>
      </c>
      <c r="P5414" s="23"/>
      <c r="Q5414" s="23"/>
      <c r="R5414" s="23"/>
      <c r="S5414" s="23"/>
      <c r="T5414" s="23"/>
      <c r="U5414" s="23"/>
      <c r="V5414" s="23"/>
      <c r="W5414" s="23"/>
      <c r="X5414" s="23"/>
      <c r="Y5414" s="23"/>
      <c r="Z5414" s="23"/>
    </row>
    <row r="5415" spans="1:26" ht="13">
      <c r="A5415" s="562" t="s">
        <v>11603</v>
      </c>
      <c r="B5415" s="563" t="s">
        <v>11604</v>
      </c>
      <c r="C5415" s="564" t="s">
        <v>1612</v>
      </c>
      <c r="D5415" s="565">
        <v>42614</v>
      </c>
      <c r="E5415" s="565">
        <v>42978</v>
      </c>
      <c r="F5415" s="566">
        <v>7961000</v>
      </c>
      <c r="G5415" s="564" t="s">
        <v>1330</v>
      </c>
      <c r="H5415" s="564" t="s">
        <v>1187</v>
      </c>
      <c r="I5415" s="564" t="s">
        <v>70</v>
      </c>
      <c r="J5415" s="564" t="s">
        <v>1069</v>
      </c>
      <c r="K5415" s="564" t="s">
        <v>1120</v>
      </c>
      <c r="L5415" s="564" t="s">
        <v>1071</v>
      </c>
      <c r="M5415" s="564" t="s">
        <v>1091</v>
      </c>
      <c r="N5415" s="564" t="s">
        <v>70</v>
      </c>
      <c r="O5415" s="564" t="s">
        <v>241</v>
      </c>
      <c r="P5415" s="23"/>
      <c r="Q5415" s="23"/>
      <c r="R5415" s="23"/>
      <c r="S5415" s="23"/>
      <c r="T5415" s="23"/>
      <c r="U5415" s="23"/>
      <c r="V5415" s="23"/>
      <c r="W5415" s="23"/>
      <c r="X5415" s="23"/>
      <c r="Y5415" s="23"/>
      <c r="Z5415" s="23"/>
    </row>
    <row r="5416" spans="1:26" ht="13">
      <c r="A5416" s="562" t="s">
        <v>11605</v>
      </c>
      <c r="B5416" s="563" t="s">
        <v>11606</v>
      </c>
      <c r="C5416" s="564" t="s">
        <v>2322</v>
      </c>
      <c r="D5416" s="565">
        <v>42612</v>
      </c>
      <c r="E5416" s="565">
        <v>43465</v>
      </c>
      <c r="F5416" s="566">
        <v>90000000</v>
      </c>
      <c r="G5416" s="564" t="s">
        <v>11273</v>
      </c>
      <c r="H5416" s="564" t="s">
        <v>5465</v>
      </c>
      <c r="I5416" s="564" t="s">
        <v>11109</v>
      </c>
      <c r="J5416" s="564" t="s">
        <v>1069</v>
      </c>
      <c r="K5416" s="564" t="s">
        <v>1105</v>
      </c>
      <c r="L5416" s="564" t="s">
        <v>1390</v>
      </c>
      <c r="M5416" s="564" t="s">
        <v>1390</v>
      </c>
      <c r="N5416" s="564" t="s">
        <v>1082</v>
      </c>
      <c r="O5416" s="564" t="s">
        <v>38</v>
      </c>
      <c r="P5416" s="23"/>
      <c r="Q5416" s="23"/>
      <c r="R5416" s="23"/>
      <c r="S5416" s="23"/>
      <c r="T5416" s="23"/>
      <c r="U5416" s="23"/>
      <c r="V5416" s="23"/>
      <c r="W5416" s="23"/>
      <c r="X5416" s="23"/>
      <c r="Y5416" s="23"/>
      <c r="Z5416" s="23"/>
    </row>
    <row r="5417" spans="1:26" ht="13">
      <c r="A5417" s="562" t="s">
        <v>11607</v>
      </c>
      <c r="B5417" s="563" t="s">
        <v>11608</v>
      </c>
      <c r="C5417" s="564" t="s">
        <v>1612</v>
      </c>
      <c r="D5417" s="565">
        <v>42370</v>
      </c>
      <c r="E5417" s="565">
        <v>42735</v>
      </c>
      <c r="F5417" s="566">
        <v>63019340</v>
      </c>
      <c r="G5417" s="564" t="s">
        <v>1145</v>
      </c>
      <c r="H5417" s="564" t="s">
        <v>1145</v>
      </c>
      <c r="I5417" s="564" t="s">
        <v>1746</v>
      </c>
      <c r="J5417" s="564" t="s">
        <v>1069</v>
      </c>
      <c r="K5417" s="564" t="s">
        <v>1198</v>
      </c>
      <c r="L5417" s="564" t="s">
        <v>1071</v>
      </c>
      <c r="M5417" s="564" t="s">
        <v>1091</v>
      </c>
      <c r="N5417" s="564" t="s">
        <v>1073</v>
      </c>
      <c r="O5417" s="564" t="s">
        <v>241</v>
      </c>
      <c r="P5417" s="23"/>
      <c r="Q5417" s="23"/>
      <c r="R5417" s="23"/>
      <c r="S5417" s="23"/>
      <c r="T5417" s="23"/>
      <c r="U5417" s="23"/>
      <c r="V5417" s="23"/>
      <c r="W5417" s="23"/>
      <c r="X5417" s="23"/>
      <c r="Y5417" s="23"/>
      <c r="Z5417" s="23"/>
    </row>
    <row r="5418" spans="1:26" ht="13">
      <c r="A5418" s="562" t="s">
        <v>11609</v>
      </c>
      <c r="B5418" s="563" t="s">
        <v>11610</v>
      </c>
      <c r="C5418" s="564" t="s">
        <v>1255</v>
      </c>
      <c r="D5418" s="565">
        <v>42614</v>
      </c>
      <c r="E5418" s="565">
        <v>42978</v>
      </c>
      <c r="F5418" s="566">
        <v>21750000</v>
      </c>
      <c r="G5418" s="564" t="s">
        <v>1912</v>
      </c>
      <c r="H5418" s="564" t="s">
        <v>1123</v>
      </c>
      <c r="I5418" s="564" t="s">
        <v>2041</v>
      </c>
      <c r="J5418" s="564" t="s">
        <v>1069</v>
      </c>
      <c r="K5418" s="564" t="s">
        <v>1105</v>
      </c>
      <c r="L5418" s="564" t="s">
        <v>1071</v>
      </c>
      <c r="M5418" s="564" t="s">
        <v>1091</v>
      </c>
      <c r="N5418" s="564" t="s">
        <v>1073</v>
      </c>
      <c r="O5418" s="564" t="s">
        <v>241</v>
      </c>
      <c r="P5418" s="23"/>
      <c r="Q5418" s="23"/>
      <c r="R5418" s="23"/>
      <c r="S5418" s="23"/>
      <c r="T5418" s="23"/>
      <c r="U5418" s="23"/>
      <c r="V5418" s="23"/>
      <c r="W5418" s="23"/>
      <c r="X5418" s="23"/>
      <c r="Y5418" s="23"/>
      <c r="Z5418" s="23"/>
    </row>
    <row r="5419" spans="1:26" ht="13">
      <c r="A5419" s="562" t="s">
        <v>11611</v>
      </c>
      <c r="B5419" s="563" t="s">
        <v>11612</v>
      </c>
      <c r="C5419" s="564" t="s">
        <v>1255</v>
      </c>
      <c r="D5419" s="565">
        <v>42614</v>
      </c>
      <c r="E5419" s="565">
        <v>42978</v>
      </c>
      <c r="F5419" s="566">
        <v>35464000</v>
      </c>
      <c r="G5419" s="564" t="s">
        <v>1912</v>
      </c>
      <c r="H5419" s="564" t="s">
        <v>1123</v>
      </c>
      <c r="I5419" s="564" t="s">
        <v>2041</v>
      </c>
      <c r="J5419" s="564" t="s">
        <v>1069</v>
      </c>
      <c r="K5419" s="564" t="s">
        <v>1105</v>
      </c>
      <c r="L5419" s="564" t="s">
        <v>1071</v>
      </c>
      <c r="M5419" s="564" t="s">
        <v>1091</v>
      </c>
      <c r="N5419" s="564" t="s">
        <v>1073</v>
      </c>
      <c r="O5419" s="564" t="s">
        <v>241</v>
      </c>
      <c r="P5419" s="23"/>
      <c r="Q5419" s="23"/>
      <c r="R5419" s="23"/>
      <c r="S5419" s="23"/>
      <c r="T5419" s="23"/>
      <c r="U5419" s="23"/>
      <c r="V5419" s="23"/>
      <c r="W5419" s="23"/>
      <c r="X5419" s="23"/>
      <c r="Y5419" s="23"/>
      <c r="Z5419" s="23"/>
    </row>
    <row r="5420" spans="1:26" ht="13">
      <c r="A5420" s="562" t="s">
        <v>11613</v>
      </c>
      <c r="B5420" s="563" t="s">
        <v>11614</v>
      </c>
      <c r="C5420" s="564" t="s">
        <v>1873</v>
      </c>
      <c r="D5420" s="565">
        <v>42401</v>
      </c>
      <c r="E5420" s="565">
        <v>42735</v>
      </c>
      <c r="F5420" s="566">
        <v>11000000</v>
      </c>
      <c r="G5420" s="564" t="s">
        <v>1623</v>
      </c>
      <c r="H5420" s="564" t="s">
        <v>1623</v>
      </c>
      <c r="I5420" s="564" t="s">
        <v>1746</v>
      </c>
      <c r="J5420" s="564" t="s">
        <v>1069</v>
      </c>
      <c r="K5420" s="564" t="s">
        <v>1198</v>
      </c>
      <c r="L5420" s="564" t="s">
        <v>1071</v>
      </c>
      <c r="M5420" s="564" t="s">
        <v>1091</v>
      </c>
      <c r="N5420" s="564" t="s">
        <v>1073</v>
      </c>
      <c r="O5420" s="564" t="s">
        <v>241</v>
      </c>
      <c r="P5420" s="23"/>
      <c r="Q5420" s="23"/>
      <c r="R5420" s="23"/>
      <c r="S5420" s="23"/>
      <c r="T5420" s="23"/>
      <c r="U5420" s="23"/>
      <c r="V5420" s="23"/>
      <c r="W5420" s="23"/>
      <c r="X5420" s="23"/>
      <c r="Y5420" s="23"/>
      <c r="Z5420" s="23"/>
    </row>
    <row r="5421" spans="1:26" ht="13">
      <c r="A5421" s="562" t="s">
        <v>11615</v>
      </c>
      <c r="B5421" s="563" t="s">
        <v>11616</v>
      </c>
      <c r="C5421" s="564" t="s">
        <v>2437</v>
      </c>
      <c r="D5421" s="565">
        <v>42614</v>
      </c>
      <c r="E5421" s="565">
        <v>42689</v>
      </c>
      <c r="F5421" s="566">
        <v>575000000</v>
      </c>
      <c r="G5421" s="564" t="s">
        <v>1604</v>
      </c>
      <c r="H5421" s="564" t="s">
        <v>1116</v>
      </c>
      <c r="I5421" s="564" t="s">
        <v>1628</v>
      </c>
      <c r="J5421" s="564" t="s">
        <v>1069</v>
      </c>
      <c r="K5421" s="564" t="s">
        <v>1105</v>
      </c>
      <c r="L5421" s="564" t="s">
        <v>1071</v>
      </c>
      <c r="M5421" s="564" t="s">
        <v>1124</v>
      </c>
      <c r="N5421" s="564" t="s">
        <v>1073</v>
      </c>
      <c r="O5421" s="564" t="s">
        <v>38</v>
      </c>
      <c r="P5421" s="23"/>
      <c r="Q5421" s="23"/>
      <c r="R5421" s="23"/>
      <c r="S5421" s="23"/>
      <c r="T5421" s="23"/>
      <c r="U5421" s="23"/>
      <c r="V5421" s="23"/>
      <c r="W5421" s="23"/>
      <c r="X5421" s="23"/>
      <c r="Y5421" s="23"/>
      <c r="Z5421" s="23"/>
    </row>
    <row r="5422" spans="1:26" ht="13">
      <c r="A5422" s="562" t="s">
        <v>11617</v>
      </c>
      <c r="B5422" s="563" t="s">
        <v>11618</v>
      </c>
      <c r="C5422" s="564" t="s">
        <v>2437</v>
      </c>
      <c r="D5422" s="565">
        <v>42604</v>
      </c>
      <c r="E5422" s="565">
        <v>42704</v>
      </c>
      <c r="F5422" s="566">
        <v>115000000</v>
      </c>
      <c r="G5422" s="564" t="s">
        <v>10823</v>
      </c>
      <c r="H5422" s="564" t="s">
        <v>1157</v>
      </c>
      <c r="I5422" s="564" t="s">
        <v>6783</v>
      </c>
      <c r="J5422" s="564" t="s">
        <v>1069</v>
      </c>
      <c r="K5422" s="564" t="s">
        <v>1105</v>
      </c>
      <c r="L5422" s="564" t="s">
        <v>1390</v>
      </c>
      <c r="M5422" s="564" t="s">
        <v>1390</v>
      </c>
      <c r="N5422" s="564" t="s">
        <v>1082</v>
      </c>
      <c r="O5422" s="564" t="s">
        <v>38</v>
      </c>
      <c r="P5422" s="23"/>
      <c r="Q5422" s="23"/>
      <c r="R5422" s="23"/>
      <c r="S5422" s="23"/>
      <c r="T5422" s="23"/>
      <c r="U5422" s="23"/>
      <c r="V5422" s="23"/>
      <c r="W5422" s="23"/>
      <c r="X5422" s="23"/>
      <c r="Y5422" s="23"/>
      <c r="Z5422" s="23"/>
    </row>
    <row r="5423" spans="1:26" ht="13">
      <c r="A5423" s="562" t="s">
        <v>11619</v>
      </c>
      <c r="B5423" s="563" t="s">
        <v>11620</v>
      </c>
      <c r="C5423" s="564" t="s">
        <v>1612</v>
      </c>
      <c r="D5423" s="565">
        <v>42552</v>
      </c>
      <c r="E5423" s="565">
        <v>43039</v>
      </c>
      <c r="F5423" s="566">
        <v>35920000</v>
      </c>
      <c r="G5423" s="564" t="s">
        <v>1085</v>
      </c>
      <c r="H5423" s="564" t="s">
        <v>1636</v>
      </c>
      <c r="I5423" s="564" t="s">
        <v>1637</v>
      </c>
      <c r="J5423" s="564" t="s">
        <v>1069</v>
      </c>
      <c r="K5423" s="564" t="s">
        <v>1120</v>
      </c>
      <c r="L5423" s="564" t="s">
        <v>1071</v>
      </c>
      <c r="M5423" s="564" t="s">
        <v>1091</v>
      </c>
      <c r="N5423" s="564" t="s">
        <v>1073</v>
      </c>
      <c r="O5423" s="564" t="s">
        <v>241</v>
      </c>
      <c r="P5423" s="23"/>
      <c r="Q5423" s="23"/>
      <c r="R5423" s="23"/>
      <c r="S5423" s="23"/>
      <c r="T5423" s="23"/>
      <c r="U5423" s="23"/>
      <c r="V5423" s="23"/>
      <c r="W5423" s="23"/>
      <c r="X5423" s="23"/>
      <c r="Y5423" s="23"/>
      <c r="Z5423" s="23"/>
    </row>
    <row r="5424" spans="1:26" ht="13">
      <c r="A5424" s="562" t="s">
        <v>11621</v>
      </c>
      <c r="B5424" s="563" t="s">
        <v>11622</v>
      </c>
      <c r="C5424" s="564" t="s">
        <v>1255</v>
      </c>
      <c r="D5424" s="565">
        <v>42552</v>
      </c>
      <c r="E5424" s="565">
        <v>43039</v>
      </c>
      <c r="F5424" s="566">
        <v>35920000</v>
      </c>
      <c r="G5424" s="564" t="s">
        <v>3688</v>
      </c>
      <c r="H5424" s="564" t="s">
        <v>1636</v>
      </c>
      <c r="I5424" s="564" t="s">
        <v>1637</v>
      </c>
      <c r="J5424" s="564" t="s">
        <v>1069</v>
      </c>
      <c r="K5424" s="564" t="s">
        <v>1120</v>
      </c>
      <c r="L5424" s="564" t="s">
        <v>1390</v>
      </c>
      <c r="M5424" s="564" t="s">
        <v>1390</v>
      </c>
      <c r="N5424" s="564" t="s">
        <v>1073</v>
      </c>
      <c r="O5424" s="564" t="s">
        <v>197</v>
      </c>
      <c r="P5424" s="23"/>
      <c r="Q5424" s="23"/>
      <c r="R5424" s="23"/>
      <c r="S5424" s="23"/>
      <c r="T5424" s="23"/>
      <c r="U5424" s="23"/>
      <c r="V5424" s="23"/>
      <c r="W5424" s="23"/>
      <c r="X5424" s="23"/>
      <c r="Y5424" s="23"/>
      <c r="Z5424" s="23"/>
    </row>
    <row r="5425" spans="1:26" ht="13">
      <c r="A5425" s="562" t="s">
        <v>11623</v>
      </c>
      <c r="B5425" s="563" t="s">
        <v>11624</v>
      </c>
      <c r="C5425" s="564" t="s">
        <v>1612</v>
      </c>
      <c r="D5425" s="565">
        <v>42552</v>
      </c>
      <c r="E5425" s="565">
        <v>42916</v>
      </c>
      <c r="F5425" s="566">
        <v>24960000</v>
      </c>
      <c r="G5425" s="564" t="s">
        <v>1298</v>
      </c>
      <c r="H5425" s="564" t="s">
        <v>1187</v>
      </c>
      <c r="I5425" s="564" t="s">
        <v>70</v>
      </c>
      <c r="J5425" s="564" t="s">
        <v>1069</v>
      </c>
      <c r="K5425" s="564" t="s">
        <v>1120</v>
      </c>
      <c r="L5425" s="564" t="s">
        <v>1071</v>
      </c>
      <c r="M5425" s="564" t="s">
        <v>1091</v>
      </c>
      <c r="N5425" s="564" t="s">
        <v>70</v>
      </c>
      <c r="O5425" s="564" t="s">
        <v>241</v>
      </c>
      <c r="P5425" s="23"/>
      <c r="Q5425" s="23"/>
      <c r="R5425" s="23"/>
      <c r="S5425" s="23"/>
      <c r="T5425" s="23"/>
      <c r="U5425" s="23"/>
      <c r="V5425" s="23"/>
      <c r="W5425" s="23"/>
      <c r="X5425" s="23"/>
      <c r="Y5425" s="23"/>
      <c r="Z5425" s="23"/>
    </row>
    <row r="5426" spans="1:26" ht="13">
      <c r="A5426" s="562" t="s">
        <v>11625</v>
      </c>
      <c r="B5426" s="563" t="s">
        <v>11626</v>
      </c>
      <c r="C5426" s="564" t="s">
        <v>1066</v>
      </c>
      <c r="D5426" s="565">
        <v>42583</v>
      </c>
      <c r="E5426" s="565">
        <v>42947</v>
      </c>
      <c r="F5426" s="566">
        <v>888000</v>
      </c>
      <c r="G5426" s="564" t="s">
        <v>1298</v>
      </c>
      <c r="H5426" s="564" t="s">
        <v>1157</v>
      </c>
      <c r="I5426" s="564" t="s">
        <v>11627</v>
      </c>
      <c r="J5426" s="564" t="s">
        <v>1069</v>
      </c>
      <c r="K5426" s="564" t="s">
        <v>1120</v>
      </c>
      <c r="L5426" s="564" t="s">
        <v>1071</v>
      </c>
      <c r="M5426" s="564" t="s">
        <v>1091</v>
      </c>
      <c r="N5426" s="564" t="s">
        <v>1082</v>
      </c>
      <c r="O5426" s="564" t="s">
        <v>241</v>
      </c>
      <c r="P5426" s="23"/>
      <c r="Q5426" s="23"/>
      <c r="R5426" s="23"/>
      <c r="S5426" s="23"/>
      <c r="T5426" s="23"/>
      <c r="U5426" s="23"/>
      <c r="V5426" s="23"/>
      <c r="W5426" s="23"/>
      <c r="X5426" s="23"/>
      <c r="Y5426" s="23"/>
      <c r="Z5426" s="23"/>
    </row>
    <row r="5427" spans="1:26" ht="13">
      <c r="A5427" s="562" t="s">
        <v>11628</v>
      </c>
      <c r="B5427" s="563" t="s">
        <v>11629</v>
      </c>
      <c r="C5427" s="564" t="s">
        <v>1255</v>
      </c>
      <c r="D5427" s="565">
        <v>42583</v>
      </c>
      <c r="E5427" s="565">
        <v>42947</v>
      </c>
      <c r="F5427" s="566">
        <v>27000000</v>
      </c>
      <c r="G5427" s="564" t="s">
        <v>1097</v>
      </c>
      <c r="H5427" s="564" t="s">
        <v>1123</v>
      </c>
      <c r="I5427" s="564" t="s">
        <v>143</v>
      </c>
      <c r="J5427" s="564" t="s">
        <v>1069</v>
      </c>
      <c r="K5427" s="564" t="s">
        <v>1205</v>
      </c>
      <c r="L5427" s="564" t="s">
        <v>1071</v>
      </c>
      <c r="M5427" s="564" t="s">
        <v>1091</v>
      </c>
      <c r="N5427" s="564" t="s">
        <v>1073</v>
      </c>
      <c r="O5427" s="564" t="s">
        <v>241</v>
      </c>
      <c r="P5427" s="23"/>
      <c r="Q5427" s="23"/>
      <c r="R5427" s="23"/>
      <c r="S5427" s="23"/>
      <c r="T5427" s="23"/>
      <c r="U5427" s="23"/>
      <c r="V5427" s="23"/>
      <c r="W5427" s="23"/>
      <c r="X5427" s="23"/>
      <c r="Y5427" s="23"/>
      <c r="Z5427" s="23"/>
    </row>
    <row r="5428" spans="1:26" ht="13">
      <c r="A5428" s="562" t="s">
        <v>11630</v>
      </c>
      <c r="B5428" s="563" t="s">
        <v>11631</v>
      </c>
      <c r="C5428" s="564" t="s">
        <v>1612</v>
      </c>
      <c r="D5428" s="565">
        <v>42552</v>
      </c>
      <c r="E5428" s="565">
        <v>42643</v>
      </c>
      <c r="F5428" s="566">
        <v>28270000</v>
      </c>
      <c r="G5428" s="564" t="s">
        <v>1564</v>
      </c>
      <c r="H5428" s="564" t="s">
        <v>1564</v>
      </c>
      <c r="I5428" s="564" t="s">
        <v>121</v>
      </c>
      <c r="J5428" s="564" t="s">
        <v>1069</v>
      </c>
      <c r="K5428" s="564" t="s">
        <v>1105</v>
      </c>
      <c r="L5428" s="564" t="s">
        <v>1390</v>
      </c>
      <c r="M5428" s="564" t="s">
        <v>1390</v>
      </c>
      <c r="N5428" s="564" t="s">
        <v>1073</v>
      </c>
      <c r="O5428" s="564" t="s">
        <v>38</v>
      </c>
      <c r="P5428" s="23"/>
      <c r="Q5428" s="23"/>
      <c r="R5428" s="23"/>
      <c r="S5428" s="23"/>
      <c r="T5428" s="23"/>
      <c r="U5428" s="23"/>
      <c r="V5428" s="23"/>
      <c r="W5428" s="23"/>
      <c r="X5428" s="23"/>
      <c r="Y5428" s="23"/>
      <c r="Z5428" s="23"/>
    </row>
    <row r="5429" spans="1:26" ht="13">
      <c r="A5429" s="562" t="s">
        <v>11632</v>
      </c>
      <c r="B5429" s="563" t="s">
        <v>11633</v>
      </c>
      <c r="C5429" s="564" t="s">
        <v>1873</v>
      </c>
      <c r="D5429" s="565">
        <v>42552</v>
      </c>
      <c r="E5429" s="565">
        <v>42840</v>
      </c>
      <c r="F5429" s="566">
        <v>93300000</v>
      </c>
      <c r="G5429" s="564" t="s">
        <v>10823</v>
      </c>
      <c r="H5429" s="564" t="s">
        <v>1157</v>
      </c>
      <c r="I5429" s="564" t="s">
        <v>170</v>
      </c>
      <c r="J5429" s="564" t="s">
        <v>1069</v>
      </c>
      <c r="K5429" s="564" t="s">
        <v>1105</v>
      </c>
      <c r="L5429" s="564" t="s">
        <v>1390</v>
      </c>
      <c r="M5429" s="564" t="s">
        <v>1390</v>
      </c>
      <c r="N5429" s="564" t="s">
        <v>170</v>
      </c>
      <c r="O5429" s="564" t="s">
        <v>38</v>
      </c>
      <c r="P5429" s="23"/>
      <c r="Q5429" s="23"/>
      <c r="R5429" s="23"/>
      <c r="S5429" s="23"/>
      <c r="T5429" s="23"/>
      <c r="U5429" s="23"/>
      <c r="V5429" s="23"/>
      <c r="W5429" s="23"/>
      <c r="X5429" s="23"/>
      <c r="Y5429" s="23"/>
      <c r="Z5429" s="23"/>
    </row>
    <row r="5430" spans="1:26" ht="13">
      <c r="A5430" s="562" t="s">
        <v>11634</v>
      </c>
      <c r="B5430" s="563" t="s">
        <v>11635</v>
      </c>
      <c r="C5430" s="564" t="s">
        <v>6860</v>
      </c>
      <c r="D5430" s="565">
        <v>42541</v>
      </c>
      <c r="E5430" s="565">
        <v>42562</v>
      </c>
      <c r="F5430" s="566">
        <v>74199690</v>
      </c>
      <c r="G5430" s="564" t="s">
        <v>10596</v>
      </c>
      <c r="H5430" s="564" t="s">
        <v>1640</v>
      </c>
      <c r="I5430" s="564" t="s">
        <v>3988</v>
      </c>
      <c r="J5430" s="564" t="s">
        <v>1069</v>
      </c>
      <c r="K5430" s="564" t="s">
        <v>1209</v>
      </c>
      <c r="L5430" s="564" t="s">
        <v>1390</v>
      </c>
      <c r="M5430" s="564" t="s">
        <v>1390</v>
      </c>
      <c r="N5430" s="564" t="s">
        <v>1082</v>
      </c>
      <c r="O5430" s="564" t="s">
        <v>38</v>
      </c>
      <c r="P5430" s="23"/>
      <c r="Q5430" s="23"/>
      <c r="R5430" s="23"/>
      <c r="S5430" s="23"/>
      <c r="T5430" s="23"/>
      <c r="U5430" s="23"/>
      <c r="V5430" s="23"/>
      <c r="W5430" s="23"/>
      <c r="X5430" s="23"/>
      <c r="Y5430" s="23"/>
      <c r="Z5430" s="23"/>
    </row>
    <row r="5431" spans="1:26" ht="13">
      <c r="A5431" s="562" t="s">
        <v>11636</v>
      </c>
      <c r="B5431" s="563" t="s">
        <v>11637</v>
      </c>
      <c r="C5431" s="564" t="s">
        <v>6860</v>
      </c>
      <c r="D5431" s="565">
        <v>42534</v>
      </c>
      <c r="E5431" s="565">
        <v>42581</v>
      </c>
      <c r="F5431" s="566">
        <v>306576000</v>
      </c>
      <c r="G5431" s="564" t="s">
        <v>1780</v>
      </c>
      <c r="H5431" s="564" t="s">
        <v>1116</v>
      </c>
      <c r="I5431" s="564" t="s">
        <v>11578</v>
      </c>
      <c r="J5431" s="564" t="s">
        <v>1069</v>
      </c>
      <c r="K5431" s="564" t="s">
        <v>1209</v>
      </c>
      <c r="L5431" s="564" t="s">
        <v>1071</v>
      </c>
      <c r="M5431" s="564" t="s">
        <v>1124</v>
      </c>
      <c r="N5431" s="564" t="s">
        <v>2325</v>
      </c>
      <c r="O5431" s="564" t="s">
        <v>38</v>
      </c>
      <c r="P5431" s="23"/>
      <c r="Q5431" s="23"/>
      <c r="R5431" s="23"/>
      <c r="S5431" s="23"/>
      <c r="T5431" s="23"/>
      <c r="U5431" s="23"/>
      <c r="V5431" s="23"/>
      <c r="W5431" s="23"/>
      <c r="X5431" s="23"/>
      <c r="Y5431" s="23"/>
      <c r="Z5431" s="23"/>
    </row>
    <row r="5432" spans="1:26" ht="13">
      <c r="A5432" s="562" t="s">
        <v>11638</v>
      </c>
      <c r="B5432" s="563" t="s">
        <v>11639</v>
      </c>
      <c r="C5432" s="564" t="s">
        <v>1066</v>
      </c>
      <c r="D5432" s="565">
        <v>42552</v>
      </c>
      <c r="E5432" s="565">
        <v>42582</v>
      </c>
      <c r="F5432" s="566">
        <v>97900</v>
      </c>
      <c r="G5432" s="564" t="s">
        <v>1298</v>
      </c>
      <c r="H5432" s="564" t="s">
        <v>1157</v>
      </c>
      <c r="I5432" s="564" t="s">
        <v>11640</v>
      </c>
      <c r="J5432" s="564" t="s">
        <v>1069</v>
      </c>
      <c r="K5432" s="564" t="s">
        <v>1070</v>
      </c>
      <c r="L5432" s="564" t="s">
        <v>1071</v>
      </c>
      <c r="M5432" s="564" t="s">
        <v>1091</v>
      </c>
      <c r="N5432" s="564" t="s">
        <v>1082</v>
      </c>
      <c r="O5432" s="564" t="s">
        <v>241</v>
      </c>
      <c r="P5432" s="23"/>
      <c r="Q5432" s="23"/>
      <c r="R5432" s="23"/>
      <c r="S5432" s="23"/>
      <c r="T5432" s="23"/>
      <c r="U5432" s="23"/>
      <c r="V5432" s="23"/>
      <c r="W5432" s="23"/>
      <c r="X5432" s="23"/>
      <c r="Y5432" s="23"/>
      <c r="Z5432" s="23"/>
    </row>
    <row r="5433" spans="1:26" ht="13">
      <c r="A5433" s="562" t="s">
        <v>11641</v>
      </c>
      <c r="B5433" s="563" t="s">
        <v>11642</v>
      </c>
      <c r="C5433" s="564" t="s">
        <v>1255</v>
      </c>
      <c r="D5433" s="565">
        <v>42552</v>
      </c>
      <c r="E5433" s="565">
        <v>42916</v>
      </c>
      <c r="F5433" s="566">
        <v>19000000</v>
      </c>
      <c r="G5433" s="564" t="s">
        <v>1097</v>
      </c>
      <c r="H5433" s="564" t="s">
        <v>1123</v>
      </c>
      <c r="I5433" s="564" t="s">
        <v>143</v>
      </c>
      <c r="J5433" s="564" t="s">
        <v>1069</v>
      </c>
      <c r="K5433" s="564" t="s">
        <v>1205</v>
      </c>
      <c r="L5433" s="564" t="s">
        <v>1071</v>
      </c>
      <c r="M5433" s="564" t="s">
        <v>1091</v>
      </c>
      <c r="N5433" s="564" t="s">
        <v>1073</v>
      </c>
      <c r="O5433" s="564" t="s">
        <v>241</v>
      </c>
      <c r="P5433" s="23"/>
      <c r="Q5433" s="23"/>
      <c r="R5433" s="23"/>
      <c r="S5433" s="23"/>
      <c r="T5433" s="23"/>
      <c r="U5433" s="23"/>
      <c r="V5433" s="23"/>
      <c r="W5433" s="23"/>
      <c r="X5433" s="23"/>
      <c r="Y5433" s="23"/>
      <c r="Z5433" s="23"/>
    </row>
    <row r="5434" spans="1:26" ht="13">
      <c r="A5434" s="562" t="s">
        <v>11643</v>
      </c>
      <c r="B5434" s="563" t="s">
        <v>11644</v>
      </c>
      <c r="C5434" s="564" t="s">
        <v>1066</v>
      </c>
      <c r="D5434" s="565">
        <v>42552</v>
      </c>
      <c r="E5434" s="565">
        <v>42947</v>
      </c>
      <c r="F5434" s="566">
        <v>864000</v>
      </c>
      <c r="G5434" s="564" t="s">
        <v>1298</v>
      </c>
      <c r="H5434" s="564" t="s">
        <v>1157</v>
      </c>
      <c r="I5434" s="564" t="s">
        <v>1484</v>
      </c>
      <c r="J5434" s="564" t="s">
        <v>1069</v>
      </c>
      <c r="K5434" s="564" t="s">
        <v>1070</v>
      </c>
      <c r="L5434" s="564" t="s">
        <v>1071</v>
      </c>
      <c r="M5434" s="564" t="s">
        <v>1091</v>
      </c>
      <c r="N5434" s="564" t="s">
        <v>1082</v>
      </c>
      <c r="O5434" s="564" t="s">
        <v>241</v>
      </c>
      <c r="P5434" s="23"/>
      <c r="Q5434" s="23"/>
      <c r="R5434" s="23"/>
      <c r="S5434" s="23"/>
      <c r="T5434" s="23"/>
      <c r="U5434" s="23"/>
      <c r="V5434" s="23"/>
      <c r="W5434" s="23"/>
      <c r="X5434" s="23"/>
      <c r="Y5434" s="23"/>
      <c r="Z5434" s="23"/>
    </row>
    <row r="5435" spans="1:26" ht="13">
      <c r="A5435" s="562" t="s">
        <v>11645</v>
      </c>
      <c r="B5435" s="563" t="s">
        <v>11646</v>
      </c>
      <c r="C5435" s="564" t="s">
        <v>2437</v>
      </c>
      <c r="D5435" s="565">
        <v>42522</v>
      </c>
      <c r="E5435" s="565">
        <v>42886</v>
      </c>
      <c r="F5435" s="566">
        <v>26181820</v>
      </c>
      <c r="G5435" s="564" t="s">
        <v>1123</v>
      </c>
      <c r="H5435" s="564" t="s">
        <v>1123</v>
      </c>
      <c r="I5435" s="564" t="s">
        <v>143</v>
      </c>
      <c r="J5435" s="564" t="s">
        <v>1069</v>
      </c>
      <c r="K5435" s="564" t="s">
        <v>1205</v>
      </c>
      <c r="L5435" s="564" t="s">
        <v>1071</v>
      </c>
      <c r="M5435" s="564" t="s">
        <v>1091</v>
      </c>
      <c r="N5435" s="564" t="s">
        <v>1073</v>
      </c>
      <c r="O5435" s="564" t="s">
        <v>241</v>
      </c>
      <c r="P5435" s="23"/>
      <c r="Q5435" s="23"/>
      <c r="R5435" s="23"/>
      <c r="S5435" s="23"/>
      <c r="T5435" s="23"/>
      <c r="U5435" s="23"/>
      <c r="V5435" s="23"/>
      <c r="W5435" s="23"/>
      <c r="X5435" s="23"/>
      <c r="Y5435" s="23"/>
      <c r="Z5435" s="23"/>
    </row>
    <row r="5436" spans="1:26" ht="13">
      <c r="A5436" s="562" t="s">
        <v>11647</v>
      </c>
      <c r="B5436" s="563" t="s">
        <v>11648</v>
      </c>
      <c r="C5436" s="564" t="s">
        <v>1612</v>
      </c>
      <c r="D5436" s="565">
        <v>42461</v>
      </c>
      <c r="E5436" s="565">
        <v>42510</v>
      </c>
      <c r="F5436" s="566">
        <v>23000000</v>
      </c>
      <c r="G5436" s="564" t="s">
        <v>754</v>
      </c>
      <c r="H5436" s="564" t="s">
        <v>1187</v>
      </c>
      <c r="I5436" s="564" t="s">
        <v>1681</v>
      </c>
      <c r="J5436" s="564" t="s">
        <v>1069</v>
      </c>
      <c r="K5436" s="564" t="s">
        <v>1120</v>
      </c>
      <c r="L5436" s="564" t="s">
        <v>1071</v>
      </c>
      <c r="M5436" s="564" t="s">
        <v>1091</v>
      </c>
      <c r="N5436" s="564" t="s">
        <v>1073</v>
      </c>
      <c r="O5436" s="564" t="s">
        <v>241</v>
      </c>
      <c r="P5436" s="23"/>
      <c r="Q5436" s="23"/>
      <c r="R5436" s="23"/>
      <c r="S5436" s="23"/>
      <c r="T5436" s="23"/>
      <c r="U5436" s="23"/>
      <c r="V5436" s="23"/>
      <c r="W5436" s="23"/>
      <c r="X5436" s="23"/>
      <c r="Y5436" s="23"/>
      <c r="Z5436" s="23"/>
    </row>
    <row r="5437" spans="1:26" ht="13">
      <c r="A5437" s="562" t="s">
        <v>11649</v>
      </c>
      <c r="B5437" s="563" t="s">
        <v>11650</v>
      </c>
      <c r="C5437" s="564" t="s">
        <v>2191</v>
      </c>
      <c r="D5437" s="565">
        <v>42490</v>
      </c>
      <c r="E5437" s="565">
        <v>42495</v>
      </c>
      <c r="F5437" s="566">
        <v>2090000</v>
      </c>
      <c r="G5437" s="564" t="s">
        <v>1123</v>
      </c>
      <c r="H5437" s="564" t="s">
        <v>1123</v>
      </c>
      <c r="I5437" s="564" t="s">
        <v>143</v>
      </c>
      <c r="J5437" s="564" t="s">
        <v>1069</v>
      </c>
      <c r="K5437" s="564" t="s">
        <v>1205</v>
      </c>
      <c r="L5437" s="564" t="s">
        <v>1071</v>
      </c>
      <c r="M5437" s="564" t="s">
        <v>1091</v>
      </c>
      <c r="N5437" s="564" t="s">
        <v>1073</v>
      </c>
      <c r="O5437" s="564" t="s">
        <v>241</v>
      </c>
      <c r="P5437" s="23"/>
      <c r="Q5437" s="23"/>
      <c r="R5437" s="23"/>
      <c r="S5437" s="23"/>
      <c r="T5437" s="23"/>
      <c r="U5437" s="23"/>
      <c r="V5437" s="23"/>
      <c r="W5437" s="23"/>
      <c r="X5437" s="23"/>
      <c r="Y5437" s="23"/>
      <c r="Z5437" s="23"/>
    </row>
    <row r="5438" spans="1:26" ht="13">
      <c r="A5438" s="562" t="s">
        <v>11651</v>
      </c>
      <c r="B5438" s="563" t="s">
        <v>11652</v>
      </c>
      <c r="C5438" s="564" t="s">
        <v>2191</v>
      </c>
      <c r="D5438" s="565">
        <v>42517</v>
      </c>
      <c r="E5438" s="565">
        <v>42574</v>
      </c>
      <c r="F5438" s="566">
        <v>9091000</v>
      </c>
      <c r="G5438" s="564" t="s">
        <v>11012</v>
      </c>
      <c r="H5438" s="564" t="s">
        <v>11012</v>
      </c>
      <c r="I5438" s="564" t="s">
        <v>11653</v>
      </c>
      <c r="J5438" s="564" t="s">
        <v>1069</v>
      </c>
      <c r="K5438" s="564" t="s">
        <v>1198</v>
      </c>
      <c r="L5438" s="564" t="s">
        <v>1390</v>
      </c>
      <c r="M5438" s="564" t="s">
        <v>1390</v>
      </c>
      <c r="N5438" s="564" t="s">
        <v>1368</v>
      </c>
      <c r="O5438" s="564" t="s">
        <v>38</v>
      </c>
      <c r="P5438" s="23"/>
      <c r="Q5438" s="23"/>
      <c r="R5438" s="23"/>
      <c r="S5438" s="23"/>
      <c r="T5438" s="23"/>
      <c r="U5438" s="23"/>
      <c r="V5438" s="23"/>
      <c r="W5438" s="23"/>
      <c r="X5438" s="23"/>
      <c r="Y5438" s="23"/>
      <c r="Z5438" s="23"/>
    </row>
    <row r="5439" spans="1:26" ht="13">
      <c r="A5439" s="562" t="s">
        <v>11654</v>
      </c>
      <c r="B5439" s="563" t="s">
        <v>11655</v>
      </c>
      <c r="C5439" s="564" t="s">
        <v>1612</v>
      </c>
      <c r="D5439" s="565">
        <v>42521</v>
      </c>
      <c r="E5439" s="565">
        <v>42885</v>
      </c>
      <c r="F5439" s="566">
        <v>1379000000</v>
      </c>
      <c r="G5439" s="564" t="s">
        <v>1297</v>
      </c>
      <c r="H5439" s="564" t="s">
        <v>1424</v>
      </c>
      <c r="I5439" s="564" t="s">
        <v>45</v>
      </c>
      <c r="J5439" s="564" t="s">
        <v>1069</v>
      </c>
      <c r="K5439" s="564" t="s">
        <v>1090</v>
      </c>
      <c r="L5439" s="564" t="s">
        <v>1071</v>
      </c>
      <c r="M5439" s="564" t="s">
        <v>1091</v>
      </c>
      <c r="N5439" s="564" t="s">
        <v>45</v>
      </c>
      <c r="O5439" s="564" t="s">
        <v>241</v>
      </c>
      <c r="P5439" s="23"/>
      <c r="Q5439" s="23"/>
      <c r="R5439" s="23"/>
      <c r="S5439" s="23"/>
      <c r="T5439" s="23"/>
      <c r="U5439" s="23"/>
      <c r="V5439" s="23"/>
      <c r="W5439" s="23"/>
      <c r="X5439" s="23"/>
      <c r="Y5439" s="23"/>
      <c r="Z5439" s="23"/>
    </row>
    <row r="5440" spans="1:26" ht="13">
      <c r="A5440" s="562" t="s">
        <v>11656</v>
      </c>
      <c r="B5440" s="563" t="s">
        <v>11657</v>
      </c>
      <c r="C5440" s="564" t="s">
        <v>1612</v>
      </c>
      <c r="D5440" s="565">
        <v>42491</v>
      </c>
      <c r="E5440" s="565">
        <v>42855</v>
      </c>
      <c r="F5440" s="566">
        <v>300000</v>
      </c>
      <c r="G5440" s="564" t="s">
        <v>1636</v>
      </c>
      <c r="H5440" s="564" t="s">
        <v>1636</v>
      </c>
      <c r="I5440" s="564" t="s">
        <v>1637</v>
      </c>
      <c r="J5440" s="564" t="s">
        <v>1069</v>
      </c>
      <c r="K5440" s="564" t="s">
        <v>1120</v>
      </c>
      <c r="L5440" s="564" t="s">
        <v>1071</v>
      </c>
      <c r="M5440" s="564" t="s">
        <v>1124</v>
      </c>
      <c r="N5440" s="564" t="s">
        <v>1073</v>
      </c>
      <c r="O5440" s="564" t="s">
        <v>38</v>
      </c>
      <c r="P5440" s="23"/>
      <c r="Q5440" s="23"/>
      <c r="R5440" s="23"/>
      <c r="S5440" s="23"/>
      <c r="T5440" s="23"/>
      <c r="U5440" s="23"/>
      <c r="V5440" s="23"/>
      <c r="W5440" s="23"/>
      <c r="X5440" s="23"/>
      <c r="Y5440" s="23"/>
      <c r="Z5440" s="23"/>
    </row>
    <row r="5441" spans="1:26" ht="13">
      <c r="A5441" s="562" t="s">
        <v>11658</v>
      </c>
      <c r="B5441" s="563" t="s">
        <v>11659</v>
      </c>
      <c r="C5441" s="564" t="s">
        <v>1066</v>
      </c>
      <c r="D5441" s="565">
        <v>42491</v>
      </c>
      <c r="E5441" s="565">
        <v>42855</v>
      </c>
      <c r="F5441" s="566">
        <v>14400000</v>
      </c>
      <c r="G5441" s="564" t="s">
        <v>1424</v>
      </c>
      <c r="H5441" s="564" t="s">
        <v>1424</v>
      </c>
      <c r="I5441" s="564" t="s">
        <v>1781</v>
      </c>
      <c r="J5441" s="564" t="s">
        <v>1069</v>
      </c>
      <c r="K5441" s="564" t="s">
        <v>1070</v>
      </c>
      <c r="L5441" s="564" t="s">
        <v>1071</v>
      </c>
      <c r="M5441" s="564" t="s">
        <v>1091</v>
      </c>
      <c r="N5441" s="564" t="s">
        <v>1073</v>
      </c>
      <c r="O5441" s="564" t="s">
        <v>241</v>
      </c>
      <c r="P5441" s="23"/>
      <c r="Q5441" s="23"/>
      <c r="R5441" s="23"/>
      <c r="S5441" s="23"/>
      <c r="T5441" s="23"/>
      <c r="U5441" s="23"/>
      <c r="V5441" s="23"/>
      <c r="W5441" s="23"/>
      <c r="X5441" s="23"/>
      <c r="Y5441" s="23"/>
      <c r="Z5441" s="23"/>
    </row>
    <row r="5442" spans="1:26" ht="13">
      <c r="A5442" s="562" t="s">
        <v>11660</v>
      </c>
      <c r="B5442" s="563" t="s">
        <v>11661</v>
      </c>
      <c r="C5442" s="564" t="s">
        <v>1066</v>
      </c>
      <c r="D5442" s="565">
        <v>42491</v>
      </c>
      <c r="E5442" s="565">
        <v>42855</v>
      </c>
      <c r="F5442" s="566">
        <v>21873600</v>
      </c>
      <c r="G5442" s="564" t="s">
        <v>1424</v>
      </c>
      <c r="H5442" s="564" t="s">
        <v>1424</v>
      </c>
      <c r="I5442" s="564" t="s">
        <v>2586</v>
      </c>
      <c r="J5442" s="564" t="s">
        <v>1069</v>
      </c>
      <c r="K5442" s="564" t="s">
        <v>1070</v>
      </c>
      <c r="L5442" s="564" t="s">
        <v>1071</v>
      </c>
      <c r="M5442" s="564" t="s">
        <v>1091</v>
      </c>
      <c r="N5442" s="564" t="s">
        <v>1073</v>
      </c>
      <c r="O5442" s="564" t="s">
        <v>241</v>
      </c>
      <c r="P5442" s="23"/>
      <c r="Q5442" s="23"/>
      <c r="R5442" s="23"/>
      <c r="S5442" s="23"/>
      <c r="T5442" s="23"/>
      <c r="U5442" s="23"/>
      <c r="V5442" s="23"/>
      <c r="W5442" s="23"/>
      <c r="X5442" s="23"/>
      <c r="Y5442" s="23"/>
      <c r="Z5442" s="23"/>
    </row>
    <row r="5443" spans="1:26" ht="13">
      <c r="A5443" s="562" t="s">
        <v>11662</v>
      </c>
      <c r="B5443" s="563" t="s">
        <v>11663</v>
      </c>
      <c r="C5443" s="564" t="s">
        <v>1612</v>
      </c>
      <c r="D5443" s="565">
        <v>42461</v>
      </c>
      <c r="E5443" s="565">
        <v>42521</v>
      </c>
      <c r="F5443" s="566">
        <v>33700000</v>
      </c>
      <c r="G5443" s="564" t="s">
        <v>11587</v>
      </c>
      <c r="H5443" s="564" t="s">
        <v>1128</v>
      </c>
      <c r="I5443" s="564" t="s">
        <v>45</v>
      </c>
      <c r="J5443" s="564" t="s">
        <v>1069</v>
      </c>
      <c r="K5443" s="564" t="s">
        <v>1090</v>
      </c>
      <c r="L5443" s="564" t="s">
        <v>1390</v>
      </c>
      <c r="M5443" s="564" t="s">
        <v>1390</v>
      </c>
      <c r="N5443" s="564" t="s">
        <v>45</v>
      </c>
      <c r="O5443" s="564" t="s">
        <v>38</v>
      </c>
      <c r="P5443" s="23"/>
      <c r="Q5443" s="23"/>
      <c r="R5443" s="23"/>
      <c r="S5443" s="23"/>
      <c r="T5443" s="23"/>
      <c r="U5443" s="23"/>
      <c r="V5443" s="23"/>
      <c r="W5443" s="23"/>
      <c r="X5443" s="23"/>
      <c r="Y5443" s="23"/>
      <c r="Z5443" s="23"/>
    </row>
    <row r="5444" spans="1:26" ht="13">
      <c r="A5444" s="562" t="s">
        <v>11664</v>
      </c>
      <c r="B5444" s="563" t="s">
        <v>11665</v>
      </c>
      <c r="C5444" s="564" t="s">
        <v>1612</v>
      </c>
      <c r="D5444" s="565">
        <v>42478</v>
      </c>
      <c r="E5444" s="565">
        <v>42538</v>
      </c>
      <c r="F5444" s="566">
        <v>15400000</v>
      </c>
      <c r="G5444" s="564" t="s">
        <v>11587</v>
      </c>
      <c r="H5444" s="564" t="s">
        <v>1128</v>
      </c>
      <c r="I5444" s="564" t="s">
        <v>1230</v>
      </c>
      <c r="J5444" s="564" t="s">
        <v>1069</v>
      </c>
      <c r="K5444" s="564" t="s">
        <v>1090</v>
      </c>
      <c r="L5444" s="564" t="s">
        <v>1390</v>
      </c>
      <c r="M5444" s="564" t="s">
        <v>1390</v>
      </c>
      <c r="N5444" s="564" t="s">
        <v>1073</v>
      </c>
      <c r="O5444" s="564" t="s">
        <v>38</v>
      </c>
      <c r="P5444" s="23"/>
      <c r="Q5444" s="23"/>
      <c r="R5444" s="23"/>
      <c r="S5444" s="23"/>
      <c r="T5444" s="23"/>
      <c r="U5444" s="23"/>
      <c r="V5444" s="23"/>
      <c r="W5444" s="23"/>
      <c r="X5444" s="23"/>
      <c r="Y5444" s="23"/>
      <c r="Z5444" s="23"/>
    </row>
    <row r="5445" spans="1:26" ht="13">
      <c r="A5445" s="562" t="s">
        <v>11666</v>
      </c>
      <c r="B5445" s="563" t="s">
        <v>11667</v>
      </c>
      <c r="C5445" s="564" t="s">
        <v>1255</v>
      </c>
      <c r="D5445" s="565">
        <v>42430</v>
      </c>
      <c r="E5445" s="565">
        <v>42794</v>
      </c>
      <c r="F5445" s="566">
        <v>29400000</v>
      </c>
      <c r="G5445" s="564" t="s">
        <v>1097</v>
      </c>
      <c r="H5445" s="564" t="s">
        <v>1123</v>
      </c>
      <c r="I5445" s="564" t="s">
        <v>143</v>
      </c>
      <c r="J5445" s="564" t="s">
        <v>1069</v>
      </c>
      <c r="K5445" s="564" t="s">
        <v>1205</v>
      </c>
      <c r="L5445" s="564" t="s">
        <v>1071</v>
      </c>
      <c r="M5445" s="564" t="s">
        <v>1091</v>
      </c>
      <c r="N5445" s="564" t="s">
        <v>1073</v>
      </c>
      <c r="O5445" s="564" t="s">
        <v>241</v>
      </c>
      <c r="P5445" s="23"/>
      <c r="Q5445" s="23"/>
      <c r="R5445" s="23"/>
      <c r="S5445" s="23"/>
      <c r="T5445" s="23"/>
      <c r="U5445" s="23"/>
      <c r="V5445" s="23"/>
      <c r="W5445" s="23"/>
      <c r="X5445" s="23"/>
      <c r="Y5445" s="23"/>
      <c r="Z5445" s="23"/>
    </row>
    <row r="5446" spans="1:26" ht="13">
      <c r="A5446" s="562" t="s">
        <v>11668</v>
      </c>
      <c r="B5446" s="563" t="s">
        <v>11669</v>
      </c>
      <c r="C5446" s="564" t="s">
        <v>1103</v>
      </c>
      <c r="D5446" s="565">
        <v>42430</v>
      </c>
      <c r="E5446" s="565">
        <v>42794</v>
      </c>
      <c r="F5446" s="566">
        <v>5400000</v>
      </c>
      <c r="G5446" s="564" t="s">
        <v>1297</v>
      </c>
      <c r="H5446" s="564" t="s">
        <v>1187</v>
      </c>
      <c r="I5446" s="564" t="s">
        <v>70</v>
      </c>
      <c r="J5446" s="564" t="s">
        <v>1069</v>
      </c>
      <c r="K5446" s="564" t="s">
        <v>1120</v>
      </c>
      <c r="L5446" s="564" t="s">
        <v>1071</v>
      </c>
      <c r="M5446" s="564" t="s">
        <v>1091</v>
      </c>
      <c r="N5446" s="564" t="s">
        <v>70</v>
      </c>
      <c r="O5446" s="564" t="s">
        <v>241</v>
      </c>
      <c r="P5446" s="23"/>
      <c r="Q5446" s="23"/>
      <c r="R5446" s="23"/>
      <c r="S5446" s="23"/>
      <c r="T5446" s="23"/>
      <c r="U5446" s="23"/>
      <c r="V5446" s="23"/>
      <c r="W5446" s="23"/>
      <c r="X5446" s="23"/>
      <c r="Y5446" s="23"/>
      <c r="Z5446" s="23"/>
    </row>
    <row r="5447" spans="1:26" ht="13">
      <c r="A5447" s="562" t="s">
        <v>11670</v>
      </c>
      <c r="B5447" s="563" t="s">
        <v>11671</v>
      </c>
      <c r="C5447" s="564" t="s">
        <v>1873</v>
      </c>
      <c r="D5447" s="565">
        <v>42430</v>
      </c>
      <c r="E5447" s="565">
        <v>42794</v>
      </c>
      <c r="F5447" s="566">
        <v>1250000</v>
      </c>
      <c r="G5447" s="564" t="s">
        <v>1623</v>
      </c>
      <c r="H5447" s="564" t="s">
        <v>1623</v>
      </c>
      <c r="I5447" s="564" t="s">
        <v>802</v>
      </c>
      <c r="J5447" s="564" t="s">
        <v>1069</v>
      </c>
      <c r="K5447" s="564" t="s">
        <v>1198</v>
      </c>
      <c r="L5447" s="564" t="s">
        <v>1071</v>
      </c>
      <c r="M5447" s="564" t="s">
        <v>1091</v>
      </c>
      <c r="N5447" s="564" t="s">
        <v>132</v>
      </c>
      <c r="O5447" s="564" t="s">
        <v>241</v>
      </c>
      <c r="P5447" s="23"/>
      <c r="Q5447" s="23"/>
      <c r="R5447" s="23"/>
      <c r="S5447" s="23"/>
      <c r="T5447" s="23"/>
      <c r="U5447" s="23"/>
      <c r="V5447" s="23"/>
      <c r="W5447" s="23"/>
      <c r="X5447" s="23"/>
      <c r="Y5447" s="23"/>
      <c r="Z5447" s="23"/>
    </row>
    <row r="5448" spans="1:26" ht="13">
      <c r="A5448" s="562" t="s">
        <v>11672</v>
      </c>
      <c r="B5448" s="563" t="s">
        <v>11673</v>
      </c>
      <c r="C5448" s="564" t="s">
        <v>1873</v>
      </c>
      <c r="D5448" s="565">
        <v>42430</v>
      </c>
      <c r="E5448" s="565">
        <v>42794</v>
      </c>
      <c r="F5448" s="566">
        <v>24545460</v>
      </c>
      <c r="G5448" s="564" t="s">
        <v>1623</v>
      </c>
      <c r="H5448" s="564" t="s">
        <v>1623</v>
      </c>
      <c r="I5448" s="564" t="s">
        <v>802</v>
      </c>
      <c r="J5448" s="564" t="s">
        <v>1069</v>
      </c>
      <c r="K5448" s="564" t="s">
        <v>1198</v>
      </c>
      <c r="L5448" s="564" t="s">
        <v>1071</v>
      </c>
      <c r="M5448" s="564" t="s">
        <v>1091</v>
      </c>
      <c r="N5448" s="564" t="s">
        <v>132</v>
      </c>
      <c r="O5448" s="564" t="s">
        <v>241</v>
      </c>
      <c r="P5448" s="23"/>
      <c r="Q5448" s="23"/>
      <c r="R5448" s="23"/>
      <c r="S5448" s="23"/>
      <c r="T5448" s="23"/>
      <c r="U5448" s="23"/>
      <c r="V5448" s="23"/>
      <c r="W5448" s="23"/>
      <c r="X5448" s="23"/>
      <c r="Y5448" s="23"/>
      <c r="Z5448" s="23"/>
    </row>
    <row r="5449" spans="1:26" ht="13">
      <c r="A5449" s="562" t="s">
        <v>11674</v>
      </c>
      <c r="B5449" s="563" t="s">
        <v>11675</v>
      </c>
      <c r="C5449" s="564" t="s">
        <v>2437</v>
      </c>
      <c r="D5449" s="565">
        <v>42444</v>
      </c>
      <c r="E5449" s="565">
        <v>42766</v>
      </c>
      <c r="F5449" s="566">
        <v>289966090</v>
      </c>
      <c r="G5449" s="564" t="s">
        <v>2476</v>
      </c>
      <c r="H5449" s="564" t="s">
        <v>11012</v>
      </c>
      <c r="I5449" s="564" t="s">
        <v>10702</v>
      </c>
      <c r="J5449" s="564" t="s">
        <v>1069</v>
      </c>
      <c r="K5449" s="564" t="s">
        <v>1205</v>
      </c>
      <c r="L5449" s="564" t="s">
        <v>1390</v>
      </c>
      <c r="M5449" s="564" t="s">
        <v>1390</v>
      </c>
      <c r="N5449" s="564" t="s">
        <v>1082</v>
      </c>
      <c r="O5449" s="564" t="s">
        <v>38</v>
      </c>
      <c r="P5449" s="23"/>
      <c r="Q5449" s="23"/>
      <c r="R5449" s="23"/>
      <c r="S5449" s="23"/>
      <c r="T5449" s="23"/>
      <c r="U5449" s="23"/>
      <c r="V5449" s="23"/>
      <c r="W5449" s="23"/>
      <c r="X5449" s="23"/>
      <c r="Y5449" s="23"/>
      <c r="Z5449" s="23"/>
    </row>
    <row r="5450" spans="1:26" ht="13">
      <c r="A5450" s="562" t="s">
        <v>11676</v>
      </c>
      <c r="B5450" s="563" t="s">
        <v>11677</v>
      </c>
      <c r="C5450" s="564" t="s">
        <v>1873</v>
      </c>
      <c r="D5450" s="565">
        <v>42430</v>
      </c>
      <c r="E5450" s="565">
        <v>42794</v>
      </c>
      <c r="F5450" s="566">
        <v>3818184</v>
      </c>
      <c r="G5450" s="564" t="s">
        <v>1623</v>
      </c>
      <c r="H5450" s="564" t="s">
        <v>1623</v>
      </c>
      <c r="I5450" s="564" t="s">
        <v>802</v>
      </c>
      <c r="J5450" s="564" t="s">
        <v>1069</v>
      </c>
      <c r="K5450" s="564" t="s">
        <v>1198</v>
      </c>
      <c r="L5450" s="564" t="s">
        <v>1071</v>
      </c>
      <c r="M5450" s="564" t="s">
        <v>1091</v>
      </c>
      <c r="N5450" s="564" t="s">
        <v>132</v>
      </c>
      <c r="O5450" s="564" t="s">
        <v>241</v>
      </c>
      <c r="P5450" s="23"/>
      <c r="Q5450" s="23"/>
      <c r="R5450" s="23"/>
      <c r="S5450" s="23"/>
      <c r="T5450" s="23"/>
      <c r="U5450" s="23"/>
      <c r="V5450" s="23"/>
      <c r="W5450" s="23"/>
      <c r="X5450" s="23"/>
      <c r="Y5450" s="23"/>
      <c r="Z5450" s="23"/>
    </row>
    <row r="5451" spans="1:26" ht="13">
      <c r="A5451" s="562" t="s">
        <v>11678</v>
      </c>
      <c r="B5451" s="563" t="s">
        <v>11679</v>
      </c>
      <c r="C5451" s="564" t="s">
        <v>1873</v>
      </c>
      <c r="D5451" s="565">
        <v>42430</v>
      </c>
      <c r="E5451" s="565">
        <v>42794</v>
      </c>
      <c r="F5451" s="566">
        <v>13527276</v>
      </c>
      <c r="G5451" s="564" t="s">
        <v>1623</v>
      </c>
      <c r="H5451" s="564" t="s">
        <v>1623</v>
      </c>
      <c r="I5451" s="564" t="s">
        <v>802</v>
      </c>
      <c r="J5451" s="564" t="s">
        <v>1069</v>
      </c>
      <c r="K5451" s="564" t="s">
        <v>1198</v>
      </c>
      <c r="L5451" s="564" t="s">
        <v>1071</v>
      </c>
      <c r="M5451" s="564" t="s">
        <v>1091</v>
      </c>
      <c r="N5451" s="564" t="s">
        <v>132</v>
      </c>
      <c r="O5451" s="564" t="s">
        <v>241</v>
      </c>
      <c r="P5451" s="23"/>
      <c r="Q5451" s="23"/>
      <c r="R5451" s="23"/>
      <c r="S5451" s="23"/>
      <c r="T5451" s="23"/>
      <c r="U5451" s="23"/>
      <c r="V5451" s="23"/>
      <c r="W5451" s="23"/>
      <c r="X5451" s="23"/>
      <c r="Y5451" s="23"/>
      <c r="Z5451" s="23"/>
    </row>
    <row r="5452" spans="1:26" ht="13">
      <c r="A5452" s="562" t="s">
        <v>11680</v>
      </c>
      <c r="B5452" s="563" t="s">
        <v>11681</v>
      </c>
      <c r="C5452" s="564" t="s">
        <v>1873</v>
      </c>
      <c r="D5452" s="565">
        <v>42450</v>
      </c>
      <c r="E5452" s="565">
        <v>42454</v>
      </c>
      <c r="F5452" s="566">
        <v>1600000</v>
      </c>
      <c r="G5452" s="564" t="s">
        <v>1458</v>
      </c>
      <c r="H5452" s="564" t="s">
        <v>1157</v>
      </c>
      <c r="I5452" s="564" t="s">
        <v>170</v>
      </c>
      <c r="J5452" s="564" t="s">
        <v>1069</v>
      </c>
      <c r="K5452" s="564" t="s">
        <v>1105</v>
      </c>
      <c r="L5452" s="564" t="s">
        <v>1071</v>
      </c>
      <c r="M5452" s="564" t="s">
        <v>1091</v>
      </c>
      <c r="N5452" s="564" t="s">
        <v>170</v>
      </c>
      <c r="O5452" s="564" t="s">
        <v>241</v>
      </c>
      <c r="P5452" s="23"/>
      <c r="Q5452" s="23"/>
      <c r="R5452" s="23"/>
      <c r="S5452" s="23"/>
      <c r="T5452" s="23"/>
      <c r="U5452" s="23"/>
      <c r="V5452" s="23"/>
      <c r="W5452" s="23"/>
      <c r="X5452" s="23"/>
      <c r="Y5452" s="23"/>
      <c r="Z5452" s="23"/>
    </row>
    <row r="5453" spans="1:26" ht="13">
      <c r="A5453" s="562" t="s">
        <v>11682</v>
      </c>
      <c r="B5453" s="563" t="s">
        <v>11683</v>
      </c>
      <c r="C5453" s="564" t="s">
        <v>1255</v>
      </c>
      <c r="D5453" s="565">
        <v>42430</v>
      </c>
      <c r="E5453" s="565">
        <v>42794</v>
      </c>
      <c r="F5453" s="566">
        <v>17781820</v>
      </c>
      <c r="G5453" s="564" t="s">
        <v>1097</v>
      </c>
      <c r="H5453" s="564" t="s">
        <v>1123</v>
      </c>
      <c r="I5453" s="564" t="s">
        <v>143</v>
      </c>
      <c r="J5453" s="564" t="s">
        <v>1069</v>
      </c>
      <c r="K5453" s="564" t="s">
        <v>1205</v>
      </c>
      <c r="L5453" s="564" t="s">
        <v>1071</v>
      </c>
      <c r="M5453" s="564" t="s">
        <v>1091</v>
      </c>
      <c r="N5453" s="564" t="s">
        <v>1073</v>
      </c>
      <c r="O5453" s="564" t="s">
        <v>241</v>
      </c>
      <c r="P5453" s="23"/>
      <c r="Q5453" s="23"/>
      <c r="R5453" s="23"/>
      <c r="S5453" s="23"/>
      <c r="T5453" s="23"/>
      <c r="U5453" s="23"/>
      <c r="V5453" s="23"/>
      <c r="W5453" s="23"/>
      <c r="X5453" s="23"/>
      <c r="Y5453" s="23"/>
      <c r="Z5453" s="23"/>
    </row>
    <row r="5454" spans="1:26" ht="13">
      <c r="A5454" s="562" t="s">
        <v>11684</v>
      </c>
      <c r="B5454" s="563" t="s">
        <v>11685</v>
      </c>
      <c r="C5454" s="564" t="s">
        <v>1255</v>
      </c>
      <c r="D5454" s="565">
        <v>42430</v>
      </c>
      <c r="E5454" s="565">
        <v>42794</v>
      </c>
      <c r="F5454" s="566">
        <v>7200000</v>
      </c>
      <c r="G5454" s="564" t="s">
        <v>1097</v>
      </c>
      <c r="H5454" s="564" t="s">
        <v>1123</v>
      </c>
      <c r="I5454" s="564" t="s">
        <v>143</v>
      </c>
      <c r="J5454" s="564" t="s">
        <v>1069</v>
      </c>
      <c r="K5454" s="564" t="s">
        <v>1205</v>
      </c>
      <c r="L5454" s="564" t="s">
        <v>1071</v>
      </c>
      <c r="M5454" s="564" t="s">
        <v>1091</v>
      </c>
      <c r="N5454" s="564" t="s">
        <v>1073</v>
      </c>
      <c r="O5454" s="564" t="s">
        <v>241</v>
      </c>
      <c r="P5454" s="23"/>
      <c r="Q5454" s="23"/>
      <c r="R5454" s="23"/>
      <c r="S5454" s="23"/>
      <c r="T5454" s="23"/>
      <c r="U5454" s="23"/>
      <c r="V5454" s="23"/>
      <c r="W5454" s="23"/>
      <c r="X5454" s="23"/>
      <c r="Y5454" s="23"/>
      <c r="Z5454" s="23"/>
    </row>
    <row r="5455" spans="1:26" ht="13">
      <c r="A5455" s="562" t="s">
        <v>11686</v>
      </c>
      <c r="B5455" s="563" t="s">
        <v>11687</v>
      </c>
      <c r="C5455" s="564" t="s">
        <v>1103</v>
      </c>
      <c r="D5455" s="565">
        <v>42401</v>
      </c>
      <c r="E5455" s="565">
        <v>42766</v>
      </c>
      <c r="F5455" s="566">
        <v>13970000</v>
      </c>
      <c r="G5455" s="564" t="s">
        <v>11000</v>
      </c>
      <c r="H5455" s="564" t="s">
        <v>1187</v>
      </c>
      <c r="I5455" s="564" t="s">
        <v>70</v>
      </c>
      <c r="J5455" s="564" t="s">
        <v>1069</v>
      </c>
      <c r="K5455" s="564" t="s">
        <v>1120</v>
      </c>
      <c r="L5455" s="564" t="s">
        <v>1071</v>
      </c>
      <c r="M5455" s="564" t="s">
        <v>1091</v>
      </c>
      <c r="N5455" s="564" t="s">
        <v>70</v>
      </c>
      <c r="O5455" s="564" t="s">
        <v>241</v>
      </c>
      <c r="P5455" s="23"/>
      <c r="Q5455" s="23"/>
      <c r="R5455" s="23"/>
      <c r="S5455" s="23"/>
      <c r="T5455" s="23"/>
      <c r="U5455" s="23"/>
      <c r="V5455" s="23"/>
      <c r="W5455" s="23"/>
      <c r="X5455" s="23"/>
      <c r="Y5455" s="23"/>
      <c r="Z5455" s="23"/>
    </row>
    <row r="5456" spans="1:26" ht="13">
      <c r="A5456" s="562" t="s">
        <v>11688</v>
      </c>
      <c r="B5456" s="563" t="s">
        <v>11689</v>
      </c>
      <c r="C5456" s="564" t="s">
        <v>1066</v>
      </c>
      <c r="D5456" s="565">
        <v>42370</v>
      </c>
      <c r="E5456" s="565">
        <v>44196</v>
      </c>
      <c r="F5456" s="566">
        <v>156780000</v>
      </c>
      <c r="G5456" s="564" t="s">
        <v>1297</v>
      </c>
      <c r="H5456" s="564" t="s">
        <v>1157</v>
      </c>
      <c r="I5456" s="564" t="s">
        <v>1247</v>
      </c>
      <c r="J5456" s="564" t="s">
        <v>1069</v>
      </c>
      <c r="K5456" s="564" t="s">
        <v>1070</v>
      </c>
      <c r="L5456" s="564" t="s">
        <v>1071</v>
      </c>
      <c r="M5456" s="564" t="s">
        <v>1072</v>
      </c>
      <c r="N5456" s="564" t="s">
        <v>1073</v>
      </c>
      <c r="O5456" s="564" t="s">
        <v>1176</v>
      </c>
      <c r="P5456" s="23"/>
      <c r="Q5456" s="23"/>
      <c r="R5456" s="23"/>
      <c r="S5456" s="23"/>
      <c r="T5456" s="23"/>
      <c r="U5456" s="23"/>
      <c r="V5456" s="23"/>
      <c r="W5456" s="23"/>
      <c r="X5456" s="23"/>
      <c r="Y5456" s="23"/>
      <c r="Z5456" s="23"/>
    </row>
    <row r="5457" spans="1:26" ht="13">
      <c r="A5457" s="562" t="s">
        <v>11690</v>
      </c>
      <c r="B5457" s="563" t="s">
        <v>11691</v>
      </c>
      <c r="C5457" s="564" t="s">
        <v>1255</v>
      </c>
      <c r="D5457" s="565">
        <v>42370</v>
      </c>
      <c r="E5457" s="565">
        <v>44196</v>
      </c>
      <c r="F5457" s="566">
        <v>126120000</v>
      </c>
      <c r="G5457" s="564" t="s">
        <v>1489</v>
      </c>
      <c r="H5457" s="564" t="s">
        <v>1157</v>
      </c>
      <c r="I5457" s="564" t="s">
        <v>1247</v>
      </c>
      <c r="J5457" s="564" t="s">
        <v>1069</v>
      </c>
      <c r="K5457" s="564" t="s">
        <v>1070</v>
      </c>
      <c r="L5457" s="564" t="s">
        <v>1390</v>
      </c>
      <c r="M5457" s="564" t="s">
        <v>1390</v>
      </c>
      <c r="N5457" s="564" t="s">
        <v>1073</v>
      </c>
      <c r="O5457" s="564" t="s">
        <v>197</v>
      </c>
      <c r="P5457" s="23"/>
      <c r="Q5457" s="23"/>
      <c r="R5457" s="23"/>
      <c r="S5457" s="23"/>
      <c r="T5457" s="23"/>
      <c r="U5457" s="23"/>
      <c r="V5457" s="23"/>
      <c r="W5457" s="23"/>
      <c r="X5457" s="23"/>
      <c r="Y5457" s="23"/>
      <c r="Z5457" s="23"/>
    </row>
    <row r="5458" spans="1:26" ht="13">
      <c r="A5458" s="562" t="s">
        <v>11692</v>
      </c>
      <c r="B5458" s="563" t="s">
        <v>11693</v>
      </c>
      <c r="C5458" s="564" t="s">
        <v>1475</v>
      </c>
      <c r="D5458" s="565">
        <v>42370</v>
      </c>
      <c r="E5458" s="565">
        <v>44196</v>
      </c>
      <c r="F5458" s="566">
        <v>313800000</v>
      </c>
      <c r="G5458" s="564" t="s">
        <v>1182</v>
      </c>
      <c r="H5458" s="564" t="s">
        <v>1157</v>
      </c>
      <c r="I5458" s="564" t="s">
        <v>1247</v>
      </c>
      <c r="J5458" s="564" t="s">
        <v>1069</v>
      </c>
      <c r="K5458" s="564" t="s">
        <v>1070</v>
      </c>
      <c r="L5458" s="564" t="s">
        <v>1071</v>
      </c>
      <c r="M5458" s="564" t="s">
        <v>1091</v>
      </c>
      <c r="N5458" s="564" t="s">
        <v>1073</v>
      </c>
      <c r="O5458" s="564" t="s">
        <v>241</v>
      </c>
      <c r="P5458" s="23"/>
      <c r="Q5458" s="23"/>
      <c r="R5458" s="23"/>
      <c r="S5458" s="23"/>
      <c r="T5458" s="23"/>
      <c r="U5458" s="23"/>
      <c r="V5458" s="23"/>
      <c r="W5458" s="23"/>
      <c r="X5458" s="23"/>
      <c r="Y5458" s="23"/>
      <c r="Z5458" s="23"/>
    </row>
    <row r="5459" spans="1:26" ht="13">
      <c r="A5459" s="562" t="s">
        <v>11694</v>
      </c>
      <c r="B5459" s="563" t="s">
        <v>11695</v>
      </c>
      <c r="C5459" s="564" t="s">
        <v>1551</v>
      </c>
      <c r="D5459" s="565">
        <v>42370</v>
      </c>
      <c r="E5459" s="565">
        <v>43465</v>
      </c>
      <c r="F5459" s="566">
        <v>699730900</v>
      </c>
      <c r="G5459" s="564" t="s">
        <v>11696</v>
      </c>
      <c r="H5459" s="564" t="s">
        <v>1128</v>
      </c>
      <c r="I5459" s="564" t="s">
        <v>45</v>
      </c>
      <c r="J5459" s="564" t="s">
        <v>1069</v>
      </c>
      <c r="K5459" s="564" t="s">
        <v>1090</v>
      </c>
      <c r="L5459" s="564" t="s">
        <v>1071</v>
      </c>
      <c r="M5459" s="564" t="s">
        <v>1091</v>
      </c>
      <c r="N5459" s="564" t="s">
        <v>45</v>
      </c>
      <c r="O5459" s="564" t="s">
        <v>241</v>
      </c>
      <c r="P5459" s="23"/>
      <c r="Q5459" s="23"/>
      <c r="R5459" s="23"/>
      <c r="S5459" s="23"/>
      <c r="T5459" s="23"/>
      <c r="U5459" s="23"/>
      <c r="V5459" s="23"/>
      <c r="W5459" s="23"/>
      <c r="X5459" s="23"/>
      <c r="Y5459" s="23"/>
      <c r="Z5459" s="23"/>
    </row>
    <row r="5460" spans="1:26" ht="13">
      <c r="A5460" s="562" t="s">
        <v>11697</v>
      </c>
      <c r="B5460" s="563" t="s">
        <v>11698</v>
      </c>
      <c r="C5460" s="564" t="s">
        <v>1255</v>
      </c>
      <c r="D5460" s="565">
        <v>42370</v>
      </c>
      <c r="E5460" s="565">
        <v>42735</v>
      </c>
      <c r="F5460" s="566">
        <v>31150000</v>
      </c>
      <c r="G5460" s="564" t="s">
        <v>1097</v>
      </c>
      <c r="H5460" s="564" t="s">
        <v>1123</v>
      </c>
      <c r="I5460" s="564" t="s">
        <v>143</v>
      </c>
      <c r="J5460" s="564" t="s">
        <v>1069</v>
      </c>
      <c r="K5460" s="564" t="s">
        <v>1205</v>
      </c>
      <c r="L5460" s="564" t="s">
        <v>1071</v>
      </c>
      <c r="M5460" s="564" t="s">
        <v>1091</v>
      </c>
      <c r="N5460" s="564" t="s">
        <v>1073</v>
      </c>
      <c r="O5460" s="564" t="s">
        <v>241</v>
      </c>
      <c r="P5460" s="23"/>
      <c r="Q5460" s="23"/>
      <c r="R5460" s="23"/>
      <c r="S5460" s="23"/>
      <c r="T5460" s="23"/>
      <c r="U5460" s="23"/>
      <c r="V5460" s="23"/>
      <c r="W5460" s="23"/>
      <c r="X5460" s="23"/>
      <c r="Y5460" s="23"/>
      <c r="Z5460" s="23"/>
    </row>
    <row r="5461" spans="1:26" ht="13">
      <c r="A5461" s="562" t="s">
        <v>11699</v>
      </c>
      <c r="B5461" s="563" t="s">
        <v>11700</v>
      </c>
      <c r="C5461" s="564" t="s">
        <v>2191</v>
      </c>
      <c r="D5461" s="565">
        <v>42370</v>
      </c>
      <c r="E5461" s="565">
        <v>42735</v>
      </c>
      <c r="F5461" s="566">
        <v>396233364</v>
      </c>
      <c r="G5461" s="564" t="s">
        <v>1912</v>
      </c>
      <c r="H5461" s="564" t="s">
        <v>1128</v>
      </c>
      <c r="I5461" s="564" t="s">
        <v>7303</v>
      </c>
      <c r="J5461" s="564" t="s">
        <v>1069</v>
      </c>
      <c r="K5461" s="564" t="s">
        <v>1070</v>
      </c>
      <c r="L5461" s="564" t="s">
        <v>1071</v>
      </c>
      <c r="M5461" s="564" t="s">
        <v>1091</v>
      </c>
      <c r="N5461" s="564" t="s">
        <v>2325</v>
      </c>
      <c r="O5461" s="564" t="s">
        <v>241</v>
      </c>
      <c r="P5461" s="23"/>
      <c r="Q5461" s="23"/>
      <c r="R5461" s="23"/>
      <c r="S5461" s="23"/>
      <c r="T5461" s="23"/>
      <c r="U5461" s="23"/>
      <c r="V5461" s="23"/>
      <c r="W5461" s="23"/>
      <c r="X5461" s="23"/>
      <c r="Y5461" s="23"/>
      <c r="Z5461" s="23"/>
    </row>
    <row r="5462" spans="1:26" ht="13">
      <c r="A5462" s="562" t="s">
        <v>11701</v>
      </c>
      <c r="B5462" s="563" t="s">
        <v>11702</v>
      </c>
      <c r="C5462" s="564" t="s">
        <v>1612</v>
      </c>
      <c r="D5462" s="565">
        <v>42353</v>
      </c>
      <c r="E5462" s="565">
        <v>42474</v>
      </c>
      <c r="F5462" s="566">
        <v>82000000</v>
      </c>
      <c r="G5462" s="564" t="s">
        <v>1312</v>
      </c>
      <c r="H5462" s="564" t="s">
        <v>1157</v>
      </c>
      <c r="I5462" s="564" t="s">
        <v>11703</v>
      </c>
      <c r="J5462" s="564" t="s">
        <v>1069</v>
      </c>
      <c r="K5462" s="564" t="s">
        <v>1105</v>
      </c>
      <c r="L5462" s="564" t="s">
        <v>1390</v>
      </c>
      <c r="M5462" s="564" t="s">
        <v>1390</v>
      </c>
      <c r="N5462" s="564" t="s">
        <v>1082</v>
      </c>
      <c r="O5462" s="564" t="s">
        <v>38</v>
      </c>
      <c r="P5462" s="23"/>
      <c r="Q5462" s="23"/>
      <c r="R5462" s="23"/>
      <c r="S5462" s="23"/>
      <c r="T5462" s="23"/>
      <c r="U5462" s="23"/>
      <c r="V5462" s="23"/>
      <c r="W5462" s="23"/>
      <c r="X5462" s="23"/>
      <c r="Y5462" s="23"/>
      <c r="Z5462" s="23"/>
    </row>
    <row r="5463" spans="1:26" ht="13">
      <c r="A5463" s="562" t="s">
        <v>11704</v>
      </c>
      <c r="B5463" s="563" t="s">
        <v>11705</v>
      </c>
      <c r="C5463" s="564" t="s">
        <v>1612</v>
      </c>
      <c r="D5463" s="565">
        <v>42324</v>
      </c>
      <c r="E5463" s="565">
        <v>42338</v>
      </c>
      <c r="F5463" s="566">
        <v>5000000</v>
      </c>
      <c r="G5463" s="564" t="s">
        <v>1297</v>
      </c>
      <c r="H5463" s="564" t="s">
        <v>1128</v>
      </c>
      <c r="I5463" s="564" t="s">
        <v>1628</v>
      </c>
      <c r="J5463" s="564" t="s">
        <v>1069</v>
      </c>
      <c r="K5463" s="564" t="s">
        <v>1105</v>
      </c>
      <c r="L5463" s="564" t="s">
        <v>1390</v>
      </c>
      <c r="M5463" s="564" t="s">
        <v>1390</v>
      </c>
      <c r="N5463" s="564" t="s">
        <v>1073</v>
      </c>
      <c r="O5463" s="564" t="s">
        <v>38</v>
      </c>
      <c r="P5463" s="23"/>
      <c r="Q5463" s="23"/>
      <c r="R5463" s="23"/>
      <c r="S5463" s="23"/>
      <c r="T5463" s="23"/>
      <c r="U5463" s="23"/>
      <c r="V5463" s="23"/>
      <c r="W5463" s="23"/>
      <c r="X5463" s="23"/>
      <c r="Y5463" s="23"/>
      <c r="Z5463" s="23"/>
    </row>
    <row r="5464" spans="1:26" ht="13">
      <c r="A5464" s="562" t="s">
        <v>11706</v>
      </c>
      <c r="B5464" s="563" t="s">
        <v>11707</v>
      </c>
      <c r="C5464" s="564" t="s">
        <v>1612</v>
      </c>
      <c r="D5464" s="565">
        <v>42323</v>
      </c>
      <c r="E5464" s="565">
        <v>42338</v>
      </c>
      <c r="F5464" s="566">
        <v>5000000</v>
      </c>
      <c r="G5464" s="564" t="s">
        <v>1297</v>
      </c>
      <c r="H5464" s="564" t="s">
        <v>1128</v>
      </c>
      <c r="I5464" s="564" t="s">
        <v>125</v>
      </c>
      <c r="J5464" s="564" t="s">
        <v>1069</v>
      </c>
      <c r="K5464" s="564" t="s">
        <v>1070</v>
      </c>
      <c r="L5464" s="564" t="s">
        <v>1390</v>
      </c>
      <c r="M5464" s="564" t="s">
        <v>1390</v>
      </c>
      <c r="N5464" s="564" t="s">
        <v>1073</v>
      </c>
      <c r="O5464" s="564" t="s">
        <v>38</v>
      </c>
      <c r="P5464" s="23"/>
      <c r="Q5464" s="23"/>
      <c r="R5464" s="23"/>
      <c r="S5464" s="23"/>
      <c r="T5464" s="23"/>
      <c r="U5464" s="23"/>
      <c r="V5464" s="23"/>
      <c r="W5464" s="23"/>
      <c r="X5464" s="23"/>
      <c r="Y5464" s="23"/>
      <c r="Z5464" s="23"/>
    </row>
    <row r="5465" spans="1:26" ht="13">
      <c r="A5465" s="562" t="s">
        <v>11708</v>
      </c>
      <c r="B5465" s="563" t="s">
        <v>11709</v>
      </c>
      <c r="C5465" s="564" t="s">
        <v>1612</v>
      </c>
      <c r="D5465" s="565">
        <v>42324</v>
      </c>
      <c r="E5465" s="565">
        <v>42400</v>
      </c>
      <c r="F5465" s="566">
        <v>49300000</v>
      </c>
      <c r="G5465" s="564" t="s">
        <v>1128</v>
      </c>
      <c r="H5465" s="564" t="s">
        <v>1128</v>
      </c>
      <c r="I5465" s="564" t="s">
        <v>45</v>
      </c>
      <c r="J5465" s="564" t="s">
        <v>1069</v>
      </c>
      <c r="K5465" s="564" t="s">
        <v>1090</v>
      </c>
      <c r="L5465" s="564" t="s">
        <v>1390</v>
      </c>
      <c r="M5465" s="564" t="s">
        <v>1390</v>
      </c>
      <c r="N5465" s="564" t="s">
        <v>45</v>
      </c>
      <c r="O5465" s="564" t="s">
        <v>38</v>
      </c>
      <c r="P5465" s="23"/>
      <c r="Q5465" s="23"/>
      <c r="R5465" s="23"/>
      <c r="S5465" s="23"/>
      <c r="T5465" s="23"/>
      <c r="U5465" s="23"/>
      <c r="V5465" s="23"/>
      <c r="W5465" s="23"/>
      <c r="X5465" s="23"/>
      <c r="Y5465" s="23"/>
      <c r="Z5465" s="23"/>
    </row>
    <row r="5466" spans="1:26" ht="13">
      <c r="A5466" s="562" t="s">
        <v>11710</v>
      </c>
      <c r="B5466" s="563" t="s">
        <v>11711</v>
      </c>
      <c r="C5466" s="564" t="s">
        <v>1612</v>
      </c>
      <c r="D5466" s="565">
        <v>42217</v>
      </c>
      <c r="E5466" s="565">
        <v>42307</v>
      </c>
      <c r="F5466" s="566">
        <v>39400000</v>
      </c>
      <c r="G5466" s="564" t="s">
        <v>1312</v>
      </c>
      <c r="H5466" s="564" t="s">
        <v>1157</v>
      </c>
      <c r="I5466" s="564" t="s">
        <v>45</v>
      </c>
      <c r="J5466" s="564" t="s">
        <v>1069</v>
      </c>
      <c r="K5466" s="564" t="s">
        <v>1090</v>
      </c>
      <c r="L5466" s="564" t="s">
        <v>1390</v>
      </c>
      <c r="M5466" s="564" t="s">
        <v>1390</v>
      </c>
      <c r="N5466" s="564" t="s">
        <v>45</v>
      </c>
      <c r="O5466" s="564" t="s">
        <v>38</v>
      </c>
      <c r="P5466" s="23"/>
      <c r="Q5466" s="23"/>
      <c r="R5466" s="23"/>
      <c r="S5466" s="23"/>
      <c r="T5466" s="23"/>
      <c r="U5466" s="23"/>
      <c r="V5466" s="23"/>
      <c r="W5466" s="23"/>
      <c r="X5466" s="23"/>
      <c r="Y5466" s="23"/>
      <c r="Z5466" s="23"/>
    </row>
    <row r="5467" spans="1:26" ht="13">
      <c r="A5467" s="562" t="s">
        <v>11712</v>
      </c>
      <c r="B5467" s="563" t="s">
        <v>11713</v>
      </c>
      <c r="C5467" s="564" t="s">
        <v>1612</v>
      </c>
      <c r="D5467" s="565">
        <v>42309</v>
      </c>
      <c r="E5467" s="565">
        <v>42674</v>
      </c>
      <c r="F5467" s="566">
        <v>13800000</v>
      </c>
      <c r="G5467" s="564" t="s">
        <v>1297</v>
      </c>
      <c r="H5467" s="564" t="s">
        <v>1187</v>
      </c>
      <c r="I5467" s="564" t="s">
        <v>70</v>
      </c>
      <c r="J5467" s="564" t="s">
        <v>1069</v>
      </c>
      <c r="K5467" s="564" t="s">
        <v>1120</v>
      </c>
      <c r="L5467" s="564" t="s">
        <v>1071</v>
      </c>
      <c r="M5467" s="564" t="s">
        <v>1091</v>
      </c>
      <c r="N5467" s="564" t="s">
        <v>70</v>
      </c>
      <c r="O5467" s="564" t="s">
        <v>241</v>
      </c>
      <c r="P5467" s="23"/>
      <c r="Q5467" s="23"/>
      <c r="R5467" s="23"/>
      <c r="S5467" s="23"/>
      <c r="T5467" s="23"/>
      <c r="U5467" s="23"/>
      <c r="V5467" s="23"/>
      <c r="W5467" s="23"/>
      <c r="X5467" s="23"/>
      <c r="Y5467" s="23"/>
      <c r="Z5467" s="23"/>
    </row>
    <row r="5468" spans="1:26" ht="13">
      <c r="A5468" s="562" t="s">
        <v>11714</v>
      </c>
      <c r="B5468" s="563" t="s">
        <v>11715</v>
      </c>
      <c r="C5468" s="564" t="s">
        <v>2191</v>
      </c>
      <c r="D5468" s="565">
        <v>42309</v>
      </c>
      <c r="E5468" s="565">
        <v>42674</v>
      </c>
      <c r="F5468" s="566">
        <v>12000000</v>
      </c>
      <c r="G5468" s="564" t="s">
        <v>11496</v>
      </c>
      <c r="H5468" s="564" t="s">
        <v>1529</v>
      </c>
      <c r="I5468" s="564" t="s">
        <v>1771</v>
      </c>
      <c r="J5468" s="564" t="s">
        <v>1069</v>
      </c>
      <c r="K5468" s="564" t="s">
        <v>1070</v>
      </c>
      <c r="L5468" s="564" t="s">
        <v>1071</v>
      </c>
      <c r="M5468" s="564" t="s">
        <v>1091</v>
      </c>
      <c r="N5468" s="564" t="s">
        <v>1082</v>
      </c>
      <c r="O5468" s="564" t="s">
        <v>241</v>
      </c>
      <c r="P5468" s="23"/>
      <c r="Q5468" s="23"/>
      <c r="R5468" s="23"/>
      <c r="S5468" s="23"/>
      <c r="T5468" s="23"/>
      <c r="U5468" s="23"/>
      <c r="V5468" s="23"/>
      <c r="W5468" s="23"/>
      <c r="X5468" s="23"/>
      <c r="Y5468" s="23"/>
      <c r="Z5468" s="23"/>
    </row>
    <row r="5469" spans="1:26" ht="13">
      <c r="A5469" s="562" t="s">
        <v>11716</v>
      </c>
      <c r="B5469" s="563" t="s">
        <v>11717</v>
      </c>
      <c r="C5469" s="564" t="s">
        <v>1612</v>
      </c>
      <c r="D5469" s="565">
        <v>42186</v>
      </c>
      <c r="E5469" s="565">
        <v>42369</v>
      </c>
      <c r="F5469" s="566">
        <v>5000000</v>
      </c>
      <c r="G5469" s="564" t="s">
        <v>1297</v>
      </c>
      <c r="H5469" s="564" t="s">
        <v>1128</v>
      </c>
      <c r="I5469" s="564" t="s">
        <v>64</v>
      </c>
      <c r="J5469" s="564" t="s">
        <v>1069</v>
      </c>
      <c r="K5469" s="564" t="s">
        <v>1090</v>
      </c>
      <c r="L5469" s="564" t="s">
        <v>2098</v>
      </c>
      <c r="M5469" s="564" t="s">
        <v>2098</v>
      </c>
      <c r="N5469" s="564" t="s">
        <v>64</v>
      </c>
      <c r="O5469" s="564" t="s">
        <v>2099</v>
      </c>
      <c r="P5469" s="23"/>
      <c r="Q5469" s="23"/>
      <c r="R5469" s="23"/>
      <c r="S5469" s="23"/>
      <c r="T5469" s="23"/>
      <c r="U5469" s="23"/>
      <c r="V5469" s="23"/>
      <c r="W5469" s="23"/>
      <c r="X5469" s="23"/>
      <c r="Y5469" s="23"/>
      <c r="Z5469" s="23"/>
    </row>
    <row r="5470" spans="1:26" ht="13">
      <c r="A5470" s="562" t="s">
        <v>11718</v>
      </c>
      <c r="B5470" s="563" t="s">
        <v>11719</v>
      </c>
      <c r="C5470" s="564" t="s">
        <v>1612</v>
      </c>
      <c r="D5470" s="565">
        <v>42248</v>
      </c>
      <c r="E5470" s="565">
        <v>42613</v>
      </c>
      <c r="F5470" s="566">
        <v>13812000</v>
      </c>
      <c r="G5470" s="564" t="s">
        <v>1330</v>
      </c>
      <c r="H5470" s="564" t="s">
        <v>1187</v>
      </c>
      <c r="I5470" s="564" t="s">
        <v>70</v>
      </c>
      <c r="J5470" s="564" t="s">
        <v>1069</v>
      </c>
      <c r="K5470" s="564" t="s">
        <v>1120</v>
      </c>
      <c r="L5470" s="564" t="s">
        <v>1071</v>
      </c>
      <c r="M5470" s="564" t="s">
        <v>1091</v>
      </c>
      <c r="N5470" s="564" t="s">
        <v>70</v>
      </c>
      <c r="O5470" s="564" t="s">
        <v>241</v>
      </c>
      <c r="P5470" s="23"/>
      <c r="Q5470" s="23"/>
      <c r="R5470" s="23"/>
      <c r="S5470" s="23"/>
      <c r="T5470" s="23"/>
      <c r="U5470" s="23"/>
      <c r="V5470" s="23"/>
      <c r="W5470" s="23"/>
      <c r="X5470" s="23"/>
      <c r="Y5470" s="23"/>
      <c r="Z5470" s="23"/>
    </row>
    <row r="5471" spans="1:26" ht="13">
      <c r="A5471" s="562" t="s">
        <v>11720</v>
      </c>
      <c r="B5471" s="563" t="s">
        <v>11721</v>
      </c>
      <c r="C5471" s="564" t="s">
        <v>1612</v>
      </c>
      <c r="D5471" s="565">
        <v>42254</v>
      </c>
      <c r="E5471" s="565">
        <v>42613</v>
      </c>
      <c r="F5471" s="566">
        <v>79200000</v>
      </c>
      <c r="G5471" s="564" t="s">
        <v>2492</v>
      </c>
      <c r="H5471" s="564" t="s">
        <v>1157</v>
      </c>
      <c r="I5471" s="564" t="s">
        <v>125</v>
      </c>
      <c r="J5471" s="564" t="s">
        <v>1069</v>
      </c>
      <c r="K5471" s="564" t="s">
        <v>1070</v>
      </c>
      <c r="L5471" s="564" t="s">
        <v>1390</v>
      </c>
      <c r="M5471" s="564" t="s">
        <v>1390</v>
      </c>
      <c r="N5471" s="564" t="s">
        <v>1073</v>
      </c>
      <c r="O5471" s="564" t="s">
        <v>38</v>
      </c>
      <c r="P5471" s="23"/>
      <c r="Q5471" s="23"/>
      <c r="R5471" s="23"/>
      <c r="S5471" s="23"/>
      <c r="T5471" s="23"/>
      <c r="U5471" s="23"/>
      <c r="V5471" s="23"/>
      <c r="W5471" s="23"/>
      <c r="X5471" s="23"/>
      <c r="Y5471" s="23"/>
      <c r="Z5471" s="23"/>
    </row>
    <row r="5472" spans="1:26" ht="13">
      <c r="A5472" s="562" t="s">
        <v>11722</v>
      </c>
      <c r="B5472" s="563" t="s">
        <v>11723</v>
      </c>
      <c r="C5472" s="564" t="s">
        <v>1255</v>
      </c>
      <c r="D5472" s="565">
        <v>42248</v>
      </c>
      <c r="E5472" s="565">
        <v>42613</v>
      </c>
      <c r="F5472" s="566">
        <v>35464000</v>
      </c>
      <c r="G5472" s="564" t="s">
        <v>1912</v>
      </c>
      <c r="H5472" s="564" t="s">
        <v>1123</v>
      </c>
      <c r="I5472" s="564" t="s">
        <v>11724</v>
      </c>
      <c r="J5472" s="564" t="s">
        <v>1069</v>
      </c>
      <c r="K5472" s="564" t="s">
        <v>1105</v>
      </c>
      <c r="L5472" s="564" t="s">
        <v>1071</v>
      </c>
      <c r="M5472" s="564" t="s">
        <v>1091</v>
      </c>
      <c r="N5472" s="564" t="s">
        <v>1073</v>
      </c>
      <c r="O5472" s="564" t="s">
        <v>241</v>
      </c>
      <c r="P5472" s="23"/>
      <c r="Q5472" s="23"/>
      <c r="R5472" s="23"/>
      <c r="S5472" s="23"/>
      <c r="T5472" s="23"/>
      <c r="U5472" s="23"/>
      <c r="V5472" s="23"/>
      <c r="W5472" s="23"/>
      <c r="X5472" s="23"/>
      <c r="Y5472" s="23"/>
      <c r="Z5472" s="23"/>
    </row>
    <row r="5473" spans="1:26" ht="13">
      <c r="A5473" s="562" t="s">
        <v>11725</v>
      </c>
      <c r="B5473" s="563" t="s">
        <v>11726</v>
      </c>
      <c r="C5473" s="564" t="s">
        <v>1255</v>
      </c>
      <c r="D5473" s="565">
        <v>42248</v>
      </c>
      <c r="E5473" s="565">
        <v>42613</v>
      </c>
      <c r="F5473" s="566">
        <v>21750000</v>
      </c>
      <c r="G5473" s="564" t="s">
        <v>1912</v>
      </c>
      <c r="H5473" s="564" t="s">
        <v>1123</v>
      </c>
      <c r="I5473" s="564" t="s">
        <v>11724</v>
      </c>
      <c r="J5473" s="564" t="s">
        <v>1069</v>
      </c>
      <c r="K5473" s="564" t="s">
        <v>1105</v>
      </c>
      <c r="L5473" s="564" t="s">
        <v>1071</v>
      </c>
      <c r="M5473" s="564" t="s">
        <v>1091</v>
      </c>
      <c r="N5473" s="564" t="s">
        <v>1073</v>
      </c>
      <c r="O5473" s="564" t="s">
        <v>241</v>
      </c>
      <c r="P5473" s="23"/>
      <c r="Q5473" s="23"/>
      <c r="R5473" s="23"/>
      <c r="S5473" s="23"/>
      <c r="T5473" s="23"/>
      <c r="U5473" s="23"/>
      <c r="V5473" s="23"/>
      <c r="W5473" s="23"/>
      <c r="X5473" s="23"/>
      <c r="Y5473" s="23"/>
      <c r="Z5473" s="23"/>
    </row>
    <row r="5474" spans="1:26" ht="13">
      <c r="A5474" s="562" t="s">
        <v>11727</v>
      </c>
      <c r="B5474" s="563" t="s">
        <v>11728</v>
      </c>
      <c r="C5474" s="564" t="s">
        <v>1612</v>
      </c>
      <c r="D5474" s="565">
        <v>42248</v>
      </c>
      <c r="E5474" s="565">
        <v>42429</v>
      </c>
      <c r="F5474" s="566">
        <v>99000000</v>
      </c>
      <c r="G5474" s="564" t="s">
        <v>3535</v>
      </c>
      <c r="H5474" s="564" t="s">
        <v>1157</v>
      </c>
      <c r="I5474" s="564" t="s">
        <v>121</v>
      </c>
      <c r="J5474" s="564" t="s">
        <v>1069</v>
      </c>
      <c r="K5474" s="564" t="s">
        <v>1105</v>
      </c>
      <c r="L5474" s="564" t="s">
        <v>1071</v>
      </c>
      <c r="M5474" s="564" t="s">
        <v>1091</v>
      </c>
      <c r="N5474" s="564" t="s">
        <v>1073</v>
      </c>
      <c r="O5474" s="564" t="s">
        <v>241</v>
      </c>
      <c r="P5474" s="23"/>
      <c r="Q5474" s="23"/>
      <c r="R5474" s="23"/>
      <c r="S5474" s="23"/>
      <c r="T5474" s="23"/>
      <c r="U5474" s="23"/>
      <c r="V5474" s="23"/>
      <c r="W5474" s="23"/>
      <c r="X5474" s="23"/>
      <c r="Y5474" s="23"/>
      <c r="Z5474" s="23"/>
    </row>
    <row r="5475" spans="1:26" ht="13">
      <c r="A5475" s="562" t="s">
        <v>11729</v>
      </c>
      <c r="B5475" s="563" t="s">
        <v>11730</v>
      </c>
      <c r="C5475" s="564" t="s">
        <v>1255</v>
      </c>
      <c r="D5475" s="565">
        <v>42241</v>
      </c>
      <c r="E5475" s="565">
        <v>42247</v>
      </c>
      <c r="F5475" s="566">
        <v>2200000</v>
      </c>
      <c r="G5475" s="564" t="s">
        <v>1604</v>
      </c>
      <c r="H5475" s="564" t="s">
        <v>1604</v>
      </c>
      <c r="I5475" s="564" t="s">
        <v>121</v>
      </c>
      <c r="J5475" s="564" t="s">
        <v>1069</v>
      </c>
      <c r="K5475" s="564" t="s">
        <v>1105</v>
      </c>
      <c r="L5475" s="564" t="s">
        <v>1071</v>
      </c>
      <c r="M5475" s="564" t="s">
        <v>1124</v>
      </c>
      <c r="N5475" s="564" t="s">
        <v>1073</v>
      </c>
      <c r="O5475" s="564" t="s">
        <v>197</v>
      </c>
      <c r="P5475" s="23"/>
      <c r="Q5475" s="23"/>
      <c r="R5475" s="23"/>
      <c r="S5475" s="23"/>
      <c r="T5475" s="23"/>
      <c r="U5475" s="23"/>
      <c r="V5475" s="23"/>
      <c r="W5475" s="23"/>
      <c r="X5475" s="23"/>
      <c r="Y5475" s="23"/>
      <c r="Z5475" s="23"/>
    </row>
    <row r="5476" spans="1:26" ht="13">
      <c r="A5476" s="562" t="s">
        <v>11731</v>
      </c>
      <c r="B5476" s="563" t="s">
        <v>11732</v>
      </c>
      <c r="C5476" s="564" t="s">
        <v>1612</v>
      </c>
      <c r="D5476" s="565">
        <v>42219</v>
      </c>
      <c r="E5476" s="565">
        <v>42338</v>
      </c>
      <c r="F5476" s="566">
        <v>162000000</v>
      </c>
      <c r="G5476" s="564" t="s">
        <v>1312</v>
      </c>
      <c r="H5476" s="564" t="s">
        <v>1157</v>
      </c>
      <c r="I5476" s="564" t="s">
        <v>11600</v>
      </c>
      <c r="J5476" s="564" t="s">
        <v>1069</v>
      </c>
      <c r="K5476" s="564" t="s">
        <v>1105</v>
      </c>
      <c r="L5476" s="564" t="s">
        <v>1390</v>
      </c>
      <c r="M5476" s="564" t="s">
        <v>1390</v>
      </c>
      <c r="N5476" s="564" t="s">
        <v>1082</v>
      </c>
      <c r="O5476" s="564" t="s">
        <v>38</v>
      </c>
      <c r="P5476" s="23"/>
      <c r="Q5476" s="23"/>
      <c r="R5476" s="23"/>
      <c r="S5476" s="23"/>
      <c r="T5476" s="23"/>
      <c r="U5476" s="23"/>
      <c r="V5476" s="23"/>
      <c r="W5476" s="23"/>
      <c r="X5476" s="23"/>
      <c r="Y5476" s="23"/>
      <c r="Z5476" s="23"/>
    </row>
    <row r="5477" spans="1:26" ht="13">
      <c r="A5477" s="562" t="s">
        <v>11733</v>
      </c>
      <c r="B5477" s="563" t="s">
        <v>11734</v>
      </c>
      <c r="C5477" s="564" t="s">
        <v>1255</v>
      </c>
      <c r="D5477" s="565">
        <v>42217</v>
      </c>
      <c r="E5477" s="565">
        <v>42582</v>
      </c>
      <c r="F5477" s="566">
        <v>27000000</v>
      </c>
      <c r="G5477" s="564" t="s">
        <v>1097</v>
      </c>
      <c r="H5477" s="564" t="s">
        <v>1123</v>
      </c>
      <c r="I5477" s="564" t="s">
        <v>143</v>
      </c>
      <c r="J5477" s="564" t="s">
        <v>1069</v>
      </c>
      <c r="K5477" s="564" t="s">
        <v>1205</v>
      </c>
      <c r="L5477" s="564" t="s">
        <v>1071</v>
      </c>
      <c r="M5477" s="564" t="s">
        <v>1091</v>
      </c>
      <c r="N5477" s="564" t="s">
        <v>1073</v>
      </c>
      <c r="O5477" s="564" t="s">
        <v>241</v>
      </c>
      <c r="P5477" s="23"/>
      <c r="Q5477" s="23"/>
      <c r="R5477" s="23"/>
      <c r="S5477" s="23"/>
      <c r="T5477" s="23"/>
      <c r="U5477" s="23"/>
      <c r="V5477" s="23"/>
      <c r="W5477" s="23"/>
      <c r="X5477" s="23"/>
      <c r="Y5477" s="23"/>
      <c r="Z5477" s="23"/>
    </row>
    <row r="5478" spans="1:26" ht="13">
      <c r="A5478" s="562" t="s">
        <v>11735</v>
      </c>
      <c r="B5478" s="563" t="s">
        <v>11736</v>
      </c>
      <c r="C5478" s="564" t="s">
        <v>2191</v>
      </c>
      <c r="D5478" s="565">
        <v>42233</v>
      </c>
      <c r="E5478" s="565">
        <v>42293</v>
      </c>
      <c r="F5478" s="566">
        <v>8000000</v>
      </c>
      <c r="G5478" s="564" t="s">
        <v>1144</v>
      </c>
      <c r="H5478" s="564" t="s">
        <v>1157</v>
      </c>
      <c r="I5478" s="564" t="s">
        <v>140</v>
      </c>
      <c r="J5478" s="564" t="s">
        <v>1069</v>
      </c>
      <c r="K5478" s="564" t="s">
        <v>1205</v>
      </c>
      <c r="L5478" s="564" t="s">
        <v>1390</v>
      </c>
      <c r="M5478" s="564" t="s">
        <v>1390</v>
      </c>
      <c r="N5478" s="564" t="s">
        <v>1073</v>
      </c>
      <c r="O5478" s="564" t="s">
        <v>38</v>
      </c>
      <c r="P5478" s="23"/>
      <c r="Q5478" s="23"/>
      <c r="R5478" s="23"/>
      <c r="S5478" s="23"/>
      <c r="T5478" s="23"/>
      <c r="U5478" s="23"/>
      <c r="V5478" s="23"/>
      <c r="W5478" s="23"/>
      <c r="X5478" s="23"/>
      <c r="Y5478" s="23"/>
      <c r="Z5478" s="23"/>
    </row>
    <row r="5479" spans="1:26" ht="13">
      <c r="A5479" s="562" t="s">
        <v>11737</v>
      </c>
      <c r="B5479" s="563" t="s">
        <v>11738</v>
      </c>
      <c r="C5479" s="564" t="s">
        <v>2191</v>
      </c>
      <c r="D5479" s="565">
        <v>42233</v>
      </c>
      <c r="E5479" s="565">
        <v>42293</v>
      </c>
      <c r="F5479" s="566">
        <v>8000000</v>
      </c>
      <c r="G5479" s="564" t="s">
        <v>1144</v>
      </c>
      <c r="H5479" s="564" t="s">
        <v>1157</v>
      </c>
      <c r="I5479" s="564" t="s">
        <v>141</v>
      </c>
      <c r="J5479" s="564" t="s">
        <v>1069</v>
      </c>
      <c r="K5479" s="564" t="s">
        <v>1205</v>
      </c>
      <c r="L5479" s="564" t="s">
        <v>1390</v>
      </c>
      <c r="M5479" s="564" t="s">
        <v>1390</v>
      </c>
      <c r="N5479" s="564" t="s">
        <v>1073</v>
      </c>
      <c r="O5479" s="564" t="s">
        <v>38</v>
      </c>
      <c r="P5479" s="23"/>
      <c r="Q5479" s="23"/>
      <c r="R5479" s="23"/>
      <c r="S5479" s="23"/>
      <c r="T5479" s="23"/>
      <c r="U5479" s="23"/>
      <c r="V5479" s="23"/>
      <c r="W5479" s="23"/>
      <c r="X5479" s="23"/>
      <c r="Y5479" s="23"/>
      <c r="Z5479" s="23"/>
    </row>
    <row r="5480" spans="1:26" ht="13">
      <c r="A5480" s="562" t="s">
        <v>11739</v>
      </c>
      <c r="B5480" s="563" t="s">
        <v>11740</v>
      </c>
      <c r="C5480" s="564" t="s">
        <v>2191</v>
      </c>
      <c r="D5480" s="565">
        <v>42233</v>
      </c>
      <c r="E5480" s="565">
        <v>42293</v>
      </c>
      <c r="F5480" s="566">
        <v>8000000</v>
      </c>
      <c r="G5480" s="564" t="s">
        <v>1144</v>
      </c>
      <c r="H5480" s="564" t="s">
        <v>1157</v>
      </c>
      <c r="I5480" s="564" t="s">
        <v>143</v>
      </c>
      <c r="J5480" s="564" t="s">
        <v>1069</v>
      </c>
      <c r="K5480" s="564" t="s">
        <v>1205</v>
      </c>
      <c r="L5480" s="564" t="s">
        <v>1390</v>
      </c>
      <c r="M5480" s="564" t="s">
        <v>1390</v>
      </c>
      <c r="N5480" s="564" t="s">
        <v>1073</v>
      </c>
      <c r="O5480" s="564" t="s">
        <v>38</v>
      </c>
      <c r="P5480" s="23"/>
      <c r="Q5480" s="23"/>
      <c r="R5480" s="23"/>
      <c r="S5480" s="23"/>
      <c r="T5480" s="23"/>
      <c r="U5480" s="23"/>
      <c r="V5480" s="23"/>
      <c r="W5480" s="23"/>
      <c r="X5480" s="23"/>
      <c r="Y5480" s="23"/>
      <c r="Z5480" s="23"/>
    </row>
    <row r="5481" spans="1:26" ht="13">
      <c r="A5481" s="562" t="s">
        <v>11741</v>
      </c>
      <c r="B5481" s="563" t="s">
        <v>11742</v>
      </c>
      <c r="C5481" s="564" t="s">
        <v>1255</v>
      </c>
      <c r="D5481" s="565">
        <v>42736</v>
      </c>
      <c r="E5481" s="565">
        <v>43312</v>
      </c>
      <c r="F5481" s="566">
        <v>720717089</v>
      </c>
      <c r="G5481" s="564" t="s">
        <v>1032</v>
      </c>
      <c r="H5481" s="564" t="s">
        <v>1123</v>
      </c>
      <c r="I5481" s="564" t="s">
        <v>141</v>
      </c>
      <c r="J5481" s="564" t="s">
        <v>1069</v>
      </c>
      <c r="K5481" s="564" t="s">
        <v>1205</v>
      </c>
      <c r="L5481" s="564" t="s">
        <v>1071</v>
      </c>
      <c r="M5481" s="564" t="s">
        <v>1091</v>
      </c>
      <c r="N5481" s="564" t="s">
        <v>1073</v>
      </c>
      <c r="O5481" s="564" t="s">
        <v>241</v>
      </c>
      <c r="P5481" s="23"/>
      <c r="Q5481" s="23"/>
      <c r="R5481" s="23"/>
      <c r="S5481" s="23"/>
      <c r="T5481" s="23"/>
      <c r="U5481" s="23"/>
      <c r="V5481" s="23"/>
      <c r="W5481" s="23"/>
      <c r="X5481" s="23"/>
      <c r="Y5481" s="23"/>
      <c r="Z5481" s="23"/>
    </row>
    <row r="5482" spans="1:26" ht="13">
      <c r="A5482" s="562" t="s">
        <v>11743</v>
      </c>
      <c r="B5482" s="563" t="s">
        <v>11744</v>
      </c>
      <c r="C5482" s="564" t="s">
        <v>1873</v>
      </c>
      <c r="D5482" s="565">
        <v>42212</v>
      </c>
      <c r="E5482" s="565">
        <v>42230</v>
      </c>
      <c r="F5482" s="566">
        <v>6500000</v>
      </c>
      <c r="G5482" s="564" t="s">
        <v>1157</v>
      </c>
      <c r="H5482" s="564" t="s">
        <v>1157</v>
      </c>
      <c r="I5482" s="564" t="s">
        <v>170</v>
      </c>
      <c r="J5482" s="564" t="s">
        <v>1069</v>
      </c>
      <c r="K5482" s="564" t="s">
        <v>1105</v>
      </c>
      <c r="L5482" s="564" t="s">
        <v>1390</v>
      </c>
      <c r="M5482" s="564" t="s">
        <v>1390</v>
      </c>
      <c r="N5482" s="564" t="s">
        <v>170</v>
      </c>
      <c r="O5482" s="564" t="s">
        <v>38</v>
      </c>
      <c r="P5482" s="23"/>
      <c r="Q5482" s="23"/>
      <c r="R5482" s="23"/>
      <c r="S5482" s="23"/>
      <c r="T5482" s="23"/>
      <c r="U5482" s="23"/>
      <c r="V5482" s="23"/>
      <c r="W5482" s="23"/>
      <c r="X5482" s="23"/>
      <c r="Y5482" s="23"/>
      <c r="Z5482" s="23"/>
    </row>
    <row r="5483" spans="1:26" ht="13">
      <c r="A5483" s="562" t="s">
        <v>11745</v>
      </c>
      <c r="B5483" s="563" t="s">
        <v>11746</v>
      </c>
      <c r="C5483" s="564" t="s">
        <v>1612</v>
      </c>
      <c r="D5483" s="565">
        <v>42200</v>
      </c>
      <c r="E5483" s="565">
        <v>42565</v>
      </c>
      <c r="F5483" s="566">
        <v>7500000</v>
      </c>
      <c r="G5483" s="564" t="s">
        <v>1849</v>
      </c>
      <c r="H5483" s="564" t="s">
        <v>1564</v>
      </c>
      <c r="I5483" s="564" t="s">
        <v>121</v>
      </c>
      <c r="J5483" s="564" t="s">
        <v>1069</v>
      </c>
      <c r="K5483" s="564" t="s">
        <v>1105</v>
      </c>
      <c r="L5483" s="564" t="s">
        <v>1071</v>
      </c>
      <c r="M5483" s="564" t="s">
        <v>1091</v>
      </c>
      <c r="N5483" s="564" t="s">
        <v>1073</v>
      </c>
      <c r="O5483" s="564" t="s">
        <v>241</v>
      </c>
      <c r="P5483" s="23"/>
      <c r="Q5483" s="23"/>
      <c r="R5483" s="23"/>
      <c r="S5483" s="23"/>
      <c r="T5483" s="23"/>
      <c r="U5483" s="23"/>
      <c r="V5483" s="23"/>
      <c r="W5483" s="23"/>
      <c r="X5483" s="23"/>
      <c r="Y5483" s="23"/>
      <c r="Z5483" s="23"/>
    </row>
    <row r="5484" spans="1:26" ht="13">
      <c r="A5484" s="562" t="s">
        <v>11747</v>
      </c>
      <c r="B5484" s="563" t="s">
        <v>11748</v>
      </c>
      <c r="C5484" s="564" t="s">
        <v>1873</v>
      </c>
      <c r="D5484" s="565">
        <v>42191</v>
      </c>
      <c r="E5484" s="565">
        <v>42328</v>
      </c>
      <c r="F5484" s="566">
        <v>70000000</v>
      </c>
      <c r="G5484" s="564" t="s">
        <v>1312</v>
      </c>
      <c r="H5484" s="564" t="s">
        <v>1157</v>
      </c>
      <c r="I5484" s="564" t="s">
        <v>170</v>
      </c>
      <c r="J5484" s="564" t="s">
        <v>1069</v>
      </c>
      <c r="K5484" s="564" t="s">
        <v>1105</v>
      </c>
      <c r="L5484" s="564" t="s">
        <v>1390</v>
      </c>
      <c r="M5484" s="564" t="s">
        <v>1390</v>
      </c>
      <c r="N5484" s="564" t="s">
        <v>170</v>
      </c>
      <c r="O5484" s="564" t="s">
        <v>38</v>
      </c>
      <c r="P5484" s="23"/>
      <c r="Q5484" s="23"/>
      <c r="R5484" s="23"/>
      <c r="S5484" s="23"/>
      <c r="T5484" s="23"/>
      <c r="U5484" s="23"/>
      <c r="V5484" s="23"/>
      <c r="W5484" s="23"/>
      <c r="X5484" s="23"/>
      <c r="Y5484" s="23"/>
      <c r="Z5484" s="23"/>
    </row>
    <row r="5485" spans="1:26" ht="13">
      <c r="A5485" s="562" t="s">
        <v>11749</v>
      </c>
      <c r="B5485" s="563" t="s">
        <v>11750</v>
      </c>
      <c r="C5485" s="564" t="s">
        <v>1873</v>
      </c>
      <c r="D5485" s="565">
        <v>42077</v>
      </c>
      <c r="E5485" s="565">
        <v>42200</v>
      </c>
      <c r="F5485" s="566">
        <v>49015000</v>
      </c>
      <c r="G5485" s="564" t="s">
        <v>1312</v>
      </c>
      <c r="H5485" s="564" t="s">
        <v>1157</v>
      </c>
      <c r="I5485" s="564" t="s">
        <v>11751</v>
      </c>
      <c r="J5485" s="564" t="s">
        <v>1069</v>
      </c>
      <c r="K5485" s="564" t="s">
        <v>1090</v>
      </c>
      <c r="L5485" s="564" t="s">
        <v>1390</v>
      </c>
      <c r="M5485" s="564" t="s">
        <v>1390</v>
      </c>
      <c r="N5485" s="564" t="s">
        <v>1082</v>
      </c>
      <c r="O5485" s="564" t="s">
        <v>38</v>
      </c>
      <c r="P5485" s="23"/>
      <c r="Q5485" s="23"/>
      <c r="R5485" s="23"/>
      <c r="S5485" s="23"/>
      <c r="T5485" s="23"/>
      <c r="U5485" s="23"/>
      <c r="V5485" s="23"/>
      <c r="W5485" s="23"/>
      <c r="X5485" s="23"/>
      <c r="Y5485" s="23"/>
      <c r="Z5485" s="23"/>
    </row>
    <row r="5486" spans="1:26" ht="13">
      <c r="A5486" s="562" t="s">
        <v>11752</v>
      </c>
      <c r="B5486" s="563" t="s">
        <v>11753</v>
      </c>
      <c r="C5486" s="564" t="s">
        <v>1873</v>
      </c>
      <c r="D5486" s="565">
        <v>42077</v>
      </c>
      <c r="E5486" s="565">
        <v>42200</v>
      </c>
      <c r="F5486" s="566">
        <v>49015000</v>
      </c>
      <c r="G5486" s="564" t="s">
        <v>1312</v>
      </c>
      <c r="H5486" s="564" t="s">
        <v>1157</v>
      </c>
      <c r="I5486" s="564" t="s">
        <v>11754</v>
      </c>
      <c r="J5486" s="564" t="s">
        <v>1069</v>
      </c>
      <c r="K5486" s="564" t="s">
        <v>1090</v>
      </c>
      <c r="L5486" s="564" t="s">
        <v>1390</v>
      </c>
      <c r="M5486" s="564" t="s">
        <v>1390</v>
      </c>
      <c r="N5486" s="564" t="s">
        <v>1082</v>
      </c>
      <c r="O5486" s="564" t="s">
        <v>38</v>
      </c>
      <c r="P5486" s="23"/>
      <c r="Q5486" s="23"/>
      <c r="R5486" s="23"/>
      <c r="S5486" s="23"/>
      <c r="T5486" s="23"/>
      <c r="U5486" s="23"/>
      <c r="V5486" s="23"/>
      <c r="W5486" s="23"/>
      <c r="X5486" s="23"/>
      <c r="Y5486" s="23"/>
      <c r="Z5486" s="23"/>
    </row>
    <row r="5487" spans="1:26" ht="13">
      <c r="A5487" s="562" t="s">
        <v>11755</v>
      </c>
      <c r="B5487" s="563" t="s">
        <v>11756</v>
      </c>
      <c r="C5487" s="564" t="s">
        <v>1612</v>
      </c>
      <c r="D5487" s="565">
        <v>42186</v>
      </c>
      <c r="E5487" s="565">
        <v>42551</v>
      </c>
      <c r="F5487" s="566">
        <v>24960000</v>
      </c>
      <c r="G5487" s="564" t="s">
        <v>1298</v>
      </c>
      <c r="H5487" s="564" t="s">
        <v>1187</v>
      </c>
      <c r="I5487" s="564" t="s">
        <v>70</v>
      </c>
      <c r="J5487" s="564" t="s">
        <v>1069</v>
      </c>
      <c r="K5487" s="564" t="s">
        <v>1120</v>
      </c>
      <c r="L5487" s="564" t="s">
        <v>1071</v>
      </c>
      <c r="M5487" s="564" t="s">
        <v>1091</v>
      </c>
      <c r="N5487" s="564" t="s">
        <v>70</v>
      </c>
      <c r="O5487" s="564" t="s">
        <v>241</v>
      </c>
      <c r="P5487" s="23"/>
      <c r="Q5487" s="23"/>
      <c r="R5487" s="23"/>
      <c r="S5487" s="23"/>
      <c r="T5487" s="23"/>
      <c r="U5487" s="23"/>
      <c r="V5487" s="23"/>
      <c r="W5487" s="23"/>
      <c r="X5487" s="23"/>
      <c r="Y5487" s="23"/>
      <c r="Z5487" s="23"/>
    </row>
    <row r="5488" spans="1:26" ht="13">
      <c r="A5488" s="562" t="s">
        <v>11757</v>
      </c>
      <c r="B5488" s="563" t="s">
        <v>11758</v>
      </c>
      <c r="C5488" s="564" t="s">
        <v>1612</v>
      </c>
      <c r="D5488" s="565">
        <v>42156</v>
      </c>
      <c r="E5488" s="565">
        <v>42247</v>
      </c>
      <c r="F5488" s="566">
        <v>45000000</v>
      </c>
      <c r="G5488" s="564" t="s">
        <v>11759</v>
      </c>
      <c r="H5488" s="564" t="s">
        <v>1187</v>
      </c>
      <c r="I5488" s="564" t="s">
        <v>70</v>
      </c>
      <c r="J5488" s="564" t="s">
        <v>1069</v>
      </c>
      <c r="K5488" s="564" t="s">
        <v>1120</v>
      </c>
      <c r="L5488" s="564" t="s">
        <v>1071</v>
      </c>
      <c r="M5488" s="564" t="s">
        <v>1091</v>
      </c>
      <c r="N5488" s="564" t="s">
        <v>70</v>
      </c>
      <c r="O5488" s="564" t="s">
        <v>241</v>
      </c>
      <c r="P5488" s="23"/>
      <c r="Q5488" s="23"/>
      <c r="R5488" s="23"/>
      <c r="S5488" s="23"/>
      <c r="T5488" s="23"/>
      <c r="U5488" s="23"/>
      <c r="V5488" s="23"/>
      <c r="W5488" s="23"/>
      <c r="X5488" s="23"/>
      <c r="Y5488" s="23"/>
      <c r="Z5488" s="23"/>
    </row>
    <row r="5489" spans="1:26" ht="13">
      <c r="A5489" s="562" t="s">
        <v>11760</v>
      </c>
      <c r="B5489" s="563" t="s">
        <v>11761</v>
      </c>
      <c r="C5489" s="564" t="s">
        <v>1612</v>
      </c>
      <c r="D5489" s="565">
        <v>42156</v>
      </c>
      <c r="E5489" s="565">
        <v>42520</v>
      </c>
      <c r="F5489" s="566">
        <v>34000000</v>
      </c>
      <c r="G5489" s="564" t="s">
        <v>1312</v>
      </c>
      <c r="H5489" s="564" t="s">
        <v>1157</v>
      </c>
      <c r="I5489" s="564" t="s">
        <v>45</v>
      </c>
      <c r="J5489" s="564" t="s">
        <v>1069</v>
      </c>
      <c r="K5489" s="564" t="s">
        <v>1090</v>
      </c>
      <c r="L5489" s="564" t="s">
        <v>1071</v>
      </c>
      <c r="M5489" s="564" t="s">
        <v>1091</v>
      </c>
      <c r="N5489" s="564" t="s">
        <v>45</v>
      </c>
      <c r="O5489" s="564" t="s">
        <v>241</v>
      </c>
      <c r="P5489" s="23"/>
      <c r="Q5489" s="23"/>
      <c r="R5489" s="23"/>
      <c r="S5489" s="23"/>
      <c r="T5489" s="23"/>
      <c r="U5489" s="23"/>
      <c r="V5489" s="23"/>
      <c r="W5489" s="23"/>
      <c r="X5489" s="23"/>
      <c r="Y5489" s="23"/>
      <c r="Z5489" s="23"/>
    </row>
    <row r="5490" spans="1:26" ht="13">
      <c r="A5490" s="562" t="s">
        <v>11762</v>
      </c>
      <c r="B5490" s="563" t="s">
        <v>11763</v>
      </c>
      <c r="C5490" s="564" t="s">
        <v>1255</v>
      </c>
      <c r="D5490" s="565">
        <v>42156</v>
      </c>
      <c r="E5490" s="565">
        <v>42886</v>
      </c>
      <c r="F5490" s="566">
        <v>198527794</v>
      </c>
      <c r="G5490" s="564" t="s">
        <v>1097</v>
      </c>
      <c r="H5490" s="564" t="s">
        <v>1123</v>
      </c>
      <c r="I5490" s="564" t="s">
        <v>140</v>
      </c>
      <c r="J5490" s="564" t="s">
        <v>1069</v>
      </c>
      <c r="K5490" s="564" t="s">
        <v>1205</v>
      </c>
      <c r="L5490" s="564" t="s">
        <v>1071</v>
      </c>
      <c r="M5490" s="564" t="s">
        <v>1091</v>
      </c>
      <c r="N5490" s="564" t="s">
        <v>1073</v>
      </c>
      <c r="O5490" s="564" t="s">
        <v>241</v>
      </c>
      <c r="P5490" s="23"/>
      <c r="Q5490" s="23"/>
      <c r="R5490" s="23"/>
      <c r="S5490" s="23"/>
      <c r="T5490" s="23"/>
      <c r="U5490" s="23"/>
      <c r="V5490" s="23"/>
      <c r="W5490" s="23"/>
      <c r="X5490" s="23"/>
      <c r="Y5490" s="23"/>
      <c r="Z5490" s="23"/>
    </row>
    <row r="5491" spans="1:26" ht="13">
      <c r="A5491" s="562" t="s">
        <v>11764</v>
      </c>
      <c r="B5491" s="563" t="s">
        <v>11765</v>
      </c>
      <c r="C5491" s="564" t="s">
        <v>2191</v>
      </c>
      <c r="D5491" s="565">
        <v>42156</v>
      </c>
      <c r="E5491" s="565">
        <v>42521</v>
      </c>
      <c r="F5491" s="566">
        <v>26181818</v>
      </c>
      <c r="G5491" s="564" t="s">
        <v>1297</v>
      </c>
      <c r="H5491" s="564" t="s">
        <v>1123</v>
      </c>
      <c r="I5491" s="564" t="s">
        <v>143</v>
      </c>
      <c r="J5491" s="564" t="s">
        <v>1069</v>
      </c>
      <c r="K5491" s="564" t="s">
        <v>1205</v>
      </c>
      <c r="L5491" s="564" t="s">
        <v>1071</v>
      </c>
      <c r="M5491" s="564" t="s">
        <v>1091</v>
      </c>
      <c r="N5491" s="564" t="s">
        <v>1073</v>
      </c>
      <c r="O5491" s="564" t="s">
        <v>241</v>
      </c>
      <c r="P5491" s="23"/>
      <c r="Q5491" s="23"/>
      <c r="R5491" s="23"/>
      <c r="S5491" s="23"/>
      <c r="T5491" s="23"/>
      <c r="U5491" s="23"/>
      <c r="V5491" s="23"/>
      <c r="W5491" s="23"/>
      <c r="X5491" s="23"/>
      <c r="Y5491" s="23"/>
      <c r="Z5491" s="23"/>
    </row>
    <row r="5492" spans="1:26" ht="13">
      <c r="A5492" s="562" t="s">
        <v>11766</v>
      </c>
      <c r="B5492" s="563" t="s">
        <v>11767</v>
      </c>
      <c r="C5492" s="564" t="s">
        <v>1255</v>
      </c>
      <c r="D5492" s="565">
        <v>42186</v>
      </c>
      <c r="E5492" s="565">
        <v>42551</v>
      </c>
      <c r="F5492" s="566">
        <v>19000000</v>
      </c>
      <c r="G5492" s="564" t="s">
        <v>1097</v>
      </c>
      <c r="H5492" s="564" t="s">
        <v>1123</v>
      </c>
      <c r="I5492" s="564" t="s">
        <v>143</v>
      </c>
      <c r="J5492" s="564" t="s">
        <v>1069</v>
      </c>
      <c r="K5492" s="564" t="s">
        <v>1205</v>
      </c>
      <c r="L5492" s="564" t="s">
        <v>1071</v>
      </c>
      <c r="M5492" s="564" t="s">
        <v>1091</v>
      </c>
      <c r="N5492" s="564" t="s">
        <v>1073</v>
      </c>
      <c r="O5492" s="564" t="s">
        <v>241</v>
      </c>
      <c r="P5492" s="23"/>
      <c r="Q5492" s="23"/>
      <c r="R5492" s="23"/>
      <c r="S5492" s="23"/>
      <c r="T5492" s="23"/>
      <c r="U5492" s="23"/>
      <c r="V5492" s="23"/>
      <c r="W5492" s="23"/>
      <c r="X5492" s="23"/>
      <c r="Y5492" s="23"/>
      <c r="Z5492" s="23"/>
    </row>
    <row r="5493" spans="1:26" ht="13">
      <c r="A5493" s="562" t="s">
        <v>11768</v>
      </c>
      <c r="B5493" s="563" t="s">
        <v>11769</v>
      </c>
      <c r="C5493" s="564" t="s">
        <v>1612</v>
      </c>
      <c r="D5493" s="565">
        <v>42109</v>
      </c>
      <c r="E5493" s="565">
        <v>42474</v>
      </c>
      <c r="F5493" s="566">
        <v>92559600</v>
      </c>
      <c r="G5493" s="564" t="s">
        <v>1312</v>
      </c>
      <c r="H5493" s="564" t="s">
        <v>1187</v>
      </c>
      <c r="I5493" s="564" t="s">
        <v>70</v>
      </c>
      <c r="J5493" s="564" t="s">
        <v>1069</v>
      </c>
      <c r="K5493" s="564" t="s">
        <v>1120</v>
      </c>
      <c r="L5493" s="564" t="s">
        <v>1071</v>
      </c>
      <c r="M5493" s="564" t="s">
        <v>1091</v>
      </c>
      <c r="N5493" s="564" t="s">
        <v>70</v>
      </c>
      <c r="O5493" s="564" t="s">
        <v>241</v>
      </c>
      <c r="P5493" s="23"/>
      <c r="Q5493" s="23"/>
      <c r="R5493" s="23"/>
      <c r="S5493" s="23"/>
      <c r="T5493" s="23"/>
      <c r="U5493" s="23"/>
      <c r="V5493" s="23"/>
      <c r="W5493" s="23"/>
      <c r="X5493" s="23"/>
      <c r="Y5493" s="23"/>
      <c r="Z5493" s="23"/>
    </row>
    <row r="5494" spans="1:26" ht="13">
      <c r="A5494" s="562" t="s">
        <v>11770</v>
      </c>
      <c r="B5494" s="563" t="s">
        <v>11771</v>
      </c>
      <c r="C5494" s="564" t="s">
        <v>2191</v>
      </c>
      <c r="D5494" s="565">
        <v>42150</v>
      </c>
      <c r="E5494" s="565">
        <v>42210</v>
      </c>
      <c r="F5494" s="566">
        <v>149927272</v>
      </c>
      <c r="G5494" s="564" t="s">
        <v>10580</v>
      </c>
      <c r="H5494" s="564" t="s">
        <v>1187</v>
      </c>
      <c r="I5494" s="564" t="s">
        <v>5752</v>
      </c>
      <c r="J5494" s="564" t="s">
        <v>1069</v>
      </c>
      <c r="K5494" s="564" t="s">
        <v>1802</v>
      </c>
      <c r="L5494" s="564" t="s">
        <v>1390</v>
      </c>
      <c r="M5494" s="564" t="s">
        <v>1390</v>
      </c>
      <c r="N5494" s="564" t="s">
        <v>1082</v>
      </c>
      <c r="O5494" s="564" t="s">
        <v>38</v>
      </c>
      <c r="P5494" s="23"/>
      <c r="Q5494" s="23"/>
      <c r="R5494" s="23"/>
      <c r="S5494" s="23"/>
      <c r="T5494" s="23"/>
      <c r="U5494" s="23"/>
      <c r="V5494" s="23"/>
      <c r="W5494" s="23"/>
      <c r="X5494" s="23"/>
      <c r="Y5494" s="23"/>
      <c r="Z5494" s="23"/>
    </row>
    <row r="5495" spans="1:26" ht="13">
      <c r="A5495" s="562" t="s">
        <v>11772</v>
      </c>
      <c r="B5495" s="563" t="s">
        <v>11773</v>
      </c>
      <c r="C5495" s="564" t="s">
        <v>1612</v>
      </c>
      <c r="D5495" s="565">
        <v>42155</v>
      </c>
      <c r="E5495" s="565">
        <v>42520</v>
      </c>
      <c r="F5495" s="566">
        <v>1379000000</v>
      </c>
      <c r="G5495" s="564" t="s">
        <v>1297</v>
      </c>
      <c r="H5495" s="564" t="s">
        <v>337</v>
      </c>
      <c r="I5495" s="564" t="s">
        <v>45</v>
      </c>
      <c r="J5495" s="564" t="s">
        <v>1069</v>
      </c>
      <c r="K5495" s="564" t="s">
        <v>1090</v>
      </c>
      <c r="L5495" s="564" t="s">
        <v>1071</v>
      </c>
      <c r="M5495" s="564" t="s">
        <v>1091</v>
      </c>
      <c r="N5495" s="564" t="s">
        <v>45</v>
      </c>
      <c r="O5495" s="564" t="s">
        <v>241</v>
      </c>
      <c r="P5495" s="23"/>
      <c r="Q5495" s="23"/>
      <c r="R5495" s="23"/>
      <c r="S5495" s="23"/>
      <c r="T5495" s="23"/>
      <c r="U5495" s="23"/>
      <c r="V5495" s="23"/>
      <c r="W5495" s="23"/>
      <c r="X5495" s="23"/>
      <c r="Y5495" s="23"/>
      <c r="Z5495" s="23"/>
    </row>
    <row r="5496" spans="1:26" ht="13">
      <c r="A5496" s="562" t="s">
        <v>11774</v>
      </c>
      <c r="B5496" s="563" t="s">
        <v>11775</v>
      </c>
      <c r="C5496" s="564" t="s">
        <v>1066</v>
      </c>
      <c r="D5496" s="565">
        <v>42125</v>
      </c>
      <c r="E5496" s="565">
        <v>42490</v>
      </c>
      <c r="F5496" s="566">
        <v>21873600</v>
      </c>
      <c r="G5496" s="564" t="s">
        <v>1297</v>
      </c>
      <c r="H5496" s="564" t="s">
        <v>1424</v>
      </c>
      <c r="I5496" s="564" t="s">
        <v>11776</v>
      </c>
      <c r="J5496" s="564" t="s">
        <v>1069</v>
      </c>
      <c r="K5496" s="564" t="s">
        <v>1070</v>
      </c>
      <c r="L5496" s="564" t="s">
        <v>1071</v>
      </c>
      <c r="M5496" s="564" t="s">
        <v>1091</v>
      </c>
      <c r="N5496" s="564" t="s">
        <v>1073</v>
      </c>
      <c r="O5496" s="564" t="s">
        <v>241</v>
      </c>
      <c r="P5496" s="23"/>
      <c r="Q5496" s="23"/>
      <c r="R5496" s="23"/>
      <c r="S5496" s="23"/>
      <c r="T5496" s="23"/>
      <c r="U5496" s="23"/>
      <c r="V5496" s="23"/>
      <c r="W5496" s="23"/>
      <c r="X5496" s="23"/>
      <c r="Y5496" s="23"/>
      <c r="Z5496" s="23"/>
    </row>
    <row r="5497" spans="1:26" ht="13">
      <c r="A5497" s="562" t="s">
        <v>11777</v>
      </c>
      <c r="B5497" s="563" t="s">
        <v>11778</v>
      </c>
      <c r="C5497" s="564" t="s">
        <v>1873</v>
      </c>
      <c r="D5497" s="565">
        <v>42064</v>
      </c>
      <c r="E5497" s="565">
        <v>42429</v>
      </c>
      <c r="F5497" s="566">
        <v>7272727</v>
      </c>
      <c r="G5497" s="564" t="s">
        <v>1623</v>
      </c>
      <c r="H5497" s="564" t="s">
        <v>1623</v>
      </c>
      <c r="I5497" s="564" t="s">
        <v>802</v>
      </c>
      <c r="J5497" s="564" t="s">
        <v>1069</v>
      </c>
      <c r="K5497" s="564" t="s">
        <v>1198</v>
      </c>
      <c r="L5497" s="564" t="s">
        <v>1071</v>
      </c>
      <c r="M5497" s="564" t="s">
        <v>1091</v>
      </c>
      <c r="N5497" s="564" t="s">
        <v>132</v>
      </c>
      <c r="O5497" s="564" t="s">
        <v>241</v>
      </c>
      <c r="P5497" s="23"/>
      <c r="Q5497" s="23"/>
      <c r="R5497" s="23"/>
      <c r="S5497" s="23"/>
      <c r="T5497" s="23"/>
      <c r="U5497" s="23"/>
      <c r="V5497" s="23"/>
      <c r="W5497" s="23"/>
      <c r="X5497" s="23"/>
      <c r="Y5497" s="23"/>
      <c r="Z5497" s="23"/>
    </row>
    <row r="5498" spans="1:26" ht="13">
      <c r="A5498" s="562" t="s">
        <v>11779</v>
      </c>
      <c r="B5498" s="563" t="s">
        <v>11780</v>
      </c>
      <c r="C5498" s="564" t="s">
        <v>1066</v>
      </c>
      <c r="D5498" s="565">
        <v>42125</v>
      </c>
      <c r="E5498" s="565">
        <v>42490</v>
      </c>
      <c r="F5498" s="566">
        <v>13200000</v>
      </c>
      <c r="G5498" s="564" t="s">
        <v>1297</v>
      </c>
      <c r="H5498" s="564" t="s">
        <v>1424</v>
      </c>
      <c r="I5498" s="564" t="s">
        <v>11724</v>
      </c>
      <c r="J5498" s="564" t="s">
        <v>1069</v>
      </c>
      <c r="K5498" s="564" t="s">
        <v>1105</v>
      </c>
      <c r="L5498" s="564" t="s">
        <v>1071</v>
      </c>
      <c r="M5498" s="564" t="s">
        <v>1091</v>
      </c>
      <c r="N5498" s="564" t="s">
        <v>1073</v>
      </c>
      <c r="O5498" s="564" t="s">
        <v>241</v>
      </c>
      <c r="P5498" s="23"/>
      <c r="Q5498" s="23"/>
      <c r="R5498" s="23"/>
      <c r="S5498" s="23"/>
      <c r="T5498" s="23"/>
      <c r="U5498" s="23"/>
      <c r="V5498" s="23"/>
      <c r="W5498" s="23"/>
      <c r="X5498" s="23"/>
      <c r="Y5498" s="23"/>
      <c r="Z5498" s="23"/>
    </row>
    <row r="5499" spans="1:26" ht="13">
      <c r="A5499" s="562" t="s">
        <v>11781</v>
      </c>
      <c r="B5499" s="563" t="s">
        <v>11782</v>
      </c>
      <c r="C5499" s="564" t="s">
        <v>1873</v>
      </c>
      <c r="D5499" s="565">
        <v>42064</v>
      </c>
      <c r="E5499" s="565">
        <v>42429</v>
      </c>
      <c r="F5499" s="566">
        <v>3709090</v>
      </c>
      <c r="G5499" s="564" t="s">
        <v>1623</v>
      </c>
      <c r="H5499" s="564" t="s">
        <v>1623</v>
      </c>
      <c r="I5499" s="564" t="s">
        <v>802</v>
      </c>
      <c r="J5499" s="564" t="s">
        <v>1069</v>
      </c>
      <c r="K5499" s="564" t="s">
        <v>1198</v>
      </c>
      <c r="L5499" s="564" t="s">
        <v>1071</v>
      </c>
      <c r="M5499" s="564" t="s">
        <v>1091</v>
      </c>
      <c r="N5499" s="564" t="s">
        <v>132</v>
      </c>
      <c r="O5499" s="564" t="s">
        <v>241</v>
      </c>
      <c r="P5499" s="23"/>
      <c r="Q5499" s="23"/>
      <c r="R5499" s="23"/>
      <c r="S5499" s="23"/>
      <c r="T5499" s="23"/>
      <c r="U5499" s="23"/>
      <c r="V5499" s="23"/>
      <c r="W5499" s="23"/>
      <c r="X5499" s="23"/>
      <c r="Y5499" s="23"/>
      <c r="Z5499" s="23"/>
    </row>
    <row r="5500" spans="1:26" ht="13">
      <c r="A5500" s="562" t="s">
        <v>11783</v>
      </c>
      <c r="B5500" s="563" t="s">
        <v>11784</v>
      </c>
      <c r="C5500" s="564" t="s">
        <v>1612</v>
      </c>
      <c r="D5500" s="565">
        <v>42121</v>
      </c>
      <c r="E5500" s="565">
        <v>42151</v>
      </c>
      <c r="F5500" s="566">
        <v>20000000</v>
      </c>
      <c r="G5500" s="564" t="s">
        <v>1187</v>
      </c>
      <c r="H5500" s="564" t="s">
        <v>1187</v>
      </c>
      <c r="I5500" s="564" t="s">
        <v>70</v>
      </c>
      <c r="J5500" s="564" t="s">
        <v>1069</v>
      </c>
      <c r="K5500" s="564" t="s">
        <v>1120</v>
      </c>
      <c r="L5500" s="564" t="s">
        <v>1390</v>
      </c>
      <c r="M5500" s="564" t="s">
        <v>1390</v>
      </c>
      <c r="N5500" s="564" t="s">
        <v>70</v>
      </c>
      <c r="O5500" s="564" t="s">
        <v>38</v>
      </c>
      <c r="P5500" s="23"/>
      <c r="Q5500" s="23"/>
      <c r="R5500" s="23"/>
      <c r="S5500" s="23"/>
      <c r="T5500" s="23"/>
      <c r="U5500" s="23"/>
      <c r="V5500" s="23"/>
      <c r="W5500" s="23"/>
      <c r="X5500" s="23"/>
      <c r="Y5500" s="23"/>
      <c r="Z5500" s="23"/>
    </row>
    <row r="5501" spans="1:26" ht="13">
      <c r="A5501" s="562" t="s">
        <v>11785</v>
      </c>
      <c r="B5501" s="563" t="s">
        <v>11786</v>
      </c>
      <c r="C5501" s="564" t="s">
        <v>1255</v>
      </c>
      <c r="D5501" s="565">
        <v>42095</v>
      </c>
      <c r="E5501" s="565">
        <v>42155</v>
      </c>
      <c r="F5501" s="566">
        <v>7560606</v>
      </c>
      <c r="G5501" s="564" t="s">
        <v>1097</v>
      </c>
      <c r="H5501" s="564" t="s">
        <v>1123</v>
      </c>
      <c r="I5501" s="564" t="s">
        <v>140</v>
      </c>
      <c r="J5501" s="564" t="s">
        <v>1069</v>
      </c>
      <c r="K5501" s="564" t="s">
        <v>1205</v>
      </c>
      <c r="L5501" s="564" t="s">
        <v>1071</v>
      </c>
      <c r="M5501" s="564" t="s">
        <v>1091</v>
      </c>
      <c r="N5501" s="564" t="s">
        <v>1073</v>
      </c>
      <c r="O5501" s="564" t="s">
        <v>241</v>
      </c>
      <c r="P5501" s="23"/>
      <c r="Q5501" s="23"/>
      <c r="R5501" s="23"/>
      <c r="S5501" s="23"/>
      <c r="T5501" s="23"/>
      <c r="U5501" s="23"/>
      <c r="V5501" s="23"/>
      <c r="W5501" s="23"/>
      <c r="X5501" s="23"/>
      <c r="Y5501" s="23"/>
      <c r="Z5501" s="23"/>
    </row>
    <row r="5502" spans="1:26" ht="13">
      <c r="A5502" s="562" t="s">
        <v>11787</v>
      </c>
      <c r="B5502" s="563" t="s">
        <v>11788</v>
      </c>
      <c r="C5502" s="564" t="s">
        <v>1873</v>
      </c>
      <c r="D5502" s="565">
        <v>42064</v>
      </c>
      <c r="E5502" s="565">
        <v>42429</v>
      </c>
      <c r="F5502" s="566">
        <v>24545459</v>
      </c>
      <c r="G5502" s="564" t="s">
        <v>1623</v>
      </c>
      <c r="H5502" s="564" t="s">
        <v>1623</v>
      </c>
      <c r="I5502" s="564" t="s">
        <v>802</v>
      </c>
      <c r="J5502" s="564" t="s">
        <v>1069</v>
      </c>
      <c r="K5502" s="564" t="s">
        <v>1198</v>
      </c>
      <c r="L5502" s="564" t="s">
        <v>1071</v>
      </c>
      <c r="M5502" s="564" t="s">
        <v>1091</v>
      </c>
      <c r="N5502" s="564" t="s">
        <v>132</v>
      </c>
      <c r="O5502" s="564" t="s">
        <v>241</v>
      </c>
      <c r="P5502" s="23"/>
      <c r="Q5502" s="23"/>
      <c r="R5502" s="23"/>
      <c r="S5502" s="23"/>
      <c r="T5502" s="23"/>
      <c r="U5502" s="23"/>
      <c r="V5502" s="23"/>
      <c r="W5502" s="23"/>
      <c r="X5502" s="23"/>
      <c r="Y5502" s="23"/>
      <c r="Z5502" s="23"/>
    </row>
    <row r="5503" spans="1:26" ht="13">
      <c r="A5503" s="562" t="s">
        <v>11789</v>
      </c>
      <c r="B5503" s="563" t="s">
        <v>11790</v>
      </c>
      <c r="C5503" s="564" t="s">
        <v>6860</v>
      </c>
      <c r="D5503" s="565">
        <v>42123</v>
      </c>
      <c r="E5503" s="565">
        <v>42423</v>
      </c>
      <c r="F5503" s="566">
        <v>308324659</v>
      </c>
      <c r="G5503" s="564" t="s">
        <v>1912</v>
      </c>
      <c r="H5503" s="564" t="s">
        <v>1640</v>
      </c>
      <c r="I5503" s="564" t="s">
        <v>11791</v>
      </c>
      <c r="J5503" s="564" t="s">
        <v>1069</v>
      </c>
      <c r="K5503" s="564" t="s">
        <v>1209</v>
      </c>
      <c r="L5503" s="564" t="s">
        <v>1390</v>
      </c>
      <c r="M5503" s="564" t="s">
        <v>1390</v>
      </c>
      <c r="N5503" s="564" t="s">
        <v>2439</v>
      </c>
      <c r="O5503" s="564" t="s">
        <v>38</v>
      </c>
      <c r="P5503" s="23"/>
      <c r="Q5503" s="23"/>
      <c r="R5503" s="23"/>
      <c r="S5503" s="23"/>
      <c r="T5503" s="23"/>
      <c r="U5503" s="23"/>
      <c r="V5503" s="23"/>
      <c r="W5503" s="23"/>
      <c r="X5503" s="23"/>
      <c r="Y5503" s="23"/>
      <c r="Z5503" s="23"/>
    </row>
    <row r="5504" spans="1:26" ht="13">
      <c r="A5504" s="562" t="s">
        <v>11792</v>
      </c>
      <c r="B5504" s="563" t="s">
        <v>11793</v>
      </c>
      <c r="C5504" s="564" t="s">
        <v>1255</v>
      </c>
      <c r="D5504" s="565">
        <v>42095</v>
      </c>
      <c r="E5504" s="565">
        <v>42155</v>
      </c>
      <c r="F5504" s="566">
        <v>2090000</v>
      </c>
      <c r="G5504" s="564" t="s">
        <v>1097</v>
      </c>
      <c r="H5504" s="564" t="s">
        <v>1123</v>
      </c>
      <c r="I5504" s="564" t="s">
        <v>140</v>
      </c>
      <c r="J5504" s="564" t="s">
        <v>1069</v>
      </c>
      <c r="K5504" s="564" t="s">
        <v>1205</v>
      </c>
      <c r="L5504" s="564" t="s">
        <v>1071</v>
      </c>
      <c r="M5504" s="564" t="s">
        <v>1091</v>
      </c>
      <c r="N5504" s="564" t="s">
        <v>1073</v>
      </c>
      <c r="O5504" s="564" t="s">
        <v>241</v>
      </c>
      <c r="P5504" s="23"/>
      <c r="Q5504" s="23"/>
      <c r="R5504" s="23"/>
      <c r="S5504" s="23"/>
      <c r="T5504" s="23"/>
      <c r="U5504" s="23"/>
      <c r="V5504" s="23"/>
      <c r="W5504" s="23"/>
      <c r="X5504" s="23"/>
      <c r="Y5504" s="23"/>
      <c r="Z5504" s="23"/>
    </row>
    <row r="5505" spans="1:26" ht="13">
      <c r="A5505" s="562" t="s">
        <v>11794</v>
      </c>
      <c r="B5505" s="563" t="s">
        <v>11795</v>
      </c>
      <c r="C5505" s="564" t="s">
        <v>1255</v>
      </c>
      <c r="D5505" s="565">
        <v>42095</v>
      </c>
      <c r="E5505" s="565">
        <v>42247</v>
      </c>
      <c r="F5505" s="566">
        <v>3883333</v>
      </c>
      <c r="G5505" s="564" t="s">
        <v>1912</v>
      </c>
      <c r="H5505" s="564" t="s">
        <v>1123</v>
      </c>
      <c r="I5505" s="564" t="s">
        <v>11724</v>
      </c>
      <c r="J5505" s="564" t="s">
        <v>1069</v>
      </c>
      <c r="K5505" s="564" t="s">
        <v>1105</v>
      </c>
      <c r="L5505" s="564" t="s">
        <v>1071</v>
      </c>
      <c r="M5505" s="564" t="s">
        <v>1091</v>
      </c>
      <c r="N5505" s="564" t="s">
        <v>1073</v>
      </c>
      <c r="O5505" s="564" t="s">
        <v>241</v>
      </c>
      <c r="P5505" s="23"/>
      <c r="Q5505" s="23"/>
      <c r="R5505" s="23"/>
      <c r="S5505" s="23"/>
      <c r="T5505" s="23"/>
      <c r="U5505" s="23"/>
      <c r="V5505" s="23"/>
      <c r="W5505" s="23"/>
      <c r="X5505" s="23"/>
      <c r="Y5505" s="23"/>
      <c r="Z5505" s="23"/>
    </row>
    <row r="5506" spans="1:26" ht="13">
      <c r="A5506" s="562" t="s">
        <v>11796</v>
      </c>
      <c r="B5506" s="563" t="s">
        <v>11797</v>
      </c>
      <c r="C5506" s="564" t="s">
        <v>1103</v>
      </c>
      <c r="D5506" s="565">
        <v>42064</v>
      </c>
      <c r="E5506" s="565">
        <v>42429</v>
      </c>
      <c r="F5506" s="566">
        <v>5400000</v>
      </c>
      <c r="G5506" s="564" t="s">
        <v>1297</v>
      </c>
      <c r="H5506" s="564" t="s">
        <v>1187</v>
      </c>
      <c r="I5506" s="564" t="s">
        <v>70</v>
      </c>
      <c r="J5506" s="564" t="s">
        <v>1069</v>
      </c>
      <c r="K5506" s="564" t="s">
        <v>1120</v>
      </c>
      <c r="L5506" s="564" t="s">
        <v>1071</v>
      </c>
      <c r="M5506" s="564" t="s">
        <v>1091</v>
      </c>
      <c r="N5506" s="564" t="s">
        <v>70</v>
      </c>
      <c r="O5506" s="564" t="s">
        <v>241</v>
      </c>
      <c r="P5506" s="23"/>
      <c r="Q5506" s="23"/>
      <c r="R5506" s="23"/>
      <c r="S5506" s="23"/>
      <c r="T5506" s="23"/>
      <c r="U5506" s="23"/>
      <c r="V5506" s="23"/>
      <c r="W5506" s="23"/>
      <c r="X5506" s="23"/>
      <c r="Y5506" s="23"/>
      <c r="Z5506" s="23"/>
    </row>
    <row r="5507" spans="1:26" ht="13">
      <c r="A5507" s="562" t="s">
        <v>11798</v>
      </c>
      <c r="B5507" s="563" t="s">
        <v>11799</v>
      </c>
      <c r="C5507" s="564" t="s">
        <v>2191</v>
      </c>
      <c r="D5507" s="565">
        <v>42076</v>
      </c>
      <c r="E5507" s="565">
        <v>42297</v>
      </c>
      <c r="F5507" s="566">
        <v>180863000</v>
      </c>
      <c r="G5507" s="564" t="s">
        <v>1604</v>
      </c>
      <c r="H5507" s="564" t="s">
        <v>1123</v>
      </c>
      <c r="I5507" s="564" t="s">
        <v>11800</v>
      </c>
      <c r="J5507" s="564" t="s">
        <v>1069</v>
      </c>
      <c r="K5507" s="564" t="s">
        <v>1205</v>
      </c>
      <c r="L5507" s="564" t="s">
        <v>1071</v>
      </c>
      <c r="M5507" s="564" t="s">
        <v>1124</v>
      </c>
      <c r="N5507" s="564" t="s">
        <v>1082</v>
      </c>
      <c r="O5507" s="564" t="s">
        <v>38</v>
      </c>
      <c r="P5507" s="23"/>
      <c r="Q5507" s="23"/>
      <c r="R5507" s="23"/>
      <c r="S5507" s="23"/>
      <c r="T5507" s="23"/>
      <c r="U5507" s="23"/>
      <c r="V5507" s="23"/>
      <c r="W5507" s="23"/>
      <c r="X5507" s="23"/>
      <c r="Y5507" s="23"/>
      <c r="Z5507" s="23"/>
    </row>
    <row r="5508" spans="1:26" ht="13">
      <c r="A5508" s="562" t="s">
        <v>11801</v>
      </c>
      <c r="B5508" s="563" t="s">
        <v>11802</v>
      </c>
      <c r="C5508" s="564" t="s">
        <v>2191</v>
      </c>
      <c r="D5508" s="565">
        <v>42064</v>
      </c>
      <c r="E5508" s="565">
        <v>42369</v>
      </c>
      <c r="F5508" s="566">
        <v>19300000</v>
      </c>
      <c r="G5508" s="564" t="s">
        <v>2459</v>
      </c>
      <c r="H5508" s="564" t="s">
        <v>2459</v>
      </c>
      <c r="I5508" s="564" t="s">
        <v>11803</v>
      </c>
      <c r="J5508" s="564" t="s">
        <v>1069</v>
      </c>
      <c r="K5508" s="564" t="s">
        <v>1070</v>
      </c>
      <c r="L5508" s="564" t="s">
        <v>1071</v>
      </c>
      <c r="M5508" s="564" t="s">
        <v>1091</v>
      </c>
      <c r="N5508" s="564" t="s">
        <v>2543</v>
      </c>
      <c r="O5508" s="564" t="s">
        <v>241</v>
      </c>
      <c r="P5508" s="23"/>
      <c r="Q5508" s="23"/>
      <c r="R5508" s="23"/>
      <c r="S5508" s="23"/>
      <c r="T5508" s="23"/>
      <c r="U5508" s="23"/>
      <c r="V5508" s="23"/>
      <c r="W5508" s="23"/>
      <c r="X5508" s="23"/>
      <c r="Y5508" s="23"/>
      <c r="Z5508" s="23"/>
    </row>
    <row r="5509" spans="1:26" ht="13">
      <c r="A5509" s="562" t="s">
        <v>11804</v>
      </c>
      <c r="B5509" s="563" t="s">
        <v>11805</v>
      </c>
      <c r="C5509" s="564" t="s">
        <v>2191</v>
      </c>
      <c r="D5509" s="565">
        <v>42064</v>
      </c>
      <c r="E5509" s="565">
        <v>42369</v>
      </c>
      <c r="F5509" s="566">
        <v>9272727</v>
      </c>
      <c r="G5509" s="564" t="s">
        <v>2459</v>
      </c>
      <c r="H5509" s="564" t="s">
        <v>2459</v>
      </c>
      <c r="I5509" s="564" t="s">
        <v>11803</v>
      </c>
      <c r="J5509" s="564" t="s">
        <v>1069</v>
      </c>
      <c r="K5509" s="564" t="s">
        <v>1070</v>
      </c>
      <c r="L5509" s="564" t="s">
        <v>1071</v>
      </c>
      <c r="M5509" s="564" t="s">
        <v>1091</v>
      </c>
      <c r="N5509" s="564" t="s">
        <v>2543</v>
      </c>
      <c r="O5509" s="564" t="s">
        <v>241</v>
      </c>
      <c r="P5509" s="23"/>
      <c r="Q5509" s="23"/>
      <c r="R5509" s="23"/>
      <c r="S5509" s="23"/>
      <c r="T5509" s="23"/>
      <c r="U5509" s="23"/>
      <c r="V5509" s="23"/>
      <c r="W5509" s="23"/>
      <c r="X5509" s="23"/>
      <c r="Y5509" s="23"/>
      <c r="Z5509" s="23"/>
    </row>
    <row r="5510" spans="1:26" ht="13">
      <c r="A5510" s="562" t="s">
        <v>11806</v>
      </c>
      <c r="B5510" s="563" t="s">
        <v>11807</v>
      </c>
      <c r="C5510" s="564" t="s">
        <v>2191</v>
      </c>
      <c r="D5510" s="565">
        <v>42064</v>
      </c>
      <c r="E5510" s="565">
        <v>42369</v>
      </c>
      <c r="F5510" s="566">
        <v>2354545</v>
      </c>
      <c r="G5510" s="564" t="s">
        <v>2459</v>
      </c>
      <c r="H5510" s="564" t="s">
        <v>2459</v>
      </c>
      <c r="I5510" s="564" t="s">
        <v>11803</v>
      </c>
      <c r="J5510" s="564" t="s">
        <v>1069</v>
      </c>
      <c r="K5510" s="564" t="s">
        <v>1070</v>
      </c>
      <c r="L5510" s="564" t="s">
        <v>1071</v>
      </c>
      <c r="M5510" s="564" t="s">
        <v>1091</v>
      </c>
      <c r="N5510" s="564" t="s">
        <v>2543</v>
      </c>
      <c r="O5510" s="564" t="s">
        <v>241</v>
      </c>
      <c r="P5510" s="23"/>
      <c r="Q5510" s="23"/>
      <c r="R5510" s="23"/>
      <c r="S5510" s="23"/>
      <c r="T5510" s="23"/>
      <c r="U5510" s="23"/>
      <c r="V5510" s="23"/>
      <c r="W5510" s="23"/>
      <c r="X5510" s="23"/>
      <c r="Y5510" s="23"/>
      <c r="Z5510" s="23"/>
    </row>
    <row r="5511" spans="1:26" ht="13">
      <c r="A5511" s="562" t="s">
        <v>11808</v>
      </c>
      <c r="B5511" s="563" t="s">
        <v>11809</v>
      </c>
      <c r="C5511" s="564" t="s">
        <v>1255</v>
      </c>
      <c r="D5511" s="565">
        <v>42064</v>
      </c>
      <c r="E5511" s="565">
        <v>42429</v>
      </c>
      <c r="F5511" s="566">
        <v>17781820</v>
      </c>
      <c r="G5511" s="564" t="s">
        <v>1097</v>
      </c>
      <c r="H5511" s="564" t="s">
        <v>1123</v>
      </c>
      <c r="I5511" s="564" t="s">
        <v>143</v>
      </c>
      <c r="J5511" s="564" t="s">
        <v>1069</v>
      </c>
      <c r="K5511" s="564" t="s">
        <v>1205</v>
      </c>
      <c r="L5511" s="564" t="s">
        <v>1071</v>
      </c>
      <c r="M5511" s="564" t="s">
        <v>1091</v>
      </c>
      <c r="N5511" s="564" t="s">
        <v>1073</v>
      </c>
      <c r="O5511" s="564" t="s">
        <v>241</v>
      </c>
      <c r="P5511" s="23"/>
      <c r="Q5511" s="23"/>
      <c r="R5511" s="23"/>
      <c r="S5511" s="23"/>
      <c r="T5511" s="23"/>
      <c r="U5511" s="23"/>
      <c r="V5511" s="23"/>
      <c r="W5511" s="23"/>
      <c r="X5511" s="23"/>
      <c r="Y5511" s="23"/>
      <c r="Z5511" s="23"/>
    </row>
    <row r="5512" spans="1:26" ht="13">
      <c r="A5512" s="562" t="s">
        <v>11810</v>
      </c>
      <c r="B5512" s="563" t="s">
        <v>11811</v>
      </c>
      <c r="C5512" s="564" t="s">
        <v>1255</v>
      </c>
      <c r="D5512" s="565">
        <v>42064</v>
      </c>
      <c r="E5512" s="565">
        <v>42429</v>
      </c>
      <c r="F5512" s="566">
        <v>7200000</v>
      </c>
      <c r="G5512" s="564" t="s">
        <v>1097</v>
      </c>
      <c r="H5512" s="564" t="s">
        <v>1123</v>
      </c>
      <c r="I5512" s="564" t="s">
        <v>143</v>
      </c>
      <c r="J5512" s="564" t="s">
        <v>1069</v>
      </c>
      <c r="K5512" s="564" t="s">
        <v>1205</v>
      </c>
      <c r="L5512" s="564" t="s">
        <v>1071</v>
      </c>
      <c r="M5512" s="564" t="s">
        <v>1091</v>
      </c>
      <c r="N5512" s="564" t="s">
        <v>1073</v>
      </c>
      <c r="O5512" s="564" t="s">
        <v>241</v>
      </c>
      <c r="P5512" s="23"/>
      <c r="Q5512" s="23"/>
      <c r="R5512" s="23"/>
      <c r="S5512" s="23"/>
      <c r="T5512" s="23"/>
      <c r="U5512" s="23"/>
      <c r="V5512" s="23"/>
      <c r="W5512" s="23"/>
      <c r="X5512" s="23"/>
      <c r="Y5512" s="23"/>
      <c r="Z5512" s="23"/>
    </row>
    <row r="5513" spans="1:26" ht="13">
      <c r="A5513" s="562" t="s">
        <v>11812</v>
      </c>
      <c r="B5513" s="563" t="s">
        <v>11813</v>
      </c>
      <c r="C5513" s="564" t="s">
        <v>1255</v>
      </c>
      <c r="D5513" s="565">
        <v>42064</v>
      </c>
      <c r="E5513" s="565">
        <v>42429</v>
      </c>
      <c r="F5513" s="566">
        <v>52680000</v>
      </c>
      <c r="G5513" s="564" t="s">
        <v>1097</v>
      </c>
      <c r="H5513" s="564" t="s">
        <v>1123</v>
      </c>
      <c r="I5513" s="564" t="s">
        <v>143</v>
      </c>
      <c r="J5513" s="564" t="s">
        <v>1069</v>
      </c>
      <c r="K5513" s="564" t="s">
        <v>1205</v>
      </c>
      <c r="L5513" s="564" t="s">
        <v>1071</v>
      </c>
      <c r="M5513" s="564" t="s">
        <v>1091</v>
      </c>
      <c r="N5513" s="564" t="s">
        <v>1073</v>
      </c>
      <c r="O5513" s="564" t="s">
        <v>241</v>
      </c>
      <c r="P5513" s="23"/>
      <c r="Q5513" s="23"/>
      <c r="R5513" s="23"/>
      <c r="S5513" s="23"/>
      <c r="T5513" s="23"/>
      <c r="U5513" s="23"/>
      <c r="V5513" s="23"/>
      <c r="W5513" s="23"/>
      <c r="X5513" s="23"/>
      <c r="Y5513" s="23"/>
      <c r="Z5513" s="23"/>
    </row>
    <row r="5514" spans="1:26" ht="13">
      <c r="A5514" s="562" t="s">
        <v>11814</v>
      </c>
      <c r="B5514" s="563" t="s">
        <v>11815</v>
      </c>
      <c r="C5514" s="564" t="s">
        <v>1103</v>
      </c>
      <c r="D5514" s="565">
        <v>42036</v>
      </c>
      <c r="E5514" s="565">
        <v>42400</v>
      </c>
      <c r="F5514" s="566">
        <v>11211000</v>
      </c>
      <c r="G5514" s="564" t="s">
        <v>11000</v>
      </c>
      <c r="H5514" s="564" t="s">
        <v>1187</v>
      </c>
      <c r="I5514" s="564" t="s">
        <v>70</v>
      </c>
      <c r="J5514" s="564" t="s">
        <v>1069</v>
      </c>
      <c r="K5514" s="564" t="s">
        <v>1120</v>
      </c>
      <c r="L5514" s="564" t="s">
        <v>1071</v>
      </c>
      <c r="M5514" s="564" t="s">
        <v>1091</v>
      </c>
      <c r="N5514" s="564" t="s">
        <v>70</v>
      </c>
      <c r="O5514" s="564" t="s">
        <v>241</v>
      </c>
      <c r="P5514" s="23"/>
      <c r="Q5514" s="23"/>
      <c r="R5514" s="23"/>
      <c r="S5514" s="23"/>
      <c r="T5514" s="23"/>
      <c r="U5514" s="23"/>
      <c r="V5514" s="23"/>
      <c r="W5514" s="23"/>
      <c r="X5514" s="23"/>
      <c r="Y5514" s="23"/>
      <c r="Z5514" s="23"/>
    </row>
    <row r="5515" spans="1:26" ht="13">
      <c r="A5515" s="562" t="s">
        <v>11816</v>
      </c>
      <c r="B5515" s="563" t="s">
        <v>11817</v>
      </c>
      <c r="C5515" s="564" t="s">
        <v>1612</v>
      </c>
      <c r="D5515" s="565">
        <v>42065</v>
      </c>
      <c r="E5515" s="565">
        <v>42124</v>
      </c>
      <c r="F5515" s="566">
        <v>10000000</v>
      </c>
      <c r="G5515" s="564" t="s">
        <v>1157</v>
      </c>
      <c r="H5515" s="564" t="s">
        <v>1157</v>
      </c>
      <c r="I5515" s="564" t="s">
        <v>11818</v>
      </c>
      <c r="J5515" s="564" t="s">
        <v>1069</v>
      </c>
      <c r="K5515" s="564" t="s">
        <v>1105</v>
      </c>
      <c r="L5515" s="564" t="s">
        <v>1390</v>
      </c>
      <c r="M5515" s="564" t="s">
        <v>1390</v>
      </c>
      <c r="N5515" s="564" t="s">
        <v>1082</v>
      </c>
      <c r="O5515" s="564" t="s">
        <v>38</v>
      </c>
      <c r="P5515" s="23"/>
      <c r="Q5515" s="23"/>
      <c r="R5515" s="23"/>
      <c r="S5515" s="23"/>
      <c r="T5515" s="23"/>
      <c r="U5515" s="23"/>
      <c r="V5515" s="23"/>
      <c r="W5515" s="23"/>
      <c r="X5515" s="23"/>
      <c r="Y5515" s="23"/>
      <c r="Z5515" s="23"/>
    </row>
    <row r="5516" spans="1:26" ht="13">
      <c r="A5516" s="562" t="s">
        <v>11819</v>
      </c>
      <c r="B5516" s="563" t="s">
        <v>11820</v>
      </c>
      <c r="C5516" s="564" t="s">
        <v>1612</v>
      </c>
      <c r="D5516" s="565">
        <v>42036</v>
      </c>
      <c r="E5516" s="565">
        <v>42247</v>
      </c>
      <c r="F5516" s="566">
        <v>345600000</v>
      </c>
      <c r="G5516" s="564" t="s">
        <v>11759</v>
      </c>
      <c r="H5516" s="564" t="s">
        <v>1187</v>
      </c>
      <c r="I5516" s="564" t="s">
        <v>70</v>
      </c>
      <c r="J5516" s="564" t="s">
        <v>1069</v>
      </c>
      <c r="K5516" s="564" t="s">
        <v>1120</v>
      </c>
      <c r="L5516" s="564" t="s">
        <v>1071</v>
      </c>
      <c r="M5516" s="564" t="s">
        <v>1091</v>
      </c>
      <c r="N5516" s="564" t="s">
        <v>70</v>
      </c>
      <c r="O5516" s="564" t="s">
        <v>241</v>
      </c>
      <c r="P5516" s="23"/>
      <c r="Q5516" s="23"/>
      <c r="R5516" s="23"/>
      <c r="S5516" s="23"/>
      <c r="T5516" s="23"/>
      <c r="U5516" s="23"/>
      <c r="V5516" s="23"/>
      <c r="W5516" s="23"/>
      <c r="X5516" s="23"/>
      <c r="Y5516" s="23"/>
      <c r="Z5516" s="23"/>
    </row>
    <row r="5517" spans="1:26" ht="13">
      <c r="A5517" s="562" t="s">
        <v>11821</v>
      </c>
      <c r="B5517" s="563" t="s">
        <v>11822</v>
      </c>
      <c r="C5517" s="564" t="s">
        <v>1612</v>
      </c>
      <c r="D5517" s="565">
        <v>42023</v>
      </c>
      <c r="E5517" s="565">
        <v>42174</v>
      </c>
      <c r="F5517" s="566">
        <v>351600000</v>
      </c>
      <c r="G5517" s="564" t="s">
        <v>11587</v>
      </c>
      <c r="H5517" s="564" t="s">
        <v>1157</v>
      </c>
      <c r="I5517" s="564" t="s">
        <v>11186</v>
      </c>
      <c r="J5517" s="564" t="s">
        <v>1069</v>
      </c>
      <c r="K5517" s="564" t="s">
        <v>1105</v>
      </c>
      <c r="L5517" s="564" t="s">
        <v>1390</v>
      </c>
      <c r="M5517" s="564" t="s">
        <v>1390</v>
      </c>
      <c r="N5517" s="564" t="s">
        <v>1082</v>
      </c>
      <c r="O5517" s="564" t="s">
        <v>38</v>
      </c>
      <c r="P5517" s="23"/>
      <c r="Q5517" s="23"/>
      <c r="R5517" s="23"/>
      <c r="S5517" s="23"/>
      <c r="T5517" s="23"/>
      <c r="U5517" s="23"/>
      <c r="V5517" s="23"/>
      <c r="W5517" s="23"/>
      <c r="X5517" s="23"/>
      <c r="Y5517" s="23"/>
      <c r="Z5517" s="23"/>
    </row>
    <row r="5518" spans="1:26" ht="13">
      <c r="A5518" s="562" t="s">
        <v>11823</v>
      </c>
      <c r="B5518" s="563" t="s">
        <v>11824</v>
      </c>
      <c r="C5518" s="564" t="s">
        <v>1873</v>
      </c>
      <c r="D5518" s="565">
        <v>42005</v>
      </c>
      <c r="E5518" s="565">
        <v>42735</v>
      </c>
      <c r="F5518" s="566">
        <v>51272727</v>
      </c>
      <c r="G5518" s="564" t="s">
        <v>1623</v>
      </c>
      <c r="H5518" s="564" t="s">
        <v>1623</v>
      </c>
      <c r="I5518" s="564" t="s">
        <v>802</v>
      </c>
      <c r="J5518" s="564" t="s">
        <v>1069</v>
      </c>
      <c r="K5518" s="564" t="s">
        <v>1198</v>
      </c>
      <c r="L5518" s="564" t="s">
        <v>1071</v>
      </c>
      <c r="M5518" s="564" t="s">
        <v>1091</v>
      </c>
      <c r="N5518" s="564" t="s">
        <v>132</v>
      </c>
      <c r="O5518" s="564" t="s">
        <v>241</v>
      </c>
      <c r="P5518" s="23"/>
      <c r="Q5518" s="23"/>
      <c r="R5518" s="23"/>
      <c r="S5518" s="23"/>
      <c r="T5518" s="23"/>
      <c r="U5518" s="23"/>
      <c r="V5518" s="23"/>
      <c r="W5518" s="23"/>
      <c r="X5518" s="23"/>
      <c r="Y5518" s="23"/>
      <c r="Z5518" s="23"/>
    </row>
    <row r="5519" spans="1:26" ht="13">
      <c r="A5519" s="562" t="s">
        <v>11825</v>
      </c>
      <c r="B5519" s="563" t="s">
        <v>11826</v>
      </c>
      <c r="C5519" s="564" t="s">
        <v>2191</v>
      </c>
      <c r="D5519" s="565">
        <v>42010</v>
      </c>
      <c r="E5519" s="565">
        <v>42429</v>
      </c>
      <c r="F5519" s="566">
        <v>505600000</v>
      </c>
      <c r="G5519" s="564" t="s">
        <v>1604</v>
      </c>
      <c r="H5519" s="564" t="s">
        <v>1123</v>
      </c>
      <c r="I5519" s="564" t="s">
        <v>11827</v>
      </c>
      <c r="J5519" s="564" t="s">
        <v>1069</v>
      </c>
      <c r="K5519" s="564" t="s">
        <v>1205</v>
      </c>
      <c r="L5519" s="564" t="s">
        <v>1071</v>
      </c>
      <c r="M5519" s="564" t="s">
        <v>1124</v>
      </c>
      <c r="N5519" s="564" t="s">
        <v>1082</v>
      </c>
      <c r="O5519" s="564" t="s">
        <v>38</v>
      </c>
      <c r="P5519" s="23"/>
      <c r="Q5519" s="23"/>
      <c r="R5519" s="23"/>
      <c r="S5519" s="23"/>
      <c r="T5519" s="23"/>
      <c r="U5519" s="23"/>
      <c r="V5519" s="23"/>
      <c r="W5519" s="23"/>
      <c r="X5519" s="23"/>
      <c r="Y5519" s="23"/>
      <c r="Z5519" s="23"/>
    </row>
    <row r="5520" spans="1:26" ht="13">
      <c r="A5520" s="562" t="s">
        <v>11828</v>
      </c>
      <c r="B5520" s="563" t="s">
        <v>11829</v>
      </c>
      <c r="C5520" s="564" t="s">
        <v>2191</v>
      </c>
      <c r="D5520" s="565">
        <v>42018</v>
      </c>
      <c r="E5520" s="565">
        <v>42035</v>
      </c>
      <c r="F5520" s="566">
        <v>10000000</v>
      </c>
      <c r="G5520" s="564" t="s">
        <v>1604</v>
      </c>
      <c r="H5520" s="564" t="s">
        <v>1123</v>
      </c>
      <c r="I5520" s="564" t="s">
        <v>140</v>
      </c>
      <c r="J5520" s="564" t="s">
        <v>1069</v>
      </c>
      <c r="K5520" s="564" t="s">
        <v>1205</v>
      </c>
      <c r="L5520" s="564" t="s">
        <v>1071</v>
      </c>
      <c r="M5520" s="564" t="s">
        <v>1124</v>
      </c>
      <c r="N5520" s="564" t="s">
        <v>1073</v>
      </c>
      <c r="O5520" s="564" t="s">
        <v>38</v>
      </c>
      <c r="P5520" s="23"/>
      <c r="Q5520" s="23"/>
      <c r="R5520" s="23"/>
      <c r="S5520" s="23"/>
      <c r="T5520" s="23"/>
      <c r="U5520" s="23"/>
      <c r="V5520" s="23"/>
      <c r="W5520" s="23"/>
      <c r="X5520" s="23"/>
      <c r="Y5520" s="23"/>
      <c r="Z5520" s="23"/>
    </row>
    <row r="5521" spans="1:26" ht="13">
      <c r="A5521" s="562" t="s">
        <v>11830</v>
      </c>
      <c r="B5521" s="563" t="s">
        <v>11831</v>
      </c>
      <c r="C5521" s="564" t="s">
        <v>1255</v>
      </c>
      <c r="D5521" s="565">
        <v>42005</v>
      </c>
      <c r="E5521" s="565">
        <v>42369</v>
      </c>
      <c r="F5521" s="566">
        <v>48500000</v>
      </c>
      <c r="G5521" s="564" t="s">
        <v>1097</v>
      </c>
      <c r="H5521" s="564" t="s">
        <v>1123</v>
      </c>
      <c r="I5521" s="564" t="s">
        <v>143</v>
      </c>
      <c r="J5521" s="564" t="s">
        <v>1069</v>
      </c>
      <c r="K5521" s="564" t="s">
        <v>1205</v>
      </c>
      <c r="L5521" s="564" t="s">
        <v>1071</v>
      </c>
      <c r="M5521" s="564" t="s">
        <v>1091</v>
      </c>
      <c r="N5521" s="564" t="s">
        <v>1073</v>
      </c>
      <c r="O5521" s="564" t="s">
        <v>241</v>
      </c>
      <c r="P5521" s="23"/>
      <c r="Q5521" s="23"/>
      <c r="R5521" s="23"/>
      <c r="S5521" s="23"/>
      <c r="T5521" s="23"/>
      <c r="U5521" s="23"/>
      <c r="V5521" s="23"/>
      <c r="W5521" s="23"/>
      <c r="X5521" s="23"/>
      <c r="Y5521" s="23"/>
      <c r="Z5521" s="23"/>
    </row>
    <row r="5522" spans="1:26" ht="13">
      <c r="A5522" s="562" t="s">
        <v>11832</v>
      </c>
      <c r="B5522" s="563" t="s">
        <v>11833</v>
      </c>
      <c r="C5522" s="564" t="s">
        <v>6860</v>
      </c>
      <c r="D5522" s="565">
        <v>42019</v>
      </c>
      <c r="E5522" s="565">
        <v>42049</v>
      </c>
      <c r="F5522" s="566">
        <v>4500000</v>
      </c>
      <c r="G5522" s="564" t="s">
        <v>1025</v>
      </c>
      <c r="H5522" s="564" t="s">
        <v>2428</v>
      </c>
      <c r="I5522" s="564" t="s">
        <v>11834</v>
      </c>
      <c r="J5522" s="564" t="s">
        <v>1069</v>
      </c>
      <c r="K5522" s="564" t="s">
        <v>1070</v>
      </c>
      <c r="L5522" s="564" t="s">
        <v>1071</v>
      </c>
      <c r="M5522" s="564" t="s">
        <v>1183</v>
      </c>
      <c r="N5522" s="564" t="s">
        <v>1082</v>
      </c>
      <c r="O5522" s="564" t="s">
        <v>38</v>
      </c>
      <c r="P5522" s="23"/>
      <c r="Q5522" s="23"/>
      <c r="R5522" s="23"/>
      <c r="S5522" s="23"/>
      <c r="T5522" s="23"/>
      <c r="U5522" s="23"/>
      <c r="V5522" s="23"/>
      <c r="W5522" s="23"/>
      <c r="X5522" s="23"/>
      <c r="Y5522" s="23"/>
      <c r="Z5522" s="23"/>
    </row>
    <row r="5523" spans="1:26" ht="13">
      <c r="A5523" s="562" t="s">
        <v>11835</v>
      </c>
      <c r="B5523" s="563" t="s">
        <v>11836</v>
      </c>
      <c r="C5523" s="564" t="s">
        <v>2191</v>
      </c>
      <c r="D5523" s="565">
        <v>42005</v>
      </c>
      <c r="E5523" s="565">
        <v>42369</v>
      </c>
      <c r="F5523" s="566">
        <v>360500000</v>
      </c>
      <c r="G5523" s="564" t="s">
        <v>1912</v>
      </c>
      <c r="H5523" s="564" t="s">
        <v>1128</v>
      </c>
      <c r="I5523" s="564" t="s">
        <v>7303</v>
      </c>
      <c r="J5523" s="564" t="s">
        <v>1069</v>
      </c>
      <c r="K5523" s="564" t="s">
        <v>1070</v>
      </c>
      <c r="L5523" s="564" t="s">
        <v>1071</v>
      </c>
      <c r="M5523" s="564" t="s">
        <v>1091</v>
      </c>
      <c r="N5523" s="564" t="s">
        <v>2325</v>
      </c>
      <c r="O5523" s="564" t="s">
        <v>241</v>
      </c>
      <c r="P5523" s="23"/>
      <c r="Q5523" s="23"/>
      <c r="R5523" s="23"/>
      <c r="S5523" s="23"/>
      <c r="T5523" s="23"/>
      <c r="U5523" s="23"/>
      <c r="V5523" s="23"/>
      <c r="W5523" s="23"/>
      <c r="X5523" s="23"/>
      <c r="Y5523" s="23"/>
      <c r="Z5523" s="23"/>
    </row>
    <row r="5524" spans="1:26" ht="13">
      <c r="A5524" s="562" t="s">
        <v>11837</v>
      </c>
      <c r="B5524" s="563" t="s">
        <v>11838</v>
      </c>
      <c r="C5524" s="564" t="s">
        <v>6860</v>
      </c>
      <c r="D5524" s="565">
        <v>42006</v>
      </c>
      <c r="E5524" s="565">
        <v>42175</v>
      </c>
      <c r="F5524" s="566">
        <v>451736000</v>
      </c>
      <c r="G5524" s="564" t="s">
        <v>10893</v>
      </c>
      <c r="H5524" s="564" t="s">
        <v>1128</v>
      </c>
      <c r="I5524" s="564" t="s">
        <v>11839</v>
      </c>
      <c r="J5524" s="564" t="s">
        <v>1069</v>
      </c>
      <c r="K5524" s="564" t="s">
        <v>1209</v>
      </c>
      <c r="L5524" s="564" t="s">
        <v>2098</v>
      </c>
      <c r="M5524" s="564" t="s">
        <v>2098</v>
      </c>
      <c r="N5524" s="564" t="s">
        <v>1082</v>
      </c>
      <c r="O5524" s="564" t="s">
        <v>2099</v>
      </c>
      <c r="P5524" s="23"/>
      <c r="Q5524" s="23"/>
      <c r="R5524" s="23"/>
      <c r="S5524" s="23"/>
      <c r="T5524" s="23"/>
      <c r="U5524" s="23"/>
      <c r="V5524" s="23"/>
      <c r="W5524" s="23"/>
      <c r="X5524" s="23"/>
      <c r="Y5524" s="23"/>
      <c r="Z5524" s="23"/>
    </row>
    <row r="5525" spans="1:26" ht="13">
      <c r="A5525" s="562" t="s">
        <v>11840</v>
      </c>
      <c r="B5525" s="563" t="s">
        <v>11841</v>
      </c>
      <c r="C5525" s="564" t="s">
        <v>1612</v>
      </c>
      <c r="D5525" s="565">
        <v>42009</v>
      </c>
      <c r="E5525" s="565">
        <v>42277</v>
      </c>
      <c r="F5525" s="566">
        <v>37200000</v>
      </c>
      <c r="G5525" s="564" t="s">
        <v>10823</v>
      </c>
      <c r="H5525" s="564" t="s">
        <v>1157</v>
      </c>
      <c r="I5525" s="564" t="s">
        <v>1628</v>
      </c>
      <c r="J5525" s="564" t="s">
        <v>1069</v>
      </c>
      <c r="K5525" s="564" t="s">
        <v>1105</v>
      </c>
      <c r="L5525" s="564" t="s">
        <v>1390</v>
      </c>
      <c r="M5525" s="564" t="s">
        <v>1390</v>
      </c>
      <c r="N5525" s="564" t="s">
        <v>1073</v>
      </c>
      <c r="O5525" s="564" t="s">
        <v>38</v>
      </c>
      <c r="P5525" s="23"/>
      <c r="Q5525" s="23"/>
      <c r="R5525" s="23"/>
      <c r="S5525" s="23"/>
      <c r="T5525" s="23"/>
      <c r="U5525" s="23"/>
      <c r="V5525" s="23"/>
      <c r="W5525" s="23"/>
      <c r="X5525" s="23"/>
      <c r="Y5525" s="23"/>
      <c r="Z5525" s="23"/>
    </row>
    <row r="5526" spans="1:26" ht="13">
      <c r="A5526" s="562" t="s">
        <v>11842</v>
      </c>
      <c r="B5526" s="563" t="s">
        <v>11843</v>
      </c>
      <c r="C5526" s="564" t="s">
        <v>1548</v>
      </c>
      <c r="D5526" s="565">
        <v>41962</v>
      </c>
      <c r="E5526" s="565">
        <v>43404</v>
      </c>
      <c r="F5526" s="566">
        <v>356236757</v>
      </c>
      <c r="G5526" s="564" t="s">
        <v>2346</v>
      </c>
      <c r="H5526" s="564" t="s">
        <v>1187</v>
      </c>
      <c r="I5526" s="564" t="s">
        <v>11844</v>
      </c>
      <c r="J5526" s="564" t="s">
        <v>1069</v>
      </c>
      <c r="K5526" s="564" t="s">
        <v>1070</v>
      </c>
      <c r="L5526" s="564" t="s">
        <v>1071</v>
      </c>
      <c r="M5526" s="564" t="s">
        <v>1091</v>
      </c>
      <c r="N5526" s="564" t="s">
        <v>1082</v>
      </c>
      <c r="O5526" s="564" t="s">
        <v>38</v>
      </c>
      <c r="P5526" s="23"/>
      <c r="Q5526" s="23"/>
      <c r="R5526" s="23"/>
      <c r="S5526" s="23"/>
      <c r="T5526" s="23"/>
      <c r="U5526" s="23"/>
      <c r="V5526" s="23"/>
      <c r="W5526" s="23"/>
      <c r="X5526" s="23"/>
      <c r="Y5526" s="23"/>
      <c r="Z5526" s="23"/>
    </row>
    <row r="5527" spans="1:26" ht="13">
      <c r="A5527" s="562" t="s">
        <v>11845</v>
      </c>
      <c r="B5527" s="563" t="s">
        <v>11846</v>
      </c>
      <c r="C5527" s="564" t="s">
        <v>1612</v>
      </c>
      <c r="D5527" s="565">
        <v>41995</v>
      </c>
      <c r="E5527" s="565">
        <v>42086</v>
      </c>
      <c r="F5527" s="566">
        <v>50000000</v>
      </c>
      <c r="G5527" s="564" t="s">
        <v>1298</v>
      </c>
      <c r="H5527" s="564" t="s">
        <v>1187</v>
      </c>
      <c r="I5527" s="564" t="s">
        <v>70</v>
      </c>
      <c r="J5527" s="564" t="s">
        <v>1069</v>
      </c>
      <c r="K5527" s="564" t="s">
        <v>1120</v>
      </c>
      <c r="L5527" s="564" t="s">
        <v>1390</v>
      </c>
      <c r="M5527" s="564" t="s">
        <v>1390</v>
      </c>
      <c r="N5527" s="564" t="s">
        <v>70</v>
      </c>
      <c r="O5527" s="564" t="s">
        <v>38</v>
      </c>
      <c r="P5527" s="23"/>
      <c r="Q5527" s="23"/>
      <c r="R5527" s="23"/>
      <c r="S5527" s="23"/>
      <c r="T5527" s="23"/>
      <c r="U5527" s="23"/>
      <c r="V5527" s="23"/>
      <c r="W5527" s="23"/>
      <c r="X5527" s="23"/>
      <c r="Y5527" s="23"/>
      <c r="Z5527" s="23"/>
    </row>
    <row r="5528" spans="1:26" ht="13">
      <c r="A5528" s="562" t="s">
        <v>11847</v>
      </c>
      <c r="B5528" s="563" t="s">
        <v>11848</v>
      </c>
      <c r="C5528" s="564" t="s">
        <v>6860</v>
      </c>
      <c r="D5528" s="565">
        <v>41995</v>
      </c>
      <c r="E5528" s="565">
        <v>42734</v>
      </c>
      <c r="F5528" s="566">
        <v>570000000</v>
      </c>
      <c r="G5528" s="564" t="s">
        <v>1912</v>
      </c>
      <c r="H5528" s="564" t="s">
        <v>2168</v>
      </c>
      <c r="I5528" s="564" t="s">
        <v>11849</v>
      </c>
      <c r="J5528" s="564" t="s">
        <v>1069</v>
      </c>
      <c r="K5528" s="564" t="s">
        <v>1070</v>
      </c>
      <c r="L5528" s="564" t="s">
        <v>1071</v>
      </c>
      <c r="M5528" s="564" t="s">
        <v>1124</v>
      </c>
      <c r="N5528" s="564" t="s">
        <v>1082</v>
      </c>
      <c r="O5528" s="564" t="s">
        <v>38</v>
      </c>
      <c r="P5528" s="23"/>
      <c r="Q5528" s="23"/>
      <c r="R5528" s="23"/>
      <c r="S5528" s="23"/>
      <c r="T5528" s="23"/>
      <c r="U5528" s="23"/>
      <c r="V5528" s="23"/>
      <c r="W5528" s="23"/>
      <c r="X5528" s="23"/>
      <c r="Y5528" s="23"/>
      <c r="Z5528" s="23"/>
    </row>
    <row r="5529" spans="1:26" ht="13">
      <c r="A5529" s="562" t="s">
        <v>11850</v>
      </c>
      <c r="B5529" s="563" t="s">
        <v>11851</v>
      </c>
      <c r="C5529" s="564" t="s">
        <v>1873</v>
      </c>
      <c r="D5529" s="565">
        <v>41967</v>
      </c>
      <c r="E5529" s="565">
        <v>41985</v>
      </c>
      <c r="F5529" s="566">
        <v>55133000</v>
      </c>
      <c r="G5529" s="564" t="s">
        <v>1312</v>
      </c>
      <c r="H5529" s="564" t="s">
        <v>1157</v>
      </c>
      <c r="I5529" s="564" t="s">
        <v>45</v>
      </c>
      <c r="J5529" s="564" t="s">
        <v>1069</v>
      </c>
      <c r="K5529" s="564" t="s">
        <v>1090</v>
      </c>
      <c r="L5529" s="564" t="s">
        <v>1390</v>
      </c>
      <c r="M5529" s="564" t="s">
        <v>1390</v>
      </c>
      <c r="N5529" s="564" t="s">
        <v>45</v>
      </c>
      <c r="O5529" s="564" t="s">
        <v>38</v>
      </c>
      <c r="P5529" s="23"/>
      <c r="Q5529" s="23"/>
      <c r="R5529" s="23"/>
      <c r="S5529" s="23"/>
      <c r="T5529" s="23"/>
      <c r="U5529" s="23"/>
      <c r="V5529" s="23"/>
      <c r="W5529" s="23"/>
      <c r="X5529" s="23"/>
      <c r="Y5529" s="23"/>
      <c r="Z5529" s="23"/>
    </row>
    <row r="5530" spans="1:26" ht="13">
      <c r="A5530" s="562" t="s">
        <v>11852</v>
      </c>
      <c r="B5530" s="563" t="s">
        <v>11853</v>
      </c>
      <c r="C5530" s="564" t="s">
        <v>6860</v>
      </c>
      <c r="D5530" s="565">
        <v>41933</v>
      </c>
      <c r="E5530" s="565">
        <v>42175</v>
      </c>
      <c r="F5530" s="566">
        <v>1273078000</v>
      </c>
      <c r="G5530" s="564" t="s">
        <v>10893</v>
      </c>
      <c r="H5530" s="564" t="s">
        <v>1128</v>
      </c>
      <c r="I5530" s="564" t="s">
        <v>11854</v>
      </c>
      <c r="J5530" s="564" t="s">
        <v>1069</v>
      </c>
      <c r="K5530" s="564" t="s">
        <v>1070</v>
      </c>
      <c r="L5530" s="564" t="s">
        <v>2098</v>
      </c>
      <c r="M5530" s="564" t="s">
        <v>2098</v>
      </c>
      <c r="N5530" s="564" t="s">
        <v>1082</v>
      </c>
      <c r="O5530" s="564" t="s">
        <v>2099</v>
      </c>
      <c r="P5530" s="23"/>
      <c r="Q5530" s="23"/>
      <c r="R5530" s="23"/>
      <c r="S5530" s="23"/>
      <c r="T5530" s="23"/>
      <c r="U5530" s="23"/>
      <c r="V5530" s="23"/>
      <c r="W5530" s="23"/>
      <c r="X5530" s="23"/>
      <c r="Y5530" s="23"/>
      <c r="Z5530" s="23"/>
    </row>
    <row r="5531" spans="1:26" ht="13">
      <c r="A5531" s="562" t="s">
        <v>11855</v>
      </c>
      <c r="B5531" s="563" t="s">
        <v>11856</v>
      </c>
      <c r="C5531" s="564" t="s">
        <v>6860</v>
      </c>
      <c r="D5531" s="565">
        <v>41933</v>
      </c>
      <c r="E5531" s="565">
        <v>42175</v>
      </c>
      <c r="F5531" s="566">
        <v>865000000</v>
      </c>
      <c r="G5531" s="564" t="s">
        <v>10893</v>
      </c>
      <c r="H5531" s="564" t="s">
        <v>1128</v>
      </c>
      <c r="I5531" s="564" t="s">
        <v>11857</v>
      </c>
      <c r="J5531" s="564" t="s">
        <v>1069</v>
      </c>
      <c r="K5531" s="564" t="s">
        <v>1209</v>
      </c>
      <c r="L5531" s="564" t="s">
        <v>2098</v>
      </c>
      <c r="M5531" s="564" t="s">
        <v>2098</v>
      </c>
      <c r="N5531" s="564" t="s">
        <v>1082</v>
      </c>
      <c r="O5531" s="564" t="s">
        <v>2099</v>
      </c>
      <c r="P5531" s="23"/>
      <c r="Q5531" s="23"/>
      <c r="R5531" s="23"/>
      <c r="S5531" s="23"/>
      <c r="T5531" s="23"/>
      <c r="U5531" s="23"/>
      <c r="V5531" s="23"/>
      <c r="W5531" s="23"/>
      <c r="X5531" s="23"/>
      <c r="Y5531" s="23"/>
      <c r="Z5531" s="23"/>
    </row>
    <row r="5532" spans="1:26" ht="13">
      <c r="A5532" s="562" t="s">
        <v>11858</v>
      </c>
      <c r="B5532" s="563" t="s">
        <v>11859</v>
      </c>
      <c r="C5532" s="564" t="s">
        <v>1873</v>
      </c>
      <c r="D5532" s="565">
        <v>41961</v>
      </c>
      <c r="E5532" s="565">
        <v>41985</v>
      </c>
      <c r="F5532" s="566">
        <v>10500000</v>
      </c>
      <c r="G5532" s="564" t="s">
        <v>1458</v>
      </c>
      <c r="H5532" s="564" t="s">
        <v>1157</v>
      </c>
      <c r="I5532" s="564" t="s">
        <v>170</v>
      </c>
      <c r="J5532" s="564" t="s">
        <v>1069</v>
      </c>
      <c r="K5532" s="564" t="s">
        <v>1105</v>
      </c>
      <c r="L5532" s="564" t="s">
        <v>1071</v>
      </c>
      <c r="M5532" s="564" t="s">
        <v>1091</v>
      </c>
      <c r="N5532" s="564" t="s">
        <v>170</v>
      </c>
      <c r="O5532" s="564" t="s">
        <v>241</v>
      </c>
      <c r="P5532" s="23"/>
      <c r="Q5532" s="23"/>
      <c r="R5532" s="23"/>
      <c r="S5532" s="23"/>
      <c r="T5532" s="23"/>
      <c r="U5532" s="23"/>
      <c r="V5532" s="23"/>
      <c r="W5532" s="23"/>
      <c r="X5532" s="23"/>
      <c r="Y5532" s="23"/>
      <c r="Z5532" s="23"/>
    </row>
    <row r="5533" spans="1:26" ht="13">
      <c r="A5533" s="562" t="s">
        <v>11860</v>
      </c>
      <c r="B5533" s="563" t="s">
        <v>11861</v>
      </c>
      <c r="C5533" s="564" t="s">
        <v>1612</v>
      </c>
      <c r="D5533" s="565">
        <v>41944</v>
      </c>
      <c r="E5533" s="565">
        <v>42308</v>
      </c>
      <c r="F5533" s="566">
        <v>13800000</v>
      </c>
      <c r="G5533" s="564" t="s">
        <v>1297</v>
      </c>
      <c r="H5533" s="564" t="s">
        <v>1187</v>
      </c>
      <c r="I5533" s="564" t="s">
        <v>70</v>
      </c>
      <c r="J5533" s="564" t="s">
        <v>1069</v>
      </c>
      <c r="K5533" s="564" t="s">
        <v>1120</v>
      </c>
      <c r="L5533" s="564" t="s">
        <v>1071</v>
      </c>
      <c r="M5533" s="564" t="s">
        <v>1091</v>
      </c>
      <c r="N5533" s="564" t="s">
        <v>70</v>
      </c>
      <c r="O5533" s="564" t="s">
        <v>241</v>
      </c>
      <c r="P5533" s="23"/>
      <c r="Q5533" s="23"/>
      <c r="R5533" s="23"/>
      <c r="S5533" s="23"/>
      <c r="T5533" s="23"/>
      <c r="U5533" s="23"/>
      <c r="V5533" s="23"/>
      <c r="W5533" s="23"/>
      <c r="X5533" s="23"/>
      <c r="Y5533" s="23"/>
      <c r="Z5533" s="23"/>
    </row>
    <row r="5534" spans="1:26" ht="13">
      <c r="A5534" s="562" t="s">
        <v>11862</v>
      </c>
      <c r="B5534" s="563" t="s">
        <v>11863</v>
      </c>
      <c r="C5534" s="564" t="s">
        <v>2191</v>
      </c>
      <c r="D5534" s="565">
        <v>41912</v>
      </c>
      <c r="E5534" s="565">
        <v>42014</v>
      </c>
      <c r="F5534" s="566">
        <v>862356000</v>
      </c>
      <c r="G5534" s="564" t="s">
        <v>11469</v>
      </c>
      <c r="H5534" s="564" t="s">
        <v>6844</v>
      </c>
      <c r="I5534" s="564" t="s">
        <v>11864</v>
      </c>
      <c r="J5534" s="564" t="s">
        <v>1069</v>
      </c>
      <c r="K5534" s="564" t="s">
        <v>2878</v>
      </c>
      <c r="L5534" s="564" t="s">
        <v>2098</v>
      </c>
      <c r="M5534" s="564" t="s">
        <v>2098</v>
      </c>
      <c r="N5534" s="564" t="s">
        <v>1082</v>
      </c>
      <c r="O5534" s="564" t="s">
        <v>2099</v>
      </c>
      <c r="P5534" s="23"/>
      <c r="Q5534" s="23"/>
      <c r="R5534" s="23"/>
      <c r="S5534" s="23"/>
      <c r="T5534" s="23"/>
      <c r="U5534" s="23"/>
      <c r="V5534" s="23"/>
      <c r="W5534" s="23"/>
      <c r="X5534" s="23"/>
      <c r="Y5534" s="23"/>
      <c r="Z5534" s="23"/>
    </row>
    <row r="5535" spans="1:26" ht="13">
      <c r="A5535" s="562" t="s">
        <v>11865</v>
      </c>
      <c r="B5535" s="563" t="s">
        <v>11866</v>
      </c>
      <c r="C5535" s="564" t="s">
        <v>2437</v>
      </c>
      <c r="D5535" s="565">
        <v>41944</v>
      </c>
      <c r="E5535" s="565">
        <v>42947</v>
      </c>
      <c r="F5535" s="566">
        <v>551929920</v>
      </c>
      <c r="G5535" s="564" t="s">
        <v>1912</v>
      </c>
      <c r="H5535" s="564" t="s">
        <v>1187</v>
      </c>
      <c r="I5535" s="564" t="s">
        <v>5752</v>
      </c>
      <c r="J5535" s="564" t="s">
        <v>1069</v>
      </c>
      <c r="K5535" s="564" t="s">
        <v>1802</v>
      </c>
      <c r="L5535" s="564" t="s">
        <v>1071</v>
      </c>
      <c r="M5535" s="564" t="s">
        <v>1091</v>
      </c>
      <c r="N5535" s="564" t="s">
        <v>1082</v>
      </c>
      <c r="O5535" s="564" t="s">
        <v>241</v>
      </c>
      <c r="P5535" s="23"/>
      <c r="Q5535" s="23"/>
      <c r="R5535" s="23"/>
      <c r="S5535" s="23"/>
      <c r="T5535" s="23"/>
      <c r="U5535" s="23"/>
      <c r="V5535" s="23"/>
      <c r="W5535" s="23"/>
      <c r="X5535" s="23"/>
      <c r="Y5535" s="23"/>
      <c r="Z5535" s="23"/>
    </row>
    <row r="5536" spans="1:26" ht="13">
      <c r="A5536" s="562" t="s">
        <v>11867</v>
      </c>
      <c r="B5536" s="563" t="s">
        <v>11868</v>
      </c>
      <c r="C5536" s="564" t="s">
        <v>2191</v>
      </c>
      <c r="D5536" s="565">
        <v>41944</v>
      </c>
      <c r="E5536" s="565">
        <v>42308</v>
      </c>
      <c r="F5536" s="566">
        <v>12000000</v>
      </c>
      <c r="G5536" s="564" t="s">
        <v>11496</v>
      </c>
      <c r="H5536" s="564" t="s">
        <v>1529</v>
      </c>
      <c r="I5536" s="564" t="s">
        <v>11869</v>
      </c>
      <c r="J5536" s="564" t="s">
        <v>1069</v>
      </c>
      <c r="K5536" s="564" t="s">
        <v>1070</v>
      </c>
      <c r="L5536" s="564" t="s">
        <v>1071</v>
      </c>
      <c r="M5536" s="564" t="s">
        <v>1091</v>
      </c>
      <c r="N5536" s="564" t="s">
        <v>1082</v>
      </c>
      <c r="O5536" s="564" t="s">
        <v>241</v>
      </c>
      <c r="P5536" s="23"/>
      <c r="Q5536" s="23"/>
      <c r="R5536" s="23"/>
      <c r="S5536" s="23"/>
      <c r="T5536" s="23"/>
      <c r="U5536" s="23"/>
      <c r="V5536" s="23"/>
      <c r="W5536" s="23"/>
      <c r="X5536" s="23"/>
      <c r="Y5536" s="23"/>
      <c r="Z5536" s="23"/>
    </row>
    <row r="5537" spans="1:26" ht="13">
      <c r="A5537" s="562" t="s">
        <v>11870</v>
      </c>
      <c r="B5537" s="563" t="s">
        <v>11871</v>
      </c>
      <c r="C5537" s="564" t="s">
        <v>2191</v>
      </c>
      <c r="D5537" s="565">
        <v>41900</v>
      </c>
      <c r="E5537" s="565">
        <v>41912</v>
      </c>
      <c r="F5537" s="566">
        <v>131028000</v>
      </c>
      <c r="G5537" s="564" t="s">
        <v>1148</v>
      </c>
      <c r="H5537" s="564" t="s">
        <v>1636</v>
      </c>
      <c r="I5537" s="564" t="s">
        <v>11839</v>
      </c>
      <c r="J5537" s="564" t="s">
        <v>1069</v>
      </c>
      <c r="K5537" s="564" t="s">
        <v>1090</v>
      </c>
      <c r="L5537" s="564" t="s">
        <v>1390</v>
      </c>
      <c r="M5537" s="564" t="s">
        <v>1390</v>
      </c>
      <c r="N5537" s="564" t="s">
        <v>1082</v>
      </c>
      <c r="O5537" s="564" t="s">
        <v>38</v>
      </c>
      <c r="P5537" s="23"/>
      <c r="Q5537" s="23"/>
      <c r="R5537" s="23"/>
      <c r="S5537" s="23"/>
      <c r="T5537" s="23"/>
      <c r="U5537" s="23"/>
      <c r="V5537" s="23"/>
      <c r="W5537" s="23"/>
      <c r="X5537" s="23"/>
      <c r="Y5537" s="23"/>
      <c r="Z5537" s="23"/>
    </row>
    <row r="5538" spans="1:26" ht="13">
      <c r="A5538" s="562" t="s">
        <v>11872</v>
      </c>
      <c r="B5538" s="563" t="s">
        <v>11873</v>
      </c>
      <c r="C5538" s="564" t="s">
        <v>1612</v>
      </c>
      <c r="D5538" s="565">
        <v>41835</v>
      </c>
      <c r="E5538" s="565">
        <v>42199</v>
      </c>
      <c r="F5538" s="566">
        <v>60000000</v>
      </c>
      <c r="G5538" s="564" t="s">
        <v>1849</v>
      </c>
      <c r="H5538" s="564" t="s">
        <v>1157</v>
      </c>
      <c r="I5538" s="564" t="s">
        <v>121</v>
      </c>
      <c r="J5538" s="564" t="s">
        <v>1069</v>
      </c>
      <c r="K5538" s="564" t="s">
        <v>1105</v>
      </c>
      <c r="L5538" s="564" t="s">
        <v>1071</v>
      </c>
      <c r="M5538" s="564" t="s">
        <v>1091</v>
      </c>
      <c r="N5538" s="564" t="s">
        <v>1073</v>
      </c>
      <c r="O5538" s="564" t="s">
        <v>241</v>
      </c>
      <c r="P5538" s="23"/>
      <c r="Q5538" s="23"/>
      <c r="R5538" s="23"/>
      <c r="S5538" s="23"/>
      <c r="T5538" s="23"/>
      <c r="U5538" s="23"/>
      <c r="V5538" s="23"/>
      <c r="W5538" s="23"/>
      <c r="X5538" s="23"/>
      <c r="Y5538" s="23"/>
      <c r="Z5538" s="23"/>
    </row>
    <row r="5539" spans="1:26" ht="13">
      <c r="A5539" s="562" t="s">
        <v>11874</v>
      </c>
      <c r="B5539" s="563" t="s">
        <v>11875</v>
      </c>
      <c r="C5539" s="564" t="s">
        <v>2191</v>
      </c>
      <c r="D5539" s="565">
        <v>41912</v>
      </c>
      <c r="E5539" s="565">
        <v>41917</v>
      </c>
      <c r="F5539" s="566">
        <v>7363636</v>
      </c>
      <c r="G5539" s="564" t="s">
        <v>1912</v>
      </c>
      <c r="H5539" s="564" t="s">
        <v>1123</v>
      </c>
      <c r="I5539" s="564" t="s">
        <v>140</v>
      </c>
      <c r="J5539" s="564" t="s">
        <v>1069</v>
      </c>
      <c r="K5539" s="564" t="s">
        <v>1205</v>
      </c>
      <c r="L5539" s="564" t="s">
        <v>1071</v>
      </c>
      <c r="M5539" s="564" t="s">
        <v>1124</v>
      </c>
      <c r="N5539" s="564" t="s">
        <v>1073</v>
      </c>
      <c r="O5539" s="564" t="s">
        <v>38</v>
      </c>
      <c r="P5539" s="23"/>
      <c r="Q5539" s="23"/>
      <c r="R5539" s="23"/>
      <c r="S5539" s="23"/>
      <c r="T5539" s="23"/>
      <c r="U5539" s="23"/>
      <c r="V5539" s="23"/>
      <c r="W5539" s="23"/>
      <c r="X5539" s="23"/>
      <c r="Y5539" s="23"/>
      <c r="Z5539" s="23"/>
    </row>
    <row r="5540" spans="1:26" ht="13">
      <c r="A5540" s="562" t="s">
        <v>11876</v>
      </c>
      <c r="B5540" s="563" t="s">
        <v>11877</v>
      </c>
      <c r="C5540" s="564" t="s">
        <v>1612</v>
      </c>
      <c r="D5540" s="565">
        <v>41897</v>
      </c>
      <c r="E5540" s="565">
        <v>42004</v>
      </c>
      <c r="F5540" s="566">
        <v>119000000</v>
      </c>
      <c r="G5540" s="564" t="s">
        <v>11587</v>
      </c>
      <c r="H5540" s="564" t="s">
        <v>1157</v>
      </c>
      <c r="I5540" s="564" t="s">
        <v>70</v>
      </c>
      <c r="J5540" s="564" t="s">
        <v>1069</v>
      </c>
      <c r="K5540" s="564" t="s">
        <v>1120</v>
      </c>
      <c r="L5540" s="564" t="s">
        <v>1390</v>
      </c>
      <c r="M5540" s="564" t="s">
        <v>1390</v>
      </c>
      <c r="N5540" s="564" t="s">
        <v>70</v>
      </c>
      <c r="O5540" s="564" t="s">
        <v>38</v>
      </c>
      <c r="P5540" s="23"/>
      <c r="Q5540" s="23"/>
      <c r="R5540" s="23"/>
      <c r="S5540" s="23"/>
      <c r="T5540" s="23"/>
      <c r="U5540" s="23"/>
      <c r="V5540" s="23"/>
      <c r="W5540" s="23"/>
      <c r="X5540" s="23"/>
      <c r="Y5540" s="23"/>
      <c r="Z5540" s="23"/>
    </row>
    <row r="5541" spans="1:26" ht="13">
      <c r="A5541" s="562" t="s">
        <v>11878</v>
      </c>
      <c r="B5541" s="563" t="s">
        <v>11879</v>
      </c>
      <c r="C5541" s="564" t="s">
        <v>1873</v>
      </c>
      <c r="D5541" s="565">
        <v>41876</v>
      </c>
      <c r="E5541" s="565">
        <v>42059</v>
      </c>
      <c r="F5541" s="566">
        <v>21714000</v>
      </c>
      <c r="G5541" s="564" t="s">
        <v>11880</v>
      </c>
      <c r="H5541" s="564" t="s">
        <v>1157</v>
      </c>
      <c r="I5541" s="564" t="s">
        <v>170</v>
      </c>
      <c r="J5541" s="564" t="s">
        <v>1069</v>
      </c>
      <c r="K5541" s="564" t="s">
        <v>1105</v>
      </c>
      <c r="L5541" s="564" t="s">
        <v>1390</v>
      </c>
      <c r="M5541" s="564" t="s">
        <v>1390</v>
      </c>
      <c r="N5541" s="564" t="s">
        <v>170</v>
      </c>
      <c r="O5541" s="564" t="s">
        <v>38</v>
      </c>
      <c r="P5541" s="23"/>
      <c r="Q5541" s="23"/>
      <c r="R5541" s="23"/>
      <c r="S5541" s="23"/>
      <c r="T5541" s="23"/>
      <c r="U5541" s="23"/>
      <c r="V5541" s="23"/>
      <c r="W5541" s="23"/>
      <c r="X5541" s="23"/>
      <c r="Y5541" s="23"/>
      <c r="Z5541" s="23"/>
    </row>
    <row r="5542" spans="1:26" ht="13">
      <c r="A5542" s="562" t="s">
        <v>11881</v>
      </c>
      <c r="B5542" s="563" t="s">
        <v>11882</v>
      </c>
      <c r="C5542" s="564" t="s">
        <v>1612</v>
      </c>
      <c r="D5542" s="565">
        <v>41883</v>
      </c>
      <c r="E5542" s="565">
        <v>42247</v>
      </c>
      <c r="F5542" s="566">
        <v>17080000</v>
      </c>
      <c r="G5542" s="564" t="s">
        <v>1330</v>
      </c>
      <c r="H5542" s="564" t="s">
        <v>1187</v>
      </c>
      <c r="I5542" s="564" t="s">
        <v>70</v>
      </c>
      <c r="J5542" s="564" t="s">
        <v>1069</v>
      </c>
      <c r="K5542" s="564" t="s">
        <v>1120</v>
      </c>
      <c r="L5542" s="564" t="s">
        <v>1071</v>
      </c>
      <c r="M5542" s="564" t="s">
        <v>1091</v>
      </c>
      <c r="N5542" s="564" t="s">
        <v>70</v>
      </c>
      <c r="O5542" s="564" t="s">
        <v>241</v>
      </c>
      <c r="P5542" s="23"/>
      <c r="Q5542" s="23"/>
      <c r="R5542" s="23"/>
      <c r="S5542" s="23"/>
      <c r="T5542" s="23"/>
      <c r="U5542" s="23"/>
      <c r="V5542" s="23"/>
      <c r="W5542" s="23"/>
      <c r="X5542" s="23"/>
      <c r="Y5542" s="23"/>
      <c r="Z5542" s="23"/>
    </row>
    <row r="5543" spans="1:26" ht="13">
      <c r="A5543" s="562" t="s">
        <v>11883</v>
      </c>
      <c r="B5543" s="563" t="s">
        <v>11884</v>
      </c>
      <c r="C5543" s="564" t="s">
        <v>1255</v>
      </c>
      <c r="D5543" s="565">
        <v>41869</v>
      </c>
      <c r="E5543" s="565">
        <v>41882</v>
      </c>
      <c r="F5543" s="566">
        <v>9500000</v>
      </c>
      <c r="G5543" s="564" t="s">
        <v>1604</v>
      </c>
      <c r="H5543" s="564" t="s">
        <v>1123</v>
      </c>
      <c r="I5543" s="564" t="s">
        <v>1247</v>
      </c>
      <c r="J5543" s="564" t="s">
        <v>1069</v>
      </c>
      <c r="K5543" s="564" t="s">
        <v>1070</v>
      </c>
      <c r="L5543" s="564" t="s">
        <v>1071</v>
      </c>
      <c r="M5543" s="564" t="s">
        <v>1124</v>
      </c>
      <c r="N5543" s="564" t="s">
        <v>1073</v>
      </c>
      <c r="O5543" s="564" t="s">
        <v>241</v>
      </c>
      <c r="P5543" s="23"/>
      <c r="Q5543" s="23"/>
      <c r="R5543" s="23"/>
      <c r="S5543" s="23"/>
      <c r="T5543" s="23"/>
      <c r="U5543" s="23"/>
      <c r="V5543" s="23"/>
      <c r="W5543" s="23"/>
      <c r="X5543" s="23"/>
      <c r="Y5543" s="23"/>
      <c r="Z5543" s="23"/>
    </row>
    <row r="5544" spans="1:26" ht="13">
      <c r="A5544" s="562" t="s">
        <v>11885</v>
      </c>
      <c r="B5544" s="563" t="s">
        <v>11886</v>
      </c>
      <c r="C5544" s="564" t="s">
        <v>1612</v>
      </c>
      <c r="D5544" s="565">
        <v>41821</v>
      </c>
      <c r="E5544" s="565">
        <v>41882</v>
      </c>
      <c r="F5544" s="566">
        <v>20376000</v>
      </c>
      <c r="G5544" s="564" t="s">
        <v>1756</v>
      </c>
      <c r="H5544" s="564" t="s">
        <v>1640</v>
      </c>
      <c r="I5544" s="564" t="s">
        <v>45</v>
      </c>
      <c r="J5544" s="564" t="s">
        <v>1069</v>
      </c>
      <c r="K5544" s="564" t="s">
        <v>1090</v>
      </c>
      <c r="L5544" s="564" t="s">
        <v>1390</v>
      </c>
      <c r="M5544" s="564" t="s">
        <v>1390</v>
      </c>
      <c r="N5544" s="564" t="s">
        <v>45</v>
      </c>
      <c r="O5544" s="564" t="s">
        <v>38</v>
      </c>
      <c r="P5544" s="23"/>
      <c r="Q5544" s="23"/>
      <c r="R5544" s="23"/>
      <c r="S5544" s="23"/>
      <c r="T5544" s="23"/>
      <c r="U5544" s="23"/>
      <c r="V5544" s="23"/>
      <c r="W5544" s="23"/>
      <c r="X5544" s="23"/>
      <c r="Y5544" s="23"/>
      <c r="Z5544" s="23"/>
    </row>
    <row r="5545" spans="1:26" ht="13">
      <c r="A5545" s="562" t="s">
        <v>11887</v>
      </c>
      <c r="B5545" s="563" t="s">
        <v>11888</v>
      </c>
      <c r="C5545" s="564" t="s">
        <v>1873</v>
      </c>
      <c r="D5545" s="565">
        <v>41857</v>
      </c>
      <c r="E5545" s="565">
        <v>41859</v>
      </c>
      <c r="F5545" s="566">
        <v>1500000</v>
      </c>
      <c r="G5545" s="564" t="s">
        <v>1458</v>
      </c>
      <c r="H5545" s="564" t="s">
        <v>1157</v>
      </c>
      <c r="I5545" s="564" t="s">
        <v>170</v>
      </c>
      <c r="J5545" s="564" t="s">
        <v>1069</v>
      </c>
      <c r="K5545" s="564" t="s">
        <v>1105</v>
      </c>
      <c r="L5545" s="564" t="s">
        <v>1071</v>
      </c>
      <c r="M5545" s="564" t="s">
        <v>1091</v>
      </c>
      <c r="N5545" s="564" t="s">
        <v>170</v>
      </c>
      <c r="O5545" s="564" t="s">
        <v>241</v>
      </c>
      <c r="P5545" s="23"/>
      <c r="Q5545" s="23"/>
      <c r="R5545" s="23"/>
      <c r="S5545" s="23"/>
      <c r="T5545" s="23"/>
      <c r="U5545" s="23"/>
      <c r="V5545" s="23"/>
      <c r="W5545" s="23"/>
      <c r="X5545" s="23"/>
      <c r="Y5545" s="23"/>
      <c r="Z5545" s="23"/>
    </row>
    <row r="5546" spans="1:26" ht="13">
      <c r="A5546" s="562" t="s">
        <v>11889</v>
      </c>
      <c r="B5546" s="563" t="s">
        <v>11890</v>
      </c>
      <c r="C5546" s="564" t="s">
        <v>2191</v>
      </c>
      <c r="D5546" s="565">
        <v>41820</v>
      </c>
      <c r="E5546" s="565">
        <v>42369</v>
      </c>
      <c r="F5546" s="566">
        <v>1836872000</v>
      </c>
      <c r="G5546" s="564" t="s">
        <v>2459</v>
      </c>
      <c r="H5546" s="564" t="s">
        <v>2459</v>
      </c>
      <c r="I5546" s="564" t="s">
        <v>11891</v>
      </c>
      <c r="J5546" s="564" t="s">
        <v>1069</v>
      </c>
      <c r="K5546" s="564" t="s">
        <v>1070</v>
      </c>
      <c r="L5546" s="564" t="s">
        <v>1390</v>
      </c>
      <c r="M5546" s="564" t="s">
        <v>1390</v>
      </c>
      <c r="N5546" s="564" t="s">
        <v>1082</v>
      </c>
      <c r="O5546" s="564" t="s">
        <v>38</v>
      </c>
      <c r="P5546" s="23"/>
      <c r="Q5546" s="23"/>
      <c r="R5546" s="23"/>
      <c r="S5546" s="23"/>
      <c r="T5546" s="23"/>
      <c r="U5546" s="23"/>
      <c r="V5546" s="23"/>
      <c r="W5546" s="23"/>
      <c r="X5546" s="23"/>
      <c r="Y5546" s="23"/>
      <c r="Z5546" s="23"/>
    </row>
    <row r="5547" spans="1:26" ht="13">
      <c r="A5547" s="562" t="s">
        <v>11892</v>
      </c>
      <c r="B5547" s="563" t="s">
        <v>11893</v>
      </c>
      <c r="C5547" s="564" t="s">
        <v>1612</v>
      </c>
      <c r="D5547" s="565">
        <v>41821</v>
      </c>
      <c r="E5547" s="565">
        <v>42185</v>
      </c>
      <c r="F5547" s="566">
        <v>24960000</v>
      </c>
      <c r="G5547" s="564" t="s">
        <v>1298</v>
      </c>
      <c r="H5547" s="564" t="s">
        <v>1187</v>
      </c>
      <c r="I5547" s="564" t="s">
        <v>70</v>
      </c>
      <c r="J5547" s="564" t="s">
        <v>1069</v>
      </c>
      <c r="K5547" s="564" t="s">
        <v>1120</v>
      </c>
      <c r="L5547" s="564" t="s">
        <v>1071</v>
      </c>
      <c r="M5547" s="564" t="s">
        <v>1091</v>
      </c>
      <c r="N5547" s="564" t="s">
        <v>70</v>
      </c>
      <c r="O5547" s="564" t="s">
        <v>241</v>
      </c>
      <c r="P5547" s="23"/>
      <c r="Q5547" s="23"/>
      <c r="R5547" s="23"/>
      <c r="S5547" s="23"/>
      <c r="T5547" s="23"/>
      <c r="U5547" s="23"/>
      <c r="V5547" s="23"/>
      <c r="W5547" s="23"/>
      <c r="X5547" s="23"/>
      <c r="Y5547" s="23"/>
      <c r="Z5547" s="23"/>
    </row>
    <row r="5548" spans="1:26" ht="13">
      <c r="A5548" s="562" t="s">
        <v>11894</v>
      </c>
      <c r="B5548" s="563" t="s">
        <v>11895</v>
      </c>
      <c r="C5548" s="564" t="s">
        <v>1873</v>
      </c>
      <c r="D5548" s="565">
        <v>41821</v>
      </c>
      <c r="E5548" s="565">
        <v>41943</v>
      </c>
      <c r="F5548" s="566">
        <v>43636363</v>
      </c>
      <c r="G5548" s="564" t="s">
        <v>1623</v>
      </c>
      <c r="H5548" s="564" t="s">
        <v>1623</v>
      </c>
      <c r="I5548" s="564" t="s">
        <v>802</v>
      </c>
      <c r="J5548" s="564" t="s">
        <v>1069</v>
      </c>
      <c r="K5548" s="564" t="s">
        <v>1198</v>
      </c>
      <c r="L5548" s="564" t="s">
        <v>1390</v>
      </c>
      <c r="M5548" s="564" t="s">
        <v>1390</v>
      </c>
      <c r="N5548" s="564" t="s">
        <v>132</v>
      </c>
      <c r="O5548" s="564" t="s">
        <v>38</v>
      </c>
      <c r="P5548" s="23"/>
      <c r="Q5548" s="23"/>
      <c r="R5548" s="23"/>
      <c r="S5548" s="23"/>
      <c r="T5548" s="23"/>
      <c r="U5548" s="23"/>
      <c r="V5548" s="23"/>
      <c r="W5548" s="23"/>
      <c r="X5548" s="23"/>
      <c r="Y5548" s="23"/>
      <c r="Z5548" s="23"/>
    </row>
    <row r="5549" spans="1:26" ht="13">
      <c r="A5549" s="562" t="s">
        <v>11896</v>
      </c>
      <c r="B5549" s="563" t="s">
        <v>11897</v>
      </c>
      <c r="C5549" s="564" t="s">
        <v>1873</v>
      </c>
      <c r="D5549" s="565">
        <v>41821</v>
      </c>
      <c r="E5549" s="565">
        <v>41943</v>
      </c>
      <c r="F5549" s="566">
        <v>37272727</v>
      </c>
      <c r="G5549" s="564" t="s">
        <v>1623</v>
      </c>
      <c r="H5549" s="564" t="s">
        <v>1623</v>
      </c>
      <c r="I5549" s="564" t="s">
        <v>802</v>
      </c>
      <c r="J5549" s="564" t="s">
        <v>1069</v>
      </c>
      <c r="K5549" s="564" t="s">
        <v>1198</v>
      </c>
      <c r="L5549" s="564" t="s">
        <v>1390</v>
      </c>
      <c r="M5549" s="564" t="s">
        <v>1390</v>
      </c>
      <c r="N5549" s="564" t="s">
        <v>132</v>
      </c>
      <c r="O5549" s="564" t="s">
        <v>38</v>
      </c>
      <c r="P5549" s="23"/>
      <c r="Q5549" s="23"/>
      <c r="R5549" s="23"/>
      <c r="S5549" s="23"/>
      <c r="T5549" s="23"/>
      <c r="U5549" s="23"/>
      <c r="V5549" s="23"/>
      <c r="W5549" s="23"/>
      <c r="X5549" s="23"/>
      <c r="Y5549" s="23"/>
      <c r="Z5549" s="23"/>
    </row>
    <row r="5550" spans="1:26" ht="13">
      <c r="A5550" s="562" t="s">
        <v>11898</v>
      </c>
      <c r="B5550" s="563" t="s">
        <v>11899</v>
      </c>
      <c r="C5550" s="564" t="s">
        <v>1612</v>
      </c>
      <c r="D5550" s="565">
        <v>41806</v>
      </c>
      <c r="E5550" s="565">
        <v>41912</v>
      </c>
      <c r="F5550" s="566">
        <v>33000000</v>
      </c>
      <c r="G5550" s="564" t="s">
        <v>1157</v>
      </c>
      <c r="H5550" s="564" t="s">
        <v>1157</v>
      </c>
      <c r="I5550" s="564" t="s">
        <v>70</v>
      </c>
      <c r="J5550" s="564" t="s">
        <v>1069</v>
      </c>
      <c r="K5550" s="564" t="s">
        <v>1120</v>
      </c>
      <c r="L5550" s="564" t="s">
        <v>1390</v>
      </c>
      <c r="M5550" s="564" t="s">
        <v>1390</v>
      </c>
      <c r="N5550" s="564" t="s">
        <v>70</v>
      </c>
      <c r="O5550" s="564" t="s">
        <v>38</v>
      </c>
      <c r="P5550" s="23"/>
      <c r="Q5550" s="23"/>
      <c r="R5550" s="23"/>
      <c r="S5550" s="23"/>
      <c r="T5550" s="23"/>
      <c r="U5550" s="23"/>
      <c r="V5550" s="23"/>
      <c r="W5550" s="23"/>
      <c r="X5550" s="23"/>
      <c r="Y5550" s="23"/>
      <c r="Z5550" s="23"/>
    </row>
    <row r="5551" spans="1:26" ht="13">
      <c r="A5551" s="562" t="s">
        <v>11900</v>
      </c>
      <c r="B5551" s="563" t="s">
        <v>11901</v>
      </c>
      <c r="C5551" s="564" t="s">
        <v>1873</v>
      </c>
      <c r="D5551" s="565">
        <v>41791</v>
      </c>
      <c r="E5551" s="565">
        <v>41851</v>
      </c>
      <c r="F5551" s="566">
        <v>40000000</v>
      </c>
      <c r="G5551" s="564" t="s">
        <v>2492</v>
      </c>
      <c r="H5551" s="564" t="s">
        <v>1157</v>
      </c>
      <c r="I5551" s="564" t="s">
        <v>170</v>
      </c>
      <c r="J5551" s="564" t="s">
        <v>1069</v>
      </c>
      <c r="K5551" s="564" t="s">
        <v>1105</v>
      </c>
      <c r="L5551" s="564" t="s">
        <v>1390</v>
      </c>
      <c r="M5551" s="564" t="s">
        <v>1390</v>
      </c>
      <c r="N5551" s="564" t="s">
        <v>170</v>
      </c>
      <c r="O5551" s="564" t="s">
        <v>38</v>
      </c>
      <c r="P5551" s="23"/>
      <c r="Q5551" s="23"/>
      <c r="R5551" s="23"/>
      <c r="S5551" s="23"/>
      <c r="T5551" s="23"/>
      <c r="U5551" s="23"/>
      <c r="V5551" s="23"/>
      <c r="W5551" s="23"/>
      <c r="X5551" s="23"/>
      <c r="Y5551" s="23"/>
      <c r="Z5551" s="23"/>
    </row>
    <row r="5552" spans="1:26" ht="13">
      <c r="A5552" s="562" t="s">
        <v>11902</v>
      </c>
      <c r="B5552" s="563" t="s">
        <v>11903</v>
      </c>
      <c r="C5552" s="564" t="s">
        <v>1612</v>
      </c>
      <c r="D5552" s="565">
        <v>41791</v>
      </c>
      <c r="E5552" s="565">
        <v>42154</v>
      </c>
      <c r="F5552" s="566">
        <v>34000000</v>
      </c>
      <c r="G5552" s="564" t="s">
        <v>1312</v>
      </c>
      <c r="H5552" s="564" t="s">
        <v>1157</v>
      </c>
      <c r="I5552" s="564" t="s">
        <v>45</v>
      </c>
      <c r="J5552" s="564" t="s">
        <v>1069</v>
      </c>
      <c r="K5552" s="564" t="s">
        <v>1090</v>
      </c>
      <c r="L5552" s="564" t="s">
        <v>1071</v>
      </c>
      <c r="M5552" s="564" t="s">
        <v>1091</v>
      </c>
      <c r="N5552" s="564" t="s">
        <v>45</v>
      </c>
      <c r="O5552" s="564" t="s">
        <v>241</v>
      </c>
      <c r="P5552" s="23"/>
      <c r="Q5552" s="23"/>
      <c r="R5552" s="23"/>
      <c r="S5552" s="23"/>
      <c r="T5552" s="23"/>
      <c r="U5552" s="23"/>
      <c r="V5552" s="23"/>
      <c r="W5552" s="23"/>
      <c r="X5552" s="23"/>
      <c r="Y5552" s="23"/>
      <c r="Z5552" s="23"/>
    </row>
    <row r="5553" spans="1:26" ht="13">
      <c r="A5553" s="562" t="s">
        <v>11904</v>
      </c>
      <c r="B5553" s="563" t="s">
        <v>11905</v>
      </c>
      <c r="C5553" s="564" t="s">
        <v>1873</v>
      </c>
      <c r="D5553" s="565">
        <v>41699</v>
      </c>
      <c r="E5553" s="565">
        <v>42063</v>
      </c>
      <c r="F5553" s="566">
        <v>3528360</v>
      </c>
      <c r="G5553" s="564" t="s">
        <v>1623</v>
      </c>
      <c r="H5553" s="564" t="s">
        <v>1623</v>
      </c>
      <c r="I5553" s="564" t="s">
        <v>802</v>
      </c>
      <c r="J5553" s="564" t="s">
        <v>1069</v>
      </c>
      <c r="K5553" s="564" t="s">
        <v>1198</v>
      </c>
      <c r="L5553" s="564" t="s">
        <v>1071</v>
      </c>
      <c r="M5553" s="564" t="s">
        <v>1091</v>
      </c>
      <c r="N5553" s="564" t="s">
        <v>132</v>
      </c>
      <c r="O5553" s="564" t="s">
        <v>241</v>
      </c>
      <c r="P5553" s="23"/>
      <c r="Q5553" s="23"/>
      <c r="R5553" s="23"/>
      <c r="S5553" s="23"/>
      <c r="T5553" s="23"/>
      <c r="U5553" s="23"/>
      <c r="V5553" s="23"/>
      <c r="W5553" s="23"/>
      <c r="X5553" s="23"/>
      <c r="Y5553" s="23"/>
      <c r="Z5553" s="23"/>
    </row>
    <row r="5554" spans="1:26" ht="13">
      <c r="A5554" s="562" t="s">
        <v>11906</v>
      </c>
      <c r="B5554" s="563" t="s">
        <v>11859</v>
      </c>
      <c r="C5554" s="564" t="s">
        <v>1873</v>
      </c>
      <c r="D5554" s="565">
        <v>41813</v>
      </c>
      <c r="E5554" s="565">
        <v>41817</v>
      </c>
      <c r="F5554" s="566">
        <v>6300000</v>
      </c>
      <c r="G5554" s="564" t="s">
        <v>1458</v>
      </c>
      <c r="H5554" s="564" t="s">
        <v>1157</v>
      </c>
      <c r="I5554" s="564" t="s">
        <v>170</v>
      </c>
      <c r="J5554" s="564" t="s">
        <v>1069</v>
      </c>
      <c r="K5554" s="564" t="s">
        <v>1105</v>
      </c>
      <c r="L5554" s="564" t="s">
        <v>1071</v>
      </c>
      <c r="M5554" s="564" t="s">
        <v>1091</v>
      </c>
      <c r="N5554" s="564" t="s">
        <v>170</v>
      </c>
      <c r="O5554" s="564" t="s">
        <v>241</v>
      </c>
      <c r="P5554" s="23"/>
      <c r="Q5554" s="23"/>
      <c r="R5554" s="23"/>
      <c r="S5554" s="23"/>
      <c r="T5554" s="23"/>
      <c r="U5554" s="23"/>
      <c r="V5554" s="23"/>
      <c r="W5554" s="23"/>
      <c r="X5554" s="23"/>
      <c r="Y5554" s="23"/>
      <c r="Z5554" s="23"/>
    </row>
    <row r="5555" spans="1:26" ht="13">
      <c r="A5555" s="562" t="s">
        <v>11907</v>
      </c>
      <c r="B5555" s="563" t="s">
        <v>11908</v>
      </c>
      <c r="C5555" s="564" t="s">
        <v>1612</v>
      </c>
      <c r="D5555" s="565">
        <v>41799</v>
      </c>
      <c r="E5555" s="565">
        <v>41882</v>
      </c>
      <c r="F5555" s="566">
        <v>5000000</v>
      </c>
      <c r="G5555" s="564" t="s">
        <v>11909</v>
      </c>
      <c r="H5555" s="564" t="s">
        <v>1157</v>
      </c>
      <c r="I5555" s="564" t="s">
        <v>121</v>
      </c>
      <c r="J5555" s="564" t="s">
        <v>1069</v>
      </c>
      <c r="K5555" s="564" t="s">
        <v>1105</v>
      </c>
      <c r="L5555" s="564" t="s">
        <v>1390</v>
      </c>
      <c r="M5555" s="564" t="s">
        <v>1390</v>
      </c>
      <c r="N5555" s="564" t="s">
        <v>1073</v>
      </c>
      <c r="O5555" s="564" t="s">
        <v>38</v>
      </c>
      <c r="P5555" s="23"/>
      <c r="Q5555" s="23"/>
      <c r="R5555" s="23"/>
      <c r="S5555" s="23"/>
      <c r="T5555" s="23"/>
      <c r="U5555" s="23"/>
      <c r="V5555" s="23"/>
      <c r="W5555" s="23"/>
      <c r="X5555" s="23"/>
      <c r="Y5555" s="23"/>
      <c r="Z5555" s="23"/>
    </row>
    <row r="5556" spans="1:26" ht="13">
      <c r="A5556" s="562" t="s">
        <v>11910</v>
      </c>
      <c r="B5556" s="563" t="s">
        <v>11911</v>
      </c>
      <c r="C5556" s="564" t="s">
        <v>1255</v>
      </c>
      <c r="D5556" s="565">
        <v>41821</v>
      </c>
      <c r="E5556" s="565">
        <v>42185</v>
      </c>
      <c r="F5556" s="566">
        <v>19000000</v>
      </c>
      <c r="G5556" s="564" t="s">
        <v>1097</v>
      </c>
      <c r="H5556" s="564" t="s">
        <v>1123</v>
      </c>
      <c r="I5556" s="564" t="s">
        <v>143</v>
      </c>
      <c r="J5556" s="564" t="s">
        <v>1069</v>
      </c>
      <c r="K5556" s="564" t="s">
        <v>1205</v>
      </c>
      <c r="L5556" s="564" t="s">
        <v>1071</v>
      </c>
      <c r="M5556" s="564" t="s">
        <v>1091</v>
      </c>
      <c r="N5556" s="564" t="s">
        <v>1073</v>
      </c>
      <c r="O5556" s="564" t="s">
        <v>241</v>
      </c>
      <c r="P5556" s="23"/>
      <c r="Q5556" s="23"/>
      <c r="R5556" s="23"/>
      <c r="S5556" s="23"/>
      <c r="T5556" s="23"/>
      <c r="U5556" s="23"/>
      <c r="V5556" s="23"/>
      <c r="W5556" s="23"/>
      <c r="X5556" s="23"/>
      <c r="Y5556" s="23"/>
      <c r="Z5556" s="23"/>
    </row>
    <row r="5557" spans="1:26" ht="13">
      <c r="A5557" s="562" t="s">
        <v>11912</v>
      </c>
      <c r="B5557" s="563" t="s">
        <v>11913</v>
      </c>
      <c r="C5557" s="564" t="s">
        <v>2191</v>
      </c>
      <c r="D5557" s="565">
        <v>41791</v>
      </c>
      <c r="E5557" s="565">
        <v>42155</v>
      </c>
      <c r="F5557" s="566">
        <v>26181818</v>
      </c>
      <c r="G5557" s="564" t="s">
        <v>1297</v>
      </c>
      <c r="H5557" s="564" t="s">
        <v>1123</v>
      </c>
      <c r="I5557" s="564" t="s">
        <v>143</v>
      </c>
      <c r="J5557" s="564" t="s">
        <v>1069</v>
      </c>
      <c r="K5557" s="564" t="s">
        <v>1205</v>
      </c>
      <c r="L5557" s="564" t="s">
        <v>1071</v>
      </c>
      <c r="M5557" s="564" t="s">
        <v>1091</v>
      </c>
      <c r="N5557" s="564" t="s">
        <v>1073</v>
      </c>
      <c r="O5557" s="564" t="s">
        <v>241</v>
      </c>
      <c r="P5557" s="23"/>
      <c r="Q5557" s="23"/>
      <c r="R5557" s="23"/>
      <c r="S5557" s="23"/>
      <c r="T5557" s="23"/>
      <c r="U5557" s="23"/>
      <c r="V5557" s="23"/>
      <c r="W5557" s="23"/>
      <c r="X5557" s="23"/>
      <c r="Y5557" s="23"/>
      <c r="Z5557" s="23"/>
    </row>
    <row r="5558" spans="1:26" ht="13">
      <c r="A5558" s="562" t="s">
        <v>11914</v>
      </c>
      <c r="B5558" s="563" t="s">
        <v>11915</v>
      </c>
      <c r="C5558" s="564" t="s">
        <v>1612</v>
      </c>
      <c r="D5558" s="565">
        <v>41790</v>
      </c>
      <c r="E5558" s="565">
        <v>42154</v>
      </c>
      <c r="F5558" s="566">
        <v>1379000000</v>
      </c>
      <c r="G5558" s="564" t="s">
        <v>1297</v>
      </c>
      <c r="H5558" s="564" t="s">
        <v>337</v>
      </c>
      <c r="I5558" s="564" t="s">
        <v>45</v>
      </c>
      <c r="J5558" s="564" t="s">
        <v>1069</v>
      </c>
      <c r="K5558" s="564" t="s">
        <v>1090</v>
      </c>
      <c r="L5558" s="564" t="s">
        <v>1071</v>
      </c>
      <c r="M5558" s="564" t="s">
        <v>1091</v>
      </c>
      <c r="N5558" s="564" t="s">
        <v>45</v>
      </c>
      <c r="O5558" s="564" t="s">
        <v>241</v>
      </c>
      <c r="P5558" s="23"/>
      <c r="Q5558" s="23"/>
      <c r="R5558" s="23"/>
      <c r="S5558" s="23"/>
      <c r="T5558" s="23"/>
      <c r="U5558" s="23"/>
      <c r="V5558" s="23"/>
      <c r="W5558" s="23"/>
      <c r="X5558" s="23"/>
      <c r="Y5558" s="23"/>
      <c r="Z5558" s="23"/>
    </row>
    <row r="5559" spans="1:26" ht="13">
      <c r="A5559" s="562" t="s">
        <v>11916</v>
      </c>
      <c r="B5559" s="563" t="s">
        <v>11917</v>
      </c>
      <c r="C5559" s="564" t="s">
        <v>1255</v>
      </c>
      <c r="D5559" s="565">
        <v>41760</v>
      </c>
      <c r="E5559" s="565">
        <v>42155</v>
      </c>
      <c r="F5559" s="566">
        <v>49096666</v>
      </c>
      <c r="G5559" s="564" t="s">
        <v>1097</v>
      </c>
      <c r="H5559" s="564" t="s">
        <v>1123</v>
      </c>
      <c r="I5559" s="564" t="s">
        <v>140</v>
      </c>
      <c r="J5559" s="564" t="s">
        <v>1069</v>
      </c>
      <c r="K5559" s="564" t="s">
        <v>1205</v>
      </c>
      <c r="L5559" s="564" t="s">
        <v>1071</v>
      </c>
      <c r="M5559" s="564" t="s">
        <v>1091</v>
      </c>
      <c r="N5559" s="564" t="s">
        <v>1073</v>
      </c>
      <c r="O5559" s="564" t="s">
        <v>241</v>
      </c>
      <c r="P5559" s="23"/>
      <c r="Q5559" s="23"/>
      <c r="R5559" s="23"/>
      <c r="S5559" s="23"/>
      <c r="T5559" s="23"/>
      <c r="U5559" s="23"/>
      <c r="V5559" s="23"/>
      <c r="W5559" s="23"/>
      <c r="X5559" s="23"/>
      <c r="Y5559" s="23"/>
      <c r="Z5559" s="23"/>
    </row>
    <row r="5560" spans="1:26" ht="13">
      <c r="A5560" s="562" t="s">
        <v>11918</v>
      </c>
      <c r="B5560" s="563" t="s">
        <v>11919</v>
      </c>
      <c r="C5560" s="564" t="s">
        <v>1873</v>
      </c>
      <c r="D5560" s="565">
        <v>41730</v>
      </c>
      <c r="E5560" s="565">
        <v>41805</v>
      </c>
      <c r="F5560" s="566">
        <v>90000000</v>
      </c>
      <c r="G5560" s="564" t="s">
        <v>1312</v>
      </c>
      <c r="H5560" s="564" t="s">
        <v>1157</v>
      </c>
      <c r="I5560" s="564" t="s">
        <v>170</v>
      </c>
      <c r="J5560" s="564" t="s">
        <v>1069</v>
      </c>
      <c r="K5560" s="564" t="s">
        <v>1105</v>
      </c>
      <c r="L5560" s="564" t="s">
        <v>1390</v>
      </c>
      <c r="M5560" s="564" t="s">
        <v>1390</v>
      </c>
      <c r="N5560" s="564" t="s">
        <v>170</v>
      </c>
      <c r="O5560" s="564" t="s">
        <v>38</v>
      </c>
      <c r="P5560" s="23"/>
      <c r="Q5560" s="23"/>
      <c r="R5560" s="23"/>
      <c r="S5560" s="23"/>
      <c r="T5560" s="23"/>
      <c r="U5560" s="23"/>
      <c r="V5560" s="23"/>
      <c r="W5560" s="23"/>
      <c r="X5560" s="23"/>
      <c r="Y5560" s="23"/>
      <c r="Z5560" s="23"/>
    </row>
    <row r="5561" spans="1:26" ht="13">
      <c r="A5561" s="562" t="s">
        <v>11920</v>
      </c>
      <c r="B5561" s="563" t="s">
        <v>11921</v>
      </c>
      <c r="C5561" s="564" t="s">
        <v>1103</v>
      </c>
      <c r="D5561" s="565">
        <v>41744</v>
      </c>
      <c r="E5561" s="565">
        <v>42839</v>
      </c>
      <c r="F5561" s="566">
        <v>55235060</v>
      </c>
      <c r="G5561" s="564" t="s">
        <v>1297</v>
      </c>
      <c r="H5561" s="564" t="s">
        <v>1157</v>
      </c>
      <c r="I5561" s="564" t="s">
        <v>70</v>
      </c>
      <c r="J5561" s="564" t="s">
        <v>1069</v>
      </c>
      <c r="K5561" s="564" t="s">
        <v>1120</v>
      </c>
      <c r="L5561" s="564" t="s">
        <v>1071</v>
      </c>
      <c r="M5561" s="564" t="s">
        <v>1091</v>
      </c>
      <c r="N5561" s="564" t="s">
        <v>70</v>
      </c>
      <c r="O5561" s="564" t="s">
        <v>241</v>
      </c>
      <c r="P5561" s="23"/>
      <c r="Q5561" s="23"/>
      <c r="R5561" s="23"/>
      <c r="S5561" s="23"/>
      <c r="T5561" s="23"/>
      <c r="U5561" s="23"/>
      <c r="V5561" s="23"/>
      <c r="W5561" s="23"/>
      <c r="X5561" s="23"/>
      <c r="Y5561" s="23"/>
      <c r="Z5561" s="23"/>
    </row>
    <row r="5562" spans="1:26" ht="13">
      <c r="A5562" s="562" t="s">
        <v>11922</v>
      </c>
      <c r="B5562" s="563" t="s">
        <v>11923</v>
      </c>
      <c r="C5562" s="564" t="s">
        <v>1066</v>
      </c>
      <c r="D5562" s="565">
        <v>41760</v>
      </c>
      <c r="E5562" s="565">
        <v>42124</v>
      </c>
      <c r="F5562" s="566">
        <v>21873600</v>
      </c>
      <c r="G5562" s="564" t="s">
        <v>1297</v>
      </c>
      <c r="H5562" s="564" t="s">
        <v>337</v>
      </c>
      <c r="I5562" s="564" t="s">
        <v>11924</v>
      </c>
      <c r="J5562" s="564" t="s">
        <v>1069</v>
      </c>
      <c r="K5562" s="564" t="s">
        <v>1070</v>
      </c>
      <c r="L5562" s="564" t="s">
        <v>1071</v>
      </c>
      <c r="M5562" s="564" t="s">
        <v>1091</v>
      </c>
      <c r="N5562" s="564" t="s">
        <v>1073</v>
      </c>
      <c r="O5562" s="564" t="s">
        <v>241</v>
      </c>
      <c r="P5562" s="23"/>
      <c r="Q5562" s="23"/>
      <c r="R5562" s="23"/>
      <c r="S5562" s="23"/>
      <c r="T5562" s="23"/>
      <c r="U5562" s="23"/>
      <c r="V5562" s="23"/>
      <c r="W5562" s="23"/>
      <c r="X5562" s="23"/>
      <c r="Y5562" s="23"/>
      <c r="Z5562" s="23"/>
    </row>
    <row r="5563" spans="1:26" ht="13">
      <c r="A5563" s="562" t="s">
        <v>11925</v>
      </c>
      <c r="B5563" s="563" t="s">
        <v>11926</v>
      </c>
      <c r="C5563" s="564" t="s">
        <v>1103</v>
      </c>
      <c r="D5563" s="565">
        <v>41699</v>
      </c>
      <c r="E5563" s="565">
        <v>42063</v>
      </c>
      <c r="F5563" s="566">
        <v>5400000</v>
      </c>
      <c r="G5563" s="564" t="s">
        <v>1297</v>
      </c>
      <c r="H5563" s="564" t="s">
        <v>1157</v>
      </c>
      <c r="I5563" s="564" t="s">
        <v>70</v>
      </c>
      <c r="J5563" s="564" t="s">
        <v>1069</v>
      </c>
      <c r="K5563" s="564" t="s">
        <v>1120</v>
      </c>
      <c r="L5563" s="564" t="s">
        <v>1071</v>
      </c>
      <c r="M5563" s="564" t="s">
        <v>1091</v>
      </c>
      <c r="N5563" s="564" t="s">
        <v>70</v>
      </c>
      <c r="O5563" s="564" t="s">
        <v>241</v>
      </c>
      <c r="P5563" s="23"/>
      <c r="Q5563" s="23"/>
      <c r="R5563" s="23"/>
      <c r="S5563" s="23"/>
      <c r="T5563" s="23"/>
      <c r="U5563" s="23"/>
      <c r="V5563" s="23"/>
      <c r="W5563" s="23"/>
      <c r="X5563" s="23"/>
      <c r="Y5563" s="23"/>
      <c r="Z5563" s="23"/>
    </row>
    <row r="5564" spans="1:26" ht="13">
      <c r="A5564" s="562" t="s">
        <v>11927</v>
      </c>
      <c r="B5564" s="563" t="s">
        <v>11928</v>
      </c>
      <c r="C5564" s="564" t="s">
        <v>1873</v>
      </c>
      <c r="D5564" s="565">
        <v>41730</v>
      </c>
      <c r="E5564" s="565">
        <v>41820</v>
      </c>
      <c r="F5564" s="566">
        <v>67000000</v>
      </c>
      <c r="G5564" s="564" t="s">
        <v>4261</v>
      </c>
      <c r="H5564" s="564" t="s">
        <v>1157</v>
      </c>
      <c r="I5564" s="564" t="s">
        <v>170</v>
      </c>
      <c r="J5564" s="564" t="s">
        <v>1069</v>
      </c>
      <c r="K5564" s="564" t="s">
        <v>1105</v>
      </c>
      <c r="L5564" s="564" t="s">
        <v>1390</v>
      </c>
      <c r="M5564" s="564" t="s">
        <v>1390</v>
      </c>
      <c r="N5564" s="564" t="s">
        <v>170</v>
      </c>
      <c r="O5564" s="564" t="s">
        <v>38</v>
      </c>
      <c r="P5564" s="23"/>
      <c r="Q5564" s="23"/>
      <c r="R5564" s="23"/>
      <c r="S5564" s="23"/>
      <c r="T5564" s="23"/>
      <c r="U5564" s="23"/>
      <c r="V5564" s="23"/>
      <c r="W5564" s="23"/>
      <c r="X5564" s="23"/>
      <c r="Y5564" s="23"/>
      <c r="Z5564" s="23"/>
    </row>
    <row r="5565" spans="1:26" ht="13">
      <c r="A5565" s="562" t="s">
        <v>11929</v>
      </c>
      <c r="B5565" s="563" t="s">
        <v>11930</v>
      </c>
      <c r="C5565" s="564" t="s">
        <v>1255</v>
      </c>
      <c r="D5565" s="565">
        <v>41730</v>
      </c>
      <c r="E5565" s="565">
        <v>42094</v>
      </c>
      <c r="F5565" s="566">
        <v>12540000</v>
      </c>
      <c r="G5565" s="564" t="s">
        <v>1097</v>
      </c>
      <c r="H5565" s="564" t="s">
        <v>1123</v>
      </c>
      <c r="I5565" s="564" t="s">
        <v>140</v>
      </c>
      <c r="J5565" s="564" t="s">
        <v>1069</v>
      </c>
      <c r="K5565" s="564" t="s">
        <v>1205</v>
      </c>
      <c r="L5565" s="564" t="s">
        <v>1071</v>
      </c>
      <c r="M5565" s="564" t="s">
        <v>1091</v>
      </c>
      <c r="N5565" s="564" t="s">
        <v>1073</v>
      </c>
      <c r="O5565" s="564" t="s">
        <v>241</v>
      </c>
      <c r="P5565" s="23"/>
      <c r="Q5565" s="23"/>
      <c r="R5565" s="23"/>
      <c r="S5565" s="23"/>
      <c r="T5565" s="23"/>
      <c r="U5565" s="23"/>
      <c r="V5565" s="23"/>
      <c r="W5565" s="23"/>
      <c r="X5565" s="23"/>
      <c r="Y5565" s="23"/>
      <c r="Z5565" s="23"/>
    </row>
    <row r="5566" spans="1:26" ht="13">
      <c r="A5566" s="562" t="s">
        <v>11931</v>
      </c>
      <c r="B5566" s="563" t="s">
        <v>11932</v>
      </c>
      <c r="C5566" s="564" t="s">
        <v>1873</v>
      </c>
      <c r="D5566" s="565">
        <v>41671</v>
      </c>
      <c r="E5566" s="565">
        <v>41851</v>
      </c>
      <c r="F5566" s="566">
        <v>212000000</v>
      </c>
      <c r="G5566" s="564" t="s">
        <v>1729</v>
      </c>
      <c r="H5566" s="564" t="s">
        <v>1157</v>
      </c>
      <c r="I5566" s="564" t="s">
        <v>170</v>
      </c>
      <c r="J5566" s="564" t="s">
        <v>1069</v>
      </c>
      <c r="K5566" s="564" t="s">
        <v>1105</v>
      </c>
      <c r="L5566" s="564" t="s">
        <v>1390</v>
      </c>
      <c r="M5566" s="564" t="s">
        <v>1390</v>
      </c>
      <c r="N5566" s="564" t="s">
        <v>170</v>
      </c>
      <c r="O5566" s="564" t="s">
        <v>38</v>
      </c>
      <c r="P5566" s="23"/>
      <c r="Q5566" s="23"/>
      <c r="R5566" s="23"/>
      <c r="S5566" s="23"/>
      <c r="T5566" s="23"/>
      <c r="U5566" s="23"/>
      <c r="V5566" s="23"/>
      <c r="W5566" s="23"/>
      <c r="X5566" s="23"/>
      <c r="Y5566" s="23"/>
      <c r="Z5566" s="23"/>
    </row>
    <row r="5567" spans="1:26" ht="13">
      <c r="A5567" s="562" t="s">
        <v>11933</v>
      </c>
      <c r="B5567" s="563" t="s">
        <v>11934</v>
      </c>
      <c r="C5567" s="564" t="s">
        <v>2191</v>
      </c>
      <c r="D5567" s="565">
        <v>41699</v>
      </c>
      <c r="E5567" s="565">
        <v>42063</v>
      </c>
      <c r="F5567" s="566">
        <v>2790909</v>
      </c>
      <c r="G5567" s="564" t="s">
        <v>2459</v>
      </c>
      <c r="H5567" s="564" t="s">
        <v>2459</v>
      </c>
      <c r="I5567" s="564" t="s">
        <v>11803</v>
      </c>
      <c r="J5567" s="564" t="s">
        <v>1069</v>
      </c>
      <c r="K5567" s="564" t="s">
        <v>1070</v>
      </c>
      <c r="L5567" s="564" t="s">
        <v>1071</v>
      </c>
      <c r="M5567" s="564" t="s">
        <v>1091</v>
      </c>
      <c r="N5567" s="564" t="s">
        <v>2543</v>
      </c>
      <c r="O5567" s="564" t="s">
        <v>241</v>
      </c>
      <c r="P5567" s="23"/>
      <c r="Q5567" s="23"/>
      <c r="R5567" s="23"/>
      <c r="S5567" s="23"/>
      <c r="T5567" s="23"/>
      <c r="U5567" s="23"/>
      <c r="V5567" s="23"/>
      <c r="W5567" s="23"/>
      <c r="X5567" s="23"/>
      <c r="Y5567" s="23"/>
      <c r="Z5567" s="23"/>
    </row>
    <row r="5568" spans="1:26" ht="13">
      <c r="A5568" s="562" t="s">
        <v>11935</v>
      </c>
      <c r="B5568" s="563" t="s">
        <v>11936</v>
      </c>
      <c r="C5568" s="564" t="s">
        <v>2191</v>
      </c>
      <c r="D5568" s="565">
        <v>41699</v>
      </c>
      <c r="E5568" s="565">
        <v>42063</v>
      </c>
      <c r="F5568" s="566">
        <v>34241818</v>
      </c>
      <c r="G5568" s="564" t="s">
        <v>2459</v>
      </c>
      <c r="H5568" s="564" t="s">
        <v>2459</v>
      </c>
      <c r="I5568" s="564" t="s">
        <v>11803</v>
      </c>
      <c r="J5568" s="564" t="s">
        <v>1069</v>
      </c>
      <c r="K5568" s="564" t="s">
        <v>1070</v>
      </c>
      <c r="L5568" s="564" t="s">
        <v>1071</v>
      </c>
      <c r="M5568" s="564" t="s">
        <v>1091</v>
      </c>
      <c r="N5568" s="564" t="s">
        <v>2543</v>
      </c>
      <c r="O5568" s="564" t="s">
        <v>241</v>
      </c>
      <c r="P5568" s="23"/>
      <c r="Q5568" s="23"/>
      <c r="R5568" s="23"/>
      <c r="S5568" s="23"/>
      <c r="T5568" s="23"/>
      <c r="U5568" s="23"/>
      <c r="V5568" s="23"/>
      <c r="W5568" s="23"/>
      <c r="X5568" s="23"/>
      <c r="Y5568" s="23"/>
      <c r="Z5568" s="23"/>
    </row>
    <row r="5569" spans="1:26" ht="13">
      <c r="A5569" s="562" t="s">
        <v>11937</v>
      </c>
      <c r="B5569" s="563" t="s">
        <v>11938</v>
      </c>
      <c r="C5569" s="564" t="s">
        <v>1873</v>
      </c>
      <c r="D5569" s="565">
        <v>41699</v>
      </c>
      <c r="E5569" s="565">
        <v>42063</v>
      </c>
      <c r="F5569" s="566">
        <v>20400000</v>
      </c>
      <c r="G5569" s="564" t="s">
        <v>1623</v>
      </c>
      <c r="H5569" s="564" t="s">
        <v>1623</v>
      </c>
      <c r="I5569" s="564" t="s">
        <v>802</v>
      </c>
      <c r="J5569" s="564" t="s">
        <v>1069</v>
      </c>
      <c r="K5569" s="564" t="s">
        <v>1198</v>
      </c>
      <c r="L5569" s="564" t="s">
        <v>1071</v>
      </c>
      <c r="M5569" s="564" t="s">
        <v>1091</v>
      </c>
      <c r="N5569" s="564" t="s">
        <v>132</v>
      </c>
      <c r="O5569" s="564" t="s">
        <v>241</v>
      </c>
      <c r="P5569" s="23"/>
      <c r="Q5569" s="23"/>
      <c r="R5569" s="23"/>
      <c r="S5569" s="23"/>
      <c r="T5569" s="23"/>
      <c r="U5569" s="23"/>
      <c r="V5569" s="23"/>
      <c r="W5569" s="23"/>
      <c r="X5569" s="23"/>
      <c r="Y5569" s="23"/>
      <c r="Z5569" s="23"/>
    </row>
    <row r="5570" spans="1:26" ht="13">
      <c r="A5570" s="562" t="s">
        <v>11939</v>
      </c>
      <c r="B5570" s="563" t="s">
        <v>11940</v>
      </c>
      <c r="C5570" s="564" t="s">
        <v>1255</v>
      </c>
      <c r="D5570" s="565">
        <v>41730</v>
      </c>
      <c r="E5570" s="565">
        <v>42094</v>
      </c>
      <c r="F5570" s="566">
        <v>45363640</v>
      </c>
      <c r="G5570" s="564" t="s">
        <v>1097</v>
      </c>
      <c r="H5570" s="564" t="s">
        <v>1123</v>
      </c>
      <c r="I5570" s="564" t="s">
        <v>140</v>
      </c>
      <c r="J5570" s="564" t="s">
        <v>1069</v>
      </c>
      <c r="K5570" s="564" t="s">
        <v>1205</v>
      </c>
      <c r="L5570" s="564" t="s">
        <v>1071</v>
      </c>
      <c r="M5570" s="564" t="s">
        <v>1091</v>
      </c>
      <c r="N5570" s="564" t="s">
        <v>1073</v>
      </c>
      <c r="O5570" s="564" t="s">
        <v>241</v>
      </c>
      <c r="P5570" s="23"/>
      <c r="Q5570" s="23"/>
      <c r="R5570" s="23"/>
      <c r="S5570" s="23"/>
      <c r="T5570" s="23"/>
      <c r="U5570" s="23"/>
      <c r="V5570" s="23"/>
      <c r="W5570" s="23"/>
      <c r="X5570" s="23"/>
      <c r="Y5570" s="23"/>
      <c r="Z5570" s="23"/>
    </row>
    <row r="5571" spans="1:26" ht="13">
      <c r="A5571" s="562" t="s">
        <v>11941</v>
      </c>
      <c r="B5571" s="563" t="s">
        <v>11942</v>
      </c>
      <c r="C5571" s="564" t="s">
        <v>1066</v>
      </c>
      <c r="D5571" s="565">
        <v>41730</v>
      </c>
      <c r="E5571" s="565">
        <v>42094</v>
      </c>
      <c r="F5571" s="566">
        <v>18345600</v>
      </c>
      <c r="G5571" s="564" t="s">
        <v>1297</v>
      </c>
      <c r="H5571" s="564" t="s">
        <v>337</v>
      </c>
      <c r="I5571" s="564" t="s">
        <v>11724</v>
      </c>
      <c r="J5571" s="564" t="s">
        <v>1069</v>
      </c>
      <c r="K5571" s="564" t="s">
        <v>1105</v>
      </c>
      <c r="L5571" s="564" t="s">
        <v>1071</v>
      </c>
      <c r="M5571" s="564" t="s">
        <v>1091</v>
      </c>
      <c r="N5571" s="564" t="s">
        <v>1073</v>
      </c>
      <c r="O5571" s="564" t="s">
        <v>241</v>
      </c>
      <c r="P5571" s="23"/>
      <c r="Q5571" s="23"/>
      <c r="R5571" s="23"/>
      <c r="S5571" s="23"/>
      <c r="T5571" s="23"/>
      <c r="U5571" s="23"/>
      <c r="V5571" s="23"/>
      <c r="W5571" s="23"/>
      <c r="X5571" s="23"/>
      <c r="Y5571" s="23"/>
      <c r="Z5571" s="23"/>
    </row>
    <row r="5572" spans="1:26" ht="13">
      <c r="A5572" s="562" t="s">
        <v>11943</v>
      </c>
      <c r="B5572" s="563" t="s">
        <v>11944</v>
      </c>
      <c r="C5572" s="564" t="s">
        <v>1255</v>
      </c>
      <c r="D5572" s="565">
        <v>41730</v>
      </c>
      <c r="E5572" s="565">
        <v>42094</v>
      </c>
      <c r="F5572" s="566">
        <v>9320000</v>
      </c>
      <c r="G5572" s="564" t="s">
        <v>1912</v>
      </c>
      <c r="H5572" s="564" t="s">
        <v>1123</v>
      </c>
      <c r="I5572" s="564" t="s">
        <v>11724</v>
      </c>
      <c r="J5572" s="564" t="s">
        <v>1069</v>
      </c>
      <c r="K5572" s="564" t="s">
        <v>1105</v>
      </c>
      <c r="L5572" s="564" t="s">
        <v>1071</v>
      </c>
      <c r="M5572" s="564" t="s">
        <v>1091</v>
      </c>
      <c r="N5572" s="564" t="s">
        <v>1073</v>
      </c>
      <c r="O5572" s="564" t="s">
        <v>241</v>
      </c>
      <c r="P5572" s="23"/>
      <c r="Q5572" s="23"/>
      <c r="R5572" s="23"/>
      <c r="S5572" s="23"/>
      <c r="T5572" s="23"/>
      <c r="U5572" s="23"/>
      <c r="V5572" s="23"/>
      <c r="W5572" s="23"/>
      <c r="X5572" s="23"/>
      <c r="Y5572" s="23"/>
      <c r="Z5572" s="23"/>
    </row>
    <row r="5573" spans="1:26" ht="13">
      <c r="A5573" s="562" t="s">
        <v>11945</v>
      </c>
      <c r="B5573" s="563" t="s">
        <v>11946</v>
      </c>
      <c r="C5573" s="564" t="s">
        <v>2191</v>
      </c>
      <c r="D5573" s="565">
        <v>41717</v>
      </c>
      <c r="E5573" s="565">
        <v>41912</v>
      </c>
      <c r="F5573" s="566">
        <v>45454545</v>
      </c>
      <c r="G5573" s="564" t="s">
        <v>1564</v>
      </c>
      <c r="H5573" s="564" t="s">
        <v>1564</v>
      </c>
      <c r="I5573" s="564" t="s">
        <v>11947</v>
      </c>
      <c r="J5573" s="564" t="s">
        <v>1069</v>
      </c>
      <c r="K5573" s="564" t="s">
        <v>1198</v>
      </c>
      <c r="L5573" s="564" t="s">
        <v>1390</v>
      </c>
      <c r="M5573" s="564" t="s">
        <v>1390</v>
      </c>
      <c r="N5573" s="564" t="s">
        <v>1368</v>
      </c>
      <c r="O5573" s="564" t="s">
        <v>38</v>
      </c>
      <c r="P5573" s="23"/>
      <c r="Q5573" s="23"/>
      <c r="R5573" s="23"/>
      <c r="S5573" s="23"/>
      <c r="T5573" s="23"/>
      <c r="U5573" s="23"/>
      <c r="V5573" s="23"/>
      <c r="W5573" s="23"/>
      <c r="X5573" s="23"/>
      <c r="Y5573" s="23"/>
      <c r="Z5573" s="23"/>
    </row>
    <row r="5574" spans="1:26" ht="13">
      <c r="A5574" s="562" t="s">
        <v>11948</v>
      </c>
      <c r="B5574" s="563" t="s">
        <v>11949</v>
      </c>
      <c r="C5574" s="564" t="s">
        <v>1255</v>
      </c>
      <c r="D5574" s="565">
        <v>41699</v>
      </c>
      <c r="E5574" s="565">
        <v>42063</v>
      </c>
      <c r="F5574" s="566">
        <v>52680000</v>
      </c>
      <c r="G5574" s="564" t="s">
        <v>1097</v>
      </c>
      <c r="H5574" s="564" t="s">
        <v>1123</v>
      </c>
      <c r="I5574" s="564" t="s">
        <v>143</v>
      </c>
      <c r="J5574" s="564" t="s">
        <v>1069</v>
      </c>
      <c r="K5574" s="564" t="s">
        <v>1205</v>
      </c>
      <c r="L5574" s="564" t="s">
        <v>1071</v>
      </c>
      <c r="M5574" s="564" t="s">
        <v>1091</v>
      </c>
      <c r="N5574" s="564" t="s">
        <v>1073</v>
      </c>
      <c r="O5574" s="564" t="s">
        <v>241</v>
      </c>
      <c r="P5574" s="23"/>
      <c r="Q5574" s="23"/>
      <c r="R5574" s="23"/>
      <c r="S5574" s="23"/>
      <c r="T5574" s="23"/>
      <c r="U5574" s="23"/>
      <c r="V5574" s="23"/>
      <c r="W5574" s="23"/>
      <c r="X5574" s="23"/>
      <c r="Y5574" s="23"/>
      <c r="Z5574" s="23"/>
    </row>
    <row r="5575" spans="1:26" ht="13">
      <c r="A5575" s="562" t="s">
        <v>11950</v>
      </c>
      <c r="B5575" s="563" t="s">
        <v>11951</v>
      </c>
      <c r="C5575" s="564" t="s">
        <v>6860</v>
      </c>
      <c r="D5575" s="565">
        <v>41671</v>
      </c>
      <c r="E5575" s="565">
        <v>41698</v>
      </c>
      <c r="F5575" s="566">
        <v>8286714</v>
      </c>
      <c r="G5575" s="564" t="s">
        <v>1128</v>
      </c>
      <c r="H5575" s="564" t="s">
        <v>1128</v>
      </c>
      <c r="I5575" s="564" t="s">
        <v>11952</v>
      </c>
      <c r="J5575" s="564" t="s">
        <v>1069</v>
      </c>
      <c r="K5575" s="564" t="s">
        <v>1209</v>
      </c>
      <c r="L5575" s="564" t="s">
        <v>1390</v>
      </c>
      <c r="M5575" s="564" t="s">
        <v>1390</v>
      </c>
      <c r="N5575" s="564" t="s">
        <v>1082</v>
      </c>
      <c r="O5575" s="564" t="s">
        <v>38</v>
      </c>
      <c r="P5575" s="23"/>
      <c r="Q5575" s="23"/>
      <c r="R5575" s="23"/>
      <c r="S5575" s="23"/>
      <c r="T5575" s="23"/>
      <c r="U5575" s="23"/>
      <c r="V5575" s="23"/>
      <c r="W5575" s="23"/>
      <c r="X5575" s="23"/>
      <c r="Y5575" s="23"/>
      <c r="Z5575" s="23"/>
    </row>
    <row r="5576" spans="1:26" ht="13">
      <c r="A5576" s="562" t="s">
        <v>11953</v>
      </c>
      <c r="B5576" s="563" t="s">
        <v>11954</v>
      </c>
      <c r="C5576" s="564" t="s">
        <v>1103</v>
      </c>
      <c r="D5576" s="565">
        <v>41671</v>
      </c>
      <c r="E5576" s="565">
        <v>42035</v>
      </c>
      <c r="F5576" s="566">
        <v>9790000</v>
      </c>
      <c r="G5576" s="564" t="s">
        <v>11000</v>
      </c>
      <c r="H5576" s="564" t="s">
        <v>1157</v>
      </c>
      <c r="I5576" s="564" t="s">
        <v>70</v>
      </c>
      <c r="J5576" s="564" t="s">
        <v>1069</v>
      </c>
      <c r="K5576" s="564" t="s">
        <v>1120</v>
      </c>
      <c r="L5576" s="564" t="s">
        <v>1071</v>
      </c>
      <c r="M5576" s="564" t="s">
        <v>1091</v>
      </c>
      <c r="N5576" s="564" t="s">
        <v>70</v>
      </c>
      <c r="O5576" s="564" t="s">
        <v>241</v>
      </c>
      <c r="P5576" s="23"/>
      <c r="Q5576" s="23"/>
      <c r="R5576" s="23"/>
      <c r="S5576" s="23"/>
      <c r="T5576" s="23"/>
      <c r="U5576" s="23"/>
      <c r="V5576" s="23"/>
      <c r="W5576" s="23"/>
      <c r="X5576" s="23"/>
      <c r="Y5576" s="23"/>
      <c r="Z5576" s="23"/>
    </row>
    <row r="5577" spans="1:26" ht="13">
      <c r="A5577" s="562" t="s">
        <v>11955</v>
      </c>
      <c r="B5577" s="563" t="s">
        <v>11956</v>
      </c>
      <c r="C5577" s="564" t="s">
        <v>1255</v>
      </c>
      <c r="D5577" s="565">
        <v>41699</v>
      </c>
      <c r="E5577" s="565">
        <v>42063</v>
      </c>
      <c r="F5577" s="566">
        <v>7200000</v>
      </c>
      <c r="G5577" s="564" t="s">
        <v>1097</v>
      </c>
      <c r="H5577" s="564" t="s">
        <v>1123</v>
      </c>
      <c r="I5577" s="564" t="s">
        <v>143</v>
      </c>
      <c r="J5577" s="564" t="s">
        <v>1069</v>
      </c>
      <c r="K5577" s="564" t="s">
        <v>1205</v>
      </c>
      <c r="L5577" s="564" t="s">
        <v>1071</v>
      </c>
      <c r="M5577" s="564" t="s">
        <v>1091</v>
      </c>
      <c r="N5577" s="564" t="s">
        <v>1073</v>
      </c>
      <c r="O5577" s="564" t="s">
        <v>241</v>
      </c>
      <c r="P5577" s="23"/>
      <c r="Q5577" s="23"/>
      <c r="R5577" s="23"/>
      <c r="S5577" s="23"/>
      <c r="T5577" s="23"/>
      <c r="U5577" s="23"/>
      <c r="V5577" s="23"/>
      <c r="W5577" s="23"/>
      <c r="X5577" s="23"/>
      <c r="Y5577" s="23"/>
      <c r="Z5577" s="23"/>
    </row>
    <row r="5578" spans="1:26" ht="13">
      <c r="A5578" s="562" t="s">
        <v>11957</v>
      </c>
      <c r="B5578" s="563" t="s">
        <v>11958</v>
      </c>
      <c r="C5578" s="564" t="s">
        <v>1873</v>
      </c>
      <c r="D5578" s="565">
        <v>41640</v>
      </c>
      <c r="E5578" s="565">
        <v>42004</v>
      </c>
      <c r="F5578" s="566">
        <v>25636368</v>
      </c>
      <c r="G5578" s="564" t="s">
        <v>1297</v>
      </c>
      <c r="H5578" s="564" t="s">
        <v>337</v>
      </c>
      <c r="I5578" s="564" t="s">
        <v>802</v>
      </c>
      <c r="J5578" s="564" t="s">
        <v>1069</v>
      </c>
      <c r="K5578" s="564" t="s">
        <v>1198</v>
      </c>
      <c r="L5578" s="564" t="s">
        <v>1071</v>
      </c>
      <c r="M5578" s="564" t="s">
        <v>1091</v>
      </c>
      <c r="N5578" s="564" t="s">
        <v>132</v>
      </c>
      <c r="O5578" s="564" t="s">
        <v>241</v>
      </c>
      <c r="P5578" s="23"/>
      <c r="Q5578" s="23"/>
      <c r="R5578" s="23"/>
      <c r="S5578" s="23"/>
      <c r="T5578" s="23"/>
      <c r="U5578" s="23"/>
      <c r="V5578" s="23"/>
      <c r="W5578" s="23"/>
      <c r="X5578" s="23"/>
      <c r="Y5578" s="23"/>
      <c r="Z5578" s="23"/>
    </row>
    <row r="5579" spans="1:26" ht="13">
      <c r="A5579" s="562" t="s">
        <v>11959</v>
      </c>
      <c r="B5579" s="563" t="s">
        <v>11960</v>
      </c>
      <c r="C5579" s="564" t="s">
        <v>1873</v>
      </c>
      <c r="D5579" s="565">
        <v>41646</v>
      </c>
      <c r="E5579" s="565">
        <v>41688</v>
      </c>
      <c r="F5579" s="566">
        <v>9090000</v>
      </c>
      <c r="G5579" s="564" t="s">
        <v>10577</v>
      </c>
      <c r="H5579" s="564" t="s">
        <v>1623</v>
      </c>
      <c r="I5579" s="564" t="s">
        <v>802</v>
      </c>
      <c r="J5579" s="564" t="s">
        <v>1069</v>
      </c>
      <c r="K5579" s="564" t="s">
        <v>1198</v>
      </c>
      <c r="L5579" s="564" t="s">
        <v>1390</v>
      </c>
      <c r="M5579" s="564" t="s">
        <v>1390</v>
      </c>
      <c r="N5579" s="564" t="s">
        <v>132</v>
      </c>
      <c r="O5579" s="564" t="s">
        <v>38</v>
      </c>
      <c r="P5579" s="23"/>
      <c r="Q5579" s="23"/>
      <c r="R5579" s="23"/>
      <c r="S5579" s="23"/>
      <c r="T5579" s="23"/>
      <c r="U5579" s="23"/>
      <c r="V5579" s="23"/>
      <c r="W5579" s="23"/>
      <c r="X5579" s="23"/>
      <c r="Y5579" s="23"/>
      <c r="Z5579" s="23"/>
    </row>
    <row r="5580" spans="1:26" ht="13">
      <c r="A5580" s="562" t="s">
        <v>11961</v>
      </c>
      <c r="B5580" s="563" t="s">
        <v>11962</v>
      </c>
      <c r="C5580" s="564" t="s">
        <v>1255</v>
      </c>
      <c r="D5580" s="565">
        <v>41640</v>
      </c>
      <c r="E5580" s="565">
        <v>42004</v>
      </c>
      <c r="F5580" s="566">
        <v>54050000</v>
      </c>
      <c r="G5580" s="564" t="s">
        <v>1097</v>
      </c>
      <c r="H5580" s="564" t="s">
        <v>1123</v>
      </c>
      <c r="I5580" s="564" t="s">
        <v>143</v>
      </c>
      <c r="J5580" s="564" t="s">
        <v>1069</v>
      </c>
      <c r="K5580" s="564" t="s">
        <v>1205</v>
      </c>
      <c r="L5580" s="564" t="s">
        <v>1071</v>
      </c>
      <c r="M5580" s="564" t="s">
        <v>1091</v>
      </c>
      <c r="N5580" s="564" t="s">
        <v>1073</v>
      </c>
      <c r="O5580" s="564" t="s">
        <v>241</v>
      </c>
      <c r="P5580" s="23"/>
      <c r="Q5580" s="23"/>
      <c r="R5580" s="23"/>
      <c r="S5580" s="23"/>
      <c r="T5580" s="23"/>
      <c r="U5580" s="23"/>
      <c r="V5580" s="23"/>
      <c r="W5580" s="23"/>
      <c r="X5580" s="23"/>
      <c r="Y5580" s="23"/>
      <c r="Z5580" s="23"/>
    </row>
    <row r="5581" spans="1:26" ht="13">
      <c r="A5581" s="562" t="s">
        <v>11963</v>
      </c>
      <c r="B5581" s="563" t="s">
        <v>11964</v>
      </c>
      <c r="C5581" s="564" t="s">
        <v>2191</v>
      </c>
      <c r="D5581" s="565">
        <v>41640</v>
      </c>
      <c r="E5581" s="565">
        <v>42004</v>
      </c>
      <c r="F5581" s="566">
        <v>350000000</v>
      </c>
      <c r="G5581" s="564" t="s">
        <v>1912</v>
      </c>
      <c r="H5581" s="564" t="s">
        <v>1128</v>
      </c>
      <c r="I5581" s="564" t="s">
        <v>7303</v>
      </c>
      <c r="J5581" s="564" t="s">
        <v>1069</v>
      </c>
      <c r="K5581" s="564" t="s">
        <v>1070</v>
      </c>
      <c r="L5581" s="564" t="s">
        <v>1071</v>
      </c>
      <c r="M5581" s="564" t="s">
        <v>1091</v>
      </c>
      <c r="N5581" s="564" t="s">
        <v>2325</v>
      </c>
      <c r="O5581" s="564" t="s">
        <v>241</v>
      </c>
      <c r="P5581" s="23"/>
      <c r="Q5581" s="23"/>
      <c r="R5581" s="23"/>
      <c r="S5581" s="23"/>
      <c r="T5581" s="23"/>
      <c r="U5581" s="23"/>
      <c r="V5581" s="23"/>
      <c r="W5581" s="23"/>
      <c r="X5581" s="23"/>
      <c r="Y5581" s="23"/>
      <c r="Z5581" s="23"/>
    </row>
    <row r="5582" spans="1:26" ht="13">
      <c r="A5582" s="562" t="s">
        <v>11965</v>
      </c>
      <c r="B5582" s="563" t="s">
        <v>11966</v>
      </c>
      <c r="C5582" s="564" t="s">
        <v>1612</v>
      </c>
      <c r="D5582" s="565">
        <v>41640</v>
      </c>
      <c r="E5582" s="565">
        <v>42035</v>
      </c>
      <c r="F5582" s="566">
        <v>24000000</v>
      </c>
      <c r="G5582" s="564" t="s">
        <v>1623</v>
      </c>
      <c r="H5582" s="564" t="s">
        <v>1623</v>
      </c>
      <c r="I5582" s="564" t="s">
        <v>802</v>
      </c>
      <c r="J5582" s="564" t="s">
        <v>1069</v>
      </c>
      <c r="K5582" s="564" t="s">
        <v>1198</v>
      </c>
      <c r="L5582" s="564" t="s">
        <v>1390</v>
      </c>
      <c r="M5582" s="564" t="s">
        <v>1390</v>
      </c>
      <c r="N5582" s="564" t="s">
        <v>132</v>
      </c>
      <c r="O5582" s="564" t="s">
        <v>38</v>
      </c>
      <c r="P5582" s="23"/>
      <c r="Q5582" s="23"/>
      <c r="R5582" s="23"/>
      <c r="S5582" s="23"/>
      <c r="T5582" s="23"/>
      <c r="U5582" s="23"/>
      <c r="V5582" s="23"/>
      <c r="W5582" s="23"/>
      <c r="X5582" s="23"/>
      <c r="Y5582" s="23"/>
      <c r="Z5582" s="23"/>
    </row>
    <row r="5583" spans="1:26" ht="13">
      <c r="A5583" s="562" t="s">
        <v>11967</v>
      </c>
      <c r="B5583" s="563" t="s">
        <v>11968</v>
      </c>
      <c r="C5583" s="564" t="s">
        <v>1612</v>
      </c>
      <c r="D5583" s="565">
        <v>41628</v>
      </c>
      <c r="E5583" s="565">
        <v>41759</v>
      </c>
      <c r="F5583" s="566">
        <v>30000000</v>
      </c>
      <c r="G5583" s="564" t="s">
        <v>10577</v>
      </c>
      <c r="H5583" s="564" t="s">
        <v>1623</v>
      </c>
      <c r="I5583" s="564" t="s">
        <v>802</v>
      </c>
      <c r="J5583" s="564" t="s">
        <v>1069</v>
      </c>
      <c r="K5583" s="564" t="s">
        <v>1198</v>
      </c>
      <c r="L5583" s="564" t="s">
        <v>1390</v>
      </c>
      <c r="M5583" s="564" t="s">
        <v>1390</v>
      </c>
      <c r="N5583" s="564" t="s">
        <v>132</v>
      </c>
      <c r="O5583" s="564" t="s">
        <v>38</v>
      </c>
      <c r="P5583" s="23"/>
      <c r="Q5583" s="23"/>
      <c r="R5583" s="23"/>
      <c r="S5583" s="23"/>
      <c r="T5583" s="23"/>
      <c r="U5583" s="23"/>
      <c r="V5583" s="23"/>
      <c r="W5583" s="23"/>
      <c r="X5583" s="23"/>
      <c r="Y5583" s="23"/>
      <c r="Z5583" s="23"/>
    </row>
    <row r="5584" spans="1:26" ht="13">
      <c r="A5584" s="562" t="s">
        <v>11969</v>
      </c>
      <c r="B5584" s="563" t="s">
        <v>11970</v>
      </c>
      <c r="C5584" s="564" t="s">
        <v>1873</v>
      </c>
      <c r="D5584" s="565">
        <v>41609</v>
      </c>
      <c r="E5584" s="565">
        <v>41685</v>
      </c>
      <c r="F5584" s="566">
        <v>86000000</v>
      </c>
      <c r="G5584" s="564" t="s">
        <v>11587</v>
      </c>
      <c r="H5584" s="564" t="s">
        <v>1157</v>
      </c>
      <c r="I5584" s="564" t="s">
        <v>170</v>
      </c>
      <c r="J5584" s="564" t="s">
        <v>1069</v>
      </c>
      <c r="K5584" s="564" t="s">
        <v>1105</v>
      </c>
      <c r="L5584" s="564" t="s">
        <v>1390</v>
      </c>
      <c r="M5584" s="564" t="s">
        <v>1390</v>
      </c>
      <c r="N5584" s="564" t="s">
        <v>170</v>
      </c>
      <c r="O5584" s="564" t="s">
        <v>38</v>
      </c>
      <c r="P5584" s="23"/>
      <c r="Q5584" s="23"/>
      <c r="R5584" s="23"/>
      <c r="S5584" s="23"/>
      <c r="T5584" s="23"/>
      <c r="U5584" s="23"/>
      <c r="V5584" s="23"/>
      <c r="W5584" s="23"/>
      <c r="X5584" s="23"/>
      <c r="Y5584" s="23"/>
      <c r="Z5584" s="23"/>
    </row>
    <row r="5585" spans="1:26" ht="13">
      <c r="A5585" s="562" t="s">
        <v>11971</v>
      </c>
      <c r="B5585" s="563" t="s">
        <v>11972</v>
      </c>
      <c r="C5585" s="564" t="s">
        <v>1612</v>
      </c>
      <c r="D5585" s="565">
        <v>41621</v>
      </c>
      <c r="E5585" s="565">
        <v>41634</v>
      </c>
      <c r="F5585" s="566">
        <v>9000000</v>
      </c>
      <c r="G5585" s="564" t="s">
        <v>10577</v>
      </c>
      <c r="H5585" s="564" t="s">
        <v>1623</v>
      </c>
      <c r="I5585" s="564" t="s">
        <v>802</v>
      </c>
      <c r="J5585" s="564" t="s">
        <v>1069</v>
      </c>
      <c r="K5585" s="564" t="s">
        <v>1198</v>
      </c>
      <c r="L5585" s="564" t="s">
        <v>1390</v>
      </c>
      <c r="M5585" s="564" t="s">
        <v>1390</v>
      </c>
      <c r="N5585" s="564" t="s">
        <v>132</v>
      </c>
      <c r="O5585" s="564" t="s">
        <v>38</v>
      </c>
      <c r="P5585" s="23"/>
      <c r="Q5585" s="23"/>
      <c r="R5585" s="23"/>
      <c r="S5585" s="23"/>
      <c r="T5585" s="23"/>
      <c r="U5585" s="23"/>
      <c r="V5585" s="23"/>
      <c r="W5585" s="23"/>
      <c r="X5585" s="23"/>
      <c r="Y5585" s="23"/>
      <c r="Z5585" s="23"/>
    </row>
    <row r="5586" spans="1:26" ht="13">
      <c r="A5586" s="562" t="s">
        <v>11973</v>
      </c>
      <c r="B5586" s="563" t="s">
        <v>11974</v>
      </c>
      <c r="C5586" s="564" t="s">
        <v>1873</v>
      </c>
      <c r="D5586" s="565">
        <v>41609</v>
      </c>
      <c r="E5586" s="565">
        <v>41685</v>
      </c>
      <c r="F5586" s="566">
        <v>46700000</v>
      </c>
      <c r="G5586" s="564" t="s">
        <v>4261</v>
      </c>
      <c r="H5586" s="564" t="s">
        <v>1157</v>
      </c>
      <c r="I5586" s="564" t="s">
        <v>170</v>
      </c>
      <c r="J5586" s="564" t="s">
        <v>1069</v>
      </c>
      <c r="K5586" s="564" t="s">
        <v>1105</v>
      </c>
      <c r="L5586" s="564" t="s">
        <v>1390</v>
      </c>
      <c r="M5586" s="564" t="s">
        <v>1390</v>
      </c>
      <c r="N5586" s="564" t="s">
        <v>170</v>
      </c>
      <c r="O5586" s="564" t="s">
        <v>38</v>
      </c>
      <c r="P5586" s="23"/>
      <c r="Q5586" s="23"/>
      <c r="R5586" s="23"/>
      <c r="S5586" s="23"/>
      <c r="T5586" s="23"/>
      <c r="U5586" s="23"/>
      <c r="V5586" s="23"/>
      <c r="W5586" s="23"/>
      <c r="X5586" s="23"/>
      <c r="Y5586" s="23"/>
      <c r="Z5586" s="23"/>
    </row>
    <row r="5587" spans="1:26" ht="13">
      <c r="A5587" s="562" t="s">
        <v>11975</v>
      </c>
      <c r="B5587" s="563" t="s">
        <v>11976</v>
      </c>
      <c r="C5587" s="564" t="s">
        <v>1612</v>
      </c>
      <c r="D5587" s="565">
        <v>41596</v>
      </c>
      <c r="E5587" s="565">
        <v>41639</v>
      </c>
      <c r="F5587" s="566">
        <v>21000000</v>
      </c>
      <c r="G5587" s="564" t="s">
        <v>1604</v>
      </c>
      <c r="H5587" s="564" t="s">
        <v>1123</v>
      </c>
      <c r="I5587" s="564" t="s">
        <v>1247</v>
      </c>
      <c r="J5587" s="564" t="s">
        <v>1069</v>
      </c>
      <c r="K5587" s="564" t="s">
        <v>1070</v>
      </c>
      <c r="L5587" s="564" t="s">
        <v>1071</v>
      </c>
      <c r="M5587" s="564" t="s">
        <v>1124</v>
      </c>
      <c r="N5587" s="564" t="s">
        <v>1073</v>
      </c>
      <c r="O5587" s="564" t="s">
        <v>38</v>
      </c>
      <c r="P5587" s="23"/>
      <c r="Q5587" s="23"/>
      <c r="R5587" s="23"/>
      <c r="S5587" s="23"/>
      <c r="T5587" s="23"/>
      <c r="U5587" s="23"/>
      <c r="V5587" s="23"/>
      <c r="W5587" s="23"/>
      <c r="X5587" s="23"/>
      <c r="Y5587" s="23"/>
      <c r="Z5587" s="23"/>
    </row>
    <row r="5588" spans="1:26" ht="13">
      <c r="A5588" s="562" t="s">
        <v>11977</v>
      </c>
      <c r="B5588" s="563" t="s">
        <v>11978</v>
      </c>
      <c r="C5588" s="564" t="s">
        <v>1612</v>
      </c>
      <c r="D5588" s="565">
        <v>41579</v>
      </c>
      <c r="E5588" s="565">
        <v>41943</v>
      </c>
      <c r="F5588" s="566">
        <v>13800000</v>
      </c>
      <c r="G5588" s="564" t="s">
        <v>1297</v>
      </c>
      <c r="H5588" s="564" t="s">
        <v>1157</v>
      </c>
      <c r="I5588" s="564" t="s">
        <v>70</v>
      </c>
      <c r="J5588" s="564" t="s">
        <v>1069</v>
      </c>
      <c r="K5588" s="564" t="s">
        <v>1120</v>
      </c>
      <c r="L5588" s="564" t="s">
        <v>1071</v>
      </c>
      <c r="M5588" s="564" t="s">
        <v>1091</v>
      </c>
      <c r="N5588" s="564" t="s">
        <v>70</v>
      </c>
      <c r="O5588" s="564" t="s">
        <v>241</v>
      </c>
      <c r="P5588" s="23"/>
      <c r="Q5588" s="23"/>
      <c r="R5588" s="23"/>
      <c r="S5588" s="23"/>
      <c r="T5588" s="23"/>
      <c r="U5588" s="23"/>
      <c r="V5588" s="23"/>
      <c r="W5588" s="23"/>
      <c r="X5588" s="23"/>
      <c r="Y5588" s="23"/>
      <c r="Z5588" s="23"/>
    </row>
    <row r="5589" spans="1:26" ht="13">
      <c r="A5589" s="562" t="s">
        <v>11979</v>
      </c>
      <c r="B5589" s="563" t="s">
        <v>11980</v>
      </c>
      <c r="C5589" s="564" t="s">
        <v>1612</v>
      </c>
      <c r="D5589" s="565">
        <v>41542</v>
      </c>
      <c r="E5589" s="565">
        <v>41567</v>
      </c>
      <c r="F5589" s="566">
        <v>70500000</v>
      </c>
      <c r="G5589" s="564" t="s">
        <v>1604</v>
      </c>
      <c r="H5589" s="564" t="s">
        <v>1123</v>
      </c>
      <c r="I5589" s="564" t="s">
        <v>1247</v>
      </c>
      <c r="J5589" s="564" t="s">
        <v>1069</v>
      </c>
      <c r="K5589" s="564" t="s">
        <v>1070</v>
      </c>
      <c r="L5589" s="564" t="s">
        <v>1071</v>
      </c>
      <c r="M5589" s="564" t="s">
        <v>1124</v>
      </c>
      <c r="N5589" s="564" t="s">
        <v>1073</v>
      </c>
      <c r="O5589" s="564" t="s">
        <v>38</v>
      </c>
      <c r="P5589" s="23"/>
      <c r="Q5589" s="23"/>
      <c r="R5589" s="23"/>
      <c r="S5589" s="23"/>
      <c r="T5589" s="23"/>
      <c r="U5589" s="23"/>
      <c r="V5589" s="23"/>
      <c r="W5589" s="23"/>
      <c r="X5589" s="23"/>
      <c r="Y5589" s="23"/>
      <c r="Z5589" s="23"/>
    </row>
    <row r="5590" spans="1:26" ht="13">
      <c r="A5590" s="562" t="s">
        <v>11981</v>
      </c>
      <c r="B5590" s="563" t="s">
        <v>11982</v>
      </c>
      <c r="C5590" s="564" t="s">
        <v>1612</v>
      </c>
      <c r="D5590" s="565">
        <v>41555</v>
      </c>
      <c r="E5590" s="565">
        <v>41608</v>
      </c>
      <c r="F5590" s="566">
        <v>8181818</v>
      </c>
      <c r="G5590" s="564" t="s">
        <v>1623</v>
      </c>
      <c r="H5590" s="564" t="s">
        <v>1623</v>
      </c>
      <c r="I5590" s="564" t="s">
        <v>802</v>
      </c>
      <c r="J5590" s="564" t="s">
        <v>1069</v>
      </c>
      <c r="K5590" s="564" t="s">
        <v>1198</v>
      </c>
      <c r="L5590" s="564" t="s">
        <v>1390</v>
      </c>
      <c r="M5590" s="564" t="s">
        <v>1390</v>
      </c>
      <c r="N5590" s="564" t="s">
        <v>132</v>
      </c>
      <c r="O5590" s="564" t="s">
        <v>38</v>
      </c>
      <c r="P5590" s="23"/>
      <c r="Q5590" s="23"/>
      <c r="R5590" s="23"/>
      <c r="S5590" s="23"/>
      <c r="T5590" s="23"/>
      <c r="U5590" s="23"/>
      <c r="V5590" s="23"/>
      <c r="W5590" s="23"/>
      <c r="X5590" s="23"/>
      <c r="Y5590" s="23"/>
      <c r="Z5590" s="23"/>
    </row>
    <row r="5591" spans="1:26" ht="13">
      <c r="A5591" s="562" t="s">
        <v>11983</v>
      </c>
      <c r="B5591" s="563" t="s">
        <v>11984</v>
      </c>
      <c r="C5591" s="564" t="s">
        <v>1612</v>
      </c>
      <c r="D5591" s="565">
        <v>41579</v>
      </c>
      <c r="E5591" s="565">
        <v>41670</v>
      </c>
      <c r="F5591" s="566">
        <v>44545455</v>
      </c>
      <c r="G5591" s="564" t="s">
        <v>1623</v>
      </c>
      <c r="H5591" s="564" t="s">
        <v>1623</v>
      </c>
      <c r="I5591" s="564" t="s">
        <v>802</v>
      </c>
      <c r="J5591" s="564" t="s">
        <v>1069</v>
      </c>
      <c r="K5591" s="564" t="s">
        <v>1198</v>
      </c>
      <c r="L5591" s="564" t="s">
        <v>1390</v>
      </c>
      <c r="M5591" s="564" t="s">
        <v>1390</v>
      </c>
      <c r="N5591" s="564" t="s">
        <v>132</v>
      </c>
      <c r="O5591" s="564" t="s">
        <v>38</v>
      </c>
      <c r="P5591" s="23"/>
      <c r="Q5591" s="23"/>
      <c r="R5591" s="23"/>
      <c r="S5591" s="23"/>
      <c r="T5591" s="23"/>
      <c r="U5591" s="23"/>
      <c r="V5591" s="23"/>
      <c r="W5591" s="23"/>
      <c r="X5591" s="23"/>
      <c r="Y5591" s="23"/>
      <c r="Z5591" s="23"/>
    </row>
    <row r="5592" spans="1:26" ht="13">
      <c r="A5592" s="562" t="s">
        <v>11985</v>
      </c>
      <c r="B5592" s="563" t="s">
        <v>11986</v>
      </c>
      <c r="C5592" s="564" t="s">
        <v>2191</v>
      </c>
      <c r="D5592" s="565">
        <v>41579</v>
      </c>
      <c r="E5592" s="565">
        <v>41943</v>
      </c>
      <c r="F5592" s="566">
        <v>12000000</v>
      </c>
      <c r="G5592" s="564" t="s">
        <v>11496</v>
      </c>
      <c r="H5592" s="564" t="s">
        <v>1529</v>
      </c>
      <c r="I5592" s="564" t="s">
        <v>11869</v>
      </c>
      <c r="J5592" s="564" t="s">
        <v>1069</v>
      </c>
      <c r="K5592" s="564" t="s">
        <v>1070</v>
      </c>
      <c r="L5592" s="564" t="s">
        <v>1071</v>
      </c>
      <c r="M5592" s="564" t="s">
        <v>1091</v>
      </c>
      <c r="N5592" s="564" t="s">
        <v>1082</v>
      </c>
      <c r="O5592" s="564" t="s">
        <v>241</v>
      </c>
      <c r="P5592" s="23"/>
      <c r="Q5592" s="23"/>
      <c r="R5592" s="23"/>
      <c r="S5592" s="23"/>
      <c r="T5592" s="23"/>
      <c r="U5592" s="23"/>
      <c r="V5592" s="23"/>
      <c r="W5592" s="23"/>
      <c r="X5592" s="23"/>
      <c r="Y5592" s="23"/>
      <c r="Z5592" s="23"/>
    </row>
    <row r="5593" spans="1:26" ht="13">
      <c r="A5593" s="562" t="s">
        <v>11987</v>
      </c>
      <c r="B5593" s="563" t="s">
        <v>11988</v>
      </c>
      <c r="C5593" s="564" t="s">
        <v>1612</v>
      </c>
      <c r="D5593" s="565">
        <v>41540</v>
      </c>
      <c r="E5593" s="565">
        <v>41547</v>
      </c>
      <c r="F5593" s="566">
        <v>4650000</v>
      </c>
      <c r="G5593" s="564" t="s">
        <v>1780</v>
      </c>
      <c r="H5593" s="564" t="s">
        <v>1636</v>
      </c>
      <c r="I5593" s="564" t="s">
        <v>45</v>
      </c>
      <c r="J5593" s="564" t="s">
        <v>1069</v>
      </c>
      <c r="K5593" s="564" t="s">
        <v>1090</v>
      </c>
      <c r="L5593" s="564" t="s">
        <v>1390</v>
      </c>
      <c r="M5593" s="564" t="s">
        <v>1390</v>
      </c>
      <c r="N5593" s="564" t="s">
        <v>45</v>
      </c>
      <c r="O5593" s="564" t="s">
        <v>38</v>
      </c>
      <c r="P5593" s="23"/>
      <c r="Q5593" s="23"/>
      <c r="R5593" s="23"/>
      <c r="S5593" s="23"/>
      <c r="T5593" s="23"/>
      <c r="U5593" s="23"/>
      <c r="V5593" s="23"/>
      <c r="W5593" s="23"/>
      <c r="X5593" s="23"/>
      <c r="Y5593" s="23"/>
      <c r="Z5593" s="23"/>
    </row>
    <row r="5594" spans="1:26" ht="13">
      <c r="A5594" s="562" t="s">
        <v>11989</v>
      </c>
      <c r="B5594" s="563" t="s">
        <v>11990</v>
      </c>
      <c r="C5594" s="564" t="s">
        <v>1873</v>
      </c>
      <c r="D5594" s="565">
        <v>41533</v>
      </c>
      <c r="E5594" s="565">
        <v>41639</v>
      </c>
      <c r="F5594" s="566">
        <v>55000000</v>
      </c>
      <c r="G5594" s="564" t="s">
        <v>1458</v>
      </c>
      <c r="H5594" s="564" t="s">
        <v>1157</v>
      </c>
      <c r="I5594" s="564" t="s">
        <v>170</v>
      </c>
      <c r="J5594" s="564" t="s">
        <v>1069</v>
      </c>
      <c r="K5594" s="564" t="s">
        <v>1105</v>
      </c>
      <c r="L5594" s="564" t="s">
        <v>1390</v>
      </c>
      <c r="M5594" s="564" t="s">
        <v>1390</v>
      </c>
      <c r="N5594" s="564" t="s">
        <v>170</v>
      </c>
      <c r="O5594" s="564" t="s">
        <v>38</v>
      </c>
      <c r="P5594" s="23"/>
      <c r="Q5594" s="23"/>
      <c r="R5594" s="23"/>
      <c r="S5594" s="23"/>
      <c r="T5594" s="23"/>
      <c r="U5594" s="23"/>
      <c r="V5594" s="23"/>
      <c r="W5594" s="23"/>
      <c r="X5594" s="23"/>
      <c r="Y5594" s="23"/>
      <c r="Z5594" s="23"/>
    </row>
    <row r="5595" spans="1:26" ht="13">
      <c r="A5595" s="562" t="s">
        <v>11991</v>
      </c>
      <c r="B5595" s="563" t="s">
        <v>11992</v>
      </c>
      <c r="C5595" s="564" t="s">
        <v>1612</v>
      </c>
      <c r="D5595" s="565">
        <v>41522</v>
      </c>
      <c r="E5595" s="565">
        <v>41790</v>
      </c>
      <c r="F5595" s="566">
        <v>299000000</v>
      </c>
      <c r="G5595" s="564" t="s">
        <v>11587</v>
      </c>
      <c r="H5595" s="564" t="s">
        <v>1640</v>
      </c>
      <c r="I5595" s="564" t="s">
        <v>45</v>
      </c>
      <c r="J5595" s="564" t="s">
        <v>1069</v>
      </c>
      <c r="K5595" s="564" t="s">
        <v>1090</v>
      </c>
      <c r="L5595" s="564" t="s">
        <v>1390</v>
      </c>
      <c r="M5595" s="564" t="s">
        <v>1390</v>
      </c>
      <c r="N5595" s="564" t="s">
        <v>45</v>
      </c>
      <c r="O5595" s="564" t="s">
        <v>38</v>
      </c>
      <c r="P5595" s="23"/>
      <c r="Q5595" s="23"/>
      <c r="R5595" s="23"/>
      <c r="S5595" s="23"/>
      <c r="T5595" s="23"/>
      <c r="U5595" s="23"/>
      <c r="V5595" s="23"/>
      <c r="W5595" s="23"/>
      <c r="X5595" s="23"/>
      <c r="Y5595" s="23"/>
      <c r="Z5595" s="23"/>
    </row>
    <row r="5596" spans="1:26" ht="13">
      <c r="A5596" s="562" t="s">
        <v>11993</v>
      </c>
      <c r="B5596" s="563" t="s">
        <v>11994</v>
      </c>
      <c r="C5596" s="564" t="s">
        <v>1551</v>
      </c>
      <c r="D5596" s="565">
        <v>41456</v>
      </c>
      <c r="E5596" s="565">
        <v>42369</v>
      </c>
      <c r="F5596" s="566">
        <v>458645233</v>
      </c>
      <c r="G5596" s="564" t="s">
        <v>1298</v>
      </c>
      <c r="H5596" s="564" t="s">
        <v>1128</v>
      </c>
      <c r="I5596" s="564" t="s">
        <v>45</v>
      </c>
      <c r="J5596" s="564" t="s">
        <v>1069</v>
      </c>
      <c r="K5596" s="564" t="s">
        <v>1090</v>
      </c>
      <c r="L5596" s="564" t="s">
        <v>1071</v>
      </c>
      <c r="M5596" s="564" t="s">
        <v>1091</v>
      </c>
      <c r="N5596" s="564" t="s">
        <v>45</v>
      </c>
      <c r="O5596" s="564" t="s">
        <v>241</v>
      </c>
      <c r="P5596" s="23"/>
      <c r="Q5596" s="23"/>
      <c r="R5596" s="23"/>
      <c r="S5596" s="23"/>
      <c r="T5596" s="23"/>
      <c r="U5596" s="23"/>
      <c r="V5596" s="23"/>
      <c r="W5596" s="23"/>
      <c r="X5596" s="23"/>
      <c r="Y5596" s="23"/>
      <c r="Z5596" s="23"/>
    </row>
    <row r="5597" spans="1:26" ht="13">
      <c r="A5597" s="562" t="s">
        <v>11995</v>
      </c>
      <c r="B5597" s="563" t="s">
        <v>11996</v>
      </c>
      <c r="C5597" s="564" t="s">
        <v>1612</v>
      </c>
      <c r="D5597" s="565">
        <v>41487</v>
      </c>
      <c r="E5597" s="565">
        <v>41517</v>
      </c>
      <c r="F5597" s="566">
        <v>12000000</v>
      </c>
      <c r="G5597" s="564" t="s">
        <v>10823</v>
      </c>
      <c r="H5597" s="564" t="s">
        <v>337</v>
      </c>
      <c r="I5597" s="564" t="s">
        <v>125</v>
      </c>
      <c r="J5597" s="564" t="s">
        <v>1069</v>
      </c>
      <c r="K5597" s="564" t="s">
        <v>1070</v>
      </c>
      <c r="L5597" s="564" t="s">
        <v>1390</v>
      </c>
      <c r="M5597" s="564" t="s">
        <v>1390</v>
      </c>
      <c r="N5597" s="564" t="s">
        <v>1073</v>
      </c>
      <c r="O5597" s="564" t="s">
        <v>38</v>
      </c>
      <c r="P5597" s="23"/>
      <c r="Q5597" s="23"/>
      <c r="R5597" s="23"/>
      <c r="S5597" s="23"/>
      <c r="T5597" s="23"/>
      <c r="U5597" s="23"/>
      <c r="V5597" s="23"/>
      <c r="W5597" s="23"/>
      <c r="X5597" s="23"/>
      <c r="Y5597" s="23"/>
      <c r="Z5597" s="23"/>
    </row>
    <row r="5598" spans="1:26" ht="13">
      <c r="A5598" s="562" t="s">
        <v>11997</v>
      </c>
      <c r="B5598" s="563" t="s">
        <v>11998</v>
      </c>
      <c r="C5598" s="564" t="s">
        <v>1255</v>
      </c>
      <c r="D5598" s="565">
        <v>41487</v>
      </c>
      <c r="E5598" s="565">
        <v>42216</v>
      </c>
      <c r="F5598" s="566">
        <v>368826000</v>
      </c>
      <c r="G5598" s="564" t="s">
        <v>1097</v>
      </c>
      <c r="H5598" s="564" t="s">
        <v>1123</v>
      </c>
      <c r="I5598" s="564" t="s">
        <v>141</v>
      </c>
      <c r="J5598" s="564" t="s">
        <v>1069</v>
      </c>
      <c r="K5598" s="564" t="s">
        <v>1205</v>
      </c>
      <c r="L5598" s="564" t="s">
        <v>1071</v>
      </c>
      <c r="M5598" s="564" t="s">
        <v>1091</v>
      </c>
      <c r="N5598" s="564" t="s">
        <v>1073</v>
      </c>
      <c r="O5598" s="564" t="s">
        <v>241</v>
      </c>
      <c r="P5598" s="23"/>
      <c r="Q5598" s="23"/>
      <c r="R5598" s="23"/>
      <c r="S5598" s="23"/>
      <c r="T5598" s="23"/>
      <c r="U5598" s="23"/>
      <c r="V5598" s="23"/>
      <c r="W5598" s="23"/>
      <c r="X5598" s="23"/>
      <c r="Y5598" s="23"/>
      <c r="Z5598" s="23"/>
    </row>
    <row r="5599" spans="1:26" ht="13">
      <c r="A5599" s="562" t="s">
        <v>11999</v>
      </c>
      <c r="B5599" s="563" t="s">
        <v>12000</v>
      </c>
      <c r="C5599" s="564" t="s">
        <v>6860</v>
      </c>
      <c r="D5599" s="565">
        <v>41495</v>
      </c>
      <c r="E5599" s="565">
        <v>41586</v>
      </c>
      <c r="F5599" s="566">
        <v>33000000</v>
      </c>
      <c r="G5599" s="564" t="s">
        <v>11587</v>
      </c>
      <c r="H5599" s="564" t="s">
        <v>1640</v>
      </c>
      <c r="I5599" s="564" t="s">
        <v>12001</v>
      </c>
      <c r="J5599" s="564" t="s">
        <v>1069</v>
      </c>
      <c r="K5599" s="564" t="s">
        <v>1090</v>
      </c>
      <c r="L5599" s="564" t="s">
        <v>1390</v>
      </c>
      <c r="M5599" s="564" t="s">
        <v>1390</v>
      </c>
      <c r="N5599" s="564" t="s">
        <v>1082</v>
      </c>
      <c r="O5599" s="564" t="s">
        <v>38</v>
      </c>
      <c r="P5599" s="23"/>
      <c r="Q5599" s="23"/>
      <c r="R5599" s="23"/>
      <c r="S5599" s="23"/>
      <c r="T5599" s="23"/>
      <c r="U5599" s="23"/>
      <c r="V5599" s="23"/>
      <c r="W5599" s="23"/>
      <c r="X5599" s="23"/>
      <c r="Y5599" s="23"/>
      <c r="Z5599" s="23"/>
    </row>
    <row r="5600" spans="1:26" ht="13">
      <c r="A5600" s="562" t="s">
        <v>12002</v>
      </c>
      <c r="B5600" s="563" t="s">
        <v>12003</v>
      </c>
      <c r="C5600" s="564" t="s">
        <v>1612</v>
      </c>
      <c r="D5600" s="565">
        <v>41426</v>
      </c>
      <c r="E5600" s="565">
        <v>41789</v>
      </c>
      <c r="F5600" s="566">
        <v>34000000</v>
      </c>
      <c r="G5600" s="564" t="s">
        <v>1312</v>
      </c>
      <c r="H5600" s="564" t="s">
        <v>1157</v>
      </c>
      <c r="I5600" s="564" t="s">
        <v>45</v>
      </c>
      <c r="J5600" s="564" t="s">
        <v>1069</v>
      </c>
      <c r="K5600" s="564" t="s">
        <v>1090</v>
      </c>
      <c r="L5600" s="564" t="s">
        <v>1071</v>
      </c>
      <c r="M5600" s="564" t="s">
        <v>1091</v>
      </c>
      <c r="N5600" s="564" t="s">
        <v>45</v>
      </c>
      <c r="O5600" s="564" t="s">
        <v>241</v>
      </c>
      <c r="P5600" s="23"/>
      <c r="Q5600" s="23"/>
      <c r="R5600" s="23"/>
      <c r="S5600" s="23"/>
      <c r="T5600" s="23"/>
      <c r="U5600" s="23"/>
      <c r="V5600" s="23"/>
      <c r="W5600" s="23"/>
      <c r="X5600" s="23"/>
      <c r="Y5600" s="23"/>
      <c r="Z5600" s="23"/>
    </row>
    <row r="5601" spans="1:26" ht="13">
      <c r="A5601" s="562" t="s">
        <v>12004</v>
      </c>
      <c r="B5601" s="563" t="s">
        <v>12005</v>
      </c>
      <c r="C5601" s="564" t="s">
        <v>1255</v>
      </c>
      <c r="D5601" s="565">
        <v>41456</v>
      </c>
      <c r="E5601" s="565">
        <v>41820</v>
      </c>
      <c r="F5601" s="566">
        <v>19000000</v>
      </c>
      <c r="G5601" s="564" t="s">
        <v>1097</v>
      </c>
      <c r="H5601" s="564" t="s">
        <v>1123</v>
      </c>
      <c r="I5601" s="564" t="s">
        <v>143</v>
      </c>
      <c r="J5601" s="564" t="s">
        <v>1069</v>
      </c>
      <c r="K5601" s="564" t="s">
        <v>1205</v>
      </c>
      <c r="L5601" s="564" t="s">
        <v>1071</v>
      </c>
      <c r="M5601" s="564" t="s">
        <v>1091</v>
      </c>
      <c r="N5601" s="564" t="s">
        <v>1073</v>
      </c>
      <c r="O5601" s="564" t="s">
        <v>241</v>
      </c>
      <c r="P5601" s="23"/>
      <c r="Q5601" s="23"/>
      <c r="R5601" s="23"/>
      <c r="S5601" s="23"/>
      <c r="T5601" s="23"/>
      <c r="U5601" s="23"/>
      <c r="V5601" s="23"/>
      <c r="W5601" s="23"/>
      <c r="X5601" s="23"/>
      <c r="Y5601" s="23"/>
      <c r="Z5601" s="23"/>
    </row>
    <row r="5602" spans="1:26" ht="13">
      <c r="A5602" s="562" t="s">
        <v>12006</v>
      </c>
      <c r="B5602" s="563" t="s">
        <v>12007</v>
      </c>
      <c r="C5602" s="564" t="s">
        <v>1612</v>
      </c>
      <c r="D5602" s="565">
        <v>41473</v>
      </c>
      <c r="E5602" s="565">
        <v>41486</v>
      </c>
      <c r="F5602" s="566">
        <v>8100000</v>
      </c>
      <c r="G5602" s="564" t="s">
        <v>1780</v>
      </c>
      <c r="H5602" s="564" t="s">
        <v>1636</v>
      </c>
      <c r="I5602" s="564" t="s">
        <v>45</v>
      </c>
      <c r="J5602" s="564" t="s">
        <v>1069</v>
      </c>
      <c r="K5602" s="564" t="s">
        <v>1090</v>
      </c>
      <c r="L5602" s="564" t="s">
        <v>1390</v>
      </c>
      <c r="M5602" s="564" t="s">
        <v>1390</v>
      </c>
      <c r="N5602" s="564" t="s">
        <v>45</v>
      </c>
      <c r="O5602" s="564" t="s">
        <v>38</v>
      </c>
      <c r="P5602" s="23"/>
      <c r="Q5602" s="23"/>
      <c r="R5602" s="23"/>
      <c r="S5602" s="23"/>
      <c r="T5602" s="23"/>
      <c r="U5602" s="23"/>
      <c r="V5602" s="23"/>
      <c r="W5602" s="23"/>
      <c r="X5602" s="23"/>
      <c r="Y5602" s="23"/>
      <c r="Z5602" s="23"/>
    </row>
    <row r="5603" spans="1:26" ht="13">
      <c r="A5603" s="562" t="s">
        <v>12008</v>
      </c>
      <c r="B5603" s="563" t="s">
        <v>12009</v>
      </c>
      <c r="C5603" s="564" t="s">
        <v>1612</v>
      </c>
      <c r="D5603" s="565">
        <v>41456</v>
      </c>
      <c r="E5603" s="565">
        <v>41820</v>
      </c>
      <c r="F5603" s="566">
        <v>24960000</v>
      </c>
      <c r="G5603" s="564" t="s">
        <v>1750</v>
      </c>
      <c r="H5603" s="564" t="s">
        <v>1157</v>
      </c>
      <c r="I5603" s="564" t="s">
        <v>70</v>
      </c>
      <c r="J5603" s="564" t="s">
        <v>1069</v>
      </c>
      <c r="K5603" s="564" t="s">
        <v>1120</v>
      </c>
      <c r="L5603" s="564" t="s">
        <v>1071</v>
      </c>
      <c r="M5603" s="564" t="s">
        <v>1091</v>
      </c>
      <c r="N5603" s="564" t="s">
        <v>70</v>
      </c>
      <c r="O5603" s="564" t="s">
        <v>241</v>
      </c>
      <c r="P5603" s="23"/>
      <c r="Q5603" s="23"/>
      <c r="R5603" s="23"/>
      <c r="S5603" s="23"/>
      <c r="T5603" s="23"/>
      <c r="U5603" s="23"/>
      <c r="V5603" s="23"/>
      <c r="W5603" s="23"/>
      <c r="X5603" s="23"/>
      <c r="Y5603" s="23"/>
      <c r="Z5603" s="23"/>
    </row>
    <row r="5604" spans="1:26" ht="13">
      <c r="A5604" s="562" t="s">
        <v>12010</v>
      </c>
      <c r="B5604" s="563" t="s">
        <v>12011</v>
      </c>
      <c r="C5604" s="564" t="s">
        <v>2191</v>
      </c>
      <c r="D5604" s="565">
        <v>41426</v>
      </c>
      <c r="E5604" s="565">
        <v>41790</v>
      </c>
      <c r="F5604" s="566">
        <v>26181820</v>
      </c>
      <c r="G5604" s="564" t="s">
        <v>1297</v>
      </c>
      <c r="H5604" s="564" t="s">
        <v>1123</v>
      </c>
      <c r="I5604" s="564" t="s">
        <v>143</v>
      </c>
      <c r="J5604" s="564" t="s">
        <v>1069</v>
      </c>
      <c r="K5604" s="564" t="s">
        <v>1205</v>
      </c>
      <c r="L5604" s="564" t="s">
        <v>1071</v>
      </c>
      <c r="M5604" s="564" t="s">
        <v>1091</v>
      </c>
      <c r="N5604" s="564" t="s">
        <v>1073</v>
      </c>
      <c r="O5604" s="564" t="s">
        <v>241</v>
      </c>
      <c r="P5604" s="23"/>
      <c r="Q5604" s="23"/>
      <c r="R5604" s="23"/>
      <c r="S5604" s="23"/>
      <c r="T5604" s="23"/>
      <c r="U5604" s="23"/>
      <c r="V5604" s="23"/>
      <c r="W5604" s="23"/>
      <c r="X5604" s="23"/>
      <c r="Y5604" s="23"/>
      <c r="Z5604" s="23"/>
    </row>
    <row r="5605" spans="1:26" ht="13">
      <c r="A5605" s="562" t="s">
        <v>12012</v>
      </c>
      <c r="B5605" s="563" t="s">
        <v>12013</v>
      </c>
      <c r="C5605" s="564" t="s">
        <v>1612</v>
      </c>
      <c r="D5605" s="565">
        <v>41415</v>
      </c>
      <c r="E5605" s="565">
        <v>41537</v>
      </c>
      <c r="F5605" s="566">
        <v>44400000</v>
      </c>
      <c r="G5605" s="564" t="s">
        <v>11587</v>
      </c>
      <c r="H5605" s="564" t="s">
        <v>1640</v>
      </c>
      <c r="I5605" s="564" t="s">
        <v>45</v>
      </c>
      <c r="J5605" s="564" t="s">
        <v>1069</v>
      </c>
      <c r="K5605" s="564" t="s">
        <v>1090</v>
      </c>
      <c r="L5605" s="564" t="s">
        <v>1390</v>
      </c>
      <c r="M5605" s="564" t="s">
        <v>1390</v>
      </c>
      <c r="N5605" s="564" t="s">
        <v>45</v>
      </c>
      <c r="O5605" s="564" t="s">
        <v>38</v>
      </c>
      <c r="P5605" s="23"/>
      <c r="Q5605" s="23"/>
      <c r="R5605" s="23"/>
      <c r="S5605" s="23"/>
      <c r="T5605" s="23"/>
      <c r="U5605" s="23"/>
      <c r="V5605" s="23"/>
      <c r="W5605" s="23"/>
      <c r="X5605" s="23"/>
      <c r="Y5605" s="23"/>
      <c r="Z5605" s="23"/>
    </row>
    <row r="5606" spans="1:26" ht="13">
      <c r="A5606" s="562" t="s">
        <v>12014</v>
      </c>
      <c r="B5606" s="563" t="s">
        <v>12015</v>
      </c>
      <c r="C5606" s="564" t="s">
        <v>1066</v>
      </c>
      <c r="D5606" s="565">
        <v>41395</v>
      </c>
      <c r="E5606" s="565">
        <v>41759</v>
      </c>
      <c r="F5606" s="566">
        <v>21873600</v>
      </c>
      <c r="G5606" s="564" t="s">
        <v>1297</v>
      </c>
      <c r="H5606" s="564" t="s">
        <v>337</v>
      </c>
      <c r="I5606" s="564" t="s">
        <v>11924</v>
      </c>
      <c r="J5606" s="564" t="s">
        <v>1069</v>
      </c>
      <c r="K5606" s="564" t="s">
        <v>1070</v>
      </c>
      <c r="L5606" s="564" t="s">
        <v>1071</v>
      </c>
      <c r="M5606" s="564" t="s">
        <v>1091</v>
      </c>
      <c r="N5606" s="564" t="s">
        <v>1073</v>
      </c>
      <c r="O5606" s="564" t="s">
        <v>241</v>
      </c>
      <c r="P5606" s="23"/>
      <c r="Q5606" s="23"/>
      <c r="R5606" s="23"/>
      <c r="S5606" s="23"/>
      <c r="T5606" s="23"/>
      <c r="U5606" s="23"/>
      <c r="V5606" s="23"/>
      <c r="W5606" s="23"/>
      <c r="X5606" s="23"/>
      <c r="Y5606" s="23"/>
      <c r="Z5606" s="23"/>
    </row>
    <row r="5607" spans="1:26" ht="13">
      <c r="A5607" s="562" t="s">
        <v>12016</v>
      </c>
      <c r="B5607" s="563" t="s">
        <v>12017</v>
      </c>
      <c r="C5607" s="564" t="s">
        <v>1612</v>
      </c>
      <c r="D5607" s="565">
        <v>41425</v>
      </c>
      <c r="E5607" s="565">
        <v>41789</v>
      </c>
      <c r="F5607" s="566">
        <v>1379000000</v>
      </c>
      <c r="G5607" s="564" t="s">
        <v>1297</v>
      </c>
      <c r="H5607" s="564" t="s">
        <v>1640</v>
      </c>
      <c r="I5607" s="564" t="s">
        <v>45</v>
      </c>
      <c r="J5607" s="564" t="s">
        <v>1069</v>
      </c>
      <c r="K5607" s="564" t="s">
        <v>1090</v>
      </c>
      <c r="L5607" s="564" t="s">
        <v>1071</v>
      </c>
      <c r="M5607" s="564" t="s">
        <v>1091</v>
      </c>
      <c r="N5607" s="564" t="s">
        <v>45</v>
      </c>
      <c r="O5607" s="564" t="s">
        <v>241</v>
      </c>
      <c r="P5607" s="23"/>
      <c r="Q5607" s="23"/>
      <c r="R5607" s="23"/>
      <c r="S5607" s="23"/>
      <c r="T5607" s="23"/>
      <c r="U5607" s="23"/>
      <c r="V5607" s="23"/>
      <c r="W5607" s="23"/>
      <c r="X5607" s="23"/>
      <c r="Y5607" s="23"/>
      <c r="Z5607" s="23"/>
    </row>
    <row r="5608" spans="1:26" ht="13">
      <c r="A5608" s="562" t="s">
        <v>12018</v>
      </c>
      <c r="B5608" s="563" t="s">
        <v>12019</v>
      </c>
      <c r="C5608" s="564" t="s">
        <v>1255</v>
      </c>
      <c r="D5608" s="565">
        <v>41395</v>
      </c>
      <c r="E5608" s="565">
        <v>41759</v>
      </c>
      <c r="F5608" s="566">
        <v>54240000</v>
      </c>
      <c r="G5608" s="564" t="s">
        <v>1097</v>
      </c>
      <c r="H5608" s="564" t="s">
        <v>1123</v>
      </c>
      <c r="I5608" s="564" t="s">
        <v>8659</v>
      </c>
      <c r="J5608" s="564" t="s">
        <v>1069</v>
      </c>
      <c r="K5608" s="564" t="s">
        <v>1205</v>
      </c>
      <c r="L5608" s="564" t="s">
        <v>1071</v>
      </c>
      <c r="M5608" s="564" t="s">
        <v>1091</v>
      </c>
      <c r="N5608" s="564" t="s">
        <v>1073</v>
      </c>
      <c r="O5608" s="564" t="s">
        <v>241</v>
      </c>
      <c r="P5608" s="23"/>
      <c r="Q5608" s="23"/>
      <c r="R5608" s="23"/>
      <c r="S5608" s="23"/>
      <c r="T5608" s="23"/>
      <c r="U5608" s="23"/>
      <c r="V5608" s="23"/>
      <c r="W5608" s="23"/>
      <c r="X5608" s="23"/>
      <c r="Y5608" s="23"/>
      <c r="Z5608" s="23"/>
    </row>
    <row r="5609" spans="1:26" ht="13">
      <c r="A5609" s="562" t="s">
        <v>12020</v>
      </c>
      <c r="B5609" s="563" t="s">
        <v>12021</v>
      </c>
      <c r="C5609" s="564" t="s">
        <v>6860</v>
      </c>
      <c r="D5609" s="565">
        <v>41400</v>
      </c>
      <c r="E5609" s="565">
        <v>41729</v>
      </c>
      <c r="F5609" s="566">
        <v>109875000</v>
      </c>
      <c r="G5609" s="564" t="s">
        <v>1640</v>
      </c>
      <c r="H5609" s="564" t="s">
        <v>1640</v>
      </c>
      <c r="I5609" s="564" t="s">
        <v>4326</v>
      </c>
      <c r="J5609" s="564" t="s">
        <v>1069</v>
      </c>
      <c r="K5609" s="564" t="s">
        <v>1209</v>
      </c>
      <c r="L5609" s="564" t="s">
        <v>1071</v>
      </c>
      <c r="M5609" s="564" t="s">
        <v>1091</v>
      </c>
      <c r="N5609" s="564" t="s">
        <v>2325</v>
      </c>
      <c r="O5609" s="564" t="s">
        <v>241</v>
      </c>
      <c r="P5609" s="23"/>
      <c r="Q5609" s="23"/>
      <c r="R5609" s="23"/>
      <c r="S5609" s="23"/>
      <c r="T5609" s="23"/>
      <c r="U5609" s="23"/>
      <c r="V5609" s="23"/>
      <c r="W5609" s="23"/>
      <c r="X5609" s="23"/>
      <c r="Y5609" s="23"/>
      <c r="Z5609" s="23"/>
    </row>
    <row r="5610" spans="1:26" ht="13">
      <c r="A5610" s="562" t="s">
        <v>12022</v>
      </c>
      <c r="B5610" s="563" t="s">
        <v>12023</v>
      </c>
      <c r="C5610" s="564" t="s">
        <v>2191</v>
      </c>
      <c r="D5610" s="565">
        <v>41365</v>
      </c>
      <c r="E5610" s="565">
        <v>41729</v>
      </c>
      <c r="F5610" s="566">
        <v>8181818</v>
      </c>
      <c r="G5610" s="564" t="s">
        <v>1297</v>
      </c>
      <c r="H5610" s="564" t="s">
        <v>1123</v>
      </c>
      <c r="I5610" s="564" t="s">
        <v>8659</v>
      </c>
      <c r="J5610" s="564" t="s">
        <v>1069</v>
      </c>
      <c r="K5610" s="564" t="s">
        <v>1205</v>
      </c>
      <c r="L5610" s="564" t="s">
        <v>1071</v>
      </c>
      <c r="M5610" s="564" t="s">
        <v>1091</v>
      </c>
      <c r="N5610" s="564" t="s">
        <v>1073</v>
      </c>
      <c r="O5610" s="564" t="s">
        <v>241</v>
      </c>
      <c r="P5610" s="23"/>
      <c r="Q5610" s="23"/>
      <c r="R5610" s="23"/>
      <c r="S5610" s="23"/>
      <c r="T5610" s="23"/>
      <c r="U5610" s="23"/>
      <c r="V5610" s="23"/>
      <c r="W5610" s="23"/>
      <c r="X5610" s="23"/>
      <c r="Y5610" s="23"/>
      <c r="Z5610" s="23"/>
    </row>
    <row r="5611" spans="1:26" ht="13">
      <c r="A5611" s="562" t="s">
        <v>12024</v>
      </c>
      <c r="B5611" s="563" t="s">
        <v>12025</v>
      </c>
      <c r="C5611" s="564" t="s">
        <v>1255</v>
      </c>
      <c r="D5611" s="565">
        <v>41365</v>
      </c>
      <c r="E5611" s="565">
        <v>41729</v>
      </c>
      <c r="F5611" s="566">
        <v>45363640</v>
      </c>
      <c r="G5611" s="564" t="s">
        <v>1097</v>
      </c>
      <c r="H5611" s="564" t="s">
        <v>1123</v>
      </c>
      <c r="I5611" s="564" t="s">
        <v>8659</v>
      </c>
      <c r="J5611" s="564" t="s">
        <v>1069</v>
      </c>
      <c r="K5611" s="564" t="s">
        <v>1205</v>
      </c>
      <c r="L5611" s="564" t="s">
        <v>1071</v>
      </c>
      <c r="M5611" s="564" t="s">
        <v>1091</v>
      </c>
      <c r="N5611" s="564" t="s">
        <v>1073</v>
      </c>
      <c r="O5611" s="564" t="s">
        <v>241</v>
      </c>
      <c r="P5611" s="23"/>
      <c r="Q5611" s="23"/>
      <c r="R5611" s="23"/>
      <c r="S5611" s="23"/>
      <c r="T5611" s="23"/>
      <c r="U5611" s="23"/>
      <c r="V5611" s="23"/>
      <c r="W5611" s="23"/>
      <c r="X5611" s="23"/>
      <c r="Y5611" s="23"/>
      <c r="Z5611" s="23"/>
    </row>
    <row r="5612" spans="1:26" ht="13">
      <c r="A5612" s="562" t="s">
        <v>12026</v>
      </c>
      <c r="B5612" s="563" t="s">
        <v>12027</v>
      </c>
      <c r="C5612" s="564" t="s">
        <v>2191</v>
      </c>
      <c r="D5612" s="565">
        <v>41334</v>
      </c>
      <c r="E5612" s="565">
        <v>41698</v>
      </c>
      <c r="F5612" s="566">
        <v>3142728</v>
      </c>
      <c r="G5612" s="564" t="s">
        <v>2459</v>
      </c>
      <c r="H5612" s="564" t="s">
        <v>2459</v>
      </c>
      <c r="I5612" s="564" t="s">
        <v>11803</v>
      </c>
      <c r="J5612" s="564" t="s">
        <v>1069</v>
      </c>
      <c r="K5612" s="564" t="s">
        <v>1070</v>
      </c>
      <c r="L5612" s="564" t="s">
        <v>1071</v>
      </c>
      <c r="M5612" s="564" t="s">
        <v>1091</v>
      </c>
      <c r="N5612" s="564" t="s">
        <v>2543</v>
      </c>
      <c r="O5612" s="564" t="s">
        <v>38</v>
      </c>
      <c r="P5612" s="23"/>
      <c r="Q5612" s="23"/>
      <c r="R5612" s="23"/>
      <c r="S5612" s="23"/>
      <c r="T5612" s="23"/>
      <c r="U5612" s="23"/>
      <c r="V5612" s="23"/>
      <c r="W5612" s="23"/>
      <c r="X5612" s="23"/>
      <c r="Y5612" s="23"/>
      <c r="Z5612" s="23"/>
    </row>
    <row r="5613" spans="1:26" ht="13">
      <c r="A5613" s="562" t="s">
        <v>12028</v>
      </c>
      <c r="B5613" s="563" t="s">
        <v>12029</v>
      </c>
      <c r="C5613" s="564" t="s">
        <v>2191</v>
      </c>
      <c r="D5613" s="565">
        <v>41334</v>
      </c>
      <c r="E5613" s="565">
        <v>41698</v>
      </c>
      <c r="F5613" s="566">
        <v>30800000</v>
      </c>
      <c r="G5613" s="564" t="s">
        <v>2459</v>
      </c>
      <c r="H5613" s="564" t="s">
        <v>2459</v>
      </c>
      <c r="I5613" s="564" t="s">
        <v>11803</v>
      </c>
      <c r="J5613" s="564" t="s">
        <v>1069</v>
      </c>
      <c r="K5613" s="564" t="s">
        <v>1070</v>
      </c>
      <c r="L5613" s="564" t="s">
        <v>1071</v>
      </c>
      <c r="M5613" s="564" t="s">
        <v>1091</v>
      </c>
      <c r="N5613" s="564" t="s">
        <v>2543</v>
      </c>
      <c r="O5613" s="564" t="s">
        <v>38</v>
      </c>
      <c r="P5613" s="23"/>
      <c r="Q5613" s="23"/>
      <c r="R5613" s="23"/>
      <c r="S5613" s="23"/>
      <c r="T5613" s="23"/>
      <c r="U5613" s="23"/>
      <c r="V5613" s="23"/>
      <c r="W5613" s="23"/>
      <c r="X5613" s="23"/>
      <c r="Y5613" s="23"/>
      <c r="Z5613" s="23"/>
    </row>
    <row r="5614" spans="1:26" ht="13">
      <c r="A5614" s="562" t="s">
        <v>12030</v>
      </c>
      <c r="B5614" s="563" t="s">
        <v>12031</v>
      </c>
      <c r="C5614" s="564" t="s">
        <v>1255</v>
      </c>
      <c r="D5614" s="565">
        <v>41365</v>
      </c>
      <c r="E5614" s="565">
        <v>41729</v>
      </c>
      <c r="F5614" s="566">
        <v>15120000</v>
      </c>
      <c r="G5614" s="564" t="s">
        <v>1912</v>
      </c>
      <c r="H5614" s="564" t="s">
        <v>1123</v>
      </c>
      <c r="I5614" s="564" t="s">
        <v>11724</v>
      </c>
      <c r="J5614" s="564" t="s">
        <v>1069</v>
      </c>
      <c r="K5614" s="564" t="s">
        <v>1105</v>
      </c>
      <c r="L5614" s="564" t="s">
        <v>1071</v>
      </c>
      <c r="M5614" s="564" t="s">
        <v>1091</v>
      </c>
      <c r="N5614" s="564" t="s">
        <v>1073</v>
      </c>
      <c r="O5614" s="564" t="s">
        <v>241</v>
      </c>
      <c r="P5614" s="23"/>
      <c r="Q5614" s="23"/>
      <c r="R5614" s="23"/>
      <c r="S5614" s="23"/>
      <c r="T5614" s="23"/>
      <c r="U5614" s="23"/>
      <c r="V5614" s="23"/>
      <c r="W5614" s="23"/>
      <c r="X5614" s="23"/>
      <c r="Y5614" s="23"/>
      <c r="Z5614" s="23"/>
    </row>
    <row r="5615" spans="1:26" ht="13">
      <c r="A5615" s="562" t="s">
        <v>12032</v>
      </c>
      <c r="B5615" s="563" t="s">
        <v>12033</v>
      </c>
      <c r="C5615" s="564" t="s">
        <v>1066</v>
      </c>
      <c r="D5615" s="565">
        <v>41365</v>
      </c>
      <c r="E5615" s="565">
        <v>41729</v>
      </c>
      <c r="F5615" s="566">
        <v>19245600</v>
      </c>
      <c r="G5615" s="564" t="s">
        <v>1297</v>
      </c>
      <c r="H5615" s="564" t="s">
        <v>337</v>
      </c>
      <c r="I5615" s="564" t="s">
        <v>2041</v>
      </c>
      <c r="J5615" s="564" t="s">
        <v>1069</v>
      </c>
      <c r="K5615" s="564" t="s">
        <v>1105</v>
      </c>
      <c r="L5615" s="564" t="s">
        <v>1071</v>
      </c>
      <c r="M5615" s="564" t="s">
        <v>1091</v>
      </c>
      <c r="N5615" s="564" t="s">
        <v>1073</v>
      </c>
      <c r="O5615" s="564" t="s">
        <v>241</v>
      </c>
      <c r="P5615" s="23"/>
      <c r="Q5615" s="23"/>
      <c r="R5615" s="23"/>
      <c r="S5615" s="23"/>
      <c r="T5615" s="23"/>
      <c r="U5615" s="23"/>
      <c r="V5615" s="23"/>
      <c r="W5615" s="23"/>
      <c r="X5615" s="23"/>
      <c r="Y5615" s="23"/>
      <c r="Z5615" s="23"/>
    </row>
    <row r="5616" spans="1:26" ht="13">
      <c r="A5616" s="562" t="s">
        <v>12034</v>
      </c>
      <c r="B5616" s="563" t="s">
        <v>12035</v>
      </c>
      <c r="C5616" s="564" t="s">
        <v>6860</v>
      </c>
      <c r="D5616" s="565">
        <v>41358</v>
      </c>
      <c r="E5616" s="565">
        <v>41943</v>
      </c>
      <c r="F5616" s="566">
        <v>897900000</v>
      </c>
      <c r="G5616" s="564" t="s">
        <v>1604</v>
      </c>
      <c r="H5616" s="564" t="s">
        <v>1116</v>
      </c>
      <c r="I5616" s="564" t="s">
        <v>7439</v>
      </c>
      <c r="J5616" s="564" t="s">
        <v>1069</v>
      </c>
      <c r="K5616" s="564" t="s">
        <v>2430</v>
      </c>
      <c r="L5616" s="564" t="s">
        <v>1071</v>
      </c>
      <c r="M5616" s="564" t="s">
        <v>1124</v>
      </c>
      <c r="N5616" s="564" t="s">
        <v>1082</v>
      </c>
      <c r="O5616" s="564" t="s">
        <v>38</v>
      </c>
      <c r="P5616" s="23"/>
      <c r="Q5616" s="23"/>
      <c r="R5616" s="23"/>
      <c r="S5616" s="23"/>
      <c r="T5616" s="23"/>
      <c r="U5616" s="23"/>
      <c r="V5616" s="23"/>
      <c r="W5616" s="23"/>
      <c r="X5616" s="23"/>
      <c r="Y5616" s="23"/>
      <c r="Z5616" s="23"/>
    </row>
    <row r="5617" spans="1:26" ht="13">
      <c r="A5617" s="562" t="s">
        <v>12036</v>
      </c>
      <c r="B5617" s="563" t="s">
        <v>12037</v>
      </c>
      <c r="C5617" s="564" t="s">
        <v>2191</v>
      </c>
      <c r="D5617" s="565">
        <v>41365</v>
      </c>
      <c r="E5617" s="565">
        <v>41698</v>
      </c>
      <c r="F5617" s="566">
        <v>45500003</v>
      </c>
      <c r="G5617" s="564" t="s">
        <v>10577</v>
      </c>
      <c r="H5617" s="564" t="s">
        <v>1187</v>
      </c>
      <c r="I5617" s="564" t="s">
        <v>12038</v>
      </c>
      <c r="J5617" s="564" t="s">
        <v>1069</v>
      </c>
      <c r="K5617" s="564" t="s">
        <v>1198</v>
      </c>
      <c r="L5617" s="564" t="s">
        <v>1071</v>
      </c>
      <c r="M5617" s="564" t="s">
        <v>1091</v>
      </c>
      <c r="N5617" s="564" t="s">
        <v>1368</v>
      </c>
      <c r="O5617" s="564" t="s">
        <v>241</v>
      </c>
      <c r="P5617" s="23"/>
      <c r="Q5617" s="23"/>
      <c r="R5617" s="23"/>
      <c r="S5617" s="23"/>
      <c r="T5617" s="23"/>
      <c r="U5617" s="23"/>
      <c r="V5617" s="23"/>
      <c r="W5617" s="23"/>
      <c r="X5617" s="23"/>
      <c r="Y5617" s="23"/>
      <c r="Z5617" s="23"/>
    </row>
    <row r="5618" spans="1:26" ht="13">
      <c r="A5618" s="562" t="s">
        <v>12039</v>
      </c>
      <c r="B5618" s="563" t="s">
        <v>12040</v>
      </c>
      <c r="C5618" s="564" t="s">
        <v>1612</v>
      </c>
      <c r="D5618" s="565">
        <v>41365</v>
      </c>
      <c r="E5618" s="565">
        <v>42886</v>
      </c>
      <c r="F5618" s="566">
        <v>354000000</v>
      </c>
      <c r="G5618" s="564" t="s">
        <v>11273</v>
      </c>
      <c r="H5618" s="564" t="s">
        <v>1856</v>
      </c>
      <c r="I5618" s="564" t="s">
        <v>45</v>
      </c>
      <c r="J5618" s="564" t="s">
        <v>1069</v>
      </c>
      <c r="K5618" s="564" t="s">
        <v>1090</v>
      </c>
      <c r="L5618" s="564" t="s">
        <v>1390</v>
      </c>
      <c r="M5618" s="564" t="s">
        <v>1390</v>
      </c>
      <c r="N5618" s="564" t="s">
        <v>45</v>
      </c>
      <c r="O5618" s="564" t="s">
        <v>38</v>
      </c>
      <c r="P5618" s="23"/>
      <c r="Q5618" s="23"/>
      <c r="R5618" s="23"/>
      <c r="S5618" s="23"/>
      <c r="T5618" s="23"/>
      <c r="U5618" s="23"/>
      <c r="V5618" s="23"/>
      <c r="W5618" s="23"/>
      <c r="X5618" s="23"/>
      <c r="Y5618" s="23"/>
      <c r="Z5618" s="23"/>
    </row>
    <row r="5619" spans="1:26" ht="13">
      <c r="A5619" s="562" t="s">
        <v>12041</v>
      </c>
      <c r="B5619" s="563" t="s">
        <v>12042</v>
      </c>
      <c r="C5619" s="564" t="s">
        <v>1873</v>
      </c>
      <c r="D5619" s="565">
        <v>41334</v>
      </c>
      <c r="E5619" s="565">
        <v>41698</v>
      </c>
      <c r="F5619" s="566">
        <v>16800000</v>
      </c>
      <c r="G5619" s="564" t="s">
        <v>11587</v>
      </c>
      <c r="H5619" s="564" t="s">
        <v>337</v>
      </c>
      <c r="I5619" s="564" t="s">
        <v>802</v>
      </c>
      <c r="J5619" s="564" t="s">
        <v>1069</v>
      </c>
      <c r="K5619" s="564" t="s">
        <v>1198</v>
      </c>
      <c r="L5619" s="564" t="s">
        <v>1071</v>
      </c>
      <c r="M5619" s="564" t="s">
        <v>1091</v>
      </c>
      <c r="N5619" s="564" t="s">
        <v>132</v>
      </c>
      <c r="O5619" s="564" t="s">
        <v>241</v>
      </c>
      <c r="P5619" s="23"/>
      <c r="Q5619" s="23"/>
      <c r="R5619" s="23"/>
      <c r="S5619" s="23"/>
      <c r="T5619" s="23"/>
      <c r="U5619" s="23"/>
      <c r="V5619" s="23"/>
      <c r="W5619" s="23"/>
      <c r="X5619" s="23"/>
      <c r="Y5619" s="23"/>
      <c r="Z5619" s="23"/>
    </row>
    <row r="5620" spans="1:26" ht="13">
      <c r="A5620" s="562" t="s">
        <v>12043</v>
      </c>
      <c r="B5620" s="563" t="s">
        <v>12044</v>
      </c>
      <c r="C5620" s="564" t="s">
        <v>1255</v>
      </c>
      <c r="D5620" s="565">
        <v>41334</v>
      </c>
      <c r="E5620" s="565">
        <v>41698</v>
      </c>
      <c r="F5620" s="566">
        <v>7200000</v>
      </c>
      <c r="G5620" s="564" t="s">
        <v>1097</v>
      </c>
      <c r="H5620" s="564" t="s">
        <v>1123</v>
      </c>
      <c r="I5620" s="564" t="s">
        <v>143</v>
      </c>
      <c r="J5620" s="564" t="s">
        <v>1069</v>
      </c>
      <c r="K5620" s="564" t="s">
        <v>1205</v>
      </c>
      <c r="L5620" s="564" t="s">
        <v>1071</v>
      </c>
      <c r="M5620" s="564" t="s">
        <v>1091</v>
      </c>
      <c r="N5620" s="564" t="s">
        <v>1073</v>
      </c>
      <c r="O5620" s="564" t="s">
        <v>241</v>
      </c>
      <c r="P5620" s="23"/>
      <c r="Q5620" s="23"/>
      <c r="R5620" s="23"/>
      <c r="S5620" s="23"/>
      <c r="T5620" s="23"/>
      <c r="U5620" s="23"/>
      <c r="V5620" s="23"/>
      <c r="W5620" s="23"/>
      <c r="X5620" s="23"/>
      <c r="Y5620" s="23"/>
      <c r="Z5620" s="23"/>
    </row>
    <row r="5621" spans="1:26" ht="13">
      <c r="A5621" s="562" t="s">
        <v>12045</v>
      </c>
      <c r="B5621" s="563" t="s">
        <v>12046</v>
      </c>
      <c r="C5621" s="564" t="s">
        <v>1255</v>
      </c>
      <c r="D5621" s="565">
        <v>41334</v>
      </c>
      <c r="E5621" s="565">
        <v>41698</v>
      </c>
      <c r="F5621" s="566">
        <v>52680000</v>
      </c>
      <c r="G5621" s="564" t="s">
        <v>1097</v>
      </c>
      <c r="H5621" s="564" t="s">
        <v>1123</v>
      </c>
      <c r="I5621" s="564" t="s">
        <v>143</v>
      </c>
      <c r="J5621" s="564" t="s">
        <v>1069</v>
      </c>
      <c r="K5621" s="564" t="s">
        <v>1205</v>
      </c>
      <c r="L5621" s="564" t="s">
        <v>1071</v>
      </c>
      <c r="M5621" s="564" t="s">
        <v>1091</v>
      </c>
      <c r="N5621" s="564" t="s">
        <v>1073</v>
      </c>
      <c r="O5621" s="564" t="s">
        <v>241</v>
      </c>
      <c r="P5621" s="23"/>
      <c r="Q5621" s="23"/>
      <c r="R5621" s="23"/>
      <c r="S5621" s="23"/>
      <c r="T5621" s="23"/>
      <c r="U5621" s="23"/>
      <c r="V5621" s="23"/>
      <c r="W5621" s="23"/>
      <c r="X5621" s="23"/>
      <c r="Y5621" s="23"/>
      <c r="Z5621" s="23"/>
    </row>
    <row r="5622" spans="1:26" ht="13">
      <c r="A5622" s="562" t="s">
        <v>12047</v>
      </c>
      <c r="B5622" s="563" t="s">
        <v>12048</v>
      </c>
      <c r="C5622" s="564" t="s">
        <v>1873</v>
      </c>
      <c r="D5622" s="565">
        <v>41295</v>
      </c>
      <c r="E5622" s="565">
        <v>41517</v>
      </c>
      <c r="F5622" s="566">
        <v>383000000</v>
      </c>
      <c r="G5622" s="564" t="s">
        <v>1725</v>
      </c>
      <c r="H5622" s="564" t="s">
        <v>1157</v>
      </c>
      <c r="I5622" s="564" t="s">
        <v>170</v>
      </c>
      <c r="J5622" s="564" t="s">
        <v>1069</v>
      </c>
      <c r="K5622" s="564" t="s">
        <v>1105</v>
      </c>
      <c r="L5622" s="564" t="s">
        <v>1390</v>
      </c>
      <c r="M5622" s="564" t="s">
        <v>1390</v>
      </c>
      <c r="N5622" s="564" t="s">
        <v>170</v>
      </c>
      <c r="O5622" s="564" t="s">
        <v>38</v>
      </c>
      <c r="P5622" s="23"/>
      <c r="Q5622" s="23"/>
      <c r="R5622" s="23"/>
      <c r="S5622" s="23"/>
      <c r="T5622" s="23"/>
      <c r="U5622" s="23"/>
      <c r="V5622" s="23"/>
      <c r="W5622" s="23"/>
      <c r="X5622" s="23"/>
      <c r="Y5622" s="23"/>
      <c r="Z5622" s="23"/>
    </row>
    <row r="5623" spans="1:26" ht="13">
      <c r="A5623" s="562" t="s">
        <v>12049</v>
      </c>
      <c r="B5623" s="563" t="s">
        <v>12050</v>
      </c>
      <c r="C5623" s="564" t="s">
        <v>2191</v>
      </c>
      <c r="D5623" s="565">
        <v>41318</v>
      </c>
      <c r="E5623" s="565">
        <v>41333</v>
      </c>
      <c r="F5623" s="566">
        <v>7000000</v>
      </c>
      <c r="G5623" s="564" t="s">
        <v>1912</v>
      </c>
      <c r="H5623" s="564" t="s">
        <v>1123</v>
      </c>
      <c r="I5623" s="564" t="s">
        <v>12051</v>
      </c>
      <c r="J5623" s="564" t="s">
        <v>1069</v>
      </c>
      <c r="K5623" s="564" t="s">
        <v>1205</v>
      </c>
      <c r="L5623" s="564" t="s">
        <v>1071</v>
      </c>
      <c r="M5623" s="564" t="s">
        <v>1124</v>
      </c>
      <c r="N5623" s="564" t="s">
        <v>1082</v>
      </c>
      <c r="O5623" s="564" t="s">
        <v>38</v>
      </c>
      <c r="P5623" s="23"/>
      <c r="Q5623" s="23"/>
      <c r="R5623" s="23"/>
      <c r="S5623" s="23"/>
      <c r="T5623" s="23"/>
      <c r="U5623" s="23"/>
      <c r="V5623" s="23"/>
      <c r="W5623" s="23"/>
      <c r="X5623" s="23"/>
      <c r="Y5623" s="23"/>
      <c r="Z5623" s="23"/>
    </row>
    <row r="5624" spans="1:26" ht="13">
      <c r="A5624" s="562" t="s">
        <v>12052</v>
      </c>
      <c r="B5624" s="563" t="s">
        <v>12053</v>
      </c>
      <c r="C5624" s="564" t="s">
        <v>2191</v>
      </c>
      <c r="D5624" s="565">
        <v>41298</v>
      </c>
      <c r="E5624" s="565">
        <v>41639</v>
      </c>
      <c r="F5624" s="566">
        <v>550000000</v>
      </c>
      <c r="G5624" s="564" t="s">
        <v>2323</v>
      </c>
      <c r="H5624" s="564" t="s">
        <v>2459</v>
      </c>
      <c r="I5624" s="564" t="s">
        <v>12054</v>
      </c>
      <c r="J5624" s="564" t="s">
        <v>1069</v>
      </c>
      <c r="K5624" s="564" t="s">
        <v>1070</v>
      </c>
      <c r="L5624" s="564" t="s">
        <v>1071</v>
      </c>
      <c r="M5624" s="564" t="s">
        <v>1091</v>
      </c>
      <c r="N5624" s="564" t="s">
        <v>2439</v>
      </c>
      <c r="O5624" s="564" t="s">
        <v>241</v>
      </c>
      <c r="P5624" s="23"/>
      <c r="Q5624" s="23"/>
      <c r="R5624" s="23"/>
      <c r="S5624" s="23"/>
      <c r="T5624" s="23"/>
      <c r="U5624" s="23"/>
      <c r="V5624" s="23"/>
      <c r="W5624" s="23"/>
      <c r="X5624" s="23"/>
      <c r="Y5624" s="23"/>
      <c r="Z5624" s="23"/>
    </row>
    <row r="5625" spans="1:26" ht="13">
      <c r="A5625" s="562" t="s">
        <v>12055</v>
      </c>
      <c r="B5625" s="563" t="s">
        <v>12056</v>
      </c>
      <c r="C5625" s="564" t="s">
        <v>1612</v>
      </c>
      <c r="D5625" s="565">
        <v>41281</v>
      </c>
      <c r="E5625" s="565">
        <v>41492</v>
      </c>
      <c r="F5625" s="566">
        <v>106000000</v>
      </c>
      <c r="G5625" s="564" t="s">
        <v>2405</v>
      </c>
      <c r="H5625" s="564" t="s">
        <v>1157</v>
      </c>
      <c r="I5625" s="564" t="s">
        <v>70</v>
      </c>
      <c r="J5625" s="564" t="s">
        <v>1069</v>
      </c>
      <c r="K5625" s="564" t="s">
        <v>1120</v>
      </c>
      <c r="L5625" s="564" t="s">
        <v>1390</v>
      </c>
      <c r="M5625" s="564" t="s">
        <v>1390</v>
      </c>
      <c r="N5625" s="564" t="s">
        <v>70</v>
      </c>
      <c r="O5625" s="564" t="s">
        <v>38</v>
      </c>
      <c r="P5625" s="23"/>
      <c r="Q5625" s="23"/>
      <c r="R5625" s="23"/>
      <c r="S5625" s="23"/>
      <c r="T5625" s="23"/>
      <c r="U5625" s="23"/>
      <c r="V5625" s="23"/>
      <c r="W5625" s="23"/>
      <c r="X5625" s="23"/>
      <c r="Y5625" s="23"/>
      <c r="Z5625" s="23"/>
    </row>
    <row r="5626" spans="1:26" ht="13">
      <c r="A5626" s="562" t="s">
        <v>12057</v>
      </c>
      <c r="B5626" s="563" t="s">
        <v>12058</v>
      </c>
      <c r="C5626" s="564" t="s">
        <v>1255</v>
      </c>
      <c r="D5626" s="565">
        <v>41275</v>
      </c>
      <c r="E5626" s="565">
        <v>41639</v>
      </c>
      <c r="F5626" s="566">
        <v>81800000</v>
      </c>
      <c r="G5626" s="564" t="s">
        <v>1097</v>
      </c>
      <c r="H5626" s="564" t="s">
        <v>1123</v>
      </c>
      <c r="I5626" s="564" t="s">
        <v>143</v>
      </c>
      <c r="J5626" s="564" t="s">
        <v>1069</v>
      </c>
      <c r="K5626" s="564" t="s">
        <v>1205</v>
      </c>
      <c r="L5626" s="564" t="s">
        <v>1071</v>
      </c>
      <c r="M5626" s="564" t="s">
        <v>1091</v>
      </c>
      <c r="N5626" s="564" t="s">
        <v>1073</v>
      </c>
      <c r="O5626" s="564" t="s">
        <v>241</v>
      </c>
      <c r="P5626" s="23"/>
      <c r="Q5626" s="23"/>
      <c r="R5626" s="23"/>
      <c r="S5626" s="23"/>
      <c r="T5626" s="23"/>
      <c r="U5626" s="23"/>
      <c r="V5626" s="23"/>
      <c r="W5626" s="23"/>
      <c r="X5626" s="23"/>
      <c r="Y5626" s="23"/>
      <c r="Z5626" s="23"/>
    </row>
    <row r="5627" spans="1:26" ht="13">
      <c r="A5627" s="562" t="s">
        <v>12059</v>
      </c>
      <c r="B5627" s="563" t="s">
        <v>12060</v>
      </c>
      <c r="C5627" s="564" t="s">
        <v>1873</v>
      </c>
      <c r="D5627" s="565">
        <v>41275</v>
      </c>
      <c r="E5627" s="565">
        <v>41639</v>
      </c>
      <c r="F5627" s="566">
        <v>25636363</v>
      </c>
      <c r="G5627" s="564" t="s">
        <v>1297</v>
      </c>
      <c r="H5627" s="564" t="s">
        <v>337</v>
      </c>
      <c r="I5627" s="564" t="s">
        <v>802</v>
      </c>
      <c r="J5627" s="564" t="s">
        <v>1069</v>
      </c>
      <c r="K5627" s="564" t="s">
        <v>1198</v>
      </c>
      <c r="L5627" s="564" t="s">
        <v>1071</v>
      </c>
      <c r="M5627" s="564" t="s">
        <v>1091</v>
      </c>
      <c r="N5627" s="564" t="s">
        <v>132</v>
      </c>
      <c r="O5627" s="564" t="s">
        <v>241</v>
      </c>
      <c r="P5627" s="23"/>
      <c r="Q5627" s="23"/>
      <c r="R5627" s="23"/>
      <c r="S5627" s="23"/>
      <c r="T5627" s="23"/>
      <c r="U5627" s="23"/>
      <c r="V5627" s="23"/>
      <c r="W5627" s="23"/>
      <c r="X5627" s="23"/>
      <c r="Y5627" s="23"/>
      <c r="Z5627" s="23"/>
    </row>
    <row r="5628" spans="1:26" ht="13">
      <c r="A5628" s="562" t="s">
        <v>12061</v>
      </c>
      <c r="B5628" s="563" t="s">
        <v>12062</v>
      </c>
      <c r="C5628" s="564" t="s">
        <v>2191</v>
      </c>
      <c r="D5628" s="565">
        <v>41285</v>
      </c>
      <c r="E5628" s="565">
        <v>42745</v>
      </c>
      <c r="F5628" s="567"/>
      <c r="G5628" s="564" t="s">
        <v>1912</v>
      </c>
      <c r="H5628" s="564" t="s">
        <v>1128</v>
      </c>
      <c r="I5628" s="564" t="s">
        <v>8155</v>
      </c>
      <c r="J5628" s="564" t="s">
        <v>1069</v>
      </c>
      <c r="K5628" s="564" t="s">
        <v>1105</v>
      </c>
      <c r="L5628" s="564" t="s">
        <v>1071</v>
      </c>
      <c r="M5628" s="564" t="s">
        <v>1091</v>
      </c>
      <c r="N5628" s="564" t="s">
        <v>1082</v>
      </c>
      <c r="O5628" s="564" t="s">
        <v>241</v>
      </c>
      <c r="P5628" s="23"/>
      <c r="Q5628" s="23"/>
      <c r="R5628" s="23"/>
      <c r="S5628" s="23"/>
      <c r="T5628" s="23"/>
      <c r="U5628" s="23"/>
      <c r="V5628" s="23"/>
      <c r="W5628" s="23"/>
      <c r="X5628" s="23"/>
      <c r="Y5628" s="23"/>
      <c r="Z5628" s="23"/>
    </row>
    <row r="5629" spans="1:26" ht="13">
      <c r="A5629" s="562" t="s">
        <v>12063</v>
      </c>
      <c r="B5629" s="563" t="s">
        <v>12064</v>
      </c>
      <c r="C5629" s="564" t="s">
        <v>2191</v>
      </c>
      <c r="D5629" s="565">
        <v>41281</v>
      </c>
      <c r="E5629" s="565">
        <v>41312</v>
      </c>
      <c r="F5629" s="566">
        <v>10000000</v>
      </c>
      <c r="G5629" s="564" t="s">
        <v>1912</v>
      </c>
      <c r="H5629" s="564" t="s">
        <v>1123</v>
      </c>
      <c r="I5629" s="564" t="s">
        <v>12065</v>
      </c>
      <c r="J5629" s="564" t="s">
        <v>1069</v>
      </c>
      <c r="K5629" s="564" t="s">
        <v>1070</v>
      </c>
      <c r="L5629" s="564" t="s">
        <v>1071</v>
      </c>
      <c r="M5629" s="564" t="s">
        <v>1124</v>
      </c>
      <c r="N5629" s="564" t="s">
        <v>1082</v>
      </c>
      <c r="O5629" s="564" t="s">
        <v>38</v>
      </c>
      <c r="P5629" s="23"/>
      <c r="Q5629" s="23"/>
      <c r="R5629" s="23"/>
      <c r="S5629" s="23"/>
      <c r="T5629" s="23"/>
      <c r="U5629" s="23"/>
      <c r="V5629" s="23"/>
      <c r="W5629" s="23"/>
      <c r="X5629" s="23"/>
      <c r="Y5629" s="23"/>
      <c r="Z5629" s="23"/>
    </row>
    <row r="5630" spans="1:26" ht="13">
      <c r="A5630" s="562" t="s">
        <v>12066</v>
      </c>
      <c r="B5630" s="563" t="s">
        <v>12067</v>
      </c>
      <c r="C5630" s="564" t="s">
        <v>2191</v>
      </c>
      <c r="D5630" s="565">
        <v>41281</v>
      </c>
      <c r="E5630" s="565">
        <v>41331</v>
      </c>
      <c r="F5630" s="566">
        <v>9090909</v>
      </c>
      <c r="G5630" s="564" t="s">
        <v>1604</v>
      </c>
      <c r="H5630" s="564" t="s">
        <v>1123</v>
      </c>
      <c r="I5630" s="564" t="s">
        <v>802</v>
      </c>
      <c r="J5630" s="564" t="s">
        <v>1069</v>
      </c>
      <c r="K5630" s="564" t="s">
        <v>1198</v>
      </c>
      <c r="L5630" s="564" t="s">
        <v>1071</v>
      </c>
      <c r="M5630" s="564" t="s">
        <v>1124</v>
      </c>
      <c r="N5630" s="564" t="s">
        <v>132</v>
      </c>
      <c r="O5630" s="564" t="s">
        <v>38</v>
      </c>
      <c r="P5630" s="23"/>
      <c r="Q5630" s="23"/>
      <c r="R5630" s="23"/>
      <c r="S5630" s="23"/>
      <c r="T5630" s="23"/>
      <c r="U5630" s="23"/>
      <c r="V5630" s="23"/>
      <c r="W5630" s="23"/>
      <c r="X5630" s="23"/>
      <c r="Y5630" s="23"/>
      <c r="Z5630" s="23"/>
    </row>
    <row r="5631" spans="1:26" ht="13">
      <c r="A5631" s="562" t="s">
        <v>12068</v>
      </c>
      <c r="B5631" s="563" t="s">
        <v>12069</v>
      </c>
      <c r="C5631" s="564" t="s">
        <v>1873</v>
      </c>
      <c r="D5631" s="565">
        <v>41289</v>
      </c>
      <c r="E5631" s="565">
        <v>41957</v>
      </c>
      <c r="F5631" s="566">
        <v>190000000</v>
      </c>
      <c r="G5631" s="564" t="s">
        <v>4261</v>
      </c>
      <c r="H5631" s="564" t="s">
        <v>1157</v>
      </c>
      <c r="I5631" s="564" t="s">
        <v>170</v>
      </c>
      <c r="J5631" s="564" t="s">
        <v>1069</v>
      </c>
      <c r="K5631" s="564" t="s">
        <v>1105</v>
      </c>
      <c r="L5631" s="564" t="s">
        <v>1390</v>
      </c>
      <c r="M5631" s="564" t="s">
        <v>1390</v>
      </c>
      <c r="N5631" s="564" t="s">
        <v>170</v>
      </c>
      <c r="O5631" s="564" t="s">
        <v>38</v>
      </c>
      <c r="P5631" s="23"/>
      <c r="Q5631" s="23"/>
      <c r="R5631" s="23"/>
      <c r="S5631" s="23"/>
      <c r="T5631" s="23"/>
      <c r="U5631" s="23"/>
      <c r="V5631" s="23"/>
      <c r="W5631" s="23"/>
      <c r="X5631" s="23"/>
      <c r="Y5631" s="23"/>
      <c r="Z5631" s="23"/>
    </row>
    <row r="5632" spans="1:26" ht="13">
      <c r="A5632" s="562" t="s">
        <v>12070</v>
      </c>
      <c r="B5632" s="563" t="s">
        <v>12071</v>
      </c>
      <c r="C5632" s="564" t="s">
        <v>2191</v>
      </c>
      <c r="D5632" s="565">
        <v>41191</v>
      </c>
      <c r="E5632" s="565">
        <v>41341</v>
      </c>
      <c r="F5632" s="566">
        <v>49000000</v>
      </c>
      <c r="G5632" s="564" t="s">
        <v>10602</v>
      </c>
      <c r="H5632" s="564" t="s">
        <v>1498</v>
      </c>
      <c r="I5632" s="564" t="s">
        <v>12072</v>
      </c>
      <c r="J5632" s="564" t="s">
        <v>1069</v>
      </c>
      <c r="K5632" s="564" t="s">
        <v>1070</v>
      </c>
      <c r="L5632" s="564" t="s">
        <v>1390</v>
      </c>
      <c r="M5632" s="564" t="s">
        <v>1390</v>
      </c>
      <c r="N5632" s="564" t="s">
        <v>1082</v>
      </c>
      <c r="O5632" s="564" t="s">
        <v>2512</v>
      </c>
      <c r="P5632" s="23"/>
      <c r="Q5632" s="23"/>
      <c r="R5632" s="23"/>
      <c r="S5632" s="23"/>
      <c r="T5632" s="23"/>
      <c r="U5632" s="23"/>
      <c r="V5632" s="23"/>
      <c r="W5632" s="23"/>
      <c r="X5632" s="23"/>
      <c r="Y5632" s="23"/>
      <c r="Z5632" s="23"/>
    </row>
    <row r="5633" spans="1:26" ht="13">
      <c r="A5633" s="562" t="s">
        <v>12073</v>
      </c>
      <c r="B5633" s="563" t="s">
        <v>12074</v>
      </c>
      <c r="C5633" s="564" t="s">
        <v>2484</v>
      </c>
      <c r="D5633" s="565">
        <v>41074</v>
      </c>
      <c r="E5633" s="565">
        <v>41088</v>
      </c>
      <c r="F5633" s="566">
        <v>30000000</v>
      </c>
      <c r="G5633" s="564" t="s">
        <v>12075</v>
      </c>
      <c r="H5633" s="564" t="s">
        <v>2546</v>
      </c>
      <c r="I5633" s="564" t="s">
        <v>12076</v>
      </c>
      <c r="J5633" s="564" t="s">
        <v>1069</v>
      </c>
      <c r="K5633" s="564" t="s">
        <v>2466</v>
      </c>
      <c r="L5633" s="564" t="s">
        <v>2467</v>
      </c>
      <c r="M5633" s="564" t="s">
        <v>2466</v>
      </c>
      <c r="N5633" s="564" t="s">
        <v>2325</v>
      </c>
      <c r="O5633" s="564" t="s">
        <v>12077</v>
      </c>
      <c r="P5633" s="23"/>
      <c r="Q5633" s="23"/>
      <c r="R5633" s="23"/>
      <c r="S5633" s="23"/>
      <c r="T5633" s="23"/>
      <c r="U5633" s="23"/>
      <c r="V5633" s="23"/>
      <c r="W5633" s="23"/>
      <c r="X5633" s="23"/>
      <c r="Y5633" s="23"/>
      <c r="Z5633" s="23"/>
    </row>
    <row r="5634" spans="1:26" ht="13">
      <c r="A5634" s="562" t="s">
        <v>12078</v>
      </c>
      <c r="B5634" s="563" t="s">
        <v>12079</v>
      </c>
      <c r="C5634" s="564" t="s">
        <v>2484</v>
      </c>
      <c r="D5634" s="565">
        <v>41058</v>
      </c>
      <c r="E5634" s="565">
        <v>41237</v>
      </c>
      <c r="F5634" s="566">
        <v>152163636</v>
      </c>
      <c r="G5634" s="564" t="s">
        <v>12075</v>
      </c>
      <c r="H5634" s="564" t="s">
        <v>12080</v>
      </c>
      <c r="I5634" s="564" t="s">
        <v>12081</v>
      </c>
      <c r="J5634" s="564" t="s">
        <v>1069</v>
      </c>
      <c r="K5634" s="564" t="s">
        <v>2466</v>
      </c>
      <c r="L5634" s="564" t="s">
        <v>2467</v>
      </c>
      <c r="M5634" s="564" t="s">
        <v>2466</v>
      </c>
      <c r="N5634" s="564" t="s">
        <v>2439</v>
      </c>
      <c r="O5634" s="564" t="s">
        <v>12077</v>
      </c>
      <c r="P5634" s="23"/>
      <c r="Q5634" s="23"/>
      <c r="R5634" s="23"/>
      <c r="S5634" s="23"/>
      <c r="T5634" s="23"/>
      <c r="U5634" s="23"/>
      <c r="V5634" s="23"/>
      <c r="W5634" s="23"/>
      <c r="X5634" s="23"/>
      <c r="Y5634" s="23"/>
      <c r="Z5634" s="23"/>
    </row>
    <row r="5635" spans="1:26" ht="13">
      <c r="A5635" s="562" t="s">
        <v>12082</v>
      </c>
      <c r="B5635" s="563" t="s">
        <v>12083</v>
      </c>
      <c r="C5635" s="564" t="s">
        <v>2484</v>
      </c>
      <c r="D5635" s="565">
        <v>41051</v>
      </c>
      <c r="E5635" s="565">
        <v>41054</v>
      </c>
      <c r="F5635" s="566">
        <v>4000000</v>
      </c>
      <c r="G5635" s="564" t="s">
        <v>12084</v>
      </c>
      <c r="H5635" s="564" t="s">
        <v>12080</v>
      </c>
      <c r="I5635" s="564" t="s">
        <v>12085</v>
      </c>
      <c r="J5635" s="564" t="s">
        <v>1069</v>
      </c>
      <c r="K5635" s="564" t="s">
        <v>2466</v>
      </c>
      <c r="L5635" s="564" t="s">
        <v>2467</v>
      </c>
      <c r="M5635" s="564" t="s">
        <v>2466</v>
      </c>
      <c r="N5635" s="564" t="s">
        <v>1082</v>
      </c>
      <c r="O5635" s="564" t="s">
        <v>12077</v>
      </c>
      <c r="P5635" s="23"/>
      <c r="Q5635" s="23"/>
      <c r="R5635" s="23"/>
      <c r="S5635" s="23"/>
      <c r="T5635" s="23"/>
      <c r="U5635" s="23"/>
      <c r="V5635" s="23"/>
      <c r="W5635" s="23"/>
      <c r="X5635" s="23"/>
      <c r="Y5635" s="23"/>
      <c r="Z5635" s="23"/>
    </row>
    <row r="5636" spans="1:26" ht="13">
      <c r="A5636" s="562" t="s">
        <v>12086</v>
      </c>
      <c r="B5636" s="563" t="s">
        <v>12087</v>
      </c>
      <c r="C5636" s="564" t="s">
        <v>2484</v>
      </c>
      <c r="D5636" s="565">
        <v>41053</v>
      </c>
      <c r="E5636" s="565">
        <v>41266</v>
      </c>
      <c r="F5636" s="566">
        <v>238100000</v>
      </c>
      <c r="G5636" s="564" t="s">
        <v>12075</v>
      </c>
      <c r="H5636" s="564" t="s">
        <v>12080</v>
      </c>
      <c r="I5636" s="564" t="s">
        <v>12088</v>
      </c>
      <c r="J5636" s="564" t="s">
        <v>1069</v>
      </c>
      <c r="K5636" s="564" t="s">
        <v>2466</v>
      </c>
      <c r="L5636" s="564" t="s">
        <v>2467</v>
      </c>
      <c r="M5636" s="564" t="s">
        <v>2466</v>
      </c>
      <c r="N5636" s="564" t="s">
        <v>2325</v>
      </c>
      <c r="O5636" s="564" t="s">
        <v>12077</v>
      </c>
      <c r="P5636" s="23"/>
      <c r="Q5636" s="23"/>
      <c r="R5636" s="23"/>
      <c r="S5636" s="23"/>
      <c r="T5636" s="23"/>
      <c r="U5636" s="23"/>
      <c r="V5636" s="23"/>
      <c r="W5636" s="23"/>
      <c r="X5636" s="23"/>
      <c r="Y5636" s="23"/>
      <c r="Z5636" s="23"/>
    </row>
    <row r="5637" spans="1:26" ht="13">
      <c r="A5637" s="562" t="s">
        <v>12089</v>
      </c>
      <c r="B5637" s="563" t="s">
        <v>12090</v>
      </c>
      <c r="C5637" s="564" t="s">
        <v>2484</v>
      </c>
      <c r="D5637" s="565">
        <v>41037</v>
      </c>
      <c r="E5637" s="565">
        <v>41296</v>
      </c>
      <c r="F5637" s="566">
        <v>378064545</v>
      </c>
      <c r="G5637" s="564" t="s">
        <v>12075</v>
      </c>
      <c r="H5637" s="564" t="s">
        <v>2546</v>
      </c>
      <c r="I5637" s="564" t="s">
        <v>12091</v>
      </c>
      <c r="J5637" s="564" t="s">
        <v>1069</v>
      </c>
      <c r="K5637" s="564" t="s">
        <v>2466</v>
      </c>
      <c r="L5637" s="564" t="s">
        <v>2467</v>
      </c>
      <c r="M5637" s="564" t="s">
        <v>2466</v>
      </c>
      <c r="N5637" s="564" t="s">
        <v>2325</v>
      </c>
      <c r="O5637" s="564" t="s">
        <v>12077</v>
      </c>
      <c r="P5637" s="23"/>
      <c r="Q5637" s="23"/>
      <c r="R5637" s="23"/>
      <c r="S5637" s="23"/>
      <c r="T5637" s="23"/>
      <c r="U5637" s="23"/>
      <c r="V5637" s="23"/>
      <c r="W5637" s="23"/>
      <c r="X5637" s="23"/>
      <c r="Y5637" s="23"/>
      <c r="Z5637" s="23"/>
    </row>
    <row r="5638" spans="1:26" ht="13">
      <c r="A5638" s="562" t="s">
        <v>12092</v>
      </c>
      <c r="B5638" s="563" t="s">
        <v>12093</v>
      </c>
      <c r="C5638" s="564" t="s">
        <v>2191</v>
      </c>
      <c r="D5638" s="565">
        <v>41031</v>
      </c>
      <c r="E5638" s="565">
        <v>41244</v>
      </c>
      <c r="F5638" s="566">
        <v>185000000</v>
      </c>
      <c r="G5638" s="564" t="s">
        <v>2555</v>
      </c>
      <c r="H5638" s="564" t="s">
        <v>2459</v>
      </c>
      <c r="I5638" s="564" t="s">
        <v>2542</v>
      </c>
      <c r="J5638" s="564" t="s">
        <v>1069</v>
      </c>
      <c r="K5638" s="564" t="s">
        <v>1070</v>
      </c>
      <c r="L5638" s="564" t="s">
        <v>1390</v>
      </c>
      <c r="M5638" s="564" t="s">
        <v>1390</v>
      </c>
      <c r="N5638" s="564" t="s">
        <v>2543</v>
      </c>
      <c r="O5638" s="564" t="s">
        <v>2512</v>
      </c>
      <c r="P5638" s="23"/>
      <c r="Q5638" s="23"/>
      <c r="R5638" s="23"/>
      <c r="S5638" s="23"/>
      <c r="T5638" s="23"/>
      <c r="U5638" s="23"/>
      <c r="V5638" s="23"/>
      <c r="W5638" s="23"/>
      <c r="X5638" s="23"/>
      <c r="Y5638" s="23"/>
      <c r="Z5638" s="23"/>
    </row>
    <row r="5639" spans="1:26" ht="13">
      <c r="A5639" s="562" t="s">
        <v>12094</v>
      </c>
      <c r="B5639" s="563" t="s">
        <v>12095</v>
      </c>
      <c r="C5639" s="564" t="s">
        <v>2484</v>
      </c>
      <c r="D5639" s="565">
        <v>41002</v>
      </c>
      <c r="E5639" s="565">
        <v>41327</v>
      </c>
      <c r="F5639" s="566">
        <v>625090909</v>
      </c>
      <c r="G5639" s="564" t="s">
        <v>2555</v>
      </c>
      <c r="H5639" s="564" t="s">
        <v>12096</v>
      </c>
      <c r="I5639" s="564" t="s">
        <v>2542</v>
      </c>
      <c r="J5639" s="564" t="s">
        <v>1069</v>
      </c>
      <c r="K5639" s="564" t="s">
        <v>2466</v>
      </c>
      <c r="L5639" s="564" t="s">
        <v>2467</v>
      </c>
      <c r="M5639" s="564" t="s">
        <v>2466</v>
      </c>
      <c r="N5639" s="564" t="s">
        <v>2543</v>
      </c>
      <c r="O5639" s="564" t="s">
        <v>12077</v>
      </c>
      <c r="P5639" s="23"/>
      <c r="Q5639" s="23"/>
      <c r="R5639" s="23"/>
      <c r="S5639" s="23"/>
      <c r="T5639" s="23"/>
      <c r="U5639" s="23"/>
      <c r="V5639" s="23"/>
      <c r="W5639" s="23"/>
      <c r="X5639" s="23"/>
      <c r="Y5639" s="23"/>
      <c r="Z5639" s="23"/>
    </row>
    <row r="5640" spans="1:26" ht="13">
      <c r="A5640" s="562" t="s">
        <v>12097</v>
      </c>
      <c r="B5640" s="563" t="s">
        <v>12098</v>
      </c>
      <c r="C5640" s="564" t="s">
        <v>2484</v>
      </c>
      <c r="D5640" s="565">
        <v>41023</v>
      </c>
      <c r="E5640" s="565">
        <v>41297</v>
      </c>
      <c r="F5640" s="566">
        <v>13527273</v>
      </c>
      <c r="G5640" s="564" t="s">
        <v>2555</v>
      </c>
      <c r="H5640" s="564" t="s">
        <v>2546</v>
      </c>
      <c r="I5640" s="564" t="s">
        <v>12099</v>
      </c>
      <c r="J5640" s="564" t="s">
        <v>1069</v>
      </c>
      <c r="K5640" s="564" t="s">
        <v>2466</v>
      </c>
      <c r="L5640" s="564" t="s">
        <v>2467</v>
      </c>
      <c r="M5640" s="564" t="s">
        <v>2466</v>
      </c>
      <c r="N5640" s="564" t="s">
        <v>2543</v>
      </c>
      <c r="O5640" s="564" t="s">
        <v>12077</v>
      </c>
      <c r="P5640" s="23"/>
      <c r="Q5640" s="23"/>
      <c r="R5640" s="23"/>
      <c r="S5640" s="23"/>
      <c r="T5640" s="23"/>
      <c r="U5640" s="23"/>
      <c r="V5640" s="23"/>
      <c r="W5640" s="23"/>
      <c r="X5640" s="23"/>
      <c r="Y5640" s="23"/>
      <c r="Z5640" s="23"/>
    </row>
    <row r="5641" spans="1:26" ht="13">
      <c r="A5641" s="562" t="s">
        <v>12100</v>
      </c>
      <c r="B5641" s="563" t="s">
        <v>12101</v>
      </c>
      <c r="C5641" s="564" t="s">
        <v>2191</v>
      </c>
      <c r="D5641" s="565">
        <v>41015</v>
      </c>
      <c r="E5641" s="565">
        <v>41333</v>
      </c>
      <c r="F5641" s="566">
        <v>10500000</v>
      </c>
      <c r="G5641" s="564" t="s">
        <v>2555</v>
      </c>
      <c r="H5641" s="564" t="s">
        <v>2459</v>
      </c>
      <c r="I5641" s="564" t="s">
        <v>2542</v>
      </c>
      <c r="J5641" s="564" t="s">
        <v>1069</v>
      </c>
      <c r="K5641" s="564" t="s">
        <v>1070</v>
      </c>
      <c r="L5641" s="564" t="s">
        <v>1071</v>
      </c>
      <c r="M5641" s="564" t="s">
        <v>1091</v>
      </c>
      <c r="N5641" s="564" t="s">
        <v>2543</v>
      </c>
      <c r="O5641" s="564" t="s">
        <v>12077</v>
      </c>
      <c r="P5641" s="23"/>
      <c r="Q5641" s="23"/>
      <c r="R5641" s="23"/>
      <c r="S5641" s="23"/>
      <c r="T5641" s="23"/>
      <c r="U5641" s="23"/>
      <c r="V5641" s="23"/>
      <c r="W5641" s="23"/>
      <c r="X5641" s="23"/>
      <c r="Y5641" s="23"/>
      <c r="Z5641" s="23"/>
    </row>
    <row r="5642" spans="1:26" ht="13">
      <c r="A5642" s="562" t="s">
        <v>12102</v>
      </c>
      <c r="B5642" s="563" t="s">
        <v>12103</v>
      </c>
      <c r="C5642" s="564" t="s">
        <v>2484</v>
      </c>
      <c r="D5642" s="565">
        <v>40998</v>
      </c>
      <c r="E5642" s="565">
        <v>41192</v>
      </c>
      <c r="F5642" s="566">
        <v>465454545</v>
      </c>
      <c r="G5642" s="564" t="s">
        <v>12104</v>
      </c>
      <c r="H5642" s="564" t="s">
        <v>12096</v>
      </c>
      <c r="I5642" s="564" t="s">
        <v>12105</v>
      </c>
      <c r="J5642" s="564" t="s">
        <v>1069</v>
      </c>
      <c r="K5642" s="564" t="s">
        <v>2466</v>
      </c>
      <c r="L5642" s="564" t="s">
        <v>2467</v>
      </c>
      <c r="M5642" s="564" t="s">
        <v>2466</v>
      </c>
      <c r="N5642" s="564" t="s">
        <v>1082</v>
      </c>
      <c r="O5642" s="564" t="s">
        <v>12077</v>
      </c>
      <c r="P5642" s="23"/>
      <c r="Q5642" s="23"/>
      <c r="R5642" s="23"/>
      <c r="S5642" s="23"/>
      <c r="T5642" s="23"/>
      <c r="U5642" s="23"/>
      <c r="V5642" s="23"/>
      <c r="W5642" s="23"/>
      <c r="X5642" s="23"/>
      <c r="Y5642" s="23"/>
      <c r="Z5642" s="23"/>
    </row>
    <row r="5643" spans="1:26" ht="13">
      <c r="A5643" s="562" t="s">
        <v>12106</v>
      </c>
      <c r="B5643" s="563" t="s">
        <v>12107</v>
      </c>
      <c r="C5643" s="564" t="s">
        <v>2484</v>
      </c>
      <c r="D5643" s="565">
        <v>41015</v>
      </c>
      <c r="E5643" s="565">
        <v>41024</v>
      </c>
      <c r="F5643" s="566">
        <v>4200000</v>
      </c>
      <c r="G5643" s="564" t="s">
        <v>12084</v>
      </c>
      <c r="H5643" s="564" t="s">
        <v>2546</v>
      </c>
      <c r="I5643" s="564" t="s">
        <v>12108</v>
      </c>
      <c r="J5643" s="564" t="s">
        <v>1069</v>
      </c>
      <c r="K5643" s="564" t="s">
        <v>2466</v>
      </c>
      <c r="L5643" s="564" t="s">
        <v>2467</v>
      </c>
      <c r="M5643" s="564" t="s">
        <v>2466</v>
      </c>
      <c r="N5643" s="564" t="s">
        <v>1082</v>
      </c>
      <c r="O5643" s="564" t="s">
        <v>12077</v>
      </c>
      <c r="P5643" s="23"/>
      <c r="Q5643" s="23"/>
      <c r="R5643" s="23"/>
      <c r="S5643" s="23"/>
      <c r="T5643" s="23"/>
      <c r="U5643" s="23"/>
      <c r="V5643" s="23"/>
      <c r="W5643" s="23"/>
      <c r="X5643" s="23"/>
      <c r="Y5643" s="23"/>
      <c r="Z5643" s="23"/>
    </row>
    <row r="5644" spans="1:26" ht="13">
      <c r="A5644" s="562" t="s">
        <v>12109</v>
      </c>
      <c r="B5644" s="563" t="s">
        <v>12110</v>
      </c>
      <c r="C5644" s="564" t="s">
        <v>2484</v>
      </c>
      <c r="D5644" s="565">
        <v>41001</v>
      </c>
      <c r="E5644" s="565">
        <v>41010</v>
      </c>
      <c r="F5644" s="566">
        <v>2000000</v>
      </c>
      <c r="G5644" s="564" t="s">
        <v>2533</v>
      </c>
      <c r="H5644" s="564" t="s">
        <v>2546</v>
      </c>
      <c r="I5644" s="564" t="s">
        <v>12111</v>
      </c>
      <c r="J5644" s="564" t="s">
        <v>1069</v>
      </c>
      <c r="K5644" s="564" t="s">
        <v>2466</v>
      </c>
      <c r="L5644" s="564" t="s">
        <v>2467</v>
      </c>
      <c r="M5644" s="564" t="s">
        <v>2466</v>
      </c>
      <c r="N5644" s="564" t="s">
        <v>1082</v>
      </c>
      <c r="O5644" s="564" t="s">
        <v>12077</v>
      </c>
      <c r="P5644" s="23"/>
      <c r="Q5644" s="23"/>
      <c r="R5644" s="23"/>
      <c r="S5644" s="23"/>
      <c r="T5644" s="23"/>
      <c r="U5644" s="23"/>
      <c r="V5644" s="23"/>
      <c r="W5644" s="23"/>
      <c r="X5644" s="23"/>
      <c r="Y5644" s="23"/>
      <c r="Z5644" s="23"/>
    </row>
    <row r="5645" spans="1:26" ht="13">
      <c r="A5645" s="562" t="s">
        <v>12112</v>
      </c>
      <c r="B5645" s="563" t="s">
        <v>12113</v>
      </c>
      <c r="C5645" s="564" t="s">
        <v>2484</v>
      </c>
      <c r="D5645" s="565">
        <v>40990</v>
      </c>
      <c r="E5645" s="565">
        <v>41225</v>
      </c>
      <c r="F5645" s="566">
        <v>227863636</v>
      </c>
      <c r="G5645" s="564" t="s">
        <v>12075</v>
      </c>
      <c r="H5645" s="564" t="s">
        <v>12080</v>
      </c>
      <c r="I5645" s="564" t="s">
        <v>12081</v>
      </c>
      <c r="J5645" s="564" t="s">
        <v>1069</v>
      </c>
      <c r="K5645" s="564" t="s">
        <v>2466</v>
      </c>
      <c r="L5645" s="564" t="s">
        <v>2467</v>
      </c>
      <c r="M5645" s="564" t="s">
        <v>2466</v>
      </c>
      <c r="N5645" s="564" t="s">
        <v>2439</v>
      </c>
      <c r="O5645" s="564" t="s">
        <v>12077</v>
      </c>
      <c r="P5645" s="23"/>
      <c r="Q5645" s="23"/>
      <c r="R5645" s="23"/>
      <c r="S5645" s="23"/>
      <c r="T5645" s="23"/>
      <c r="U5645" s="23"/>
      <c r="V5645" s="23"/>
      <c r="W5645" s="23"/>
      <c r="X5645" s="23"/>
      <c r="Y5645" s="23"/>
      <c r="Z5645" s="23"/>
    </row>
    <row r="5646" spans="1:26" ht="13">
      <c r="A5646" s="562" t="s">
        <v>12114</v>
      </c>
      <c r="B5646" s="563" t="s">
        <v>12115</v>
      </c>
      <c r="C5646" s="564" t="s">
        <v>2484</v>
      </c>
      <c r="D5646" s="565">
        <v>40987</v>
      </c>
      <c r="E5646" s="565">
        <v>41029</v>
      </c>
      <c r="F5646" s="566">
        <v>17700000</v>
      </c>
      <c r="G5646" s="564" t="s">
        <v>12075</v>
      </c>
      <c r="H5646" s="564" t="s">
        <v>12080</v>
      </c>
      <c r="I5646" s="564" t="s">
        <v>12116</v>
      </c>
      <c r="J5646" s="564" t="s">
        <v>1069</v>
      </c>
      <c r="K5646" s="564" t="s">
        <v>2466</v>
      </c>
      <c r="L5646" s="564" t="s">
        <v>2467</v>
      </c>
      <c r="M5646" s="564" t="s">
        <v>2466</v>
      </c>
      <c r="N5646" s="564" t="s">
        <v>2325</v>
      </c>
      <c r="O5646" s="564" t="s">
        <v>12077</v>
      </c>
      <c r="P5646" s="23"/>
      <c r="Q5646" s="23"/>
      <c r="R5646" s="23"/>
      <c r="S5646" s="23"/>
      <c r="T5646" s="23"/>
      <c r="U5646" s="23"/>
      <c r="V5646" s="23"/>
      <c r="W5646" s="23"/>
      <c r="X5646" s="23"/>
      <c r="Y5646" s="23"/>
      <c r="Z5646" s="23"/>
    </row>
    <row r="5647" spans="1:26" ht="13">
      <c r="A5647" s="562" t="s">
        <v>12117</v>
      </c>
      <c r="B5647" s="563" t="s">
        <v>12118</v>
      </c>
      <c r="C5647" s="564" t="s">
        <v>2484</v>
      </c>
      <c r="D5647" s="565">
        <v>40981</v>
      </c>
      <c r="E5647" s="565">
        <v>41070</v>
      </c>
      <c r="F5647" s="566">
        <v>16890909</v>
      </c>
      <c r="G5647" s="564" t="s">
        <v>12119</v>
      </c>
      <c r="H5647" s="564" t="s">
        <v>12120</v>
      </c>
      <c r="I5647" s="564" t="s">
        <v>12121</v>
      </c>
      <c r="J5647" s="564" t="s">
        <v>1069</v>
      </c>
      <c r="K5647" s="564" t="s">
        <v>2466</v>
      </c>
      <c r="L5647" s="564" t="s">
        <v>2467</v>
      </c>
      <c r="M5647" s="564" t="s">
        <v>2466</v>
      </c>
      <c r="N5647" s="564" t="s">
        <v>2543</v>
      </c>
      <c r="O5647" s="564" t="s">
        <v>12077</v>
      </c>
      <c r="P5647" s="23"/>
      <c r="Q5647" s="23"/>
      <c r="R5647" s="23"/>
      <c r="S5647" s="23"/>
      <c r="T5647" s="23"/>
      <c r="U5647" s="23"/>
      <c r="V5647" s="23"/>
      <c r="W5647" s="23"/>
      <c r="X5647" s="23"/>
      <c r="Y5647" s="23"/>
      <c r="Z5647" s="23"/>
    </row>
    <row r="5648" spans="1:26" ht="13">
      <c r="A5648" s="562" t="s">
        <v>12122</v>
      </c>
      <c r="B5648" s="563" t="s">
        <v>12123</v>
      </c>
      <c r="C5648" s="564" t="s">
        <v>2484</v>
      </c>
      <c r="D5648" s="565">
        <v>40961</v>
      </c>
      <c r="E5648" s="565">
        <v>40999</v>
      </c>
      <c r="F5648" s="566">
        <v>8500000</v>
      </c>
      <c r="G5648" s="564" t="s">
        <v>12124</v>
      </c>
      <c r="H5648" s="564" t="s">
        <v>12125</v>
      </c>
      <c r="I5648" s="564" t="s">
        <v>12126</v>
      </c>
      <c r="J5648" s="564" t="s">
        <v>1069</v>
      </c>
      <c r="K5648" s="564" t="s">
        <v>2466</v>
      </c>
      <c r="L5648" s="564" t="s">
        <v>2467</v>
      </c>
      <c r="M5648" s="564" t="s">
        <v>2466</v>
      </c>
      <c r="N5648" s="564" t="s">
        <v>1082</v>
      </c>
      <c r="O5648" s="564" t="s">
        <v>12077</v>
      </c>
      <c r="P5648" s="23"/>
      <c r="Q5648" s="23"/>
      <c r="R5648" s="23"/>
      <c r="S5648" s="23"/>
      <c r="T5648" s="23"/>
      <c r="U5648" s="23"/>
      <c r="V5648" s="23"/>
      <c r="W5648" s="23"/>
      <c r="X5648" s="23"/>
      <c r="Y5648" s="23"/>
      <c r="Z5648" s="23"/>
    </row>
    <row r="5649" spans="1:26" ht="13">
      <c r="A5649" s="562" t="s">
        <v>12127</v>
      </c>
      <c r="B5649" s="563" t="s">
        <v>12128</v>
      </c>
      <c r="C5649" s="564" t="s">
        <v>2484</v>
      </c>
      <c r="D5649" s="565">
        <v>40956</v>
      </c>
      <c r="E5649" s="565">
        <v>41321</v>
      </c>
      <c r="F5649" s="566">
        <v>58921418</v>
      </c>
      <c r="G5649" s="564" t="s">
        <v>12129</v>
      </c>
      <c r="H5649" s="564" t="s">
        <v>2546</v>
      </c>
      <c r="I5649" s="564" t="s">
        <v>12130</v>
      </c>
      <c r="J5649" s="564" t="s">
        <v>1069</v>
      </c>
      <c r="K5649" s="564" t="s">
        <v>2466</v>
      </c>
      <c r="L5649" s="564" t="s">
        <v>2467</v>
      </c>
      <c r="M5649" s="564" t="s">
        <v>2466</v>
      </c>
      <c r="N5649" s="564" t="s">
        <v>2543</v>
      </c>
      <c r="O5649" s="564" t="s">
        <v>12077</v>
      </c>
      <c r="P5649" s="23"/>
      <c r="Q5649" s="23"/>
      <c r="R5649" s="23"/>
      <c r="S5649" s="23"/>
      <c r="T5649" s="23"/>
      <c r="U5649" s="23"/>
      <c r="V5649" s="23"/>
      <c r="W5649" s="23"/>
      <c r="X5649" s="23"/>
      <c r="Y5649" s="23"/>
      <c r="Z5649" s="23"/>
    </row>
    <row r="5650" spans="1:26" ht="13">
      <c r="A5650" s="562" t="s">
        <v>12131</v>
      </c>
      <c r="B5650" s="563" t="s">
        <v>12132</v>
      </c>
      <c r="C5650" s="564" t="s">
        <v>2484</v>
      </c>
      <c r="D5650" s="565">
        <v>40940</v>
      </c>
      <c r="E5650" s="565">
        <v>40952</v>
      </c>
      <c r="F5650" s="566">
        <v>4384545</v>
      </c>
      <c r="G5650" s="564" t="s">
        <v>12133</v>
      </c>
      <c r="H5650" s="564" t="s">
        <v>12134</v>
      </c>
      <c r="I5650" s="564" t="s">
        <v>2542</v>
      </c>
      <c r="J5650" s="564" t="s">
        <v>1069</v>
      </c>
      <c r="K5650" s="564" t="s">
        <v>2466</v>
      </c>
      <c r="L5650" s="564" t="s">
        <v>2467</v>
      </c>
      <c r="M5650" s="564" t="s">
        <v>2466</v>
      </c>
      <c r="N5650" s="564" t="s">
        <v>2543</v>
      </c>
      <c r="O5650" s="564" t="s">
        <v>12077</v>
      </c>
      <c r="P5650" s="23"/>
      <c r="Q5650" s="23"/>
      <c r="R5650" s="23"/>
      <c r="S5650" s="23"/>
      <c r="T5650" s="23"/>
      <c r="U5650" s="23"/>
      <c r="V5650" s="23"/>
      <c r="W5650" s="23"/>
      <c r="X5650" s="23"/>
      <c r="Y5650" s="23"/>
      <c r="Z5650" s="23"/>
    </row>
    <row r="5651" spans="1:26" ht="13">
      <c r="A5651" s="562" t="s">
        <v>12135</v>
      </c>
      <c r="B5651" s="563" t="s">
        <v>12136</v>
      </c>
      <c r="C5651" s="564" t="s">
        <v>2484</v>
      </c>
      <c r="D5651" s="565">
        <v>40940</v>
      </c>
      <c r="E5651" s="565">
        <v>41305</v>
      </c>
      <c r="F5651" s="566">
        <v>13181818</v>
      </c>
      <c r="G5651" s="564" t="s">
        <v>12137</v>
      </c>
      <c r="H5651" s="564" t="s">
        <v>12125</v>
      </c>
      <c r="I5651" s="564" t="s">
        <v>12138</v>
      </c>
      <c r="J5651" s="564" t="s">
        <v>1069</v>
      </c>
      <c r="K5651" s="564" t="s">
        <v>2466</v>
      </c>
      <c r="L5651" s="564" t="s">
        <v>2467</v>
      </c>
      <c r="M5651" s="564" t="s">
        <v>2466</v>
      </c>
      <c r="N5651" s="564" t="s">
        <v>2543</v>
      </c>
      <c r="O5651" s="564" t="s">
        <v>12077</v>
      </c>
      <c r="P5651" s="23"/>
      <c r="Q5651" s="23"/>
      <c r="R5651" s="23"/>
      <c r="S5651" s="23"/>
      <c r="T5651" s="23"/>
      <c r="U5651" s="23"/>
      <c r="V5651" s="23"/>
      <c r="W5651" s="23"/>
      <c r="X5651" s="23"/>
      <c r="Y5651" s="23"/>
      <c r="Z5651" s="23"/>
    </row>
    <row r="5652" spans="1:26" ht="13">
      <c r="A5652" s="562" t="s">
        <v>12139</v>
      </c>
      <c r="B5652" s="563" t="s">
        <v>12140</v>
      </c>
      <c r="C5652" s="564" t="s">
        <v>2484</v>
      </c>
      <c r="D5652" s="565">
        <v>40925</v>
      </c>
      <c r="E5652" s="565">
        <v>41274</v>
      </c>
      <c r="F5652" s="566">
        <v>18181818</v>
      </c>
      <c r="G5652" s="564" t="s">
        <v>12129</v>
      </c>
      <c r="H5652" s="564" t="s">
        <v>12134</v>
      </c>
      <c r="I5652" s="564" t="s">
        <v>12141</v>
      </c>
      <c r="J5652" s="564" t="s">
        <v>1069</v>
      </c>
      <c r="K5652" s="564" t="s">
        <v>2466</v>
      </c>
      <c r="L5652" s="564" t="s">
        <v>2467</v>
      </c>
      <c r="M5652" s="564" t="s">
        <v>2466</v>
      </c>
      <c r="N5652" s="564" t="s">
        <v>2543</v>
      </c>
      <c r="O5652" s="564" t="s">
        <v>12077</v>
      </c>
      <c r="P5652" s="23"/>
      <c r="Q5652" s="23"/>
      <c r="R5652" s="23"/>
      <c r="S5652" s="23"/>
      <c r="T5652" s="23"/>
      <c r="U5652" s="23"/>
      <c r="V5652" s="23"/>
      <c r="W5652" s="23"/>
      <c r="X5652" s="23"/>
      <c r="Y5652" s="23"/>
      <c r="Z5652" s="23"/>
    </row>
    <row r="5653" spans="1:26" ht="13">
      <c r="A5653" s="562" t="s">
        <v>12142</v>
      </c>
      <c r="B5653" s="563" t="s">
        <v>12143</v>
      </c>
      <c r="C5653" s="564" t="s">
        <v>2484</v>
      </c>
      <c r="D5653" s="565">
        <v>40918</v>
      </c>
      <c r="E5653" s="565">
        <v>41274</v>
      </c>
      <c r="F5653" s="566">
        <v>16181818</v>
      </c>
      <c r="G5653" s="564" t="s">
        <v>12137</v>
      </c>
      <c r="H5653" s="564" t="s">
        <v>12125</v>
      </c>
      <c r="I5653" s="564" t="s">
        <v>12144</v>
      </c>
      <c r="J5653" s="564" t="s">
        <v>1069</v>
      </c>
      <c r="K5653" s="564" t="s">
        <v>2466</v>
      </c>
      <c r="L5653" s="564" t="s">
        <v>2467</v>
      </c>
      <c r="M5653" s="564" t="s">
        <v>2466</v>
      </c>
      <c r="N5653" s="564" t="s">
        <v>2543</v>
      </c>
      <c r="O5653" s="564" t="s">
        <v>12077</v>
      </c>
      <c r="P5653" s="23"/>
      <c r="Q5653" s="23"/>
      <c r="R5653" s="23"/>
      <c r="S5653" s="23"/>
      <c r="T5653" s="23"/>
      <c r="U5653" s="23"/>
      <c r="V5653" s="23"/>
      <c r="W5653" s="23"/>
      <c r="X5653" s="23"/>
      <c r="Y5653" s="23"/>
      <c r="Z5653" s="23"/>
    </row>
    <row r="5654" spans="1:26" ht="13">
      <c r="A5654" s="562" t="s">
        <v>12145</v>
      </c>
      <c r="B5654" s="563" t="s">
        <v>12146</v>
      </c>
      <c r="C5654" s="564" t="s">
        <v>2484</v>
      </c>
      <c r="D5654" s="565">
        <v>40917</v>
      </c>
      <c r="E5654" s="565">
        <v>41281</v>
      </c>
      <c r="F5654" s="566">
        <v>18000000</v>
      </c>
      <c r="G5654" s="564" t="s">
        <v>12129</v>
      </c>
      <c r="H5654" s="564" t="s">
        <v>12125</v>
      </c>
      <c r="I5654" s="564" t="s">
        <v>12147</v>
      </c>
      <c r="J5654" s="564" t="s">
        <v>1069</v>
      </c>
      <c r="K5654" s="564" t="s">
        <v>2466</v>
      </c>
      <c r="L5654" s="564" t="s">
        <v>2467</v>
      </c>
      <c r="M5654" s="564" t="s">
        <v>2466</v>
      </c>
      <c r="N5654" s="564" t="s">
        <v>2543</v>
      </c>
      <c r="O5654" s="564" t="s">
        <v>12077</v>
      </c>
      <c r="P5654" s="23"/>
      <c r="Q5654" s="23"/>
      <c r="R5654" s="23"/>
      <c r="S5654" s="23"/>
      <c r="T5654" s="23"/>
      <c r="U5654" s="23"/>
      <c r="V5654" s="23"/>
      <c r="W5654" s="23"/>
      <c r="X5654" s="23"/>
      <c r="Y5654" s="23"/>
      <c r="Z5654" s="23"/>
    </row>
    <row r="5655" spans="1:26" ht="13">
      <c r="A5655" s="562" t="s">
        <v>12148</v>
      </c>
      <c r="B5655" s="563" t="s">
        <v>12149</v>
      </c>
      <c r="C5655" s="564" t="s">
        <v>2484</v>
      </c>
      <c r="D5655" s="565">
        <v>40910</v>
      </c>
      <c r="E5655" s="565">
        <v>40911</v>
      </c>
      <c r="F5655" s="566">
        <v>8636364</v>
      </c>
      <c r="G5655" s="564" t="s">
        <v>12084</v>
      </c>
      <c r="H5655" s="564" t="s">
        <v>12080</v>
      </c>
      <c r="I5655" s="564" t="s">
        <v>12150</v>
      </c>
      <c r="J5655" s="564" t="s">
        <v>1069</v>
      </c>
      <c r="K5655" s="564" t="s">
        <v>2466</v>
      </c>
      <c r="L5655" s="564" t="s">
        <v>2467</v>
      </c>
      <c r="M5655" s="564" t="s">
        <v>2466</v>
      </c>
      <c r="N5655" s="564" t="s">
        <v>1368</v>
      </c>
      <c r="O5655" s="564" t="s">
        <v>12077</v>
      </c>
      <c r="P5655" s="23"/>
      <c r="Q5655" s="23"/>
      <c r="R5655" s="23"/>
      <c r="S5655" s="23"/>
      <c r="T5655" s="23"/>
      <c r="U5655" s="23"/>
      <c r="V5655" s="23"/>
      <c r="W5655" s="23"/>
      <c r="X5655" s="23"/>
      <c r="Y5655" s="23"/>
      <c r="Z5655" s="23"/>
    </row>
    <row r="5656" spans="1:26" ht="13">
      <c r="A5656" s="562" t="s">
        <v>12151</v>
      </c>
      <c r="B5656" s="563" t="s">
        <v>12152</v>
      </c>
      <c r="C5656" s="564" t="s">
        <v>1066</v>
      </c>
      <c r="D5656" s="565">
        <v>41214</v>
      </c>
      <c r="E5656" s="565">
        <v>41578</v>
      </c>
      <c r="F5656" s="566">
        <v>10800000</v>
      </c>
      <c r="G5656" s="564" t="s">
        <v>1750</v>
      </c>
      <c r="H5656" s="564" t="s">
        <v>1529</v>
      </c>
      <c r="I5656" s="564" t="s">
        <v>11869</v>
      </c>
      <c r="J5656" s="564" t="s">
        <v>1069</v>
      </c>
      <c r="K5656" s="564" t="s">
        <v>1070</v>
      </c>
      <c r="L5656" s="564" t="s">
        <v>1071</v>
      </c>
      <c r="M5656" s="564" t="s">
        <v>1091</v>
      </c>
      <c r="N5656" s="564" t="s">
        <v>1082</v>
      </c>
      <c r="O5656" s="564" t="s">
        <v>241</v>
      </c>
      <c r="P5656" s="23"/>
      <c r="Q5656" s="23"/>
      <c r="R5656" s="23"/>
      <c r="S5656" s="23"/>
      <c r="T5656" s="23"/>
      <c r="U5656" s="23"/>
      <c r="V5656" s="23"/>
      <c r="W5656" s="23"/>
      <c r="X5656" s="23"/>
      <c r="Y5656" s="23"/>
      <c r="Z5656" s="23"/>
    </row>
    <row r="5657" spans="1:26" ht="13">
      <c r="A5657" s="562" t="s">
        <v>12153</v>
      </c>
      <c r="B5657" s="563" t="s">
        <v>12154</v>
      </c>
      <c r="C5657" s="564" t="s">
        <v>2191</v>
      </c>
      <c r="D5657" s="565">
        <v>41249</v>
      </c>
      <c r="E5657" s="565">
        <v>41805</v>
      </c>
      <c r="F5657" s="566">
        <v>289405455</v>
      </c>
      <c r="G5657" s="564" t="s">
        <v>1604</v>
      </c>
      <c r="H5657" s="564" t="s">
        <v>1123</v>
      </c>
      <c r="I5657" s="564" t="s">
        <v>12155</v>
      </c>
      <c r="J5657" s="564" t="s">
        <v>1069</v>
      </c>
      <c r="K5657" s="564" t="s">
        <v>1205</v>
      </c>
      <c r="L5657" s="564" t="s">
        <v>1071</v>
      </c>
      <c r="M5657" s="564" t="s">
        <v>1124</v>
      </c>
      <c r="N5657" s="564" t="s">
        <v>1368</v>
      </c>
      <c r="O5657" s="564" t="s">
        <v>38</v>
      </c>
      <c r="P5657" s="23"/>
      <c r="Q5657" s="23"/>
      <c r="R5657" s="23"/>
      <c r="S5657" s="23"/>
      <c r="T5657" s="23"/>
      <c r="U5657" s="23"/>
      <c r="V5657" s="23"/>
      <c r="W5657" s="23"/>
      <c r="X5657" s="23"/>
      <c r="Y5657" s="23"/>
      <c r="Z5657" s="23"/>
    </row>
    <row r="5658" spans="1:26" ht="13">
      <c r="A5658" s="562" t="s">
        <v>12156</v>
      </c>
      <c r="B5658" s="563" t="s">
        <v>12157</v>
      </c>
      <c r="C5658" s="564" t="s">
        <v>2191</v>
      </c>
      <c r="D5658" s="565">
        <v>41244</v>
      </c>
      <c r="E5658" s="565">
        <v>41263</v>
      </c>
      <c r="F5658" s="566">
        <v>18500000</v>
      </c>
      <c r="G5658" s="564" t="s">
        <v>1912</v>
      </c>
      <c r="H5658" s="564" t="s">
        <v>1123</v>
      </c>
      <c r="I5658" s="564" t="s">
        <v>12158</v>
      </c>
      <c r="J5658" s="564" t="s">
        <v>1069</v>
      </c>
      <c r="K5658" s="564" t="s">
        <v>1205</v>
      </c>
      <c r="L5658" s="564" t="s">
        <v>1071</v>
      </c>
      <c r="M5658" s="564" t="s">
        <v>1124</v>
      </c>
      <c r="N5658" s="564" t="s">
        <v>1082</v>
      </c>
      <c r="O5658" s="564" t="s">
        <v>38</v>
      </c>
      <c r="P5658" s="23"/>
      <c r="Q5658" s="23"/>
      <c r="R5658" s="23"/>
      <c r="S5658" s="23"/>
      <c r="T5658" s="23"/>
      <c r="U5658" s="23"/>
      <c r="V5658" s="23"/>
      <c r="W5658" s="23"/>
      <c r="X5658" s="23"/>
      <c r="Y5658" s="23"/>
      <c r="Z5658" s="23"/>
    </row>
    <row r="5659" spans="1:26" ht="13">
      <c r="A5659" s="562" t="s">
        <v>12159</v>
      </c>
      <c r="B5659" s="563" t="s">
        <v>12160</v>
      </c>
      <c r="C5659" s="564" t="s">
        <v>2191</v>
      </c>
      <c r="D5659" s="565">
        <v>41245</v>
      </c>
      <c r="E5659" s="565">
        <v>41306</v>
      </c>
      <c r="F5659" s="566">
        <v>12000000</v>
      </c>
      <c r="G5659" s="564" t="s">
        <v>2459</v>
      </c>
      <c r="H5659" s="564" t="s">
        <v>2459</v>
      </c>
      <c r="I5659" s="564" t="s">
        <v>12161</v>
      </c>
      <c r="J5659" s="564" t="s">
        <v>1069</v>
      </c>
      <c r="K5659" s="564" t="s">
        <v>1070</v>
      </c>
      <c r="L5659" s="564" t="s">
        <v>1390</v>
      </c>
      <c r="M5659" s="564" t="s">
        <v>1390</v>
      </c>
      <c r="N5659" s="564" t="s">
        <v>1082</v>
      </c>
      <c r="O5659" s="564" t="s">
        <v>38</v>
      </c>
      <c r="P5659" s="23"/>
      <c r="Q5659" s="23"/>
      <c r="R5659" s="23"/>
      <c r="S5659" s="23"/>
      <c r="T5659" s="23"/>
      <c r="U5659" s="23"/>
      <c r="V5659" s="23"/>
      <c r="W5659" s="23"/>
      <c r="X5659" s="23"/>
      <c r="Y5659" s="23"/>
      <c r="Z5659" s="23"/>
    </row>
    <row r="5660" spans="1:26" ht="13">
      <c r="A5660" s="562" t="s">
        <v>12162</v>
      </c>
      <c r="B5660" s="563" t="s">
        <v>12163</v>
      </c>
      <c r="C5660" s="564" t="s">
        <v>1873</v>
      </c>
      <c r="D5660" s="565">
        <v>41214</v>
      </c>
      <c r="E5660" s="565">
        <v>41274</v>
      </c>
      <c r="F5660" s="566">
        <v>29000000</v>
      </c>
      <c r="G5660" s="564" t="s">
        <v>2123</v>
      </c>
      <c r="H5660" s="564" t="s">
        <v>1157</v>
      </c>
      <c r="I5660" s="564" t="s">
        <v>170</v>
      </c>
      <c r="J5660" s="564" t="s">
        <v>1069</v>
      </c>
      <c r="K5660" s="564" t="s">
        <v>1105</v>
      </c>
      <c r="L5660" s="564" t="s">
        <v>1390</v>
      </c>
      <c r="M5660" s="564" t="s">
        <v>1390</v>
      </c>
      <c r="N5660" s="564" t="s">
        <v>170</v>
      </c>
      <c r="O5660" s="564" t="s">
        <v>38</v>
      </c>
      <c r="P5660" s="23"/>
      <c r="Q5660" s="23"/>
      <c r="R5660" s="23"/>
      <c r="S5660" s="23"/>
      <c r="T5660" s="23"/>
      <c r="U5660" s="23"/>
      <c r="V5660" s="23"/>
      <c r="W5660" s="23"/>
      <c r="X5660" s="23"/>
      <c r="Y5660" s="23"/>
      <c r="Z5660" s="23"/>
    </row>
    <row r="5661" spans="1:26" ht="13">
      <c r="A5661" s="562" t="s">
        <v>12164</v>
      </c>
      <c r="B5661" s="563" t="s">
        <v>12165</v>
      </c>
      <c r="C5661" s="564" t="s">
        <v>1854</v>
      </c>
      <c r="D5661" s="565">
        <v>41153</v>
      </c>
      <c r="E5661" s="565">
        <v>41820</v>
      </c>
      <c r="F5661" s="566">
        <v>2230626348</v>
      </c>
      <c r="G5661" s="564" t="s">
        <v>2153</v>
      </c>
      <c r="H5661" s="564" t="s">
        <v>1640</v>
      </c>
      <c r="I5661" s="564" t="s">
        <v>45</v>
      </c>
      <c r="J5661" s="564" t="s">
        <v>1069</v>
      </c>
      <c r="K5661" s="564" t="s">
        <v>1090</v>
      </c>
      <c r="L5661" s="564" t="s">
        <v>1189</v>
      </c>
      <c r="M5661" s="564" t="s">
        <v>1189</v>
      </c>
      <c r="N5661" s="564" t="s">
        <v>45</v>
      </c>
      <c r="O5661" s="564" t="s">
        <v>1190</v>
      </c>
      <c r="P5661" s="23"/>
      <c r="Q5661" s="23"/>
      <c r="R5661" s="23"/>
      <c r="S5661" s="23"/>
      <c r="T5661" s="23"/>
      <c r="U5661" s="23"/>
      <c r="V5661" s="23"/>
      <c r="W5661" s="23"/>
      <c r="X5661" s="23"/>
      <c r="Y5661" s="23"/>
      <c r="Z5661" s="23"/>
    </row>
    <row r="5662" spans="1:26" ht="13">
      <c r="A5662" s="562" t="s">
        <v>12166</v>
      </c>
      <c r="B5662" s="563" t="s">
        <v>12167</v>
      </c>
      <c r="C5662" s="564" t="s">
        <v>1873</v>
      </c>
      <c r="D5662" s="565">
        <v>41184</v>
      </c>
      <c r="E5662" s="565">
        <v>41820</v>
      </c>
      <c r="F5662" s="566">
        <v>59840000</v>
      </c>
      <c r="G5662" s="564" t="s">
        <v>1756</v>
      </c>
      <c r="H5662" s="564" t="s">
        <v>1157</v>
      </c>
      <c r="I5662" s="564" t="s">
        <v>170</v>
      </c>
      <c r="J5662" s="564" t="s">
        <v>1069</v>
      </c>
      <c r="K5662" s="564" t="s">
        <v>1105</v>
      </c>
      <c r="L5662" s="564" t="s">
        <v>1390</v>
      </c>
      <c r="M5662" s="564" t="s">
        <v>1390</v>
      </c>
      <c r="N5662" s="564" t="s">
        <v>170</v>
      </c>
      <c r="O5662" s="564" t="s">
        <v>38</v>
      </c>
      <c r="P5662" s="23"/>
      <c r="Q5662" s="23"/>
      <c r="R5662" s="23"/>
      <c r="S5662" s="23"/>
      <c r="T5662" s="23"/>
      <c r="U5662" s="23"/>
      <c r="V5662" s="23"/>
      <c r="W5662" s="23"/>
      <c r="X5662" s="23"/>
      <c r="Y5662" s="23"/>
      <c r="Z5662" s="23"/>
    </row>
    <row r="5663" spans="1:26" ht="13">
      <c r="A5663" s="562" t="s">
        <v>12168</v>
      </c>
      <c r="B5663" s="563" t="s">
        <v>12169</v>
      </c>
      <c r="C5663" s="564" t="s">
        <v>1612</v>
      </c>
      <c r="D5663" s="565">
        <v>41222</v>
      </c>
      <c r="E5663" s="565">
        <v>41238</v>
      </c>
      <c r="F5663" s="566">
        <v>5500000</v>
      </c>
      <c r="G5663" s="564" t="s">
        <v>1604</v>
      </c>
      <c r="H5663" s="564" t="s">
        <v>1123</v>
      </c>
      <c r="I5663" s="564" t="s">
        <v>1247</v>
      </c>
      <c r="J5663" s="564" t="s">
        <v>1069</v>
      </c>
      <c r="K5663" s="564" t="s">
        <v>1070</v>
      </c>
      <c r="L5663" s="564" t="s">
        <v>1071</v>
      </c>
      <c r="M5663" s="564" t="s">
        <v>1124</v>
      </c>
      <c r="N5663" s="564" t="s">
        <v>1073</v>
      </c>
      <c r="O5663" s="564" t="s">
        <v>38</v>
      </c>
      <c r="P5663" s="23"/>
      <c r="Q5663" s="23"/>
      <c r="R5663" s="23"/>
      <c r="S5663" s="23"/>
      <c r="T5663" s="23"/>
      <c r="U5663" s="23"/>
      <c r="V5663" s="23"/>
      <c r="W5663" s="23"/>
      <c r="X5663" s="23"/>
      <c r="Y5663" s="23"/>
      <c r="Z5663" s="23"/>
    </row>
    <row r="5664" spans="1:26" ht="13">
      <c r="A5664" s="562" t="s">
        <v>12170</v>
      </c>
      <c r="B5664" s="563" t="s">
        <v>12171</v>
      </c>
      <c r="C5664" s="564" t="s">
        <v>1873</v>
      </c>
      <c r="D5664" s="565">
        <v>41200</v>
      </c>
      <c r="E5664" s="565">
        <v>41547</v>
      </c>
      <c r="F5664" s="566">
        <v>186000000</v>
      </c>
      <c r="G5664" s="564" t="s">
        <v>1888</v>
      </c>
      <c r="H5664" s="564" t="s">
        <v>1157</v>
      </c>
      <c r="I5664" s="564" t="s">
        <v>170</v>
      </c>
      <c r="J5664" s="564" t="s">
        <v>1069</v>
      </c>
      <c r="K5664" s="564" t="s">
        <v>1105</v>
      </c>
      <c r="L5664" s="564" t="s">
        <v>1390</v>
      </c>
      <c r="M5664" s="564" t="s">
        <v>1390</v>
      </c>
      <c r="N5664" s="564" t="s">
        <v>170</v>
      </c>
      <c r="O5664" s="564" t="s">
        <v>38</v>
      </c>
      <c r="P5664" s="23"/>
      <c r="Q5664" s="23"/>
      <c r="R5664" s="23"/>
      <c r="S5664" s="23"/>
      <c r="T5664" s="23"/>
      <c r="U5664" s="23"/>
      <c r="V5664" s="23"/>
      <c r="W5664" s="23"/>
      <c r="X5664" s="23"/>
      <c r="Y5664" s="23"/>
      <c r="Z5664" s="23"/>
    </row>
    <row r="5665" spans="1:26" ht="13">
      <c r="A5665" s="562" t="s">
        <v>12172</v>
      </c>
      <c r="B5665" s="563" t="s">
        <v>12173</v>
      </c>
      <c r="C5665" s="564" t="s">
        <v>1612</v>
      </c>
      <c r="D5665" s="565">
        <v>41184</v>
      </c>
      <c r="E5665" s="565">
        <v>41820</v>
      </c>
      <c r="F5665" s="566">
        <v>213940000</v>
      </c>
      <c r="G5665" s="564" t="s">
        <v>10646</v>
      </c>
      <c r="H5665" s="564" t="s">
        <v>1640</v>
      </c>
      <c r="I5665" s="564" t="s">
        <v>45</v>
      </c>
      <c r="J5665" s="564" t="s">
        <v>1069</v>
      </c>
      <c r="K5665" s="564" t="s">
        <v>1090</v>
      </c>
      <c r="L5665" s="564" t="s">
        <v>1390</v>
      </c>
      <c r="M5665" s="564" t="s">
        <v>1390</v>
      </c>
      <c r="N5665" s="564" t="s">
        <v>45</v>
      </c>
      <c r="O5665" s="564" t="s">
        <v>38</v>
      </c>
      <c r="P5665" s="23"/>
      <c r="Q5665" s="23"/>
      <c r="R5665" s="23"/>
      <c r="S5665" s="23"/>
      <c r="T5665" s="23"/>
      <c r="U5665" s="23"/>
      <c r="V5665" s="23"/>
      <c r="W5665" s="23"/>
      <c r="X5665" s="23"/>
      <c r="Y5665" s="23"/>
      <c r="Z5665" s="23"/>
    </row>
    <row r="5666" spans="1:26" ht="13">
      <c r="A5666" s="562" t="s">
        <v>12174</v>
      </c>
      <c r="B5666" s="563" t="s">
        <v>12175</v>
      </c>
      <c r="C5666" s="564" t="s">
        <v>1612</v>
      </c>
      <c r="D5666" s="565">
        <v>41061</v>
      </c>
      <c r="E5666" s="565">
        <v>41424</v>
      </c>
      <c r="F5666" s="566">
        <v>34000000</v>
      </c>
      <c r="G5666" s="564" t="s">
        <v>1312</v>
      </c>
      <c r="H5666" s="564" t="s">
        <v>1157</v>
      </c>
      <c r="I5666" s="564" t="s">
        <v>45</v>
      </c>
      <c r="J5666" s="564" t="s">
        <v>1069</v>
      </c>
      <c r="K5666" s="564" t="s">
        <v>1090</v>
      </c>
      <c r="L5666" s="564" t="s">
        <v>1071</v>
      </c>
      <c r="M5666" s="564" t="s">
        <v>1091</v>
      </c>
      <c r="N5666" s="564" t="s">
        <v>45</v>
      </c>
      <c r="O5666" s="564" t="s">
        <v>241</v>
      </c>
      <c r="P5666" s="23"/>
      <c r="Q5666" s="23"/>
      <c r="R5666" s="23"/>
      <c r="S5666" s="23"/>
      <c r="T5666" s="23"/>
      <c r="U5666" s="23"/>
      <c r="V5666" s="23"/>
      <c r="W5666" s="23"/>
      <c r="X5666" s="23"/>
      <c r="Y5666" s="23"/>
      <c r="Z5666" s="23"/>
    </row>
    <row r="5667" spans="1:26" ht="13">
      <c r="A5667" s="562" t="s">
        <v>12176</v>
      </c>
      <c r="B5667" s="563" t="s">
        <v>12177</v>
      </c>
      <c r="C5667" s="564" t="s">
        <v>1612</v>
      </c>
      <c r="D5667" s="565">
        <v>41204</v>
      </c>
      <c r="E5667" s="565">
        <v>41232</v>
      </c>
      <c r="F5667" s="566">
        <v>25000000</v>
      </c>
      <c r="G5667" s="564" t="s">
        <v>1604</v>
      </c>
      <c r="H5667" s="564" t="s">
        <v>1123</v>
      </c>
      <c r="I5667" s="564" t="s">
        <v>1247</v>
      </c>
      <c r="J5667" s="564" t="s">
        <v>1069</v>
      </c>
      <c r="K5667" s="564" t="s">
        <v>1070</v>
      </c>
      <c r="L5667" s="564" t="s">
        <v>1071</v>
      </c>
      <c r="M5667" s="564" t="s">
        <v>1124</v>
      </c>
      <c r="N5667" s="564" t="s">
        <v>1073</v>
      </c>
      <c r="O5667" s="564" t="s">
        <v>38</v>
      </c>
      <c r="P5667" s="23"/>
      <c r="Q5667" s="23"/>
      <c r="R5667" s="23"/>
      <c r="S5667" s="23"/>
      <c r="T5667" s="23"/>
      <c r="U5667" s="23"/>
      <c r="V5667" s="23"/>
      <c r="W5667" s="23"/>
      <c r="X5667" s="23"/>
      <c r="Y5667" s="23"/>
      <c r="Z5667" s="23"/>
    </row>
    <row r="5668" spans="1:26" ht="13">
      <c r="A5668" s="562" t="s">
        <v>12178</v>
      </c>
      <c r="B5668" s="563" t="s">
        <v>1818</v>
      </c>
      <c r="C5668" s="564" t="s">
        <v>1589</v>
      </c>
      <c r="D5668" s="565">
        <v>41214</v>
      </c>
      <c r="E5668" s="565">
        <v>42004</v>
      </c>
      <c r="F5668" s="566">
        <v>13000000</v>
      </c>
      <c r="G5668" s="564" t="s">
        <v>1590</v>
      </c>
      <c r="H5668" s="564" t="s">
        <v>1157</v>
      </c>
      <c r="I5668" s="564" t="s">
        <v>70</v>
      </c>
      <c r="J5668" s="564" t="s">
        <v>1069</v>
      </c>
      <c r="K5668" s="564" t="s">
        <v>1120</v>
      </c>
      <c r="L5668" s="564" t="s">
        <v>1071</v>
      </c>
      <c r="M5668" s="564" t="s">
        <v>1124</v>
      </c>
      <c r="N5668" s="564" t="s">
        <v>70</v>
      </c>
      <c r="O5668" s="564" t="s">
        <v>1274</v>
      </c>
      <c r="P5668" s="23"/>
      <c r="Q5668" s="23"/>
      <c r="R5668" s="23"/>
      <c r="S5668" s="23"/>
      <c r="T5668" s="23"/>
      <c r="U5668" s="23"/>
      <c r="V5668" s="23"/>
      <c r="W5668" s="23"/>
      <c r="X5668" s="23"/>
      <c r="Y5668" s="23"/>
      <c r="Z5668" s="23"/>
    </row>
    <row r="5669" spans="1:26" ht="13">
      <c r="A5669" s="562" t="s">
        <v>12179</v>
      </c>
      <c r="B5669" s="563" t="s">
        <v>12180</v>
      </c>
      <c r="C5669" s="564" t="s">
        <v>2191</v>
      </c>
      <c r="D5669" s="565">
        <v>41160</v>
      </c>
      <c r="E5669" s="565">
        <v>42254</v>
      </c>
      <c r="F5669" s="566">
        <v>2422397003</v>
      </c>
      <c r="G5669" s="564" t="s">
        <v>1297</v>
      </c>
      <c r="H5669" s="564" t="s">
        <v>1636</v>
      </c>
      <c r="I5669" s="564" t="s">
        <v>8715</v>
      </c>
      <c r="J5669" s="564" t="s">
        <v>1069</v>
      </c>
      <c r="K5669" s="564" t="s">
        <v>1070</v>
      </c>
      <c r="L5669" s="564" t="s">
        <v>1071</v>
      </c>
      <c r="M5669" s="564" t="s">
        <v>1091</v>
      </c>
      <c r="N5669" s="564" t="s">
        <v>2325</v>
      </c>
      <c r="O5669" s="564" t="s">
        <v>241</v>
      </c>
      <c r="P5669" s="23"/>
      <c r="Q5669" s="23"/>
      <c r="R5669" s="23"/>
      <c r="S5669" s="23"/>
      <c r="T5669" s="23"/>
      <c r="U5669" s="23"/>
      <c r="V5669" s="23"/>
      <c r="W5669" s="23"/>
      <c r="X5669" s="23"/>
      <c r="Y5669" s="23"/>
      <c r="Z5669" s="23"/>
    </row>
    <row r="5670" spans="1:26" ht="13">
      <c r="A5670" s="562" t="s">
        <v>12181</v>
      </c>
      <c r="B5670" s="563" t="s">
        <v>12182</v>
      </c>
      <c r="C5670" s="564" t="s">
        <v>1873</v>
      </c>
      <c r="D5670" s="565">
        <v>41153</v>
      </c>
      <c r="E5670" s="565">
        <v>41274</v>
      </c>
      <c r="F5670" s="566">
        <v>29000000</v>
      </c>
      <c r="G5670" s="564" t="s">
        <v>2123</v>
      </c>
      <c r="H5670" s="564" t="s">
        <v>1157</v>
      </c>
      <c r="I5670" s="564" t="s">
        <v>170</v>
      </c>
      <c r="J5670" s="564" t="s">
        <v>1069</v>
      </c>
      <c r="K5670" s="564" t="s">
        <v>1105</v>
      </c>
      <c r="L5670" s="564" t="s">
        <v>1390</v>
      </c>
      <c r="M5670" s="564" t="s">
        <v>1390</v>
      </c>
      <c r="N5670" s="564" t="s">
        <v>170</v>
      </c>
      <c r="O5670" s="564" t="s">
        <v>38</v>
      </c>
      <c r="P5670" s="23"/>
      <c r="Q5670" s="23"/>
      <c r="R5670" s="23"/>
      <c r="S5670" s="23"/>
      <c r="T5670" s="23"/>
      <c r="U5670" s="23"/>
      <c r="V5670" s="23"/>
      <c r="W5670" s="23"/>
      <c r="X5670" s="23"/>
      <c r="Y5670" s="23"/>
      <c r="Z5670" s="23"/>
    </row>
    <row r="5671" spans="1:26" ht="13">
      <c r="A5671" s="562" t="s">
        <v>12183</v>
      </c>
      <c r="B5671" s="563" t="s">
        <v>12184</v>
      </c>
      <c r="C5671" s="564" t="s">
        <v>6860</v>
      </c>
      <c r="D5671" s="565">
        <v>41150</v>
      </c>
      <c r="E5671" s="565">
        <v>41274</v>
      </c>
      <c r="F5671" s="566">
        <v>695000000</v>
      </c>
      <c r="G5671" s="564" t="s">
        <v>1604</v>
      </c>
      <c r="H5671" s="564" t="s">
        <v>1116</v>
      </c>
      <c r="I5671" s="564" t="s">
        <v>12185</v>
      </c>
      <c r="J5671" s="564" t="s">
        <v>1069</v>
      </c>
      <c r="K5671" s="564" t="s">
        <v>1205</v>
      </c>
      <c r="L5671" s="564" t="s">
        <v>1071</v>
      </c>
      <c r="M5671" s="564" t="s">
        <v>1124</v>
      </c>
      <c r="N5671" s="564" t="s">
        <v>1082</v>
      </c>
      <c r="O5671" s="564" t="s">
        <v>38</v>
      </c>
      <c r="P5671" s="23"/>
      <c r="Q5671" s="23"/>
      <c r="R5671" s="23"/>
      <c r="S5671" s="23"/>
      <c r="T5671" s="23"/>
      <c r="U5671" s="23"/>
      <c r="V5671" s="23"/>
      <c r="W5671" s="23"/>
      <c r="X5671" s="23"/>
      <c r="Y5671" s="23"/>
      <c r="Z5671" s="23"/>
    </row>
    <row r="5672" spans="1:26" ht="13">
      <c r="A5672" s="562" t="s">
        <v>12186</v>
      </c>
      <c r="B5672" s="563" t="s">
        <v>12187</v>
      </c>
      <c r="C5672" s="564" t="s">
        <v>1873</v>
      </c>
      <c r="D5672" s="565">
        <v>41153</v>
      </c>
      <c r="E5672" s="565">
        <v>41274</v>
      </c>
      <c r="F5672" s="566">
        <v>65000000</v>
      </c>
      <c r="G5672" s="564" t="s">
        <v>1729</v>
      </c>
      <c r="H5672" s="564" t="s">
        <v>1157</v>
      </c>
      <c r="I5672" s="564" t="s">
        <v>170</v>
      </c>
      <c r="J5672" s="564" t="s">
        <v>1069</v>
      </c>
      <c r="K5672" s="564" t="s">
        <v>1105</v>
      </c>
      <c r="L5672" s="564" t="s">
        <v>1390</v>
      </c>
      <c r="M5672" s="564" t="s">
        <v>1390</v>
      </c>
      <c r="N5672" s="564" t="s">
        <v>170</v>
      </c>
      <c r="O5672" s="564" t="s">
        <v>38</v>
      </c>
      <c r="P5672" s="23"/>
      <c r="Q5672" s="23"/>
      <c r="R5672" s="23"/>
      <c r="S5672" s="23"/>
      <c r="T5672" s="23"/>
      <c r="U5672" s="23"/>
      <c r="V5672" s="23"/>
      <c r="W5672" s="23"/>
      <c r="X5672" s="23"/>
      <c r="Y5672" s="23"/>
      <c r="Z5672" s="23"/>
    </row>
    <row r="5673" spans="1:26" ht="13">
      <c r="A5673" s="562" t="s">
        <v>12188</v>
      </c>
      <c r="B5673" s="563" t="s">
        <v>12189</v>
      </c>
      <c r="C5673" s="564" t="s">
        <v>1612</v>
      </c>
      <c r="D5673" s="565">
        <v>41141</v>
      </c>
      <c r="E5673" s="565">
        <v>42886</v>
      </c>
      <c r="F5673" s="566">
        <v>53000000</v>
      </c>
      <c r="G5673" s="564" t="s">
        <v>1912</v>
      </c>
      <c r="H5673" s="564" t="s">
        <v>1123</v>
      </c>
      <c r="I5673" s="564" t="s">
        <v>1247</v>
      </c>
      <c r="J5673" s="564" t="s">
        <v>1069</v>
      </c>
      <c r="K5673" s="564" t="s">
        <v>1070</v>
      </c>
      <c r="L5673" s="564" t="s">
        <v>1390</v>
      </c>
      <c r="M5673" s="564" t="s">
        <v>1390</v>
      </c>
      <c r="N5673" s="564" t="s">
        <v>1073</v>
      </c>
      <c r="O5673" s="564" t="s">
        <v>38</v>
      </c>
      <c r="P5673" s="23"/>
      <c r="Q5673" s="23"/>
      <c r="R5673" s="23"/>
      <c r="S5673" s="23"/>
      <c r="T5673" s="23"/>
      <c r="U5673" s="23"/>
      <c r="V5673" s="23"/>
      <c r="W5673" s="23"/>
      <c r="X5673" s="23"/>
      <c r="Y5673" s="23"/>
      <c r="Z5673" s="23"/>
    </row>
    <row r="5674" spans="1:26" ht="13">
      <c r="A5674" s="562" t="s">
        <v>12190</v>
      </c>
      <c r="B5674" s="563" t="s">
        <v>12191</v>
      </c>
      <c r="C5674" s="564" t="s">
        <v>6860</v>
      </c>
      <c r="D5674" s="565">
        <v>41141</v>
      </c>
      <c r="E5674" s="565">
        <v>41851</v>
      </c>
      <c r="F5674" s="566">
        <v>3022000000</v>
      </c>
      <c r="G5674" s="564" t="s">
        <v>1604</v>
      </c>
      <c r="H5674" s="564" t="s">
        <v>1116</v>
      </c>
      <c r="I5674" s="564" t="s">
        <v>11827</v>
      </c>
      <c r="J5674" s="564" t="s">
        <v>1069</v>
      </c>
      <c r="K5674" s="564" t="s">
        <v>1105</v>
      </c>
      <c r="L5674" s="564" t="s">
        <v>1071</v>
      </c>
      <c r="M5674" s="564" t="s">
        <v>1124</v>
      </c>
      <c r="N5674" s="564" t="s">
        <v>1082</v>
      </c>
      <c r="O5674" s="564" t="s">
        <v>38</v>
      </c>
      <c r="P5674" s="23"/>
      <c r="Q5674" s="23"/>
      <c r="R5674" s="23"/>
      <c r="S5674" s="23"/>
      <c r="T5674" s="23"/>
      <c r="U5674" s="23"/>
      <c r="V5674" s="23"/>
      <c r="W5674" s="23"/>
      <c r="X5674" s="23"/>
      <c r="Y5674" s="23"/>
      <c r="Z5674" s="23"/>
    </row>
    <row r="5675" spans="1:26" ht="13">
      <c r="A5675" s="562" t="s">
        <v>12192</v>
      </c>
      <c r="B5675" s="563" t="s">
        <v>12193</v>
      </c>
      <c r="C5675" s="564" t="s">
        <v>1873</v>
      </c>
      <c r="D5675" s="565">
        <v>41103</v>
      </c>
      <c r="E5675" s="565">
        <v>41135</v>
      </c>
      <c r="F5675" s="566">
        <v>17500000</v>
      </c>
      <c r="G5675" s="564" t="s">
        <v>1312</v>
      </c>
      <c r="H5675" s="564" t="s">
        <v>1157</v>
      </c>
      <c r="I5675" s="564" t="s">
        <v>170</v>
      </c>
      <c r="J5675" s="564" t="s">
        <v>1069</v>
      </c>
      <c r="K5675" s="564" t="s">
        <v>1105</v>
      </c>
      <c r="L5675" s="564" t="s">
        <v>1390</v>
      </c>
      <c r="M5675" s="564" t="s">
        <v>1390</v>
      </c>
      <c r="N5675" s="564" t="s">
        <v>170</v>
      </c>
      <c r="O5675" s="564" t="s">
        <v>38</v>
      </c>
      <c r="P5675" s="23"/>
      <c r="Q5675" s="23"/>
      <c r="R5675" s="23"/>
      <c r="S5675" s="23"/>
      <c r="T5675" s="23"/>
      <c r="U5675" s="23"/>
      <c r="V5675" s="23"/>
      <c r="W5675" s="23"/>
      <c r="X5675" s="23"/>
      <c r="Y5675" s="23"/>
      <c r="Z5675" s="23"/>
    </row>
    <row r="5676" spans="1:26" ht="13">
      <c r="A5676" s="562" t="s">
        <v>12194</v>
      </c>
      <c r="B5676" s="563" t="s">
        <v>12195</v>
      </c>
      <c r="C5676" s="564" t="s">
        <v>1873</v>
      </c>
      <c r="D5676" s="565">
        <v>41091</v>
      </c>
      <c r="E5676" s="565">
        <v>41439</v>
      </c>
      <c r="F5676" s="566">
        <v>16728000</v>
      </c>
      <c r="G5676" s="564" t="s">
        <v>12196</v>
      </c>
      <c r="H5676" s="564" t="s">
        <v>1157</v>
      </c>
      <c r="I5676" s="564" t="s">
        <v>170</v>
      </c>
      <c r="J5676" s="564" t="s">
        <v>1069</v>
      </c>
      <c r="K5676" s="564" t="s">
        <v>1105</v>
      </c>
      <c r="L5676" s="564" t="s">
        <v>1071</v>
      </c>
      <c r="M5676" s="564" t="s">
        <v>1091</v>
      </c>
      <c r="N5676" s="564" t="s">
        <v>170</v>
      </c>
      <c r="O5676" s="564" t="s">
        <v>241</v>
      </c>
      <c r="P5676" s="23"/>
      <c r="Q5676" s="23"/>
      <c r="R5676" s="23"/>
      <c r="S5676" s="23"/>
      <c r="T5676" s="23"/>
      <c r="U5676" s="23"/>
      <c r="V5676" s="23"/>
      <c r="W5676" s="23"/>
      <c r="X5676" s="23"/>
      <c r="Y5676" s="23"/>
      <c r="Z5676" s="23"/>
    </row>
    <row r="5677" spans="1:26" ht="13">
      <c r="A5677" s="562" t="s">
        <v>12197</v>
      </c>
      <c r="B5677" s="563" t="s">
        <v>12198</v>
      </c>
      <c r="C5677" s="564" t="s">
        <v>1255</v>
      </c>
      <c r="D5677" s="565">
        <v>41061</v>
      </c>
      <c r="E5677" s="565">
        <v>41455</v>
      </c>
      <c r="F5677" s="566">
        <v>19000000</v>
      </c>
      <c r="G5677" s="564" t="s">
        <v>1097</v>
      </c>
      <c r="H5677" s="564" t="s">
        <v>1123</v>
      </c>
      <c r="I5677" s="564" t="s">
        <v>143</v>
      </c>
      <c r="J5677" s="564" t="s">
        <v>1069</v>
      </c>
      <c r="K5677" s="564" t="s">
        <v>1205</v>
      </c>
      <c r="L5677" s="564" t="s">
        <v>1071</v>
      </c>
      <c r="M5677" s="564" t="s">
        <v>1091</v>
      </c>
      <c r="N5677" s="564" t="s">
        <v>1073</v>
      </c>
      <c r="O5677" s="564" t="s">
        <v>241</v>
      </c>
      <c r="P5677" s="23"/>
      <c r="Q5677" s="23"/>
      <c r="R5677" s="23"/>
      <c r="S5677" s="23"/>
      <c r="T5677" s="23"/>
      <c r="U5677" s="23"/>
      <c r="V5677" s="23"/>
      <c r="W5677" s="23"/>
      <c r="X5677" s="23"/>
      <c r="Y5677" s="23"/>
      <c r="Z5677" s="23"/>
    </row>
    <row r="5678" spans="1:26" ht="13">
      <c r="A5678" s="562" t="s">
        <v>12199</v>
      </c>
      <c r="B5678" s="563" t="s">
        <v>12200</v>
      </c>
      <c r="C5678" s="564" t="s">
        <v>2191</v>
      </c>
      <c r="D5678" s="565">
        <v>41037</v>
      </c>
      <c r="E5678" s="565">
        <v>41274</v>
      </c>
      <c r="F5678" s="566">
        <v>570000000</v>
      </c>
      <c r="G5678" s="564" t="s">
        <v>1604</v>
      </c>
      <c r="H5678" s="564" t="s">
        <v>1123</v>
      </c>
      <c r="I5678" s="564" t="s">
        <v>8751</v>
      </c>
      <c r="J5678" s="564" t="s">
        <v>1069</v>
      </c>
      <c r="K5678" s="564" t="s">
        <v>1205</v>
      </c>
      <c r="L5678" s="564" t="s">
        <v>1071</v>
      </c>
      <c r="M5678" s="564" t="s">
        <v>1124</v>
      </c>
      <c r="N5678" s="564" t="s">
        <v>1082</v>
      </c>
      <c r="O5678" s="564" t="s">
        <v>38</v>
      </c>
      <c r="P5678" s="23"/>
      <c r="Q5678" s="23"/>
      <c r="R5678" s="23"/>
      <c r="S5678" s="23"/>
      <c r="T5678" s="23"/>
      <c r="U5678" s="23"/>
      <c r="V5678" s="23"/>
      <c r="W5678" s="23"/>
      <c r="X5678" s="23"/>
      <c r="Y5678" s="23"/>
      <c r="Z5678" s="23"/>
    </row>
    <row r="5679" spans="1:26" ht="13">
      <c r="A5679" s="562" t="s">
        <v>12201</v>
      </c>
      <c r="B5679" s="563" t="s">
        <v>12202</v>
      </c>
      <c r="C5679" s="564" t="s">
        <v>2437</v>
      </c>
      <c r="D5679" s="565">
        <v>41061</v>
      </c>
      <c r="E5679" s="565">
        <v>42886</v>
      </c>
      <c r="F5679" s="566">
        <v>509390000</v>
      </c>
      <c r="G5679" s="564" t="s">
        <v>10789</v>
      </c>
      <c r="H5679" s="564" t="s">
        <v>1529</v>
      </c>
      <c r="I5679" s="564" t="s">
        <v>11869</v>
      </c>
      <c r="J5679" s="564" t="s">
        <v>1069</v>
      </c>
      <c r="K5679" s="564" t="s">
        <v>1070</v>
      </c>
      <c r="L5679" s="564" t="s">
        <v>1071</v>
      </c>
      <c r="M5679" s="564" t="s">
        <v>1091</v>
      </c>
      <c r="N5679" s="564" t="s">
        <v>1082</v>
      </c>
      <c r="O5679" s="564" t="s">
        <v>1092</v>
      </c>
      <c r="P5679" s="23"/>
      <c r="Q5679" s="23"/>
      <c r="R5679" s="23"/>
      <c r="S5679" s="23"/>
      <c r="T5679" s="23"/>
      <c r="U5679" s="23"/>
      <c r="V5679" s="23"/>
      <c r="W5679" s="23"/>
      <c r="X5679" s="23"/>
      <c r="Y5679" s="23"/>
      <c r="Z5679" s="23"/>
    </row>
    <row r="5680" spans="1:26" ht="13">
      <c r="A5680" s="562" t="s">
        <v>12203</v>
      </c>
      <c r="B5680" s="563" t="s">
        <v>12204</v>
      </c>
      <c r="C5680" s="564" t="s">
        <v>2191</v>
      </c>
      <c r="D5680" s="565">
        <v>41030</v>
      </c>
      <c r="E5680" s="565">
        <v>41121</v>
      </c>
      <c r="F5680" s="566">
        <v>5598000</v>
      </c>
      <c r="G5680" s="564" t="s">
        <v>1067</v>
      </c>
      <c r="H5680" s="564" t="s">
        <v>1636</v>
      </c>
      <c r="I5680" s="564" t="s">
        <v>1826</v>
      </c>
      <c r="J5680" s="564" t="s">
        <v>1069</v>
      </c>
      <c r="K5680" s="564" t="s">
        <v>1070</v>
      </c>
      <c r="L5680" s="564" t="s">
        <v>1071</v>
      </c>
      <c r="M5680" s="564" t="s">
        <v>1183</v>
      </c>
      <c r="N5680" s="564" t="s">
        <v>1082</v>
      </c>
      <c r="O5680" s="564" t="s">
        <v>38</v>
      </c>
      <c r="P5680" s="23"/>
      <c r="Q5680" s="23"/>
      <c r="R5680" s="23"/>
      <c r="S5680" s="23"/>
      <c r="T5680" s="23"/>
      <c r="U5680" s="23"/>
      <c r="V5680" s="23"/>
      <c r="W5680" s="23"/>
      <c r="X5680" s="23"/>
      <c r="Y5680" s="23"/>
      <c r="Z5680" s="23"/>
    </row>
    <row r="5681" spans="1:26" ht="13">
      <c r="A5681" s="562" t="s">
        <v>12205</v>
      </c>
      <c r="B5681" s="563" t="s">
        <v>12206</v>
      </c>
      <c r="C5681" s="564" t="s">
        <v>1612</v>
      </c>
      <c r="D5681" s="565">
        <v>41060</v>
      </c>
      <c r="E5681" s="565">
        <v>41424</v>
      </c>
      <c r="F5681" s="566">
        <v>1400460000</v>
      </c>
      <c r="G5681" s="564" t="s">
        <v>1067</v>
      </c>
      <c r="H5681" s="564" t="s">
        <v>1856</v>
      </c>
      <c r="I5681" s="564" t="s">
        <v>45</v>
      </c>
      <c r="J5681" s="564" t="s">
        <v>1069</v>
      </c>
      <c r="K5681" s="564" t="s">
        <v>1090</v>
      </c>
      <c r="L5681" s="564" t="s">
        <v>1071</v>
      </c>
      <c r="M5681" s="564" t="s">
        <v>1091</v>
      </c>
      <c r="N5681" s="564" t="s">
        <v>45</v>
      </c>
      <c r="O5681" s="564" t="s">
        <v>241</v>
      </c>
      <c r="P5681" s="23"/>
      <c r="Q5681" s="23"/>
      <c r="R5681" s="23"/>
      <c r="S5681" s="23"/>
      <c r="T5681" s="23"/>
      <c r="U5681" s="23"/>
      <c r="V5681" s="23"/>
      <c r="W5681" s="23"/>
      <c r="X5681" s="23"/>
      <c r="Y5681" s="23"/>
      <c r="Z5681" s="23"/>
    </row>
    <row r="5682" spans="1:26" ht="13">
      <c r="A5682" s="562" t="s">
        <v>12207</v>
      </c>
      <c r="B5682" s="563" t="s">
        <v>12208</v>
      </c>
      <c r="C5682" s="564" t="s">
        <v>6860</v>
      </c>
      <c r="D5682" s="565">
        <v>41047</v>
      </c>
      <c r="E5682" s="565">
        <v>41218</v>
      </c>
      <c r="F5682" s="566">
        <v>425760000</v>
      </c>
      <c r="G5682" s="564" t="s">
        <v>1912</v>
      </c>
      <c r="H5682" s="564" t="s">
        <v>1640</v>
      </c>
      <c r="I5682" s="564" t="s">
        <v>6951</v>
      </c>
      <c r="J5682" s="564" t="s">
        <v>1069</v>
      </c>
      <c r="K5682" s="564" t="s">
        <v>1090</v>
      </c>
      <c r="L5682" s="564" t="s">
        <v>1390</v>
      </c>
      <c r="M5682" s="564" t="s">
        <v>1390</v>
      </c>
      <c r="N5682" s="564" t="s">
        <v>1082</v>
      </c>
      <c r="O5682" s="564" t="s">
        <v>38</v>
      </c>
      <c r="P5682" s="23"/>
      <c r="Q5682" s="23"/>
      <c r="R5682" s="23"/>
      <c r="S5682" s="23"/>
      <c r="T5682" s="23"/>
      <c r="U5682" s="23"/>
      <c r="V5682" s="23"/>
      <c r="W5682" s="23"/>
      <c r="X5682" s="23"/>
      <c r="Y5682" s="23"/>
      <c r="Z5682" s="23"/>
    </row>
    <row r="5683" spans="1:26" ht="13">
      <c r="A5683" s="562" t="s">
        <v>12209</v>
      </c>
      <c r="B5683" s="563" t="s">
        <v>12210</v>
      </c>
      <c r="C5683" s="564" t="s">
        <v>2191</v>
      </c>
      <c r="D5683" s="565">
        <v>41039</v>
      </c>
      <c r="E5683" s="565">
        <v>41101</v>
      </c>
      <c r="F5683" s="566">
        <v>4608000</v>
      </c>
      <c r="G5683" s="564" t="s">
        <v>1067</v>
      </c>
      <c r="H5683" s="564" t="s">
        <v>1636</v>
      </c>
      <c r="I5683" s="564" t="s">
        <v>1826</v>
      </c>
      <c r="J5683" s="564" t="s">
        <v>1069</v>
      </c>
      <c r="K5683" s="564" t="s">
        <v>1070</v>
      </c>
      <c r="L5683" s="564" t="s">
        <v>1071</v>
      </c>
      <c r="M5683" s="564" t="s">
        <v>1183</v>
      </c>
      <c r="N5683" s="564" t="s">
        <v>1082</v>
      </c>
      <c r="O5683" s="564" t="s">
        <v>38</v>
      </c>
      <c r="P5683" s="23"/>
      <c r="Q5683" s="23"/>
      <c r="R5683" s="23"/>
      <c r="S5683" s="23"/>
      <c r="T5683" s="23"/>
      <c r="U5683" s="23"/>
      <c r="V5683" s="23"/>
      <c r="W5683" s="23"/>
      <c r="X5683" s="23"/>
      <c r="Y5683" s="23"/>
      <c r="Z5683" s="23"/>
    </row>
    <row r="5684" spans="1:26" ht="13">
      <c r="A5684" s="562" t="s">
        <v>12211</v>
      </c>
      <c r="B5684" s="563" t="s">
        <v>12212</v>
      </c>
      <c r="C5684" s="564" t="s">
        <v>2191</v>
      </c>
      <c r="D5684" s="565">
        <v>41000</v>
      </c>
      <c r="E5684" s="565">
        <v>41394</v>
      </c>
      <c r="F5684" s="566">
        <v>88700000</v>
      </c>
      <c r="G5684" s="564" t="s">
        <v>12213</v>
      </c>
      <c r="H5684" s="564" t="s">
        <v>1636</v>
      </c>
      <c r="I5684" s="564" t="s">
        <v>7259</v>
      </c>
      <c r="J5684" s="564" t="s">
        <v>1069</v>
      </c>
      <c r="K5684" s="564" t="s">
        <v>1070</v>
      </c>
      <c r="L5684" s="564" t="s">
        <v>1071</v>
      </c>
      <c r="M5684" s="564" t="s">
        <v>1091</v>
      </c>
      <c r="N5684" s="564" t="s">
        <v>1082</v>
      </c>
      <c r="O5684" s="564" t="s">
        <v>241</v>
      </c>
      <c r="P5684" s="23"/>
      <c r="Q5684" s="23"/>
      <c r="R5684" s="23"/>
      <c r="S5684" s="23"/>
      <c r="T5684" s="23"/>
      <c r="U5684" s="23"/>
      <c r="V5684" s="23"/>
      <c r="W5684" s="23"/>
      <c r="X5684" s="23"/>
      <c r="Y5684" s="23"/>
      <c r="Z5684" s="23"/>
    </row>
    <row r="5685" spans="1:26" ht="13">
      <c r="A5685" s="562" t="s">
        <v>12214</v>
      </c>
      <c r="B5685" s="563" t="s">
        <v>12215</v>
      </c>
      <c r="C5685" s="564" t="s">
        <v>1255</v>
      </c>
      <c r="D5685" s="565">
        <v>41000</v>
      </c>
      <c r="E5685" s="565">
        <v>41121</v>
      </c>
      <c r="F5685" s="566">
        <v>5864272</v>
      </c>
      <c r="G5685" s="564" t="s">
        <v>1780</v>
      </c>
      <c r="H5685" s="564" t="s">
        <v>1123</v>
      </c>
      <c r="I5685" s="564" t="s">
        <v>802</v>
      </c>
      <c r="J5685" s="564" t="s">
        <v>1069</v>
      </c>
      <c r="K5685" s="564" t="s">
        <v>1198</v>
      </c>
      <c r="L5685" s="564" t="s">
        <v>1071</v>
      </c>
      <c r="M5685" s="564" t="s">
        <v>1091</v>
      </c>
      <c r="N5685" s="564" t="s">
        <v>132</v>
      </c>
      <c r="O5685" s="564" t="s">
        <v>241</v>
      </c>
      <c r="P5685" s="23"/>
      <c r="Q5685" s="23"/>
      <c r="R5685" s="23"/>
      <c r="S5685" s="23"/>
      <c r="T5685" s="23"/>
      <c r="U5685" s="23"/>
      <c r="V5685" s="23"/>
      <c r="W5685" s="23"/>
      <c r="X5685" s="23"/>
      <c r="Y5685" s="23"/>
      <c r="Z5685" s="23"/>
    </row>
    <row r="5686" spans="1:26" ht="13">
      <c r="A5686" s="562" t="s">
        <v>12216</v>
      </c>
      <c r="B5686" s="563" t="s">
        <v>12217</v>
      </c>
      <c r="C5686" s="564" t="s">
        <v>1255</v>
      </c>
      <c r="D5686" s="565">
        <v>41000</v>
      </c>
      <c r="E5686" s="565">
        <v>41364</v>
      </c>
      <c r="F5686" s="566">
        <v>39272727</v>
      </c>
      <c r="G5686" s="564" t="s">
        <v>1097</v>
      </c>
      <c r="H5686" s="564" t="s">
        <v>1123</v>
      </c>
      <c r="I5686" s="564" t="s">
        <v>8659</v>
      </c>
      <c r="J5686" s="564" t="s">
        <v>1069</v>
      </c>
      <c r="K5686" s="564" t="s">
        <v>1205</v>
      </c>
      <c r="L5686" s="564" t="s">
        <v>1071</v>
      </c>
      <c r="M5686" s="564" t="s">
        <v>1091</v>
      </c>
      <c r="N5686" s="564" t="s">
        <v>1073</v>
      </c>
      <c r="O5686" s="564" t="s">
        <v>241</v>
      </c>
      <c r="P5686" s="23"/>
      <c r="Q5686" s="23"/>
      <c r="R5686" s="23"/>
      <c r="S5686" s="23"/>
      <c r="T5686" s="23"/>
      <c r="U5686" s="23"/>
      <c r="V5686" s="23"/>
      <c r="W5686" s="23"/>
      <c r="X5686" s="23"/>
      <c r="Y5686" s="23"/>
      <c r="Z5686" s="23"/>
    </row>
    <row r="5687" spans="1:26" ht="13">
      <c r="A5687" s="562" t="s">
        <v>12218</v>
      </c>
      <c r="B5687" s="563" t="s">
        <v>12219</v>
      </c>
      <c r="C5687" s="564" t="s">
        <v>1255</v>
      </c>
      <c r="D5687" s="565">
        <v>41000</v>
      </c>
      <c r="E5687" s="565">
        <v>41364</v>
      </c>
      <c r="F5687" s="566">
        <v>54240000</v>
      </c>
      <c r="G5687" s="564" t="s">
        <v>1097</v>
      </c>
      <c r="H5687" s="564" t="s">
        <v>1123</v>
      </c>
      <c r="I5687" s="564" t="s">
        <v>8659</v>
      </c>
      <c r="J5687" s="564" t="s">
        <v>1069</v>
      </c>
      <c r="K5687" s="564" t="s">
        <v>1205</v>
      </c>
      <c r="L5687" s="564" t="s">
        <v>1071</v>
      </c>
      <c r="M5687" s="564" t="s">
        <v>1091</v>
      </c>
      <c r="N5687" s="564" t="s">
        <v>1073</v>
      </c>
      <c r="O5687" s="564" t="s">
        <v>241</v>
      </c>
      <c r="P5687" s="23"/>
      <c r="Q5687" s="23"/>
      <c r="R5687" s="23"/>
      <c r="S5687" s="23"/>
      <c r="T5687" s="23"/>
      <c r="U5687" s="23"/>
      <c r="V5687" s="23"/>
      <c r="W5687" s="23"/>
      <c r="X5687" s="23"/>
      <c r="Y5687" s="23"/>
      <c r="Z5687" s="23"/>
    </row>
    <row r="5688" spans="1:26" ht="13">
      <c r="A5688" s="562" t="s">
        <v>12220</v>
      </c>
      <c r="B5688" s="563" t="s">
        <v>12221</v>
      </c>
      <c r="C5688" s="564" t="s">
        <v>2191</v>
      </c>
      <c r="D5688" s="565">
        <v>41000</v>
      </c>
      <c r="E5688" s="565">
        <v>41364</v>
      </c>
      <c r="F5688" s="566">
        <v>12600000</v>
      </c>
      <c r="G5688" s="564" t="s">
        <v>1067</v>
      </c>
      <c r="H5688" s="564" t="s">
        <v>1123</v>
      </c>
      <c r="I5688" s="564" t="s">
        <v>8659</v>
      </c>
      <c r="J5688" s="564" t="s">
        <v>1069</v>
      </c>
      <c r="K5688" s="564" t="s">
        <v>1205</v>
      </c>
      <c r="L5688" s="564" t="s">
        <v>1071</v>
      </c>
      <c r="M5688" s="564" t="s">
        <v>1091</v>
      </c>
      <c r="N5688" s="564" t="s">
        <v>1073</v>
      </c>
      <c r="O5688" s="564" t="s">
        <v>241</v>
      </c>
      <c r="P5688" s="23"/>
      <c r="Q5688" s="23"/>
      <c r="R5688" s="23"/>
      <c r="S5688" s="23"/>
      <c r="T5688" s="23"/>
      <c r="U5688" s="23"/>
      <c r="V5688" s="23"/>
      <c r="W5688" s="23"/>
      <c r="X5688" s="23"/>
      <c r="Y5688" s="23"/>
      <c r="Z5688" s="23"/>
    </row>
    <row r="5689" spans="1:26" ht="13">
      <c r="A5689" s="562" t="s">
        <v>12222</v>
      </c>
      <c r="B5689" s="563" t="s">
        <v>12223</v>
      </c>
      <c r="C5689" s="564" t="s">
        <v>1255</v>
      </c>
      <c r="D5689" s="565">
        <v>40969</v>
      </c>
      <c r="E5689" s="565">
        <v>41364</v>
      </c>
      <c r="F5689" s="566">
        <v>15120000</v>
      </c>
      <c r="G5689" s="564" t="s">
        <v>1912</v>
      </c>
      <c r="H5689" s="564" t="s">
        <v>1123</v>
      </c>
      <c r="I5689" s="564" t="s">
        <v>11724</v>
      </c>
      <c r="J5689" s="564" t="s">
        <v>1069</v>
      </c>
      <c r="K5689" s="564" t="s">
        <v>1105</v>
      </c>
      <c r="L5689" s="564" t="s">
        <v>1071</v>
      </c>
      <c r="M5689" s="564" t="s">
        <v>1091</v>
      </c>
      <c r="N5689" s="564" t="s">
        <v>1073</v>
      </c>
      <c r="O5689" s="564" t="s">
        <v>241</v>
      </c>
      <c r="P5689" s="23"/>
      <c r="Q5689" s="23"/>
      <c r="R5689" s="23"/>
      <c r="S5689" s="23"/>
      <c r="T5689" s="23"/>
      <c r="U5689" s="23"/>
      <c r="V5689" s="23"/>
      <c r="W5689" s="23"/>
      <c r="X5689" s="23"/>
      <c r="Y5689" s="23"/>
      <c r="Z5689" s="23"/>
    </row>
    <row r="5690" spans="1:26" ht="13">
      <c r="A5690" s="562" t="s">
        <v>12224</v>
      </c>
      <c r="B5690" s="563" t="s">
        <v>12225</v>
      </c>
      <c r="C5690" s="564" t="s">
        <v>1066</v>
      </c>
      <c r="D5690" s="565">
        <v>40969</v>
      </c>
      <c r="E5690" s="565">
        <v>41364</v>
      </c>
      <c r="F5690" s="566">
        <v>19245600</v>
      </c>
      <c r="G5690" s="564" t="s">
        <v>1067</v>
      </c>
      <c r="H5690" s="564" t="s">
        <v>337</v>
      </c>
      <c r="I5690" s="564" t="s">
        <v>146</v>
      </c>
      <c r="J5690" s="564" t="s">
        <v>1069</v>
      </c>
      <c r="K5690" s="564" t="s">
        <v>1070</v>
      </c>
      <c r="L5690" s="564" t="s">
        <v>1071</v>
      </c>
      <c r="M5690" s="564" t="s">
        <v>1091</v>
      </c>
      <c r="N5690" s="564" t="s">
        <v>1073</v>
      </c>
      <c r="O5690" s="564" t="s">
        <v>241</v>
      </c>
      <c r="P5690" s="23"/>
      <c r="Q5690" s="23"/>
      <c r="R5690" s="23"/>
      <c r="S5690" s="23"/>
      <c r="T5690" s="23"/>
      <c r="U5690" s="23"/>
      <c r="V5690" s="23"/>
      <c r="W5690" s="23"/>
      <c r="X5690" s="23"/>
      <c r="Y5690" s="23"/>
      <c r="Z5690" s="23"/>
    </row>
    <row r="5691" spans="1:26" ht="13">
      <c r="A5691" s="562" t="s">
        <v>12226</v>
      </c>
      <c r="B5691" s="563" t="s">
        <v>12227</v>
      </c>
      <c r="C5691" s="564" t="s">
        <v>1873</v>
      </c>
      <c r="D5691" s="565">
        <v>40976</v>
      </c>
      <c r="E5691" s="565">
        <v>40999</v>
      </c>
      <c r="F5691" s="566">
        <v>29000000</v>
      </c>
      <c r="G5691" s="564" t="s">
        <v>1312</v>
      </c>
      <c r="H5691" s="564" t="s">
        <v>1157</v>
      </c>
      <c r="I5691" s="564" t="s">
        <v>170</v>
      </c>
      <c r="J5691" s="564" t="s">
        <v>1069</v>
      </c>
      <c r="K5691" s="564" t="s">
        <v>1105</v>
      </c>
      <c r="L5691" s="564" t="s">
        <v>1390</v>
      </c>
      <c r="M5691" s="564" t="s">
        <v>1390</v>
      </c>
      <c r="N5691" s="564" t="s">
        <v>170</v>
      </c>
      <c r="O5691" s="564" t="s">
        <v>38</v>
      </c>
      <c r="P5691" s="23"/>
      <c r="Q5691" s="23"/>
      <c r="R5691" s="23"/>
      <c r="S5691" s="23"/>
      <c r="T5691" s="23"/>
      <c r="U5691" s="23"/>
      <c r="V5691" s="23"/>
      <c r="W5691" s="23"/>
      <c r="X5691" s="23"/>
      <c r="Y5691" s="23"/>
      <c r="Z5691" s="23"/>
    </row>
    <row r="5692" spans="1:26" ht="13">
      <c r="A5692" s="562" t="s">
        <v>12228</v>
      </c>
      <c r="B5692" s="563" t="s">
        <v>12229</v>
      </c>
      <c r="C5692" s="564" t="s">
        <v>1255</v>
      </c>
      <c r="D5692" s="565">
        <v>40940</v>
      </c>
      <c r="E5692" s="565">
        <v>41333</v>
      </c>
      <c r="F5692" s="566">
        <v>7200000</v>
      </c>
      <c r="G5692" s="564" t="s">
        <v>1097</v>
      </c>
      <c r="H5692" s="564" t="s">
        <v>1123</v>
      </c>
      <c r="I5692" s="564" t="s">
        <v>143</v>
      </c>
      <c r="J5692" s="564" t="s">
        <v>1069</v>
      </c>
      <c r="K5692" s="564" t="s">
        <v>1205</v>
      </c>
      <c r="L5692" s="564" t="s">
        <v>1071</v>
      </c>
      <c r="M5692" s="564" t="s">
        <v>1091</v>
      </c>
      <c r="N5692" s="564" t="s">
        <v>1073</v>
      </c>
      <c r="O5692" s="564" t="s">
        <v>241</v>
      </c>
      <c r="P5692" s="23"/>
      <c r="Q5692" s="23"/>
      <c r="R5692" s="23"/>
      <c r="S5692" s="23"/>
      <c r="T5692" s="23"/>
      <c r="U5692" s="23"/>
      <c r="V5692" s="23"/>
      <c r="W5692" s="23"/>
      <c r="X5692" s="23"/>
      <c r="Y5692" s="23"/>
      <c r="Z5692" s="23"/>
    </row>
    <row r="5693" spans="1:26" ht="13">
      <c r="A5693" s="562" t="s">
        <v>12230</v>
      </c>
      <c r="B5693" s="563" t="s">
        <v>12231</v>
      </c>
      <c r="C5693" s="564" t="s">
        <v>1873</v>
      </c>
      <c r="D5693" s="565">
        <v>40969</v>
      </c>
      <c r="E5693" s="565">
        <v>41333</v>
      </c>
      <c r="F5693" s="566">
        <v>16800000</v>
      </c>
      <c r="G5693" s="564" t="s">
        <v>11587</v>
      </c>
      <c r="H5693" s="564" t="s">
        <v>337</v>
      </c>
      <c r="I5693" s="564" t="s">
        <v>802</v>
      </c>
      <c r="J5693" s="564" t="s">
        <v>1069</v>
      </c>
      <c r="K5693" s="564" t="s">
        <v>1198</v>
      </c>
      <c r="L5693" s="564" t="s">
        <v>1071</v>
      </c>
      <c r="M5693" s="564" t="s">
        <v>1091</v>
      </c>
      <c r="N5693" s="564" t="s">
        <v>132</v>
      </c>
      <c r="O5693" s="564" t="s">
        <v>241</v>
      </c>
      <c r="P5693" s="23"/>
      <c r="Q5693" s="23"/>
      <c r="R5693" s="23"/>
      <c r="S5693" s="23"/>
      <c r="T5693" s="23"/>
      <c r="U5693" s="23"/>
      <c r="V5693" s="23"/>
      <c r="W5693" s="23"/>
      <c r="X5693" s="23"/>
      <c r="Y5693" s="23"/>
      <c r="Z5693" s="23"/>
    </row>
    <row r="5694" spans="1:26" ht="13">
      <c r="A5694" s="562" t="s">
        <v>12232</v>
      </c>
      <c r="B5694" s="563" t="s">
        <v>12233</v>
      </c>
      <c r="C5694" s="564" t="s">
        <v>2191</v>
      </c>
      <c r="D5694" s="565">
        <v>40940</v>
      </c>
      <c r="E5694" s="565">
        <v>41333</v>
      </c>
      <c r="F5694" s="566">
        <v>55800000</v>
      </c>
      <c r="G5694" s="564" t="s">
        <v>2378</v>
      </c>
      <c r="H5694" s="564" t="s">
        <v>1187</v>
      </c>
      <c r="I5694" s="564" t="s">
        <v>12038</v>
      </c>
      <c r="J5694" s="564" t="s">
        <v>1069</v>
      </c>
      <c r="K5694" s="564" t="s">
        <v>1198</v>
      </c>
      <c r="L5694" s="564" t="s">
        <v>1071</v>
      </c>
      <c r="M5694" s="564" t="s">
        <v>1091</v>
      </c>
      <c r="N5694" s="564" t="s">
        <v>1368</v>
      </c>
      <c r="O5694" s="564" t="s">
        <v>241</v>
      </c>
      <c r="P5694" s="23"/>
      <c r="Q5694" s="23"/>
      <c r="R5694" s="23"/>
      <c r="S5694" s="23"/>
      <c r="T5694" s="23"/>
      <c r="U5694" s="23"/>
      <c r="V5694" s="23"/>
      <c r="W5694" s="23"/>
      <c r="X5694" s="23"/>
      <c r="Y5694" s="23"/>
      <c r="Z5694" s="23"/>
    </row>
    <row r="5695" spans="1:26" ht="13">
      <c r="A5695" s="562" t="s">
        <v>12234</v>
      </c>
      <c r="B5695" s="563" t="s">
        <v>12235</v>
      </c>
      <c r="C5695" s="564" t="s">
        <v>1255</v>
      </c>
      <c r="D5695" s="565">
        <v>40940</v>
      </c>
      <c r="E5695" s="565">
        <v>41333</v>
      </c>
      <c r="F5695" s="566">
        <v>52680000</v>
      </c>
      <c r="G5695" s="564" t="s">
        <v>1097</v>
      </c>
      <c r="H5695" s="564" t="s">
        <v>1123</v>
      </c>
      <c r="I5695" s="564" t="s">
        <v>143</v>
      </c>
      <c r="J5695" s="564" t="s">
        <v>1069</v>
      </c>
      <c r="K5695" s="564" t="s">
        <v>1205</v>
      </c>
      <c r="L5695" s="564" t="s">
        <v>1071</v>
      </c>
      <c r="M5695" s="564" t="s">
        <v>1091</v>
      </c>
      <c r="N5695" s="564" t="s">
        <v>1073</v>
      </c>
      <c r="O5695" s="564" t="s">
        <v>241</v>
      </c>
      <c r="P5695" s="23"/>
      <c r="Q5695" s="23"/>
      <c r="R5695" s="23"/>
      <c r="S5695" s="23"/>
      <c r="T5695" s="23"/>
      <c r="U5695" s="23"/>
      <c r="V5695" s="23"/>
      <c r="W5695" s="23"/>
      <c r="X5695" s="23"/>
      <c r="Y5695" s="23"/>
      <c r="Z5695" s="23"/>
    </row>
    <row r="5696" spans="1:26" ht="13">
      <c r="A5696" s="562" t="s">
        <v>12236</v>
      </c>
      <c r="B5696" s="563" t="s">
        <v>12237</v>
      </c>
      <c r="C5696" s="564" t="s">
        <v>1612</v>
      </c>
      <c r="D5696" s="565">
        <v>40940</v>
      </c>
      <c r="E5696" s="565">
        <v>41132</v>
      </c>
      <c r="F5696" s="566">
        <v>295000000</v>
      </c>
      <c r="G5696" s="564" t="s">
        <v>10823</v>
      </c>
      <c r="H5696" s="564" t="s">
        <v>1128</v>
      </c>
      <c r="I5696" s="564" t="s">
        <v>45</v>
      </c>
      <c r="J5696" s="564" t="s">
        <v>1069</v>
      </c>
      <c r="K5696" s="564" t="s">
        <v>1090</v>
      </c>
      <c r="L5696" s="564" t="s">
        <v>1390</v>
      </c>
      <c r="M5696" s="564" t="s">
        <v>1390</v>
      </c>
      <c r="N5696" s="564" t="s">
        <v>45</v>
      </c>
      <c r="O5696" s="564" t="s">
        <v>38</v>
      </c>
      <c r="P5696" s="23"/>
      <c r="Q5696" s="23"/>
      <c r="R5696" s="23"/>
      <c r="S5696" s="23"/>
      <c r="T5696" s="23"/>
      <c r="U5696" s="23"/>
      <c r="V5696" s="23"/>
      <c r="W5696" s="23"/>
      <c r="X5696" s="23"/>
      <c r="Y5696" s="23"/>
      <c r="Z5696" s="23"/>
    </row>
    <row r="5697" spans="1:26" ht="13">
      <c r="A5697" s="562" t="s">
        <v>12238</v>
      </c>
      <c r="B5697" s="563" t="s">
        <v>12239</v>
      </c>
      <c r="C5697" s="564" t="s">
        <v>1873</v>
      </c>
      <c r="D5697" s="565">
        <v>40941</v>
      </c>
      <c r="E5697" s="565">
        <v>41012</v>
      </c>
      <c r="F5697" s="566">
        <v>35800000</v>
      </c>
      <c r="G5697" s="564" t="s">
        <v>2346</v>
      </c>
      <c r="H5697" s="564" t="s">
        <v>1157</v>
      </c>
      <c r="I5697" s="564" t="s">
        <v>170</v>
      </c>
      <c r="J5697" s="564" t="s">
        <v>1069</v>
      </c>
      <c r="K5697" s="564" t="s">
        <v>1105</v>
      </c>
      <c r="L5697" s="564" t="s">
        <v>1390</v>
      </c>
      <c r="M5697" s="564" t="s">
        <v>1390</v>
      </c>
      <c r="N5697" s="564" t="s">
        <v>170</v>
      </c>
      <c r="O5697" s="564" t="s">
        <v>38</v>
      </c>
      <c r="P5697" s="23"/>
      <c r="Q5697" s="23"/>
      <c r="R5697" s="23"/>
      <c r="S5697" s="23"/>
      <c r="T5697" s="23"/>
      <c r="U5697" s="23"/>
      <c r="V5697" s="23"/>
      <c r="W5697" s="23"/>
      <c r="X5697" s="23"/>
      <c r="Y5697" s="23"/>
      <c r="Z5697" s="23"/>
    </row>
    <row r="5698" spans="1:26" ht="13">
      <c r="A5698" s="562" t="s">
        <v>12240</v>
      </c>
      <c r="B5698" s="563" t="s">
        <v>12241</v>
      </c>
      <c r="C5698" s="564" t="s">
        <v>1873</v>
      </c>
      <c r="D5698" s="565">
        <v>40940</v>
      </c>
      <c r="E5698" s="565">
        <v>41029</v>
      </c>
      <c r="F5698" s="566">
        <v>28700000</v>
      </c>
      <c r="G5698" s="564" t="s">
        <v>2346</v>
      </c>
      <c r="H5698" s="564" t="s">
        <v>1157</v>
      </c>
      <c r="I5698" s="564" t="s">
        <v>170</v>
      </c>
      <c r="J5698" s="564" t="s">
        <v>1069</v>
      </c>
      <c r="K5698" s="564" t="s">
        <v>1105</v>
      </c>
      <c r="L5698" s="564" t="s">
        <v>1390</v>
      </c>
      <c r="M5698" s="564" t="s">
        <v>1390</v>
      </c>
      <c r="N5698" s="564" t="s">
        <v>170</v>
      </c>
      <c r="O5698" s="564" t="s">
        <v>38</v>
      </c>
      <c r="P5698" s="23"/>
      <c r="Q5698" s="23"/>
      <c r="R5698" s="23"/>
      <c r="S5698" s="23"/>
      <c r="T5698" s="23"/>
      <c r="U5698" s="23"/>
      <c r="V5698" s="23"/>
      <c r="W5698" s="23"/>
      <c r="X5698" s="23"/>
      <c r="Y5698" s="23"/>
      <c r="Z5698" s="23"/>
    </row>
    <row r="5699" spans="1:26" ht="13">
      <c r="A5699" s="562" t="s">
        <v>12242</v>
      </c>
      <c r="B5699" s="563" t="s">
        <v>12243</v>
      </c>
      <c r="C5699" s="564" t="s">
        <v>1612</v>
      </c>
      <c r="D5699" s="565">
        <v>40953</v>
      </c>
      <c r="E5699" s="565">
        <v>41090</v>
      </c>
      <c r="F5699" s="566">
        <v>196000000</v>
      </c>
      <c r="G5699" s="564" t="s">
        <v>11587</v>
      </c>
      <c r="H5699" s="564" t="s">
        <v>1157</v>
      </c>
      <c r="I5699" s="564" t="s">
        <v>2029</v>
      </c>
      <c r="J5699" s="564" t="s">
        <v>1069</v>
      </c>
      <c r="K5699" s="564" t="s">
        <v>1802</v>
      </c>
      <c r="L5699" s="564" t="s">
        <v>1390</v>
      </c>
      <c r="M5699" s="564" t="s">
        <v>1390</v>
      </c>
      <c r="N5699" s="564" t="s">
        <v>1082</v>
      </c>
      <c r="O5699" s="564" t="s">
        <v>38</v>
      </c>
      <c r="P5699" s="23"/>
      <c r="Q5699" s="23"/>
      <c r="R5699" s="23"/>
      <c r="S5699" s="23"/>
      <c r="T5699" s="23"/>
      <c r="U5699" s="23"/>
      <c r="V5699" s="23"/>
      <c r="W5699" s="23"/>
      <c r="X5699" s="23"/>
      <c r="Y5699" s="23"/>
      <c r="Z5699" s="23"/>
    </row>
    <row r="5700" spans="1:26" ht="13">
      <c r="A5700" s="562" t="s">
        <v>12244</v>
      </c>
      <c r="B5700" s="563" t="s">
        <v>12245</v>
      </c>
      <c r="C5700" s="564" t="s">
        <v>6860</v>
      </c>
      <c r="D5700" s="565">
        <v>40940</v>
      </c>
      <c r="E5700" s="565">
        <v>40983</v>
      </c>
      <c r="F5700" s="566">
        <v>15000000</v>
      </c>
      <c r="G5700" s="564" t="s">
        <v>2067</v>
      </c>
      <c r="H5700" s="564" t="s">
        <v>5465</v>
      </c>
      <c r="I5700" s="564" t="s">
        <v>12246</v>
      </c>
      <c r="J5700" s="564" t="s">
        <v>1069</v>
      </c>
      <c r="K5700" s="564" t="s">
        <v>1090</v>
      </c>
      <c r="L5700" s="564" t="s">
        <v>1390</v>
      </c>
      <c r="M5700" s="564" t="s">
        <v>1390</v>
      </c>
      <c r="N5700" s="564" t="s">
        <v>1082</v>
      </c>
      <c r="O5700" s="564" t="s">
        <v>38</v>
      </c>
      <c r="P5700" s="23"/>
      <c r="Q5700" s="23"/>
      <c r="R5700" s="23"/>
      <c r="S5700" s="23"/>
      <c r="T5700" s="23"/>
      <c r="U5700" s="23"/>
      <c r="V5700" s="23"/>
      <c r="W5700" s="23"/>
      <c r="X5700" s="23"/>
      <c r="Y5700" s="23"/>
      <c r="Z5700" s="23"/>
    </row>
    <row r="5701" spans="1:26" ht="13">
      <c r="A5701" s="562" t="s">
        <v>12247</v>
      </c>
      <c r="B5701" s="563" t="s">
        <v>12248</v>
      </c>
      <c r="C5701" s="564" t="s">
        <v>6860</v>
      </c>
      <c r="D5701" s="565">
        <v>40945</v>
      </c>
      <c r="E5701" s="565">
        <v>40987</v>
      </c>
      <c r="F5701" s="566">
        <v>270000000</v>
      </c>
      <c r="G5701" s="564" t="s">
        <v>1912</v>
      </c>
      <c r="H5701" s="564" t="s">
        <v>1116</v>
      </c>
      <c r="I5701" s="564" t="s">
        <v>8751</v>
      </c>
      <c r="J5701" s="564" t="s">
        <v>1069</v>
      </c>
      <c r="K5701" s="564" t="s">
        <v>1070</v>
      </c>
      <c r="L5701" s="564" t="s">
        <v>1071</v>
      </c>
      <c r="M5701" s="564" t="s">
        <v>1124</v>
      </c>
      <c r="N5701" s="564" t="s">
        <v>1082</v>
      </c>
      <c r="O5701" s="564" t="s">
        <v>38</v>
      </c>
      <c r="P5701" s="23"/>
      <c r="Q5701" s="23"/>
      <c r="R5701" s="23"/>
      <c r="S5701" s="23"/>
      <c r="T5701" s="23"/>
      <c r="U5701" s="23"/>
      <c r="V5701" s="23"/>
      <c r="W5701" s="23"/>
      <c r="X5701" s="23"/>
      <c r="Y5701" s="23"/>
      <c r="Z5701" s="23"/>
    </row>
    <row r="5702" spans="1:26" ht="13">
      <c r="A5702" s="562" t="s">
        <v>12249</v>
      </c>
      <c r="B5702" s="563" t="s">
        <v>12250</v>
      </c>
      <c r="C5702" s="564" t="s">
        <v>1612</v>
      </c>
      <c r="D5702" s="565">
        <v>40940</v>
      </c>
      <c r="E5702" s="565">
        <v>41364</v>
      </c>
      <c r="F5702" s="566">
        <v>94500000</v>
      </c>
      <c r="G5702" s="564" t="s">
        <v>11696</v>
      </c>
      <c r="H5702" s="564" t="s">
        <v>1128</v>
      </c>
      <c r="I5702" s="564" t="s">
        <v>12251</v>
      </c>
      <c r="J5702" s="564" t="s">
        <v>1069</v>
      </c>
      <c r="K5702" s="564" t="s">
        <v>1120</v>
      </c>
      <c r="L5702" s="564" t="s">
        <v>1071</v>
      </c>
      <c r="M5702" s="564" t="s">
        <v>1091</v>
      </c>
      <c r="N5702" s="564" t="s">
        <v>1073</v>
      </c>
      <c r="O5702" s="564" t="s">
        <v>241</v>
      </c>
      <c r="P5702" s="23"/>
      <c r="Q5702" s="23"/>
      <c r="R5702" s="23"/>
      <c r="S5702" s="23"/>
      <c r="T5702" s="23"/>
      <c r="U5702" s="23"/>
      <c r="V5702" s="23"/>
      <c r="W5702" s="23"/>
      <c r="X5702" s="23"/>
      <c r="Y5702" s="23"/>
      <c r="Z5702" s="23"/>
    </row>
    <row r="5703" spans="1:26" ht="13">
      <c r="A5703" s="562" t="s">
        <v>12252</v>
      </c>
      <c r="B5703" s="563" t="s">
        <v>12253</v>
      </c>
      <c r="C5703" s="564" t="s">
        <v>1873</v>
      </c>
      <c r="D5703" s="565">
        <v>40940</v>
      </c>
      <c r="E5703" s="565">
        <v>40996</v>
      </c>
      <c r="F5703" s="566">
        <v>45000000</v>
      </c>
      <c r="G5703" s="564" t="s">
        <v>1312</v>
      </c>
      <c r="H5703" s="564" t="s">
        <v>1157</v>
      </c>
      <c r="I5703" s="564" t="s">
        <v>170</v>
      </c>
      <c r="J5703" s="564" t="s">
        <v>1069</v>
      </c>
      <c r="K5703" s="564" t="s">
        <v>1105</v>
      </c>
      <c r="L5703" s="564" t="s">
        <v>1390</v>
      </c>
      <c r="M5703" s="564" t="s">
        <v>1390</v>
      </c>
      <c r="N5703" s="564" t="s">
        <v>170</v>
      </c>
      <c r="O5703" s="564" t="s">
        <v>38</v>
      </c>
      <c r="P5703" s="23"/>
      <c r="Q5703" s="23"/>
      <c r="R5703" s="23"/>
      <c r="S5703" s="23"/>
      <c r="T5703" s="23"/>
      <c r="U5703" s="23"/>
      <c r="V5703" s="23"/>
      <c r="W5703" s="23"/>
      <c r="X5703" s="23"/>
      <c r="Y5703" s="23"/>
      <c r="Z5703" s="23"/>
    </row>
    <row r="5704" spans="1:26" ht="13">
      <c r="A5704" s="562" t="s">
        <v>12254</v>
      </c>
      <c r="B5704" s="563" t="s">
        <v>12255</v>
      </c>
      <c r="C5704" s="564" t="s">
        <v>1612</v>
      </c>
      <c r="D5704" s="565">
        <v>40938</v>
      </c>
      <c r="E5704" s="565">
        <v>41850</v>
      </c>
      <c r="F5704" s="566">
        <v>160000000</v>
      </c>
      <c r="G5704" s="564" t="s">
        <v>11273</v>
      </c>
      <c r="H5704" s="564" t="s">
        <v>1856</v>
      </c>
      <c r="I5704" s="564" t="s">
        <v>45</v>
      </c>
      <c r="J5704" s="564" t="s">
        <v>1069</v>
      </c>
      <c r="K5704" s="564" t="s">
        <v>1090</v>
      </c>
      <c r="L5704" s="564" t="s">
        <v>1390</v>
      </c>
      <c r="M5704" s="564" t="s">
        <v>1390</v>
      </c>
      <c r="N5704" s="564" t="s">
        <v>45</v>
      </c>
      <c r="O5704" s="564" t="s">
        <v>38</v>
      </c>
      <c r="P5704" s="23"/>
      <c r="Q5704" s="23"/>
      <c r="R5704" s="23"/>
      <c r="S5704" s="23"/>
      <c r="T5704" s="23"/>
      <c r="U5704" s="23"/>
      <c r="V5704" s="23"/>
      <c r="W5704" s="23"/>
      <c r="X5704" s="23"/>
      <c r="Y5704" s="23"/>
      <c r="Z5704" s="23"/>
    </row>
    <row r="5705" spans="1:26" ht="13">
      <c r="A5705" s="562" t="s">
        <v>12256</v>
      </c>
      <c r="B5705" s="563" t="s">
        <v>12257</v>
      </c>
      <c r="C5705" s="564" t="s">
        <v>2191</v>
      </c>
      <c r="D5705" s="565">
        <v>40909</v>
      </c>
      <c r="E5705" s="565">
        <v>41070</v>
      </c>
      <c r="F5705" s="566">
        <v>113152909</v>
      </c>
      <c r="G5705" s="564" t="s">
        <v>1725</v>
      </c>
      <c r="H5705" s="564" t="s">
        <v>297</v>
      </c>
      <c r="I5705" s="564" t="s">
        <v>12258</v>
      </c>
      <c r="J5705" s="564" t="s">
        <v>1069</v>
      </c>
      <c r="K5705" s="564" t="s">
        <v>1070</v>
      </c>
      <c r="L5705" s="564" t="s">
        <v>1071</v>
      </c>
      <c r="M5705" s="564" t="s">
        <v>1091</v>
      </c>
      <c r="N5705" s="564" t="s">
        <v>2439</v>
      </c>
      <c r="O5705" s="564" t="s">
        <v>241</v>
      </c>
      <c r="P5705" s="23"/>
      <c r="Q5705" s="23"/>
      <c r="R5705" s="23"/>
      <c r="S5705" s="23"/>
      <c r="T5705" s="23"/>
      <c r="U5705" s="23"/>
      <c r="V5705" s="23"/>
      <c r="W5705" s="23"/>
      <c r="X5705" s="23"/>
      <c r="Y5705" s="23"/>
      <c r="Z5705" s="23"/>
    </row>
    <row r="5706" spans="1:26" ht="13">
      <c r="A5706" s="562" t="s">
        <v>12259</v>
      </c>
      <c r="B5706" s="563" t="s">
        <v>12260</v>
      </c>
      <c r="C5706" s="564" t="s">
        <v>1255</v>
      </c>
      <c r="D5706" s="565">
        <v>40909</v>
      </c>
      <c r="E5706" s="565">
        <v>41274</v>
      </c>
      <c r="F5706" s="566">
        <v>81800000</v>
      </c>
      <c r="G5706" s="564" t="s">
        <v>1097</v>
      </c>
      <c r="H5706" s="564" t="s">
        <v>1123</v>
      </c>
      <c r="I5706" s="564" t="s">
        <v>143</v>
      </c>
      <c r="J5706" s="564" t="s">
        <v>1069</v>
      </c>
      <c r="K5706" s="564" t="s">
        <v>1205</v>
      </c>
      <c r="L5706" s="564" t="s">
        <v>1071</v>
      </c>
      <c r="M5706" s="564" t="s">
        <v>1091</v>
      </c>
      <c r="N5706" s="564" t="s">
        <v>1073</v>
      </c>
      <c r="O5706" s="564" t="s">
        <v>241</v>
      </c>
      <c r="P5706" s="23"/>
      <c r="Q5706" s="23"/>
      <c r="R5706" s="23"/>
      <c r="S5706" s="23"/>
      <c r="T5706" s="23"/>
      <c r="U5706" s="23"/>
      <c r="V5706" s="23"/>
      <c r="W5706" s="23"/>
      <c r="X5706" s="23"/>
      <c r="Y5706" s="23"/>
      <c r="Z5706" s="23"/>
    </row>
    <row r="5707" spans="1:26" ht="13">
      <c r="A5707" s="562" t="s">
        <v>12261</v>
      </c>
      <c r="B5707" s="563" t="s">
        <v>1836</v>
      </c>
      <c r="C5707" s="564" t="s">
        <v>2191</v>
      </c>
      <c r="D5707" s="565">
        <v>40940</v>
      </c>
      <c r="E5707" s="565">
        <v>42035</v>
      </c>
      <c r="F5707" s="566">
        <v>79204000</v>
      </c>
      <c r="G5707" s="564" t="s">
        <v>1442</v>
      </c>
      <c r="H5707" s="564" t="s">
        <v>297</v>
      </c>
      <c r="I5707" s="564" t="s">
        <v>1837</v>
      </c>
      <c r="J5707" s="564" t="s">
        <v>1069</v>
      </c>
      <c r="K5707" s="564" t="s">
        <v>1070</v>
      </c>
      <c r="L5707" s="564" t="s">
        <v>1071</v>
      </c>
      <c r="M5707" s="564" t="s">
        <v>1091</v>
      </c>
      <c r="N5707" s="564" t="s">
        <v>1082</v>
      </c>
      <c r="O5707" s="564" t="s">
        <v>241</v>
      </c>
      <c r="P5707" s="23"/>
      <c r="Q5707" s="23"/>
      <c r="R5707" s="23"/>
      <c r="S5707" s="23"/>
      <c r="T5707" s="23"/>
      <c r="U5707" s="23"/>
      <c r="V5707" s="23"/>
      <c r="W5707" s="23"/>
      <c r="X5707" s="23"/>
      <c r="Y5707" s="23"/>
      <c r="Z5707" s="23"/>
    </row>
    <row r="5708" spans="1:26" ht="13">
      <c r="A5708" s="562" t="s">
        <v>12262</v>
      </c>
      <c r="B5708" s="563" t="s">
        <v>12263</v>
      </c>
      <c r="C5708" s="564" t="s">
        <v>1612</v>
      </c>
      <c r="D5708" s="565">
        <v>40912</v>
      </c>
      <c r="E5708" s="565">
        <v>41029</v>
      </c>
      <c r="F5708" s="566">
        <v>135000000</v>
      </c>
      <c r="G5708" s="564" t="s">
        <v>10823</v>
      </c>
      <c r="H5708" s="564" t="s">
        <v>1128</v>
      </c>
      <c r="I5708" s="564" t="s">
        <v>45</v>
      </c>
      <c r="J5708" s="564" t="s">
        <v>1069</v>
      </c>
      <c r="K5708" s="564" t="s">
        <v>1090</v>
      </c>
      <c r="L5708" s="564" t="s">
        <v>1390</v>
      </c>
      <c r="M5708" s="564" t="s">
        <v>1390</v>
      </c>
      <c r="N5708" s="564" t="s">
        <v>45</v>
      </c>
      <c r="O5708" s="564" t="s">
        <v>38</v>
      </c>
      <c r="P5708" s="23"/>
      <c r="Q5708" s="23"/>
      <c r="R5708" s="23"/>
      <c r="S5708" s="23"/>
      <c r="T5708" s="23"/>
      <c r="U5708" s="23"/>
      <c r="V5708" s="23"/>
      <c r="W5708" s="23"/>
      <c r="X5708" s="23"/>
      <c r="Y5708" s="23"/>
      <c r="Z5708" s="23"/>
    </row>
    <row r="5709" spans="1:26" ht="13">
      <c r="A5709" s="562" t="s">
        <v>12264</v>
      </c>
      <c r="B5709" s="563" t="s">
        <v>12265</v>
      </c>
      <c r="C5709" s="564" t="s">
        <v>1873</v>
      </c>
      <c r="D5709" s="565">
        <v>40909</v>
      </c>
      <c r="E5709" s="565">
        <v>41274</v>
      </c>
      <c r="F5709" s="566">
        <v>25636363</v>
      </c>
      <c r="G5709" s="564" t="s">
        <v>1067</v>
      </c>
      <c r="H5709" s="564" t="s">
        <v>337</v>
      </c>
      <c r="I5709" s="564" t="s">
        <v>802</v>
      </c>
      <c r="J5709" s="564" t="s">
        <v>1069</v>
      </c>
      <c r="K5709" s="564" t="s">
        <v>1198</v>
      </c>
      <c r="L5709" s="564" t="s">
        <v>1071</v>
      </c>
      <c r="M5709" s="564" t="s">
        <v>1091</v>
      </c>
      <c r="N5709" s="564" t="s">
        <v>132</v>
      </c>
      <c r="O5709" s="564" t="s">
        <v>241</v>
      </c>
      <c r="P5709" s="23"/>
      <c r="Q5709" s="23"/>
      <c r="R5709" s="23"/>
      <c r="S5709" s="23"/>
      <c r="T5709" s="23"/>
      <c r="U5709" s="23"/>
      <c r="V5709" s="23"/>
      <c r="W5709" s="23"/>
      <c r="X5709" s="23"/>
      <c r="Y5709" s="23"/>
      <c r="Z5709" s="23"/>
    </row>
    <row r="5710" spans="1:26" ht="13">
      <c r="A5710" s="562" t="s">
        <v>12266</v>
      </c>
      <c r="B5710" s="563" t="s">
        <v>12267</v>
      </c>
      <c r="C5710" s="564" t="s">
        <v>2484</v>
      </c>
      <c r="D5710" s="565">
        <v>40659</v>
      </c>
      <c r="E5710" s="565">
        <v>40893</v>
      </c>
      <c r="F5710" s="566">
        <v>22988182</v>
      </c>
      <c r="G5710" s="564" t="s">
        <v>12268</v>
      </c>
      <c r="H5710" s="564" t="s">
        <v>2459</v>
      </c>
      <c r="I5710" s="564" t="s">
        <v>12269</v>
      </c>
      <c r="J5710" s="564" t="s">
        <v>1069</v>
      </c>
      <c r="K5710" s="564" t="s">
        <v>2466</v>
      </c>
      <c r="L5710" s="564" t="s">
        <v>2467</v>
      </c>
      <c r="M5710" s="564" t="s">
        <v>2466</v>
      </c>
      <c r="N5710" s="564" t="s">
        <v>1082</v>
      </c>
      <c r="O5710" s="564" t="s">
        <v>12077</v>
      </c>
      <c r="P5710" s="23"/>
      <c r="Q5710" s="23"/>
      <c r="R5710" s="23"/>
      <c r="S5710" s="23"/>
      <c r="T5710" s="23"/>
      <c r="U5710" s="23"/>
      <c r="V5710" s="23"/>
      <c r="W5710" s="23"/>
      <c r="X5710" s="23"/>
      <c r="Y5710" s="23"/>
      <c r="Z5710" s="23"/>
    </row>
    <row r="5711" spans="1:26" ht="13">
      <c r="A5711" s="562" t="s">
        <v>12270</v>
      </c>
      <c r="B5711" s="563" t="s">
        <v>12271</v>
      </c>
      <c r="C5711" s="564" t="s">
        <v>2484</v>
      </c>
      <c r="D5711" s="565">
        <v>40897</v>
      </c>
      <c r="E5711" s="565">
        <v>41076</v>
      </c>
      <c r="F5711" s="566">
        <v>25000000</v>
      </c>
      <c r="G5711" s="564" t="s">
        <v>12133</v>
      </c>
      <c r="H5711" s="564" t="s">
        <v>12125</v>
      </c>
      <c r="I5711" s="564" t="s">
        <v>12272</v>
      </c>
      <c r="J5711" s="564" t="s">
        <v>1069</v>
      </c>
      <c r="K5711" s="564" t="s">
        <v>2466</v>
      </c>
      <c r="L5711" s="564" t="s">
        <v>2467</v>
      </c>
      <c r="M5711" s="564" t="s">
        <v>2466</v>
      </c>
      <c r="N5711" s="564" t="s">
        <v>1082</v>
      </c>
      <c r="O5711" s="564" t="s">
        <v>12077</v>
      </c>
      <c r="P5711" s="23"/>
      <c r="Q5711" s="23"/>
      <c r="R5711" s="23"/>
      <c r="S5711" s="23"/>
      <c r="T5711" s="23"/>
      <c r="U5711" s="23"/>
      <c r="V5711" s="23"/>
      <c r="W5711" s="23"/>
      <c r="X5711" s="23"/>
      <c r="Y5711" s="23"/>
      <c r="Z5711" s="23"/>
    </row>
    <row r="5712" spans="1:26" ht="13">
      <c r="A5712" s="562" t="s">
        <v>12273</v>
      </c>
      <c r="B5712" s="563" t="s">
        <v>12274</v>
      </c>
      <c r="C5712" s="564" t="s">
        <v>2484</v>
      </c>
      <c r="D5712" s="565">
        <v>40857</v>
      </c>
      <c r="E5712" s="565">
        <v>41682</v>
      </c>
      <c r="F5712" s="566">
        <v>85818182</v>
      </c>
      <c r="G5712" s="564" t="s">
        <v>12075</v>
      </c>
      <c r="H5712" s="564" t="s">
        <v>12125</v>
      </c>
      <c r="I5712" s="564" t="s">
        <v>12269</v>
      </c>
      <c r="J5712" s="564" t="s">
        <v>1069</v>
      </c>
      <c r="K5712" s="564" t="s">
        <v>2466</v>
      </c>
      <c r="L5712" s="564" t="s">
        <v>2467</v>
      </c>
      <c r="M5712" s="564" t="s">
        <v>2466</v>
      </c>
      <c r="N5712" s="564" t="s">
        <v>1082</v>
      </c>
      <c r="O5712" s="564" t="s">
        <v>12077</v>
      </c>
      <c r="P5712" s="23"/>
      <c r="Q5712" s="23"/>
      <c r="R5712" s="23"/>
      <c r="S5712" s="23"/>
      <c r="T5712" s="23"/>
      <c r="U5712" s="23"/>
      <c r="V5712" s="23"/>
      <c r="W5712" s="23"/>
      <c r="X5712" s="23"/>
      <c r="Y5712" s="23"/>
      <c r="Z5712" s="23"/>
    </row>
    <row r="5713" spans="1:26" ht="13">
      <c r="A5713" s="562" t="s">
        <v>12275</v>
      </c>
      <c r="B5713" s="563" t="s">
        <v>12276</v>
      </c>
      <c r="C5713" s="564" t="s">
        <v>2484</v>
      </c>
      <c r="D5713" s="565">
        <v>40857</v>
      </c>
      <c r="E5713" s="565">
        <v>40867</v>
      </c>
      <c r="F5713" s="566">
        <v>17000000</v>
      </c>
      <c r="G5713" s="564" t="s">
        <v>12133</v>
      </c>
      <c r="H5713" s="564" t="s">
        <v>2546</v>
      </c>
      <c r="I5713" s="564" t="s">
        <v>10189</v>
      </c>
      <c r="J5713" s="564" t="s">
        <v>1069</v>
      </c>
      <c r="K5713" s="564" t="s">
        <v>2466</v>
      </c>
      <c r="L5713" s="564" t="s">
        <v>2467</v>
      </c>
      <c r="M5713" s="564" t="s">
        <v>2466</v>
      </c>
      <c r="N5713" s="564" t="s">
        <v>1082</v>
      </c>
      <c r="O5713" s="564" t="s">
        <v>12077</v>
      </c>
      <c r="P5713" s="23"/>
      <c r="Q5713" s="23"/>
      <c r="R5713" s="23"/>
      <c r="S5713" s="23"/>
      <c r="T5713" s="23"/>
      <c r="U5713" s="23"/>
      <c r="V5713" s="23"/>
      <c r="W5713" s="23"/>
      <c r="X5713" s="23"/>
      <c r="Y5713" s="23"/>
      <c r="Z5713" s="23"/>
    </row>
    <row r="5714" spans="1:26" ht="13">
      <c r="A5714" s="562" t="s">
        <v>12277</v>
      </c>
      <c r="B5714" s="563" t="s">
        <v>12278</v>
      </c>
      <c r="C5714" s="564" t="s">
        <v>2484</v>
      </c>
      <c r="D5714" s="565">
        <v>40742</v>
      </c>
      <c r="E5714" s="565">
        <v>40828</v>
      </c>
      <c r="F5714" s="566">
        <v>71100000</v>
      </c>
      <c r="G5714" s="564" t="s">
        <v>12133</v>
      </c>
      <c r="H5714" s="564" t="s">
        <v>12125</v>
      </c>
      <c r="I5714" s="564" t="s">
        <v>12279</v>
      </c>
      <c r="J5714" s="564" t="s">
        <v>1069</v>
      </c>
      <c r="K5714" s="564" t="s">
        <v>2466</v>
      </c>
      <c r="L5714" s="564" t="s">
        <v>2467</v>
      </c>
      <c r="M5714" s="564" t="s">
        <v>2466</v>
      </c>
      <c r="N5714" s="564" t="s">
        <v>1082</v>
      </c>
      <c r="O5714" s="564" t="s">
        <v>12077</v>
      </c>
      <c r="P5714" s="23"/>
      <c r="Q5714" s="23"/>
      <c r="R5714" s="23"/>
      <c r="S5714" s="23"/>
      <c r="T5714" s="23"/>
      <c r="U5714" s="23"/>
      <c r="V5714" s="23"/>
      <c r="W5714" s="23"/>
      <c r="X5714" s="23"/>
      <c r="Y5714" s="23"/>
      <c r="Z5714" s="23"/>
    </row>
    <row r="5715" spans="1:26" ht="13">
      <c r="A5715" s="562" t="s">
        <v>12280</v>
      </c>
      <c r="B5715" s="563" t="s">
        <v>12281</v>
      </c>
      <c r="C5715" s="564" t="s">
        <v>2484</v>
      </c>
      <c r="D5715" s="565">
        <v>40787</v>
      </c>
      <c r="E5715" s="565">
        <v>40902</v>
      </c>
      <c r="F5715" s="566">
        <v>65963636</v>
      </c>
      <c r="G5715" s="564" t="s">
        <v>12119</v>
      </c>
      <c r="H5715" s="564" t="s">
        <v>12120</v>
      </c>
      <c r="I5715" s="564" t="s">
        <v>12282</v>
      </c>
      <c r="J5715" s="564" t="s">
        <v>1069</v>
      </c>
      <c r="K5715" s="564" t="s">
        <v>2466</v>
      </c>
      <c r="L5715" s="564" t="s">
        <v>2467</v>
      </c>
      <c r="M5715" s="564" t="s">
        <v>2466</v>
      </c>
      <c r="N5715" s="564" t="s">
        <v>1082</v>
      </c>
      <c r="O5715" s="564" t="s">
        <v>12077</v>
      </c>
      <c r="P5715" s="23"/>
      <c r="Q5715" s="23"/>
      <c r="R5715" s="23"/>
      <c r="S5715" s="23"/>
      <c r="T5715" s="23"/>
      <c r="U5715" s="23"/>
      <c r="V5715" s="23"/>
      <c r="W5715" s="23"/>
      <c r="X5715" s="23"/>
      <c r="Y5715" s="23"/>
      <c r="Z5715" s="23"/>
    </row>
    <row r="5716" spans="1:26" ht="13">
      <c r="A5716" s="562" t="s">
        <v>12283</v>
      </c>
      <c r="B5716" s="563" t="s">
        <v>12284</v>
      </c>
      <c r="C5716" s="564" t="s">
        <v>2484</v>
      </c>
      <c r="D5716" s="565">
        <v>40793</v>
      </c>
      <c r="E5716" s="565">
        <v>40877</v>
      </c>
      <c r="F5716" s="566">
        <v>101727273</v>
      </c>
      <c r="G5716" s="564" t="s">
        <v>12133</v>
      </c>
      <c r="H5716" s="564" t="s">
        <v>12134</v>
      </c>
      <c r="I5716" s="564" t="s">
        <v>12105</v>
      </c>
      <c r="J5716" s="564" t="s">
        <v>1069</v>
      </c>
      <c r="K5716" s="564" t="s">
        <v>2466</v>
      </c>
      <c r="L5716" s="564" t="s">
        <v>2467</v>
      </c>
      <c r="M5716" s="564" t="s">
        <v>2466</v>
      </c>
      <c r="N5716" s="564" t="s">
        <v>1082</v>
      </c>
      <c r="O5716" s="564" t="s">
        <v>12077</v>
      </c>
      <c r="P5716" s="23"/>
      <c r="Q5716" s="23"/>
      <c r="R5716" s="23"/>
      <c r="S5716" s="23"/>
      <c r="T5716" s="23"/>
      <c r="U5716" s="23"/>
      <c r="V5716" s="23"/>
      <c r="W5716" s="23"/>
      <c r="X5716" s="23"/>
      <c r="Y5716" s="23"/>
      <c r="Z5716" s="23"/>
    </row>
    <row r="5717" spans="1:26" ht="13">
      <c r="A5717" s="562" t="s">
        <v>12285</v>
      </c>
      <c r="B5717" s="563" t="s">
        <v>12286</v>
      </c>
      <c r="C5717" s="564" t="s">
        <v>2484</v>
      </c>
      <c r="D5717" s="565">
        <v>40787</v>
      </c>
      <c r="E5717" s="565">
        <v>40816</v>
      </c>
      <c r="F5717" s="566">
        <v>18189863</v>
      </c>
      <c r="G5717" s="564" t="s">
        <v>12084</v>
      </c>
      <c r="H5717" s="564" t="s">
        <v>12120</v>
      </c>
      <c r="I5717" s="564" t="s">
        <v>12287</v>
      </c>
      <c r="J5717" s="564" t="s">
        <v>1069</v>
      </c>
      <c r="K5717" s="564" t="s">
        <v>2466</v>
      </c>
      <c r="L5717" s="564" t="s">
        <v>2467</v>
      </c>
      <c r="M5717" s="564" t="s">
        <v>2466</v>
      </c>
      <c r="N5717" s="564" t="s">
        <v>1082</v>
      </c>
      <c r="O5717" s="564" t="s">
        <v>12077</v>
      </c>
      <c r="P5717" s="23"/>
      <c r="Q5717" s="23"/>
      <c r="R5717" s="23"/>
      <c r="S5717" s="23"/>
      <c r="T5717" s="23"/>
      <c r="U5717" s="23"/>
      <c r="V5717" s="23"/>
      <c r="W5717" s="23"/>
      <c r="X5717" s="23"/>
      <c r="Y5717" s="23"/>
      <c r="Z5717" s="23"/>
    </row>
    <row r="5718" spans="1:26" ht="13">
      <c r="A5718" s="562" t="s">
        <v>12288</v>
      </c>
      <c r="B5718" s="563" t="s">
        <v>12289</v>
      </c>
      <c r="C5718" s="564" t="s">
        <v>2484</v>
      </c>
      <c r="D5718" s="565">
        <v>40823</v>
      </c>
      <c r="E5718" s="565">
        <v>40837</v>
      </c>
      <c r="F5718" s="566">
        <v>26670000</v>
      </c>
      <c r="G5718" s="564" t="s">
        <v>12075</v>
      </c>
      <c r="H5718" s="564" t="s">
        <v>2546</v>
      </c>
      <c r="I5718" s="564" t="s">
        <v>12290</v>
      </c>
      <c r="J5718" s="564" t="s">
        <v>1069</v>
      </c>
      <c r="K5718" s="564" t="s">
        <v>2466</v>
      </c>
      <c r="L5718" s="564" t="s">
        <v>2467</v>
      </c>
      <c r="M5718" s="564" t="s">
        <v>2466</v>
      </c>
      <c r="N5718" s="564" t="s">
        <v>1082</v>
      </c>
      <c r="O5718" s="564" t="s">
        <v>4798</v>
      </c>
      <c r="P5718" s="23"/>
      <c r="Q5718" s="23"/>
      <c r="R5718" s="23"/>
      <c r="S5718" s="23"/>
      <c r="T5718" s="23"/>
      <c r="U5718" s="23"/>
      <c r="V5718" s="23"/>
      <c r="W5718" s="23"/>
      <c r="X5718" s="23"/>
      <c r="Y5718" s="23"/>
      <c r="Z5718" s="23"/>
    </row>
    <row r="5719" spans="1:26" ht="13">
      <c r="A5719" s="562" t="s">
        <v>12291</v>
      </c>
      <c r="B5719" s="563" t="s">
        <v>12292</v>
      </c>
      <c r="C5719" s="564" t="s">
        <v>2484</v>
      </c>
      <c r="D5719" s="565">
        <v>40778</v>
      </c>
      <c r="E5719" s="565">
        <v>40794</v>
      </c>
      <c r="F5719" s="566">
        <v>13181818</v>
      </c>
      <c r="G5719" s="564" t="s">
        <v>12293</v>
      </c>
      <c r="H5719" s="564" t="s">
        <v>12080</v>
      </c>
      <c r="I5719" s="564" t="s">
        <v>12294</v>
      </c>
      <c r="J5719" s="564" t="s">
        <v>1069</v>
      </c>
      <c r="K5719" s="564" t="s">
        <v>2466</v>
      </c>
      <c r="L5719" s="564" t="s">
        <v>2467</v>
      </c>
      <c r="M5719" s="564" t="s">
        <v>2466</v>
      </c>
      <c r="N5719" s="564" t="s">
        <v>1082</v>
      </c>
      <c r="O5719" s="564" t="s">
        <v>12077</v>
      </c>
      <c r="P5719" s="23"/>
      <c r="Q5719" s="23"/>
      <c r="R5719" s="23"/>
      <c r="S5719" s="23"/>
      <c r="T5719" s="23"/>
      <c r="U5719" s="23"/>
      <c r="V5719" s="23"/>
      <c r="W5719" s="23"/>
      <c r="X5719" s="23"/>
      <c r="Y5719" s="23"/>
      <c r="Z5719" s="23"/>
    </row>
    <row r="5720" spans="1:26" ht="13">
      <c r="A5720" s="562" t="s">
        <v>12295</v>
      </c>
      <c r="B5720" s="563" t="s">
        <v>12296</v>
      </c>
      <c r="C5720" s="564" t="s">
        <v>2484</v>
      </c>
      <c r="D5720" s="565">
        <v>40749</v>
      </c>
      <c r="E5720" s="565">
        <v>40898</v>
      </c>
      <c r="F5720" s="566">
        <v>89936364</v>
      </c>
      <c r="G5720" s="564" t="s">
        <v>12293</v>
      </c>
      <c r="H5720" s="564" t="s">
        <v>12134</v>
      </c>
      <c r="I5720" s="564" t="s">
        <v>12297</v>
      </c>
      <c r="J5720" s="564" t="s">
        <v>1069</v>
      </c>
      <c r="K5720" s="564" t="s">
        <v>2466</v>
      </c>
      <c r="L5720" s="564" t="s">
        <v>2467</v>
      </c>
      <c r="M5720" s="564" t="s">
        <v>2466</v>
      </c>
      <c r="N5720" s="564" t="s">
        <v>2439</v>
      </c>
      <c r="O5720" s="564" t="s">
        <v>12077</v>
      </c>
      <c r="P5720" s="23"/>
      <c r="Q5720" s="23"/>
      <c r="R5720" s="23"/>
      <c r="S5720" s="23"/>
      <c r="T5720" s="23"/>
      <c r="U5720" s="23"/>
      <c r="V5720" s="23"/>
      <c r="W5720" s="23"/>
      <c r="X5720" s="23"/>
      <c r="Y5720" s="23"/>
      <c r="Z5720" s="23"/>
    </row>
    <row r="5721" spans="1:26" ht="13">
      <c r="A5721" s="562" t="s">
        <v>12298</v>
      </c>
      <c r="B5721" s="563" t="s">
        <v>12299</v>
      </c>
      <c r="C5721" s="564" t="s">
        <v>2484</v>
      </c>
      <c r="D5721" s="565">
        <v>40744</v>
      </c>
      <c r="E5721" s="565">
        <v>40786</v>
      </c>
      <c r="F5721" s="566">
        <v>90000000</v>
      </c>
      <c r="G5721" s="564" t="s">
        <v>12075</v>
      </c>
      <c r="H5721" s="564" t="s">
        <v>2546</v>
      </c>
      <c r="I5721" s="564" t="s">
        <v>141</v>
      </c>
      <c r="J5721" s="564" t="s">
        <v>1069</v>
      </c>
      <c r="K5721" s="564" t="s">
        <v>2466</v>
      </c>
      <c r="L5721" s="564" t="s">
        <v>2467</v>
      </c>
      <c r="M5721" s="564" t="s">
        <v>2466</v>
      </c>
      <c r="N5721" s="564" t="s">
        <v>1073</v>
      </c>
      <c r="O5721" s="564" t="s">
        <v>4798</v>
      </c>
      <c r="P5721" s="23"/>
      <c r="Q5721" s="23"/>
      <c r="R5721" s="23"/>
      <c r="S5721" s="23"/>
      <c r="T5721" s="23"/>
      <c r="U5721" s="23"/>
      <c r="V5721" s="23"/>
      <c r="W5721" s="23"/>
      <c r="X5721" s="23"/>
      <c r="Y5721" s="23"/>
      <c r="Z5721" s="23"/>
    </row>
    <row r="5722" spans="1:26" ht="13">
      <c r="A5722" s="562" t="s">
        <v>12300</v>
      </c>
      <c r="B5722" s="563" t="s">
        <v>12301</v>
      </c>
      <c r="C5722" s="564" t="s">
        <v>2484</v>
      </c>
      <c r="D5722" s="565">
        <v>40736</v>
      </c>
      <c r="E5722" s="565">
        <v>40746</v>
      </c>
      <c r="F5722" s="566">
        <v>15000000</v>
      </c>
      <c r="G5722" s="564" t="s">
        <v>2533</v>
      </c>
      <c r="H5722" s="564" t="s">
        <v>2546</v>
      </c>
      <c r="I5722" s="564" t="s">
        <v>12302</v>
      </c>
      <c r="J5722" s="564" t="s">
        <v>1069</v>
      </c>
      <c r="K5722" s="564" t="s">
        <v>2466</v>
      </c>
      <c r="L5722" s="564" t="s">
        <v>2467</v>
      </c>
      <c r="M5722" s="564" t="s">
        <v>2466</v>
      </c>
      <c r="N5722" s="564" t="s">
        <v>1082</v>
      </c>
      <c r="O5722" s="564" t="s">
        <v>4798</v>
      </c>
      <c r="P5722" s="23"/>
      <c r="Q5722" s="23"/>
      <c r="R5722" s="23"/>
      <c r="S5722" s="23"/>
      <c r="T5722" s="23"/>
      <c r="U5722" s="23"/>
      <c r="V5722" s="23"/>
      <c r="W5722" s="23"/>
      <c r="X5722" s="23"/>
      <c r="Y5722" s="23"/>
      <c r="Z5722" s="23"/>
    </row>
    <row r="5723" spans="1:26" ht="13">
      <c r="A5723" s="562" t="s">
        <v>12303</v>
      </c>
      <c r="B5723" s="563" t="s">
        <v>12304</v>
      </c>
      <c r="C5723" s="564" t="s">
        <v>2484</v>
      </c>
      <c r="D5723" s="565">
        <v>40714</v>
      </c>
      <c r="E5723" s="565">
        <v>40830</v>
      </c>
      <c r="F5723" s="566">
        <v>47894364</v>
      </c>
      <c r="G5723" s="564" t="s">
        <v>12293</v>
      </c>
      <c r="H5723" s="564" t="s">
        <v>12096</v>
      </c>
      <c r="I5723" s="564" t="s">
        <v>12302</v>
      </c>
      <c r="J5723" s="564" t="s">
        <v>1069</v>
      </c>
      <c r="K5723" s="564" t="s">
        <v>2466</v>
      </c>
      <c r="L5723" s="564" t="s">
        <v>2467</v>
      </c>
      <c r="M5723" s="564" t="s">
        <v>2466</v>
      </c>
      <c r="N5723" s="564" t="s">
        <v>1082</v>
      </c>
      <c r="O5723" s="564" t="s">
        <v>12077</v>
      </c>
      <c r="P5723" s="23"/>
      <c r="Q5723" s="23"/>
      <c r="R5723" s="23"/>
      <c r="S5723" s="23"/>
      <c r="T5723" s="23"/>
      <c r="U5723" s="23"/>
      <c r="V5723" s="23"/>
      <c r="W5723" s="23"/>
      <c r="X5723" s="23"/>
      <c r="Y5723" s="23"/>
      <c r="Z5723" s="23"/>
    </row>
    <row r="5724" spans="1:26" ht="13">
      <c r="A5724" s="562" t="s">
        <v>12305</v>
      </c>
      <c r="B5724" s="563" t="s">
        <v>12306</v>
      </c>
      <c r="C5724" s="564" t="s">
        <v>2484</v>
      </c>
      <c r="D5724" s="565">
        <v>40662</v>
      </c>
      <c r="E5724" s="565">
        <v>40908</v>
      </c>
      <c r="F5724" s="566">
        <v>71045455</v>
      </c>
      <c r="G5724" s="564" t="s">
        <v>12124</v>
      </c>
      <c r="H5724" s="564" t="s">
        <v>12125</v>
      </c>
      <c r="I5724" s="564" t="s">
        <v>12282</v>
      </c>
      <c r="J5724" s="564" t="s">
        <v>1069</v>
      </c>
      <c r="K5724" s="564" t="s">
        <v>2466</v>
      </c>
      <c r="L5724" s="564" t="s">
        <v>2467</v>
      </c>
      <c r="M5724" s="564" t="s">
        <v>2466</v>
      </c>
      <c r="N5724" s="564" t="s">
        <v>1082</v>
      </c>
      <c r="O5724" s="564" t="s">
        <v>12077</v>
      </c>
      <c r="P5724" s="23"/>
      <c r="Q5724" s="23"/>
      <c r="R5724" s="23"/>
      <c r="S5724" s="23"/>
      <c r="T5724" s="23"/>
      <c r="U5724" s="23"/>
      <c r="V5724" s="23"/>
      <c r="W5724" s="23"/>
      <c r="X5724" s="23"/>
      <c r="Y5724" s="23"/>
      <c r="Z5724" s="23"/>
    </row>
    <row r="5725" spans="1:26" ht="13">
      <c r="A5725" s="562" t="s">
        <v>12307</v>
      </c>
      <c r="B5725" s="563" t="s">
        <v>12308</v>
      </c>
      <c r="C5725" s="564" t="s">
        <v>2484</v>
      </c>
      <c r="D5725" s="565">
        <v>40728</v>
      </c>
      <c r="E5725" s="565">
        <v>40753</v>
      </c>
      <c r="F5725" s="566">
        <v>8000000</v>
      </c>
      <c r="G5725" s="564" t="s">
        <v>12293</v>
      </c>
      <c r="H5725" s="564" t="s">
        <v>2546</v>
      </c>
      <c r="I5725" s="564" t="s">
        <v>12309</v>
      </c>
      <c r="J5725" s="564" t="s">
        <v>1069</v>
      </c>
      <c r="K5725" s="564" t="s">
        <v>2466</v>
      </c>
      <c r="L5725" s="564" t="s">
        <v>2467</v>
      </c>
      <c r="M5725" s="564" t="s">
        <v>2466</v>
      </c>
      <c r="N5725" s="564" t="s">
        <v>1082</v>
      </c>
      <c r="O5725" s="564" t="s">
        <v>12077</v>
      </c>
      <c r="P5725" s="23"/>
      <c r="Q5725" s="23"/>
      <c r="R5725" s="23"/>
      <c r="S5725" s="23"/>
      <c r="T5725" s="23"/>
      <c r="U5725" s="23"/>
      <c r="V5725" s="23"/>
      <c r="W5725" s="23"/>
      <c r="X5725" s="23"/>
      <c r="Y5725" s="23"/>
      <c r="Z5725" s="23"/>
    </row>
    <row r="5726" spans="1:26" ht="13">
      <c r="A5726" s="562" t="s">
        <v>12310</v>
      </c>
      <c r="B5726" s="563" t="s">
        <v>12311</v>
      </c>
      <c r="C5726" s="564" t="s">
        <v>2484</v>
      </c>
      <c r="D5726" s="565">
        <v>40670</v>
      </c>
      <c r="E5726" s="565">
        <v>40877</v>
      </c>
      <c r="F5726" s="566">
        <v>27630000</v>
      </c>
      <c r="G5726" s="564" t="s">
        <v>12124</v>
      </c>
      <c r="H5726" s="564" t="s">
        <v>12125</v>
      </c>
      <c r="I5726" s="564" t="s">
        <v>12312</v>
      </c>
      <c r="J5726" s="564" t="s">
        <v>1069</v>
      </c>
      <c r="K5726" s="564" t="s">
        <v>2466</v>
      </c>
      <c r="L5726" s="564" t="s">
        <v>2467</v>
      </c>
      <c r="M5726" s="564" t="s">
        <v>2466</v>
      </c>
      <c r="N5726" s="564" t="s">
        <v>1082</v>
      </c>
      <c r="O5726" s="564" t="s">
        <v>12077</v>
      </c>
      <c r="P5726" s="23"/>
      <c r="Q5726" s="23"/>
      <c r="R5726" s="23"/>
      <c r="S5726" s="23"/>
      <c r="T5726" s="23"/>
      <c r="U5726" s="23"/>
      <c r="V5726" s="23"/>
      <c r="W5726" s="23"/>
      <c r="X5726" s="23"/>
      <c r="Y5726" s="23"/>
      <c r="Z5726" s="23"/>
    </row>
    <row r="5727" spans="1:26" ht="13">
      <c r="A5727" s="562" t="s">
        <v>12313</v>
      </c>
      <c r="B5727" s="563" t="s">
        <v>12314</v>
      </c>
      <c r="C5727" s="564" t="s">
        <v>2484</v>
      </c>
      <c r="D5727" s="565">
        <v>40718</v>
      </c>
      <c r="E5727" s="565">
        <v>40882</v>
      </c>
      <c r="F5727" s="566">
        <v>13181818</v>
      </c>
      <c r="G5727" s="564" t="s">
        <v>12293</v>
      </c>
      <c r="H5727" s="564" t="s">
        <v>12096</v>
      </c>
      <c r="I5727" s="564" t="s">
        <v>12315</v>
      </c>
      <c r="J5727" s="564" t="s">
        <v>1069</v>
      </c>
      <c r="K5727" s="564" t="s">
        <v>2466</v>
      </c>
      <c r="L5727" s="564" t="s">
        <v>2467</v>
      </c>
      <c r="M5727" s="564" t="s">
        <v>2466</v>
      </c>
      <c r="N5727" s="564" t="s">
        <v>1082</v>
      </c>
      <c r="O5727" s="564" t="s">
        <v>12077</v>
      </c>
      <c r="P5727" s="23"/>
      <c r="Q5727" s="23"/>
      <c r="R5727" s="23"/>
      <c r="S5727" s="23"/>
      <c r="T5727" s="23"/>
      <c r="U5727" s="23"/>
      <c r="V5727" s="23"/>
      <c r="W5727" s="23"/>
      <c r="X5727" s="23"/>
      <c r="Y5727" s="23"/>
      <c r="Z5727" s="23"/>
    </row>
    <row r="5728" spans="1:26" ht="13">
      <c r="A5728" s="562" t="s">
        <v>12316</v>
      </c>
      <c r="B5728" s="563" t="s">
        <v>12317</v>
      </c>
      <c r="C5728" s="564" t="s">
        <v>2484</v>
      </c>
      <c r="D5728" s="565">
        <v>40717</v>
      </c>
      <c r="E5728" s="565">
        <v>41263</v>
      </c>
      <c r="F5728" s="566">
        <v>141000000</v>
      </c>
      <c r="G5728" s="564" t="s">
        <v>12318</v>
      </c>
      <c r="H5728" s="564" t="s">
        <v>12120</v>
      </c>
      <c r="I5728" s="564" t="s">
        <v>12319</v>
      </c>
      <c r="J5728" s="564" t="s">
        <v>1069</v>
      </c>
      <c r="K5728" s="564" t="s">
        <v>2466</v>
      </c>
      <c r="L5728" s="564" t="s">
        <v>2467</v>
      </c>
      <c r="M5728" s="564" t="s">
        <v>2466</v>
      </c>
      <c r="N5728" s="564" t="s">
        <v>2439</v>
      </c>
      <c r="O5728" s="564" t="s">
        <v>12077</v>
      </c>
      <c r="P5728" s="23"/>
      <c r="Q5728" s="23"/>
      <c r="R5728" s="23"/>
      <c r="S5728" s="23"/>
      <c r="T5728" s="23"/>
      <c r="U5728" s="23"/>
      <c r="V5728" s="23"/>
      <c r="W5728" s="23"/>
      <c r="X5728" s="23"/>
      <c r="Y5728" s="23"/>
      <c r="Z5728" s="23"/>
    </row>
    <row r="5729" spans="1:26" ht="13">
      <c r="A5729" s="562" t="s">
        <v>12320</v>
      </c>
      <c r="B5729" s="563" t="s">
        <v>12321</v>
      </c>
      <c r="C5729" s="564" t="s">
        <v>2484</v>
      </c>
      <c r="D5729" s="565">
        <v>40716</v>
      </c>
      <c r="E5729" s="565">
        <v>40752</v>
      </c>
      <c r="F5729" s="566">
        <v>33181819</v>
      </c>
      <c r="G5729" s="564" t="s">
        <v>12075</v>
      </c>
      <c r="H5729" s="564" t="s">
        <v>2459</v>
      </c>
      <c r="I5729" s="564" t="s">
        <v>12322</v>
      </c>
      <c r="J5729" s="564" t="s">
        <v>1069</v>
      </c>
      <c r="K5729" s="564" t="s">
        <v>2466</v>
      </c>
      <c r="L5729" s="564" t="s">
        <v>2467</v>
      </c>
      <c r="M5729" s="564" t="s">
        <v>2466</v>
      </c>
      <c r="N5729" s="564" t="s">
        <v>1368</v>
      </c>
      <c r="O5729" s="564" t="s">
        <v>4798</v>
      </c>
      <c r="P5729" s="23"/>
      <c r="Q5729" s="23"/>
      <c r="R5729" s="23"/>
      <c r="S5729" s="23"/>
      <c r="T5729" s="23"/>
      <c r="U5729" s="23"/>
      <c r="V5729" s="23"/>
      <c r="W5729" s="23"/>
      <c r="X5729" s="23"/>
      <c r="Y5729" s="23"/>
      <c r="Z5729" s="23"/>
    </row>
    <row r="5730" spans="1:26" ht="13">
      <c r="A5730" s="562" t="s">
        <v>12323</v>
      </c>
      <c r="B5730" s="563" t="s">
        <v>12324</v>
      </c>
      <c r="C5730" s="564" t="s">
        <v>2484</v>
      </c>
      <c r="D5730" s="565">
        <v>40716</v>
      </c>
      <c r="E5730" s="565">
        <v>40780</v>
      </c>
      <c r="F5730" s="566">
        <v>28000000</v>
      </c>
      <c r="G5730" s="564" t="s">
        <v>12075</v>
      </c>
      <c r="H5730" s="564" t="s">
        <v>2546</v>
      </c>
      <c r="I5730" s="564" t="s">
        <v>2574</v>
      </c>
      <c r="J5730" s="564" t="s">
        <v>1069</v>
      </c>
      <c r="K5730" s="564" t="s">
        <v>2466</v>
      </c>
      <c r="L5730" s="564" t="s">
        <v>2467</v>
      </c>
      <c r="M5730" s="564" t="s">
        <v>2466</v>
      </c>
      <c r="N5730" s="564" t="s">
        <v>1082</v>
      </c>
      <c r="O5730" s="564" t="s">
        <v>12077</v>
      </c>
      <c r="P5730" s="23"/>
      <c r="Q5730" s="23"/>
      <c r="R5730" s="23"/>
      <c r="S5730" s="23"/>
      <c r="T5730" s="23"/>
      <c r="U5730" s="23"/>
      <c r="V5730" s="23"/>
      <c r="W5730" s="23"/>
      <c r="X5730" s="23"/>
      <c r="Y5730" s="23"/>
      <c r="Z5730" s="23"/>
    </row>
    <row r="5731" spans="1:26" ht="13">
      <c r="A5731" s="562" t="s">
        <v>12325</v>
      </c>
      <c r="B5731" s="563" t="s">
        <v>12326</v>
      </c>
      <c r="C5731" s="564" t="s">
        <v>2484</v>
      </c>
      <c r="D5731" s="565">
        <v>40708</v>
      </c>
      <c r="E5731" s="565">
        <v>40710</v>
      </c>
      <c r="F5731" s="566">
        <v>1000000</v>
      </c>
      <c r="G5731" s="564" t="s">
        <v>2533</v>
      </c>
      <c r="H5731" s="564" t="s">
        <v>2546</v>
      </c>
      <c r="I5731" s="564" t="s">
        <v>12327</v>
      </c>
      <c r="J5731" s="564" t="s">
        <v>1069</v>
      </c>
      <c r="K5731" s="564" t="s">
        <v>2466</v>
      </c>
      <c r="L5731" s="564" t="s">
        <v>2467</v>
      </c>
      <c r="M5731" s="564" t="s">
        <v>2466</v>
      </c>
      <c r="N5731" s="564" t="s">
        <v>1082</v>
      </c>
      <c r="O5731" s="564" t="s">
        <v>4798</v>
      </c>
      <c r="P5731" s="23"/>
      <c r="Q5731" s="23"/>
      <c r="R5731" s="23"/>
      <c r="S5731" s="23"/>
      <c r="T5731" s="23"/>
      <c r="U5731" s="23"/>
      <c r="V5731" s="23"/>
      <c r="W5731" s="23"/>
      <c r="X5731" s="23"/>
      <c r="Y5731" s="23"/>
      <c r="Z5731" s="23"/>
    </row>
    <row r="5732" spans="1:26" ht="13">
      <c r="A5732" s="562" t="s">
        <v>12328</v>
      </c>
      <c r="B5732" s="563" t="s">
        <v>12329</v>
      </c>
      <c r="C5732" s="564" t="s">
        <v>2484</v>
      </c>
      <c r="D5732" s="565">
        <v>40696</v>
      </c>
      <c r="E5732" s="565">
        <v>40875</v>
      </c>
      <c r="F5732" s="566">
        <v>30596246</v>
      </c>
      <c r="G5732" s="564" t="s">
        <v>12133</v>
      </c>
      <c r="H5732" s="564" t="s">
        <v>12120</v>
      </c>
      <c r="I5732" s="564" t="s">
        <v>4326</v>
      </c>
      <c r="J5732" s="564" t="s">
        <v>1069</v>
      </c>
      <c r="K5732" s="564" t="s">
        <v>2466</v>
      </c>
      <c r="L5732" s="564" t="s">
        <v>2467</v>
      </c>
      <c r="M5732" s="564" t="s">
        <v>2466</v>
      </c>
      <c r="N5732" s="564" t="s">
        <v>2325</v>
      </c>
      <c r="O5732" s="564" t="s">
        <v>12077</v>
      </c>
      <c r="P5732" s="23"/>
      <c r="Q5732" s="23"/>
      <c r="R5732" s="23"/>
      <c r="S5732" s="23"/>
      <c r="T5732" s="23"/>
      <c r="U5732" s="23"/>
      <c r="V5732" s="23"/>
      <c r="W5732" s="23"/>
      <c r="X5732" s="23"/>
      <c r="Y5732" s="23"/>
      <c r="Z5732" s="23"/>
    </row>
    <row r="5733" spans="1:26" ht="13">
      <c r="A5733" s="562" t="s">
        <v>12330</v>
      </c>
      <c r="B5733" s="563" t="s">
        <v>12331</v>
      </c>
      <c r="C5733" s="564" t="s">
        <v>2484</v>
      </c>
      <c r="D5733" s="565">
        <v>40694</v>
      </c>
      <c r="E5733" s="565">
        <v>40899</v>
      </c>
      <c r="F5733" s="566">
        <v>190909091</v>
      </c>
      <c r="G5733" s="564" t="s">
        <v>12129</v>
      </c>
      <c r="H5733" s="564" t="s">
        <v>12125</v>
      </c>
      <c r="I5733" s="564" t="s">
        <v>12297</v>
      </c>
      <c r="J5733" s="564" t="s">
        <v>1069</v>
      </c>
      <c r="K5733" s="564" t="s">
        <v>2466</v>
      </c>
      <c r="L5733" s="564" t="s">
        <v>2467</v>
      </c>
      <c r="M5733" s="564" t="s">
        <v>2466</v>
      </c>
      <c r="N5733" s="564" t="s">
        <v>2439</v>
      </c>
      <c r="O5733" s="564" t="s">
        <v>12077</v>
      </c>
      <c r="P5733" s="23"/>
      <c r="Q5733" s="23"/>
      <c r="R5733" s="23"/>
      <c r="S5733" s="23"/>
      <c r="T5733" s="23"/>
      <c r="U5733" s="23"/>
      <c r="V5733" s="23"/>
      <c r="W5733" s="23"/>
      <c r="X5733" s="23"/>
      <c r="Y5733" s="23"/>
      <c r="Z5733" s="23"/>
    </row>
    <row r="5734" spans="1:26" ht="13">
      <c r="A5734" s="562" t="s">
        <v>12332</v>
      </c>
      <c r="B5734" s="563" t="s">
        <v>12333</v>
      </c>
      <c r="C5734" s="564" t="s">
        <v>2484</v>
      </c>
      <c r="D5734" s="565">
        <v>40687</v>
      </c>
      <c r="E5734" s="565">
        <v>40717</v>
      </c>
      <c r="F5734" s="566">
        <v>29545454</v>
      </c>
      <c r="G5734" s="564" t="s">
        <v>12075</v>
      </c>
      <c r="H5734" s="564" t="s">
        <v>12125</v>
      </c>
      <c r="I5734" s="564" t="s">
        <v>12334</v>
      </c>
      <c r="J5734" s="564" t="s">
        <v>1069</v>
      </c>
      <c r="K5734" s="564" t="s">
        <v>2466</v>
      </c>
      <c r="L5734" s="564" t="s">
        <v>2467</v>
      </c>
      <c r="M5734" s="564" t="s">
        <v>2466</v>
      </c>
      <c r="N5734" s="564" t="s">
        <v>2439</v>
      </c>
      <c r="O5734" s="564" t="s">
        <v>4798</v>
      </c>
      <c r="P5734" s="23"/>
      <c r="Q5734" s="23"/>
      <c r="R5734" s="23"/>
      <c r="S5734" s="23"/>
      <c r="T5734" s="23"/>
      <c r="U5734" s="23"/>
      <c r="V5734" s="23"/>
      <c r="W5734" s="23"/>
      <c r="X5734" s="23"/>
      <c r="Y5734" s="23"/>
      <c r="Z5734" s="23"/>
    </row>
    <row r="5735" spans="1:26" ht="13">
      <c r="A5735" s="562" t="s">
        <v>12335</v>
      </c>
      <c r="B5735" s="563" t="s">
        <v>12336</v>
      </c>
      <c r="C5735" s="564" t="s">
        <v>2484</v>
      </c>
      <c r="D5735" s="565">
        <v>40664</v>
      </c>
      <c r="E5735" s="565">
        <v>40998</v>
      </c>
      <c r="F5735" s="566">
        <v>10000000</v>
      </c>
      <c r="G5735" s="564" t="s">
        <v>12337</v>
      </c>
      <c r="H5735" s="564" t="s">
        <v>12096</v>
      </c>
      <c r="I5735" s="564" t="s">
        <v>9860</v>
      </c>
      <c r="J5735" s="564" t="s">
        <v>1069</v>
      </c>
      <c r="K5735" s="564" t="s">
        <v>2466</v>
      </c>
      <c r="L5735" s="564" t="s">
        <v>2467</v>
      </c>
      <c r="M5735" s="564" t="s">
        <v>2466</v>
      </c>
      <c r="N5735" s="564" t="s">
        <v>1082</v>
      </c>
      <c r="O5735" s="564" t="s">
        <v>12077</v>
      </c>
      <c r="P5735" s="23"/>
      <c r="Q5735" s="23"/>
      <c r="R5735" s="23"/>
      <c r="S5735" s="23"/>
      <c r="T5735" s="23"/>
      <c r="U5735" s="23"/>
      <c r="V5735" s="23"/>
      <c r="W5735" s="23"/>
      <c r="X5735" s="23"/>
      <c r="Y5735" s="23"/>
      <c r="Z5735" s="23"/>
    </row>
    <row r="5736" spans="1:26" ht="13">
      <c r="A5736" s="562" t="s">
        <v>12338</v>
      </c>
      <c r="B5736" s="563" t="s">
        <v>12339</v>
      </c>
      <c r="C5736" s="564" t="s">
        <v>2484</v>
      </c>
      <c r="D5736" s="565">
        <v>40654</v>
      </c>
      <c r="E5736" s="565">
        <v>40674</v>
      </c>
      <c r="F5736" s="566">
        <v>9000000</v>
      </c>
      <c r="G5736" s="564" t="s">
        <v>12293</v>
      </c>
      <c r="H5736" s="564" t="s">
        <v>12096</v>
      </c>
      <c r="I5736" s="564" t="s">
        <v>12340</v>
      </c>
      <c r="J5736" s="564" t="s">
        <v>1069</v>
      </c>
      <c r="K5736" s="564" t="s">
        <v>2466</v>
      </c>
      <c r="L5736" s="564" t="s">
        <v>2467</v>
      </c>
      <c r="M5736" s="564" t="s">
        <v>2466</v>
      </c>
      <c r="N5736" s="564" t="s">
        <v>2543</v>
      </c>
      <c r="O5736" s="564" t="s">
        <v>12077</v>
      </c>
      <c r="P5736" s="23"/>
      <c r="Q5736" s="23"/>
      <c r="R5736" s="23"/>
      <c r="S5736" s="23"/>
      <c r="T5736" s="23"/>
      <c r="U5736" s="23"/>
      <c r="V5736" s="23"/>
      <c r="W5736" s="23"/>
      <c r="X5736" s="23"/>
      <c r="Y5736" s="23"/>
      <c r="Z5736" s="23"/>
    </row>
    <row r="5737" spans="1:26" ht="13">
      <c r="A5737" s="562" t="s">
        <v>12341</v>
      </c>
      <c r="B5737" s="563" t="s">
        <v>12342</v>
      </c>
      <c r="C5737" s="564" t="s">
        <v>2484</v>
      </c>
      <c r="D5737" s="565">
        <v>40659</v>
      </c>
      <c r="E5737" s="565">
        <v>40869</v>
      </c>
      <c r="F5737" s="566">
        <v>247260727</v>
      </c>
      <c r="G5737" s="564" t="s">
        <v>12075</v>
      </c>
      <c r="H5737" s="564" t="s">
        <v>12096</v>
      </c>
      <c r="I5737" s="564" t="s">
        <v>12081</v>
      </c>
      <c r="J5737" s="564" t="s">
        <v>1069</v>
      </c>
      <c r="K5737" s="564" t="s">
        <v>2466</v>
      </c>
      <c r="L5737" s="564" t="s">
        <v>2467</v>
      </c>
      <c r="M5737" s="564" t="s">
        <v>2466</v>
      </c>
      <c r="N5737" s="564" t="s">
        <v>2439</v>
      </c>
      <c r="O5737" s="564" t="s">
        <v>12077</v>
      </c>
      <c r="P5737" s="23"/>
      <c r="Q5737" s="23"/>
      <c r="R5737" s="23"/>
      <c r="S5737" s="23"/>
      <c r="T5737" s="23"/>
      <c r="U5737" s="23"/>
      <c r="V5737" s="23"/>
      <c r="W5737" s="23"/>
      <c r="X5737" s="23"/>
      <c r="Y5737" s="23"/>
      <c r="Z5737" s="23"/>
    </row>
    <row r="5738" spans="1:26" ht="13">
      <c r="A5738" s="562" t="s">
        <v>12343</v>
      </c>
      <c r="B5738" s="563" t="s">
        <v>12344</v>
      </c>
      <c r="C5738" s="564" t="s">
        <v>2484</v>
      </c>
      <c r="D5738" s="565">
        <v>40634</v>
      </c>
      <c r="E5738" s="565">
        <v>40865</v>
      </c>
      <c r="F5738" s="566">
        <v>191818182</v>
      </c>
      <c r="G5738" s="564" t="s">
        <v>12133</v>
      </c>
      <c r="H5738" s="564" t="s">
        <v>12120</v>
      </c>
      <c r="I5738" s="564" t="s">
        <v>12345</v>
      </c>
      <c r="J5738" s="564" t="s">
        <v>1069</v>
      </c>
      <c r="K5738" s="564" t="s">
        <v>2466</v>
      </c>
      <c r="L5738" s="564" t="s">
        <v>2467</v>
      </c>
      <c r="M5738" s="564" t="s">
        <v>2466</v>
      </c>
      <c r="N5738" s="564" t="s">
        <v>1368</v>
      </c>
      <c r="O5738" s="564" t="s">
        <v>12077</v>
      </c>
      <c r="P5738" s="23"/>
      <c r="Q5738" s="23"/>
      <c r="R5738" s="23"/>
      <c r="S5738" s="23"/>
      <c r="T5738" s="23"/>
      <c r="U5738" s="23"/>
      <c r="V5738" s="23"/>
      <c r="W5738" s="23"/>
      <c r="X5738" s="23"/>
      <c r="Y5738" s="23"/>
      <c r="Z5738" s="23"/>
    </row>
    <row r="5739" spans="1:26" ht="13">
      <c r="A5739" s="562" t="s">
        <v>12346</v>
      </c>
      <c r="B5739" s="563" t="s">
        <v>12347</v>
      </c>
      <c r="C5739" s="564" t="s">
        <v>2484</v>
      </c>
      <c r="D5739" s="565">
        <v>40653</v>
      </c>
      <c r="E5739" s="565">
        <v>40678</v>
      </c>
      <c r="F5739" s="566">
        <v>36363636</v>
      </c>
      <c r="G5739" s="564" t="s">
        <v>12293</v>
      </c>
      <c r="H5739" s="564" t="s">
        <v>2546</v>
      </c>
      <c r="I5739" s="564" t="s">
        <v>12348</v>
      </c>
      <c r="J5739" s="564" t="s">
        <v>1069</v>
      </c>
      <c r="K5739" s="564" t="s">
        <v>2466</v>
      </c>
      <c r="L5739" s="564" t="s">
        <v>2467</v>
      </c>
      <c r="M5739" s="564" t="s">
        <v>2466</v>
      </c>
      <c r="N5739" s="564" t="s">
        <v>1082</v>
      </c>
      <c r="O5739" s="564" t="s">
        <v>12077</v>
      </c>
      <c r="P5739" s="23"/>
      <c r="Q5739" s="23"/>
      <c r="R5739" s="23"/>
      <c r="S5739" s="23"/>
      <c r="T5739" s="23"/>
      <c r="U5739" s="23"/>
      <c r="V5739" s="23"/>
      <c r="W5739" s="23"/>
      <c r="X5739" s="23"/>
      <c r="Y5739" s="23"/>
      <c r="Z5739" s="23"/>
    </row>
    <row r="5740" spans="1:26" ht="13">
      <c r="A5740" s="562" t="s">
        <v>12349</v>
      </c>
      <c r="B5740" s="563" t="s">
        <v>12350</v>
      </c>
      <c r="C5740" s="564" t="s">
        <v>2484</v>
      </c>
      <c r="D5740" s="565">
        <v>40634</v>
      </c>
      <c r="E5740" s="565">
        <v>40663</v>
      </c>
      <c r="F5740" s="566">
        <v>30000000</v>
      </c>
      <c r="G5740" s="564" t="s">
        <v>12133</v>
      </c>
      <c r="H5740" s="564" t="s">
        <v>2546</v>
      </c>
      <c r="I5740" s="564" t="s">
        <v>10189</v>
      </c>
      <c r="J5740" s="564" t="s">
        <v>1069</v>
      </c>
      <c r="K5740" s="564" t="s">
        <v>2466</v>
      </c>
      <c r="L5740" s="564" t="s">
        <v>2467</v>
      </c>
      <c r="M5740" s="564" t="s">
        <v>2466</v>
      </c>
      <c r="N5740" s="564" t="s">
        <v>1082</v>
      </c>
      <c r="O5740" s="564" t="s">
        <v>12077</v>
      </c>
      <c r="P5740" s="23"/>
      <c r="Q5740" s="23"/>
      <c r="R5740" s="23"/>
      <c r="S5740" s="23"/>
      <c r="T5740" s="23"/>
      <c r="U5740" s="23"/>
      <c r="V5740" s="23"/>
      <c r="W5740" s="23"/>
      <c r="X5740" s="23"/>
      <c r="Y5740" s="23"/>
      <c r="Z5740" s="23"/>
    </row>
    <row r="5741" spans="1:26" ht="13">
      <c r="A5741" s="562" t="s">
        <v>12351</v>
      </c>
      <c r="B5741" s="563" t="s">
        <v>12352</v>
      </c>
      <c r="C5741" s="564" t="s">
        <v>2484</v>
      </c>
      <c r="D5741" s="565">
        <v>40646</v>
      </c>
      <c r="E5741" s="565">
        <v>40870</v>
      </c>
      <c r="F5741" s="566">
        <v>204290909</v>
      </c>
      <c r="G5741" s="564" t="s">
        <v>12075</v>
      </c>
      <c r="H5741" s="564" t="s">
        <v>12096</v>
      </c>
      <c r="I5741" s="564" t="s">
        <v>12081</v>
      </c>
      <c r="J5741" s="564" t="s">
        <v>1069</v>
      </c>
      <c r="K5741" s="564" t="s">
        <v>2466</v>
      </c>
      <c r="L5741" s="564" t="s">
        <v>2467</v>
      </c>
      <c r="M5741" s="564" t="s">
        <v>2466</v>
      </c>
      <c r="N5741" s="564" t="s">
        <v>2439</v>
      </c>
      <c r="O5741" s="564" t="s">
        <v>12077</v>
      </c>
      <c r="P5741" s="23"/>
      <c r="Q5741" s="23"/>
      <c r="R5741" s="23"/>
      <c r="S5741" s="23"/>
      <c r="T5741" s="23"/>
      <c r="U5741" s="23"/>
      <c r="V5741" s="23"/>
      <c r="W5741" s="23"/>
      <c r="X5741" s="23"/>
      <c r="Y5741" s="23"/>
      <c r="Z5741" s="23"/>
    </row>
    <row r="5742" spans="1:26" ht="13">
      <c r="A5742" s="562" t="s">
        <v>12353</v>
      </c>
      <c r="B5742" s="563" t="s">
        <v>12354</v>
      </c>
      <c r="C5742" s="564" t="s">
        <v>2191</v>
      </c>
      <c r="D5742" s="565">
        <v>40641</v>
      </c>
      <c r="E5742" s="565">
        <v>41005</v>
      </c>
      <c r="F5742" s="566">
        <v>91545455</v>
      </c>
      <c r="G5742" s="564" t="s">
        <v>12129</v>
      </c>
      <c r="H5742" s="564" t="s">
        <v>2459</v>
      </c>
      <c r="I5742" s="564" t="s">
        <v>12297</v>
      </c>
      <c r="J5742" s="564" t="s">
        <v>1069</v>
      </c>
      <c r="K5742" s="564" t="s">
        <v>2466</v>
      </c>
      <c r="L5742" s="564" t="s">
        <v>2467</v>
      </c>
      <c r="M5742" s="564" t="s">
        <v>2466</v>
      </c>
      <c r="N5742" s="564" t="s">
        <v>2439</v>
      </c>
      <c r="O5742" s="564" t="s">
        <v>12077</v>
      </c>
      <c r="P5742" s="23"/>
      <c r="Q5742" s="23"/>
      <c r="R5742" s="23"/>
      <c r="S5742" s="23"/>
      <c r="T5742" s="23"/>
      <c r="U5742" s="23"/>
      <c r="V5742" s="23"/>
      <c r="W5742" s="23"/>
      <c r="X5742" s="23"/>
      <c r="Y5742" s="23"/>
      <c r="Z5742" s="23"/>
    </row>
    <row r="5743" spans="1:26" ht="13">
      <c r="A5743" s="562" t="s">
        <v>12355</v>
      </c>
      <c r="B5743" s="563" t="s">
        <v>12356</v>
      </c>
      <c r="C5743" s="564" t="s">
        <v>2484</v>
      </c>
      <c r="D5743" s="565">
        <v>40639</v>
      </c>
      <c r="E5743" s="565">
        <v>40669</v>
      </c>
      <c r="F5743" s="566">
        <v>29700000</v>
      </c>
      <c r="G5743" s="564" t="s">
        <v>12075</v>
      </c>
      <c r="H5743" s="564" t="s">
        <v>2546</v>
      </c>
      <c r="I5743" s="564" t="s">
        <v>2542</v>
      </c>
      <c r="J5743" s="564" t="s">
        <v>1069</v>
      </c>
      <c r="K5743" s="564" t="s">
        <v>2466</v>
      </c>
      <c r="L5743" s="564" t="s">
        <v>2467</v>
      </c>
      <c r="M5743" s="564" t="s">
        <v>2466</v>
      </c>
      <c r="N5743" s="564" t="s">
        <v>2543</v>
      </c>
      <c r="O5743" s="564" t="s">
        <v>4798</v>
      </c>
      <c r="P5743" s="23"/>
      <c r="Q5743" s="23"/>
      <c r="R5743" s="23"/>
      <c r="S5743" s="23"/>
      <c r="T5743" s="23"/>
      <c r="U5743" s="23"/>
      <c r="V5743" s="23"/>
      <c r="W5743" s="23"/>
      <c r="X5743" s="23"/>
      <c r="Y5743" s="23"/>
      <c r="Z5743" s="23"/>
    </row>
    <row r="5744" spans="1:26" ht="13">
      <c r="A5744" s="562" t="s">
        <v>12357</v>
      </c>
      <c r="B5744" s="563" t="s">
        <v>12358</v>
      </c>
      <c r="C5744" s="564" t="s">
        <v>2484</v>
      </c>
      <c r="D5744" s="565">
        <v>40639</v>
      </c>
      <c r="E5744" s="565">
        <v>40840</v>
      </c>
      <c r="F5744" s="566">
        <v>153090909</v>
      </c>
      <c r="G5744" s="564" t="s">
        <v>12075</v>
      </c>
      <c r="H5744" s="564" t="s">
        <v>12096</v>
      </c>
      <c r="I5744" s="564" t="s">
        <v>12081</v>
      </c>
      <c r="J5744" s="564" t="s">
        <v>1069</v>
      </c>
      <c r="K5744" s="564" t="s">
        <v>2466</v>
      </c>
      <c r="L5744" s="564" t="s">
        <v>2467</v>
      </c>
      <c r="M5744" s="564" t="s">
        <v>2466</v>
      </c>
      <c r="N5744" s="564" t="s">
        <v>2439</v>
      </c>
      <c r="O5744" s="564" t="s">
        <v>12077</v>
      </c>
      <c r="P5744" s="23"/>
      <c r="Q5744" s="23"/>
      <c r="R5744" s="23"/>
      <c r="S5744" s="23"/>
      <c r="T5744" s="23"/>
      <c r="U5744" s="23"/>
      <c r="V5744" s="23"/>
      <c r="W5744" s="23"/>
      <c r="X5744" s="23"/>
      <c r="Y5744" s="23"/>
      <c r="Z5744" s="23"/>
    </row>
    <row r="5745" spans="1:26" ht="13">
      <c r="A5745" s="562" t="s">
        <v>12359</v>
      </c>
      <c r="B5745" s="563" t="s">
        <v>12360</v>
      </c>
      <c r="C5745" s="564" t="s">
        <v>2484</v>
      </c>
      <c r="D5745" s="565">
        <v>40582</v>
      </c>
      <c r="E5745" s="565">
        <v>40908</v>
      </c>
      <c r="F5745" s="566">
        <v>22800000</v>
      </c>
      <c r="G5745" s="564" t="s">
        <v>12129</v>
      </c>
      <c r="H5745" s="564" t="s">
        <v>12125</v>
      </c>
      <c r="I5745" s="564" t="s">
        <v>12361</v>
      </c>
      <c r="J5745" s="564" t="s">
        <v>1069</v>
      </c>
      <c r="K5745" s="564" t="s">
        <v>2466</v>
      </c>
      <c r="L5745" s="564" t="s">
        <v>2467</v>
      </c>
      <c r="M5745" s="564" t="s">
        <v>2466</v>
      </c>
      <c r="N5745" s="564" t="s">
        <v>2543</v>
      </c>
      <c r="O5745" s="564" t="s">
        <v>12077</v>
      </c>
      <c r="P5745" s="23"/>
      <c r="Q5745" s="23"/>
      <c r="R5745" s="23"/>
      <c r="S5745" s="23"/>
      <c r="T5745" s="23"/>
      <c r="U5745" s="23"/>
      <c r="V5745" s="23"/>
      <c r="W5745" s="23"/>
      <c r="X5745" s="23"/>
      <c r="Y5745" s="23"/>
      <c r="Z5745" s="23"/>
    </row>
    <row r="5746" spans="1:26" ht="13">
      <c r="A5746" s="562" t="s">
        <v>12362</v>
      </c>
      <c r="B5746" s="563" t="s">
        <v>12363</v>
      </c>
      <c r="C5746" s="564" t="s">
        <v>2484</v>
      </c>
      <c r="D5746" s="565">
        <v>40604</v>
      </c>
      <c r="E5746" s="565">
        <v>40613</v>
      </c>
      <c r="F5746" s="566">
        <v>2272727</v>
      </c>
      <c r="G5746" s="564" t="s">
        <v>12364</v>
      </c>
      <c r="H5746" s="564" t="s">
        <v>12365</v>
      </c>
      <c r="I5746" s="564" t="s">
        <v>12366</v>
      </c>
      <c r="J5746" s="564" t="s">
        <v>1069</v>
      </c>
      <c r="K5746" s="564" t="s">
        <v>2466</v>
      </c>
      <c r="L5746" s="564" t="s">
        <v>2467</v>
      </c>
      <c r="M5746" s="564" t="s">
        <v>2466</v>
      </c>
      <c r="N5746" s="564" t="s">
        <v>1082</v>
      </c>
      <c r="O5746" s="564" t="s">
        <v>12077</v>
      </c>
      <c r="P5746" s="23"/>
      <c r="Q5746" s="23"/>
      <c r="R5746" s="23"/>
      <c r="S5746" s="23"/>
      <c r="T5746" s="23"/>
      <c r="U5746" s="23"/>
      <c r="V5746" s="23"/>
      <c r="W5746" s="23"/>
      <c r="X5746" s="23"/>
      <c r="Y5746" s="23"/>
      <c r="Z5746" s="23"/>
    </row>
    <row r="5747" spans="1:26" ht="13">
      <c r="A5747" s="562" t="s">
        <v>12367</v>
      </c>
      <c r="B5747" s="563" t="s">
        <v>12368</v>
      </c>
      <c r="C5747" s="564" t="s">
        <v>2484</v>
      </c>
      <c r="D5747" s="565">
        <v>40631</v>
      </c>
      <c r="E5747" s="565">
        <v>40640</v>
      </c>
      <c r="F5747" s="566">
        <v>1000000</v>
      </c>
      <c r="G5747" s="564" t="s">
        <v>12075</v>
      </c>
      <c r="H5747" s="564" t="s">
        <v>2546</v>
      </c>
      <c r="I5747" s="564" t="s">
        <v>12369</v>
      </c>
      <c r="J5747" s="564" t="s">
        <v>1069</v>
      </c>
      <c r="K5747" s="564" t="s">
        <v>2466</v>
      </c>
      <c r="L5747" s="564" t="s">
        <v>2467</v>
      </c>
      <c r="M5747" s="564" t="s">
        <v>2466</v>
      </c>
      <c r="N5747" s="564" t="s">
        <v>1082</v>
      </c>
      <c r="O5747" s="564" t="s">
        <v>4798</v>
      </c>
      <c r="P5747" s="23"/>
      <c r="Q5747" s="23"/>
      <c r="R5747" s="23"/>
      <c r="S5747" s="23"/>
      <c r="T5747" s="23"/>
      <c r="U5747" s="23"/>
      <c r="V5747" s="23"/>
      <c r="W5747" s="23"/>
      <c r="X5747" s="23"/>
      <c r="Y5747" s="23"/>
      <c r="Z5747" s="23"/>
    </row>
    <row r="5748" spans="1:26" ht="13">
      <c r="A5748" s="562" t="s">
        <v>12370</v>
      </c>
      <c r="B5748" s="563" t="s">
        <v>12371</v>
      </c>
      <c r="C5748" s="564" t="s">
        <v>2484</v>
      </c>
      <c r="D5748" s="565">
        <v>40630</v>
      </c>
      <c r="E5748" s="565">
        <v>40639</v>
      </c>
      <c r="F5748" s="566">
        <v>2000000</v>
      </c>
      <c r="G5748" s="564" t="s">
        <v>12075</v>
      </c>
      <c r="H5748" s="564" t="s">
        <v>2546</v>
      </c>
      <c r="I5748" s="564" t="s">
        <v>10189</v>
      </c>
      <c r="J5748" s="564" t="s">
        <v>1069</v>
      </c>
      <c r="K5748" s="564" t="s">
        <v>2466</v>
      </c>
      <c r="L5748" s="564" t="s">
        <v>2467</v>
      </c>
      <c r="M5748" s="564" t="s">
        <v>2466</v>
      </c>
      <c r="N5748" s="564" t="s">
        <v>1082</v>
      </c>
      <c r="O5748" s="564" t="s">
        <v>4798</v>
      </c>
      <c r="P5748" s="23"/>
      <c r="Q5748" s="23"/>
      <c r="R5748" s="23"/>
      <c r="S5748" s="23"/>
      <c r="T5748" s="23"/>
      <c r="U5748" s="23"/>
      <c r="V5748" s="23"/>
      <c r="W5748" s="23"/>
      <c r="X5748" s="23"/>
      <c r="Y5748" s="23"/>
      <c r="Z5748" s="23"/>
    </row>
    <row r="5749" spans="1:26" ht="13">
      <c r="A5749" s="562" t="s">
        <v>12372</v>
      </c>
      <c r="B5749" s="563" t="s">
        <v>12373</v>
      </c>
      <c r="C5749" s="564" t="s">
        <v>2484</v>
      </c>
      <c r="D5749" s="565">
        <v>40618</v>
      </c>
      <c r="E5749" s="565">
        <v>40619</v>
      </c>
      <c r="F5749" s="566">
        <v>1000000</v>
      </c>
      <c r="G5749" s="564" t="s">
        <v>12075</v>
      </c>
      <c r="H5749" s="564" t="s">
        <v>2546</v>
      </c>
      <c r="I5749" s="564" t="s">
        <v>12374</v>
      </c>
      <c r="J5749" s="564" t="s">
        <v>1069</v>
      </c>
      <c r="K5749" s="564" t="s">
        <v>2466</v>
      </c>
      <c r="L5749" s="564" t="s">
        <v>2467</v>
      </c>
      <c r="M5749" s="564" t="s">
        <v>2466</v>
      </c>
      <c r="N5749" s="564" t="s">
        <v>1082</v>
      </c>
      <c r="O5749" s="564" t="s">
        <v>4798</v>
      </c>
      <c r="P5749" s="23"/>
      <c r="Q5749" s="23"/>
      <c r="R5749" s="23"/>
      <c r="S5749" s="23"/>
      <c r="T5749" s="23"/>
      <c r="U5749" s="23"/>
      <c r="V5749" s="23"/>
      <c r="W5749" s="23"/>
      <c r="X5749" s="23"/>
      <c r="Y5749" s="23"/>
      <c r="Z5749" s="23"/>
    </row>
    <row r="5750" spans="1:26" ht="13">
      <c r="A5750" s="562" t="s">
        <v>12375</v>
      </c>
      <c r="B5750" s="563" t="s">
        <v>12376</v>
      </c>
      <c r="C5750" s="564" t="s">
        <v>2484</v>
      </c>
      <c r="D5750" s="565">
        <v>40602</v>
      </c>
      <c r="E5750" s="565">
        <v>40609</v>
      </c>
      <c r="F5750" s="566">
        <v>2000000</v>
      </c>
      <c r="G5750" s="564" t="s">
        <v>12075</v>
      </c>
      <c r="H5750" s="564" t="s">
        <v>2546</v>
      </c>
      <c r="I5750" s="564" t="s">
        <v>12377</v>
      </c>
      <c r="J5750" s="564" t="s">
        <v>1069</v>
      </c>
      <c r="K5750" s="564" t="s">
        <v>2466</v>
      </c>
      <c r="L5750" s="564" t="s">
        <v>2467</v>
      </c>
      <c r="M5750" s="564" t="s">
        <v>2466</v>
      </c>
      <c r="N5750" s="564" t="s">
        <v>1082</v>
      </c>
      <c r="O5750" s="564" t="s">
        <v>4798</v>
      </c>
      <c r="P5750" s="23"/>
      <c r="Q5750" s="23"/>
      <c r="R5750" s="23"/>
      <c r="S5750" s="23"/>
      <c r="T5750" s="23"/>
      <c r="U5750" s="23"/>
      <c r="V5750" s="23"/>
      <c r="W5750" s="23"/>
      <c r="X5750" s="23"/>
      <c r="Y5750" s="23"/>
      <c r="Z5750" s="23"/>
    </row>
    <row r="5751" spans="1:26" ht="13">
      <c r="A5751" s="562" t="s">
        <v>12378</v>
      </c>
      <c r="B5751" s="563" t="s">
        <v>12379</v>
      </c>
      <c r="C5751" s="564" t="s">
        <v>2484</v>
      </c>
      <c r="D5751" s="565">
        <v>40595</v>
      </c>
      <c r="E5751" s="565">
        <v>40955</v>
      </c>
      <c r="F5751" s="566">
        <v>58921418</v>
      </c>
      <c r="G5751" s="564" t="s">
        <v>12129</v>
      </c>
      <c r="H5751" s="564" t="s">
        <v>2546</v>
      </c>
      <c r="I5751" s="564" t="s">
        <v>12130</v>
      </c>
      <c r="J5751" s="564" t="s">
        <v>1069</v>
      </c>
      <c r="K5751" s="564" t="s">
        <v>2466</v>
      </c>
      <c r="L5751" s="564" t="s">
        <v>2467</v>
      </c>
      <c r="M5751" s="564" t="s">
        <v>2466</v>
      </c>
      <c r="N5751" s="564" t="s">
        <v>2543</v>
      </c>
      <c r="O5751" s="564" t="s">
        <v>12077</v>
      </c>
      <c r="P5751" s="23"/>
      <c r="Q5751" s="23"/>
      <c r="R5751" s="23"/>
      <c r="S5751" s="23"/>
      <c r="T5751" s="23"/>
      <c r="U5751" s="23"/>
      <c r="V5751" s="23"/>
      <c r="W5751" s="23"/>
      <c r="X5751" s="23"/>
      <c r="Y5751" s="23"/>
      <c r="Z5751" s="23"/>
    </row>
    <row r="5752" spans="1:26" ht="13">
      <c r="A5752" s="562" t="s">
        <v>12380</v>
      </c>
      <c r="B5752" s="563" t="s">
        <v>12381</v>
      </c>
      <c r="C5752" s="564" t="s">
        <v>2484</v>
      </c>
      <c r="D5752" s="565">
        <v>40588</v>
      </c>
      <c r="E5752" s="565">
        <v>40702</v>
      </c>
      <c r="F5752" s="566">
        <v>267090909</v>
      </c>
      <c r="G5752" s="564" t="s">
        <v>12124</v>
      </c>
      <c r="H5752" s="564" t="s">
        <v>12096</v>
      </c>
      <c r="I5752" s="564" t="s">
        <v>12105</v>
      </c>
      <c r="J5752" s="564" t="s">
        <v>1069</v>
      </c>
      <c r="K5752" s="564" t="s">
        <v>2466</v>
      </c>
      <c r="L5752" s="564" t="s">
        <v>2467</v>
      </c>
      <c r="M5752" s="564" t="s">
        <v>2466</v>
      </c>
      <c r="N5752" s="564" t="s">
        <v>1082</v>
      </c>
      <c r="O5752" s="564" t="s">
        <v>12077</v>
      </c>
      <c r="P5752" s="23"/>
      <c r="Q5752" s="23"/>
      <c r="R5752" s="23"/>
      <c r="S5752" s="23"/>
      <c r="T5752" s="23"/>
      <c r="U5752" s="23"/>
      <c r="V5752" s="23"/>
      <c r="W5752" s="23"/>
      <c r="X5752" s="23"/>
      <c r="Y5752" s="23"/>
      <c r="Z5752" s="23"/>
    </row>
    <row r="5753" spans="1:26" ht="13">
      <c r="A5753" s="562" t="s">
        <v>12382</v>
      </c>
      <c r="B5753" s="563" t="s">
        <v>12383</v>
      </c>
      <c r="C5753" s="564" t="s">
        <v>2484</v>
      </c>
      <c r="D5753" s="565">
        <v>40581</v>
      </c>
      <c r="E5753" s="565">
        <v>40621</v>
      </c>
      <c r="F5753" s="566">
        <v>36472727</v>
      </c>
      <c r="G5753" s="564" t="s">
        <v>12133</v>
      </c>
      <c r="H5753" s="564" t="s">
        <v>12125</v>
      </c>
      <c r="I5753" s="564" t="s">
        <v>2515</v>
      </c>
      <c r="J5753" s="564" t="s">
        <v>1069</v>
      </c>
      <c r="K5753" s="564" t="s">
        <v>2466</v>
      </c>
      <c r="L5753" s="564" t="s">
        <v>2467</v>
      </c>
      <c r="M5753" s="564" t="s">
        <v>2466</v>
      </c>
      <c r="N5753" s="564" t="s">
        <v>2325</v>
      </c>
      <c r="O5753" s="564" t="s">
        <v>12077</v>
      </c>
      <c r="P5753" s="23"/>
      <c r="Q5753" s="23"/>
      <c r="R5753" s="23"/>
      <c r="S5753" s="23"/>
      <c r="T5753" s="23"/>
      <c r="U5753" s="23"/>
      <c r="V5753" s="23"/>
      <c r="W5753" s="23"/>
      <c r="X5753" s="23"/>
      <c r="Y5753" s="23"/>
      <c r="Z5753" s="23"/>
    </row>
    <row r="5754" spans="1:26" ht="13">
      <c r="A5754" s="562" t="s">
        <v>12384</v>
      </c>
      <c r="B5754" s="563" t="s">
        <v>12385</v>
      </c>
      <c r="C5754" s="564" t="s">
        <v>2484</v>
      </c>
      <c r="D5754" s="565">
        <v>40564</v>
      </c>
      <c r="E5754" s="565">
        <v>40754</v>
      </c>
      <c r="F5754" s="566">
        <v>59090910</v>
      </c>
      <c r="G5754" s="564" t="s">
        <v>12133</v>
      </c>
      <c r="H5754" s="564" t="s">
        <v>12125</v>
      </c>
      <c r="I5754" s="564" t="s">
        <v>12386</v>
      </c>
      <c r="J5754" s="564" t="s">
        <v>1069</v>
      </c>
      <c r="K5754" s="564" t="s">
        <v>2466</v>
      </c>
      <c r="L5754" s="564" t="s">
        <v>2467</v>
      </c>
      <c r="M5754" s="564" t="s">
        <v>2466</v>
      </c>
      <c r="N5754" s="564" t="s">
        <v>1082</v>
      </c>
      <c r="O5754" s="564" t="s">
        <v>12077</v>
      </c>
      <c r="P5754" s="23"/>
      <c r="Q5754" s="23"/>
      <c r="R5754" s="23"/>
      <c r="S5754" s="23"/>
      <c r="T5754" s="23"/>
      <c r="U5754" s="23"/>
      <c r="V5754" s="23"/>
      <c r="W5754" s="23"/>
      <c r="X5754" s="23"/>
      <c r="Y5754" s="23"/>
      <c r="Z5754" s="23"/>
    </row>
    <row r="5755" spans="1:26" ht="13">
      <c r="A5755" s="562" t="s">
        <v>12387</v>
      </c>
      <c r="B5755" s="563" t="s">
        <v>12388</v>
      </c>
      <c r="C5755" s="564" t="s">
        <v>2484</v>
      </c>
      <c r="D5755" s="565">
        <v>40555</v>
      </c>
      <c r="E5755" s="565">
        <v>40570</v>
      </c>
      <c r="F5755" s="566">
        <v>100000000</v>
      </c>
      <c r="G5755" s="564" t="s">
        <v>2540</v>
      </c>
      <c r="H5755" s="564" t="s">
        <v>2546</v>
      </c>
      <c r="I5755" s="564" t="s">
        <v>12389</v>
      </c>
      <c r="J5755" s="564" t="s">
        <v>1069</v>
      </c>
      <c r="K5755" s="564" t="s">
        <v>2466</v>
      </c>
      <c r="L5755" s="564" t="s">
        <v>2467</v>
      </c>
      <c r="M5755" s="564" t="s">
        <v>2466</v>
      </c>
      <c r="N5755" s="564" t="s">
        <v>1082</v>
      </c>
      <c r="O5755" s="564" t="s">
        <v>12077</v>
      </c>
      <c r="P5755" s="23"/>
      <c r="Q5755" s="23"/>
      <c r="R5755" s="23"/>
      <c r="S5755" s="23"/>
      <c r="T5755" s="23"/>
      <c r="U5755" s="23"/>
      <c r="V5755" s="23"/>
      <c r="W5755" s="23"/>
      <c r="X5755" s="23"/>
      <c r="Y5755" s="23"/>
      <c r="Z5755" s="23"/>
    </row>
    <row r="5756" spans="1:26" ht="13">
      <c r="A5756" s="562" t="s">
        <v>12390</v>
      </c>
      <c r="B5756" s="563" t="s">
        <v>12391</v>
      </c>
      <c r="C5756" s="564" t="s">
        <v>2484</v>
      </c>
      <c r="D5756" s="565">
        <v>40546</v>
      </c>
      <c r="E5756" s="565">
        <v>40908</v>
      </c>
      <c r="F5756" s="566">
        <v>17818182</v>
      </c>
      <c r="G5756" s="564" t="s">
        <v>12129</v>
      </c>
      <c r="H5756" s="564" t="s">
        <v>12125</v>
      </c>
      <c r="I5756" s="564" t="s">
        <v>12147</v>
      </c>
      <c r="J5756" s="564" t="s">
        <v>1069</v>
      </c>
      <c r="K5756" s="564" t="s">
        <v>2466</v>
      </c>
      <c r="L5756" s="564" t="s">
        <v>2467</v>
      </c>
      <c r="M5756" s="564" t="s">
        <v>2466</v>
      </c>
      <c r="N5756" s="564" t="s">
        <v>2543</v>
      </c>
      <c r="O5756" s="564" t="s">
        <v>12077</v>
      </c>
      <c r="P5756" s="23"/>
      <c r="Q5756" s="23"/>
      <c r="R5756" s="23"/>
      <c r="S5756" s="23"/>
      <c r="T5756" s="23"/>
      <c r="U5756" s="23"/>
      <c r="V5756" s="23"/>
      <c r="W5756" s="23"/>
      <c r="X5756" s="23"/>
      <c r="Y5756" s="23"/>
      <c r="Z5756" s="23"/>
    </row>
    <row r="5757" spans="1:26" ht="13">
      <c r="A5757" s="562" t="s">
        <v>12392</v>
      </c>
      <c r="B5757" s="563" t="s">
        <v>12393</v>
      </c>
      <c r="C5757" s="564" t="s">
        <v>2484</v>
      </c>
      <c r="D5757" s="565">
        <v>40548</v>
      </c>
      <c r="E5757" s="565">
        <v>40561</v>
      </c>
      <c r="F5757" s="566">
        <v>66320000</v>
      </c>
      <c r="G5757" s="564" t="s">
        <v>2540</v>
      </c>
      <c r="H5757" s="564" t="s">
        <v>2546</v>
      </c>
      <c r="I5757" s="564" t="s">
        <v>12394</v>
      </c>
      <c r="J5757" s="564" t="s">
        <v>1069</v>
      </c>
      <c r="K5757" s="564" t="s">
        <v>2466</v>
      </c>
      <c r="L5757" s="564" t="s">
        <v>2467</v>
      </c>
      <c r="M5757" s="564" t="s">
        <v>2466</v>
      </c>
      <c r="N5757" s="564" t="s">
        <v>1082</v>
      </c>
      <c r="O5757" s="564" t="s">
        <v>12077</v>
      </c>
      <c r="P5757" s="23"/>
      <c r="Q5757" s="23"/>
      <c r="R5757" s="23"/>
      <c r="S5757" s="23"/>
      <c r="T5757" s="23"/>
      <c r="U5757" s="23"/>
      <c r="V5757" s="23"/>
      <c r="W5757" s="23"/>
      <c r="X5757" s="23"/>
      <c r="Y5757" s="23"/>
      <c r="Z5757" s="23"/>
    </row>
    <row r="5758" spans="1:26" ht="13">
      <c r="A5758" s="562" t="s">
        <v>12395</v>
      </c>
      <c r="B5758" s="563" t="s">
        <v>12396</v>
      </c>
      <c r="C5758" s="564" t="s">
        <v>2484</v>
      </c>
      <c r="D5758" s="565">
        <v>40555</v>
      </c>
      <c r="E5758" s="565">
        <v>40558</v>
      </c>
      <c r="F5758" s="566">
        <v>44000000</v>
      </c>
      <c r="G5758" s="564" t="s">
        <v>12075</v>
      </c>
      <c r="H5758" s="564" t="s">
        <v>2546</v>
      </c>
      <c r="I5758" s="564" t="s">
        <v>12397</v>
      </c>
      <c r="J5758" s="564" t="s">
        <v>1069</v>
      </c>
      <c r="K5758" s="564" t="s">
        <v>2466</v>
      </c>
      <c r="L5758" s="564" t="s">
        <v>2467</v>
      </c>
      <c r="M5758" s="564" t="s">
        <v>2466</v>
      </c>
      <c r="N5758" s="564" t="s">
        <v>1082</v>
      </c>
      <c r="O5758" s="564" t="s">
        <v>4798</v>
      </c>
      <c r="P5758" s="23"/>
      <c r="Q5758" s="23"/>
      <c r="R5758" s="23"/>
      <c r="S5758" s="23"/>
      <c r="T5758" s="23"/>
      <c r="U5758" s="23"/>
      <c r="V5758" s="23"/>
      <c r="W5758" s="23"/>
      <c r="X5758" s="23"/>
      <c r="Y5758" s="23"/>
      <c r="Z5758" s="23"/>
    </row>
    <row r="5759" spans="1:26" ht="13">
      <c r="A5759" s="562" t="s">
        <v>12398</v>
      </c>
      <c r="B5759" s="563" t="s">
        <v>12399</v>
      </c>
      <c r="C5759" s="564" t="s">
        <v>2484</v>
      </c>
      <c r="D5759" s="565">
        <v>40544</v>
      </c>
      <c r="E5759" s="565">
        <v>40583</v>
      </c>
      <c r="F5759" s="566">
        <v>29000000</v>
      </c>
      <c r="G5759" s="564" t="s">
        <v>12268</v>
      </c>
      <c r="H5759" s="564" t="s">
        <v>12365</v>
      </c>
      <c r="I5759" s="564" t="s">
        <v>12091</v>
      </c>
      <c r="J5759" s="564" t="s">
        <v>1069</v>
      </c>
      <c r="K5759" s="564" t="s">
        <v>2466</v>
      </c>
      <c r="L5759" s="564" t="s">
        <v>2467</v>
      </c>
      <c r="M5759" s="564" t="s">
        <v>2466</v>
      </c>
      <c r="N5759" s="564" t="s">
        <v>2325</v>
      </c>
      <c r="O5759" s="564" t="s">
        <v>12077</v>
      </c>
      <c r="P5759" s="23"/>
      <c r="Q5759" s="23"/>
      <c r="R5759" s="23"/>
      <c r="S5759" s="23"/>
      <c r="T5759" s="23"/>
      <c r="U5759" s="23"/>
      <c r="V5759" s="23"/>
      <c r="W5759" s="23"/>
      <c r="X5759" s="23"/>
      <c r="Y5759" s="23"/>
      <c r="Z5759" s="23"/>
    </row>
    <row r="5760" spans="1:26" ht="13">
      <c r="A5760" s="562" t="s">
        <v>12400</v>
      </c>
      <c r="B5760" s="563" t="s">
        <v>12401</v>
      </c>
      <c r="C5760" s="564" t="s">
        <v>1873</v>
      </c>
      <c r="D5760" s="565">
        <v>40923</v>
      </c>
      <c r="E5760" s="565">
        <v>40999</v>
      </c>
      <c r="F5760" s="566">
        <v>48000000</v>
      </c>
      <c r="G5760" s="564" t="s">
        <v>1729</v>
      </c>
      <c r="H5760" s="564" t="s">
        <v>1157</v>
      </c>
      <c r="I5760" s="564" t="s">
        <v>170</v>
      </c>
      <c r="J5760" s="564" t="s">
        <v>1069</v>
      </c>
      <c r="K5760" s="564" t="s">
        <v>1105</v>
      </c>
      <c r="L5760" s="564" t="s">
        <v>1390</v>
      </c>
      <c r="M5760" s="564" t="s">
        <v>1390</v>
      </c>
      <c r="N5760" s="564" t="s">
        <v>170</v>
      </c>
      <c r="O5760" s="564" t="s">
        <v>38</v>
      </c>
      <c r="P5760" s="23"/>
      <c r="Q5760" s="23"/>
      <c r="R5760" s="23"/>
      <c r="S5760" s="23"/>
      <c r="T5760" s="23"/>
      <c r="U5760" s="23"/>
      <c r="V5760" s="23"/>
      <c r="W5760" s="23"/>
      <c r="X5760" s="23"/>
      <c r="Y5760" s="23"/>
      <c r="Z5760" s="23"/>
    </row>
    <row r="5761" spans="1:26" ht="13">
      <c r="A5761" s="562" t="s">
        <v>12402</v>
      </c>
      <c r="B5761" s="563" t="s">
        <v>12403</v>
      </c>
      <c r="C5761" s="564" t="s">
        <v>1873</v>
      </c>
      <c r="D5761" s="565">
        <v>40934</v>
      </c>
      <c r="E5761" s="565">
        <v>40949</v>
      </c>
      <c r="F5761" s="566">
        <v>15000000</v>
      </c>
      <c r="G5761" s="564" t="s">
        <v>1729</v>
      </c>
      <c r="H5761" s="564" t="s">
        <v>1157</v>
      </c>
      <c r="I5761" s="564" t="s">
        <v>170</v>
      </c>
      <c r="J5761" s="564" t="s">
        <v>1069</v>
      </c>
      <c r="K5761" s="564" t="s">
        <v>1105</v>
      </c>
      <c r="L5761" s="564" t="s">
        <v>1390</v>
      </c>
      <c r="M5761" s="564" t="s">
        <v>1390</v>
      </c>
      <c r="N5761" s="564" t="s">
        <v>170</v>
      </c>
      <c r="O5761" s="564" t="s">
        <v>38</v>
      </c>
      <c r="P5761" s="23"/>
      <c r="Q5761" s="23"/>
      <c r="R5761" s="23"/>
      <c r="S5761" s="23"/>
      <c r="T5761" s="23"/>
      <c r="U5761" s="23"/>
      <c r="V5761" s="23"/>
      <c r="W5761" s="23"/>
      <c r="X5761" s="23"/>
      <c r="Y5761" s="23"/>
      <c r="Z5761" s="23"/>
    </row>
    <row r="5762" spans="1:26" ht="13">
      <c r="A5762" s="562" t="s">
        <v>12404</v>
      </c>
      <c r="B5762" s="563" t="s">
        <v>12405</v>
      </c>
      <c r="C5762" s="564" t="s">
        <v>1873</v>
      </c>
      <c r="D5762" s="565">
        <v>40878</v>
      </c>
      <c r="E5762" s="565">
        <v>40994</v>
      </c>
      <c r="F5762" s="566">
        <v>49500000</v>
      </c>
      <c r="G5762" s="564" t="s">
        <v>1729</v>
      </c>
      <c r="H5762" s="564" t="s">
        <v>1157</v>
      </c>
      <c r="I5762" s="564" t="s">
        <v>170</v>
      </c>
      <c r="J5762" s="564" t="s">
        <v>1069</v>
      </c>
      <c r="K5762" s="564" t="s">
        <v>1105</v>
      </c>
      <c r="L5762" s="564" t="s">
        <v>1390</v>
      </c>
      <c r="M5762" s="564" t="s">
        <v>1390</v>
      </c>
      <c r="N5762" s="564" t="s">
        <v>170</v>
      </c>
      <c r="O5762" s="564" t="s">
        <v>38</v>
      </c>
      <c r="P5762" s="23"/>
      <c r="Q5762" s="23"/>
      <c r="R5762" s="23"/>
      <c r="S5762" s="23"/>
      <c r="T5762" s="23"/>
      <c r="U5762" s="23"/>
      <c r="V5762" s="23"/>
      <c r="W5762" s="23"/>
      <c r="X5762" s="23"/>
      <c r="Y5762" s="23"/>
      <c r="Z5762" s="23"/>
    </row>
    <row r="5763" spans="1:26" ht="13">
      <c r="A5763" s="562" t="s">
        <v>12406</v>
      </c>
      <c r="B5763" s="563" t="s">
        <v>12407</v>
      </c>
      <c r="C5763" s="564" t="s">
        <v>1612</v>
      </c>
      <c r="D5763" s="565">
        <v>40889</v>
      </c>
      <c r="E5763" s="565">
        <v>40907</v>
      </c>
      <c r="F5763" s="566">
        <v>5500000</v>
      </c>
      <c r="G5763" s="564" t="s">
        <v>2346</v>
      </c>
      <c r="H5763" s="564" t="s">
        <v>1157</v>
      </c>
      <c r="I5763" s="564" t="s">
        <v>1821</v>
      </c>
      <c r="J5763" s="564" t="s">
        <v>1069</v>
      </c>
      <c r="K5763" s="564" t="s">
        <v>1120</v>
      </c>
      <c r="L5763" s="564" t="s">
        <v>1390</v>
      </c>
      <c r="M5763" s="564" t="s">
        <v>1390</v>
      </c>
      <c r="N5763" s="564" t="s">
        <v>1073</v>
      </c>
      <c r="O5763" s="564" t="s">
        <v>38</v>
      </c>
      <c r="P5763" s="23"/>
      <c r="Q5763" s="23"/>
      <c r="R5763" s="23"/>
      <c r="S5763" s="23"/>
      <c r="T5763" s="23"/>
      <c r="U5763" s="23"/>
      <c r="V5763" s="23"/>
      <c r="W5763" s="23"/>
      <c r="X5763" s="23"/>
      <c r="Y5763" s="23"/>
      <c r="Z5763" s="23"/>
    </row>
    <row r="5764" spans="1:26" ht="13">
      <c r="A5764" s="562" t="s">
        <v>12408</v>
      </c>
      <c r="B5764" s="563" t="s">
        <v>12409</v>
      </c>
      <c r="C5764" s="564" t="s">
        <v>1612</v>
      </c>
      <c r="D5764" s="565">
        <v>40872</v>
      </c>
      <c r="E5764" s="565">
        <v>41329</v>
      </c>
      <c r="F5764" s="566">
        <v>25624000</v>
      </c>
      <c r="G5764" s="564" t="s">
        <v>2346</v>
      </c>
      <c r="H5764" s="564" t="s">
        <v>1157</v>
      </c>
      <c r="I5764" s="564" t="s">
        <v>1068</v>
      </c>
      <c r="J5764" s="564" t="s">
        <v>1069</v>
      </c>
      <c r="K5764" s="564" t="s">
        <v>1070</v>
      </c>
      <c r="L5764" s="564" t="s">
        <v>1071</v>
      </c>
      <c r="M5764" s="564" t="s">
        <v>1091</v>
      </c>
      <c r="N5764" s="564" t="s">
        <v>1073</v>
      </c>
      <c r="O5764" s="564" t="s">
        <v>241</v>
      </c>
      <c r="P5764" s="23"/>
      <c r="Q5764" s="23"/>
      <c r="R5764" s="23"/>
      <c r="S5764" s="23"/>
      <c r="T5764" s="23"/>
      <c r="U5764" s="23"/>
      <c r="V5764" s="23"/>
      <c r="W5764" s="23"/>
      <c r="X5764" s="23"/>
      <c r="Y5764" s="23"/>
      <c r="Z5764" s="23"/>
    </row>
    <row r="5765" spans="1:26" ht="13">
      <c r="A5765" s="562" t="s">
        <v>12410</v>
      </c>
      <c r="B5765" s="563" t="s">
        <v>12411</v>
      </c>
      <c r="C5765" s="564" t="s">
        <v>1612</v>
      </c>
      <c r="D5765" s="565">
        <v>40884</v>
      </c>
      <c r="E5765" s="565">
        <v>40908</v>
      </c>
      <c r="F5765" s="566">
        <v>39120000</v>
      </c>
      <c r="G5765" s="564" t="s">
        <v>2055</v>
      </c>
      <c r="H5765" s="564" t="s">
        <v>1116</v>
      </c>
      <c r="I5765" s="564" t="s">
        <v>45</v>
      </c>
      <c r="J5765" s="564" t="s">
        <v>1069</v>
      </c>
      <c r="K5765" s="564" t="s">
        <v>1090</v>
      </c>
      <c r="L5765" s="564" t="s">
        <v>1390</v>
      </c>
      <c r="M5765" s="564" t="s">
        <v>1390</v>
      </c>
      <c r="N5765" s="564" t="s">
        <v>45</v>
      </c>
      <c r="O5765" s="564" t="s">
        <v>38</v>
      </c>
      <c r="P5765" s="23"/>
      <c r="Q5765" s="23"/>
      <c r="R5765" s="23"/>
      <c r="S5765" s="23"/>
      <c r="T5765" s="23"/>
      <c r="U5765" s="23"/>
      <c r="V5765" s="23"/>
      <c r="W5765" s="23"/>
      <c r="X5765" s="23"/>
      <c r="Y5765" s="23"/>
      <c r="Z5765" s="23"/>
    </row>
    <row r="5766" spans="1:26" ht="13">
      <c r="A5766" s="562" t="s">
        <v>12412</v>
      </c>
      <c r="B5766" s="563" t="s">
        <v>12413</v>
      </c>
      <c r="C5766" s="564" t="s">
        <v>6860</v>
      </c>
      <c r="D5766" s="565">
        <v>40905</v>
      </c>
      <c r="E5766" s="565">
        <v>41332</v>
      </c>
      <c r="F5766" s="566">
        <v>188002272</v>
      </c>
      <c r="G5766" s="564" t="s">
        <v>1604</v>
      </c>
      <c r="H5766" s="564" t="s">
        <v>1116</v>
      </c>
      <c r="I5766" s="564" t="s">
        <v>12414</v>
      </c>
      <c r="J5766" s="564" t="s">
        <v>1069</v>
      </c>
      <c r="K5766" s="564" t="s">
        <v>1070</v>
      </c>
      <c r="L5766" s="564" t="s">
        <v>1071</v>
      </c>
      <c r="M5766" s="564" t="s">
        <v>1124</v>
      </c>
      <c r="N5766" s="564" t="s">
        <v>2543</v>
      </c>
      <c r="O5766" s="564" t="s">
        <v>38</v>
      </c>
      <c r="P5766" s="23"/>
      <c r="Q5766" s="23"/>
      <c r="R5766" s="23"/>
      <c r="S5766" s="23"/>
      <c r="T5766" s="23"/>
      <c r="U5766" s="23"/>
      <c r="V5766" s="23"/>
      <c r="W5766" s="23"/>
      <c r="X5766" s="23"/>
      <c r="Y5766" s="23"/>
      <c r="Z5766" s="23"/>
    </row>
    <row r="5767" spans="1:26" ht="13">
      <c r="A5767" s="562" t="s">
        <v>12415</v>
      </c>
      <c r="B5767" s="563" t="s">
        <v>12416</v>
      </c>
      <c r="C5767" s="564" t="s">
        <v>1873</v>
      </c>
      <c r="D5767" s="565">
        <v>40848</v>
      </c>
      <c r="E5767" s="565">
        <v>40999</v>
      </c>
      <c r="F5767" s="566">
        <v>44000000</v>
      </c>
      <c r="G5767" s="564" t="s">
        <v>2346</v>
      </c>
      <c r="H5767" s="564" t="s">
        <v>1157</v>
      </c>
      <c r="I5767" s="564" t="s">
        <v>170</v>
      </c>
      <c r="J5767" s="564" t="s">
        <v>1069</v>
      </c>
      <c r="K5767" s="564" t="s">
        <v>1105</v>
      </c>
      <c r="L5767" s="564" t="s">
        <v>1390</v>
      </c>
      <c r="M5767" s="564" t="s">
        <v>1390</v>
      </c>
      <c r="N5767" s="564" t="s">
        <v>170</v>
      </c>
      <c r="O5767" s="564" t="s">
        <v>38</v>
      </c>
      <c r="P5767" s="23"/>
      <c r="Q5767" s="23"/>
      <c r="R5767" s="23"/>
      <c r="S5767" s="23"/>
      <c r="T5767" s="23"/>
      <c r="U5767" s="23"/>
      <c r="V5767" s="23"/>
      <c r="W5767" s="23"/>
      <c r="X5767" s="23"/>
      <c r="Y5767" s="23"/>
      <c r="Z5767" s="23"/>
    </row>
    <row r="5768" spans="1:26" ht="13">
      <c r="A5768" s="562" t="s">
        <v>12417</v>
      </c>
      <c r="B5768" s="563" t="s">
        <v>12418</v>
      </c>
      <c r="C5768" s="564" t="s">
        <v>1612</v>
      </c>
      <c r="D5768" s="565">
        <v>40822</v>
      </c>
      <c r="E5768" s="565">
        <v>40825</v>
      </c>
      <c r="F5768" s="566">
        <v>33000000</v>
      </c>
      <c r="G5768" s="564" t="s">
        <v>1912</v>
      </c>
      <c r="H5768" s="564" t="s">
        <v>1123</v>
      </c>
      <c r="I5768" s="564" t="s">
        <v>257</v>
      </c>
      <c r="J5768" s="564" t="s">
        <v>1069</v>
      </c>
      <c r="K5768" s="564" t="s">
        <v>1209</v>
      </c>
      <c r="L5768" s="564" t="s">
        <v>1071</v>
      </c>
      <c r="M5768" s="564" t="s">
        <v>1124</v>
      </c>
      <c r="N5768" s="564" t="s">
        <v>257</v>
      </c>
      <c r="O5768" s="564" t="s">
        <v>38</v>
      </c>
      <c r="P5768" s="23"/>
      <c r="Q5768" s="23"/>
      <c r="R5768" s="23"/>
      <c r="S5768" s="23"/>
      <c r="T5768" s="23"/>
      <c r="U5768" s="23"/>
      <c r="V5768" s="23"/>
      <c r="W5768" s="23"/>
      <c r="X5768" s="23"/>
      <c r="Y5768" s="23"/>
      <c r="Z5768" s="23"/>
    </row>
    <row r="5769" spans="1:26" ht="13">
      <c r="A5769" s="562" t="s">
        <v>12419</v>
      </c>
      <c r="B5769" s="563" t="s">
        <v>12420</v>
      </c>
      <c r="C5769" s="564" t="s">
        <v>6860</v>
      </c>
      <c r="D5769" s="565">
        <v>40815</v>
      </c>
      <c r="E5769" s="565">
        <v>41608</v>
      </c>
      <c r="F5769" s="566">
        <v>11000000</v>
      </c>
      <c r="G5769" s="564" t="s">
        <v>1912</v>
      </c>
      <c r="H5769" s="564" t="s">
        <v>1116</v>
      </c>
      <c r="I5769" s="564" t="s">
        <v>12421</v>
      </c>
      <c r="J5769" s="564" t="s">
        <v>1069</v>
      </c>
      <c r="K5769" s="564" t="s">
        <v>2430</v>
      </c>
      <c r="L5769" s="564" t="s">
        <v>1071</v>
      </c>
      <c r="M5769" s="564" t="s">
        <v>1124</v>
      </c>
      <c r="N5769" s="564" t="s">
        <v>1082</v>
      </c>
      <c r="O5769" s="564" t="s">
        <v>38</v>
      </c>
      <c r="P5769" s="23"/>
      <c r="Q5769" s="23"/>
      <c r="R5769" s="23"/>
      <c r="S5769" s="23"/>
      <c r="T5769" s="23"/>
      <c r="U5769" s="23"/>
      <c r="V5769" s="23"/>
      <c r="W5769" s="23"/>
      <c r="X5769" s="23"/>
      <c r="Y5769" s="23"/>
      <c r="Z5769" s="23"/>
    </row>
    <row r="5770" spans="1:26" ht="13">
      <c r="A5770" s="562" t="s">
        <v>12422</v>
      </c>
      <c r="B5770" s="563" t="s">
        <v>12423</v>
      </c>
      <c r="C5770" s="564" t="s">
        <v>1873</v>
      </c>
      <c r="D5770" s="565">
        <v>40803</v>
      </c>
      <c r="E5770" s="565">
        <v>40862</v>
      </c>
      <c r="F5770" s="566">
        <v>33558000</v>
      </c>
      <c r="G5770" s="564" t="s">
        <v>1729</v>
      </c>
      <c r="H5770" s="564" t="s">
        <v>1157</v>
      </c>
      <c r="I5770" s="564" t="s">
        <v>170</v>
      </c>
      <c r="J5770" s="564" t="s">
        <v>1069</v>
      </c>
      <c r="K5770" s="564" t="s">
        <v>1105</v>
      </c>
      <c r="L5770" s="564" t="s">
        <v>1390</v>
      </c>
      <c r="M5770" s="564" t="s">
        <v>1390</v>
      </c>
      <c r="N5770" s="564" t="s">
        <v>170</v>
      </c>
      <c r="O5770" s="564" t="s">
        <v>38</v>
      </c>
      <c r="P5770" s="23"/>
      <c r="Q5770" s="23"/>
      <c r="R5770" s="23"/>
      <c r="S5770" s="23"/>
      <c r="T5770" s="23"/>
      <c r="U5770" s="23"/>
      <c r="V5770" s="23"/>
      <c r="W5770" s="23"/>
      <c r="X5770" s="23"/>
      <c r="Y5770" s="23"/>
      <c r="Z5770" s="23"/>
    </row>
    <row r="5771" spans="1:26" ht="13">
      <c r="A5771" s="562" t="s">
        <v>12424</v>
      </c>
      <c r="B5771" s="563" t="s">
        <v>12425</v>
      </c>
      <c r="C5771" s="564" t="s">
        <v>1873</v>
      </c>
      <c r="D5771" s="565">
        <v>40801</v>
      </c>
      <c r="E5771" s="565">
        <v>40877</v>
      </c>
      <c r="F5771" s="566">
        <v>24000000</v>
      </c>
      <c r="G5771" s="564" t="s">
        <v>1729</v>
      </c>
      <c r="H5771" s="564" t="s">
        <v>1157</v>
      </c>
      <c r="I5771" s="564" t="s">
        <v>170</v>
      </c>
      <c r="J5771" s="564" t="s">
        <v>1069</v>
      </c>
      <c r="K5771" s="564" t="s">
        <v>1105</v>
      </c>
      <c r="L5771" s="564" t="s">
        <v>1390</v>
      </c>
      <c r="M5771" s="564" t="s">
        <v>1390</v>
      </c>
      <c r="N5771" s="564" t="s">
        <v>170</v>
      </c>
      <c r="O5771" s="564" t="s">
        <v>38</v>
      </c>
      <c r="P5771" s="23"/>
      <c r="Q5771" s="23"/>
      <c r="R5771" s="23"/>
      <c r="S5771" s="23"/>
      <c r="T5771" s="23"/>
      <c r="U5771" s="23"/>
      <c r="V5771" s="23"/>
      <c r="W5771" s="23"/>
      <c r="X5771" s="23"/>
      <c r="Y5771" s="23"/>
      <c r="Z5771" s="23"/>
    </row>
    <row r="5772" spans="1:26" ht="13">
      <c r="A5772" s="562" t="s">
        <v>12426</v>
      </c>
      <c r="B5772" s="563" t="s">
        <v>12427</v>
      </c>
      <c r="C5772" s="564" t="s">
        <v>2191</v>
      </c>
      <c r="D5772" s="565">
        <v>40787</v>
      </c>
      <c r="E5772" s="565">
        <v>41639</v>
      </c>
      <c r="F5772" s="566">
        <v>174574559</v>
      </c>
      <c r="G5772" s="564" t="s">
        <v>1888</v>
      </c>
      <c r="H5772" s="564" t="s">
        <v>1636</v>
      </c>
      <c r="I5772" s="564" t="s">
        <v>1826</v>
      </c>
      <c r="J5772" s="564" t="s">
        <v>1069</v>
      </c>
      <c r="K5772" s="564" t="s">
        <v>1070</v>
      </c>
      <c r="L5772" s="564" t="s">
        <v>1071</v>
      </c>
      <c r="M5772" s="564" t="s">
        <v>1091</v>
      </c>
      <c r="N5772" s="564" t="s">
        <v>1082</v>
      </c>
      <c r="O5772" s="564" t="s">
        <v>1092</v>
      </c>
      <c r="P5772" s="23"/>
      <c r="Q5772" s="23"/>
      <c r="R5772" s="23"/>
      <c r="S5772" s="23"/>
      <c r="T5772" s="23"/>
      <c r="U5772" s="23"/>
      <c r="V5772" s="23"/>
      <c r="W5772" s="23"/>
      <c r="X5772" s="23"/>
      <c r="Y5772" s="23"/>
      <c r="Z5772" s="23"/>
    </row>
    <row r="5773" spans="1:26" ht="13">
      <c r="A5773" s="562" t="s">
        <v>12428</v>
      </c>
      <c r="B5773" s="563" t="s">
        <v>12429</v>
      </c>
      <c r="C5773" s="564" t="s">
        <v>1612</v>
      </c>
      <c r="D5773" s="565">
        <v>40787</v>
      </c>
      <c r="E5773" s="565">
        <v>40823</v>
      </c>
      <c r="F5773" s="566">
        <v>20000000</v>
      </c>
      <c r="G5773" s="564" t="s">
        <v>1849</v>
      </c>
      <c r="H5773" s="564" t="s">
        <v>1128</v>
      </c>
      <c r="I5773" s="564" t="s">
        <v>45</v>
      </c>
      <c r="J5773" s="564" t="s">
        <v>1069</v>
      </c>
      <c r="K5773" s="564" t="s">
        <v>1090</v>
      </c>
      <c r="L5773" s="564" t="s">
        <v>1390</v>
      </c>
      <c r="M5773" s="564" t="s">
        <v>1390</v>
      </c>
      <c r="N5773" s="564" t="s">
        <v>45</v>
      </c>
      <c r="O5773" s="564" t="s">
        <v>38</v>
      </c>
      <c r="P5773" s="23"/>
      <c r="Q5773" s="23"/>
      <c r="R5773" s="23"/>
      <c r="S5773" s="23"/>
      <c r="T5773" s="23"/>
      <c r="U5773" s="23"/>
      <c r="V5773" s="23"/>
      <c r="W5773" s="23"/>
      <c r="X5773" s="23"/>
      <c r="Y5773" s="23"/>
      <c r="Z5773" s="23"/>
    </row>
    <row r="5774" spans="1:26" ht="13">
      <c r="A5774" s="562" t="s">
        <v>12430</v>
      </c>
      <c r="B5774" s="563" t="s">
        <v>12431</v>
      </c>
      <c r="C5774" s="564" t="s">
        <v>1612</v>
      </c>
      <c r="D5774" s="565">
        <v>40771</v>
      </c>
      <c r="E5774" s="565">
        <v>40831</v>
      </c>
      <c r="F5774" s="566">
        <v>32500000</v>
      </c>
      <c r="G5774" s="564" t="s">
        <v>1298</v>
      </c>
      <c r="H5774" s="564" t="s">
        <v>1157</v>
      </c>
      <c r="I5774" s="564" t="s">
        <v>1821</v>
      </c>
      <c r="J5774" s="564" t="s">
        <v>1069</v>
      </c>
      <c r="K5774" s="564" t="s">
        <v>1120</v>
      </c>
      <c r="L5774" s="564" t="s">
        <v>1390</v>
      </c>
      <c r="M5774" s="564" t="s">
        <v>1390</v>
      </c>
      <c r="N5774" s="564" t="s">
        <v>1073</v>
      </c>
      <c r="O5774" s="564" t="s">
        <v>38</v>
      </c>
      <c r="P5774" s="23"/>
      <c r="Q5774" s="23"/>
      <c r="R5774" s="23"/>
      <c r="S5774" s="23"/>
      <c r="T5774" s="23"/>
      <c r="U5774" s="23"/>
      <c r="V5774" s="23"/>
      <c r="W5774" s="23"/>
      <c r="X5774" s="23"/>
      <c r="Y5774" s="23"/>
      <c r="Z5774" s="23"/>
    </row>
    <row r="5775" spans="1:26" ht="13">
      <c r="A5775" s="562" t="s">
        <v>12432</v>
      </c>
      <c r="B5775" s="563" t="s">
        <v>12433</v>
      </c>
      <c r="C5775" s="564" t="s">
        <v>1873</v>
      </c>
      <c r="D5775" s="565">
        <v>40756</v>
      </c>
      <c r="E5775" s="565">
        <v>40831</v>
      </c>
      <c r="F5775" s="566">
        <v>17000000</v>
      </c>
      <c r="G5775" s="564" t="s">
        <v>1729</v>
      </c>
      <c r="H5775" s="564" t="s">
        <v>1157</v>
      </c>
      <c r="I5775" s="564" t="s">
        <v>170</v>
      </c>
      <c r="J5775" s="564" t="s">
        <v>1069</v>
      </c>
      <c r="K5775" s="564" t="s">
        <v>1105</v>
      </c>
      <c r="L5775" s="564" t="s">
        <v>1390</v>
      </c>
      <c r="M5775" s="564" t="s">
        <v>1390</v>
      </c>
      <c r="N5775" s="564" t="s">
        <v>170</v>
      </c>
      <c r="O5775" s="564" t="s">
        <v>38</v>
      </c>
      <c r="P5775" s="23"/>
      <c r="Q5775" s="23"/>
      <c r="R5775" s="23"/>
      <c r="S5775" s="23"/>
      <c r="T5775" s="23"/>
      <c r="U5775" s="23"/>
      <c r="V5775" s="23"/>
      <c r="W5775" s="23"/>
      <c r="X5775" s="23"/>
      <c r="Y5775" s="23"/>
      <c r="Z5775" s="23"/>
    </row>
    <row r="5776" spans="1:26" ht="13">
      <c r="A5776" s="562" t="s">
        <v>12434</v>
      </c>
      <c r="B5776" s="563" t="s">
        <v>12435</v>
      </c>
      <c r="C5776" s="564" t="s">
        <v>1612</v>
      </c>
      <c r="D5776" s="565">
        <v>40767</v>
      </c>
      <c r="E5776" s="565">
        <v>40908</v>
      </c>
      <c r="F5776" s="566">
        <v>228000000</v>
      </c>
      <c r="G5776" s="564" t="s">
        <v>1912</v>
      </c>
      <c r="H5776" s="564" t="s">
        <v>1640</v>
      </c>
      <c r="I5776" s="564" t="s">
        <v>12251</v>
      </c>
      <c r="J5776" s="564" t="s">
        <v>1069</v>
      </c>
      <c r="K5776" s="564" t="s">
        <v>1120</v>
      </c>
      <c r="L5776" s="564" t="s">
        <v>2098</v>
      </c>
      <c r="M5776" s="564" t="s">
        <v>2098</v>
      </c>
      <c r="N5776" s="564" t="s">
        <v>1073</v>
      </c>
      <c r="O5776" s="564" t="s">
        <v>2099</v>
      </c>
      <c r="P5776" s="23"/>
      <c r="Q5776" s="23"/>
      <c r="R5776" s="23"/>
      <c r="S5776" s="23"/>
      <c r="T5776" s="23"/>
      <c r="U5776" s="23"/>
      <c r="V5776" s="23"/>
      <c r="W5776" s="23"/>
      <c r="X5776" s="23"/>
      <c r="Y5776" s="23"/>
      <c r="Z5776" s="23"/>
    </row>
    <row r="5777" spans="1:26" ht="13">
      <c r="A5777" s="562" t="s">
        <v>12436</v>
      </c>
      <c r="B5777" s="563" t="s">
        <v>12437</v>
      </c>
      <c r="C5777" s="564" t="s">
        <v>1873</v>
      </c>
      <c r="D5777" s="565">
        <v>40756</v>
      </c>
      <c r="E5777" s="565">
        <v>40831</v>
      </c>
      <c r="F5777" s="566">
        <v>12000000</v>
      </c>
      <c r="G5777" s="564" t="s">
        <v>1729</v>
      </c>
      <c r="H5777" s="564" t="s">
        <v>1157</v>
      </c>
      <c r="I5777" s="564" t="s">
        <v>170</v>
      </c>
      <c r="J5777" s="564" t="s">
        <v>1069</v>
      </c>
      <c r="K5777" s="564" t="s">
        <v>1105</v>
      </c>
      <c r="L5777" s="564" t="s">
        <v>1390</v>
      </c>
      <c r="M5777" s="564" t="s">
        <v>1390</v>
      </c>
      <c r="N5777" s="564" t="s">
        <v>170</v>
      </c>
      <c r="O5777" s="564" t="s">
        <v>38</v>
      </c>
      <c r="P5777" s="23"/>
      <c r="Q5777" s="23"/>
      <c r="R5777" s="23"/>
      <c r="S5777" s="23"/>
      <c r="T5777" s="23"/>
      <c r="U5777" s="23"/>
      <c r="V5777" s="23"/>
      <c r="W5777" s="23"/>
      <c r="X5777" s="23"/>
      <c r="Y5777" s="23"/>
      <c r="Z5777" s="23"/>
    </row>
    <row r="5778" spans="1:26" ht="13">
      <c r="A5778" s="562" t="s">
        <v>12438</v>
      </c>
      <c r="B5778" s="563" t="s">
        <v>12439</v>
      </c>
      <c r="C5778" s="564" t="s">
        <v>6860</v>
      </c>
      <c r="D5778" s="565">
        <v>40765</v>
      </c>
      <c r="E5778" s="565">
        <v>40825</v>
      </c>
      <c r="F5778" s="566">
        <v>2400000</v>
      </c>
      <c r="G5778" s="564" t="s">
        <v>2508</v>
      </c>
      <c r="H5778" s="564" t="s">
        <v>1128</v>
      </c>
      <c r="I5778" s="564" t="s">
        <v>141</v>
      </c>
      <c r="J5778" s="564" t="s">
        <v>1069</v>
      </c>
      <c r="K5778" s="564" t="s">
        <v>1205</v>
      </c>
      <c r="L5778" s="564" t="s">
        <v>1390</v>
      </c>
      <c r="M5778" s="564" t="s">
        <v>1390</v>
      </c>
      <c r="N5778" s="564" t="s">
        <v>1073</v>
      </c>
      <c r="O5778" s="564" t="s">
        <v>38</v>
      </c>
      <c r="P5778" s="23"/>
      <c r="Q5778" s="23"/>
      <c r="R5778" s="23"/>
      <c r="S5778" s="23"/>
      <c r="T5778" s="23"/>
      <c r="U5778" s="23"/>
      <c r="V5778" s="23"/>
      <c r="W5778" s="23"/>
      <c r="X5778" s="23"/>
      <c r="Y5778" s="23"/>
      <c r="Z5778" s="23"/>
    </row>
    <row r="5779" spans="1:26" ht="13">
      <c r="A5779" s="562" t="s">
        <v>12440</v>
      </c>
      <c r="B5779" s="563" t="s">
        <v>12441</v>
      </c>
      <c r="C5779" s="564" t="s">
        <v>1255</v>
      </c>
      <c r="D5779" s="565">
        <v>40756</v>
      </c>
      <c r="E5779" s="565">
        <v>41486</v>
      </c>
      <c r="F5779" s="566">
        <v>373100000</v>
      </c>
      <c r="G5779" s="564" t="s">
        <v>1097</v>
      </c>
      <c r="H5779" s="564" t="s">
        <v>1123</v>
      </c>
      <c r="I5779" s="564" t="s">
        <v>141</v>
      </c>
      <c r="J5779" s="564" t="s">
        <v>1069</v>
      </c>
      <c r="K5779" s="564" t="s">
        <v>1205</v>
      </c>
      <c r="L5779" s="564" t="s">
        <v>1071</v>
      </c>
      <c r="M5779" s="564" t="s">
        <v>1091</v>
      </c>
      <c r="N5779" s="564" t="s">
        <v>1073</v>
      </c>
      <c r="O5779" s="564" t="s">
        <v>241</v>
      </c>
      <c r="P5779" s="23"/>
      <c r="Q5779" s="23"/>
      <c r="R5779" s="23"/>
      <c r="S5779" s="23"/>
      <c r="T5779" s="23"/>
      <c r="U5779" s="23"/>
      <c r="V5779" s="23"/>
      <c r="W5779" s="23"/>
      <c r="X5779" s="23"/>
      <c r="Y5779" s="23"/>
      <c r="Z5779" s="23"/>
    </row>
    <row r="5780" spans="1:26" ht="13">
      <c r="A5780" s="562" t="s">
        <v>12442</v>
      </c>
      <c r="B5780" s="563" t="s">
        <v>12443</v>
      </c>
      <c r="C5780" s="564" t="s">
        <v>2191</v>
      </c>
      <c r="D5780" s="565">
        <v>40763</v>
      </c>
      <c r="E5780" s="565">
        <v>40831</v>
      </c>
      <c r="F5780" s="566">
        <v>110000000</v>
      </c>
      <c r="G5780" s="564" t="s">
        <v>1298</v>
      </c>
      <c r="H5780" s="564" t="s">
        <v>1529</v>
      </c>
      <c r="I5780" s="564" t="s">
        <v>1771</v>
      </c>
      <c r="J5780" s="564" t="s">
        <v>1069</v>
      </c>
      <c r="K5780" s="564" t="s">
        <v>1070</v>
      </c>
      <c r="L5780" s="564" t="s">
        <v>1390</v>
      </c>
      <c r="M5780" s="564" t="s">
        <v>1390</v>
      </c>
      <c r="N5780" s="564" t="s">
        <v>1082</v>
      </c>
      <c r="O5780" s="564" t="s">
        <v>38</v>
      </c>
      <c r="P5780" s="23"/>
      <c r="Q5780" s="23"/>
      <c r="R5780" s="23"/>
      <c r="S5780" s="23"/>
      <c r="T5780" s="23"/>
      <c r="U5780" s="23"/>
      <c r="V5780" s="23"/>
      <c r="W5780" s="23"/>
      <c r="X5780" s="23"/>
      <c r="Y5780" s="23"/>
      <c r="Z5780" s="23"/>
    </row>
    <row r="5781" spans="1:26" ht="13">
      <c r="A5781" s="562" t="s">
        <v>12444</v>
      </c>
      <c r="B5781" s="563" t="s">
        <v>12445</v>
      </c>
      <c r="C5781" s="564" t="s">
        <v>1612</v>
      </c>
      <c r="D5781" s="565">
        <v>40725</v>
      </c>
      <c r="E5781" s="565">
        <v>41455</v>
      </c>
      <c r="F5781" s="566">
        <v>49920000</v>
      </c>
      <c r="G5781" s="564" t="s">
        <v>1750</v>
      </c>
      <c r="H5781" s="564" t="s">
        <v>1157</v>
      </c>
      <c r="I5781" s="564" t="s">
        <v>70</v>
      </c>
      <c r="J5781" s="564" t="s">
        <v>1069</v>
      </c>
      <c r="K5781" s="564" t="s">
        <v>1120</v>
      </c>
      <c r="L5781" s="564" t="s">
        <v>1071</v>
      </c>
      <c r="M5781" s="564" t="s">
        <v>1091</v>
      </c>
      <c r="N5781" s="564" t="s">
        <v>70</v>
      </c>
      <c r="O5781" s="564" t="s">
        <v>241</v>
      </c>
      <c r="P5781" s="23"/>
      <c r="Q5781" s="23"/>
      <c r="R5781" s="23"/>
      <c r="S5781" s="23"/>
      <c r="T5781" s="23"/>
      <c r="U5781" s="23"/>
      <c r="V5781" s="23"/>
      <c r="W5781" s="23"/>
      <c r="X5781" s="23"/>
      <c r="Y5781" s="23"/>
      <c r="Z5781" s="23"/>
    </row>
    <row r="5782" spans="1:26" ht="13">
      <c r="A5782" s="562" t="s">
        <v>12446</v>
      </c>
      <c r="B5782" s="563" t="s">
        <v>12447</v>
      </c>
      <c r="C5782" s="564" t="s">
        <v>1612</v>
      </c>
      <c r="D5782" s="565">
        <v>40695</v>
      </c>
      <c r="E5782" s="565">
        <v>41059</v>
      </c>
      <c r="F5782" s="566">
        <v>44000000</v>
      </c>
      <c r="G5782" s="564" t="s">
        <v>1312</v>
      </c>
      <c r="H5782" s="564" t="s">
        <v>1157</v>
      </c>
      <c r="I5782" s="564" t="s">
        <v>45</v>
      </c>
      <c r="J5782" s="564" t="s">
        <v>1069</v>
      </c>
      <c r="K5782" s="564" t="s">
        <v>1090</v>
      </c>
      <c r="L5782" s="564" t="s">
        <v>1071</v>
      </c>
      <c r="M5782" s="564" t="s">
        <v>1091</v>
      </c>
      <c r="N5782" s="564" t="s">
        <v>45</v>
      </c>
      <c r="O5782" s="564" t="s">
        <v>241</v>
      </c>
      <c r="P5782" s="23"/>
      <c r="Q5782" s="23"/>
      <c r="R5782" s="23"/>
      <c r="S5782" s="23"/>
      <c r="T5782" s="23"/>
      <c r="U5782" s="23"/>
      <c r="V5782" s="23"/>
      <c r="W5782" s="23"/>
      <c r="X5782" s="23"/>
      <c r="Y5782" s="23"/>
      <c r="Z5782" s="23"/>
    </row>
    <row r="5783" spans="1:26" ht="13">
      <c r="A5783" s="562" t="s">
        <v>12448</v>
      </c>
      <c r="B5783" s="563" t="s">
        <v>12449</v>
      </c>
      <c r="C5783" s="564" t="s">
        <v>6860</v>
      </c>
      <c r="D5783" s="565">
        <v>40739</v>
      </c>
      <c r="E5783" s="565">
        <v>41912</v>
      </c>
      <c r="F5783" s="566">
        <v>49909091</v>
      </c>
      <c r="G5783" s="564" t="s">
        <v>1912</v>
      </c>
      <c r="H5783" s="564" t="s">
        <v>1116</v>
      </c>
      <c r="I5783" s="564" t="s">
        <v>12421</v>
      </c>
      <c r="J5783" s="564" t="s">
        <v>1069</v>
      </c>
      <c r="K5783" s="564" t="s">
        <v>1105</v>
      </c>
      <c r="L5783" s="564" t="s">
        <v>1071</v>
      </c>
      <c r="M5783" s="564" t="s">
        <v>1124</v>
      </c>
      <c r="N5783" s="564" t="s">
        <v>1082</v>
      </c>
      <c r="O5783" s="564" t="s">
        <v>38</v>
      </c>
      <c r="P5783" s="23"/>
      <c r="Q5783" s="23"/>
      <c r="R5783" s="23"/>
      <c r="S5783" s="23"/>
      <c r="T5783" s="23"/>
      <c r="U5783" s="23"/>
      <c r="V5783" s="23"/>
      <c r="W5783" s="23"/>
      <c r="X5783" s="23"/>
      <c r="Y5783" s="23"/>
      <c r="Z5783" s="23"/>
    </row>
    <row r="5784" spans="1:26" ht="13">
      <c r="A5784" s="562" t="s">
        <v>12450</v>
      </c>
      <c r="B5784" s="563" t="s">
        <v>12451</v>
      </c>
      <c r="C5784" s="564" t="s">
        <v>1612</v>
      </c>
      <c r="D5784" s="565">
        <v>40725</v>
      </c>
      <c r="E5784" s="565">
        <v>40772</v>
      </c>
      <c r="F5784" s="566">
        <v>8200000</v>
      </c>
      <c r="G5784" s="564" t="s">
        <v>1564</v>
      </c>
      <c r="H5784" s="564" t="s">
        <v>1640</v>
      </c>
      <c r="I5784" s="564" t="s">
        <v>45</v>
      </c>
      <c r="J5784" s="564" t="s">
        <v>1069</v>
      </c>
      <c r="K5784" s="564" t="s">
        <v>1090</v>
      </c>
      <c r="L5784" s="564" t="s">
        <v>1390</v>
      </c>
      <c r="M5784" s="564" t="s">
        <v>1390</v>
      </c>
      <c r="N5784" s="564" t="s">
        <v>45</v>
      </c>
      <c r="O5784" s="564" t="s">
        <v>38</v>
      </c>
      <c r="P5784" s="23"/>
      <c r="Q5784" s="23"/>
      <c r="R5784" s="23"/>
      <c r="S5784" s="23"/>
      <c r="T5784" s="23"/>
      <c r="U5784" s="23"/>
      <c r="V5784" s="23"/>
      <c r="W5784" s="23"/>
      <c r="X5784" s="23"/>
      <c r="Y5784" s="23"/>
      <c r="Z5784" s="23"/>
    </row>
    <row r="5785" spans="1:26" ht="13">
      <c r="A5785" s="562" t="s">
        <v>12452</v>
      </c>
      <c r="B5785" s="563" t="s">
        <v>12453</v>
      </c>
      <c r="C5785" s="564" t="s">
        <v>1873</v>
      </c>
      <c r="D5785" s="565">
        <v>40695</v>
      </c>
      <c r="E5785" s="565">
        <v>40802</v>
      </c>
      <c r="F5785" s="566">
        <v>62880000</v>
      </c>
      <c r="G5785" s="564" t="s">
        <v>2346</v>
      </c>
      <c r="H5785" s="564" t="s">
        <v>1157</v>
      </c>
      <c r="I5785" s="564" t="s">
        <v>170</v>
      </c>
      <c r="J5785" s="564" t="s">
        <v>1069</v>
      </c>
      <c r="K5785" s="564" t="s">
        <v>1105</v>
      </c>
      <c r="L5785" s="564" t="s">
        <v>1390</v>
      </c>
      <c r="M5785" s="564" t="s">
        <v>1390</v>
      </c>
      <c r="N5785" s="564" t="s">
        <v>170</v>
      </c>
      <c r="O5785" s="564" t="s">
        <v>38</v>
      </c>
      <c r="P5785" s="23"/>
      <c r="Q5785" s="23"/>
      <c r="R5785" s="23"/>
      <c r="S5785" s="23"/>
      <c r="T5785" s="23"/>
      <c r="U5785" s="23"/>
      <c r="V5785" s="23"/>
      <c r="W5785" s="23"/>
      <c r="X5785" s="23"/>
      <c r="Y5785" s="23"/>
      <c r="Z5785" s="23"/>
    </row>
    <row r="5786" spans="1:26" ht="13">
      <c r="A5786" s="562" t="s">
        <v>12454</v>
      </c>
      <c r="B5786" s="563" t="s">
        <v>12455</v>
      </c>
      <c r="C5786" s="564" t="s">
        <v>1255</v>
      </c>
      <c r="D5786" s="565">
        <v>40725</v>
      </c>
      <c r="E5786" s="565">
        <v>41090</v>
      </c>
      <c r="F5786" s="566">
        <v>19000000</v>
      </c>
      <c r="G5786" s="564" t="s">
        <v>1097</v>
      </c>
      <c r="H5786" s="564" t="s">
        <v>1123</v>
      </c>
      <c r="I5786" s="564" t="s">
        <v>143</v>
      </c>
      <c r="J5786" s="564" t="s">
        <v>1069</v>
      </c>
      <c r="K5786" s="564" t="s">
        <v>1205</v>
      </c>
      <c r="L5786" s="564" t="s">
        <v>1071</v>
      </c>
      <c r="M5786" s="564" t="s">
        <v>1091</v>
      </c>
      <c r="N5786" s="564" t="s">
        <v>1073</v>
      </c>
      <c r="O5786" s="564" t="s">
        <v>241</v>
      </c>
      <c r="P5786" s="23"/>
      <c r="Q5786" s="23"/>
      <c r="R5786" s="23"/>
      <c r="S5786" s="23"/>
      <c r="T5786" s="23"/>
      <c r="U5786" s="23"/>
      <c r="V5786" s="23"/>
      <c r="W5786" s="23"/>
      <c r="X5786" s="23"/>
      <c r="Y5786" s="23"/>
      <c r="Z5786" s="23"/>
    </row>
    <row r="5787" spans="1:26" ht="13">
      <c r="A5787" s="562" t="s">
        <v>12456</v>
      </c>
      <c r="B5787" s="563" t="s">
        <v>12457</v>
      </c>
      <c r="C5787" s="564" t="s">
        <v>1612</v>
      </c>
      <c r="D5787" s="565">
        <v>40694</v>
      </c>
      <c r="E5787" s="565">
        <v>41059</v>
      </c>
      <c r="F5787" s="566">
        <v>1467000000</v>
      </c>
      <c r="G5787" s="564" t="s">
        <v>1067</v>
      </c>
      <c r="H5787" s="564" t="s">
        <v>1856</v>
      </c>
      <c r="I5787" s="564" t="s">
        <v>45</v>
      </c>
      <c r="J5787" s="564" t="s">
        <v>1069</v>
      </c>
      <c r="K5787" s="564" t="s">
        <v>1090</v>
      </c>
      <c r="L5787" s="564" t="s">
        <v>1071</v>
      </c>
      <c r="M5787" s="564" t="s">
        <v>1091</v>
      </c>
      <c r="N5787" s="564" t="s">
        <v>45</v>
      </c>
      <c r="O5787" s="564" t="s">
        <v>241</v>
      </c>
      <c r="P5787" s="23"/>
      <c r="Q5787" s="23"/>
      <c r="R5787" s="23"/>
      <c r="S5787" s="23"/>
      <c r="T5787" s="23"/>
      <c r="U5787" s="23"/>
      <c r="V5787" s="23"/>
      <c r="W5787" s="23"/>
      <c r="X5787" s="23"/>
      <c r="Y5787" s="23"/>
      <c r="Z5787" s="23"/>
    </row>
    <row r="5788" spans="1:26" ht="13">
      <c r="A5788" s="562" t="s">
        <v>12458</v>
      </c>
      <c r="B5788" s="563" t="s">
        <v>12459</v>
      </c>
      <c r="C5788" s="564" t="s">
        <v>1612</v>
      </c>
      <c r="D5788" s="565">
        <v>40686</v>
      </c>
      <c r="E5788" s="565">
        <v>40731</v>
      </c>
      <c r="F5788" s="566">
        <v>9080000</v>
      </c>
      <c r="G5788" s="564" t="s">
        <v>1912</v>
      </c>
      <c r="H5788" s="564" t="s">
        <v>1123</v>
      </c>
      <c r="I5788" s="564" t="s">
        <v>802</v>
      </c>
      <c r="J5788" s="564" t="s">
        <v>1069</v>
      </c>
      <c r="K5788" s="564" t="s">
        <v>1198</v>
      </c>
      <c r="L5788" s="564" t="s">
        <v>1071</v>
      </c>
      <c r="M5788" s="564" t="s">
        <v>1124</v>
      </c>
      <c r="N5788" s="564" t="s">
        <v>132</v>
      </c>
      <c r="O5788" s="564" t="s">
        <v>38</v>
      </c>
      <c r="P5788" s="23"/>
      <c r="Q5788" s="23"/>
      <c r="R5788" s="23"/>
      <c r="S5788" s="23"/>
      <c r="T5788" s="23"/>
      <c r="U5788" s="23"/>
      <c r="V5788" s="23"/>
      <c r="W5788" s="23"/>
      <c r="X5788" s="23"/>
      <c r="Y5788" s="23"/>
      <c r="Z5788" s="23"/>
    </row>
    <row r="5789" spans="1:26" ht="13">
      <c r="A5789" s="562" t="s">
        <v>12460</v>
      </c>
      <c r="B5789" s="563" t="s">
        <v>12461</v>
      </c>
      <c r="C5789" s="564" t="s">
        <v>2191</v>
      </c>
      <c r="D5789" s="565">
        <v>40634</v>
      </c>
      <c r="E5789" s="565">
        <v>41274</v>
      </c>
      <c r="F5789" s="566">
        <v>4500000</v>
      </c>
      <c r="G5789" s="564" t="s">
        <v>1912</v>
      </c>
      <c r="H5789" s="564" t="s">
        <v>1123</v>
      </c>
      <c r="I5789" s="564" t="s">
        <v>12462</v>
      </c>
      <c r="J5789" s="564" t="s">
        <v>1069</v>
      </c>
      <c r="K5789" s="564" t="s">
        <v>1205</v>
      </c>
      <c r="L5789" s="564" t="s">
        <v>1071</v>
      </c>
      <c r="M5789" s="564" t="s">
        <v>1124</v>
      </c>
      <c r="N5789" s="564" t="s">
        <v>1082</v>
      </c>
      <c r="O5789" s="564" t="s">
        <v>38</v>
      </c>
      <c r="P5789" s="23"/>
      <c r="Q5789" s="23"/>
      <c r="R5789" s="23"/>
      <c r="S5789" s="23"/>
      <c r="T5789" s="23"/>
      <c r="U5789" s="23"/>
      <c r="V5789" s="23"/>
      <c r="W5789" s="23"/>
      <c r="X5789" s="23"/>
      <c r="Y5789" s="23"/>
      <c r="Z5789" s="23"/>
    </row>
    <row r="5790" spans="1:26" ht="13">
      <c r="A5790" s="562" t="s">
        <v>12463</v>
      </c>
      <c r="B5790" s="563" t="s">
        <v>12464</v>
      </c>
      <c r="C5790" s="564" t="s">
        <v>1255</v>
      </c>
      <c r="D5790" s="565">
        <v>40603</v>
      </c>
      <c r="E5790" s="565">
        <v>40967</v>
      </c>
      <c r="F5790" s="566">
        <v>12545454</v>
      </c>
      <c r="G5790" s="564" t="s">
        <v>1780</v>
      </c>
      <c r="H5790" s="564" t="s">
        <v>1123</v>
      </c>
      <c r="I5790" s="564" t="s">
        <v>802</v>
      </c>
      <c r="J5790" s="564" t="s">
        <v>1069</v>
      </c>
      <c r="K5790" s="564" t="s">
        <v>1198</v>
      </c>
      <c r="L5790" s="564" t="s">
        <v>1071</v>
      </c>
      <c r="M5790" s="564" t="s">
        <v>1091</v>
      </c>
      <c r="N5790" s="564" t="s">
        <v>132</v>
      </c>
      <c r="O5790" s="564" t="s">
        <v>241</v>
      </c>
      <c r="P5790" s="23"/>
      <c r="Q5790" s="23"/>
      <c r="R5790" s="23"/>
      <c r="S5790" s="23"/>
      <c r="T5790" s="23"/>
      <c r="U5790" s="23"/>
      <c r="V5790" s="23"/>
      <c r="W5790" s="23"/>
      <c r="X5790" s="23"/>
      <c r="Y5790" s="23"/>
      <c r="Z5790" s="23"/>
    </row>
    <row r="5791" spans="1:26" ht="13">
      <c r="A5791" s="562" t="s">
        <v>12465</v>
      </c>
      <c r="B5791" s="563" t="s">
        <v>12466</v>
      </c>
      <c r="C5791" s="564" t="s">
        <v>2484</v>
      </c>
      <c r="D5791" s="565">
        <v>40653</v>
      </c>
      <c r="E5791" s="565">
        <v>40663</v>
      </c>
      <c r="F5791" s="566">
        <v>23000000</v>
      </c>
      <c r="G5791" s="564" t="s">
        <v>12075</v>
      </c>
      <c r="H5791" s="564" t="s">
        <v>2546</v>
      </c>
      <c r="I5791" s="564" t="s">
        <v>12467</v>
      </c>
      <c r="J5791" s="564" t="s">
        <v>1069</v>
      </c>
      <c r="K5791" s="564" t="s">
        <v>2466</v>
      </c>
      <c r="L5791" s="564" t="s">
        <v>2467</v>
      </c>
      <c r="M5791" s="564" t="s">
        <v>2466</v>
      </c>
      <c r="N5791" s="564" t="s">
        <v>1082</v>
      </c>
      <c r="O5791" s="564" t="s">
        <v>4798</v>
      </c>
      <c r="P5791" s="23"/>
      <c r="Q5791" s="23"/>
      <c r="R5791" s="23"/>
      <c r="S5791" s="23"/>
      <c r="T5791" s="23"/>
      <c r="U5791" s="23"/>
      <c r="V5791" s="23"/>
      <c r="W5791" s="23"/>
      <c r="X5791" s="23"/>
      <c r="Y5791" s="23"/>
      <c r="Z5791" s="23"/>
    </row>
    <row r="5792" spans="1:26" ht="13">
      <c r="A5792" s="562" t="s">
        <v>12468</v>
      </c>
      <c r="B5792" s="563" t="s">
        <v>12469</v>
      </c>
      <c r="C5792" s="564" t="s">
        <v>2191</v>
      </c>
      <c r="D5792" s="565">
        <v>40634</v>
      </c>
      <c r="E5792" s="565">
        <v>40999</v>
      </c>
      <c r="F5792" s="566">
        <v>12600000</v>
      </c>
      <c r="G5792" s="564" t="s">
        <v>1067</v>
      </c>
      <c r="H5792" s="564" t="s">
        <v>1123</v>
      </c>
      <c r="I5792" s="564" t="s">
        <v>8659</v>
      </c>
      <c r="J5792" s="564" t="s">
        <v>1069</v>
      </c>
      <c r="K5792" s="564" t="s">
        <v>1205</v>
      </c>
      <c r="L5792" s="564" t="s">
        <v>1071</v>
      </c>
      <c r="M5792" s="564" t="s">
        <v>1091</v>
      </c>
      <c r="N5792" s="564" t="s">
        <v>1073</v>
      </c>
      <c r="O5792" s="564" t="s">
        <v>241</v>
      </c>
      <c r="P5792" s="23"/>
      <c r="Q5792" s="23"/>
      <c r="R5792" s="23"/>
      <c r="S5792" s="23"/>
      <c r="T5792" s="23"/>
      <c r="U5792" s="23"/>
      <c r="V5792" s="23"/>
      <c r="W5792" s="23"/>
      <c r="X5792" s="23"/>
      <c r="Y5792" s="23"/>
      <c r="Z5792" s="23"/>
    </row>
    <row r="5793" spans="1:26" ht="13">
      <c r="A5793" s="562" t="s">
        <v>12470</v>
      </c>
      <c r="B5793" s="563" t="s">
        <v>12471</v>
      </c>
      <c r="C5793" s="564" t="s">
        <v>1255</v>
      </c>
      <c r="D5793" s="565">
        <v>40634</v>
      </c>
      <c r="E5793" s="565">
        <v>40999</v>
      </c>
      <c r="F5793" s="566">
        <v>45163636</v>
      </c>
      <c r="G5793" s="564" t="s">
        <v>1097</v>
      </c>
      <c r="H5793" s="564" t="s">
        <v>1123</v>
      </c>
      <c r="I5793" s="564" t="s">
        <v>8659</v>
      </c>
      <c r="J5793" s="564" t="s">
        <v>1069</v>
      </c>
      <c r="K5793" s="564" t="s">
        <v>1205</v>
      </c>
      <c r="L5793" s="564" t="s">
        <v>1071</v>
      </c>
      <c r="M5793" s="564" t="s">
        <v>1091</v>
      </c>
      <c r="N5793" s="564" t="s">
        <v>1073</v>
      </c>
      <c r="O5793" s="564" t="s">
        <v>241</v>
      </c>
      <c r="P5793" s="23"/>
      <c r="Q5793" s="23"/>
      <c r="R5793" s="23"/>
      <c r="S5793" s="23"/>
      <c r="T5793" s="23"/>
      <c r="U5793" s="23"/>
      <c r="V5793" s="23"/>
      <c r="W5793" s="23"/>
      <c r="X5793" s="23"/>
      <c r="Y5793" s="23"/>
      <c r="Z5793" s="23"/>
    </row>
    <row r="5794" spans="1:26" ht="13">
      <c r="A5794" s="562" t="s">
        <v>12472</v>
      </c>
      <c r="B5794" s="563" t="s">
        <v>12473</v>
      </c>
      <c r="C5794" s="564" t="s">
        <v>1255</v>
      </c>
      <c r="D5794" s="565">
        <v>40634</v>
      </c>
      <c r="E5794" s="565">
        <v>40999</v>
      </c>
      <c r="F5794" s="566">
        <v>54240000</v>
      </c>
      <c r="G5794" s="564" t="s">
        <v>1097</v>
      </c>
      <c r="H5794" s="564" t="s">
        <v>1123</v>
      </c>
      <c r="I5794" s="564" t="s">
        <v>8659</v>
      </c>
      <c r="J5794" s="564" t="s">
        <v>1069</v>
      </c>
      <c r="K5794" s="564" t="s">
        <v>1205</v>
      </c>
      <c r="L5794" s="564" t="s">
        <v>1071</v>
      </c>
      <c r="M5794" s="564" t="s">
        <v>1091</v>
      </c>
      <c r="N5794" s="564" t="s">
        <v>1073</v>
      </c>
      <c r="O5794" s="564" t="s">
        <v>241</v>
      </c>
      <c r="P5794" s="23"/>
      <c r="Q5794" s="23"/>
      <c r="R5794" s="23"/>
      <c r="S5794" s="23"/>
      <c r="T5794" s="23"/>
      <c r="U5794" s="23"/>
      <c r="V5794" s="23"/>
      <c r="W5794" s="23"/>
      <c r="X5794" s="23"/>
      <c r="Y5794" s="23"/>
      <c r="Z5794" s="23"/>
    </row>
    <row r="5795" spans="1:26" ht="13">
      <c r="A5795" s="562" t="s">
        <v>12474</v>
      </c>
      <c r="B5795" s="563" t="s">
        <v>12475</v>
      </c>
      <c r="C5795" s="564" t="s">
        <v>1873</v>
      </c>
      <c r="D5795" s="565">
        <v>40644</v>
      </c>
      <c r="E5795" s="565">
        <v>40803</v>
      </c>
      <c r="F5795" s="566">
        <v>68000000</v>
      </c>
      <c r="G5795" s="564" t="s">
        <v>2346</v>
      </c>
      <c r="H5795" s="564" t="s">
        <v>1157</v>
      </c>
      <c r="I5795" s="564" t="s">
        <v>170</v>
      </c>
      <c r="J5795" s="564" t="s">
        <v>1069</v>
      </c>
      <c r="K5795" s="564" t="s">
        <v>1105</v>
      </c>
      <c r="L5795" s="564" t="s">
        <v>1390</v>
      </c>
      <c r="M5795" s="564" t="s">
        <v>1390</v>
      </c>
      <c r="N5795" s="564" t="s">
        <v>170</v>
      </c>
      <c r="O5795" s="564" t="s">
        <v>38</v>
      </c>
      <c r="P5795" s="23"/>
      <c r="Q5795" s="23"/>
      <c r="R5795" s="23"/>
      <c r="S5795" s="23"/>
      <c r="T5795" s="23"/>
      <c r="U5795" s="23"/>
      <c r="V5795" s="23"/>
      <c r="W5795" s="23"/>
      <c r="X5795" s="23"/>
      <c r="Y5795" s="23"/>
      <c r="Z5795" s="23"/>
    </row>
    <row r="5796" spans="1:26" ht="13">
      <c r="A5796" s="562" t="s">
        <v>12476</v>
      </c>
      <c r="B5796" s="563" t="s">
        <v>12477</v>
      </c>
      <c r="C5796" s="564" t="s">
        <v>6860</v>
      </c>
      <c r="D5796" s="565">
        <v>40603</v>
      </c>
      <c r="E5796" s="565">
        <v>40755</v>
      </c>
      <c r="F5796" s="566">
        <v>62500000</v>
      </c>
      <c r="G5796" s="564" t="s">
        <v>2508</v>
      </c>
      <c r="H5796" s="564" t="s">
        <v>1128</v>
      </c>
      <c r="I5796" s="564" t="s">
        <v>12478</v>
      </c>
      <c r="J5796" s="564" t="s">
        <v>1069</v>
      </c>
      <c r="K5796" s="564" t="s">
        <v>1070</v>
      </c>
      <c r="L5796" s="564" t="s">
        <v>1390</v>
      </c>
      <c r="M5796" s="564" t="s">
        <v>1390</v>
      </c>
      <c r="N5796" s="564" t="s">
        <v>1082</v>
      </c>
      <c r="O5796" s="564" t="s">
        <v>38</v>
      </c>
      <c r="P5796" s="23"/>
      <c r="Q5796" s="23"/>
      <c r="R5796" s="23"/>
      <c r="S5796" s="23"/>
      <c r="T5796" s="23"/>
      <c r="U5796" s="23"/>
      <c r="V5796" s="23"/>
      <c r="W5796" s="23"/>
      <c r="X5796" s="23"/>
      <c r="Y5796" s="23"/>
      <c r="Z5796" s="23"/>
    </row>
    <row r="5797" spans="1:26" ht="13">
      <c r="A5797" s="562" t="s">
        <v>12479</v>
      </c>
      <c r="B5797" s="563" t="s">
        <v>12480</v>
      </c>
      <c r="C5797" s="564" t="s">
        <v>1873</v>
      </c>
      <c r="D5797" s="565">
        <v>40603</v>
      </c>
      <c r="E5797" s="565">
        <v>40967</v>
      </c>
      <c r="F5797" s="566">
        <v>16800000</v>
      </c>
      <c r="G5797" s="564" t="s">
        <v>2346</v>
      </c>
      <c r="H5797" s="564" t="s">
        <v>337</v>
      </c>
      <c r="I5797" s="564" t="s">
        <v>802</v>
      </c>
      <c r="J5797" s="564" t="s">
        <v>1069</v>
      </c>
      <c r="K5797" s="564" t="s">
        <v>1198</v>
      </c>
      <c r="L5797" s="564" t="s">
        <v>1071</v>
      </c>
      <c r="M5797" s="564" t="s">
        <v>1091</v>
      </c>
      <c r="N5797" s="564" t="s">
        <v>132</v>
      </c>
      <c r="O5797" s="564" t="s">
        <v>241</v>
      </c>
      <c r="P5797" s="23"/>
      <c r="Q5797" s="23"/>
      <c r="R5797" s="23"/>
      <c r="S5797" s="23"/>
      <c r="T5797" s="23"/>
      <c r="U5797" s="23"/>
      <c r="V5797" s="23"/>
      <c r="W5797" s="23"/>
      <c r="X5797" s="23"/>
      <c r="Y5797" s="23"/>
      <c r="Z5797" s="23"/>
    </row>
    <row r="5798" spans="1:26" ht="13">
      <c r="A5798" s="562" t="s">
        <v>12481</v>
      </c>
      <c r="B5798" s="563" t="s">
        <v>12482</v>
      </c>
      <c r="C5798" s="564" t="s">
        <v>1612</v>
      </c>
      <c r="D5798" s="565">
        <v>40620</v>
      </c>
      <c r="E5798" s="565">
        <v>40686</v>
      </c>
      <c r="F5798" s="566">
        <v>9800000</v>
      </c>
      <c r="G5798" s="564" t="s">
        <v>12483</v>
      </c>
      <c r="H5798" s="564" t="s">
        <v>1157</v>
      </c>
      <c r="I5798" s="564" t="s">
        <v>64</v>
      </c>
      <c r="J5798" s="564" t="s">
        <v>1069</v>
      </c>
      <c r="K5798" s="564" t="s">
        <v>1090</v>
      </c>
      <c r="L5798" s="564" t="s">
        <v>1390</v>
      </c>
      <c r="M5798" s="564" t="s">
        <v>1390</v>
      </c>
      <c r="N5798" s="564" t="s">
        <v>64</v>
      </c>
      <c r="O5798" s="564" t="s">
        <v>38</v>
      </c>
      <c r="P5798" s="23"/>
      <c r="Q5798" s="23"/>
      <c r="R5798" s="23"/>
      <c r="S5798" s="23"/>
      <c r="T5798" s="23"/>
      <c r="U5798" s="23"/>
      <c r="V5798" s="23"/>
      <c r="W5798" s="23"/>
      <c r="X5798" s="23"/>
      <c r="Y5798" s="23"/>
      <c r="Z5798" s="23"/>
    </row>
    <row r="5799" spans="1:26" ht="13">
      <c r="A5799" s="562" t="s">
        <v>12484</v>
      </c>
      <c r="B5799" s="563" t="s">
        <v>12485</v>
      </c>
      <c r="C5799" s="564" t="s">
        <v>2191</v>
      </c>
      <c r="D5799" s="565">
        <v>40610</v>
      </c>
      <c r="E5799" s="565">
        <v>41851</v>
      </c>
      <c r="F5799" s="566">
        <v>3713580000</v>
      </c>
      <c r="G5799" s="564" t="s">
        <v>1912</v>
      </c>
      <c r="H5799" s="564" t="s">
        <v>1123</v>
      </c>
      <c r="I5799" s="564" t="s">
        <v>12065</v>
      </c>
      <c r="J5799" s="564" t="s">
        <v>1069</v>
      </c>
      <c r="K5799" s="564" t="s">
        <v>1070</v>
      </c>
      <c r="L5799" s="564" t="s">
        <v>1071</v>
      </c>
      <c r="M5799" s="564" t="s">
        <v>1124</v>
      </c>
      <c r="N5799" s="564" t="s">
        <v>1082</v>
      </c>
      <c r="O5799" s="564" t="s">
        <v>38</v>
      </c>
      <c r="P5799" s="23"/>
      <c r="Q5799" s="23"/>
      <c r="R5799" s="23"/>
      <c r="S5799" s="23"/>
      <c r="T5799" s="23"/>
      <c r="U5799" s="23"/>
      <c r="V5799" s="23"/>
      <c r="W5799" s="23"/>
      <c r="X5799" s="23"/>
      <c r="Y5799" s="23"/>
      <c r="Z5799" s="23"/>
    </row>
    <row r="5800" spans="1:26" ht="13">
      <c r="A5800" s="562" t="s">
        <v>12486</v>
      </c>
      <c r="B5800" s="563" t="s">
        <v>12487</v>
      </c>
      <c r="C5800" s="564" t="s">
        <v>1066</v>
      </c>
      <c r="D5800" s="565">
        <v>40634</v>
      </c>
      <c r="E5800" s="565">
        <v>40999</v>
      </c>
      <c r="F5800" s="566">
        <v>14256000</v>
      </c>
      <c r="G5800" s="564" t="s">
        <v>1067</v>
      </c>
      <c r="H5800" s="564" t="s">
        <v>337</v>
      </c>
      <c r="I5800" s="564" t="s">
        <v>146</v>
      </c>
      <c r="J5800" s="564" t="s">
        <v>1069</v>
      </c>
      <c r="K5800" s="564" t="s">
        <v>1070</v>
      </c>
      <c r="L5800" s="564" t="s">
        <v>1071</v>
      </c>
      <c r="M5800" s="564" t="s">
        <v>1091</v>
      </c>
      <c r="N5800" s="564" t="s">
        <v>1073</v>
      </c>
      <c r="O5800" s="564" t="s">
        <v>241</v>
      </c>
      <c r="P5800" s="23"/>
      <c r="Q5800" s="23"/>
      <c r="R5800" s="23"/>
      <c r="S5800" s="23"/>
      <c r="T5800" s="23"/>
      <c r="U5800" s="23"/>
      <c r="V5800" s="23"/>
      <c r="W5800" s="23"/>
      <c r="X5800" s="23"/>
      <c r="Y5800" s="23"/>
      <c r="Z5800" s="23"/>
    </row>
    <row r="5801" spans="1:26" ht="13">
      <c r="A5801" s="562" t="s">
        <v>12488</v>
      </c>
      <c r="B5801" s="563" t="s">
        <v>12489</v>
      </c>
      <c r="C5801" s="564" t="s">
        <v>1612</v>
      </c>
      <c r="D5801" s="565">
        <v>40613</v>
      </c>
      <c r="E5801" s="565">
        <v>40693</v>
      </c>
      <c r="F5801" s="566">
        <v>6200000</v>
      </c>
      <c r="G5801" s="564" t="s">
        <v>1912</v>
      </c>
      <c r="H5801" s="564" t="s">
        <v>1123</v>
      </c>
      <c r="I5801" s="564" t="s">
        <v>2041</v>
      </c>
      <c r="J5801" s="564" t="s">
        <v>1069</v>
      </c>
      <c r="K5801" s="564" t="s">
        <v>1105</v>
      </c>
      <c r="L5801" s="564" t="s">
        <v>1390</v>
      </c>
      <c r="M5801" s="564" t="s">
        <v>1390</v>
      </c>
      <c r="N5801" s="564" t="s">
        <v>1073</v>
      </c>
      <c r="O5801" s="564" t="s">
        <v>38</v>
      </c>
      <c r="P5801" s="23"/>
      <c r="Q5801" s="23"/>
      <c r="R5801" s="23"/>
      <c r="S5801" s="23"/>
      <c r="T5801" s="23"/>
      <c r="U5801" s="23"/>
      <c r="V5801" s="23"/>
      <c r="W5801" s="23"/>
      <c r="X5801" s="23"/>
      <c r="Y5801" s="23"/>
      <c r="Z5801" s="23"/>
    </row>
    <row r="5802" spans="1:26" ht="13">
      <c r="A5802" s="562" t="s">
        <v>12490</v>
      </c>
      <c r="B5802" s="563" t="s">
        <v>12491</v>
      </c>
      <c r="C5802" s="564" t="s">
        <v>2191</v>
      </c>
      <c r="D5802" s="565">
        <v>40602</v>
      </c>
      <c r="E5802" s="565">
        <v>40671</v>
      </c>
      <c r="F5802" s="566">
        <v>270000000</v>
      </c>
      <c r="G5802" s="564" t="s">
        <v>1912</v>
      </c>
      <c r="H5802" s="564" t="s">
        <v>1529</v>
      </c>
      <c r="I5802" s="564" t="s">
        <v>8646</v>
      </c>
      <c r="J5802" s="564" t="s">
        <v>1069</v>
      </c>
      <c r="K5802" s="564" t="s">
        <v>1070</v>
      </c>
      <c r="L5802" s="564" t="s">
        <v>2098</v>
      </c>
      <c r="M5802" s="564" t="s">
        <v>2098</v>
      </c>
      <c r="N5802" s="564" t="s">
        <v>1082</v>
      </c>
      <c r="O5802" s="564" t="s">
        <v>2099</v>
      </c>
      <c r="P5802" s="23"/>
      <c r="Q5802" s="23"/>
      <c r="R5802" s="23"/>
      <c r="S5802" s="23"/>
      <c r="T5802" s="23"/>
      <c r="U5802" s="23"/>
      <c r="V5802" s="23"/>
      <c r="W5802" s="23"/>
      <c r="X5802" s="23"/>
      <c r="Y5802" s="23"/>
      <c r="Z5802" s="23"/>
    </row>
    <row r="5803" spans="1:26" ht="13">
      <c r="A5803" s="562" t="s">
        <v>12492</v>
      </c>
      <c r="B5803" s="563" t="s">
        <v>12493</v>
      </c>
      <c r="C5803" s="564" t="s">
        <v>2191</v>
      </c>
      <c r="D5803" s="565">
        <v>40603</v>
      </c>
      <c r="E5803" s="565">
        <v>40968</v>
      </c>
      <c r="F5803" s="566">
        <v>62592000</v>
      </c>
      <c r="G5803" s="564" t="s">
        <v>12213</v>
      </c>
      <c r="H5803" s="564" t="s">
        <v>1636</v>
      </c>
      <c r="I5803" s="564" t="s">
        <v>7259</v>
      </c>
      <c r="J5803" s="564" t="s">
        <v>1069</v>
      </c>
      <c r="K5803" s="564" t="s">
        <v>1070</v>
      </c>
      <c r="L5803" s="564" t="s">
        <v>1071</v>
      </c>
      <c r="M5803" s="564" t="s">
        <v>1091</v>
      </c>
      <c r="N5803" s="564" t="s">
        <v>1082</v>
      </c>
      <c r="O5803" s="564" t="s">
        <v>241</v>
      </c>
      <c r="P5803" s="23"/>
      <c r="Q5803" s="23"/>
      <c r="R5803" s="23"/>
      <c r="S5803" s="23"/>
      <c r="T5803" s="23"/>
      <c r="U5803" s="23"/>
      <c r="V5803" s="23"/>
      <c r="W5803" s="23"/>
      <c r="X5803" s="23"/>
      <c r="Y5803" s="23"/>
      <c r="Z5803" s="23"/>
    </row>
    <row r="5804" spans="1:26" ht="13">
      <c r="A5804" s="562" t="s">
        <v>12494</v>
      </c>
      <c r="B5804" s="563" t="s">
        <v>12495</v>
      </c>
      <c r="C5804" s="564" t="s">
        <v>1255</v>
      </c>
      <c r="D5804" s="565">
        <v>40634</v>
      </c>
      <c r="E5804" s="565">
        <v>40999</v>
      </c>
      <c r="F5804" s="566">
        <v>15120000</v>
      </c>
      <c r="G5804" s="564" t="s">
        <v>1097</v>
      </c>
      <c r="H5804" s="564" t="s">
        <v>1123</v>
      </c>
      <c r="I5804" s="564" t="s">
        <v>2041</v>
      </c>
      <c r="J5804" s="564" t="s">
        <v>1069</v>
      </c>
      <c r="K5804" s="564" t="s">
        <v>1105</v>
      </c>
      <c r="L5804" s="564" t="s">
        <v>1071</v>
      </c>
      <c r="M5804" s="564" t="s">
        <v>1091</v>
      </c>
      <c r="N5804" s="564" t="s">
        <v>1073</v>
      </c>
      <c r="O5804" s="564" t="s">
        <v>241</v>
      </c>
      <c r="P5804" s="23"/>
      <c r="Q5804" s="23"/>
      <c r="R5804" s="23"/>
      <c r="S5804" s="23"/>
      <c r="T5804" s="23"/>
      <c r="U5804" s="23"/>
      <c r="V5804" s="23"/>
      <c r="W5804" s="23"/>
      <c r="X5804" s="23"/>
      <c r="Y5804" s="23"/>
      <c r="Z5804" s="23"/>
    </row>
    <row r="5805" spans="1:26" ht="13">
      <c r="A5805" s="562" t="s">
        <v>12496</v>
      </c>
      <c r="B5805" s="563" t="s">
        <v>12497</v>
      </c>
      <c r="C5805" s="564" t="s">
        <v>2191</v>
      </c>
      <c r="D5805" s="565">
        <v>40597</v>
      </c>
      <c r="E5805" s="565">
        <v>40908</v>
      </c>
      <c r="F5805" s="566">
        <v>369805191</v>
      </c>
      <c r="G5805" s="564" t="s">
        <v>1725</v>
      </c>
      <c r="H5805" s="564" t="s">
        <v>297</v>
      </c>
      <c r="I5805" s="564" t="s">
        <v>12258</v>
      </c>
      <c r="J5805" s="564" t="s">
        <v>1069</v>
      </c>
      <c r="K5805" s="564" t="s">
        <v>1070</v>
      </c>
      <c r="L5805" s="564" t="s">
        <v>1071</v>
      </c>
      <c r="M5805" s="564" t="s">
        <v>1091</v>
      </c>
      <c r="N5805" s="564" t="s">
        <v>2439</v>
      </c>
      <c r="O5805" s="564" t="s">
        <v>241</v>
      </c>
      <c r="P5805" s="23"/>
      <c r="Q5805" s="23"/>
      <c r="R5805" s="23"/>
      <c r="S5805" s="23"/>
      <c r="T5805" s="23"/>
      <c r="U5805" s="23"/>
      <c r="V5805" s="23"/>
      <c r="W5805" s="23"/>
      <c r="X5805" s="23"/>
      <c r="Y5805" s="23"/>
      <c r="Z5805" s="23"/>
    </row>
    <row r="5806" spans="1:26" ht="13">
      <c r="A5806" s="562" t="s">
        <v>12498</v>
      </c>
      <c r="B5806" s="563" t="s">
        <v>12499</v>
      </c>
      <c r="C5806" s="564" t="s">
        <v>2191</v>
      </c>
      <c r="D5806" s="565">
        <v>40602</v>
      </c>
      <c r="E5806" s="565">
        <v>40938</v>
      </c>
      <c r="F5806" s="566">
        <v>546800000</v>
      </c>
      <c r="G5806" s="564" t="s">
        <v>1912</v>
      </c>
      <c r="H5806" s="564" t="s">
        <v>1123</v>
      </c>
      <c r="I5806" s="564" t="s">
        <v>11827</v>
      </c>
      <c r="J5806" s="564" t="s">
        <v>1069</v>
      </c>
      <c r="K5806" s="564" t="s">
        <v>1205</v>
      </c>
      <c r="L5806" s="564" t="s">
        <v>1071</v>
      </c>
      <c r="M5806" s="564" t="s">
        <v>1124</v>
      </c>
      <c r="N5806" s="564" t="s">
        <v>1082</v>
      </c>
      <c r="O5806" s="564" t="s">
        <v>38</v>
      </c>
      <c r="P5806" s="23"/>
      <c r="Q5806" s="23"/>
      <c r="R5806" s="23"/>
      <c r="S5806" s="23"/>
      <c r="T5806" s="23"/>
      <c r="U5806" s="23"/>
      <c r="V5806" s="23"/>
      <c r="W5806" s="23"/>
      <c r="X5806" s="23"/>
      <c r="Y5806" s="23"/>
      <c r="Z5806" s="23"/>
    </row>
    <row r="5807" spans="1:26" ht="13">
      <c r="A5807" s="562" t="s">
        <v>12500</v>
      </c>
      <c r="B5807" s="563" t="s">
        <v>12501</v>
      </c>
      <c r="C5807" s="564" t="s">
        <v>2191</v>
      </c>
      <c r="D5807" s="565">
        <v>40598</v>
      </c>
      <c r="E5807" s="565">
        <v>40778</v>
      </c>
      <c r="F5807" s="566">
        <v>52581000</v>
      </c>
      <c r="G5807" s="564" t="s">
        <v>2346</v>
      </c>
      <c r="H5807" s="564" t="s">
        <v>1636</v>
      </c>
      <c r="I5807" s="564" t="s">
        <v>1826</v>
      </c>
      <c r="J5807" s="564" t="s">
        <v>1069</v>
      </c>
      <c r="K5807" s="564" t="s">
        <v>1070</v>
      </c>
      <c r="L5807" s="564" t="s">
        <v>1390</v>
      </c>
      <c r="M5807" s="564" t="s">
        <v>1390</v>
      </c>
      <c r="N5807" s="564" t="s">
        <v>1082</v>
      </c>
      <c r="O5807" s="564" t="s">
        <v>38</v>
      </c>
      <c r="P5807" s="23"/>
      <c r="Q5807" s="23"/>
      <c r="R5807" s="23"/>
      <c r="S5807" s="23"/>
      <c r="T5807" s="23"/>
      <c r="U5807" s="23"/>
      <c r="V5807" s="23"/>
      <c r="W5807" s="23"/>
      <c r="X5807" s="23"/>
      <c r="Y5807" s="23"/>
      <c r="Z5807" s="23"/>
    </row>
    <row r="5808" spans="1:26" ht="13">
      <c r="A5808" s="562" t="s">
        <v>12502</v>
      </c>
      <c r="B5808" s="563" t="s">
        <v>12503</v>
      </c>
      <c r="C5808" s="564" t="s">
        <v>1255</v>
      </c>
      <c r="D5808" s="565">
        <v>40603</v>
      </c>
      <c r="E5808" s="565">
        <v>40967</v>
      </c>
      <c r="F5808" s="566">
        <v>52680000</v>
      </c>
      <c r="G5808" s="564" t="s">
        <v>1097</v>
      </c>
      <c r="H5808" s="564" t="s">
        <v>1123</v>
      </c>
      <c r="I5808" s="564" t="s">
        <v>143</v>
      </c>
      <c r="J5808" s="564" t="s">
        <v>1069</v>
      </c>
      <c r="K5808" s="564" t="s">
        <v>1205</v>
      </c>
      <c r="L5808" s="564" t="s">
        <v>1071</v>
      </c>
      <c r="M5808" s="564" t="s">
        <v>1091</v>
      </c>
      <c r="N5808" s="564" t="s">
        <v>1073</v>
      </c>
      <c r="O5808" s="564" t="s">
        <v>241</v>
      </c>
      <c r="P5808" s="23"/>
      <c r="Q5808" s="23"/>
      <c r="R5808" s="23"/>
      <c r="S5808" s="23"/>
      <c r="T5808" s="23"/>
      <c r="U5808" s="23"/>
      <c r="V5808" s="23"/>
      <c r="W5808" s="23"/>
      <c r="X5808" s="23"/>
      <c r="Y5808" s="23"/>
      <c r="Z5808" s="23"/>
    </row>
    <row r="5809" spans="1:26" ht="13">
      <c r="A5809" s="562" t="s">
        <v>12504</v>
      </c>
      <c r="B5809" s="563" t="s">
        <v>12505</v>
      </c>
      <c r="C5809" s="564" t="s">
        <v>1255</v>
      </c>
      <c r="D5809" s="565">
        <v>40584</v>
      </c>
      <c r="E5809" s="565">
        <v>41243</v>
      </c>
      <c r="F5809" s="566">
        <v>99020000</v>
      </c>
      <c r="G5809" s="564" t="s">
        <v>1097</v>
      </c>
      <c r="H5809" s="564" t="s">
        <v>1636</v>
      </c>
      <c r="I5809" s="564" t="s">
        <v>12506</v>
      </c>
      <c r="J5809" s="564" t="s">
        <v>1069</v>
      </c>
      <c r="K5809" s="564" t="s">
        <v>1205</v>
      </c>
      <c r="L5809" s="564" t="s">
        <v>1071</v>
      </c>
      <c r="M5809" s="564" t="s">
        <v>1091</v>
      </c>
      <c r="N5809" s="564" t="s">
        <v>2439</v>
      </c>
      <c r="O5809" s="564" t="s">
        <v>241</v>
      </c>
      <c r="P5809" s="23"/>
      <c r="Q5809" s="23"/>
      <c r="R5809" s="23"/>
      <c r="S5809" s="23"/>
      <c r="T5809" s="23"/>
      <c r="U5809" s="23"/>
      <c r="V5809" s="23"/>
      <c r="W5809" s="23"/>
      <c r="X5809" s="23"/>
      <c r="Y5809" s="23"/>
      <c r="Z5809" s="23"/>
    </row>
    <row r="5810" spans="1:26" ht="13">
      <c r="A5810" s="562" t="s">
        <v>12507</v>
      </c>
      <c r="B5810" s="563" t="s">
        <v>12508</v>
      </c>
      <c r="C5810" s="564" t="s">
        <v>2191</v>
      </c>
      <c r="D5810" s="565">
        <v>40560</v>
      </c>
      <c r="E5810" s="565">
        <v>40633</v>
      </c>
      <c r="F5810" s="566">
        <v>30000000</v>
      </c>
      <c r="G5810" s="564" t="s">
        <v>1912</v>
      </c>
      <c r="H5810" s="564" t="s">
        <v>1123</v>
      </c>
      <c r="I5810" s="564" t="s">
        <v>7768</v>
      </c>
      <c r="J5810" s="564" t="s">
        <v>1069</v>
      </c>
      <c r="K5810" s="564" t="s">
        <v>1198</v>
      </c>
      <c r="L5810" s="564" t="s">
        <v>1071</v>
      </c>
      <c r="M5810" s="564" t="s">
        <v>1124</v>
      </c>
      <c r="N5810" s="564" t="s">
        <v>1073</v>
      </c>
      <c r="O5810" s="564" t="s">
        <v>38</v>
      </c>
      <c r="P5810" s="23"/>
      <c r="Q5810" s="23"/>
      <c r="R5810" s="23"/>
      <c r="S5810" s="23"/>
      <c r="T5810" s="23"/>
      <c r="U5810" s="23"/>
      <c r="V5810" s="23"/>
      <c r="W5810" s="23"/>
      <c r="X5810" s="23"/>
      <c r="Y5810" s="23"/>
      <c r="Z5810" s="23"/>
    </row>
    <row r="5811" spans="1:26" ht="13">
      <c r="A5811" s="562" t="s">
        <v>12509</v>
      </c>
      <c r="B5811" s="563" t="s">
        <v>12510</v>
      </c>
      <c r="C5811" s="564" t="s">
        <v>2191</v>
      </c>
      <c r="D5811" s="565">
        <v>40544</v>
      </c>
      <c r="E5811" s="565">
        <v>40908</v>
      </c>
      <c r="F5811" s="566">
        <v>81800000</v>
      </c>
      <c r="G5811" s="564" t="s">
        <v>1912</v>
      </c>
      <c r="H5811" s="564" t="s">
        <v>1123</v>
      </c>
      <c r="I5811" s="564" t="s">
        <v>143</v>
      </c>
      <c r="J5811" s="564" t="s">
        <v>1069</v>
      </c>
      <c r="K5811" s="564" t="s">
        <v>1205</v>
      </c>
      <c r="L5811" s="564" t="s">
        <v>1071</v>
      </c>
      <c r="M5811" s="564" t="s">
        <v>1091</v>
      </c>
      <c r="N5811" s="564" t="s">
        <v>1073</v>
      </c>
      <c r="O5811" s="564" t="s">
        <v>241</v>
      </c>
      <c r="P5811" s="23"/>
      <c r="Q5811" s="23"/>
      <c r="R5811" s="23"/>
      <c r="S5811" s="23"/>
      <c r="T5811" s="23"/>
      <c r="U5811" s="23"/>
      <c r="V5811" s="23"/>
      <c r="W5811" s="23"/>
      <c r="X5811" s="23"/>
      <c r="Y5811" s="23"/>
      <c r="Z5811" s="23"/>
    </row>
    <row r="5812" spans="1:26" ht="13">
      <c r="A5812" s="562" t="s">
        <v>12511</v>
      </c>
      <c r="B5812" s="563" t="s">
        <v>12512</v>
      </c>
      <c r="C5812" s="564" t="s">
        <v>1255</v>
      </c>
      <c r="D5812" s="565">
        <v>40533</v>
      </c>
      <c r="E5812" s="565">
        <v>40908</v>
      </c>
      <c r="F5812" s="566">
        <v>164804638</v>
      </c>
      <c r="G5812" s="564" t="s">
        <v>1097</v>
      </c>
      <c r="H5812" s="564" t="s">
        <v>1636</v>
      </c>
      <c r="I5812" s="564" t="s">
        <v>12513</v>
      </c>
      <c r="J5812" s="564" t="s">
        <v>1069</v>
      </c>
      <c r="K5812" s="564" t="s">
        <v>1205</v>
      </c>
      <c r="L5812" s="564" t="s">
        <v>1071</v>
      </c>
      <c r="M5812" s="564" t="s">
        <v>1091</v>
      </c>
      <c r="N5812" s="564" t="s">
        <v>1368</v>
      </c>
      <c r="O5812" s="564" t="s">
        <v>241</v>
      </c>
      <c r="P5812" s="23"/>
      <c r="Q5812" s="23"/>
      <c r="R5812" s="23"/>
      <c r="S5812" s="23"/>
      <c r="T5812" s="23"/>
      <c r="U5812" s="23"/>
      <c r="V5812" s="23"/>
      <c r="W5812" s="23"/>
      <c r="X5812" s="23"/>
      <c r="Y5812" s="23"/>
      <c r="Z5812" s="23"/>
    </row>
    <row r="5813" spans="1:26" ht="13">
      <c r="A5813" s="562" t="s">
        <v>12514</v>
      </c>
      <c r="B5813" s="563" t="s">
        <v>12515</v>
      </c>
      <c r="C5813" s="564" t="s">
        <v>2484</v>
      </c>
      <c r="D5813" s="565">
        <v>40179</v>
      </c>
      <c r="E5813" s="565">
        <v>41274</v>
      </c>
      <c r="F5813" s="567">
        <v>1</v>
      </c>
      <c r="G5813" s="564" t="s">
        <v>12293</v>
      </c>
      <c r="H5813" s="564" t="s">
        <v>12096</v>
      </c>
      <c r="I5813" s="564" t="s">
        <v>2542</v>
      </c>
      <c r="J5813" s="564" t="s">
        <v>1069</v>
      </c>
      <c r="K5813" s="564" t="s">
        <v>2466</v>
      </c>
      <c r="L5813" s="564" t="s">
        <v>2467</v>
      </c>
      <c r="M5813" s="564" t="s">
        <v>2466</v>
      </c>
      <c r="N5813" s="564" t="s">
        <v>2543</v>
      </c>
      <c r="O5813" s="564" t="s">
        <v>12077</v>
      </c>
      <c r="P5813" s="23"/>
      <c r="Q5813" s="23"/>
      <c r="R5813" s="23"/>
      <c r="S5813" s="23"/>
      <c r="T5813" s="23"/>
      <c r="U5813" s="23"/>
      <c r="V5813" s="23"/>
      <c r="W5813" s="23"/>
      <c r="X5813" s="23"/>
      <c r="Y5813" s="23"/>
      <c r="Z5813" s="23"/>
    </row>
    <row r="5814" spans="1:26" ht="13">
      <c r="A5814" s="562" t="s">
        <v>12516</v>
      </c>
      <c r="B5814" s="563" t="s">
        <v>12517</v>
      </c>
      <c r="C5814" s="564" t="s">
        <v>2484</v>
      </c>
      <c r="D5814" s="565">
        <v>40535</v>
      </c>
      <c r="E5814" s="565">
        <v>40968</v>
      </c>
      <c r="F5814" s="566">
        <v>24545455</v>
      </c>
      <c r="G5814" s="564" t="s">
        <v>12293</v>
      </c>
      <c r="H5814" s="564" t="s">
        <v>12365</v>
      </c>
      <c r="I5814" s="564" t="s">
        <v>12518</v>
      </c>
      <c r="J5814" s="564" t="s">
        <v>1069</v>
      </c>
      <c r="K5814" s="564" t="s">
        <v>2466</v>
      </c>
      <c r="L5814" s="564" t="s">
        <v>2467</v>
      </c>
      <c r="M5814" s="564" t="s">
        <v>2466</v>
      </c>
      <c r="N5814" s="564" t="s">
        <v>1082</v>
      </c>
      <c r="O5814" s="564" t="s">
        <v>12077</v>
      </c>
      <c r="P5814" s="23"/>
      <c r="Q5814" s="23"/>
      <c r="R5814" s="23"/>
      <c r="S5814" s="23"/>
      <c r="T5814" s="23"/>
      <c r="U5814" s="23"/>
      <c r="V5814" s="23"/>
      <c r="W5814" s="23"/>
      <c r="X5814" s="23"/>
      <c r="Y5814" s="23"/>
      <c r="Z5814" s="23"/>
    </row>
    <row r="5815" spans="1:26" ht="13">
      <c r="A5815" s="562" t="s">
        <v>12519</v>
      </c>
      <c r="B5815" s="563" t="s">
        <v>12520</v>
      </c>
      <c r="C5815" s="564" t="s">
        <v>2484</v>
      </c>
      <c r="D5815" s="565">
        <v>40907</v>
      </c>
      <c r="E5815" s="565">
        <v>40908</v>
      </c>
      <c r="F5815" s="566">
        <v>18600000</v>
      </c>
      <c r="G5815" s="564" t="s">
        <v>12129</v>
      </c>
      <c r="H5815" s="564" t="s">
        <v>12134</v>
      </c>
      <c r="I5815" s="564" t="s">
        <v>12141</v>
      </c>
      <c r="J5815" s="564" t="s">
        <v>1069</v>
      </c>
      <c r="K5815" s="564" t="s">
        <v>2466</v>
      </c>
      <c r="L5815" s="564" t="s">
        <v>2467</v>
      </c>
      <c r="M5815" s="564" t="s">
        <v>2466</v>
      </c>
      <c r="N5815" s="564" t="s">
        <v>2543</v>
      </c>
      <c r="O5815" s="564" t="s">
        <v>12077</v>
      </c>
      <c r="P5815" s="23"/>
      <c r="Q5815" s="23"/>
      <c r="R5815" s="23"/>
      <c r="S5815" s="23"/>
      <c r="T5815" s="23"/>
      <c r="U5815" s="23"/>
      <c r="V5815" s="23"/>
      <c r="W5815" s="23"/>
      <c r="X5815" s="23"/>
      <c r="Y5815" s="23"/>
      <c r="Z5815" s="23"/>
    </row>
    <row r="5816" spans="1:26" ht="13">
      <c r="A5816" s="562" t="s">
        <v>12521</v>
      </c>
      <c r="B5816" s="563" t="s">
        <v>12522</v>
      </c>
      <c r="C5816" s="564" t="s">
        <v>2484</v>
      </c>
      <c r="D5816" s="565">
        <v>40529</v>
      </c>
      <c r="E5816" s="565">
        <v>40618</v>
      </c>
      <c r="F5816" s="566">
        <v>275091000</v>
      </c>
      <c r="G5816" s="564" t="s">
        <v>12084</v>
      </c>
      <c r="H5816" s="564" t="s">
        <v>2546</v>
      </c>
      <c r="I5816" s="564" t="s">
        <v>11827</v>
      </c>
      <c r="J5816" s="564" t="s">
        <v>1069</v>
      </c>
      <c r="K5816" s="564" t="s">
        <v>2466</v>
      </c>
      <c r="L5816" s="564" t="s">
        <v>2467</v>
      </c>
      <c r="M5816" s="564" t="s">
        <v>2466</v>
      </c>
      <c r="N5816" s="564" t="s">
        <v>1082</v>
      </c>
      <c r="O5816" s="564" t="s">
        <v>12077</v>
      </c>
      <c r="P5816" s="23"/>
      <c r="Q5816" s="23"/>
      <c r="R5816" s="23"/>
      <c r="S5816" s="23"/>
      <c r="T5816" s="23"/>
      <c r="U5816" s="23"/>
      <c r="V5816" s="23"/>
      <c r="W5816" s="23"/>
      <c r="X5816" s="23"/>
      <c r="Y5816" s="23"/>
      <c r="Z5816" s="23"/>
    </row>
    <row r="5817" spans="1:26" ht="13">
      <c r="A5817" s="562" t="s">
        <v>12523</v>
      </c>
      <c r="B5817" s="563" t="s">
        <v>12524</v>
      </c>
      <c r="C5817" s="564" t="s">
        <v>2484</v>
      </c>
      <c r="D5817" s="565">
        <v>40532</v>
      </c>
      <c r="E5817" s="565">
        <v>40651</v>
      </c>
      <c r="F5817" s="566">
        <v>70230909</v>
      </c>
      <c r="G5817" s="564" t="s">
        <v>12075</v>
      </c>
      <c r="H5817" s="564" t="s">
        <v>12365</v>
      </c>
      <c r="I5817" s="564" t="s">
        <v>12525</v>
      </c>
      <c r="J5817" s="564" t="s">
        <v>1069</v>
      </c>
      <c r="K5817" s="564" t="s">
        <v>2466</v>
      </c>
      <c r="L5817" s="564" t="s">
        <v>2467</v>
      </c>
      <c r="M5817" s="564" t="s">
        <v>2466</v>
      </c>
      <c r="N5817" s="564" t="s">
        <v>2543</v>
      </c>
      <c r="O5817" s="564" t="s">
        <v>12077</v>
      </c>
      <c r="P5817" s="23"/>
      <c r="Q5817" s="23"/>
      <c r="R5817" s="23"/>
      <c r="S5817" s="23"/>
      <c r="T5817" s="23"/>
      <c r="U5817" s="23"/>
      <c r="V5817" s="23"/>
      <c r="W5817" s="23"/>
      <c r="X5817" s="23"/>
      <c r="Y5817" s="23"/>
      <c r="Z5817" s="23"/>
    </row>
    <row r="5818" spans="1:26" ht="13">
      <c r="A5818" s="562" t="s">
        <v>12526</v>
      </c>
      <c r="B5818" s="563" t="s">
        <v>12527</v>
      </c>
      <c r="C5818" s="564" t="s">
        <v>2484</v>
      </c>
      <c r="D5818" s="565">
        <v>40515</v>
      </c>
      <c r="E5818" s="565">
        <v>40530</v>
      </c>
      <c r="F5818" s="566">
        <v>2636364</v>
      </c>
      <c r="G5818" s="564" t="s">
        <v>12084</v>
      </c>
      <c r="H5818" s="564" t="s">
        <v>12134</v>
      </c>
      <c r="I5818" s="564" t="s">
        <v>2542</v>
      </c>
      <c r="J5818" s="564" t="s">
        <v>1069</v>
      </c>
      <c r="K5818" s="564" t="s">
        <v>2466</v>
      </c>
      <c r="L5818" s="564" t="s">
        <v>2467</v>
      </c>
      <c r="M5818" s="564" t="s">
        <v>2466</v>
      </c>
      <c r="N5818" s="564" t="s">
        <v>2543</v>
      </c>
      <c r="O5818" s="564" t="s">
        <v>12077</v>
      </c>
      <c r="P5818" s="23"/>
      <c r="Q5818" s="23"/>
      <c r="R5818" s="23"/>
      <c r="S5818" s="23"/>
      <c r="T5818" s="23"/>
      <c r="U5818" s="23"/>
      <c r="V5818" s="23"/>
      <c r="W5818" s="23"/>
      <c r="X5818" s="23"/>
      <c r="Y5818" s="23"/>
      <c r="Z5818" s="23"/>
    </row>
    <row r="5819" spans="1:26" ht="13">
      <c r="A5819" s="562" t="s">
        <v>12528</v>
      </c>
      <c r="B5819" s="563" t="s">
        <v>12529</v>
      </c>
      <c r="C5819" s="564" t="s">
        <v>2484</v>
      </c>
      <c r="D5819" s="565">
        <v>40238</v>
      </c>
      <c r="E5819" s="565">
        <v>40602</v>
      </c>
      <c r="F5819" s="566">
        <v>127000000</v>
      </c>
      <c r="G5819" s="564" t="s">
        <v>12084</v>
      </c>
      <c r="H5819" s="564" t="s">
        <v>2459</v>
      </c>
      <c r="I5819" s="564" t="s">
        <v>12530</v>
      </c>
      <c r="J5819" s="564" t="s">
        <v>1069</v>
      </c>
      <c r="K5819" s="564" t="s">
        <v>2466</v>
      </c>
      <c r="L5819" s="564" t="s">
        <v>2467</v>
      </c>
      <c r="M5819" s="564" t="s">
        <v>2466</v>
      </c>
      <c r="N5819" s="564" t="s">
        <v>1082</v>
      </c>
      <c r="O5819" s="564" t="s">
        <v>12077</v>
      </c>
      <c r="P5819" s="23"/>
      <c r="Q5819" s="23"/>
      <c r="R5819" s="23"/>
      <c r="S5819" s="23"/>
      <c r="T5819" s="23"/>
      <c r="U5819" s="23"/>
      <c r="V5819" s="23"/>
      <c r="W5819" s="23"/>
      <c r="X5819" s="23"/>
      <c r="Y5819" s="23"/>
      <c r="Z5819" s="23"/>
    </row>
    <row r="5820" spans="1:26" ht="13">
      <c r="A5820" s="562" t="s">
        <v>12531</v>
      </c>
      <c r="B5820" s="563" t="s">
        <v>12532</v>
      </c>
      <c r="C5820" s="564" t="s">
        <v>2484</v>
      </c>
      <c r="D5820" s="565">
        <v>40513</v>
      </c>
      <c r="E5820" s="565">
        <v>40529</v>
      </c>
      <c r="F5820" s="566">
        <v>5000000</v>
      </c>
      <c r="G5820" s="564" t="s">
        <v>2434</v>
      </c>
      <c r="H5820" s="564" t="s">
        <v>12365</v>
      </c>
      <c r="I5820" s="564" t="s">
        <v>12150</v>
      </c>
      <c r="J5820" s="564" t="s">
        <v>1069</v>
      </c>
      <c r="K5820" s="564" t="s">
        <v>2466</v>
      </c>
      <c r="L5820" s="564" t="s">
        <v>2467</v>
      </c>
      <c r="M5820" s="564" t="s">
        <v>2466</v>
      </c>
      <c r="N5820" s="564" t="s">
        <v>1368</v>
      </c>
      <c r="O5820" s="564" t="s">
        <v>12077</v>
      </c>
      <c r="P5820" s="23"/>
      <c r="Q5820" s="23"/>
      <c r="R5820" s="23"/>
      <c r="S5820" s="23"/>
      <c r="T5820" s="23"/>
      <c r="U5820" s="23"/>
      <c r="V5820" s="23"/>
      <c r="W5820" s="23"/>
      <c r="X5820" s="23"/>
      <c r="Y5820" s="23"/>
      <c r="Z5820" s="23"/>
    </row>
    <row r="5821" spans="1:26" ht="13">
      <c r="A5821" s="562" t="s">
        <v>12533</v>
      </c>
      <c r="B5821" s="563" t="s">
        <v>12534</v>
      </c>
      <c r="C5821" s="564" t="s">
        <v>2484</v>
      </c>
      <c r="D5821" s="565">
        <v>40513</v>
      </c>
      <c r="E5821" s="565">
        <v>40572</v>
      </c>
      <c r="F5821" s="566">
        <v>20000000</v>
      </c>
      <c r="G5821" s="564" t="s">
        <v>12124</v>
      </c>
      <c r="H5821" s="564" t="s">
        <v>12365</v>
      </c>
      <c r="I5821" s="564" t="s">
        <v>12535</v>
      </c>
      <c r="J5821" s="564" t="s">
        <v>1069</v>
      </c>
      <c r="K5821" s="564" t="s">
        <v>2466</v>
      </c>
      <c r="L5821" s="564" t="s">
        <v>2467</v>
      </c>
      <c r="M5821" s="564" t="s">
        <v>2466</v>
      </c>
      <c r="N5821" s="564" t="s">
        <v>1082</v>
      </c>
      <c r="O5821" s="564" t="s">
        <v>12077</v>
      </c>
      <c r="P5821" s="23"/>
      <c r="Q5821" s="23"/>
      <c r="R5821" s="23"/>
      <c r="S5821" s="23"/>
      <c r="T5821" s="23"/>
      <c r="U5821" s="23"/>
      <c r="V5821" s="23"/>
      <c r="W5821" s="23"/>
      <c r="X5821" s="23"/>
      <c r="Y5821" s="23"/>
      <c r="Z5821" s="23"/>
    </row>
    <row r="5822" spans="1:26" ht="13">
      <c r="A5822" s="562" t="s">
        <v>12536</v>
      </c>
      <c r="B5822" s="563" t="s">
        <v>12537</v>
      </c>
      <c r="C5822" s="564" t="s">
        <v>2484</v>
      </c>
      <c r="D5822" s="565">
        <v>40480</v>
      </c>
      <c r="E5822" s="565">
        <v>40512</v>
      </c>
      <c r="F5822" s="566">
        <v>126863636</v>
      </c>
      <c r="G5822" s="564" t="s">
        <v>12084</v>
      </c>
      <c r="H5822" s="564" t="s">
        <v>12134</v>
      </c>
      <c r="I5822" s="564" t="s">
        <v>12538</v>
      </c>
      <c r="J5822" s="564" t="s">
        <v>1069</v>
      </c>
      <c r="K5822" s="564" t="s">
        <v>2466</v>
      </c>
      <c r="L5822" s="564" t="s">
        <v>2467</v>
      </c>
      <c r="M5822" s="564" t="s">
        <v>2466</v>
      </c>
      <c r="N5822" s="564" t="s">
        <v>1082</v>
      </c>
      <c r="O5822" s="564" t="s">
        <v>12077</v>
      </c>
      <c r="P5822" s="23"/>
      <c r="Q5822" s="23"/>
      <c r="R5822" s="23"/>
      <c r="S5822" s="23"/>
      <c r="T5822" s="23"/>
      <c r="U5822" s="23"/>
      <c r="V5822" s="23"/>
      <c r="W5822" s="23"/>
      <c r="X5822" s="23"/>
      <c r="Y5822" s="23"/>
      <c r="Z5822" s="23"/>
    </row>
    <row r="5823" spans="1:26" ht="13">
      <c r="A5823" s="562" t="s">
        <v>12539</v>
      </c>
      <c r="B5823" s="563" t="s">
        <v>12540</v>
      </c>
      <c r="C5823" s="564" t="s">
        <v>2484</v>
      </c>
      <c r="D5823" s="565">
        <v>40486</v>
      </c>
      <c r="E5823" s="565">
        <v>40575</v>
      </c>
      <c r="F5823" s="566">
        <v>14063636</v>
      </c>
      <c r="G5823" s="564" t="s">
        <v>12080</v>
      </c>
      <c r="H5823" s="564" t="s">
        <v>12125</v>
      </c>
      <c r="I5823" s="564" t="s">
        <v>12541</v>
      </c>
      <c r="J5823" s="564" t="s">
        <v>1069</v>
      </c>
      <c r="K5823" s="564" t="s">
        <v>2466</v>
      </c>
      <c r="L5823" s="564" t="s">
        <v>2467</v>
      </c>
      <c r="M5823" s="564" t="s">
        <v>2466</v>
      </c>
      <c r="N5823" s="564" t="s">
        <v>2325</v>
      </c>
      <c r="O5823" s="564" t="s">
        <v>12077</v>
      </c>
      <c r="P5823" s="23"/>
      <c r="Q5823" s="23"/>
      <c r="R5823" s="23"/>
      <c r="S5823" s="23"/>
      <c r="T5823" s="23"/>
      <c r="U5823" s="23"/>
      <c r="V5823" s="23"/>
      <c r="W5823" s="23"/>
      <c r="X5823" s="23"/>
      <c r="Y5823" s="23"/>
      <c r="Z5823" s="23"/>
    </row>
    <row r="5824" spans="1:26" ht="13">
      <c r="A5824" s="562" t="s">
        <v>12542</v>
      </c>
      <c r="B5824" s="563" t="s">
        <v>12543</v>
      </c>
      <c r="C5824" s="564" t="s">
        <v>2484</v>
      </c>
      <c r="D5824" s="565">
        <v>40473</v>
      </c>
      <c r="E5824" s="565">
        <v>40542</v>
      </c>
      <c r="F5824" s="566">
        <v>17720000</v>
      </c>
      <c r="G5824" s="564" t="s">
        <v>2323</v>
      </c>
      <c r="H5824" s="564" t="s">
        <v>12125</v>
      </c>
      <c r="I5824" s="564" t="s">
        <v>12076</v>
      </c>
      <c r="J5824" s="564" t="s">
        <v>1069</v>
      </c>
      <c r="K5824" s="564" t="s">
        <v>2466</v>
      </c>
      <c r="L5824" s="564" t="s">
        <v>2467</v>
      </c>
      <c r="M5824" s="564" t="s">
        <v>2466</v>
      </c>
      <c r="N5824" s="564" t="s">
        <v>2325</v>
      </c>
      <c r="O5824" s="564" t="s">
        <v>12077</v>
      </c>
      <c r="P5824" s="23"/>
      <c r="Q5824" s="23"/>
      <c r="R5824" s="23"/>
      <c r="S5824" s="23"/>
      <c r="T5824" s="23"/>
      <c r="U5824" s="23"/>
      <c r="V5824" s="23"/>
      <c r="W5824" s="23"/>
      <c r="X5824" s="23"/>
      <c r="Y5824" s="23"/>
      <c r="Z5824" s="23"/>
    </row>
    <row r="5825" spans="1:26" ht="13">
      <c r="A5825" s="562" t="s">
        <v>12544</v>
      </c>
      <c r="B5825" s="563" t="s">
        <v>12545</v>
      </c>
      <c r="C5825" s="564" t="s">
        <v>2484</v>
      </c>
      <c r="D5825" s="565">
        <v>40472</v>
      </c>
      <c r="E5825" s="565">
        <v>40481</v>
      </c>
      <c r="F5825" s="566">
        <v>44545455</v>
      </c>
      <c r="G5825" s="564" t="s">
        <v>12364</v>
      </c>
      <c r="H5825" s="564" t="s">
        <v>12134</v>
      </c>
      <c r="I5825" s="564" t="s">
        <v>2455</v>
      </c>
      <c r="J5825" s="564" t="s">
        <v>1069</v>
      </c>
      <c r="K5825" s="564" t="s">
        <v>2466</v>
      </c>
      <c r="L5825" s="564" t="s">
        <v>2467</v>
      </c>
      <c r="M5825" s="564" t="s">
        <v>2466</v>
      </c>
      <c r="N5825" s="564" t="s">
        <v>1082</v>
      </c>
      <c r="O5825" s="564" t="s">
        <v>12077</v>
      </c>
      <c r="P5825" s="23"/>
      <c r="Q5825" s="23"/>
      <c r="R5825" s="23"/>
      <c r="S5825" s="23"/>
      <c r="T5825" s="23"/>
      <c r="U5825" s="23"/>
      <c r="V5825" s="23"/>
      <c r="W5825" s="23"/>
      <c r="X5825" s="23"/>
      <c r="Y5825" s="23"/>
      <c r="Z5825" s="23"/>
    </row>
    <row r="5826" spans="1:26" ht="13">
      <c r="A5826" s="562" t="s">
        <v>12546</v>
      </c>
      <c r="B5826" s="563" t="s">
        <v>12547</v>
      </c>
      <c r="C5826" s="564" t="s">
        <v>2484</v>
      </c>
      <c r="D5826" s="565">
        <v>40437</v>
      </c>
      <c r="E5826" s="565">
        <v>40466</v>
      </c>
      <c r="F5826" s="566">
        <v>36200000</v>
      </c>
      <c r="G5826" s="564" t="s">
        <v>12548</v>
      </c>
      <c r="H5826" s="564" t="s">
        <v>12548</v>
      </c>
      <c r="I5826" s="564" t="s">
        <v>12549</v>
      </c>
      <c r="J5826" s="564" t="s">
        <v>1069</v>
      </c>
      <c r="K5826" s="564" t="s">
        <v>2466</v>
      </c>
      <c r="L5826" s="564" t="s">
        <v>2467</v>
      </c>
      <c r="M5826" s="564" t="s">
        <v>2466</v>
      </c>
      <c r="N5826" s="564" t="s">
        <v>1082</v>
      </c>
      <c r="O5826" s="564" t="s">
        <v>4798</v>
      </c>
      <c r="P5826" s="23"/>
      <c r="Q5826" s="23"/>
      <c r="R5826" s="23"/>
      <c r="S5826" s="23"/>
      <c r="T5826" s="23"/>
      <c r="U5826" s="23"/>
      <c r="V5826" s="23"/>
      <c r="W5826" s="23"/>
      <c r="X5826" s="23"/>
      <c r="Y5826" s="23"/>
      <c r="Z5826" s="23"/>
    </row>
    <row r="5827" spans="1:26" ht="13">
      <c r="A5827" s="562" t="s">
        <v>12550</v>
      </c>
      <c r="B5827" s="563" t="s">
        <v>12551</v>
      </c>
      <c r="C5827" s="564" t="s">
        <v>2484</v>
      </c>
      <c r="D5827" s="565">
        <v>40457</v>
      </c>
      <c r="E5827" s="565">
        <v>40497</v>
      </c>
      <c r="F5827" s="566">
        <v>54545456</v>
      </c>
      <c r="G5827" s="564" t="s">
        <v>12133</v>
      </c>
      <c r="H5827" s="564" t="s">
        <v>12125</v>
      </c>
      <c r="I5827" s="564" t="s">
        <v>2515</v>
      </c>
      <c r="J5827" s="564" t="s">
        <v>1069</v>
      </c>
      <c r="K5827" s="564" t="s">
        <v>2466</v>
      </c>
      <c r="L5827" s="564" t="s">
        <v>2467</v>
      </c>
      <c r="M5827" s="564" t="s">
        <v>2466</v>
      </c>
      <c r="N5827" s="564" t="s">
        <v>2325</v>
      </c>
      <c r="O5827" s="564" t="s">
        <v>12077</v>
      </c>
      <c r="P5827" s="23"/>
      <c r="Q5827" s="23"/>
      <c r="R5827" s="23"/>
      <c r="S5827" s="23"/>
      <c r="T5827" s="23"/>
      <c r="U5827" s="23"/>
      <c r="V5827" s="23"/>
      <c r="W5827" s="23"/>
      <c r="X5827" s="23"/>
      <c r="Y5827" s="23"/>
      <c r="Z5827" s="23"/>
    </row>
    <row r="5828" spans="1:26" ht="13">
      <c r="A5828" s="562" t="s">
        <v>12552</v>
      </c>
      <c r="B5828" s="563" t="s">
        <v>12553</v>
      </c>
      <c r="C5828" s="564" t="s">
        <v>2484</v>
      </c>
      <c r="D5828" s="565">
        <v>40436</v>
      </c>
      <c r="E5828" s="565">
        <v>40522</v>
      </c>
      <c r="F5828" s="566">
        <v>52227273</v>
      </c>
      <c r="G5828" s="564" t="s">
        <v>12293</v>
      </c>
      <c r="H5828" s="564" t="s">
        <v>2546</v>
      </c>
      <c r="I5828" s="564" t="s">
        <v>12282</v>
      </c>
      <c r="J5828" s="564" t="s">
        <v>1069</v>
      </c>
      <c r="K5828" s="564" t="s">
        <v>2466</v>
      </c>
      <c r="L5828" s="564" t="s">
        <v>2467</v>
      </c>
      <c r="M5828" s="564" t="s">
        <v>2466</v>
      </c>
      <c r="N5828" s="564" t="s">
        <v>1082</v>
      </c>
      <c r="O5828" s="564" t="s">
        <v>12077</v>
      </c>
      <c r="P5828" s="23"/>
      <c r="Q5828" s="23"/>
      <c r="R5828" s="23"/>
      <c r="S5828" s="23"/>
      <c r="T5828" s="23"/>
      <c r="U5828" s="23"/>
      <c r="V5828" s="23"/>
      <c r="W5828" s="23"/>
      <c r="X5828" s="23"/>
      <c r="Y5828" s="23"/>
      <c r="Z5828" s="23"/>
    </row>
    <row r="5829" spans="1:26" ht="13">
      <c r="A5829" s="562" t="s">
        <v>12554</v>
      </c>
      <c r="B5829" s="563" t="s">
        <v>12555</v>
      </c>
      <c r="C5829" s="564" t="s">
        <v>2484</v>
      </c>
      <c r="D5829" s="565">
        <v>40448</v>
      </c>
      <c r="E5829" s="565">
        <v>40455</v>
      </c>
      <c r="F5829" s="566">
        <v>62272727</v>
      </c>
      <c r="G5829" s="564" t="s">
        <v>12548</v>
      </c>
      <c r="H5829" s="564" t="s">
        <v>2459</v>
      </c>
      <c r="I5829" s="564" t="s">
        <v>12322</v>
      </c>
      <c r="J5829" s="564" t="s">
        <v>1069</v>
      </c>
      <c r="K5829" s="564" t="s">
        <v>2466</v>
      </c>
      <c r="L5829" s="564" t="s">
        <v>2467</v>
      </c>
      <c r="M5829" s="564" t="s">
        <v>2466</v>
      </c>
      <c r="N5829" s="564" t="s">
        <v>1368</v>
      </c>
      <c r="O5829" s="564" t="s">
        <v>4798</v>
      </c>
      <c r="P5829" s="23"/>
      <c r="Q5829" s="23"/>
      <c r="R5829" s="23"/>
      <c r="S5829" s="23"/>
      <c r="T5829" s="23"/>
      <c r="U5829" s="23"/>
      <c r="V5829" s="23"/>
      <c r="W5829" s="23"/>
      <c r="X5829" s="23"/>
      <c r="Y5829" s="23"/>
      <c r="Z5829" s="23"/>
    </row>
    <row r="5830" spans="1:26" ht="13">
      <c r="A5830" s="562" t="s">
        <v>12556</v>
      </c>
      <c r="B5830" s="563" t="s">
        <v>12557</v>
      </c>
      <c r="C5830" s="564" t="s">
        <v>2484</v>
      </c>
      <c r="D5830" s="565">
        <v>40420</v>
      </c>
      <c r="E5830" s="565">
        <v>40491</v>
      </c>
      <c r="F5830" s="566">
        <v>20000000</v>
      </c>
      <c r="G5830" s="564" t="s">
        <v>12124</v>
      </c>
      <c r="H5830" s="564" t="s">
        <v>2546</v>
      </c>
      <c r="I5830" s="564" t="s">
        <v>12558</v>
      </c>
      <c r="J5830" s="564" t="s">
        <v>1069</v>
      </c>
      <c r="K5830" s="564" t="s">
        <v>2466</v>
      </c>
      <c r="L5830" s="564" t="s">
        <v>2467</v>
      </c>
      <c r="M5830" s="564" t="s">
        <v>2466</v>
      </c>
      <c r="N5830" s="564" t="s">
        <v>1082</v>
      </c>
      <c r="O5830" s="564" t="s">
        <v>12077</v>
      </c>
      <c r="P5830" s="23"/>
      <c r="Q5830" s="23"/>
      <c r="R5830" s="23"/>
      <c r="S5830" s="23"/>
      <c r="T5830" s="23"/>
      <c r="U5830" s="23"/>
      <c r="V5830" s="23"/>
      <c r="W5830" s="23"/>
      <c r="X5830" s="23"/>
      <c r="Y5830" s="23"/>
      <c r="Z5830" s="23"/>
    </row>
    <row r="5831" spans="1:26" ht="13">
      <c r="A5831" s="562" t="s">
        <v>12559</v>
      </c>
      <c r="B5831" s="563" t="s">
        <v>12560</v>
      </c>
      <c r="C5831" s="564" t="s">
        <v>2484</v>
      </c>
      <c r="D5831" s="565">
        <v>40407</v>
      </c>
      <c r="E5831" s="565">
        <v>40431</v>
      </c>
      <c r="F5831" s="566">
        <v>13500000</v>
      </c>
      <c r="G5831" s="564" t="s">
        <v>12548</v>
      </c>
      <c r="H5831" s="564" t="s">
        <v>12548</v>
      </c>
      <c r="I5831" s="564" t="s">
        <v>12561</v>
      </c>
      <c r="J5831" s="564" t="s">
        <v>1069</v>
      </c>
      <c r="K5831" s="564" t="s">
        <v>2466</v>
      </c>
      <c r="L5831" s="564" t="s">
        <v>2467</v>
      </c>
      <c r="M5831" s="564" t="s">
        <v>2466</v>
      </c>
      <c r="N5831" s="564" t="s">
        <v>1368</v>
      </c>
      <c r="O5831" s="564" t="s">
        <v>4798</v>
      </c>
      <c r="P5831" s="23"/>
      <c r="Q5831" s="23"/>
      <c r="R5831" s="23"/>
      <c r="S5831" s="23"/>
      <c r="T5831" s="23"/>
      <c r="U5831" s="23"/>
      <c r="V5831" s="23"/>
      <c r="W5831" s="23"/>
      <c r="X5831" s="23"/>
      <c r="Y5831" s="23"/>
      <c r="Z5831" s="23"/>
    </row>
    <row r="5832" spans="1:26" ht="13">
      <c r="A5832" s="562" t="s">
        <v>12562</v>
      </c>
      <c r="B5832" s="563" t="s">
        <v>12563</v>
      </c>
      <c r="C5832" s="564" t="s">
        <v>2484</v>
      </c>
      <c r="D5832" s="565">
        <v>40422</v>
      </c>
      <c r="E5832" s="565">
        <v>40441</v>
      </c>
      <c r="F5832" s="566">
        <v>42000000</v>
      </c>
      <c r="G5832" s="564" t="s">
        <v>12548</v>
      </c>
      <c r="H5832" s="564" t="s">
        <v>12548</v>
      </c>
      <c r="I5832" s="564" t="s">
        <v>12564</v>
      </c>
      <c r="J5832" s="564" t="s">
        <v>1069</v>
      </c>
      <c r="K5832" s="564" t="s">
        <v>2466</v>
      </c>
      <c r="L5832" s="564" t="s">
        <v>2467</v>
      </c>
      <c r="M5832" s="564" t="s">
        <v>2466</v>
      </c>
      <c r="N5832" s="564" t="s">
        <v>1082</v>
      </c>
      <c r="O5832" s="564" t="s">
        <v>4798</v>
      </c>
      <c r="P5832" s="23"/>
      <c r="Q5832" s="23"/>
      <c r="R5832" s="23"/>
      <c r="S5832" s="23"/>
      <c r="T5832" s="23"/>
      <c r="U5832" s="23"/>
      <c r="V5832" s="23"/>
      <c r="W5832" s="23"/>
      <c r="X5832" s="23"/>
      <c r="Y5832" s="23"/>
      <c r="Z5832" s="23"/>
    </row>
    <row r="5833" spans="1:26" ht="13">
      <c r="A5833" s="562" t="s">
        <v>12565</v>
      </c>
      <c r="B5833" s="563" t="s">
        <v>12566</v>
      </c>
      <c r="C5833" s="564" t="s">
        <v>2484</v>
      </c>
      <c r="D5833" s="565">
        <v>40422</v>
      </c>
      <c r="E5833" s="565">
        <v>40441</v>
      </c>
      <c r="F5833" s="566">
        <v>42000000</v>
      </c>
      <c r="G5833" s="564" t="s">
        <v>12548</v>
      </c>
      <c r="H5833" s="564" t="s">
        <v>12548</v>
      </c>
      <c r="I5833" s="564" t="s">
        <v>12269</v>
      </c>
      <c r="J5833" s="564" t="s">
        <v>1069</v>
      </c>
      <c r="K5833" s="564" t="s">
        <v>2466</v>
      </c>
      <c r="L5833" s="564" t="s">
        <v>2467</v>
      </c>
      <c r="M5833" s="564" t="s">
        <v>2466</v>
      </c>
      <c r="N5833" s="564" t="s">
        <v>1082</v>
      </c>
      <c r="O5833" s="564" t="s">
        <v>4798</v>
      </c>
      <c r="P5833" s="23"/>
      <c r="Q5833" s="23"/>
      <c r="R5833" s="23"/>
      <c r="S5833" s="23"/>
      <c r="T5833" s="23"/>
      <c r="U5833" s="23"/>
      <c r="V5833" s="23"/>
      <c r="W5833" s="23"/>
      <c r="X5833" s="23"/>
      <c r="Y5833" s="23"/>
      <c r="Z5833" s="23"/>
    </row>
    <row r="5834" spans="1:26" ht="13">
      <c r="A5834" s="562" t="s">
        <v>12567</v>
      </c>
      <c r="B5834" s="563" t="s">
        <v>12568</v>
      </c>
      <c r="C5834" s="564" t="s">
        <v>2484</v>
      </c>
      <c r="D5834" s="565">
        <v>40396</v>
      </c>
      <c r="E5834" s="565">
        <v>40431</v>
      </c>
      <c r="F5834" s="566">
        <v>18181818</v>
      </c>
      <c r="G5834" s="564" t="s">
        <v>12364</v>
      </c>
      <c r="H5834" s="564" t="s">
        <v>12365</v>
      </c>
      <c r="I5834" s="564" t="s">
        <v>12150</v>
      </c>
      <c r="J5834" s="564" t="s">
        <v>1069</v>
      </c>
      <c r="K5834" s="564" t="s">
        <v>2466</v>
      </c>
      <c r="L5834" s="564" t="s">
        <v>2467</v>
      </c>
      <c r="M5834" s="564" t="s">
        <v>2466</v>
      </c>
      <c r="N5834" s="564" t="s">
        <v>1368</v>
      </c>
      <c r="O5834" s="564" t="s">
        <v>12077</v>
      </c>
      <c r="P5834" s="23"/>
      <c r="Q5834" s="23"/>
      <c r="R5834" s="23"/>
      <c r="S5834" s="23"/>
      <c r="T5834" s="23"/>
      <c r="U5834" s="23"/>
      <c r="V5834" s="23"/>
      <c r="W5834" s="23"/>
      <c r="X5834" s="23"/>
      <c r="Y5834" s="23"/>
      <c r="Z5834" s="23"/>
    </row>
    <row r="5835" spans="1:26" ht="13">
      <c r="A5835" s="562" t="s">
        <v>12569</v>
      </c>
      <c r="B5835" s="563" t="s">
        <v>12570</v>
      </c>
      <c r="C5835" s="564" t="s">
        <v>2484</v>
      </c>
      <c r="D5835" s="565">
        <v>40382</v>
      </c>
      <c r="E5835" s="565">
        <v>40415</v>
      </c>
      <c r="F5835" s="566">
        <v>12727273</v>
      </c>
      <c r="G5835" s="564" t="s">
        <v>12075</v>
      </c>
      <c r="H5835" s="564" t="s">
        <v>12365</v>
      </c>
      <c r="I5835" s="564" t="s">
        <v>12571</v>
      </c>
      <c r="J5835" s="564" t="s">
        <v>1069</v>
      </c>
      <c r="K5835" s="564" t="s">
        <v>2466</v>
      </c>
      <c r="L5835" s="564" t="s">
        <v>2467</v>
      </c>
      <c r="M5835" s="564" t="s">
        <v>2466</v>
      </c>
      <c r="N5835" s="564" t="s">
        <v>1082</v>
      </c>
      <c r="O5835" s="564" t="s">
        <v>12077</v>
      </c>
      <c r="P5835" s="23"/>
      <c r="Q5835" s="23"/>
      <c r="R5835" s="23"/>
      <c r="S5835" s="23"/>
      <c r="T5835" s="23"/>
      <c r="U5835" s="23"/>
      <c r="V5835" s="23"/>
      <c r="W5835" s="23"/>
      <c r="X5835" s="23"/>
      <c r="Y5835" s="23"/>
      <c r="Z5835" s="23"/>
    </row>
    <row r="5836" spans="1:26" ht="13">
      <c r="A5836" s="562" t="s">
        <v>12572</v>
      </c>
      <c r="B5836" s="563" t="s">
        <v>12573</v>
      </c>
      <c r="C5836" s="564" t="s">
        <v>2484</v>
      </c>
      <c r="D5836" s="565">
        <v>40382</v>
      </c>
      <c r="E5836" s="565">
        <v>40451</v>
      </c>
      <c r="F5836" s="566">
        <v>142500000</v>
      </c>
      <c r="G5836" s="564" t="s">
        <v>12548</v>
      </c>
      <c r="H5836" s="564" t="s">
        <v>12548</v>
      </c>
      <c r="I5836" s="564" t="s">
        <v>12574</v>
      </c>
      <c r="J5836" s="564" t="s">
        <v>1069</v>
      </c>
      <c r="K5836" s="564" t="s">
        <v>2466</v>
      </c>
      <c r="L5836" s="564" t="s">
        <v>2467</v>
      </c>
      <c r="M5836" s="564" t="s">
        <v>2466</v>
      </c>
      <c r="N5836" s="564" t="s">
        <v>1082</v>
      </c>
      <c r="O5836" s="564" t="s">
        <v>4798</v>
      </c>
      <c r="P5836" s="23"/>
      <c r="Q5836" s="23"/>
      <c r="R5836" s="23"/>
      <c r="S5836" s="23"/>
      <c r="T5836" s="23"/>
      <c r="U5836" s="23"/>
      <c r="V5836" s="23"/>
      <c r="W5836" s="23"/>
      <c r="X5836" s="23"/>
      <c r="Y5836" s="23"/>
      <c r="Z5836" s="23"/>
    </row>
    <row r="5837" spans="1:26" ht="13">
      <c r="A5837" s="562" t="s">
        <v>12575</v>
      </c>
      <c r="B5837" s="563" t="s">
        <v>12576</v>
      </c>
      <c r="C5837" s="564" t="s">
        <v>2484</v>
      </c>
      <c r="D5837" s="565">
        <v>40380</v>
      </c>
      <c r="E5837" s="565">
        <v>40500</v>
      </c>
      <c r="F5837" s="566">
        <v>112518182</v>
      </c>
      <c r="G5837" s="564" t="s">
        <v>12075</v>
      </c>
      <c r="H5837" s="564" t="s">
        <v>12096</v>
      </c>
      <c r="I5837" s="564" t="s">
        <v>12577</v>
      </c>
      <c r="J5837" s="564" t="s">
        <v>1069</v>
      </c>
      <c r="K5837" s="564" t="s">
        <v>2466</v>
      </c>
      <c r="L5837" s="564" t="s">
        <v>2467</v>
      </c>
      <c r="M5837" s="564" t="s">
        <v>2466</v>
      </c>
      <c r="N5837" s="564" t="s">
        <v>2325</v>
      </c>
      <c r="O5837" s="564" t="s">
        <v>12077</v>
      </c>
      <c r="P5837" s="23"/>
      <c r="Q5837" s="23"/>
      <c r="R5837" s="23"/>
      <c r="S5837" s="23"/>
      <c r="T5837" s="23"/>
      <c r="U5837" s="23"/>
      <c r="V5837" s="23"/>
      <c r="W5837" s="23"/>
      <c r="X5837" s="23"/>
      <c r="Y5837" s="23"/>
      <c r="Z5837" s="23"/>
    </row>
    <row r="5838" spans="1:26" ht="13">
      <c r="A5838" s="562" t="s">
        <v>12578</v>
      </c>
      <c r="B5838" s="563" t="s">
        <v>12579</v>
      </c>
      <c r="C5838" s="564" t="s">
        <v>2484</v>
      </c>
      <c r="D5838" s="565">
        <v>40373</v>
      </c>
      <c r="E5838" s="565">
        <v>40434</v>
      </c>
      <c r="F5838" s="566">
        <v>50000000</v>
      </c>
      <c r="G5838" s="564" t="s">
        <v>12075</v>
      </c>
      <c r="H5838" s="564" t="s">
        <v>12096</v>
      </c>
      <c r="I5838" s="564" t="s">
        <v>12580</v>
      </c>
      <c r="J5838" s="564" t="s">
        <v>1069</v>
      </c>
      <c r="K5838" s="564" t="s">
        <v>2466</v>
      </c>
      <c r="L5838" s="564" t="s">
        <v>2467</v>
      </c>
      <c r="M5838" s="564" t="s">
        <v>2466</v>
      </c>
      <c r="N5838" s="564" t="s">
        <v>1082</v>
      </c>
      <c r="O5838" s="564" t="s">
        <v>12077</v>
      </c>
      <c r="P5838" s="23"/>
      <c r="Q5838" s="23"/>
      <c r="R5838" s="23"/>
      <c r="S5838" s="23"/>
      <c r="T5838" s="23"/>
      <c r="U5838" s="23"/>
      <c r="V5838" s="23"/>
      <c r="W5838" s="23"/>
      <c r="X5838" s="23"/>
      <c r="Y5838" s="23"/>
      <c r="Z5838" s="23"/>
    </row>
    <row r="5839" spans="1:26" ht="13">
      <c r="A5839" s="562" t="s">
        <v>12581</v>
      </c>
      <c r="B5839" s="563" t="s">
        <v>12582</v>
      </c>
      <c r="C5839" s="564" t="s">
        <v>2484</v>
      </c>
      <c r="D5839" s="565">
        <v>40364</v>
      </c>
      <c r="E5839" s="565">
        <v>40374</v>
      </c>
      <c r="F5839" s="566">
        <v>1000000</v>
      </c>
      <c r="G5839" s="564" t="s">
        <v>12548</v>
      </c>
      <c r="H5839" s="564" t="s">
        <v>12548</v>
      </c>
      <c r="I5839" s="564" t="s">
        <v>12583</v>
      </c>
      <c r="J5839" s="564" t="s">
        <v>1069</v>
      </c>
      <c r="K5839" s="564" t="s">
        <v>2466</v>
      </c>
      <c r="L5839" s="564" t="s">
        <v>2467</v>
      </c>
      <c r="M5839" s="564" t="s">
        <v>2466</v>
      </c>
      <c r="N5839" s="564" t="s">
        <v>1082</v>
      </c>
      <c r="O5839" s="564" t="s">
        <v>4798</v>
      </c>
      <c r="P5839" s="23"/>
      <c r="Q5839" s="23"/>
      <c r="R5839" s="23"/>
      <c r="S5839" s="23"/>
      <c r="T5839" s="23"/>
      <c r="U5839" s="23"/>
      <c r="V5839" s="23"/>
      <c r="W5839" s="23"/>
      <c r="X5839" s="23"/>
      <c r="Y5839" s="23"/>
      <c r="Z5839" s="23"/>
    </row>
    <row r="5840" spans="1:26" ht="13">
      <c r="A5840" s="562" t="s">
        <v>12584</v>
      </c>
      <c r="B5840" s="563" t="s">
        <v>12585</v>
      </c>
      <c r="C5840" s="564" t="s">
        <v>2484</v>
      </c>
      <c r="D5840" s="565">
        <v>40358</v>
      </c>
      <c r="E5840" s="565">
        <v>40416</v>
      </c>
      <c r="F5840" s="566">
        <v>22727273</v>
      </c>
      <c r="G5840" s="564" t="s">
        <v>12586</v>
      </c>
      <c r="H5840" s="564" t="s">
        <v>12365</v>
      </c>
      <c r="I5840" s="564" t="s">
        <v>12282</v>
      </c>
      <c r="J5840" s="564" t="s">
        <v>1069</v>
      </c>
      <c r="K5840" s="564" t="s">
        <v>2466</v>
      </c>
      <c r="L5840" s="564" t="s">
        <v>2467</v>
      </c>
      <c r="M5840" s="564" t="s">
        <v>2466</v>
      </c>
      <c r="N5840" s="564" t="s">
        <v>1082</v>
      </c>
      <c r="O5840" s="564" t="s">
        <v>12077</v>
      </c>
      <c r="P5840" s="23"/>
      <c r="Q5840" s="23"/>
      <c r="R5840" s="23"/>
      <c r="S5840" s="23"/>
      <c r="T5840" s="23"/>
      <c r="U5840" s="23"/>
      <c r="V5840" s="23"/>
      <c r="W5840" s="23"/>
      <c r="X5840" s="23"/>
      <c r="Y5840" s="23"/>
      <c r="Z5840" s="23"/>
    </row>
    <row r="5841" spans="1:26" ht="13">
      <c r="A5841" s="562" t="s">
        <v>12587</v>
      </c>
      <c r="B5841" s="563" t="s">
        <v>12588</v>
      </c>
      <c r="C5841" s="564" t="s">
        <v>2484</v>
      </c>
      <c r="D5841" s="565">
        <v>40350</v>
      </c>
      <c r="E5841" s="565">
        <v>40367</v>
      </c>
      <c r="F5841" s="566">
        <v>72000000</v>
      </c>
      <c r="G5841" s="564" t="s">
        <v>12548</v>
      </c>
      <c r="H5841" s="564" t="s">
        <v>12548</v>
      </c>
      <c r="I5841" s="564" t="s">
        <v>12589</v>
      </c>
      <c r="J5841" s="564" t="s">
        <v>1069</v>
      </c>
      <c r="K5841" s="564" t="s">
        <v>2466</v>
      </c>
      <c r="L5841" s="564" t="s">
        <v>2467</v>
      </c>
      <c r="M5841" s="564" t="s">
        <v>2466</v>
      </c>
      <c r="N5841" s="564" t="s">
        <v>1082</v>
      </c>
      <c r="O5841" s="564" t="s">
        <v>4798</v>
      </c>
      <c r="P5841" s="23"/>
      <c r="Q5841" s="23"/>
      <c r="R5841" s="23"/>
      <c r="S5841" s="23"/>
      <c r="T5841" s="23"/>
      <c r="U5841" s="23"/>
      <c r="V5841" s="23"/>
      <c r="W5841" s="23"/>
      <c r="X5841" s="23"/>
      <c r="Y5841" s="23"/>
      <c r="Z5841" s="23"/>
    </row>
    <row r="5842" spans="1:26" ht="13">
      <c r="A5842" s="562" t="s">
        <v>12590</v>
      </c>
      <c r="B5842" s="563" t="s">
        <v>12591</v>
      </c>
      <c r="C5842" s="564" t="s">
        <v>2484</v>
      </c>
      <c r="D5842" s="565">
        <v>40344</v>
      </c>
      <c r="E5842" s="565">
        <v>40539</v>
      </c>
      <c r="F5842" s="566">
        <v>291545455</v>
      </c>
      <c r="G5842" s="564" t="s">
        <v>12592</v>
      </c>
      <c r="H5842" s="564" t="s">
        <v>12125</v>
      </c>
      <c r="I5842" s="564" t="s">
        <v>12282</v>
      </c>
      <c r="J5842" s="564" t="s">
        <v>1069</v>
      </c>
      <c r="K5842" s="564" t="s">
        <v>2466</v>
      </c>
      <c r="L5842" s="564" t="s">
        <v>2467</v>
      </c>
      <c r="M5842" s="564" t="s">
        <v>2466</v>
      </c>
      <c r="N5842" s="564" t="s">
        <v>1082</v>
      </c>
      <c r="O5842" s="564" t="s">
        <v>12077</v>
      </c>
      <c r="P5842" s="23"/>
      <c r="Q5842" s="23"/>
      <c r="R5842" s="23"/>
      <c r="S5842" s="23"/>
      <c r="T5842" s="23"/>
      <c r="U5842" s="23"/>
      <c r="V5842" s="23"/>
      <c r="W5842" s="23"/>
      <c r="X5842" s="23"/>
      <c r="Y5842" s="23"/>
      <c r="Z5842" s="23"/>
    </row>
    <row r="5843" spans="1:26" ht="13">
      <c r="A5843" s="562" t="s">
        <v>12593</v>
      </c>
      <c r="B5843" s="563" t="s">
        <v>12594</v>
      </c>
      <c r="C5843" s="564" t="s">
        <v>2484</v>
      </c>
      <c r="D5843" s="565">
        <v>40344</v>
      </c>
      <c r="E5843" s="565">
        <v>40354</v>
      </c>
      <c r="F5843" s="566">
        <v>2000000</v>
      </c>
      <c r="G5843" s="564" t="s">
        <v>12548</v>
      </c>
      <c r="H5843" s="564" t="s">
        <v>12548</v>
      </c>
      <c r="I5843" s="564" t="s">
        <v>12309</v>
      </c>
      <c r="J5843" s="564" t="s">
        <v>1069</v>
      </c>
      <c r="K5843" s="564" t="s">
        <v>2466</v>
      </c>
      <c r="L5843" s="564" t="s">
        <v>2467</v>
      </c>
      <c r="M5843" s="564" t="s">
        <v>2466</v>
      </c>
      <c r="N5843" s="564" t="s">
        <v>1082</v>
      </c>
      <c r="O5843" s="564" t="s">
        <v>4798</v>
      </c>
      <c r="P5843" s="23"/>
      <c r="Q5843" s="23"/>
      <c r="R5843" s="23"/>
      <c r="S5843" s="23"/>
      <c r="T5843" s="23"/>
      <c r="U5843" s="23"/>
      <c r="V5843" s="23"/>
      <c r="W5843" s="23"/>
      <c r="X5843" s="23"/>
      <c r="Y5843" s="23"/>
      <c r="Z5843" s="23"/>
    </row>
    <row r="5844" spans="1:26" ht="13">
      <c r="A5844" s="562" t="s">
        <v>12595</v>
      </c>
      <c r="B5844" s="563" t="s">
        <v>12596</v>
      </c>
      <c r="C5844" s="564" t="s">
        <v>2484</v>
      </c>
      <c r="D5844" s="565">
        <v>40346</v>
      </c>
      <c r="E5844" s="565">
        <v>40435</v>
      </c>
      <c r="F5844" s="566">
        <v>26727273</v>
      </c>
      <c r="G5844" s="564" t="s">
        <v>12084</v>
      </c>
      <c r="H5844" s="564" t="s">
        <v>12120</v>
      </c>
      <c r="I5844" s="564" t="s">
        <v>12597</v>
      </c>
      <c r="J5844" s="564" t="s">
        <v>1069</v>
      </c>
      <c r="K5844" s="564" t="s">
        <v>2466</v>
      </c>
      <c r="L5844" s="564" t="s">
        <v>2467</v>
      </c>
      <c r="M5844" s="564" t="s">
        <v>2466</v>
      </c>
      <c r="N5844" s="564" t="s">
        <v>2325</v>
      </c>
      <c r="O5844" s="564" t="s">
        <v>12077</v>
      </c>
      <c r="P5844" s="23"/>
      <c r="Q5844" s="23"/>
      <c r="R5844" s="23"/>
      <c r="S5844" s="23"/>
      <c r="T5844" s="23"/>
      <c r="U5844" s="23"/>
      <c r="V5844" s="23"/>
      <c r="W5844" s="23"/>
      <c r="X5844" s="23"/>
      <c r="Y5844" s="23"/>
      <c r="Z5844" s="23"/>
    </row>
    <row r="5845" spans="1:26" ht="13">
      <c r="A5845" s="562" t="s">
        <v>12598</v>
      </c>
      <c r="B5845" s="563" t="s">
        <v>12599</v>
      </c>
      <c r="C5845" s="564" t="s">
        <v>2484</v>
      </c>
      <c r="D5845" s="565">
        <v>40340</v>
      </c>
      <c r="E5845" s="565">
        <v>40385</v>
      </c>
      <c r="F5845" s="566">
        <v>60000000</v>
      </c>
      <c r="G5845" s="564" t="s">
        <v>12124</v>
      </c>
      <c r="H5845" s="564" t="s">
        <v>2546</v>
      </c>
      <c r="I5845" s="564" t="s">
        <v>12600</v>
      </c>
      <c r="J5845" s="564" t="s">
        <v>1069</v>
      </c>
      <c r="K5845" s="564" t="s">
        <v>2466</v>
      </c>
      <c r="L5845" s="564" t="s">
        <v>2467</v>
      </c>
      <c r="M5845" s="564" t="s">
        <v>2466</v>
      </c>
      <c r="N5845" s="564" t="s">
        <v>1082</v>
      </c>
      <c r="O5845" s="564" t="s">
        <v>12077</v>
      </c>
      <c r="P5845" s="23"/>
      <c r="Q5845" s="23"/>
      <c r="R5845" s="23"/>
      <c r="S5845" s="23"/>
      <c r="T5845" s="23"/>
      <c r="U5845" s="23"/>
      <c r="V5845" s="23"/>
      <c r="W5845" s="23"/>
      <c r="X5845" s="23"/>
      <c r="Y5845" s="23"/>
      <c r="Z5845" s="23"/>
    </row>
    <row r="5846" spans="1:26" ht="13">
      <c r="A5846" s="562" t="s">
        <v>12601</v>
      </c>
      <c r="B5846" s="563" t="s">
        <v>12602</v>
      </c>
      <c r="C5846" s="564" t="s">
        <v>2484</v>
      </c>
      <c r="D5846" s="565">
        <v>40310</v>
      </c>
      <c r="E5846" s="565">
        <v>40326</v>
      </c>
      <c r="F5846" s="566">
        <v>26518182</v>
      </c>
      <c r="G5846" s="564" t="s">
        <v>12084</v>
      </c>
      <c r="H5846" s="564" t="s">
        <v>12365</v>
      </c>
      <c r="I5846" s="564" t="s">
        <v>12302</v>
      </c>
      <c r="J5846" s="564" t="s">
        <v>1069</v>
      </c>
      <c r="K5846" s="564" t="s">
        <v>2466</v>
      </c>
      <c r="L5846" s="564" t="s">
        <v>2467</v>
      </c>
      <c r="M5846" s="564" t="s">
        <v>2466</v>
      </c>
      <c r="N5846" s="564" t="s">
        <v>1082</v>
      </c>
      <c r="O5846" s="564" t="s">
        <v>12077</v>
      </c>
      <c r="P5846" s="23"/>
      <c r="Q5846" s="23"/>
      <c r="R5846" s="23"/>
      <c r="S5846" s="23"/>
      <c r="T5846" s="23"/>
      <c r="U5846" s="23"/>
      <c r="V5846" s="23"/>
      <c r="W5846" s="23"/>
      <c r="X5846" s="23"/>
      <c r="Y5846" s="23"/>
      <c r="Z5846" s="23"/>
    </row>
    <row r="5847" spans="1:26" ht="13">
      <c r="A5847" s="562" t="s">
        <v>12603</v>
      </c>
      <c r="B5847" s="563" t="s">
        <v>12604</v>
      </c>
      <c r="C5847" s="564" t="s">
        <v>2484</v>
      </c>
      <c r="D5847" s="565">
        <v>40322</v>
      </c>
      <c r="E5847" s="565">
        <v>40382</v>
      </c>
      <c r="F5847" s="566">
        <v>20000000</v>
      </c>
      <c r="G5847" s="564" t="s">
        <v>12124</v>
      </c>
      <c r="H5847" s="564" t="s">
        <v>12365</v>
      </c>
      <c r="I5847" s="564" t="s">
        <v>12535</v>
      </c>
      <c r="J5847" s="564" t="s">
        <v>1069</v>
      </c>
      <c r="K5847" s="564" t="s">
        <v>2466</v>
      </c>
      <c r="L5847" s="564" t="s">
        <v>2467</v>
      </c>
      <c r="M5847" s="564" t="s">
        <v>2466</v>
      </c>
      <c r="N5847" s="564" t="s">
        <v>1082</v>
      </c>
      <c r="O5847" s="564" t="s">
        <v>12077</v>
      </c>
      <c r="P5847" s="23"/>
      <c r="Q5847" s="23"/>
      <c r="R5847" s="23"/>
      <c r="S5847" s="23"/>
      <c r="T5847" s="23"/>
      <c r="U5847" s="23"/>
      <c r="V5847" s="23"/>
      <c r="W5847" s="23"/>
      <c r="X5847" s="23"/>
      <c r="Y5847" s="23"/>
      <c r="Z5847" s="23"/>
    </row>
    <row r="5848" spans="1:26" ht="13">
      <c r="A5848" s="562" t="s">
        <v>12605</v>
      </c>
      <c r="B5848" s="563" t="s">
        <v>12606</v>
      </c>
      <c r="C5848" s="564" t="s">
        <v>2484</v>
      </c>
      <c r="D5848" s="565">
        <v>40318</v>
      </c>
      <c r="E5848" s="565">
        <v>40473</v>
      </c>
      <c r="F5848" s="566">
        <v>246154546</v>
      </c>
      <c r="G5848" s="564" t="s">
        <v>12124</v>
      </c>
      <c r="H5848" s="564" t="s">
        <v>12365</v>
      </c>
      <c r="I5848" s="564" t="s">
        <v>12607</v>
      </c>
      <c r="J5848" s="564" t="s">
        <v>1069</v>
      </c>
      <c r="K5848" s="564" t="s">
        <v>2466</v>
      </c>
      <c r="L5848" s="564" t="s">
        <v>2467</v>
      </c>
      <c r="M5848" s="564" t="s">
        <v>2466</v>
      </c>
      <c r="N5848" s="564" t="s">
        <v>2325</v>
      </c>
      <c r="O5848" s="564" t="s">
        <v>12077</v>
      </c>
      <c r="P5848" s="23"/>
      <c r="Q5848" s="23"/>
      <c r="R5848" s="23"/>
      <c r="S5848" s="23"/>
      <c r="T5848" s="23"/>
      <c r="U5848" s="23"/>
      <c r="V5848" s="23"/>
      <c r="W5848" s="23"/>
      <c r="X5848" s="23"/>
      <c r="Y5848" s="23"/>
      <c r="Z5848" s="23"/>
    </row>
    <row r="5849" spans="1:26" ht="13">
      <c r="A5849" s="562" t="s">
        <v>12608</v>
      </c>
      <c r="B5849" s="563" t="s">
        <v>12609</v>
      </c>
      <c r="C5849" s="564" t="s">
        <v>2484</v>
      </c>
      <c r="D5849" s="565">
        <v>40315</v>
      </c>
      <c r="E5849" s="565">
        <v>40354</v>
      </c>
      <c r="F5849" s="566">
        <v>21000000</v>
      </c>
      <c r="G5849" s="564" t="s">
        <v>12548</v>
      </c>
      <c r="H5849" s="564" t="s">
        <v>12548</v>
      </c>
      <c r="I5849" s="564" t="s">
        <v>2574</v>
      </c>
      <c r="J5849" s="564" t="s">
        <v>1069</v>
      </c>
      <c r="K5849" s="564" t="s">
        <v>2466</v>
      </c>
      <c r="L5849" s="564" t="s">
        <v>2467</v>
      </c>
      <c r="M5849" s="564" t="s">
        <v>2466</v>
      </c>
      <c r="N5849" s="564" t="s">
        <v>1082</v>
      </c>
      <c r="O5849" s="564" t="s">
        <v>12077</v>
      </c>
      <c r="P5849" s="23"/>
      <c r="Q5849" s="23"/>
      <c r="R5849" s="23"/>
      <c r="S5849" s="23"/>
      <c r="T5849" s="23"/>
      <c r="U5849" s="23"/>
      <c r="V5849" s="23"/>
      <c r="W5849" s="23"/>
      <c r="X5849" s="23"/>
      <c r="Y5849" s="23"/>
      <c r="Z5849" s="23"/>
    </row>
    <row r="5850" spans="1:26" ht="13">
      <c r="A5850" s="562" t="s">
        <v>12610</v>
      </c>
      <c r="B5850" s="563" t="s">
        <v>12611</v>
      </c>
      <c r="C5850" s="564" t="s">
        <v>2484</v>
      </c>
      <c r="D5850" s="565">
        <v>40253</v>
      </c>
      <c r="E5850" s="565">
        <v>40298</v>
      </c>
      <c r="F5850" s="566">
        <v>180000000</v>
      </c>
      <c r="G5850" s="564" t="s">
        <v>2554</v>
      </c>
      <c r="H5850" s="564" t="s">
        <v>2459</v>
      </c>
      <c r="I5850" s="564" t="s">
        <v>12612</v>
      </c>
      <c r="J5850" s="564" t="s">
        <v>1069</v>
      </c>
      <c r="K5850" s="564" t="s">
        <v>2466</v>
      </c>
      <c r="L5850" s="564" t="s">
        <v>2467</v>
      </c>
      <c r="M5850" s="564" t="s">
        <v>2466</v>
      </c>
      <c r="N5850" s="564" t="s">
        <v>1082</v>
      </c>
      <c r="O5850" s="564" t="s">
        <v>12077</v>
      </c>
      <c r="P5850" s="23"/>
      <c r="Q5850" s="23"/>
      <c r="R5850" s="23"/>
      <c r="S5850" s="23"/>
      <c r="T5850" s="23"/>
      <c r="U5850" s="23"/>
      <c r="V5850" s="23"/>
      <c r="W5850" s="23"/>
      <c r="X5850" s="23"/>
      <c r="Y5850" s="23"/>
      <c r="Z5850" s="23"/>
    </row>
    <row r="5851" spans="1:26" ht="13">
      <c r="A5851" s="562" t="s">
        <v>12613</v>
      </c>
      <c r="B5851" s="563" t="s">
        <v>12614</v>
      </c>
      <c r="C5851" s="564" t="s">
        <v>2484</v>
      </c>
      <c r="D5851" s="565">
        <v>40296</v>
      </c>
      <c r="E5851" s="565">
        <v>40662</v>
      </c>
      <c r="F5851" s="566">
        <v>16000000</v>
      </c>
      <c r="G5851" s="564" t="s">
        <v>12586</v>
      </c>
      <c r="H5851" s="564" t="s">
        <v>12096</v>
      </c>
      <c r="I5851" s="564" t="s">
        <v>12615</v>
      </c>
      <c r="J5851" s="564" t="s">
        <v>1069</v>
      </c>
      <c r="K5851" s="564" t="s">
        <v>2466</v>
      </c>
      <c r="L5851" s="564" t="s">
        <v>2467</v>
      </c>
      <c r="M5851" s="564" t="s">
        <v>2466</v>
      </c>
      <c r="N5851" s="564" t="s">
        <v>1082</v>
      </c>
      <c r="O5851" s="564" t="s">
        <v>12077</v>
      </c>
      <c r="P5851" s="23"/>
      <c r="Q5851" s="23"/>
      <c r="R5851" s="23"/>
      <c r="S5851" s="23"/>
      <c r="T5851" s="23"/>
      <c r="U5851" s="23"/>
      <c r="V5851" s="23"/>
      <c r="W5851" s="23"/>
      <c r="X5851" s="23"/>
      <c r="Y5851" s="23"/>
      <c r="Z5851" s="23"/>
    </row>
    <row r="5852" spans="1:26" ht="13">
      <c r="A5852" s="562" t="s">
        <v>12616</v>
      </c>
      <c r="B5852" s="563" t="s">
        <v>12617</v>
      </c>
      <c r="C5852" s="564" t="s">
        <v>2484</v>
      </c>
      <c r="D5852" s="565">
        <v>40280</v>
      </c>
      <c r="E5852" s="565">
        <v>40288</v>
      </c>
      <c r="F5852" s="566">
        <v>4000000</v>
      </c>
      <c r="G5852" s="564" t="s">
        <v>12548</v>
      </c>
      <c r="H5852" s="564" t="s">
        <v>12548</v>
      </c>
      <c r="I5852" s="564" t="s">
        <v>12467</v>
      </c>
      <c r="J5852" s="564" t="s">
        <v>1069</v>
      </c>
      <c r="K5852" s="564" t="s">
        <v>2466</v>
      </c>
      <c r="L5852" s="564" t="s">
        <v>2467</v>
      </c>
      <c r="M5852" s="564" t="s">
        <v>2466</v>
      </c>
      <c r="N5852" s="564" t="s">
        <v>1082</v>
      </c>
      <c r="O5852" s="564" t="s">
        <v>4798</v>
      </c>
      <c r="P5852" s="23"/>
      <c r="Q5852" s="23"/>
      <c r="R5852" s="23"/>
      <c r="S5852" s="23"/>
      <c r="T5852" s="23"/>
      <c r="U5852" s="23"/>
      <c r="V5852" s="23"/>
      <c r="W5852" s="23"/>
      <c r="X5852" s="23"/>
      <c r="Y5852" s="23"/>
      <c r="Z5852" s="23"/>
    </row>
    <row r="5853" spans="1:26" ht="13">
      <c r="A5853" s="562" t="s">
        <v>12618</v>
      </c>
      <c r="B5853" s="563" t="s">
        <v>12619</v>
      </c>
      <c r="C5853" s="564" t="s">
        <v>2484</v>
      </c>
      <c r="D5853" s="565">
        <v>40275</v>
      </c>
      <c r="E5853" s="565">
        <v>40291</v>
      </c>
      <c r="F5853" s="566">
        <v>5454545</v>
      </c>
      <c r="G5853" s="564" t="s">
        <v>12586</v>
      </c>
      <c r="H5853" s="564" t="s">
        <v>2546</v>
      </c>
      <c r="I5853" s="564" t="s">
        <v>12620</v>
      </c>
      <c r="J5853" s="564" t="s">
        <v>1069</v>
      </c>
      <c r="K5853" s="564" t="s">
        <v>2466</v>
      </c>
      <c r="L5853" s="564" t="s">
        <v>2467</v>
      </c>
      <c r="M5853" s="564" t="s">
        <v>2466</v>
      </c>
      <c r="N5853" s="564" t="s">
        <v>1082</v>
      </c>
      <c r="O5853" s="564" t="s">
        <v>12077</v>
      </c>
      <c r="P5853" s="23"/>
      <c r="Q5853" s="23"/>
      <c r="R5853" s="23"/>
      <c r="S5853" s="23"/>
      <c r="T5853" s="23"/>
      <c r="U5853" s="23"/>
      <c r="V5853" s="23"/>
      <c r="W5853" s="23"/>
      <c r="X5853" s="23"/>
      <c r="Y5853" s="23"/>
      <c r="Z5853" s="23"/>
    </row>
    <row r="5854" spans="1:26" ht="13">
      <c r="A5854" s="562" t="s">
        <v>12621</v>
      </c>
      <c r="B5854" s="563" t="s">
        <v>12622</v>
      </c>
      <c r="C5854" s="564" t="s">
        <v>2484</v>
      </c>
      <c r="D5854" s="565">
        <v>40268</v>
      </c>
      <c r="E5854" s="565">
        <v>40574</v>
      </c>
      <c r="F5854" s="566">
        <v>246327273</v>
      </c>
      <c r="G5854" s="564" t="s">
        <v>12592</v>
      </c>
      <c r="H5854" s="564" t="s">
        <v>12096</v>
      </c>
      <c r="I5854" s="564" t="s">
        <v>2542</v>
      </c>
      <c r="J5854" s="564" t="s">
        <v>1069</v>
      </c>
      <c r="K5854" s="564" t="s">
        <v>2466</v>
      </c>
      <c r="L5854" s="564" t="s">
        <v>2467</v>
      </c>
      <c r="M5854" s="564" t="s">
        <v>2466</v>
      </c>
      <c r="N5854" s="564" t="s">
        <v>2543</v>
      </c>
      <c r="O5854" s="564" t="s">
        <v>12077</v>
      </c>
      <c r="P5854" s="23"/>
      <c r="Q5854" s="23"/>
      <c r="R5854" s="23"/>
      <c r="S5854" s="23"/>
      <c r="T5854" s="23"/>
      <c r="U5854" s="23"/>
      <c r="V5854" s="23"/>
      <c r="W5854" s="23"/>
      <c r="X5854" s="23"/>
      <c r="Y5854" s="23"/>
      <c r="Z5854" s="23"/>
    </row>
    <row r="5855" spans="1:26" ht="13">
      <c r="A5855" s="562" t="s">
        <v>12623</v>
      </c>
      <c r="B5855" s="563" t="s">
        <v>12624</v>
      </c>
      <c r="C5855" s="564" t="s">
        <v>2484</v>
      </c>
      <c r="D5855" s="565">
        <v>40262</v>
      </c>
      <c r="E5855" s="565">
        <v>40502</v>
      </c>
      <c r="F5855" s="566">
        <v>51681818</v>
      </c>
      <c r="G5855" s="564" t="s">
        <v>12124</v>
      </c>
      <c r="H5855" s="564" t="s">
        <v>12096</v>
      </c>
      <c r="I5855" s="564" t="s">
        <v>12081</v>
      </c>
      <c r="J5855" s="564" t="s">
        <v>1069</v>
      </c>
      <c r="K5855" s="564" t="s">
        <v>2466</v>
      </c>
      <c r="L5855" s="564" t="s">
        <v>2467</v>
      </c>
      <c r="M5855" s="564" t="s">
        <v>2466</v>
      </c>
      <c r="N5855" s="564" t="s">
        <v>2439</v>
      </c>
      <c r="O5855" s="564" t="s">
        <v>12077</v>
      </c>
      <c r="P5855" s="23"/>
      <c r="Q5855" s="23"/>
      <c r="R5855" s="23"/>
      <c r="S5855" s="23"/>
      <c r="T5855" s="23"/>
      <c r="U5855" s="23"/>
      <c r="V5855" s="23"/>
      <c r="W5855" s="23"/>
      <c r="X5855" s="23"/>
      <c r="Y5855" s="23"/>
      <c r="Z5855" s="23"/>
    </row>
    <row r="5856" spans="1:26" ht="13">
      <c r="A5856" s="562" t="s">
        <v>12625</v>
      </c>
      <c r="B5856" s="563" t="s">
        <v>12626</v>
      </c>
      <c r="C5856" s="564" t="s">
        <v>2484</v>
      </c>
      <c r="D5856" s="565">
        <v>40262</v>
      </c>
      <c r="E5856" s="565">
        <v>40485</v>
      </c>
      <c r="F5856" s="566">
        <v>304294545</v>
      </c>
      <c r="G5856" s="564" t="s">
        <v>12124</v>
      </c>
      <c r="H5856" s="564" t="s">
        <v>12096</v>
      </c>
      <c r="I5856" s="564" t="s">
        <v>12081</v>
      </c>
      <c r="J5856" s="564" t="s">
        <v>1069</v>
      </c>
      <c r="K5856" s="564" t="s">
        <v>2466</v>
      </c>
      <c r="L5856" s="564" t="s">
        <v>2467</v>
      </c>
      <c r="M5856" s="564" t="s">
        <v>2466</v>
      </c>
      <c r="N5856" s="564" t="s">
        <v>2439</v>
      </c>
      <c r="O5856" s="564" t="s">
        <v>12077</v>
      </c>
      <c r="P5856" s="23"/>
      <c r="Q5856" s="23"/>
      <c r="R5856" s="23"/>
      <c r="S5856" s="23"/>
      <c r="T5856" s="23"/>
      <c r="U5856" s="23"/>
      <c r="V5856" s="23"/>
      <c r="W5856" s="23"/>
      <c r="X5856" s="23"/>
      <c r="Y5856" s="23"/>
      <c r="Z5856" s="23"/>
    </row>
    <row r="5857" spans="1:26" ht="13">
      <c r="A5857" s="562" t="s">
        <v>12627</v>
      </c>
      <c r="B5857" s="563" t="s">
        <v>12628</v>
      </c>
      <c r="C5857" s="564" t="s">
        <v>2484</v>
      </c>
      <c r="D5857" s="565">
        <v>40260</v>
      </c>
      <c r="E5857" s="565">
        <v>40283</v>
      </c>
      <c r="F5857" s="566">
        <v>23000000</v>
      </c>
      <c r="G5857" s="564" t="s">
        <v>12548</v>
      </c>
      <c r="H5857" s="564" t="s">
        <v>12548</v>
      </c>
      <c r="I5857" s="564" t="s">
        <v>12309</v>
      </c>
      <c r="J5857" s="564" t="s">
        <v>1069</v>
      </c>
      <c r="K5857" s="564" t="s">
        <v>2466</v>
      </c>
      <c r="L5857" s="564" t="s">
        <v>2467</v>
      </c>
      <c r="M5857" s="564" t="s">
        <v>2466</v>
      </c>
      <c r="N5857" s="564" t="s">
        <v>1082</v>
      </c>
      <c r="O5857" s="564" t="s">
        <v>4798</v>
      </c>
      <c r="P5857" s="23"/>
      <c r="Q5857" s="23"/>
      <c r="R5857" s="23"/>
      <c r="S5857" s="23"/>
      <c r="T5857" s="23"/>
      <c r="U5857" s="23"/>
      <c r="V5857" s="23"/>
      <c r="W5857" s="23"/>
      <c r="X5857" s="23"/>
      <c r="Y5857" s="23"/>
      <c r="Z5857" s="23"/>
    </row>
    <row r="5858" spans="1:26" ht="13">
      <c r="A5858" s="562" t="s">
        <v>12629</v>
      </c>
      <c r="B5858" s="563" t="s">
        <v>12630</v>
      </c>
      <c r="C5858" s="564" t="s">
        <v>2484</v>
      </c>
      <c r="D5858" s="565">
        <v>40239</v>
      </c>
      <c r="E5858" s="565">
        <v>40329</v>
      </c>
      <c r="F5858" s="566">
        <v>11000000</v>
      </c>
      <c r="G5858" s="564" t="s">
        <v>2464</v>
      </c>
      <c r="H5858" s="564" t="s">
        <v>12125</v>
      </c>
      <c r="I5858" s="564" t="s">
        <v>12631</v>
      </c>
      <c r="J5858" s="564" t="s">
        <v>1069</v>
      </c>
      <c r="K5858" s="564" t="s">
        <v>2466</v>
      </c>
      <c r="L5858" s="564" t="s">
        <v>2467</v>
      </c>
      <c r="M5858" s="564" t="s">
        <v>2466</v>
      </c>
      <c r="N5858" s="564" t="s">
        <v>1082</v>
      </c>
      <c r="O5858" s="564" t="s">
        <v>12077</v>
      </c>
      <c r="P5858" s="23"/>
      <c r="Q5858" s="23"/>
      <c r="R5858" s="23"/>
      <c r="S5858" s="23"/>
      <c r="T5858" s="23"/>
      <c r="U5858" s="23"/>
      <c r="V5858" s="23"/>
      <c r="W5858" s="23"/>
      <c r="X5858" s="23"/>
      <c r="Y5858" s="23"/>
      <c r="Z5858" s="23"/>
    </row>
    <row r="5859" spans="1:26" ht="13">
      <c r="A5859" s="562" t="s">
        <v>12632</v>
      </c>
      <c r="B5859" s="563" t="s">
        <v>12633</v>
      </c>
      <c r="C5859" s="564" t="s">
        <v>2484</v>
      </c>
      <c r="D5859" s="565">
        <v>40242</v>
      </c>
      <c r="E5859" s="565">
        <v>40276</v>
      </c>
      <c r="F5859" s="566">
        <v>167036364</v>
      </c>
      <c r="G5859" s="564" t="s">
        <v>12133</v>
      </c>
      <c r="H5859" s="564" t="s">
        <v>12365</v>
      </c>
      <c r="I5859" s="564" t="s">
        <v>12634</v>
      </c>
      <c r="J5859" s="564" t="s">
        <v>1069</v>
      </c>
      <c r="K5859" s="564" t="s">
        <v>2466</v>
      </c>
      <c r="L5859" s="564" t="s">
        <v>2467</v>
      </c>
      <c r="M5859" s="564" t="s">
        <v>2466</v>
      </c>
      <c r="N5859" s="564" t="s">
        <v>2325</v>
      </c>
      <c r="O5859" s="564" t="s">
        <v>12077</v>
      </c>
      <c r="P5859" s="23"/>
      <c r="Q5859" s="23"/>
      <c r="R5859" s="23"/>
      <c r="S5859" s="23"/>
      <c r="T5859" s="23"/>
      <c r="U5859" s="23"/>
      <c r="V5859" s="23"/>
      <c r="W5859" s="23"/>
      <c r="X5859" s="23"/>
      <c r="Y5859" s="23"/>
      <c r="Z5859" s="23"/>
    </row>
    <row r="5860" spans="1:26" ht="13">
      <c r="A5860" s="562" t="s">
        <v>12635</v>
      </c>
      <c r="B5860" s="563" t="s">
        <v>12636</v>
      </c>
      <c r="C5860" s="564" t="s">
        <v>2484</v>
      </c>
      <c r="D5860" s="565">
        <v>40241</v>
      </c>
      <c r="E5860" s="565">
        <v>40262</v>
      </c>
      <c r="F5860" s="566">
        <v>23000000</v>
      </c>
      <c r="G5860" s="564" t="s">
        <v>12548</v>
      </c>
      <c r="H5860" s="564" t="s">
        <v>12548</v>
      </c>
      <c r="I5860" s="564" t="s">
        <v>12637</v>
      </c>
      <c r="J5860" s="564" t="s">
        <v>1069</v>
      </c>
      <c r="K5860" s="564" t="s">
        <v>2466</v>
      </c>
      <c r="L5860" s="564" t="s">
        <v>2467</v>
      </c>
      <c r="M5860" s="564" t="s">
        <v>2466</v>
      </c>
      <c r="N5860" s="564" t="s">
        <v>1082</v>
      </c>
      <c r="O5860" s="564" t="s">
        <v>4798</v>
      </c>
      <c r="P5860" s="23"/>
      <c r="Q5860" s="23"/>
      <c r="R5860" s="23"/>
      <c r="S5860" s="23"/>
      <c r="T5860" s="23"/>
      <c r="U5860" s="23"/>
      <c r="V5860" s="23"/>
      <c r="W5860" s="23"/>
      <c r="X5860" s="23"/>
      <c r="Y5860" s="23"/>
      <c r="Z5860" s="23"/>
    </row>
    <row r="5861" spans="1:26" ht="13">
      <c r="A5861" s="562" t="s">
        <v>12638</v>
      </c>
      <c r="B5861" s="563" t="s">
        <v>12639</v>
      </c>
      <c r="C5861" s="564" t="s">
        <v>2484</v>
      </c>
      <c r="D5861" s="565">
        <v>40239</v>
      </c>
      <c r="E5861" s="565">
        <v>40999</v>
      </c>
      <c r="F5861" s="566">
        <v>140000000</v>
      </c>
      <c r="G5861" s="564" t="s">
        <v>12124</v>
      </c>
      <c r="H5861" s="564" t="s">
        <v>12640</v>
      </c>
      <c r="I5861" s="564" t="s">
        <v>12641</v>
      </c>
      <c r="J5861" s="564" t="s">
        <v>1069</v>
      </c>
      <c r="K5861" s="564" t="s">
        <v>2466</v>
      </c>
      <c r="L5861" s="564" t="s">
        <v>2467</v>
      </c>
      <c r="M5861" s="564" t="s">
        <v>2466</v>
      </c>
      <c r="N5861" s="564" t="s">
        <v>1082</v>
      </c>
      <c r="O5861" s="564" t="s">
        <v>12077</v>
      </c>
      <c r="P5861" s="23"/>
      <c r="Q5861" s="23"/>
      <c r="R5861" s="23"/>
      <c r="S5861" s="23"/>
      <c r="T5861" s="23"/>
      <c r="U5861" s="23"/>
      <c r="V5861" s="23"/>
      <c r="W5861" s="23"/>
      <c r="X5861" s="23"/>
      <c r="Y5861" s="23"/>
      <c r="Z5861" s="23"/>
    </row>
    <row r="5862" spans="1:26" ht="13">
      <c r="A5862" s="562" t="s">
        <v>12642</v>
      </c>
      <c r="B5862" s="563" t="s">
        <v>12643</v>
      </c>
      <c r="C5862" s="564" t="s">
        <v>2484</v>
      </c>
      <c r="D5862" s="565">
        <v>40213</v>
      </c>
      <c r="E5862" s="565">
        <v>40221</v>
      </c>
      <c r="F5862" s="566">
        <v>4000000</v>
      </c>
      <c r="G5862" s="564" t="s">
        <v>2464</v>
      </c>
      <c r="H5862" s="564" t="s">
        <v>12365</v>
      </c>
      <c r="I5862" s="564" t="s">
        <v>12091</v>
      </c>
      <c r="J5862" s="564" t="s">
        <v>1069</v>
      </c>
      <c r="K5862" s="564" t="s">
        <v>2466</v>
      </c>
      <c r="L5862" s="564" t="s">
        <v>2467</v>
      </c>
      <c r="M5862" s="564" t="s">
        <v>2466</v>
      </c>
      <c r="N5862" s="564" t="s">
        <v>2325</v>
      </c>
      <c r="O5862" s="564" t="s">
        <v>12077</v>
      </c>
      <c r="P5862" s="23"/>
      <c r="Q5862" s="23"/>
      <c r="R5862" s="23"/>
      <c r="S5862" s="23"/>
      <c r="T5862" s="23"/>
      <c r="U5862" s="23"/>
      <c r="V5862" s="23"/>
      <c r="W5862" s="23"/>
      <c r="X5862" s="23"/>
      <c r="Y5862" s="23"/>
      <c r="Z5862" s="23"/>
    </row>
    <row r="5863" spans="1:26" ht="13">
      <c r="A5863" s="562" t="s">
        <v>12644</v>
      </c>
      <c r="B5863" s="563" t="s">
        <v>12645</v>
      </c>
      <c r="C5863" s="564" t="s">
        <v>2484</v>
      </c>
      <c r="D5863" s="565">
        <v>40210</v>
      </c>
      <c r="E5863" s="565">
        <v>40543</v>
      </c>
      <c r="F5863" s="566">
        <v>67272727</v>
      </c>
      <c r="G5863" s="564" t="s">
        <v>2540</v>
      </c>
      <c r="H5863" s="564" t="s">
        <v>2546</v>
      </c>
      <c r="I5863" s="564" t="s">
        <v>12130</v>
      </c>
      <c r="J5863" s="564" t="s">
        <v>1069</v>
      </c>
      <c r="K5863" s="564" t="s">
        <v>2466</v>
      </c>
      <c r="L5863" s="564" t="s">
        <v>2467</v>
      </c>
      <c r="M5863" s="564" t="s">
        <v>2466</v>
      </c>
      <c r="N5863" s="564" t="s">
        <v>2543</v>
      </c>
      <c r="O5863" s="564" t="s">
        <v>12077</v>
      </c>
      <c r="P5863" s="23"/>
      <c r="Q5863" s="23"/>
      <c r="R5863" s="23"/>
      <c r="S5863" s="23"/>
      <c r="T5863" s="23"/>
      <c r="U5863" s="23"/>
      <c r="V5863" s="23"/>
      <c r="W5863" s="23"/>
      <c r="X5863" s="23"/>
      <c r="Y5863" s="23"/>
      <c r="Z5863" s="23"/>
    </row>
    <row r="5864" spans="1:26" ht="13">
      <c r="A5864" s="562" t="s">
        <v>12646</v>
      </c>
      <c r="B5864" s="563" t="s">
        <v>12647</v>
      </c>
      <c r="C5864" s="564" t="s">
        <v>2484</v>
      </c>
      <c r="D5864" s="565">
        <v>40193</v>
      </c>
      <c r="E5864" s="565">
        <v>40209</v>
      </c>
      <c r="F5864" s="566">
        <v>30500000</v>
      </c>
      <c r="G5864" s="564" t="s">
        <v>12548</v>
      </c>
      <c r="H5864" s="564" t="s">
        <v>2546</v>
      </c>
      <c r="I5864" s="564" t="s">
        <v>12648</v>
      </c>
      <c r="J5864" s="564" t="s">
        <v>1069</v>
      </c>
      <c r="K5864" s="564" t="s">
        <v>2466</v>
      </c>
      <c r="L5864" s="564" t="s">
        <v>2467</v>
      </c>
      <c r="M5864" s="564" t="s">
        <v>2466</v>
      </c>
      <c r="N5864" s="564" t="s">
        <v>1082</v>
      </c>
      <c r="O5864" s="564" t="s">
        <v>4798</v>
      </c>
      <c r="P5864" s="23"/>
      <c r="Q5864" s="23"/>
      <c r="R5864" s="23"/>
      <c r="S5864" s="23"/>
      <c r="T5864" s="23"/>
      <c r="U5864" s="23"/>
      <c r="V5864" s="23"/>
      <c r="W5864" s="23"/>
      <c r="X5864" s="23"/>
      <c r="Y5864" s="23"/>
      <c r="Z5864" s="23"/>
    </row>
    <row r="5865" spans="1:26" ht="13">
      <c r="A5865" s="562" t="s">
        <v>12649</v>
      </c>
      <c r="B5865" s="563" t="s">
        <v>12650</v>
      </c>
      <c r="C5865" s="564" t="s">
        <v>2484</v>
      </c>
      <c r="D5865" s="565">
        <v>40198</v>
      </c>
      <c r="E5865" s="565">
        <v>40237</v>
      </c>
      <c r="F5865" s="566">
        <v>200000000</v>
      </c>
      <c r="G5865" s="564" t="s">
        <v>2554</v>
      </c>
      <c r="H5865" s="564" t="s">
        <v>2459</v>
      </c>
      <c r="I5865" s="564" t="s">
        <v>12651</v>
      </c>
      <c r="J5865" s="564" t="s">
        <v>1069</v>
      </c>
      <c r="K5865" s="564" t="s">
        <v>2466</v>
      </c>
      <c r="L5865" s="564" t="s">
        <v>2467</v>
      </c>
      <c r="M5865" s="564" t="s">
        <v>2466</v>
      </c>
      <c r="N5865" s="564" t="s">
        <v>1082</v>
      </c>
      <c r="O5865" s="564" t="s">
        <v>12077</v>
      </c>
      <c r="P5865" s="23"/>
      <c r="Q5865" s="23"/>
      <c r="R5865" s="23"/>
      <c r="S5865" s="23"/>
      <c r="T5865" s="23"/>
      <c r="U5865" s="23"/>
      <c r="V5865" s="23"/>
      <c r="W5865" s="23"/>
      <c r="X5865" s="23"/>
      <c r="Y5865" s="23"/>
      <c r="Z5865" s="23"/>
    </row>
    <row r="5866" spans="1:26" ht="13">
      <c r="A5866" s="562" t="s">
        <v>12652</v>
      </c>
      <c r="B5866" s="563" t="s">
        <v>12653</v>
      </c>
      <c r="C5866" s="564" t="s">
        <v>2484</v>
      </c>
      <c r="D5866" s="565">
        <v>40185</v>
      </c>
      <c r="E5866" s="565">
        <v>40209</v>
      </c>
      <c r="F5866" s="566">
        <v>92000000</v>
      </c>
      <c r="G5866" s="564" t="s">
        <v>12548</v>
      </c>
      <c r="H5866" s="564" t="s">
        <v>2546</v>
      </c>
      <c r="I5866" s="564" t="s">
        <v>12654</v>
      </c>
      <c r="J5866" s="564" t="s">
        <v>1069</v>
      </c>
      <c r="K5866" s="564" t="s">
        <v>2466</v>
      </c>
      <c r="L5866" s="564" t="s">
        <v>2467</v>
      </c>
      <c r="M5866" s="564" t="s">
        <v>2466</v>
      </c>
      <c r="N5866" s="564" t="s">
        <v>1082</v>
      </c>
      <c r="O5866" s="564" t="s">
        <v>4798</v>
      </c>
      <c r="P5866" s="23"/>
      <c r="Q5866" s="23"/>
      <c r="R5866" s="23"/>
      <c r="S5866" s="23"/>
      <c r="T5866" s="23"/>
      <c r="U5866" s="23"/>
      <c r="V5866" s="23"/>
      <c r="W5866" s="23"/>
      <c r="X5866" s="23"/>
      <c r="Y5866" s="23"/>
      <c r="Z5866" s="23"/>
    </row>
    <row r="5867" spans="1:26" ht="13">
      <c r="A5867" s="562" t="s">
        <v>12655</v>
      </c>
      <c r="B5867" s="563" t="s">
        <v>12656</v>
      </c>
      <c r="C5867" s="564" t="s">
        <v>2484</v>
      </c>
      <c r="D5867" s="565">
        <v>40179</v>
      </c>
      <c r="E5867" s="565">
        <v>40543</v>
      </c>
      <c r="F5867" s="566">
        <v>17454545</v>
      </c>
      <c r="G5867" s="564" t="s">
        <v>12268</v>
      </c>
      <c r="H5867" s="564" t="s">
        <v>12125</v>
      </c>
      <c r="I5867" s="564" t="s">
        <v>12147</v>
      </c>
      <c r="J5867" s="564" t="s">
        <v>1069</v>
      </c>
      <c r="K5867" s="564" t="s">
        <v>2466</v>
      </c>
      <c r="L5867" s="564" t="s">
        <v>2467</v>
      </c>
      <c r="M5867" s="564" t="s">
        <v>2466</v>
      </c>
      <c r="N5867" s="564" t="s">
        <v>2543</v>
      </c>
      <c r="O5867" s="564" t="s">
        <v>12077</v>
      </c>
      <c r="P5867" s="23"/>
      <c r="Q5867" s="23"/>
      <c r="R5867" s="23"/>
      <c r="S5867" s="23"/>
      <c r="T5867" s="23"/>
      <c r="U5867" s="23"/>
      <c r="V5867" s="23"/>
      <c r="W5867" s="23"/>
      <c r="X5867" s="23"/>
      <c r="Y5867" s="23"/>
      <c r="Z5867" s="23"/>
    </row>
    <row r="5868" spans="1:26" ht="13">
      <c r="A5868" s="562" t="s">
        <v>12657</v>
      </c>
      <c r="B5868" s="563" t="s">
        <v>12658</v>
      </c>
      <c r="C5868" s="564" t="s">
        <v>6860</v>
      </c>
      <c r="D5868" s="565">
        <v>41002</v>
      </c>
      <c r="E5868" s="565">
        <v>41090</v>
      </c>
      <c r="F5868" s="566">
        <v>646000000</v>
      </c>
      <c r="G5868" s="564" t="s">
        <v>1912</v>
      </c>
      <c r="H5868" s="564" t="s">
        <v>1116</v>
      </c>
      <c r="I5868" s="564" t="s">
        <v>7439</v>
      </c>
      <c r="J5868" s="564" t="s">
        <v>1069</v>
      </c>
      <c r="K5868" s="564" t="s">
        <v>2430</v>
      </c>
      <c r="L5868" s="564" t="s">
        <v>1071</v>
      </c>
      <c r="M5868" s="564" t="s">
        <v>1124</v>
      </c>
      <c r="N5868" s="564" t="s">
        <v>1082</v>
      </c>
      <c r="O5868" s="564" t="s">
        <v>38</v>
      </c>
      <c r="P5868" s="23"/>
      <c r="Q5868" s="23"/>
      <c r="R5868" s="23"/>
      <c r="S5868" s="23"/>
      <c r="T5868" s="23"/>
      <c r="U5868" s="23"/>
      <c r="V5868" s="23"/>
      <c r="W5868" s="23"/>
      <c r="X5868" s="23"/>
      <c r="Y5868" s="23"/>
      <c r="Z5868" s="23"/>
    </row>
    <row r="5869" spans="1:26" ht="13">
      <c r="A5869" s="562" t="s">
        <v>12659</v>
      </c>
      <c r="B5869" s="563" t="s">
        <v>12660</v>
      </c>
      <c r="C5869" s="564" t="s">
        <v>1612</v>
      </c>
      <c r="D5869" s="565">
        <v>40507</v>
      </c>
      <c r="E5869" s="565">
        <v>40871</v>
      </c>
      <c r="F5869" s="566">
        <v>18000000</v>
      </c>
      <c r="G5869" s="564" t="s">
        <v>2346</v>
      </c>
      <c r="H5869" s="564" t="s">
        <v>9480</v>
      </c>
      <c r="I5869" s="564" t="s">
        <v>1068</v>
      </c>
      <c r="J5869" s="564" t="s">
        <v>1069</v>
      </c>
      <c r="K5869" s="564" t="s">
        <v>1070</v>
      </c>
      <c r="L5869" s="564" t="s">
        <v>1071</v>
      </c>
      <c r="M5869" s="564" t="s">
        <v>1091</v>
      </c>
      <c r="N5869" s="564" t="s">
        <v>1073</v>
      </c>
      <c r="O5869" s="564" t="s">
        <v>241</v>
      </c>
      <c r="P5869" s="23"/>
      <c r="Q5869" s="23"/>
      <c r="R5869" s="23"/>
      <c r="S5869" s="23"/>
      <c r="T5869" s="23"/>
      <c r="U5869" s="23"/>
      <c r="V5869" s="23"/>
      <c r="W5869" s="23"/>
      <c r="X5869" s="23"/>
      <c r="Y5869" s="23"/>
      <c r="Z5869" s="23"/>
    </row>
    <row r="5870" spans="1:26" ht="13">
      <c r="A5870" s="562" t="s">
        <v>12661</v>
      </c>
      <c r="B5870" s="563" t="s">
        <v>12662</v>
      </c>
      <c r="C5870" s="564" t="s">
        <v>1612</v>
      </c>
      <c r="D5870" s="565">
        <v>40533</v>
      </c>
      <c r="E5870" s="565">
        <v>40897</v>
      </c>
      <c r="F5870" s="566">
        <v>376887000</v>
      </c>
      <c r="G5870" s="564" t="s">
        <v>12663</v>
      </c>
      <c r="H5870" s="564" t="s">
        <v>1856</v>
      </c>
      <c r="I5870" s="564" t="s">
        <v>45</v>
      </c>
      <c r="J5870" s="564" t="s">
        <v>1069</v>
      </c>
      <c r="K5870" s="564" t="s">
        <v>1090</v>
      </c>
      <c r="L5870" s="564" t="s">
        <v>1071</v>
      </c>
      <c r="M5870" s="564" t="s">
        <v>1091</v>
      </c>
      <c r="N5870" s="564" t="s">
        <v>45</v>
      </c>
      <c r="O5870" s="564" t="s">
        <v>241</v>
      </c>
      <c r="P5870" s="23"/>
      <c r="Q5870" s="23"/>
      <c r="R5870" s="23"/>
      <c r="S5870" s="23"/>
      <c r="T5870" s="23"/>
      <c r="U5870" s="23"/>
      <c r="V5870" s="23"/>
      <c r="W5870" s="23"/>
      <c r="X5870" s="23"/>
      <c r="Y5870" s="23"/>
      <c r="Z5870" s="23"/>
    </row>
    <row r="5871" spans="1:26" ht="13">
      <c r="A5871" s="562" t="s">
        <v>12664</v>
      </c>
      <c r="B5871" s="563" t="s">
        <v>12665</v>
      </c>
      <c r="C5871" s="564" t="s">
        <v>1612</v>
      </c>
      <c r="D5871" s="565">
        <v>40527</v>
      </c>
      <c r="E5871" s="565">
        <v>40602</v>
      </c>
      <c r="F5871" s="566">
        <v>47500000</v>
      </c>
      <c r="G5871" s="564" t="s">
        <v>2346</v>
      </c>
      <c r="H5871" s="564" t="s">
        <v>9480</v>
      </c>
      <c r="I5871" s="564" t="s">
        <v>45</v>
      </c>
      <c r="J5871" s="564" t="s">
        <v>1069</v>
      </c>
      <c r="K5871" s="564" t="s">
        <v>1090</v>
      </c>
      <c r="L5871" s="564" t="s">
        <v>1390</v>
      </c>
      <c r="M5871" s="564" t="s">
        <v>1390</v>
      </c>
      <c r="N5871" s="564" t="s">
        <v>45</v>
      </c>
      <c r="O5871" s="564" t="s">
        <v>38</v>
      </c>
      <c r="P5871" s="23"/>
      <c r="Q5871" s="23"/>
      <c r="R5871" s="23"/>
      <c r="S5871" s="23"/>
      <c r="T5871" s="23"/>
      <c r="U5871" s="23"/>
      <c r="V5871" s="23"/>
      <c r="W5871" s="23"/>
      <c r="X5871" s="23"/>
      <c r="Y5871" s="23"/>
      <c r="Z5871" s="23"/>
    </row>
    <row r="5872" spans="1:26" ht="13">
      <c r="A5872" s="562" t="s">
        <v>12666</v>
      </c>
      <c r="B5872" s="563" t="s">
        <v>12667</v>
      </c>
      <c r="C5872" s="564" t="s">
        <v>1873</v>
      </c>
      <c r="D5872" s="565">
        <v>40513</v>
      </c>
      <c r="E5872" s="565">
        <v>40617</v>
      </c>
      <c r="F5872" s="566">
        <v>258328300</v>
      </c>
      <c r="G5872" s="564" t="s">
        <v>1623</v>
      </c>
      <c r="H5872" s="564" t="s">
        <v>1623</v>
      </c>
      <c r="I5872" s="564" t="s">
        <v>802</v>
      </c>
      <c r="J5872" s="564" t="s">
        <v>1069</v>
      </c>
      <c r="K5872" s="564" t="s">
        <v>1198</v>
      </c>
      <c r="L5872" s="564" t="s">
        <v>2098</v>
      </c>
      <c r="M5872" s="564" t="s">
        <v>2098</v>
      </c>
      <c r="N5872" s="564" t="s">
        <v>132</v>
      </c>
      <c r="O5872" s="564" t="s">
        <v>2099</v>
      </c>
      <c r="P5872" s="23"/>
      <c r="Q5872" s="23"/>
      <c r="R5872" s="23"/>
      <c r="S5872" s="23"/>
      <c r="T5872" s="23"/>
      <c r="U5872" s="23"/>
      <c r="V5872" s="23"/>
      <c r="W5872" s="23"/>
      <c r="X5872" s="23"/>
      <c r="Y5872" s="23"/>
      <c r="Z5872" s="23"/>
    </row>
    <row r="5873" spans="1:26" ht="13">
      <c r="A5873" s="562" t="s">
        <v>12668</v>
      </c>
      <c r="B5873" s="563" t="s">
        <v>12669</v>
      </c>
      <c r="C5873" s="564" t="s">
        <v>2191</v>
      </c>
      <c r="D5873" s="565">
        <v>40527</v>
      </c>
      <c r="E5873" s="565">
        <v>40588</v>
      </c>
      <c r="F5873" s="566">
        <v>25030000</v>
      </c>
      <c r="G5873" s="564" t="s">
        <v>2346</v>
      </c>
      <c r="H5873" s="564" t="s">
        <v>1636</v>
      </c>
      <c r="I5873" s="564" t="s">
        <v>1826</v>
      </c>
      <c r="J5873" s="564" t="s">
        <v>1069</v>
      </c>
      <c r="K5873" s="564" t="s">
        <v>1070</v>
      </c>
      <c r="L5873" s="564" t="s">
        <v>1390</v>
      </c>
      <c r="M5873" s="564" t="s">
        <v>1390</v>
      </c>
      <c r="N5873" s="564" t="s">
        <v>1082</v>
      </c>
      <c r="O5873" s="564" t="s">
        <v>38</v>
      </c>
      <c r="P5873" s="23"/>
      <c r="Q5873" s="23"/>
      <c r="R5873" s="23"/>
      <c r="S5873" s="23"/>
      <c r="T5873" s="23"/>
      <c r="U5873" s="23"/>
      <c r="V5873" s="23"/>
      <c r="W5873" s="23"/>
      <c r="X5873" s="23"/>
      <c r="Y5873" s="23"/>
      <c r="Z5873" s="23"/>
    </row>
    <row r="5874" spans="1:26" ht="13">
      <c r="A5874" s="562" t="s">
        <v>12670</v>
      </c>
      <c r="B5874" s="563" t="s">
        <v>12671</v>
      </c>
      <c r="C5874" s="564" t="s">
        <v>2191</v>
      </c>
      <c r="D5874" s="565">
        <v>40530</v>
      </c>
      <c r="E5874" s="565">
        <v>40663</v>
      </c>
      <c r="F5874" s="567"/>
      <c r="G5874" s="564" t="s">
        <v>2346</v>
      </c>
      <c r="H5874" s="564" t="s">
        <v>9480</v>
      </c>
      <c r="I5874" s="564" t="s">
        <v>12672</v>
      </c>
      <c r="J5874" s="564" t="s">
        <v>1069</v>
      </c>
      <c r="K5874" s="564" t="s">
        <v>1070</v>
      </c>
      <c r="L5874" s="564" t="s">
        <v>1390</v>
      </c>
      <c r="M5874" s="564" t="s">
        <v>1390</v>
      </c>
      <c r="N5874" s="564" t="s">
        <v>1082</v>
      </c>
      <c r="O5874" s="564" t="s">
        <v>38</v>
      </c>
      <c r="P5874" s="23"/>
      <c r="Q5874" s="23"/>
      <c r="R5874" s="23"/>
      <c r="S5874" s="23"/>
      <c r="T5874" s="23"/>
      <c r="U5874" s="23"/>
      <c r="V5874" s="23"/>
      <c r="W5874" s="23"/>
      <c r="X5874" s="23"/>
      <c r="Y5874" s="23"/>
      <c r="Z5874" s="23"/>
    </row>
    <row r="5875" spans="1:26" ht="13">
      <c r="A5875" s="562" t="s">
        <v>12673</v>
      </c>
      <c r="B5875" s="563" t="s">
        <v>12674</v>
      </c>
      <c r="C5875" s="564" t="s">
        <v>2191</v>
      </c>
      <c r="D5875" s="565">
        <v>40498</v>
      </c>
      <c r="E5875" s="565">
        <v>40602</v>
      </c>
      <c r="F5875" s="566">
        <v>6000000</v>
      </c>
      <c r="G5875" s="564" t="s">
        <v>1912</v>
      </c>
      <c r="H5875" s="564" t="s">
        <v>1123</v>
      </c>
      <c r="I5875" s="564" t="s">
        <v>12675</v>
      </c>
      <c r="J5875" s="564" t="s">
        <v>1069</v>
      </c>
      <c r="K5875" s="564" t="s">
        <v>2430</v>
      </c>
      <c r="L5875" s="564" t="s">
        <v>1071</v>
      </c>
      <c r="M5875" s="564" t="s">
        <v>1124</v>
      </c>
      <c r="N5875" s="564" t="s">
        <v>1082</v>
      </c>
      <c r="O5875" s="564" t="s">
        <v>38</v>
      </c>
      <c r="P5875" s="23"/>
      <c r="Q5875" s="23"/>
      <c r="R5875" s="23"/>
      <c r="S5875" s="23"/>
      <c r="T5875" s="23"/>
      <c r="U5875" s="23"/>
      <c r="V5875" s="23"/>
      <c r="W5875" s="23"/>
      <c r="X5875" s="23"/>
      <c r="Y5875" s="23"/>
      <c r="Z5875" s="23"/>
    </row>
    <row r="5876" spans="1:26" ht="13">
      <c r="A5876" s="562" t="s">
        <v>12676</v>
      </c>
      <c r="B5876" s="563" t="s">
        <v>12677</v>
      </c>
      <c r="C5876" s="564" t="s">
        <v>2191</v>
      </c>
      <c r="D5876" s="565">
        <v>40500</v>
      </c>
      <c r="E5876" s="565">
        <v>40541</v>
      </c>
      <c r="F5876" s="566">
        <v>285000000</v>
      </c>
      <c r="G5876" s="564" t="s">
        <v>1897</v>
      </c>
      <c r="H5876" s="564" t="s">
        <v>1636</v>
      </c>
      <c r="I5876" s="564" t="s">
        <v>7259</v>
      </c>
      <c r="J5876" s="564" t="s">
        <v>1069</v>
      </c>
      <c r="K5876" s="564" t="s">
        <v>1070</v>
      </c>
      <c r="L5876" s="564" t="s">
        <v>1390</v>
      </c>
      <c r="M5876" s="564" t="s">
        <v>1390</v>
      </c>
      <c r="N5876" s="564" t="s">
        <v>1082</v>
      </c>
      <c r="O5876" s="564" t="s">
        <v>38</v>
      </c>
      <c r="P5876" s="23"/>
      <c r="Q5876" s="23"/>
      <c r="R5876" s="23"/>
      <c r="S5876" s="23"/>
      <c r="T5876" s="23"/>
      <c r="U5876" s="23"/>
      <c r="V5876" s="23"/>
      <c r="W5876" s="23"/>
      <c r="X5876" s="23"/>
      <c r="Y5876" s="23"/>
      <c r="Z5876" s="23"/>
    </row>
    <row r="5877" spans="1:26" ht="13">
      <c r="A5877" s="562" t="s">
        <v>12678</v>
      </c>
      <c r="B5877" s="563" t="s">
        <v>12679</v>
      </c>
      <c r="C5877" s="564" t="s">
        <v>1612</v>
      </c>
      <c r="D5877" s="565">
        <v>40850</v>
      </c>
      <c r="E5877" s="565">
        <v>40908</v>
      </c>
      <c r="F5877" s="566">
        <v>236786000</v>
      </c>
      <c r="G5877" s="564" t="s">
        <v>1725</v>
      </c>
      <c r="H5877" s="564" t="s">
        <v>1640</v>
      </c>
      <c r="I5877" s="564" t="s">
        <v>12251</v>
      </c>
      <c r="J5877" s="564" t="s">
        <v>1069</v>
      </c>
      <c r="K5877" s="564" t="s">
        <v>1120</v>
      </c>
      <c r="L5877" s="564" t="s">
        <v>1071</v>
      </c>
      <c r="M5877" s="564" t="s">
        <v>1091</v>
      </c>
      <c r="N5877" s="564" t="s">
        <v>1073</v>
      </c>
      <c r="O5877" s="564" t="s">
        <v>241</v>
      </c>
      <c r="P5877" s="23"/>
      <c r="Q5877" s="23"/>
      <c r="R5877" s="23"/>
      <c r="S5877" s="23"/>
      <c r="T5877" s="23"/>
      <c r="U5877" s="23"/>
      <c r="V5877" s="23"/>
      <c r="W5877" s="23"/>
      <c r="X5877" s="23"/>
      <c r="Y5877" s="23"/>
      <c r="Z5877" s="23"/>
    </row>
    <row r="5878" spans="1:26" ht="13">
      <c r="A5878" s="562" t="s">
        <v>12680</v>
      </c>
      <c r="B5878" s="563" t="s">
        <v>12681</v>
      </c>
      <c r="C5878" s="564" t="s">
        <v>1612</v>
      </c>
      <c r="D5878" s="565">
        <v>40452</v>
      </c>
      <c r="E5878" s="565">
        <v>42369</v>
      </c>
      <c r="F5878" s="566">
        <v>883332000</v>
      </c>
      <c r="G5878" s="564" t="s">
        <v>1753</v>
      </c>
      <c r="H5878" s="564" t="s">
        <v>1157</v>
      </c>
      <c r="I5878" s="564" t="s">
        <v>1247</v>
      </c>
      <c r="J5878" s="564" t="s">
        <v>1069</v>
      </c>
      <c r="K5878" s="564" t="s">
        <v>1070</v>
      </c>
      <c r="L5878" s="564" t="s">
        <v>1071</v>
      </c>
      <c r="M5878" s="564" t="s">
        <v>1091</v>
      </c>
      <c r="N5878" s="564" t="s">
        <v>1073</v>
      </c>
      <c r="O5878" s="564" t="s">
        <v>241</v>
      </c>
      <c r="P5878" s="23"/>
      <c r="Q5878" s="23"/>
      <c r="R5878" s="23"/>
      <c r="S5878" s="23"/>
      <c r="T5878" s="23"/>
      <c r="U5878" s="23"/>
      <c r="V5878" s="23"/>
      <c r="W5878" s="23"/>
      <c r="X5878" s="23"/>
      <c r="Y5878" s="23"/>
      <c r="Z5878" s="23"/>
    </row>
    <row r="5879" spans="1:26" ht="13">
      <c r="A5879" s="562" t="s">
        <v>12682</v>
      </c>
      <c r="B5879" s="563" t="s">
        <v>12683</v>
      </c>
      <c r="C5879" s="564" t="s">
        <v>1255</v>
      </c>
      <c r="D5879" s="565">
        <v>40452</v>
      </c>
      <c r="E5879" s="565">
        <v>42124</v>
      </c>
      <c r="F5879" s="566">
        <v>192500000</v>
      </c>
      <c r="G5879" s="564" t="s">
        <v>1442</v>
      </c>
      <c r="H5879" s="564" t="s">
        <v>1529</v>
      </c>
      <c r="I5879" s="564" t="s">
        <v>1826</v>
      </c>
      <c r="J5879" s="564" t="s">
        <v>1069</v>
      </c>
      <c r="K5879" s="564" t="s">
        <v>1802</v>
      </c>
      <c r="L5879" s="564" t="s">
        <v>1071</v>
      </c>
      <c r="M5879" s="564" t="s">
        <v>1124</v>
      </c>
      <c r="N5879" s="564" t="s">
        <v>1082</v>
      </c>
      <c r="O5879" s="564" t="s">
        <v>197</v>
      </c>
      <c r="P5879" s="23"/>
      <c r="Q5879" s="23"/>
      <c r="R5879" s="23"/>
      <c r="S5879" s="23"/>
      <c r="T5879" s="23"/>
      <c r="U5879" s="23"/>
      <c r="V5879" s="23"/>
      <c r="W5879" s="23"/>
      <c r="X5879" s="23"/>
      <c r="Y5879" s="23"/>
      <c r="Z5879" s="23"/>
    </row>
    <row r="5880" spans="1:26" ht="13">
      <c r="A5880" s="562" t="s">
        <v>12684</v>
      </c>
      <c r="B5880" s="563" t="s">
        <v>12685</v>
      </c>
      <c r="C5880" s="564" t="s">
        <v>2191</v>
      </c>
      <c r="D5880" s="565">
        <v>40434</v>
      </c>
      <c r="E5880" s="565">
        <v>40574</v>
      </c>
      <c r="F5880" s="566">
        <v>35250000</v>
      </c>
      <c r="G5880" s="564" t="s">
        <v>2346</v>
      </c>
      <c r="H5880" s="564" t="s">
        <v>9480</v>
      </c>
      <c r="I5880" s="564" t="s">
        <v>12672</v>
      </c>
      <c r="J5880" s="564" t="s">
        <v>1069</v>
      </c>
      <c r="K5880" s="564" t="s">
        <v>1070</v>
      </c>
      <c r="L5880" s="564" t="s">
        <v>1390</v>
      </c>
      <c r="M5880" s="564" t="s">
        <v>1390</v>
      </c>
      <c r="N5880" s="564" t="s">
        <v>1082</v>
      </c>
      <c r="O5880" s="564" t="s">
        <v>38</v>
      </c>
      <c r="P5880" s="23"/>
      <c r="Q5880" s="23"/>
      <c r="R5880" s="23"/>
      <c r="S5880" s="23"/>
      <c r="T5880" s="23"/>
      <c r="U5880" s="23"/>
      <c r="V5880" s="23"/>
      <c r="W5880" s="23"/>
      <c r="X5880" s="23"/>
      <c r="Y5880" s="23"/>
      <c r="Z5880" s="23"/>
    </row>
    <row r="5881" spans="1:26" ht="13">
      <c r="A5881" s="562" t="s">
        <v>12686</v>
      </c>
      <c r="B5881" s="563" t="s">
        <v>12687</v>
      </c>
      <c r="C5881" s="564" t="s">
        <v>2191</v>
      </c>
      <c r="D5881" s="565">
        <v>40452</v>
      </c>
      <c r="E5881" s="565">
        <v>40585</v>
      </c>
      <c r="F5881" s="566">
        <v>198930000</v>
      </c>
      <c r="G5881" s="564" t="s">
        <v>2346</v>
      </c>
      <c r="H5881" s="564" t="s">
        <v>1636</v>
      </c>
      <c r="I5881" s="564" t="s">
        <v>1826</v>
      </c>
      <c r="J5881" s="564" t="s">
        <v>1069</v>
      </c>
      <c r="K5881" s="564" t="s">
        <v>1802</v>
      </c>
      <c r="L5881" s="564" t="s">
        <v>1390</v>
      </c>
      <c r="M5881" s="564" t="s">
        <v>1390</v>
      </c>
      <c r="N5881" s="564" t="s">
        <v>1082</v>
      </c>
      <c r="O5881" s="564" t="s">
        <v>38</v>
      </c>
      <c r="P5881" s="23"/>
      <c r="Q5881" s="23"/>
      <c r="R5881" s="23"/>
      <c r="S5881" s="23"/>
      <c r="T5881" s="23"/>
      <c r="U5881" s="23"/>
      <c r="V5881" s="23"/>
      <c r="W5881" s="23"/>
      <c r="X5881" s="23"/>
      <c r="Y5881" s="23"/>
      <c r="Z5881" s="23"/>
    </row>
    <row r="5882" spans="1:26" ht="13">
      <c r="A5882" s="562" t="s">
        <v>12688</v>
      </c>
      <c r="B5882" s="563" t="s">
        <v>12689</v>
      </c>
      <c r="C5882" s="564" t="s">
        <v>2191</v>
      </c>
      <c r="D5882" s="565">
        <v>40434</v>
      </c>
      <c r="E5882" s="565">
        <v>40529</v>
      </c>
      <c r="F5882" s="566">
        <v>30000000</v>
      </c>
      <c r="G5882" s="564" t="s">
        <v>2346</v>
      </c>
      <c r="H5882" s="564" t="s">
        <v>1636</v>
      </c>
      <c r="I5882" s="564" t="s">
        <v>1826</v>
      </c>
      <c r="J5882" s="564" t="s">
        <v>1069</v>
      </c>
      <c r="K5882" s="564" t="s">
        <v>1070</v>
      </c>
      <c r="L5882" s="564" t="s">
        <v>1390</v>
      </c>
      <c r="M5882" s="564" t="s">
        <v>1390</v>
      </c>
      <c r="N5882" s="564" t="s">
        <v>1082</v>
      </c>
      <c r="O5882" s="564" t="s">
        <v>38</v>
      </c>
      <c r="P5882" s="23"/>
      <c r="Q5882" s="23"/>
      <c r="R5882" s="23"/>
      <c r="S5882" s="23"/>
      <c r="T5882" s="23"/>
      <c r="U5882" s="23"/>
      <c r="V5882" s="23"/>
      <c r="W5882" s="23"/>
      <c r="X5882" s="23"/>
      <c r="Y5882" s="23"/>
      <c r="Z5882" s="23"/>
    </row>
    <row r="5883" spans="1:26" ht="13">
      <c r="A5883" s="562" t="s">
        <v>12690</v>
      </c>
      <c r="B5883" s="563" t="s">
        <v>12691</v>
      </c>
      <c r="C5883" s="564" t="s">
        <v>2191</v>
      </c>
      <c r="D5883" s="565">
        <v>40434</v>
      </c>
      <c r="E5883" s="565">
        <v>40529</v>
      </c>
      <c r="F5883" s="566">
        <v>16500000</v>
      </c>
      <c r="G5883" s="564" t="s">
        <v>2346</v>
      </c>
      <c r="H5883" s="564" t="s">
        <v>9480</v>
      </c>
      <c r="I5883" s="564" t="s">
        <v>12672</v>
      </c>
      <c r="J5883" s="564" t="s">
        <v>1069</v>
      </c>
      <c r="K5883" s="564" t="s">
        <v>1070</v>
      </c>
      <c r="L5883" s="564" t="s">
        <v>1390</v>
      </c>
      <c r="M5883" s="564" t="s">
        <v>1390</v>
      </c>
      <c r="N5883" s="564" t="s">
        <v>1082</v>
      </c>
      <c r="O5883" s="564" t="s">
        <v>38</v>
      </c>
      <c r="P5883" s="23"/>
      <c r="Q5883" s="23"/>
      <c r="R5883" s="23"/>
      <c r="S5883" s="23"/>
      <c r="T5883" s="23"/>
      <c r="U5883" s="23"/>
      <c r="V5883" s="23"/>
      <c r="W5883" s="23"/>
      <c r="X5883" s="23"/>
      <c r="Y5883" s="23"/>
      <c r="Z5883" s="23"/>
    </row>
    <row r="5884" spans="1:26" ht="13">
      <c r="A5884" s="562" t="s">
        <v>12692</v>
      </c>
      <c r="B5884" s="563" t="s">
        <v>12693</v>
      </c>
      <c r="C5884" s="564" t="s">
        <v>1873</v>
      </c>
      <c r="D5884" s="565">
        <v>40344</v>
      </c>
      <c r="E5884" s="565">
        <v>41074</v>
      </c>
      <c r="F5884" s="566">
        <v>32175000</v>
      </c>
      <c r="G5884" s="564" t="s">
        <v>2346</v>
      </c>
      <c r="H5884" s="564" t="s">
        <v>1157</v>
      </c>
      <c r="I5884" s="564" t="s">
        <v>170</v>
      </c>
      <c r="J5884" s="564" t="s">
        <v>1069</v>
      </c>
      <c r="K5884" s="564" t="s">
        <v>1105</v>
      </c>
      <c r="L5884" s="564" t="s">
        <v>1071</v>
      </c>
      <c r="M5884" s="564" t="s">
        <v>1091</v>
      </c>
      <c r="N5884" s="564" t="s">
        <v>170</v>
      </c>
      <c r="O5884" s="564" t="s">
        <v>241</v>
      </c>
      <c r="P5884" s="23"/>
      <c r="Q5884" s="23"/>
      <c r="R5884" s="23"/>
      <c r="S5884" s="23"/>
      <c r="T5884" s="23"/>
      <c r="U5884" s="23"/>
      <c r="V5884" s="23"/>
      <c r="W5884" s="23"/>
      <c r="X5884" s="23"/>
      <c r="Y5884" s="23"/>
      <c r="Z5884" s="23"/>
    </row>
    <row r="5885" spans="1:26" ht="13">
      <c r="A5885" s="562" t="s">
        <v>12694</v>
      </c>
      <c r="B5885" s="563" t="s">
        <v>12695</v>
      </c>
      <c r="C5885" s="564" t="s">
        <v>2191</v>
      </c>
      <c r="D5885" s="565">
        <v>40422</v>
      </c>
      <c r="E5885" s="565">
        <v>40786</v>
      </c>
      <c r="F5885" s="566">
        <v>300000000</v>
      </c>
      <c r="G5885" s="564" t="s">
        <v>1888</v>
      </c>
      <c r="H5885" s="564" t="s">
        <v>1636</v>
      </c>
      <c r="I5885" s="564" t="s">
        <v>1826</v>
      </c>
      <c r="J5885" s="564" t="s">
        <v>1069</v>
      </c>
      <c r="K5885" s="564" t="s">
        <v>1070</v>
      </c>
      <c r="L5885" s="564" t="s">
        <v>1071</v>
      </c>
      <c r="M5885" s="564" t="s">
        <v>1091</v>
      </c>
      <c r="N5885" s="564" t="s">
        <v>1082</v>
      </c>
      <c r="O5885" s="564" t="s">
        <v>1092</v>
      </c>
      <c r="P5885" s="23"/>
      <c r="Q5885" s="23"/>
      <c r="R5885" s="23"/>
      <c r="S5885" s="23"/>
      <c r="T5885" s="23"/>
      <c r="U5885" s="23"/>
      <c r="V5885" s="23"/>
      <c r="W5885" s="23"/>
      <c r="X5885" s="23"/>
      <c r="Y5885" s="23"/>
      <c r="Z5885" s="23"/>
    </row>
    <row r="5886" spans="1:26" ht="13">
      <c r="A5886" s="562" t="s">
        <v>12696</v>
      </c>
      <c r="B5886" s="563" t="s">
        <v>12697</v>
      </c>
      <c r="C5886" s="564" t="s">
        <v>2191</v>
      </c>
      <c r="D5886" s="565">
        <v>40413</v>
      </c>
      <c r="E5886" s="565">
        <v>40482</v>
      </c>
      <c r="F5886" s="566">
        <v>23400000</v>
      </c>
      <c r="G5886" s="564" t="s">
        <v>1067</v>
      </c>
      <c r="H5886" s="564" t="s">
        <v>1636</v>
      </c>
      <c r="I5886" s="564" t="s">
        <v>7259</v>
      </c>
      <c r="J5886" s="564" t="s">
        <v>1069</v>
      </c>
      <c r="K5886" s="564" t="s">
        <v>1070</v>
      </c>
      <c r="L5886" s="564" t="s">
        <v>1390</v>
      </c>
      <c r="M5886" s="564" t="s">
        <v>1390</v>
      </c>
      <c r="N5886" s="564" t="s">
        <v>1082</v>
      </c>
      <c r="O5886" s="564" t="s">
        <v>38</v>
      </c>
      <c r="P5886" s="23"/>
      <c r="Q5886" s="23"/>
      <c r="R5886" s="23"/>
      <c r="S5886" s="23"/>
      <c r="T5886" s="23"/>
      <c r="U5886" s="23"/>
      <c r="V5886" s="23"/>
      <c r="W5886" s="23"/>
      <c r="X5886" s="23"/>
      <c r="Y5886" s="23"/>
      <c r="Z5886" s="23"/>
    </row>
    <row r="5887" spans="1:26" ht="13">
      <c r="A5887" s="562" t="s">
        <v>12698</v>
      </c>
      <c r="B5887" s="563" t="s">
        <v>12699</v>
      </c>
      <c r="C5887" s="564" t="s">
        <v>2191</v>
      </c>
      <c r="D5887" s="565">
        <v>40392</v>
      </c>
      <c r="E5887" s="565">
        <v>40531</v>
      </c>
      <c r="F5887" s="566">
        <v>45150000</v>
      </c>
      <c r="G5887" s="564" t="s">
        <v>2346</v>
      </c>
      <c r="H5887" s="564" t="s">
        <v>9480</v>
      </c>
      <c r="I5887" s="564" t="s">
        <v>12672</v>
      </c>
      <c r="J5887" s="564" t="s">
        <v>1069</v>
      </c>
      <c r="K5887" s="564" t="s">
        <v>1070</v>
      </c>
      <c r="L5887" s="564" t="s">
        <v>1390</v>
      </c>
      <c r="M5887" s="564" t="s">
        <v>1390</v>
      </c>
      <c r="N5887" s="564" t="s">
        <v>1082</v>
      </c>
      <c r="O5887" s="564" t="s">
        <v>38</v>
      </c>
      <c r="P5887" s="23"/>
      <c r="Q5887" s="23"/>
      <c r="R5887" s="23"/>
      <c r="S5887" s="23"/>
      <c r="T5887" s="23"/>
      <c r="U5887" s="23"/>
      <c r="V5887" s="23"/>
      <c r="W5887" s="23"/>
      <c r="X5887" s="23"/>
      <c r="Y5887" s="23"/>
      <c r="Z5887" s="23"/>
    </row>
    <row r="5888" spans="1:26" ht="13">
      <c r="A5888" s="562" t="s">
        <v>12700</v>
      </c>
      <c r="B5888" s="563" t="s">
        <v>12701</v>
      </c>
      <c r="C5888" s="564" t="s">
        <v>1612</v>
      </c>
      <c r="D5888" s="565">
        <v>40408</v>
      </c>
      <c r="E5888" s="565">
        <v>40417</v>
      </c>
      <c r="F5888" s="566">
        <v>1520000</v>
      </c>
      <c r="G5888" s="564" t="s">
        <v>12702</v>
      </c>
      <c r="H5888" s="564" t="s">
        <v>1116</v>
      </c>
      <c r="I5888" s="564" t="s">
        <v>1068</v>
      </c>
      <c r="J5888" s="564" t="s">
        <v>1069</v>
      </c>
      <c r="K5888" s="564" t="s">
        <v>1070</v>
      </c>
      <c r="L5888" s="564" t="s">
        <v>1071</v>
      </c>
      <c r="M5888" s="564" t="s">
        <v>1124</v>
      </c>
      <c r="N5888" s="564" t="s">
        <v>1073</v>
      </c>
      <c r="O5888" s="564" t="s">
        <v>38</v>
      </c>
      <c r="P5888" s="23"/>
      <c r="Q5888" s="23"/>
      <c r="R5888" s="23"/>
      <c r="S5888" s="23"/>
      <c r="T5888" s="23"/>
      <c r="U5888" s="23"/>
      <c r="V5888" s="23"/>
      <c r="W5888" s="23"/>
      <c r="X5888" s="23"/>
      <c r="Y5888" s="23"/>
      <c r="Z5888" s="23"/>
    </row>
    <row r="5889" spans="1:26" ht="13">
      <c r="A5889" s="562" t="s">
        <v>12703</v>
      </c>
      <c r="B5889" s="563" t="s">
        <v>12704</v>
      </c>
      <c r="C5889" s="564" t="s">
        <v>2191</v>
      </c>
      <c r="D5889" s="565">
        <v>40406</v>
      </c>
      <c r="E5889" s="565">
        <v>40597</v>
      </c>
      <c r="F5889" s="566">
        <v>121600000</v>
      </c>
      <c r="G5889" s="564" t="s">
        <v>2346</v>
      </c>
      <c r="H5889" s="564" t="s">
        <v>1636</v>
      </c>
      <c r="I5889" s="564" t="s">
        <v>1826</v>
      </c>
      <c r="J5889" s="564" t="s">
        <v>1069</v>
      </c>
      <c r="K5889" s="564" t="s">
        <v>1070</v>
      </c>
      <c r="L5889" s="564" t="s">
        <v>1390</v>
      </c>
      <c r="M5889" s="564" t="s">
        <v>1390</v>
      </c>
      <c r="N5889" s="564" t="s">
        <v>1082</v>
      </c>
      <c r="O5889" s="564" t="s">
        <v>38</v>
      </c>
      <c r="P5889" s="23"/>
      <c r="Q5889" s="23"/>
      <c r="R5889" s="23"/>
      <c r="S5889" s="23"/>
      <c r="T5889" s="23"/>
      <c r="U5889" s="23"/>
      <c r="V5889" s="23"/>
      <c r="W5889" s="23"/>
      <c r="X5889" s="23"/>
      <c r="Y5889" s="23"/>
      <c r="Z5889" s="23"/>
    </row>
    <row r="5890" spans="1:26" ht="13">
      <c r="A5890" s="562" t="s">
        <v>12705</v>
      </c>
      <c r="B5890" s="563" t="s">
        <v>12706</v>
      </c>
      <c r="C5890" s="564" t="s">
        <v>1612</v>
      </c>
      <c r="D5890" s="565">
        <v>40399</v>
      </c>
      <c r="E5890" s="565">
        <v>40482</v>
      </c>
      <c r="F5890" s="566">
        <v>66000000</v>
      </c>
      <c r="G5890" s="564" t="s">
        <v>2561</v>
      </c>
      <c r="H5890" s="564" t="s">
        <v>9480</v>
      </c>
      <c r="I5890" s="564" t="s">
        <v>1068</v>
      </c>
      <c r="J5890" s="564" t="s">
        <v>1069</v>
      </c>
      <c r="K5890" s="564" t="s">
        <v>1070</v>
      </c>
      <c r="L5890" s="564" t="s">
        <v>1390</v>
      </c>
      <c r="M5890" s="564" t="s">
        <v>1390</v>
      </c>
      <c r="N5890" s="564" t="s">
        <v>1073</v>
      </c>
      <c r="O5890" s="564" t="s">
        <v>38</v>
      </c>
      <c r="P5890" s="23"/>
      <c r="Q5890" s="23"/>
      <c r="R5890" s="23"/>
      <c r="S5890" s="23"/>
      <c r="T5890" s="23"/>
      <c r="U5890" s="23"/>
      <c r="V5890" s="23"/>
      <c r="W5890" s="23"/>
      <c r="X5890" s="23"/>
      <c r="Y5890" s="23"/>
      <c r="Z5890" s="23"/>
    </row>
    <row r="5891" spans="1:26" ht="13">
      <c r="A5891" s="562" t="s">
        <v>12707</v>
      </c>
      <c r="B5891" s="563" t="s">
        <v>12708</v>
      </c>
      <c r="C5891" s="564" t="s">
        <v>2191</v>
      </c>
      <c r="D5891" s="565">
        <v>40380</v>
      </c>
      <c r="E5891" s="565">
        <v>40482</v>
      </c>
      <c r="F5891" s="566">
        <v>50880000</v>
      </c>
      <c r="G5891" s="564" t="s">
        <v>1442</v>
      </c>
      <c r="H5891" s="564" t="s">
        <v>1636</v>
      </c>
      <c r="I5891" s="564" t="s">
        <v>1826</v>
      </c>
      <c r="J5891" s="564" t="s">
        <v>1069</v>
      </c>
      <c r="K5891" s="564" t="s">
        <v>1070</v>
      </c>
      <c r="L5891" s="564" t="s">
        <v>1390</v>
      </c>
      <c r="M5891" s="564" t="s">
        <v>1390</v>
      </c>
      <c r="N5891" s="564" t="s">
        <v>1082</v>
      </c>
      <c r="O5891" s="564" t="s">
        <v>38</v>
      </c>
      <c r="P5891" s="23"/>
      <c r="Q5891" s="23"/>
      <c r="R5891" s="23"/>
      <c r="S5891" s="23"/>
      <c r="T5891" s="23"/>
      <c r="U5891" s="23"/>
      <c r="V5891" s="23"/>
      <c r="W5891" s="23"/>
      <c r="X5891" s="23"/>
      <c r="Y5891" s="23"/>
      <c r="Z5891" s="23"/>
    </row>
    <row r="5892" spans="1:26" ht="13">
      <c r="A5892" s="562" t="s">
        <v>12709</v>
      </c>
      <c r="B5892" s="563" t="s">
        <v>12710</v>
      </c>
      <c r="C5892" s="564" t="s">
        <v>6860</v>
      </c>
      <c r="D5892" s="565">
        <v>40345</v>
      </c>
      <c r="E5892" s="565">
        <v>40374</v>
      </c>
      <c r="F5892" s="566">
        <v>1000000</v>
      </c>
      <c r="G5892" s="564" t="s">
        <v>1729</v>
      </c>
      <c r="H5892" s="564" t="s">
        <v>1128</v>
      </c>
      <c r="I5892" s="564" t="s">
        <v>2509</v>
      </c>
      <c r="J5892" s="564" t="s">
        <v>1069</v>
      </c>
      <c r="K5892" s="564" t="s">
        <v>1205</v>
      </c>
      <c r="L5892" s="564" t="s">
        <v>1390</v>
      </c>
      <c r="M5892" s="564" t="s">
        <v>1390</v>
      </c>
      <c r="N5892" s="564" t="s">
        <v>1082</v>
      </c>
      <c r="O5892" s="564" t="s">
        <v>38</v>
      </c>
      <c r="P5892" s="23"/>
      <c r="Q5892" s="23"/>
      <c r="R5892" s="23"/>
      <c r="S5892" s="23"/>
      <c r="T5892" s="23"/>
      <c r="U5892" s="23"/>
      <c r="V5892" s="23"/>
      <c r="W5892" s="23"/>
      <c r="X5892" s="23"/>
      <c r="Y5892" s="23"/>
      <c r="Z5892" s="23"/>
    </row>
    <row r="5893" spans="1:26" ht="13">
      <c r="A5893" s="562" t="s">
        <v>12711</v>
      </c>
      <c r="B5893" s="563" t="s">
        <v>12712</v>
      </c>
      <c r="C5893" s="564" t="s">
        <v>1612</v>
      </c>
      <c r="D5893" s="565">
        <v>40351</v>
      </c>
      <c r="E5893" s="565">
        <v>40442</v>
      </c>
      <c r="F5893" s="566">
        <v>246400000</v>
      </c>
      <c r="G5893" s="564" t="s">
        <v>2346</v>
      </c>
      <c r="H5893" s="564" t="s">
        <v>1856</v>
      </c>
      <c r="I5893" s="564" t="s">
        <v>45</v>
      </c>
      <c r="J5893" s="564" t="s">
        <v>1069</v>
      </c>
      <c r="K5893" s="564" t="s">
        <v>1090</v>
      </c>
      <c r="L5893" s="564" t="s">
        <v>1390</v>
      </c>
      <c r="M5893" s="564" t="s">
        <v>1390</v>
      </c>
      <c r="N5893" s="564" t="s">
        <v>45</v>
      </c>
      <c r="O5893" s="564" t="s">
        <v>38</v>
      </c>
      <c r="P5893" s="23"/>
      <c r="Q5893" s="23"/>
      <c r="R5893" s="23"/>
      <c r="S5893" s="23"/>
      <c r="T5893" s="23"/>
      <c r="U5893" s="23"/>
      <c r="V5893" s="23"/>
      <c r="W5893" s="23"/>
      <c r="X5893" s="23"/>
      <c r="Y5893" s="23"/>
      <c r="Z5893" s="23"/>
    </row>
    <row r="5894" spans="1:26" ht="13">
      <c r="A5894" s="562" t="s">
        <v>12713</v>
      </c>
      <c r="B5894" s="563" t="s">
        <v>12714</v>
      </c>
      <c r="C5894" s="564" t="s">
        <v>1612</v>
      </c>
      <c r="D5894" s="565">
        <v>40360</v>
      </c>
      <c r="E5894" s="565">
        <v>43281</v>
      </c>
      <c r="F5894" s="566">
        <v>324000000</v>
      </c>
      <c r="G5894" s="564" t="s">
        <v>1912</v>
      </c>
      <c r="H5894" s="564" t="s">
        <v>1116</v>
      </c>
      <c r="I5894" s="564" t="s">
        <v>45</v>
      </c>
      <c r="J5894" s="564" t="s">
        <v>1069</v>
      </c>
      <c r="K5894" s="564" t="s">
        <v>1090</v>
      </c>
      <c r="L5894" s="564" t="s">
        <v>1071</v>
      </c>
      <c r="M5894" s="564" t="s">
        <v>1091</v>
      </c>
      <c r="N5894" s="564" t="s">
        <v>45</v>
      </c>
      <c r="O5894" s="564" t="s">
        <v>241</v>
      </c>
      <c r="P5894" s="23"/>
      <c r="Q5894" s="23"/>
      <c r="R5894" s="23"/>
      <c r="S5894" s="23"/>
      <c r="T5894" s="23"/>
      <c r="U5894" s="23"/>
      <c r="V5894" s="23"/>
      <c r="W5894" s="23"/>
      <c r="X5894" s="23"/>
      <c r="Y5894" s="23"/>
      <c r="Z5894" s="23"/>
    </row>
    <row r="5895" spans="1:26" ht="13">
      <c r="A5895" s="562" t="s">
        <v>12715</v>
      </c>
      <c r="B5895" s="563" t="s">
        <v>12716</v>
      </c>
      <c r="C5895" s="564" t="s">
        <v>6860</v>
      </c>
      <c r="D5895" s="565">
        <v>40358</v>
      </c>
      <c r="E5895" s="565">
        <v>40668</v>
      </c>
      <c r="F5895" s="566">
        <v>281591318</v>
      </c>
      <c r="G5895" s="564" t="s">
        <v>1912</v>
      </c>
      <c r="H5895" s="564" t="s">
        <v>1640</v>
      </c>
      <c r="I5895" s="564" t="s">
        <v>11791</v>
      </c>
      <c r="J5895" s="564" t="s">
        <v>1069</v>
      </c>
      <c r="K5895" s="564" t="s">
        <v>1209</v>
      </c>
      <c r="L5895" s="564" t="s">
        <v>1390</v>
      </c>
      <c r="M5895" s="564" t="s">
        <v>1390</v>
      </c>
      <c r="N5895" s="564" t="s">
        <v>2439</v>
      </c>
      <c r="O5895" s="564" t="s">
        <v>38</v>
      </c>
      <c r="P5895" s="23"/>
      <c r="Q5895" s="23"/>
      <c r="R5895" s="23"/>
      <c r="S5895" s="23"/>
      <c r="T5895" s="23"/>
      <c r="U5895" s="23"/>
      <c r="V5895" s="23"/>
      <c r="W5895" s="23"/>
      <c r="X5895" s="23"/>
      <c r="Y5895" s="23"/>
      <c r="Z5895" s="23"/>
    </row>
    <row r="5896" spans="1:26" ht="13">
      <c r="A5896" s="562" t="s">
        <v>12717</v>
      </c>
      <c r="B5896" s="563" t="s">
        <v>12718</v>
      </c>
      <c r="C5896" s="564" t="s">
        <v>2191</v>
      </c>
      <c r="D5896" s="565">
        <v>40544</v>
      </c>
      <c r="E5896" s="565">
        <v>40602</v>
      </c>
      <c r="F5896" s="566">
        <v>219318974</v>
      </c>
      <c r="G5896" s="564" t="s">
        <v>1912</v>
      </c>
      <c r="H5896" s="564" t="s">
        <v>1856</v>
      </c>
      <c r="I5896" s="564" t="s">
        <v>12719</v>
      </c>
      <c r="J5896" s="564" t="s">
        <v>1069</v>
      </c>
      <c r="K5896" s="564" t="s">
        <v>1070</v>
      </c>
      <c r="L5896" s="564" t="s">
        <v>1071</v>
      </c>
      <c r="M5896" s="564" t="s">
        <v>1091</v>
      </c>
      <c r="N5896" s="564" t="s">
        <v>1082</v>
      </c>
      <c r="O5896" s="564" t="s">
        <v>241</v>
      </c>
      <c r="P5896" s="23"/>
      <c r="Q5896" s="23"/>
      <c r="R5896" s="23"/>
      <c r="S5896" s="23"/>
      <c r="T5896" s="23"/>
      <c r="U5896" s="23"/>
      <c r="V5896" s="23"/>
      <c r="W5896" s="23"/>
      <c r="X5896" s="23"/>
      <c r="Y5896" s="23"/>
      <c r="Z5896" s="23"/>
    </row>
    <row r="5897" spans="1:26" ht="13">
      <c r="A5897" s="562" t="s">
        <v>12720</v>
      </c>
      <c r="B5897" s="563" t="s">
        <v>12721</v>
      </c>
      <c r="C5897" s="564" t="s">
        <v>1612</v>
      </c>
      <c r="D5897" s="565">
        <v>40353</v>
      </c>
      <c r="E5897" s="565">
        <v>40413</v>
      </c>
      <c r="F5897" s="566">
        <v>21800000</v>
      </c>
      <c r="G5897" s="564" t="s">
        <v>2561</v>
      </c>
      <c r="H5897" s="564" t="s">
        <v>1157</v>
      </c>
      <c r="I5897" s="564" t="s">
        <v>12722</v>
      </c>
      <c r="J5897" s="564" t="s">
        <v>1069</v>
      </c>
      <c r="K5897" s="564" t="s">
        <v>1105</v>
      </c>
      <c r="L5897" s="564" t="s">
        <v>1390</v>
      </c>
      <c r="M5897" s="564" t="s">
        <v>1390</v>
      </c>
      <c r="N5897" s="564" t="s">
        <v>1082</v>
      </c>
      <c r="O5897" s="564" t="s">
        <v>38</v>
      </c>
      <c r="P5897" s="23"/>
      <c r="Q5897" s="23"/>
      <c r="R5897" s="23"/>
      <c r="S5897" s="23"/>
      <c r="T5897" s="23"/>
      <c r="U5897" s="23"/>
      <c r="V5897" s="23"/>
      <c r="W5897" s="23"/>
      <c r="X5897" s="23"/>
      <c r="Y5897" s="23"/>
      <c r="Z5897" s="23"/>
    </row>
    <row r="5898" spans="1:26" ht="13">
      <c r="A5898" s="562" t="s">
        <v>12723</v>
      </c>
      <c r="B5898" s="563" t="s">
        <v>12724</v>
      </c>
      <c r="C5898" s="564" t="s">
        <v>1255</v>
      </c>
      <c r="D5898" s="565">
        <v>40360</v>
      </c>
      <c r="E5898" s="565">
        <v>40724</v>
      </c>
      <c r="F5898" s="566">
        <v>19000000</v>
      </c>
      <c r="G5898" s="564" t="s">
        <v>1097</v>
      </c>
      <c r="H5898" s="564" t="s">
        <v>1123</v>
      </c>
      <c r="I5898" s="564" t="s">
        <v>143</v>
      </c>
      <c r="J5898" s="564" t="s">
        <v>1069</v>
      </c>
      <c r="K5898" s="564" t="s">
        <v>1205</v>
      </c>
      <c r="L5898" s="564" t="s">
        <v>1071</v>
      </c>
      <c r="M5898" s="564" t="s">
        <v>1091</v>
      </c>
      <c r="N5898" s="564" t="s">
        <v>1073</v>
      </c>
      <c r="O5898" s="564" t="s">
        <v>241</v>
      </c>
      <c r="P5898" s="23"/>
      <c r="Q5898" s="23"/>
      <c r="R5898" s="23"/>
      <c r="S5898" s="23"/>
      <c r="T5898" s="23"/>
      <c r="U5898" s="23"/>
      <c r="V5898" s="23"/>
      <c r="W5898" s="23"/>
      <c r="X5898" s="23"/>
      <c r="Y5898" s="23"/>
      <c r="Z5898" s="23"/>
    </row>
    <row r="5899" spans="1:26" ht="13">
      <c r="A5899" s="562" t="s">
        <v>12725</v>
      </c>
      <c r="B5899" s="563" t="s">
        <v>12726</v>
      </c>
      <c r="C5899" s="564" t="s">
        <v>1612</v>
      </c>
      <c r="D5899" s="565">
        <v>40297</v>
      </c>
      <c r="E5899" s="565">
        <v>40694</v>
      </c>
      <c r="F5899" s="566">
        <v>225833000</v>
      </c>
      <c r="G5899" s="564" t="s">
        <v>1912</v>
      </c>
      <c r="H5899" s="564" t="s">
        <v>1856</v>
      </c>
      <c r="I5899" s="564" t="s">
        <v>45</v>
      </c>
      <c r="J5899" s="564" t="s">
        <v>1069</v>
      </c>
      <c r="K5899" s="564" t="s">
        <v>1090</v>
      </c>
      <c r="L5899" s="564" t="s">
        <v>1071</v>
      </c>
      <c r="M5899" s="564" t="s">
        <v>1091</v>
      </c>
      <c r="N5899" s="564" t="s">
        <v>45</v>
      </c>
      <c r="O5899" s="564" t="s">
        <v>241</v>
      </c>
      <c r="P5899" s="23"/>
      <c r="Q5899" s="23"/>
      <c r="R5899" s="23"/>
      <c r="S5899" s="23"/>
      <c r="T5899" s="23"/>
      <c r="U5899" s="23"/>
      <c r="V5899" s="23"/>
      <c r="W5899" s="23"/>
      <c r="X5899" s="23"/>
      <c r="Y5899" s="23"/>
      <c r="Z5899" s="23"/>
    </row>
    <row r="5900" spans="1:26" ht="13">
      <c r="A5900" s="562" t="s">
        <v>12727</v>
      </c>
      <c r="B5900" s="563" t="s">
        <v>12728</v>
      </c>
      <c r="C5900" s="564" t="s">
        <v>1612</v>
      </c>
      <c r="D5900" s="565">
        <v>40329</v>
      </c>
      <c r="E5900" s="565">
        <v>40375</v>
      </c>
      <c r="F5900" s="566">
        <v>25000000</v>
      </c>
      <c r="G5900" s="564" t="s">
        <v>1729</v>
      </c>
      <c r="H5900" s="564" t="s">
        <v>1856</v>
      </c>
      <c r="I5900" s="564" t="s">
        <v>9432</v>
      </c>
      <c r="J5900" s="564" t="s">
        <v>1069</v>
      </c>
      <c r="K5900" s="564" t="s">
        <v>1090</v>
      </c>
      <c r="L5900" s="564" t="s">
        <v>1390</v>
      </c>
      <c r="M5900" s="564" t="s">
        <v>1390</v>
      </c>
      <c r="N5900" s="564" t="s">
        <v>45</v>
      </c>
      <c r="O5900" s="564" t="s">
        <v>38</v>
      </c>
      <c r="P5900" s="23"/>
      <c r="Q5900" s="23"/>
      <c r="R5900" s="23"/>
      <c r="S5900" s="23"/>
      <c r="T5900" s="23"/>
      <c r="U5900" s="23"/>
      <c r="V5900" s="23"/>
      <c r="W5900" s="23"/>
      <c r="X5900" s="23"/>
      <c r="Y5900" s="23"/>
      <c r="Z5900" s="23"/>
    </row>
    <row r="5901" spans="1:26" ht="13">
      <c r="A5901" s="562" t="s">
        <v>12729</v>
      </c>
      <c r="B5901" s="563" t="s">
        <v>12730</v>
      </c>
      <c r="C5901" s="564" t="s">
        <v>6860</v>
      </c>
      <c r="D5901" s="565">
        <v>40330</v>
      </c>
      <c r="E5901" s="565">
        <v>40359</v>
      </c>
      <c r="F5901" s="566">
        <v>197000000</v>
      </c>
      <c r="G5901" s="564" t="s">
        <v>2192</v>
      </c>
      <c r="H5901" s="564" t="s">
        <v>1116</v>
      </c>
      <c r="I5901" s="564" t="s">
        <v>9770</v>
      </c>
      <c r="J5901" s="564" t="s">
        <v>1069</v>
      </c>
      <c r="K5901" s="564" t="s">
        <v>2430</v>
      </c>
      <c r="L5901" s="564" t="s">
        <v>1071</v>
      </c>
      <c r="M5901" s="564" t="s">
        <v>1124</v>
      </c>
      <c r="N5901" s="564" t="s">
        <v>1082</v>
      </c>
      <c r="O5901" s="564" t="s">
        <v>38</v>
      </c>
      <c r="P5901" s="23"/>
      <c r="Q5901" s="23"/>
      <c r="R5901" s="23"/>
      <c r="S5901" s="23"/>
      <c r="T5901" s="23"/>
      <c r="U5901" s="23"/>
      <c r="V5901" s="23"/>
      <c r="W5901" s="23"/>
      <c r="X5901" s="23"/>
      <c r="Y5901" s="23"/>
      <c r="Z5901" s="23"/>
    </row>
    <row r="5902" spans="1:26" ht="13">
      <c r="A5902" s="562" t="s">
        <v>12731</v>
      </c>
      <c r="B5902" s="563" t="s">
        <v>12732</v>
      </c>
      <c r="C5902" s="564" t="s">
        <v>1612</v>
      </c>
      <c r="D5902" s="565">
        <v>40323</v>
      </c>
      <c r="E5902" s="565">
        <v>40847</v>
      </c>
      <c r="F5902" s="566">
        <v>98597000</v>
      </c>
      <c r="G5902" s="564" t="s">
        <v>11273</v>
      </c>
      <c r="H5902" s="564" t="s">
        <v>1856</v>
      </c>
      <c r="I5902" s="564" t="s">
        <v>45</v>
      </c>
      <c r="J5902" s="564" t="s">
        <v>1069</v>
      </c>
      <c r="K5902" s="564" t="s">
        <v>1090</v>
      </c>
      <c r="L5902" s="564" t="s">
        <v>2098</v>
      </c>
      <c r="M5902" s="564" t="s">
        <v>2098</v>
      </c>
      <c r="N5902" s="564" t="s">
        <v>45</v>
      </c>
      <c r="O5902" s="564" t="s">
        <v>2099</v>
      </c>
      <c r="P5902" s="23"/>
      <c r="Q5902" s="23"/>
      <c r="R5902" s="23"/>
      <c r="S5902" s="23"/>
      <c r="T5902" s="23"/>
      <c r="U5902" s="23"/>
      <c r="V5902" s="23"/>
      <c r="W5902" s="23"/>
      <c r="X5902" s="23"/>
      <c r="Y5902" s="23"/>
      <c r="Z5902" s="23"/>
    </row>
    <row r="5903" spans="1:26" ht="13">
      <c r="A5903" s="562" t="s">
        <v>12733</v>
      </c>
      <c r="B5903" s="563" t="s">
        <v>12734</v>
      </c>
      <c r="C5903" s="564" t="s">
        <v>1612</v>
      </c>
      <c r="D5903" s="565">
        <v>40308</v>
      </c>
      <c r="E5903" s="565">
        <v>40708</v>
      </c>
      <c r="F5903" s="566">
        <v>122175600</v>
      </c>
      <c r="G5903" s="564" t="s">
        <v>1753</v>
      </c>
      <c r="H5903" s="564" t="s">
        <v>1157</v>
      </c>
      <c r="I5903" s="564" t="s">
        <v>70</v>
      </c>
      <c r="J5903" s="564" t="s">
        <v>1069</v>
      </c>
      <c r="K5903" s="564" t="s">
        <v>1120</v>
      </c>
      <c r="L5903" s="564" t="s">
        <v>1390</v>
      </c>
      <c r="M5903" s="564" t="s">
        <v>1390</v>
      </c>
      <c r="N5903" s="564" t="s">
        <v>70</v>
      </c>
      <c r="O5903" s="564" t="s">
        <v>38</v>
      </c>
      <c r="P5903" s="23"/>
      <c r="Q5903" s="23"/>
      <c r="R5903" s="23"/>
      <c r="S5903" s="23"/>
      <c r="T5903" s="23"/>
      <c r="U5903" s="23"/>
      <c r="V5903" s="23"/>
      <c r="W5903" s="23"/>
      <c r="X5903" s="23"/>
      <c r="Y5903" s="23"/>
      <c r="Z5903" s="23"/>
    </row>
    <row r="5904" spans="1:26" ht="13">
      <c r="A5904" s="562" t="s">
        <v>12735</v>
      </c>
      <c r="B5904" s="563" t="s">
        <v>12736</v>
      </c>
      <c r="C5904" s="564" t="s">
        <v>2191</v>
      </c>
      <c r="D5904" s="565">
        <v>40311</v>
      </c>
      <c r="E5904" s="565">
        <v>40330</v>
      </c>
      <c r="F5904" s="566">
        <v>52091000</v>
      </c>
      <c r="G5904" s="564" t="s">
        <v>2378</v>
      </c>
      <c r="H5904" s="564" t="s">
        <v>1145</v>
      </c>
      <c r="I5904" s="564" t="s">
        <v>12737</v>
      </c>
      <c r="J5904" s="564" t="s">
        <v>1069</v>
      </c>
      <c r="K5904" s="564" t="s">
        <v>1198</v>
      </c>
      <c r="L5904" s="564" t="s">
        <v>1390</v>
      </c>
      <c r="M5904" s="564" t="s">
        <v>1390</v>
      </c>
      <c r="N5904" s="564" t="s">
        <v>2543</v>
      </c>
      <c r="O5904" s="564" t="s">
        <v>38</v>
      </c>
      <c r="P5904" s="23"/>
      <c r="Q5904" s="23"/>
      <c r="R5904" s="23"/>
      <c r="S5904" s="23"/>
      <c r="T5904" s="23"/>
      <c r="U5904" s="23"/>
      <c r="V5904" s="23"/>
      <c r="W5904" s="23"/>
      <c r="X5904" s="23"/>
      <c r="Y5904" s="23"/>
      <c r="Z5904" s="23"/>
    </row>
    <row r="5905" spans="1:26" ht="13">
      <c r="A5905" s="562" t="s">
        <v>12738</v>
      </c>
      <c r="B5905" s="563" t="s">
        <v>12739</v>
      </c>
      <c r="C5905" s="564" t="s">
        <v>1612</v>
      </c>
      <c r="D5905" s="565">
        <v>40299</v>
      </c>
      <c r="E5905" s="565">
        <v>40359</v>
      </c>
      <c r="F5905" s="566">
        <v>27350000</v>
      </c>
      <c r="G5905" s="564" t="s">
        <v>2346</v>
      </c>
      <c r="H5905" s="564" t="s">
        <v>1856</v>
      </c>
      <c r="I5905" s="564" t="s">
        <v>45</v>
      </c>
      <c r="J5905" s="564" t="s">
        <v>1069</v>
      </c>
      <c r="K5905" s="564" t="s">
        <v>1090</v>
      </c>
      <c r="L5905" s="564" t="s">
        <v>1390</v>
      </c>
      <c r="M5905" s="564" t="s">
        <v>1390</v>
      </c>
      <c r="N5905" s="564" t="s">
        <v>45</v>
      </c>
      <c r="O5905" s="564" t="s">
        <v>38</v>
      </c>
      <c r="P5905" s="23"/>
      <c r="Q5905" s="23"/>
      <c r="R5905" s="23"/>
      <c r="S5905" s="23"/>
      <c r="T5905" s="23"/>
      <c r="U5905" s="23"/>
      <c r="V5905" s="23"/>
      <c r="W5905" s="23"/>
      <c r="X5905" s="23"/>
      <c r="Y5905" s="23"/>
      <c r="Z5905" s="23"/>
    </row>
    <row r="5906" spans="1:26" ht="13">
      <c r="A5906" s="562" t="s">
        <v>12740</v>
      </c>
      <c r="B5906" s="563" t="s">
        <v>12741</v>
      </c>
      <c r="C5906" s="564" t="s">
        <v>1612</v>
      </c>
      <c r="D5906" s="565">
        <v>40291</v>
      </c>
      <c r="E5906" s="565">
        <v>40381</v>
      </c>
      <c r="F5906" s="566">
        <v>22700000</v>
      </c>
      <c r="G5906" s="564" t="s">
        <v>1729</v>
      </c>
      <c r="H5906" s="564" t="s">
        <v>1157</v>
      </c>
      <c r="I5906" s="564" t="s">
        <v>45</v>
      </c>
      <c r="J5906" s="564" t="s">
        <v>1069</v>
      </c>
      <c r="K5906" s="564" t="s">
        <v>1090</v>
      </c>
      <c r="L5906" s="564" t="s">
        <v>1390</v>
      </c>
      <c r="M5906" s="564" t="s">
        <v>1390</v>
      </c>
      <c r="N5906" s="564" t="s">
        <v>45</v>
      </c>
      <c r="O5906" s="564" t="s">
        <v>38</v>
      </c>
      <c r="P5906" s="23"/>
      <c r="Q5906" s="23"/>
      <c r="R5906" s="23"/>
      <c r="S5906" s="23"/>
      <c r="T5906" s="23"/>
      <c r="U5906" s="23"/>
      <c r="V5906" s="23"/>
      <c r="W5906" s="23"/>
      <c r="X5906" s="23"/>
      <c r="Y5906" s="23"/>
      <c r="Z5906" s="23"/>
    </row>
    <row r="5907" spans="1:26" ht="13">
      <c r="A5907" s="562" t="s">
        <v>12742</v>
      </c>
      <c r="B5907" s="563" t="s">
        <v>12743</v>
      </c>
      <c r="C5907" s="564" t="s">
        <v>2191</v>
      </c>
      <c r="D5907" s="565">
        <v>40269</v>
      </c>
      <c r="E5907" s="565">
        <v>40633</v>
      </c>
      <c r="F5907" s="566">
        <v>10664727</v>
      </c>
      <c r="G5907" s="564" t="s">
        <v>1067</v>
      </c>
      <c r="H5907" s="564" t="s">
        <v>1123</v>
      </c>
      <c r="I5907" s="564" t="s">
        <v>8659</v>
      </c>
      <c r="J5907" s="564" t="s">
        <v>1069</v>
      </c>
      <c r="K5907" s="564" t="s">
        <v>1205</v>
      </c>
      <c r="L5907" s="564" t="s">
        <v>1071</v>
      </c>
      <c r="M5907" s="564" t="s">
        <v>1091</v>
      </c>
      <c r="N5907" s="564" t="s">
        <v>1073</v>
      </c>
      <c r="O5907" s="564" t="s">
        <v>241</v>
      </c>
      <c r="P5907" s="23"/>
      <c r="Q5907" s="23"/>
      <c r="R5907" s="23"/>
      <c r="S5907" s="23"/>
      <c r="T5907" s="23"/>
      <c r="U5907" s="23"/>
      <c r="V5907" s="23"/>
      <c r="W5907" s="23"/>
      <c r="X5907" s="23"/>
      <c r="Y5907" s="23"/>
      <c r="Z5907" s="23"/>
    </row>
    <row r="5908" spans="1:26" ht="13">
      <c r="A5908" s="562" t="s">
        <v>12744</v>
      </c>
      <c r="B5908" s="563" t="s">
        <v>12745</v>
      </c>
      <c r="C5908" s="564" t="s">
        <v>2191</v>
      </c>
      <c r="D5908" s="565">
        <v>40269</v>
      </c>
      <c r="E5908" s="565">
        <v>40633</v>
      </c>
      <c r="F5908" s="566">
        <v>45163636</v>
      </c>
      <c r="G5908" s="564" t="s">
        <v>1912</v>
      </c>
      <c r="H5908" s="564" t="s">
        <v>1123</v>
      </c>
      <c r="I5908" s="564" t="s">
        <v>8659</v>
      </c>
      <c r="J5908" s="564" t="s">
        <v>1069</v>
      </c>
      <c r="K5908" s="564" t="s">
        <v>1205</v>
      </c>
      <c r="L5908" s="564" t="s">
        <v>1071</v>
      </c>
      <c r="M5908" s="564" t="s">
        <v>1091</v>
      </c>
      <c r="N5908" s="564" t="s">
        <v>1073</v>
      </c>
      <c r="O5908" s="564" t="s">
        <v>241</v>
      </c>
      <c r="P5908" s="23"/>
      <c r="Q5908" s="23"/>
      <c r="R5908" s="23"/>
      <c r="S5908" s="23"/>
      <c r="T5908" s="23"/>
      <c r="U5908" s="23"/>
      <c r="V5908" s="23"/>
      <c r="W5908" s="23"/>
      <c r="X5908" s="23"/>
      <c r="Y5908" s="23"/>
      <c r="Z5908" s="23"/>
    </row>
    <row r="5909" spans="1:26" ht="13">
      <c r="A5909" s="562" t="s">
        <v>12746</v>
      </c>
      <c r="B5909" s="563" t="s">
        <v>12747</v>
      </c>
      <c r="C5909" s="564" t="s">
        <v>2191</v>
      </c>
      <c r="D5909" s="565">
        <v>40269</v>
      </c>
      <c r="E5909" s="565">
        <v>40633</v>
      </c>
      <c r="F5909" s="566">
        <v>45272727</v>
      </c>
      <c r="G5909" s="564" t="s">
        <v>1912</v>
      </c>
      <c r="H5909" s="564" t="s">
        <v>1123</v>
      </c>
      <c r="I5909" s="564" t="s">
        <v>8659</v>
      </c>
      <c r="J5909" s="564" t="s">
        <v>1069</v>
      </c>
      <c r="K5909" s="564" t="s">
        <v>1205</v>
      </c>
      <c r="L5909" s="564" t="s">
        <v>1071</v>
      </c>
      <c r="M5909" s="564" t="s">
        <v>1091</v>
      </c>
      <c r="N5909" s="564" t="s">
        <v>1073</v>
      </c>
      <c r="O5909" s="564" t="s">
        <v>241</v>
      </c>
      <c r="P5909" s="23"/>
      <c r="Q5909" s="23"/>
      <c r="R5909" s="23"/>
      <c r="S5909" s="23"/>
      <c r="T5909" s="23"/>
      <c r="U5909" s="23"/>
      <c r="V5909" s="23"/>
      <c r="W5909" s="23"/>
      <c r="X5909" s="23"/>
      <c r="Y5909" s="23"/>
      <c r="Z5909" s="23"/>
    </row>
    <row r="5910" spans="1:26" ht="13">
      <c r="A5910" s="562" t="s">
        <v>12748</v>
      </c>
      <c r="B5910" s="563" t="s">
        <v>12749</v>
      </c>
      <c r="C5910" s="564" t="s">
        <v>1612</v>
      </c>
      <c r="D5910" s="565">
        <v>40290</v>
      </c>
      <c r="E5910" s="565">
        <v>40411</v>
      </c>
      <c r="F5910" s="566">
        <v>28000000</v>
      </c>
      <c r="G5910" s="564" t="s">
        <v>1729</v>
      </c>
      <c r="H5910" s="564" t="s">
        <v>1856</v>
      </c>
      <c r="I5910" s="564" t="s">
        <v>45</v>
      </c>
      <c r="J5910" s="564" t="s">
        <v>1069</v>
      </c>
      <c r="K5910" s="564" t="s">
        <v>1090</v>
      </c>
      <c r="L5910" s="564" t="s">
        <v>1390</v>
      </c>
      <c r="M5910" s="564" t="s">
        <v>1390</v>
      </c>
      <c r="N5910" s="564" t="s">
        <v>45</v>
      </c>
      <c r="O5910" s="564" t="s">
        <v>38</v>
      </c>
      <c r="P5910" s="23"/>
      <c r="Q5910" s="23"/>
      <c r="R5910" s="23"/>
      <c r="S5910" s="23"/>
      <c r="T5910" s="23"/>
      <c r="U5910" s="23"/>
      <c r="V5910" s="23"/>
      <c r="W5910" s="23"/>
      <c r="X5910" s="23"/>
      <c r="Y5910" s="23"/>
      <c r="Z5910" s="23"/>
    </row>
    <row r="5911" spans="1:26" ht="13">
      <c r="A5911" s="562" t="s">
        <v>12750</v>
      </c>
      <c r="B5911" s="563" t="s">
        <v>12751</v>
      </c>
      <c r="C5911" s="564" t="s">
        <v>1612</v>
      </c>
      <c r="D5911" s="565">
        <v>40269</v>
      </c>
      <c r="E5911" s="565">
        <v>40633</v>
      </c>
      <c r="F5911" s="566">
        <v>14256000</v>
      </c>
      <c r="G5911" s="564" t="s">
        <v>1067</v>
      </c>
      <c r="H5911" s="564" t="s">
        <v>337</v>
      </c>
      <c r="I5911" s="564" t="s">
        <v>146</v>
      </c>
      <c r="J5911" s="564" t="s">
        <v>1069</v>
      </c>
      <c r="K5911" s="564" t="s">
        <v>1070</v>
      </c>
      <c r="L5911" s="564" t="s">
        <v>1071</v>
      </c>
      <c r="M5911" s="564" t="s">
        <v>1091</v>
      </c>
      <c r="N5911" s="564" t="s">
        <v>1073</v>
      </c>
      <c r="O5911" s="564" t="s">
        <v>241</v>
      </c>
      <c r="P5911" s="23"/>
      <c r="Q5911" s="23"/>
      <c r="R5911" s="23"/>
      <c r="S5911" s="23"/>
      <c r="T5911" s="23"/>
      <c r="U5911" s="23"/>
      <c r="V5911" s="23"/>
      <c r="W5911" s="23"/>
      <c r="X5911" s="23"/>
      <c r="Y5911" s="23"/>
      <c r="Z5911" s="23"/>
    </row>
    <row r="5912" spans="1:26" ht="13">
      <c r="A5912" s="562" t="s">
        <v>12752</v>
      </c>
      <c r="B5912" s="563" t="s">
        <v>12753</v>
      </c>
      <c r="C5912" s="564" t="s">
        <v>1612</v>
      </c>
      <c r="D5912" s="565">
        <v>40269</v>
      </c>
      <c r="E5912" s="565">
        <v>40633</v>
      </c>
      <c r="F5912" s="566">
        <v>15120000</v>
      </c>
      <c r="G5912" s="564" t="s">
        <v>1912</v>
      </c>
      <c r="H5912" s="564" t="s">
        <v>1123</v>
      </c>
      <c r="I5912" s="564" t="s">
        <v>2041</v>
      </c>
      <c r="J5912" s="564" t="s">
        <v>1069</v>
      </c>
      <c r="K5912" s="564" t="s">
        <v>1105</v>
      </c>
      <c r="L5912" s="564" t="s">
        <v>1071</v>
      </c>
      <c r="M5912" s="564" t="s">
        <v>1091</v>
      </c>
      <c r="N5912" s="564" t="s">
        <v>1073</v>
      </c>
      <c r="O5912" s="564" t="s">
        <v>241</v>
      </c>
      <c r="P5912" s="23"/>
      <c r="Q5912" s="23"/>
      <c r="R5912" s="23"/>
      <c r="S5912" s="23"/>
      <c r="T5912" s="23"/>
      <c r="U5912" s="23"/>
      <c r="V5912" s="23"/>
      <c r="W5912" s="23"/>
      <c r="X5912" s="23"/>
      <c r="Y5912" s="23"/>
      <c r="Z5912" s="23"/>
    </row>
    <row r="5913" spans="1:26" ht="13">
      <c r="A5913" s="562" t="s">
        <v>12754</v>
      </c>
      <c r="B5913" s="563" t="s">
        <v>12755</v>
      </c>
      <c r="C5913" s="564" t="s">
        <v>2191</v>
      </c>
      <c r="D5913" s="565">
        <v>40247</v>
      </c>
      <c r="E5913" s="565">
        <v>40602</v>
      </c>
      <c r="F5913" s="566">
        <v>51576000</v>
      </c>
      <c r="G5913" s="564" t="s">
        <v>1442</v>
      </c>
      <c r="H5913" s="564" t="s">
        <v>1521</v>
      </c>
      <c r="I5913" s="564" t="s">
        <v>7259</v>
      </c>
      <c r="J5913" s="564" t="s">
        <v>1069</v>
      </c>
      <c r="K5913" s="564" t="s">
        <v>1070</v>
      </c>
      <c r="L5913" s="564" t="s">
        <v>1071</v>
      </c>
      <c r="M5913" s="564" t="s">
        <v>1091</v>
      </c>
      <c r="N5913" s="564" t="s">
        <v>1082</v>
      </c>
      <c r="O5913" s="564" t="s">
        <v>241</v>
      </c>
      <c r="P5913" s="23"/>
      <c r="Q5913" s="23"/>
      <c r="R5913" s="23"/>
      <c r="S5913" s="23"/>
      <c r="T5913" s="23"/>
      <c r="U5913" s="23"/>
      <c r="V5913" s="23"/>
      <c r="W5913" s="23"/>
      <c r="X5913" s="23"/>
      <c r="Y5913" s="23"/>
      <c r="Z5913" s="23"/>
    </row>
    <row r="5914" spans="1:26" ht="13">
      <c r="A5914" s="562" t="s">
        <v>12756</v>
      </c>
      <c r="B5914" s="563" t="s">
        <v>12757</v>
      </c>
      <c r="C5914" s="564" t="s">
        <v>2191</v>
      </c>
      <c r="D5914" s="565">
        <v>40269</v>
      </c>
      <c r="E5914" s="565">
        <v>40633</v>
      </c>
      <c r="F5914" s="566">
        <v>67472728</v>
      </c>
      <c r="G5914" s="564" t="s">
        <v>1345</v>
      </c>
      <c r="H5914" s="564" t="s">
        <v>1529</v>
      </c>
      <c r="I5914" s="564" t="s">
        <v>12758</v>
      </c>
      <c r="J5914" s="564" t="s">
        <v>1069</v>
      </c>
      <c r="K5914" s="564" t="s">
        <v>1070</v>
      </c>
      <c r="L5914" s="564" t="s">
        <v>1071</v>
      </c>
      <c r="M5914" s="564" t="s">
        <v>1091</v>
      </c>
      <c r="N5914" s="564" t="s">
        <v>2439</v>
      </c>
      <c r="O5914" s="564" t="s">
        <v>241</v>
      </c>
      <c r="P5914" s="23"/>
      <c r="Q5914" s="23"/>
      <c r="R5914" s="23"/>
      <c r="S5914" s="23"/>
      <c r="T5914" s="23"/>
      <c r="U5914" s="23"/>
      <c r="V5914" s="23"/>
      <c r="W5914" s="23"/>
      <c r="X5914" s="23"/>
      <c r="Y5914" s="23"/>
      <c r="Z5914" s="23"/>
    </row>
    <row r="5915" spans="1:26" ht="13">
      <c r="A5915" s="562" t="s">
        <v>12759</v>
      </c>
      <c r="B5915" s="563" t="s">
        <v>12760</v>
      </c>
      <c r="C5915" s="564" t="s">
        <v>6860</v>
      </c>
      <c r="D5915" s="565">
        <v>40221</v>
      </c>
      <c r="E5915" s="565">
        <v>40939</v>
      </c>
      <c r="F5915" s="566">
        <v>441000000</v>
      </c>
      <c r="G5915" s="564" t="s">
        <v>1912</v>
      </c>
      <c r="H5915" s="564" t="s">
        <v>1116</v>
      </c>
      <c r="I5915" s="564" t="s">
        <v>12761</v>
      </c>
      <c r="J5915" s="564" t="s">
        <v>1069</v>
      </c>
      <c r="K5915" s="564" t="s">
        <v>2430</v>
      </c>
      <c r="L5915" s="564" t="s">
        <v>1071</v>
      </c>
      <c r="M5915" s="564" t="s">
        <v>1124</v>
      </c>
      <c r="N5915" s="564" t="s">
        <v>1082</v>
      </c>
      <c r="O5915" s="564" t="s">
        <v>38</v>
      </c>
      <c r="P5915" s="23"/>
      <c r="Q5915" s="23"/>
      <c r="R5915" s="23"/>
      <c r="S5915" s="23"/>
      <c r="T5915" s="23"/>
      <c r="U5915" s="23"/>
      <c r="V5915" s="23"/>
      <c r="W5915" s="23"/>
      <c r="X5915" s="23"/>
      <c r="Y5915" s="23"/>
      <c r="Z5915" s="23"/>
    </row>
    <row r="5916" spans="1:26" ht="13">
      <c r="A5916" s="562" t="s">
        <v>12762</v>
      </c>
      <c r="B5916" s="563" t="s">
        <v>12763</v>
      </c>
      <c r="C5916" s="564" t="s">
        <v>1612</v>
      </c>
      <c r="D5916" s="565">
        <v>40238</v>
      </c>
      <c r="E5916" s="565">
        <v>40602</v>
      </c>
      <c r="F5916" s="566">
        <v>12804000</v>
      </c>
      <c r="G5916" s="564" t="s">
        <v>1067</v>
      </c>
      <c r="H5916" s="564" t="s">
        <v>337</v>
      </c>
      <c r="I5916" s="564" t="s">
        <v>802</v>
      </c>
      <c r="J5916" s="564" t="s">
        <v>1069</v>
      </c>
      <c r="K5916" s="564" t="s">
        <v>1198</v>
      </c>
      <c r="L5916" s="564" t="s">
        <v>1390</v>
      </c>
      <c r="M5916" s="564" t="s">
        <v>1390</v>
      </c>
      <c r="N5916" s="564" t="s">
        <v>132</v>
      </c>
      <c r="O5916" s="564" t="s">
        <v>38</v>
      </c>
      <c r="P5916" s="23"/>
      <c r="Q5916" s="23"/>
      <c r="R5916" s="23"/>
      <c r="S5916" s="23"/>
      <c r="T5916" s="23"/>
      <c r="U5916" s="23"/>
      <c r="V5916" s="23"/>
      <c r="W5916" s="23"/>
      <c r="X5916" s="23"/>
      <c r="Y5916" s="23"/>
      <c r="Z5916" s="23"/>
    </row>
    <row r="5917" spans="1:26" ht="13">
      <c r="A5917" s="562" t="s">
        <v>12764</v>
      </c>
      <c r="B5917" s="563" t="s">
        <v>12765</v>
      </c>
      <c r="C5917" s="564" t="s">
        <v>2191</v>
      </c>
      <c r="D5917" s="565">
        <v>40217</v>
      </c>
      <c r="E5917" s="565">
        <v>41304</v>
      </c>
      <c r="F5917" s="566">
        <v>91400000</v>
      </c>
      <c r="G5917" s="564" t="s">
        <v>12766</v>
      </c>
      <c r="H5917" s="564" t="s">
        <v>1187</v>
      </c>
      <c r="I5917" s="564" t="s">
        <v>12767</v>
      </c>
      <c r="J5917" s="564" t="s">
        <v>1069</v>
      </c>
      <c r="K5917" s="564" t="s">
        <v>1070</v>
      </c>
      <c r="L5917" s="564" t="s">
        <v>1390</v>
      </c>
      <c r="M5917" s="564" t="s">
        <v>1390</v>
      </c>
      <c r="N5917" s="564" t="s">
        <v>1082</v>
      </c>
      <c r="O5917" s="564" t="s">
        <v>38</v>
      </c>
      <c r="P5917" s="23"/>
      <c r="Q5917" s="23"/>
      <c r="R5917" s="23"/>
      <c r="S5917" s="23"/>
      <c r="T5917" s="23"/>
      <c r="U5917" s="23"/>
      <c r="V5917" s="23"/>
      <c r="W5917" s="23"/>
      <c r="X5917" s="23"/>
      <c r="Y5917" s="23"/>
      <c r="Z5917" s="23"/>
    </row>
    <row r="5918" spans="1:26" ht="13">
      <c r="A5918" s="562" t="s">
        <v>12768</v>
      </c>
      <c r="B5918" s="563" t="s">
        <v>12769</v>
      </c>
      <c r="C5918" s="564" t="s">
        <v>1873</v>
      </c>
      <c r="D5918" s="565">
        <v>40252</v>
      </c>
      <c r="E5918" s="565">
        <v>40343</v>
      </c>
      <c r="F5918" s="566">
        <v>45000000</v>
      </c>
      <c r="G5918" s="564" t="s">
        <v>10823</v>
      </c>
      <c r="H5918" s="564" t="s">
        <v>1157</v>
      </c>
      <c r="I5918" s="564" t="s">
        <v>170</v>
      </c>
      <c r="J5918" s="564" t="s">
        <v>1069</v>
      </c>
      <c r="K5918" s="564" t="s">
        <v>1105</v>
      </c>
      <c r="L5918" s="564" t="s">
        <v>1390</v>
      </c>
      <c r="M5918" s="564" t="s">
        <v>1390</v>
      </c>
      <c r="N5918" s="564" t="s">
        <v>170</v>
      </c>
      <c r="O5918" s="564" t="s">
        <v>38</v>
      </c>
      <c r="P5918" s="23"/>
      <c r="Q5918" s="23"/>
      <c r="R5918" s="23"/>
      <c r="S5918" s="23"/>
      <c r="T5918" s="23"/>
      <c r="U5918" s="23"/>
      <c r="V5918" s="23"/>
      <c r="W5918" s="23"/>
      <c r="X5918" s="23"/>
      <c r="Y5918" s="23"/>
      <c r="Z5918" s="23"/>
    </row>
    <row r="5919" spans="1:26" ht="13">
      <c r="A5919" s="562" t="s">
        <v>12770</v>
      </c>
      <c r="B5919" s="563" t="s">
        <v>12771</v>
      </c>
      <c r="C5919" s="564" t="s">
        <v>2191</v>
      </c>
      <c r="D5919" s="565">
        <v>40259</v>
      </c>
      <c r="E5919" s="565">
        <v>40326</v>
      </c>
      <c r="F5919" s="566">
        <v>20454545</v>
      </c>
      <c r="G5919" s="564" t="s">
        <v>1912</v>
      </c>
      <c r="H5919" s="564" t="s">
        <v>1123</v>
      </c>
      <c r="I5919" s="564" t="s">
        <v>7768</v>
      </c>
      <c r="J5919" s="564" t="s">
        <v>1069</v>
      </c>
      <c r="K5919" s="564" t="s">
        <v>1198</v>
      </c>
      <c r="L5919" s="564" t="s">
        <v>1071</v>
      </c>
      <c r="M5919" s="564" t="s">
        <v>1124</v>
      </c>
      <c r="N5919" s="564" t="s">
        <v>1073</v>
      </c>
      <c r="O5919" s="564" t="s">
        <v>38</v>
      </c>
      <c r="P5919" s="23"/>
      <c r="Q5919" s="23"/>
      <c r="R5919" s="23"/>
      <c r="S5919" s="23"/>
      <c r="T5919" s="23"/>
      <c r="U5919" s="23"/>
      <c r="V5919" s="23"/>
      <c r="W5919" s="23"/>
      <c r="X5919" s="23"/>
      <c r="Y5919" s="23"/>
      <c r="Z5919" s="23"/>
    </row>
    <row r="5920" spans="1:26" ht="13">
      <c r="A5920" s="562" t="s">
        <v>12772</v>
      </c>
      <c r="B5920" s="563" t="s">
        <v>12773</v>
      </c>
      <c r="C5920" s="564" t="s">
        <v>1612</v>
      </c>
      <c r="D5920" s="565">
        <v>40255</v>
      </c>
      <c r="E5920" s="565">
        <v>40281</v>
      </c>
      <c r="F5920" s="566">
        <v>31000000</v>
      </c>
      <c r="G5920" s="564" t="s">
        <v>1912</v>
      </c>
      <c r="H5920" s="564" t="s">
        <v>1116</v>
      </c>
      <c r="I5920" s="564" t="s">
        <v>1068</v>
      </c>
      <c r="J5920" s="564" t="s">
        <v>1069</v>
      </c>
      <c r="K5920" s="564" t="s">
        <v>1070</v>
      </c>
      <c r="L5920" s="564" t="s">
        <v>1390</v>
      </c>
      <c r="M5920" s="564" t="s">
        <v>1390</v>
      </c>
      <c r="N5920" s="564" t="s">
        <v>1073</v>
      </c>
      <c r="O5920" s="564" t="s">
        <v>38</v>
      </c>
      <c r="P5920" s="23"/>
      <c r="Q5920" s="23"/>
      <c r="R5920" s="23"/>
      <c r="S5920" s="23"/>
      <c r="T5920" s="23"/>
      <c r="U5920" s="23"/>
      <c r="V5920" s="23"/>
      <c r="W5920" s="23"/>
      <c r="X5920" s="23"/>
      <c r="Y5920" s="23"/>
      <c r="Z5920" s="23"/>
    </row>
    <row r="5921" spans="1:26" ht="13">
      <c r="A5921" s="562" t="s">
        <v>12774</v>
      </c>
      <c r="B5921" s="563" t="s">
        <v>12775</v>
      </c>
      <c r="C5921" s="564" t="s">
        <v>1255</v>
      </c>
      <c r="D5921" s="565">
        <v>40574</v>
      </c>
      <c r="E5921" s="565">
        <v>40602</v>
      </c>
      <c r="F5921" s="566">
        <v>12727273</v>
      </c>
      <c r="G5921" s="564" t="s">
        <v>1780</v>
      </c>
      <c r="H5921" s="564" t="s">
        <v>1123</v>
      </c>
      <c r="I5921" s="564" t="s">
        <v>7768</v>
      </c>
      <c r="J5921" s="564" t="s">
        <v>1069</v>
      </c>
      <c r="K5921" s="564" t="s">
        <v>1198</v>
      </c>
      <c r="L5921" s="564" t="s">
        <v>1071</v>
      </c>
      <c r="M5921" s="564" t="s">
        <v>1091</v>
      </c>
      <c r="N5921" s="564" t="s">
        <v>1073</v>
      </c>
      <c r="O5921" s="564" t="s">
        <v>241</v>
      </c>
      <c r="P5921" s="23"/>
      <c r="Q5921" s="23"/>
      <c r="R5921" s="23"/>
      <c r="S5921" s="23"/>
      <c r="T5921" s="23"/>
      <c r="U5921" s="23"/>
      <c r="V5921" s="23"/>
      <c r="W5921" s="23"/>
      <c r="X5921" s="23"/>
      <c r="Y5921" s="23"/>
      <c r="Z5921" s="23"/>
    </row>
    <row r="5922" spans="1:26" ht="13">
      <c r="A5922" s="562" t="s">
        <v>12776</v>
      </c>
      <c r="B5922" s="563" t="s">
        <v>12777</v>
      </c>
      <c r="C5922" s="564" t="s">
        <v>1066</v>
      </c>
      <c r="D5922" s="565">
        <v>40617</v>
      </c>
      <c r="E5922" s="565">
        <v>40694</v>
      </c>
      <c r="F5922" s="566">
        <v>2403375000</v>
      </c>
      <c r="G5922" s="564" t="s">
        <v>1067</v>
      </c>
      <c r="H5922" s="564" t="s">
        <v>1856</v>
      </c>
      <c r="I5922" s="564" t="s">
        <v>45</v>
      </c>
      <c r="J5922" s="564" t="s">
        <v>1069</v>
      </c>
      <c r="K5922" s="564" t="s">
        <v>1090</v>
      </c>
      <c r="L5922" s="564" t="s">
        <v>1071</v>
      </c>
      <c r="M5922" s="564" t="s">
        <v>1072</v>
      </c>
      <c r="N5922" s="564" t="s">
        <v>45</v>
      </c>
      <c r="O5922" s="564" t="s">
        <v>1176</v>
      </c>
      <c r="P5922" s="23"/>
      <c r="Q5922" s="23"/>
      <c r="R5922" s="23"/>
      <c r="S5922" s="23"/>
      <c r="T5922" s="23"/>
      <c r="U5922" s="23"/>
      <c r="V5922" s="23"/>
      <c r="W5922" s="23"/>
      <c r="X5922" s="23"/>
      <c r="Y5922" s="23"/>
      <c r="Z5922" s="23"/>
    </row>
    <row r="5923" spans="1:26" ht="13">
      <c r="A5923" s="562" t="s">
        <v>12778</v>
      </c>
      <c r="B5923" s="563" t="s">
        <v>12779</v>
      </c>
      <c r="C5923" s="564" t="s">
        <v>1612</v>
      </c>
      <c r="D5923" s="565">
        <v>40238</v>
      </c>
      <c r="E5923" s="565">
        <v>40968</v>
      </c>
      <c r="F5923" s="566">
        <v>13020000</v>
      </c>
      <c r="G5923" s="564" t="s">
        <v>1604</v>
      </c>
      <c r="H5923" s="564" t="s">
        <v>337</v>
      </c>
      <c r="I5923" s="564" t="s">
        <v>64</v>
      </c>
      <c r="J5923" s="564" t="s">
        <v>1069</v>
      </c>
      <c r="K5923" s="564" t="s">
        <v>1090</v>
      </c>
      <c r="L5923" s="564" t="s">
        <v>1071</v>
      </c>
      <c r="M5923" s="564" t="s">
        <v>1091</v>
      </c>
      <c r="N5923" s="564" t="s">
        <v>64</v>
      </c>
      <c r="O5923" s="564" t="s">
        <v>241</v>
      </c>
      <c r="P5923" s="23"/>
      <c r="Q5923" s="23"/>
      <c r="R5923" s="23"/>
      <c r="S5923" s="23"/>
      <c r="T5923" s="23"/>
      <c r="U5923" s="23"/>
      <c r="V5923" s="23"/>
      <c r="W5923" s="23"/>
      <c r="X5923" s="23"/>
      <c r="Y5923" s="23"/>
      <c r="Z5923" s="23"/>
    </row>
    <row r="5924" spans="1:26" ht="13">
      <c r="A5924" s="562" t="s">
        <v>12780</v>
      </c>
      <c r="B5924" s="563" t="s">
        <v>12781</v>
      </c>
      <c r="C5924" s="564" t="s">
        <v>1612</v>
      </c>
      <c r="D5924" s="565">
        <v>40238</v>
      </c>
      <c r="E5924" s="565">
        <v>40602</v>
      </c>
      <c r="F5924" s="566">
        <v>16800000</v>
      </c>
      <c r="G5924" s="564" t="s">
        <v>2346</v>
      </c>
      <c r="H5924" s="564" t="s">
        <v>337</v>
      </c>
      <c r="I5924" s="564" t="s">
        <v>802</v>
      </c>
      <c r="J5924" s="564" t="s">
        <v>1069</v>
      </c>
      <c r="K5924" s="564" t="s">
        <v>1198</v>
      </c>
      <c r="L5924" s="564" t="s">
        <v>1071</v>
      </c>
      <c r="M5924" s="564" t="s">
        <v>1091</v>
      </c>
      <c r="N5924" s="564" t="s">
        <v>132</v>
      </c>
      <c r="O5924" s="564" t="s">
        <v>241</v>
      </c>
      <c r="P5924" s="23"/>
      <c r="Q5924" s="23"/>
      <c r="R5924" s="23"/>
      <c r="S5924" s="23"/>
      <c r="T5924" s="23"/>
      <c r="U5924" s="23"/>
      <c r="V5924" s="23"/>
      <c r="W5924" s="23"/>
      <c r="X5924" s="23"/>
      <c r="Y5924" s="23"/>
      <c r="Z5924" s="23"/>
    </row>
    <row r="5925" spans="1:26" ht="13">
      <c r="A5925" s="562" t="s">
        <v>12782</v>
      </c>
      <c r="B5925" s="563" t="s">
        <v>12783</v>
      </c>
      <c r="C5925" s="564" t="s">
        <v>1612</v>
      </c>
      <c r="D5925" s="565">
        <v>40210</v>
      </c>
      <c r="E5925" s="565">
        <v>40543</v>
      </c>
      <c r="F5925" s="566">
        <v>9702000</v>
      </c>
      <c r="G5925" s="564" t="s">
        <v>1849</v>
      </c>
      <c r="H5925" s="564" t="s">
        <v>1157</v>
      </c>
      <c r="I5925" s="564" t="s">
        <v>1821</v>
      </c>
      <c r="J5925" s="564" t="s">
        <v>1069</v>
      </c>
      <c r="K5925" s="564" t="s">
        <v>1120</v>
      </c>
      <c r="L5925" s="564" t="s">
        <v>1071</v>
      </c>
      <c r="M5925" s="564" t="s">
        <v>1091</v>
      </c>
      <c r="N5925" s="564" t="s">
        <v>1073</v>
      </c>
      <c r="O5925" s="564" t="s">
        <v>241</v>
      </c>
      <c r="P5925" s="23"/>
      <c r="Q5925" s="23"/>
      <c r="R5925" s="23"/>
      <c r="S5925" s="23"/>
      <c r="T5925" s="23"/>
      <c r="U5925" s="23"/>
      <c r="V5925" s="23"/>
      <c r="W5925" s="23"/>
      <c r="X5925" s="23"/>
      <c r="Y5925" s="23"/>
      <c r="Z5925" s="23"/>
    </row>
    <row r="5926" spans="1:26" ht="13">
      <c r="A5926" s="562" t="s">
        <v>12784</v>
      </c>
      <c r="B5926" s="563" t="s">
        <v>12785</v>
      </c>
      <c r="C5926" s="564" t="s">
        <v>2191</v>
      </c>
      <c r="D5926" s="565">
        <v>40238</v>
      </c>
      <c r="E5926" s="565">
        <v>40602</v>
      </c>
      <c r="F5926" s="566">
        <v>52680000</v>
      </c>
      <c r="G5926" s="564" t="s">
        <v>1912</v>
      </c>
      <c r="H5926" s="564" t="s">
        <v>1123</v>
      </c>
      <c r="I5926" s="564" t="s">
        <v>143</v>
      </c>
      <c r="J5926" s="564" t="s">
        <v>1069</v>
      </c>
      <c r="K5926" s="564" t="s">
        <v>1205</v>
      </c>
      <c r="L5926" s="564" t="s">
        <v>1071</v>
      </c>
      <c r="M5926" s="564" t="s">
        <v>1091</v>
      </c>
      <c r="N5926" s="564" t="s">
        <v>1073</v>
      </c>
      <c r="O5926" s="564" t="s">
        <v>241</v>
      </c>
      <c r="P5926" s="23"/>
      <c r="Q5926" s="23"/>
      <c r="R5926" s="23"/>
      <c r="S5926" s="23"/>
      <c r="T5926" s="23"/>
      <c r="U5926" s="23"/>
      <c r="V5926" s="23"/>
      <c r="W5926" s="23"/>
      <c r="X5926" s="23"/>
      <c r="Y5926" s="23"/>
      <c r="Z5926" s="23"/>
    </row>
    <row r="5927" spans="1:26" ht="13">
      <c r="A5927" s="562" t="s">
        <v>12786</v>
      </c>
      <c r="B5927" s="563" t="s">
        <v>12787</v>
      </c>
      <c r="C5927" s="564" t="s">
        <v>1255</v>
      </c>
      <c r="D5927" s="565">
        <v>40603</v>
      </c>
      <c r="E5927" s="565">
        <v>40967</v>
      </c>
      <c r="F5927" s="566">
        <v>14400000</v>
      </c>
      <c r="G5927" s="564" t="s">
        <v>1097</v>
      </c>
      <c r="H5927" s="564" t="s">
        <v>1123</v>
      </c>
      <c r="I5927" s="564" t="s">
        <v>143</v>
      </c>
      <c r="J5927" s="564" t="s">
        <v>1069</v>
      </c>
      <c r="K5927" s="564" t="s">
        <v>1205</v>
      </c>
      <c r="L5927" s="564" t="s">
        <v>1071</v>
      </c>
      <c r="M5927" s="564" t="s">
        <v>1091</v>
      </c>
      <c r="N5927" s="564" t="s">
        <v>1073</v>
      </c>
      <c r="O5927" s="564" t="s">
        <v>241</v>
      </c>
      <c r="P5927" s="23"/>
      <c r="Q5927" s="23"/>
      <c r="R5927" s="23"/>
      <c r="S5927" s="23"/>
      <c r="T5927" s="23"/>
      <c r="U5927" s="23"/>
      <c r="V5927" s="23"/>
      <c r="W5927" s="23"/>
      <c r="X5927" s="23"/>
      <c r="Y5927" s="23"/>
      <c r="Z5927" s="23"/>
    </row>
    <row r="5928" spans="1:26" ht="13">
      <c r="A5928" s="562" t="s">
        <v>12788</v>
      </c>
      <c r="B5928" s="563" t="s">
        <v>12789</v>
      </c>
      <c r="C5928" s="564" t="s">
        <v>1612</v>
      </c>
      <c r="D5928" s="565">
        <v>40210</v>
      </c>
      <c r="E5928" s="565">
        <v>40574</v>
      </c>
      <c r="F5928" s="566">
        <v>149000000</v>
      </c>
      <c r="G5928" s="564" t="s">
        <v>2346</v>
      </c>
      <c r="H5928" s="564" t="s">
        <v>1856</v>
      </c>
      <c r="I5928" s="564" t="s">
        <v>9432</v>
      </c>
      <c r="J5928" s="564" t="s">
        <v>1069</v>
      </c>
      <c r="K5928" s="564" t="s">
        <v>1090</v>
      </c>
      <c r="L5928" s="564" t="s">
        <v>1390</v>
      </c>
      <c r="M5928" s="564" t="s">
        <v>1390</v>
      </c>
      <c r="N5928" s="564" t="s">
        <v>45</v>
      </c>
      <c r="O5928" s="564" t="s">
        <v>38</v>
      </c>
      <c r="P5928" s="23"/>
      <c r="Q5928" s="23"/>
      <c r="R5928" s="23"/>
      <c r="S5928" s="23"/>
      <c r="T5928" s="23"/>
      <c r="U5928" s="23"/>
      <c r="V5928" s="23"/>
      <c r="W5928" s="23"/>
      <c r="X5928" s="23"/>
      <c r="Y5928" s="23"/>
      <c r="Z5928" s="23"/>
    </row>
    <row r="5929" spans="1:26" ht="13">
      <c r="A5929" s="562" t="s">
        <v>12790</v>
      </c>
      <c r="B5929" s="563" t="s">
        <v>12791</v>
      </c>
      <c r="C5929" s="564" t="s">
        <v>2191</v>
      </c>
      <c r="D5929" s="565">
        <v>40205</v>
      </c>
      <c r="E5929" s="565">
        <v>41639</v>
      </c>
      <c r="F5929" s="566">
        <v>15000000</v>
      </c>
      <c r="G5929" s="564" t="s">
        <v>1912</v>
      </c>
      <c r="H5929" s="564" t="s">
        <v>1123</v>
      </c>
      <c r="I5929" s="564" t="s">
        <v>12675</v>
      </c>
      <c r="J5929" s="564" t="s">
        <v>1069</v>
      </c>
      <c r="K5929" s="564" t="s">
        <v>2430</v>
      </c>
      <c r="L5929" s="564" t="s">
        <v>1071</v>
      </c>
      <c r="M5929" s="564" t="s">
        <v>1124</v>
      </c>
      <c r="N5929" s="564" t="s">
        <v>1082</v>
      </c>
      <c r="O5929" s="564" t="s">
        <v>38</v>
      </c>
      <c r="P5929" s="23"/>
      <c r="Q5929" s="23"/>
      <c r="R5929" s="23"/>
      <c r="S5929" s="23"/>
      <c r="T5929" s="23"/>
      <c r="U5929" s="23"/>
      <c r="V5929" s="23"/>
      <c r="W5929" s="23"/>
      <c r="X5929" s="23"/>
      <c r="Y5929" s="23"/>
      <c r="Z5929" s="23"/>
    </row>
    <row r="5930" spans="1:26" ht="13">
      <c r="A5930" s="562" t="s">
        <v>12792</v>
      </c>
      <c r="B5930" s="563" t="s">
        <v>12793</v>
      </c>
      <c r="C5930" s="564" t="s">
        <v>2191</v>
      </c>
      <c r="D5930" s="565">
        <v>40197</v>
      </c>
      <c r="E5930" s="565">
        <v>40237</v>
      </c>
      <c r="F5930" s="566">
        <v>5724545</v>
      </c>
      <c r="G5930" s="564" t="s">
        <v>1912</v>
      </c>
      <c r="H5930" s="564" t="s">
        <v>1123</v>
      </c>
      <c r="I5930" s="564" t="s">
        <v>7768</v>
      </c>
      <c r="J5930" s="564" t="s">
        <v>1069</v>
      </c>
      <c r="K5930" s="564" t="s">
        <v>1198</v>
      </c>
      <c r="L5930" s="564" t="s">
        <v>1071</v>
      </c>
      <c r="M5930" s="564" t="s">
        <v>1124</v>
      </c>
      <c r="N5930" s="564" t="s">
        <v>1073</v>
      </c>
      <c r="O5930" s="564" t="s">
        <v>38</v>
      </c>
      <c r="P5930" s="23"/>
      <c r="Q5930" s="23"/>
      <c r="R5930" s="23"/>
      <c r="S5930" s="23"/>
      <c r="T5930" s="23"/>
      <c r="U5930" s="23"/>
      <c r="V5930" s="23"/>
      <c r="W5930" s="23"/>
      <c r="X5930" s="23"/>
      <c r="Y5930" s="23"/>
      <c r="Z5930" s="23"/>
    </row>
    <row r="5931" spans="1:26" ht="13">
      <c r="A5931" s="562" t="s">
        <v>12794</v>
      </c>
      <c r="B5931" s="563" t="s">
        <v>12795</v>
      </c>
      <c r="C5931" s="564" t="s">
        <v>1255</v>
      </c>
      <c r="D5931" s="565">
        <v>40546</v>
      </c>
      <c r="E5931" s="565">
        <v>40550</v>
      </c>
      <c r="F5931" s="566">
        <v>196463190</v>
      </c>
      <c r="G5931" s="564" t="s">
        <v>1345</v>
      </c>
      <c r="H5931" s="564" t="s">
        <v>1636</v>
      </c>
      <c r="I5931" s="564" t="s">
        <v>12796</v>
      </c>
      <c r="J5931" s="564" t="s">
        <v>1069</v>
      </c>
      <c r="K5931" s="564" t="s">
        <v>1070</v>
      </c>
      <c r="L5931" s="564" t="s">
        <v>1071</v>
      </c>
      <c r="M5931" s="564" t="s">
        <v>1091</v>
      </c>
      <c r="N5931" s="564" t="s">
        <v>2439</v>
      </c>
      <c r="O5931" s="564" t="s">
        <v>241</v>
      </c>
      <c r="P5931" s="23"/>
      <c r="Q5931" s="23"/>
      <c r="R5931" s="23"/>
      <c r="S5931" s="23"/>
      <c r="T5931" s="23"/>
      <c r="U5931" s="23"/>
      <c r="V5931" s="23"/>
      <c r="W5931" s="23"/>
      <c r="X5931" s="23"/>
      <c r="Y5931" s="23"/>
      <c r="Z5931" s="23"/>
    </row>
    <row r="5932" spans="1:26" ht="13">
      <c r="A5932" s="562" t="s">
        <v>12797</v>
      </c>
      <c r="B5932" s="563" t="s">
        <v>12798</v>
      </c>
      <c r="C5932" s="564" t="s">
        <v>2484</v>
      </c>
      <c r="D5932" s="565">
        <v>40163</v>
      </c>
      <c r="E5932" s="565">
        <v>40193</v>
      </c>
      <c r="F5932" s="566">
        <v>22727273</v>
      </c>
      <c r="G5932" s="564" t="s">
        <v>12548</v>
      </c>
      <c r="H5932" s="564" t="s">
        <v>2546</v>
      </c>
      <c r="I5932" s="564" t="s">
        <v>12799</v>
      </c>
      <c r="J5932" s="564" t="s">
        <v>1069</v>
      </c>
      <c r="K5932" s="564" t="s">
        <v>2466</v>
      </c>
      <c r="L5932" s="564" t="s">
        <v>2467</v>
      </c>
      <c r="M5932" s="564" t="s">
        <v>2466</v>
      </c>
      <c r="N5932" s="564" t="s">
        <v>1082</v>
      </c>
      <c r="O5932" s="564" t="s">
        <v>4798</v>
      </c>
      <c r="P5932" s="23"/>
      <c r="Q5932" s="23"/>
      <c r="R5932" s="23"/>
      <c r="S5932" s="23"/>
      <c r="T5932" s="23"/>
      <c r="U5932" s="23"/>
      <c r="V5932" s="23"/>
      <c r="W5932" s="23"/>
      <c r="X5932" s="23"/>
      <c r="Y5932" s="23"/>
      <c r="Z5932" s="23"/>
    </row>
    <row r="5933" spans="1:26" ht="13">
      <c r="A5933" s="562" t="s">
        <v>12800</v>
      </c>
      <c r="B5933" s="563" t="s">
        <v>12801</v>
      </c>
      <c r="C5933" s="564" t="s">
        <v>2484</v>
      </c>
      <c r="D5933" s="565">
        <v>40101</v>
      </c>
      <c r="E5933" s="565">
        <v>40200</v>
      </c>
      <c r="F5933" s="566">
        <v>240375091</v>
      </c>
      <c r="G5933" s="564" t="s">
        <v>12293</v>
      </c>
      <c r="H5933" s="564" t="s">
        <v>2541</v>
      </c>
      <c r="I5933" s="564" t="s">
        <v>2542</v>
      </c>
      <c r="J5933" s="564" t="s">
        <v>1069</v>
      </c>
      <c r="K5933" s="564" t="s">
        <v>2466</v>
      </c>
      <c r="L5933" s="564" t="s">
        <v>2467</v>
      </c>
      <c r="M5933" s="564" t="s">
        <v>2466</v>
      </c>
      <c r="N5933" s="564" t="s">
        <v>2543</v>
      </c>
      <c r="O5933" s="564" t="s">
        <v>12077</v>
      </c>
      <c r="P5933" s="23"/>
      <c r="Q5933" s="23"/>
      <c r="R5933" s="23"/>
      <c r="S5933" s="23"/>
      <c r="T5933" s="23"/>
      <c r="U5933" s="23"/>
      <c r="V5933" s="23"/>
      <c r="W5933" s="23"/>
      <c r="X5933" s="23"/>
      <c r="Y5933" s="23"/>
      <c r="Z5933" s="23"/>
    </row>
    <row r="5934" spans="1:26" ht="13">
      <c r="A5934" s="562" t="s">
        <v>12802</v>
      </c>
      <c r="B5934" s="563" t="s">
        <v>12803</v>
      </c>
      <c r="C5934" s="564" t="s">
        <v>2484</v>
      </c>
      <c r="D5934" s="565">
        <v>40099</v>
      </c>
      <c r="E5934" s="565">
        <v>40421</v>
      </c>
      <c r="F5934" s="566">
        <v>72727273</v>
      </c>
      <c r="G5934" s="564" t="s">
        <v>2434</v>
      </c>
      <c r="H5934" s="564" t="s">
        <v>12134</v>
      </c>
      <c r="I5934" s="564" t="s">
        <v>12804</v>
      </c>
      <c r="J5934" s="564" t="s">
        <v>1069</v>
      </c>
      <c r="K5934" s="564" t="s">
        <v>2466</v>
      </c>
      <c r="L5934" s="564" t="s">
        <v>2467</v>
      </c>
      <c r="M5934" s="564" t="s">
        <v>2466</v>
      </c>
      <c r="N5934" s="564" t="s">
        <v>2325</v>
      </c>
      <c r="O5934" s="564" t="s">
        <v>12077</v>
      </c>
      <c r="P5934" s="23"/>
      <c r="Q5934" s="23"/>
      <c r="R5934" s="23"/>
      <c r="S5934" s="23"/>
      <c r="T5934" s="23"/>
      <c r="U5934" s="23"/>
      <c r="V5934" s="23"/>
      <c r="W5934" s="23"/>
      <c r="X5934" s="23"/>
      <c r="Y5934" s="23"/>
      <c r="Z5934" s="23"/>
    </row>
    <row r="5935" spans="1:26" ht="13">
      <c r="A5935" s="562" t="s">
        <v>12805</v>
      </c>
      <c r="B5935" s="563" t="s">
        <v>12806</v>
      </c>
      <c r="C5935" s="564" t="s">
        <v>2484</v>
      </c>
      <c r="D5935" s="565">
        <v>40081</v>
      </c>
      <c r="E5935" s="565">
        <v>40088</v>
      </c>
      <c r="F5935" s="566">
        <v>4000000</v>
      </c>
      <c r="G5935" s="564" t="s">
        <v>12084</v>
      </c>
      <c r="H5935" s="564" t="s">
        <v>2546</v>
      </c>
      <c r="I5935" s="564" t="s">
        <v>12807</v>
      </c>
      <c r="J5935" s="564" t="s">
        <v>1069</v>
      </c>
      <c r="K5935" s="564" t="s">
        <v>2466</v>
      </c>
      <c r="L5935" s="564" t="s">
        <v>2467</v>
      </c>
      <c r="M5935" s="564" t="s">
        <v>2466</v>
      </c>
      <c r="N5935" s="564" t="s">
        <v>1082</v>
      </c>
      <c r="O5935" s="564" t="s">
        <v>4798</v>
      </c>
      <c r="P5935" s="23"/>
      <c r="Q5935" s="23"/>
      <c r="R5935" s="23"/>
      <c r="S5935" s="23"/>
      <c r="T5935" s="23"/>
      <c r="U5935" s="23"/>
      <c r="V5935" s="23"/>
      <c r="W5935" s="23"/>
      <c r="X5935" s="23"/>
      <c r="Y5935" s="23"/>
      <c r="Z5935" s="23"/>
    </row>
    <row r="5936" spans="1:26" ht="13">
      <c r="A5936" s="562" t="s">
        <v>12808</v>
      </c>
      <c r="B5936" s="563" t="s">
        <v>12809</v>
      </c>
      <c r="C5936" s="564" t="s">
        <v>2484</v>
      </c>
      <c r="D5936" s="565">
        <v>40057</v>
      </c>
      <c r="E5936" s="565">
        <v>40178</v>
      </c>
      <c r="F5936" s="567"/>
      <c r="G5936" s="564" t="s">
        <v>2485</v>
      </c>
      <c r="H5936" s="564" t="s">
        <v>2485</v>
      </c>
      <c r="I5936" s="564" t="s">
        <v>2311</v>
      </c>
      <c r="J5936" s="564" t="s">
        <v>1069</v>
      </c>
      <c r="K5936" s="564" t="s">
        <v>2466</v>
      </c>
      <c r="L5936" s="564" t="s">
        <v>2467</v>
      </c>
      <c r="M5936" s="564" t="s">
        <v>2466</v>
      </c>
      <c r="N5936" s="564" t="s">
        <v>1073</v>
      </c>
      <c r="O5936" s="564" t="s">
        <v>12077</v>
      </c>
      <c r="P5936" s="23"/>
      <c r="Q5936" s="23"/>
      <c r="R5936" s="23"/>
      <c r="S5936" s="23"/>
      <c r="T5936" s="23"/>
      <c r="U5936" s="23"/>
      <c r="V5936" s="23"/>
      <c r="W5936" s="23"/>
      <c r="X5936" s="23"/>
      <c r="Y5936" s="23"/>
      <c r="Z5936" s="23"/>
    </row>
    <row r="5937" spans="1:26" ht="13">
      <c r="A5937" s="562" t="s">
        <v>12810</v>
      </c>
      <c r="B5937" s="563" t="s">
        <v>12811</v>
      </c>
      <c r="C5937" s="564" t="s">
        <v>2484</v>
      </c>
      <c r="D5937" s="565">
        <v>40072</v>
      </c>
      <c r="E5937" s="565">
        <v>40086</v>
      </c>
      <c r="F5937" s="566">
        <v>48000000</v>
      </c>
      <c r="G5937" s="564" t="s">
        <v>12548</v>
      </c>
      <c r="H5937" s="564" t="s">
        <v>2546</v>
      </c>
      <c r="I5937" s="564" t="s">
        <v>12812</v>
      </c>
      <c r="J5937" s="564" t="s">
        <v>1069</v>
      </c>
      <c r="K5937" s="564" t="s">
        <v>2466</v>
      </c>
      <c r="L5937" s="564" t="s">
        <v>2467</v>
      </c>
      <c r="M5937" s="564" t="s">
        <v>2466</v>
      </c>
      <c r="N5937" s="564" t="s">
        <v>1082</v>
      </c>
      <c r="O5937" s="564" t="s">
        <v>4798</v>
      </c>
      <c r="P5937" s="23"/>
      <c r="Q5937" s="23"/>
      <c r="R5937" s="23"/>
      <c r="S5937" s="23"/>
      <c r="T5937" s="23"/>
      <c r="U5937" s="23"/>
      <c r="V5937" s="23"/>
      <c r="W5937" s="23"/>
      <c r="X5937" s="23"/>
      <c r="Y5937" s="23"/>
      <c r="Z5937" s="23"/>
    </row>
    <row r="5938" spans="1:26" ht="13">
      <c r="A5938" s="562" t="s">
        <v>12813</v>
      </c>
      <c r="B5938" s="563" t="s">
        <v>12814</v>
      </c>
      <c r="C5938" s="564" t="s">
        <v>2484</v>
      </c>
      <c r="D5938" s="565">
        <v>40063</v>
      </c>
      <c r="E5938" s="565">
        <v>40086</v>
      </c>
      <c r="F5938" s="566">
        <v>20000000</v>
      </c>
      <c r="G5938" s="564" t="s">
        <v>2464</v>
      </c>
      <c r="H5938" s="564" t="s">
        <v>2541</v>
      </c>
      <c r="I5938" s="564" t="s">
        <v>12815</v>
      </c>
      <c r="J5938" s="564" t="s">
        <v>1069</v>
      </c>
      <c r="K5938" s="564" t="s">
        <v>2466</v>
      </c>
      <c r="L5938" s="564" t="s">
        <v>2467</v>
      </c>
      <c r="M5938" s="564" t="s">
        <v>2466</v>
      </c>
      <c r="N5938" s="564" t="s">
        <v>1082</v>
      </c>
      <c r="O5938" s="564" t="s">
        <v>12077</v>
      </c>
      <c r="P5938" s="23"/>
      <c r="Q5938" s="23"/>
      <c r="R5938" s="23"/>
      <c r="S5938" s="23"/>
      <c r="T5938" s="23"/>
      <c r="U5938" s="23"/>
      <c r="V5938" s="23"/>
      <c r="W5938" s="23"/>
      <c r="X5938" s="23"/>
      <c r="Y5938" s="23"/>
      <c r="Z5938" s="23"/>
    </row>
    <row r="5939" spans="1:26" ht="13">
      <c r="A5939" s="562" t="s">
        <v>12816</v>
      </c>
      <c r="B5939" s="563" t="s">
        <v>12817</v>
      </c>
      <c r="C5939" s="564" t="s">
        <v>2484</v>
      </c>
      <c r="D5939" s="565">
        <v>40057</v>
      </c>
      <c r="E5939" s="565">
        <v>40410</v>
      </c>
      <c r="F5939" s="566">
        <v>20500000</v>
      </c>
      <c r="G5939" s="564" t="s">
        <v>2518</v>
      </c>
      <c r="H5939" s="564" t="s">
        <v>12096</v>
      </c>
      <c r="I5939" s="564" t="s">
        <v>12818</v>
      </c>
      <c r="J5939" s="564" t="s">
        <v>1069</v>
      </c>
      <c r="K5939" s="564" t="s">
        <v>2466</v>
      </c>
      <c r="L5939" s="564" t="s">
        <v>2467</v>
      </c>
      <c r="M5939" s="564" t="s">
        <v>2466</v>
      </c>
      <c r="N5939" s="564" t="s">
        <v>1082</v>
      </c>
      <c r="O5939" s="564" t="s">
        <v>12077</v>
      </c>
      <c r="P5939" s="23"/>
      <c r="Q5939" s="23"/>
      <c r="R5939" s="23"/>
      <c r="S5939" s="23"/>
      <c r="T5939" s="23"/>
      <c r="U5939" s="23"/>
      <c r="V5939" s="23"/>
      <c r="W5939" s="23"/>
      <c r="X5939" s="23"/>
      <c r="Y5939" s="23"/>
      <c r="Z5939" s="23"/>
    </row>
    <row r="5940" spans="1:26" ht="13">
      <c r="A5940" s="562" t="s">
        <v>12819</v>
      </c>
      <c r="B5940" s="563" t="s">
        <v>12820</v>
      </c>
      <c r="C5940" s="564" t="s">
        <v>2484</v>
      </c>
      <c r="D5940" s="565">
        <v>40044</v>
      </c>
      <c r="E5940" s="565">
        <v>40056</v>
      </c>
      <c r="F5940" s="566">
        <v>19000000</v>
      </c>
      <c r="G5940" s="564" t="s">
        <v>12084</v>
      </c>
      <c r="H5940" s="564" t="s">
        <v>2459</v>
      </c>
      <c r="I5940" s="564" t="s">
        <v>12322</v>
      </c>
      <c r="J5940" s="564" t="s">
        <v>1069</v>
      </c>
      <c r="K5940" s="564" t="s">
        <v>2466</v>
      </c>
      <c r="L5940" s="564" t="s">
        <v>2467</v>
      </c>
      <c r="M5940" s="564" t="s">
        <v>2466</v>
      </c>
      <c r="N5940" s="564" t="s">
        <v>1368</v>
      </c>
      <c r="O5940" s="564" t="s">
        <v>12077</v>
      </c>
      <c r="P5940" s="23"/>
      <c r="Q5940" s="23"/>
      <c r="R5940" s="23"/>
      <c r="S5940" s="23"/>
      <c r="T5940" s="23"/>
      <c r="U5940" s="23"/>
      <c r="V5940" s="23"/>
      <c r="W5940" s="23"/>
      <c r="X5940" s="23"/>
      <c r="Y5940" s="23"/>
      <c r="Z5940" s="23"/>
    </row>
    <row r="5941" spans="1:26" ht="13">
      <c r="A5941" s="562" t="s">
        <v>12821</v>
      </c>
      <c r="B5941" s="563" t="s">
        <v>12822</v>
      </c>
      <c r="C5941" s="564" t="s">
        <v>2484</v>
      </c>
      <c r="D5941" s="565">
        <v>40037</v>
      </c>
      <c r="E5941" s="565">
        <v>40178</v>
      </c>
      <c r="F5941" s="566">
        <v>11363636</v>
      </c>
      <c r="G5941" s="564" t="s">
        <v>12293</v>
      </c>
      <c r="H5941" s="564" t="s">
        <v>12365</v>
      </c>
      <c r="I5941" s="564" t="s">
        <v>12823</v>
      </c>
      <c r="J5941" s="564" t="s">
        <v>1069</v>
      </c>
      <c r="K5941" s="564" t="s">
        <v>2466</v>
      </c>
      <c r="L5941" s="564" t="s">
        <v>2467</v>
      </c>
      <c r="M5941" s="564" t="s">
        <v>2466</v>
      </c>
      <c r="N5941" s="564" t="s">
        <v>1082</v>
      </c>
      <c r="O5941" s="564" t="s">
        <v>12077</v>
      </c>
      <c r="P5941" s="23"/>
      <c r="Q5941" s="23"/>
      <c r="R5941" s="23"/>
      <c r="S5941" s="23"/>
      <c r="T5941" s="23"/>
      <c r="U5941" s="23"/>
      <c r="V5941" s="23"/>
      <c r="W5941" s="23"/>
      <c r="X5941" s="23"/>
      <c r="Y5941" s="23"/>
      <c r="Z5941" s="23"/>
    </row>
    <row r="5942" spans="1:26" ht="13">
      <c r="A5942" s="562" t="s">
        <v>12824</v>
      </c>
      <c r="B5942" s="563" t="s">
        <v>12825</v>
      </c>
      <c r="C5942" s="564" t="s">
        <v>2484</v>
      </c>
      <c r="D5942" s="565">
        <v>40021</v>
      </c>
      <c r="E5942" s="565">
        <v>40056</v>
      </c>
      <c r="F5942" s="566">
        <v>9090910</v>
      </c>
      <c r="G5942" s="564" t="s">
        <v>12293</v>
      </c>
      <c r="H5942" s="564" t="s">
        <v>2541</v>
      </c>
      <c r="I5942" s="564" t="s">
        <v>12150</v>
      </c>
      <c r="J5942" s="564" t="s">
        <v>1069</v>
      </c>
      <c r="K5942" s="564" t="s">
        <v>2466</v>
      </c>
      <c r="L5942" s="564" t="s">
        <v>2467</v>
      </c>
      <c r="M5942" s="564" t="s">
        <v>2466</v>
      </c>
      <c r="N5942" s="564" t="s">
        <v>1368</v>
      </c>
      <c r="O5942" s="564" t="s">
        <v>12077</v>
      </c>
      <c r="P5942" s="23"/>
      <c r="Q5942" s="23"/>
      <c r="R5942" s="23"/>
      <c r="S5942" s="23"/>
      <c r="T5942" s="23"/>
      <c r="U5942" s="23"/>
      <c r="V5942" s="23"/>
      <c r="W5942" s="23"/>
      <c r="X5942" s="23"/>
      <c r="Y5942" s="23"/>
      <c r="Z5942" s="23"/>
    </row>
    <row r="5943" spans="1:26" ht="13">
      <c r="A5943" s="562" t="s">
        <v>12826</v>
      </c>
      <c r="B5943" s="563" t="s">
        <v>12827</v>
      </c>
      <c r="C5943" s="564" t="s">
        <v>2484</v>
      </c>
      <c r="D5943" s="565">
        <v>40035</v>
      </c>
      <c r="E5943" s="565">
        <v>40060</v>
      </c>
      <c r="F5943" s="567"/>
      <c r="G5943" s="564" t="s">
        <v>12084</v>
      </c>
      <c r="H5943" s="564" t="s">
        <v>12125</v>
      </c>
      <c r="I5943" s="564" t="s">
        <v>2438</v>
      </c>
      <c r="J5943" s="564" t="s">
        <v>1069</v>
      </c>
      <c r="K5943" s="564" t="s">
        <v>2466</v>
      </c>
      <c r="L5943" s="564" t="s">
        <v>2467</v>
      </c>
      <c r="M5943" s="564" t="s">
        <v>2466</v>
      </c>
      <c r="N5943" s="564" t="s">
        <v>2439</v>
      </c>
      <c r="O5943" s="564" t="s">
        <v>12077</v>
      </c>
      <c r="P5943" s="23"/>
      <c r="Q5943" s="23"/>
      <c r="R5943" s="23"/>
      <c r="S5943" s="23"/>
      <c r="T5943" s="23"/>
      <c r="U5943" s="23"/>
      <c r="V5943" s="23"/>
      <c r="W5943" s="23"/>
      <c r="X5943" s="23"/>
      <c r="Y5943" s="23"/>
      <c r="Z5943" s="23"/>
    </row>
    <row r="5944" spans="1:26" ht="13">
      <c r="A5944" s="562" t="s">
        <v>12828</v>
      </c>
      <c r="B5944" s="563" t="s">
        <v>12829</v>
      </c>
      <c r="C5944" s="564" t="s">
        <v>2484</v>
      </c>
      <c r="D5944" s="565">
        <v>39999</v>
      </c>
      <c r="E5944" s="565">
        <v>40024</v>
      </c>
      <c r="F5944" s="566">
        <v>3045455</v>
      </c>
      <c r="G5944" s="564" t="s">
        <v>12084</v>
      </c>
      <c r="H5944" s="564" t="s">
        <v>2546</v>
      </c>
      <c r="I5944" s="564" t="s">
        <v>12105</v>
      </c>
      <c r="J5944" s="564" t="s">
        <v>1069</v>
      </c>
      <c r="K5944" s="564" t="s">
        <v>2466</v>
      </c>
      <c r="L5944" s="564" t="s">
        <v>2467</v>
      </c>
      <c r="M5944" s="564" t="s">
        <v>2466</v>
      </c>
      <c r="N5944" s="564" t="s">
        <v>1082</v>
      </c>
      <c r="O5944" s="564" t="s">
        <v>12077</v>
      </c>
      <c r="P5944" s="23"/>
      <c r="Q5944" s="23"/>
      <c r="R5944" s="23"/>
      <c r="S5944" s="23"/>
      <c r="T5944" s="23"/>
      <c r="U5944" s="23"/>
      <c r="V5944" s="23"/>
      <c r="W5944" s="23"/>
      <c r="X5944" s="23"/>
      <c r="Y5944" s="23"/>
      <c r="Z5944" s="23"/>
    </row>
    <row r="5945" spans="1:26" ht="13">
      <c r="A5945" s="562" t="s">
        <v>12830</v>
      </c>
      <c r="B5945" s="563" t="s">
        <v>12831</v>
      </c>
      <c r="C5945" s="564" t="s">
        <v>2484</v>
      </c>
      <c r="D5945" s="565">
        <v>40000</v>
      </c>
      <c r="E5945" s="565">
        <v>40030</v>
      </c>
      <c r="F5945" s="566">
        <v>90181818</v>
      </c>
      <c r="G5945" s="564" t="s">
        <v>12832</v>
      </c>
      <c r="H5945" s="564" t="s">
        <v>2459</v>
      </c>
      <c r="I5945" s="564" t="s">
        <v>12322</v>
      </c>
      <c r="J5945" s="564" t="s">
        <v>1069</v>
      </c>
      <c r="K5945" s="564" t="s">
        <v>2466</v>
      </c>
      <c r="L5945" s="564" t="s">
        <v>2467</v>
      </c>
      <c r="M5945" s="564" t="s">
        <v>2466</v>
      </c>
      <c r="N5945" s="564" t="s">
        <v>1368</v>
      </c>
      <c r="O5945" s="564" t="s">
        <v>4798</v>
      </c>
      <c r="P5945" s="23"/>
      <c r="Q5945" s="23"/>
      <c r="R5945" s="23"/>
      <c r="S5945" s="23"/>
      <c r="T5945" s="23"/>
      <c r="U5945" s="23"/>
      <c r="V5945" s="23"/>
      <c r="W5945" s="23"/>
      <c r="X5945" s="23"/>
      <c r="Y5945" s="23"/>
      <c r="Z5945" s="23"/>
    </row>
    <row r="5946" spans="1:26" ht="13">
      <c r="A5946" s="562" t="s">
        <v>12833</v>
      </c>
      <c r="B5946" s="563" t="s">
        <v>12834</v>
      </c>
      <c r="C5946" s="564" t="s">
        <v>2484</v>
      </c>
      <c r="D5946" s="565">
        <v>39995</v>
      </c>
      <c r="E5946" s="565">
        <v>40178</v>
      </c>
      <c r="F5946" s="566">
        <v>10963636</v>
      </c>
      <c r="G5946" s="564" t="s">
        <v>12129</v>
      </c>
      <c r="H5946" s="564" t="s">
        <v>2459</v>
      </c>
      <c r="I5946" s="564" t="s">
        <v>12141</v>
      </c>
      <c r="J5946" s="564" t="s">
        <v>1069</v>
      </c>
      <c r="K5946" s="564" t="s">
        <v>2466</v>
      </c>
      <c r="L5946" s="564" t="s">
        <v>2467</v>
      </c>
      <c r="M5946" s="564" t="s">
        <v>2466</v>
      </c>
      <c r="N5946" s="564" t="s">
        <v>2543</v>
      </c>
      <c r="O5946" s="564" t="s">
        <v>12077</v>
      </c>
      <c r="P5946" s="23"/>
      <c r="Q5946" s="23"/>
      <c r="R5946" s="23"/>
      <c r="S5946" s="23"/>
      <c r="T5946" s="23"/>
      <c r="U5946" s="23"/>
      <c r="V5946" s="23"/>
      <c r="W5946" s="23"/>
      <c r="X5946" s="23"/>
      <c r="Y5946" s="23"/>
      <c r="Z5946" s="23"/>
    </row>
    <row r="5947" spans="1:26" ht="13">
      <c r="A5947" s="562" t="s">
        <v>12835</v>
      </c>
      <c r="B5947" s="563" t="s">
        <v>12836</v>
      </c>
      <c r="C5947" s="564" t="s">
        <v>2484</v>
      </c>
      <c r="D5947" s="565">
        <v>39952</v>
      </c>
      <c r="E5947" s="565">
        <v>39962</v>
      </c>
      <c r="F5947" s="566">
        <v>18181818</v>
      </c>
      <c r="G5947" s="564" t="s">
        <v>2464</v>
      </c>
      <c r="H5947" s="564" t="s">
        <v>2541</v>
      </c>
      <c r="I5947" s="564" t="s">
        <v>12837</v>
      </c>
      <c r="J5947" s="564" t="s">
        <v>1069</v>
      </c>
      <c r="K5947" s="564" t="s">
        <v>2466</v>
      </c>
      <c r="L5947" s="564" t="s">
        <v>2467</v>
      </c>
      <c r="M5947" s="564" t="s">
        <v>2466</v>
      </c>
      <c r="N5947" s="564" t="s">
        <v>1082</v>
      </c>
      <c r="O5947" s="564" t="s">
        <v>12077</v>
      </c>
      <c r="P5947" s="23"/>
      <c r="Q5947" s="23"/>
      <c r="R5947" s="23"/>
      <c r="S5947" s="23"/>
      <c r="T5947" s="23"/>
      <c r="U5947" s="23"/>
      <c r="V5947" s="23"/>
      <c r="W5947" s="23"/>
      <c r="X5947" s="23"/>
      <c r="Y5947" s="23"/>
      <c r="Z5947" s="23"/>
    </row>
    <row r="5948" spans="1:26" ht="13">
      <c r="A5948" s="562" t="s">
        <v>12838</v>
      </c>
      <c r="B5948" s="563" t="s">
        <v>12839</v>
      </c>
      <c r="C5948" s="564" t="s">
        <v>2484</v>
      </c>
      <c r="D5948" s="565">
        <v>39944</v>
      </c>
      <c r="E5948" s="565">
        <v>39958</v>
      </c>
      <c r="F5948" s="566">
        <v>50000000</v>
      </c>
      <c r="G5948" s="564" t="s">
        <v>2464</v>
      </c>
      <c r="H5948" s="564" t="s">
        <v>2541</v>
      </c>
      <c r="I5948" s="564" t="s">
        <v>12840</v>
      </c>
      <c r="J5948" s="564" t="s">
        <v>1069</v>
      </c>
      <c r="K5948" s="564" t="s">
        <v>2466</v>
      </c>
      <c r="L5948" s="564" t="s">
        <v>2467</v>
      </c>
      <c r="M5948" s="564" t="s">
        <v>2466</v>
      </c>
      <c r="N5948" s="564" t="s">
        <v>1082</v>
      </c>
      <c r="O5948" s="564" t="s">
        <v>12077</v>
      </c>
      <c r="P5948" s="23"/>
      <c r="Q5948" s="23"/>
      <c r="R5948" s="23"/>
      <c r="S5948" s="23"/>
      <c r="T5948" s="23"/>
      <c r="U5948" s="23"/>
      <c r="V5948" s="23"/>
      <c r="W5948" s="23"/>
      <c r="X5948" s="23"/>
      <c r="Y5948" s="23"/>
      <c r="Z5948" s="23"/>
    </row>
    <row r="5949" spans="1:26" ht="13">
      <c r="A5949" s="562" t="s">
        <v>12841</v>
      </c>
      <c r="B5949" s="563" t="s">
        <v>12842</v>
      </c>
      <c r="C5949" s="564" t="s">
        <v>2484</v>
      </c>
      <c r="D5949" s="565">
        <v>39941</v>
      </c>
      <c r="E5949" s="565">
        <v>39983</v>
      </c>
      <c r="F5949" s="566">
        <v>22272727</v>
      </c>
      <c r="G5949" s="564" t="s">
        <v>12548</v>
      </c>
      <c r="H5949" s="564" t="s">
        <v>12548</v>
      </c>
      <c r="I5949" s="564" t="s">
        <v>2574</v>
      </c>
      <c r="J5949" s="564" t="s">
        <v>1069</v>
      </c>
      <c r="K5949" s="564" t="s">
        <v>2466</v>
      </c>
      <c r="L5949" s="564" t="s">
        <v>2467</v>
      </c>
      <c r="M5949" s="564" t="s">
        <v>2466</v>
      </c>
      <c r="N5949" s="564" t="s">
        <v>1082</v>
      </c>
      <c r="O5949" s="564" t="s">
        <v>12077</v>
      </c>
      <c r="P5949" s="23"/>
      <c r="Q5949" s="23"/>
      <c r="R5949" s="23"/>
      <c r="S5949" s="23"/>
      <c r="T5949" s="23"/>
      <c r="U5949" s="23"/>
      <c r="V5949" s="23"/>
      <c r="W5949" s="23"/>
      <c r="X5949" s="23"/>
      <c r="Y5949" s="23"/>
      <c r="Z5949" s="23"/>
    </row>
    <row r="5950" spans="1:26" ht="13">
      <c r="A5950" s="562" t="s">
        <v>12843</v>
      </c>
      <c r="B5950" s="563" t="s">
        <v>12844</v>
      </c>
      <c r="C5950" s="564" t="s">
        <v>2484</v>
      </c>
      <c r="D5950" s="565">
        <v>39939</v>
      </c>
      <c r="E5950" s="565">
        <v>40132</v>
      </c>
      <c r="F5950" s="566">
        <v>134818182</v>
      </c>
      <c r="G5950" s="564" t="s">
        <v>12586</v>
      </c>
      <c r="H5950" s="564" t="s">
        <v>12096</v>
      </c>
      <c r="I5950" s="564" t="s">
        <v>12282</v>
      </c>
      <c r="J5950" s="564" t="s">
        <v>1069</v>
      </c>
      <c r="K5950" s="564" t="s">
        <v>2466</v>
      </c>
      <c r="L5950" s="564" t="s">
        <v>2467</v>
      </c>
      <c r="M5950" s="564" t="s">
        <v>2466</v>
      </c>
      <c r="N5950" s="564" t="s">
        <v>1082</v>
      </c>
      <c r="O5950" s="564" t="s">
        <v>12077</v>
      </c>
      <c r="P5950" s="23"/>
      <c r="Q5950" s="23"/>
      <c r="R5950" s="23"/>
      <c r="S5950" s="23"/>
      <c r="T5950" s="23"/>
      <c r="U5950" s="23"/>
      <c r="V5950" s="23"/>
      <c r="W5950" s="23"/>
      <c r="X5950" s="23"/>
      <c r="Y5950" s="23"/>
      <c r="Z5950" s="23"/>
    </row>
    <row r="5951" spans="1:26" ht="13">
      <c r="A5951" s="562" t="s">
        <v>12845</v>
      </c>
      <c r="B5951" s="563" t="s">
        <v>12846</v>
      </c>
      <c r="C5951" s="564" t="s">
        <v>2484</v>
      </c>
      <c r="D5951" s="565">
        <v>39930</v>
      </c>
      <c r="E5951" s="565">
        <v>39959</v>
      </c>
      <c r="F5951" s="566">
        <v>31818182</v>
      </c>
      <c r="G5951" s="564" t="s">
        <v>12832</v>
      </c>
      <c r="H5951" s="564" t="s">
        <v>12365</v>
      </c>
      <c r="I5951" s="564" t="s">
        <v>12847</v>
      </c>
      <c r="J5951" s="564" t="s">
        <v>1069</v>
      </c>
      <c r="K5951" s="564" t="s">
        <v>2466</v>
      </c>
      <c r="L5951" s="564" t="s">
        <v>2467</v>
      </c>
      <c r="M5951" s="564" t="s">
        <v>2466</v>
      </c>
      <c r="N5951" s="564" t="s">
        <v>2325</v>
      </c>
      <c r="O5951" s="564" t="s">
        <v>4798</v>
      </c>
      <c r="P5951" s="23"/>
      <c r="Q5951" s="23"/>
      <c r="R5951" s="23"/>
      <c r="S5951" s="23"/>
      <c r="T5951" s="23"/>
      <c r="U5951" s="23"/>
      <c r="V5951" s="23"/>
      <c r="W5951" s="23"/>
      <c r="X5951" s="23"/>
      <c r="Y5951" s="23"/>
      <c r="Z5951" s="23"/>
    </row>
    <row r="5952" spans="1:26" ht="13">
      <c r="A5952" s="562" t="s">
        <v>12848</v>
      </c>
      <c r="B5952" s="563" t="s">
        <v>12849</v>
      </c>
      <c r="C5952" s="564" t="s">
        <v>2484</v>
      </c>
      <c r="D5952" s="565">
        <v>39926</v>
      </c>
      <c r="E5952" s="565">
        <v>39986</v>
      </c>
      <c r="F5952" s="566">
        <v>20000000</v>
      </c>
      <c r="G5952" s="564" t="s">
        <v>12124</v>
      </c>
      <c r="H5952" s="564" t="s">
        <v>2546</v>
      </c>
      <c r="I5952" s="564" t="s">
        <v>12850</v>
      </c>
      <c r="J5952" s="564" t="s">
        <v>1069</v>
      </c>
      <c r="K5952" s="564" t="s">
        <v>2466</v>
      </c>
      <c r="L5952" s="564" t="s">
        <v>2467</v>
      </c>
      <c r="M5952" s="564" t="s">
        <v>2466</v>
      </c>
      <c r="N5952" s="564" t="s">
        <v>1082</v>
      </c>
      <c r="O5952" s="564" t="s">
        <v>12077</v>
      </c>
      <c r="P5952" s="23"/>
      <c r="Q5952" s="23"/>
      <c r="R5952" s="23"/>
      <c r="S5952" s="23"/>
      <c r="T5952" s="23"/>
      <c r="U5952" s="23"/>
      <c r="V5952" s="23"/>
      <c r="W5952" s="23"/>
      <c r="X5952" s="23"/>
      <c r="Y5952" s="23"/>
      <c r="Z5952" s="23"/>
    </row>
    <row r="5953" spans="1:26" ht="13">
      <c r="A5953" s="562" t="s">
        <v>12851</v>
      </c>
      <c r="B5953" s="563" t="s">
        <v>12852</v>
      </c>
      <c r="C5953" s="564" t="s">
        <v>2484</v>
      </c>
      <c r="D5953" s="565">
        <v>39925</v>
      </c>
      <c r="E5953" s="565">
        <v>40165</v>
      </c>
      <c r="F5953" s="566">
        <v>390909091</v>
      </c>
      <c r="G5953" s="564" t="s">
        <v>12293</v>
      </c>
      <c r="H5953" s="564" t="s">
        <v>12096</v>
      </c>
      <c r="I5953" s="564" t="s">
        <v>12297</v>
      </c>
      <c r="J5953" s="564" t="s">
        <v>1069</v>
      </c>
      <c r="K5953" s="564" t="s">
        <v>2466</v>
      </c>
      <c r="L5953" s="564" t="s">
        <v>2467</v>
      </c>
      <c r="M5953" s="564" t="s">
        <v>2466</v>
      </c>
      <c r="N5953" s="564" t="s">
        <v>2439</v>
      </c>
      <c r="O5953" s="564" t="s">
        <v>12077</v>
      </c>
      <c r="P5953" s="23"/>
      <c r="Q5953" s="23"/>
      <c r="R5953" s="23"/>
      <c r="S5953" s="23"/>
      <c r="T5953" s="23"/>
      <c r="U5953" s="23"/>
      <c r="V5953" s="23"/>
      <c r="W5953" s="23"/>
      <c r="X5953" s="23"/>
      <c r="Y5953" s="23"/>
      <c r="Z5953" s="23"/>
    </row>
    <row r="5954" spans="1:26" ht="13">
      <c r="A5954" s="562" t="s">
        <v>12853</v>
      </c>
      <c r="B5954" s="563" t="s">
        <v>12854</v>
      </c>
      <c r="C5954" s="564" t="s">
        <v>2484</v>
      </c>
      <c r="D5954" s="565">
        <v>39918</v>
      </c>
      <c r="E5954" s="565">
        <v>40128</v>
      </c>
      <c r="F5954" s="566">
        <v>27709091</v>
      </c>
      <c r="G5954" s="564" t="s">
        <v>12293</v>
      </c>
      <c r="H5954" s="564" t="s">
        <v>2541</v>
      </c>
      <c r="I5954" s="564" t="s">
        <v>2455</v>
      </c>
      <c r="J5954" s="564" t="s">
        <v>1069</v>
      </c>
      <c r="K5954" s="564" t="s">
        <v>2466</v>
      </c>
      <c r="L5954" s="564" t="s">
        <v>2467</v>
      </c>
      <c r="M5954" s="564" t="s">
        <v>2466</v>
      </c>
      <c r="N5954" s="564" t="s">
        <v>1082</v>
      </c>
      <c r="O5954" s="564" t="s">
        <v>12077</v>
      </c>
      <c r="P5954" s="23"/>
      <c r="Q5954" s="23"/>
      <c r="R5954" s="23"/>
      <c r="S5954" s="23"/>
      <c r="T5954" s="23"/>
      <c r="U5954" s="23"/>
      <c r="V5954" s="23"/>
      <c r="W5954" s="23"/>
      <c r="X5954" s="23"/>
      <c r="Y5954" s="23"/>
      <c r="Z5954" s="23"/>
    </row>
    <row r="5955" spans="1:26" ht="13">
      <c r="A5955" s="562" t="s">
        <v>12855</v>
      </c>
      <c r="B5955" s="563" t="s">
        <v>12856</v>
      </c>
      <c r="C5955" s="564" t="s">
        <v>2484</v>
      </c>
      <c r="D5955" s="565">
        <v>39910</v>
      </c>
      <c r="E5955" s="565">
        <v>40229</v>
      </c>
      <c r="F5955" s="566">
        <v>318545455</v>
      </c>
      <c r="G5955" s="564" t="s">
        <v>12592</v>
      </c>
      <c r="H5955" s="564" t="s">
        <v>12096</v>
      </c>
      <c r="I5955" s="564" t="s">
        <v>12857</v>
      </c>
      <c r="J5955" s="564" t="s">
        <v>1069</v>
      </c>
      <c r="K5955" s="564" t="s">
        <v>2466</v>
      </c>
      <c r="L5955" s="564" t="s">
        <v>2467</v>
      </c>
      <c r="M5955" s="564" t="s">
        <v>2466</v>
      </c>
      <c r="N5955" s="564" t="s">
        <v>2439</v>
      </c>
      <c r="O5955" s="564" t="s">
        <v>12077</v>
      </c>
      <c r="P5955" s="23"/>
      <c r="Q5955" s="23"/>
      <c r="R5955" s="23"/>
      <c r="S5955" s="23"/>
      <c r="T5955" s="23"/>
      <c r="U5955" s="23"/>
      <c r="V5955" s="23"/>
      <c r="W5955" s="23"/>
      <c r="X5955" s="23"/>
      <c r="Y5955" s="23"/>
      <c r="Z5955" s="23"/>
    </row>
    <row r="5956" spans="1:26" ht="13">
      <c r="A5956" s="562" t="s">
        <v>12858</v>
      </c>
      <c r="B5956" s="563" t="s">
        <v>12859</v>
      </c>
      <c r="C5956" s="564" t="s">
        <v>2484</v>
      </c>
      <c r="D5956" s="565">
        <v>39911</v>
      </c>
      <c r="E5956" s="565">
        <v>39933</v>
      </c>
      <c r="F5956" s="566">
        <v>184000000</v>
      </c>
      <c r="G5956" s="564" t="s">
        <v>12832</v>
      </c>
      <c r="H5956" s="564" t="s">
        <v>12548</v>
      </c>
      <c r="I5956" s="564" t="s">
        <v>12860</v>
      </c>
      <c r="J5956" s="564" t="s">
        <v>1069</v>
      </c>
      <c r="K5956" s="564" t="s">
        <v>2466</v>
      </c>
      <c r="L5956" s="564" t="s">
        <v>2467</v>
      </c>
      <c r="M5956" s="564" t="s">
        <v>2466</v>
      </c>
      <c r="N5956" s="564" t="s">
        <v>1082</v>
      </c>
      <c r="O5956" s="564" t="s">
        <v>4798</v>
      </c>
      <c r="P5956" s="23"/>
      <c r="Q5956" s="23"/>
      <c r="R5956" s="23"/>
      <c r="S5956" s="23"/>
      <c r="T5956" s="23"/>
      <c r="U5956" s="23"/>
      <c r="V5956" s="23"/>
      <c r="W5956" s="23"/>
      <c r="X5956" s="23"/>
      <c r="Y5956" s="23"/>
      <c r="Z5956" s="23"/>
    </row>
    <row r="5957" spans="1:26" ht="13">
      <c r="A5957" s="562" t="s">
        <v>12861</v>
      </c>
      <c r="B5957" s="563" t="s">
        <v>12862</v>
      </c>
      <c r="C5957" s="564" t="s">
        <v>2484</v>
      </c>
      <c r="D5957" s="565">
        <v>39904</v>
      </c>
      <c r="E5957" s="565">
        <v>39933</v>
      </c>
      <c r="F5957" s="566">
        <v>52000000</v>
      </c>
      <c r="G5957" s="564" t="s">
        <v>12832</v>
      </c>
      <c r="H5957" s="564" t="s">
        <v>12548</v>
      </c>
      <c r="I5957" s="564" t="s">
        <v>12309</v>
      </c>
      <c r="J5957" s="564" t="s">
        <v>1069</v>
      </c>
      <c r="K5957" s="564" t="s">
        <v>2466</v>
      </c>
      <c r="L5957" s="564" t="s">
        <v>2467</v>
      </c>
      <c r="M5957" s="564" t="s">
        <v>2466</v>
      </c>
      <c r="N5957" s="564" t="s">
        <v>1082</v>
      </c>
      <c r="O5957" s="564" t="s">
        <v>4798</v>
      </c>
      <c r="P5957" s="23"/>
      <c r="Q5957" s="23"/>
      <c r="R5957" s="23"/>
      <c r="S5957" s="23"/>
      <c r="T5957" s="23"/>
      <c r="U5957" s="23"/>
      <c r="V5957" s="23"/>
      <c r="W5957" s="23"/>
      <c r="X5957" s="23"/>
      <c r="Y5957" s="23"/>
      <c r="Z5957" s="23"/>
    </row>
    <row r="5958" spans="1:26" ht="13">
      <c r="A5958" s="562" t="s">
        <v>12863</v>
      </c>
      <c r="B5958" s="563" t="s">
        <v>12864</v>
      </c>
      <c r="C5958" s="564" t="s">
        <v>2484</v>
      </c>
      <c r="D5958" s="565">
        <v>39902</v>
      </c>
      <c r="E5958" s="565">
        <v>40024</v>
      </c>
      <c r="F5958" s="566">
        <v>51832000</v>
      </c>
      <c r="G5958" s="564" t="s">
        <v>12293</v>
      </c>
      <c r="H5958" s="564" t="s">
        <v>12096</v>
      </c>
      <c r="I5958" s="564" t="s">
        <v>12865</v>
      </c>
      <c r="J5958" s="564" t="s">
        <v>1069</v>
      </c>
      <c r="K5958" s="564" t="s">
        <v>2466</v>
      </c>
      <c r="L5958" s="564" t="s">
        <v>2467</v>
      </c>
      <c r="M5958" s="564" t="s">
        <v>2466</v>
      </c>
      <c r="N5958" s="564" t="s">
        <v>1082</v>
      </c>
      <c r="O5958" s="564" t="s">
        <v>12077</v>
      </c>
      <c r="P5958" s="23"/>
      <c r="Q5958" s="23"/>
      <c r="R5958" s="23"/>
      <c r="S5958" s="23"/>
      <c r="T5958" s="23"/>
      <c r="U5958" s="23"/>
      <c r="V5958" s="23"/>
      <c r="W5958" s="23"/>
      <c r="X5958" s="23"/>
      <c r="Y5958" s="23"/>
      <c r="Z5958" s="23"/>
    </row>
    <row r="5959" spans="1:26" ht="13">
      <c r="A5959" s="562" t="s">
        <v>12866</v>
      </c>
      <c r="B5959" s="563" t="s">
        <v>12867</v>
      </c>
      <c r="C5959" s="564" t="s">
        <v>2484</v>
      </c>
      <c r="D5959" s="565">
        <v>39905</v>
      </c>
      <c r="E5959" s="565">
        <v>40125</v>
      </c>
      <c r="F5959" s="566">
        <v>87376000</v>
      </c>
      <c r="G5959" s="564" t="s">
        <v>12293</v>
      </c>
      <c r="H5959" s="564" t="s">
        <v>12096</v>
      </c>
      <c r="I5959" s="564" t="s">
        <v>12297</v>
      </c>
      <c r="J5959" s="564" t="s">
        <v>1069</v>
      </c>
      <c r="K5959" s="564" t="s">
        <v>2466</v>
      </c>
      <c r="L5959" s="564" t="s">
        <v>2467</v>
      </c>
      <c r="M5959" s="564" t="s">
        <v>2466</v>
      </c>
      <c r="N5959" s="564" t="s">
        <v>2439</v>
      </c>
      <c r="O5959" s="564" t="s">
        <v>12077</v>
      </c>
      <c r="P5959" s="23"/>
      <c r="Q5959" s="23"/>
      <c r="R5959" s="23"/>
      <c r="S5959" s="23"/>
      <c r="T5959" s="23"/>
      <c r="U5959" s="23"/>
      <c r="V5959" s="23"/>
      <c r="W5959" s="23"/>
      <c r="X5959" s="23"/>
      <c r="Y5959" s="23"/>
      <c r="Z5959" s="23"/>
    </row>
    <row r="5960" spans="1:26" ht="13">
      <c r="A5960" s="562" t="s">
        <v>12868</v>
      </c>
      <c r="B5960" s="563" t="s">
        <v>12869</v>
      </c>
      <c r="C5960" s="564" t="s">
        <v>2484</v>
      </c>
      <c r="D5960" s="565">
        <v>39902</v>
      </c>
      <c r="E5960" s="565">
        <v>40100</v>
      </c>
      <c r="F5960" s="566">
        <v>382363637</v>
      </c>
      <c r="G5960" s="564" t="s">
        <v>12075</v>
      </c>
      <c r="H5960" s="564" t="s">
        <v>12096</v>
      </c>
      <c r="I5960" s="564" t="s">
        <v>12081</v>
      </c>
      <c r="J5960" s="564" t="s">
        <v>1069</v>
      </c>
      <c r="K5960" s="564" t="s">
        <v>2466</v>
      </c>
      <c r="L5960" s="564" t="s">
        <v>2467</v>
      </c>
      <c r="M5960" s="564" t="s">
        <v>2466</v>
      </c>
      <c r="N5960" s="564" t="s">
        <v>2439</v>
      </c>
      <c r="O5960" s="564" t="s">
        <v>12077</v>
      </c>
      <c r="P5960" s="23"/>
      <c r="Q5960" s="23"/>
      <c r="R5960" s="23"/>
      <c r="S5960" s="23"/>
      <c r="T5960" s="23"/>
      <c r="U5960" s="23"/>
      <c r="V5960" s="23"/>
      <c r="W5960" s="23"/>
      <c r="X5960" s="23"/>
      <c r="Y5960" s="23"/>
      <c r="Z5960" s="23"/>
    </row>
    <row r="5961" spans="1:26" ht="13">
      <c r="A5961" s="562" t="s">
        <v>12870</v>
      </c>
      <c r="B5961" s="563" t="s">
        <v>12871</v>
      </c>
      <c r="C5961" s="564" t="s">
        <v>2484</v>
      </c>
      <c r="D5961" s="565">
        <v>39895</v>
      </c>
      <c r="E5961" s="565">
        <v>40084</v>
      </c>
      <c r="F5961" s="566">
        <v>184909091</v>
      </c>
      <c r="G5961" s="564" t="s">
        <v>12586</v>
      </c>
      <c r="H5961" s="564" t="s">
        <v>2546</v>
      </c>
      <c r="I5961" s="564" t="s">
        <v>12282</v>
      </c>
      <c r="J5961" s="564" t="s">
        <v>1069</v>
      </c>
      <c r="K5961" s="564" t="s">
        <v>2466</v>
      </c>
      <c r="L5961" s="564" t="s">
        <v>2467</v>
      </c>
      <c r="M5961" s="564" t="s">
        <v>2466</v>
      </c>
      <c r="N5961" s="564" t="s">
        <v>1082</v>
      </c>
      <c r="O5961" s="564" t="s">
        <v>12077</v>
      </c>
      <c r="P5961" s="23"/>
      <c r="Q5961" s="23"/>
      <c r="R5961" s="23"/>
      <c r="S5961" s="23"/>
      <c r="T5961" s="23"/>
      <c r="U5961" s="23"/>
      <c r="V5961" s="23"/>
      <c r="W5961" s="23"/>
      <c r="X5961" s="23"/>
      <c r="Y5961" s="23"/>
      <c r="Z5961" s="23"/>
    </row>
    <row r="5962" spans="1:26" ht="13">
      <c r="A5962" s="562" t="s">
        <v>12872</v>
      </c>
      <c r="B5962" s="563" t="s">
        <v>12873</v>
      </c>
      <c r="C5962" s="564" t="s">
        <v>2484</v>
      </c>
      <c r="D5962" s="565">
        <v>39897</v>
      </c>
      <c r="E5962" s="565">
        <v>39927</v>
      </c>
      <c r="F5962" s="566">
        <v>28090909</v>
      </c>
      <c r="G5962" s="564" t="s">
        <v>12586</v>
      </c>
      <c r="H5962" s="564" t="s">
        <v>2546</v>
      </c>
      <c r="I5962" s="564" t="s">
        <v>12105</v>
      </c>
      <c r="J5962" s="564" t="s">
        <v>1069</v>
      </c>
      <c r="K5962" s="564" t="s">
        <v>2466</v>
      </c>
      <c r="L5962" s="564" t="s">
        <v>2467</v>
      </c>
      <c r="M5962" s="564" t="s">
        <v>2466</v>
      </c>
      <c r="N5962" s="564" t="s">
        <v>1082</v>
      </c>
      <c r="O5962" s="564" t="s">
        <v>12077</v>
      </c>
      <c r="P5962" s="23"/>
      <c r="Q5962" s="23"/>
      <c r="R5962" s="23"/>
      <c r="S5962" s="23"/>
      <c r="T5962" s="23"/>
      <c r="U5962" s="23"/>
      <c r="V5962" s="23"/>
      <c r="W5962" s="23"/>
      <c r="X5962" s="23"/>
      <c r="Y5962" s="23"/>
      <c r="Z5962" s="23"/>
    </row>
    <row r="5963" spans="1:26" ht="13">
      <c r="A5963" s="562" t="s">
        <v>12874</v>
      </c>
      <c r="B5963" s="563" t="s">
        <v>12875</v>
      </c>
      <c r="C5963" s="564" t="s">
        <v>2484</v>
      </c>
      <c r="D5963" s="565">
        <v>39892</v>
      </c>
      <c r="E5963" s="565">
        <v>40210</v>
      </c>
      <c r="F5963" s="566">
        <v>205895455</v>
      </c>
      <c r="G5963" s="564" t="s">
        <v>12080</v>
      </c>
      <c r="H5963" s="564" t="s">
        <v>12120</v>
      </c>
      <c r="I5963" s="564" t="s">
        <v>12876</v>
      </c>
      <c r="J5963" s="564" t="s">
        <v>1069</v>
      </c>
      <c r="K5963" s="564" t="s">
        <v>2466</v>
      </c>
      <c r="L5963" s="564" t="s">
        <v>2467</v>
      </c>
      <c r="M5963" s="564" t="s">
        <v>2466</v>
      </c>
      <c r="N5963" s="564" t="s">
        <v>2543</v>
      </c>
      <c r="O5963" s="564" t="s">
        <v>12077</v>
      </c>
      <c r="P5963" s="23"/>
      <c r="Q5963" s="23"/>
      <c r="R5963" s="23"/>
      <c r="S5963" s="23"/>
      <c r="T5963" s="23"/>
      <c r="U5963" s="23"/>
      <c r="V5963" s="23"/>
      <c r="W5963" s="23"/>
      <c r="X5963" s="23"/>
      <c r="Y5963" s="23"/>
      <c r="Z5963" s="23"/>
    </row>
    <row r="5964" spans="1:26" ht="13">
      <c r="A5964" s="562" t="s">
        <v>12877</v>
      </c>
      <c r="B5964" s="563" t="s">
        <v>12878</v>
      </c>
      <c r="C5964" s="564" t="s">
        <v>2484</v>
      </c>
      <c r="D5964" s="565">
        <v>39888</v>
      </c>
      <c r="E5964" s="565">
        <v>40188</v>
      </c>
      <c r="F5964" s="566">
        <v>75568182</v>
      </c>
      <c r="G5964" s="564" t="s">
        <v>2519</v>
      </c>
      <c r="H5964" s="564" t="s">
        <v>2519</v>
      </c>
      <c r="I5964" s="564" t="s">
        <v>12297</v>
      </c>
      <c r="J5964" s="564" t="s">
        <v>1069</v>
      </c>
      <c r="K5964" s="564" t="s">
        <v>2466</v>
      </c>
      <c r="L5964" s="564" t="s">
        <v>2467</v>
      </c>
      <c r="M5964" s="564" t="s">
        <v>2466</v>
      </c>
      <c r="N5964" s="564" t="s">
        <v>2439</v>
      </c>
      <c r="O5964" s="564" t="s">
        <v>12077</v>
      </c>
      <c r="P5964" s="23"/>
      <c r="Q5964" s="23"/>
      <c r="R5964" s="23"/>
      <c r="S5964" s="23"/>
      <c r="T5964" s="23"/>
      <c r="U5964" s="23"/>
      <c r="V5964" s="23"/>
      <c r="W5964" s="23"/>
      <c r="X5964" s="23"/>
      <c r="Y5964" s="23"/>
      <c r="Z5964" s="23"/>
    </row>
    <row r="5965" spans="1:26" ht="13">
      <c r="A5965" s="562" t="s">
        <v>12879</v>
      </c>
      <c r="B5965" s="563" t="s">
        <v>12880</v>
      </c>
      <c r="C5965" s="564" t="s">
        <v>2484</v>
      </c>
      <c r="D5965" s="565">
        <v>39905</v>
      </c>
      <c r="E5965" s="565">
        <v>39943</v>
      </c>
      <c r="F5965" s="566">
        <v>5000000</v>
      </c>
      <c r="G5965" s="564" t="s">
        <v>12084</v>
      </c>
      <c r="H5965" s="564" t="s">
        <v>2546</v>
      </c>
      <c r="I5965" s="564" t="s">
        <v>12881</v>
      </c>
      <c r="J5965" s="564" t="s">
        <v>1069</v>
      </c>
      <c r="K5965" s="564" t="s">
        <v>2466</v>
      </c>
      <c r="L5965" s="564" t="s">
        <v>2467</v>
      </c>
      <c r="M5965" s="564" t="s">
        <v>2466</v>
      </c>
      <c r="N5965" s="564" t="s">
        <v>1082</v>
      </c>
      <c r="O5965" s="564" t="s">
        <v>12077</v>
      </c>
      <c r="P5965" s="23"/>
      <c r="Q5965" s="23"/>
      <c r="R5965" s="23"/>
      <c r="S5965" s="23"/>
      <c r="T5965" s="23"/>
      <c r="U5965" s="23"/>
      <c r="V5965" s="23"/>
      <c r="W5965" s="23"/>
      <c r="X5965" s="23"/>
      <c r="Y5965" s="23"/>
      <c r="Z5965" s="23"/>
    </row>
    <row r="5966" spans="1:26" ht="13">
      <c r="A5966" s="562" t="s">
        <v>12882</v>
      </c>
      <c r="B5966" s="563" t="s">
        <v>12883</v>
      </c>
      <c r="C5966" s="564" t="s">
        <v>2484</v>
      </c>
      <c r="D5966" s="565">
        <v>39877</v>
      </c>
      <c r="E5966" s="565">
        <v>40182</v>
      </c>
      <c r="F5966" s="566">
        <v>127272727</v>
      </c>
      <c r="G5966" s="564" t="s">
        <v>12293</v>
      </c>
      <c r="H5966" s="564" t="s">
        <v>12096</v>
      </c>
      <c r="I5966" s="564" t="s">
        <v>2542</v>
      </c>
      <c r="J5966" s="564" t="s">
        <v>1069</v>
      </c>
      <c r="K5966" s="564" t="s">
        <v>2466</v>
      </c>
      <c r="L5966" s="564" t="s">
        <v>2467</v>
      </c>
      <c r="M5966" s="564" t="s">
        <v>2466</v>
      </c>
      <c r="N5966" s="564" t="s">
        <v>2543</v>
      </c>
      <c r="O5966" s="564" t="s">
        <v>12077</v>
      </c>
      <c r="P5966" s="23"/>
      <c r="Q5966" s="23"/>
      <c r="R5966" s="23"/>
      <c r="S5966" s="23"/>
      <c r="T5966" s="23"/>
      <c r="U5966" s="23"/>
      <c r="V5966" s="23"/>
      <c r="W5966" s="23"/>
      <c r="X5966" s="23"/>
      <c r="Y5966" s="23"/>
      <c r="Z5966" s="23"/>
    </row>
    <row r="5967" spans="1:26" ht="13">
      <c r="A5967" s="562" t="s">
        <v>12884</v>
      </c>
      <c r="B5967" s="563" t="s">
        <v>12885</v>
      </c>
      <c r="C5967" s="564" t="s">
        <v>2484</v>
      </c>
      <c r="D5967" s="565">
        <v>39864</v>
      </c>
      <c r="E5967" s="565">
        <v>39872</v>
      </c>
      <c r="F5967" s="566">
        <v>3500000</v>
      </c>
      <c r="G5967" s="564" t="s">
        <v>12586</v>
      </c>
      <c r="H5967" s="564" t="s">
        <v>2546</v>
      </c>
      <c r="I5967" s="564" t="s">
        <v>12886</v>
      </c>
      <c r="J5967" s="564" t="s">
        <v>1069</v>
      </c>
      <c r="K5967" s="564" t="s">
        <v>2466</v>
      </c>
      <c r="L5967" s="564" t="s">
        <v>2467</v>
      </c>
      <c r="M5967" s="564" t="s">
        <v>2466</v>
      </c>
      <c r="N5967" s="564" t="s">
        <v>1082</v>
      </c>
      <c r="O5967" s="564" t="s">
        <v>4798</v>
      </c>
      <c r="P5967" s="23"/>
      <c r="Q5967" s="23"/>
      <c r="R5967" s="23"/>
      <c r="S5967" s="23"/>
      <c r="T5967" s="23"/>
      <c r="U5967" s="23"/>
      <c r="V5967" s="23"/>
      <c r="W5967" s="23"/>
      <c r="X5967" s="23"/>
      <c r="Y5967" s="23"/>
      <c r="Z5967" s="23"/>
    </row>
    <row r="5968" spans="1:26" ht="13">
      <c r="A5968" s="562" t="s">
        <v>12887</v>
      </c>
      <c r="B5968" s="563" t="s">
        <v>12888</v>
      </c>
      <c r="C5968" s="564" t="s">
        <v>2484</v>
      </c>
      <c r="D5968" s="565">
        <v>39857</v>
      </c>
      <c r="E5968" s="565">
        <v>40221</v>
      </c>
      <c r="F5968" s="566">
        <v>5869091</v>
      </c>
      <c r="G5968" s="564" t="s">
        <v>12318</v>
      </c>
      <c r="H5968" s="564" t="s">
        <v>12365</v>
      </c>
      <c r="I5968" s="564" t="s">
        <v>12889</v>
      </c>
      <c r="J5968" s="564" t="s">
        <v>1069</v>
      </c>
      <c r="K5968" s="564" t="s">
        <v>2466</v>
      </c>
      <c r="L5968" s="564" t="s">
        <v>2467</v>
      </c>
      <c r="M5968" s="564" t="s">
        <v>2466</v>
      </c>
      <c r="N5968" s="564" t="s">
        <v>2543</v>
      </c>
      <c r="O5968" s="564" t="s">
        <v>12077</v>
      </c>
      <c r="P5968" s="23"/>
      <c r="Q5968" s="23"/>
      <c r="R5968" s="23"/>
      <c r="S5968" s="23"/>
      <c r="T5968" s="23"/>
      <c r="U5968" s="23"/>
      <c r="V5968" s="23"/>
      <c r="W5968" s="23"/>
      <c r="X5968" s="23"/>
      <c r="Y5968" s="23"/>
      <c r="Z5968" s="23"/>
    </row>
    <row r="5969" spans="1:26" ht="13">
      <c r="A5969" s="562" t="s">
        <v>12890</v>
      </c>
      <c r="B5969" s="563" t="s">
        <v>12891</v>
      </c>
      <c r="C5969" s="564" t="s">
        <v>2484</v>
      </c>
      <c r="D5969" s="565">
        <v>39828</v>
      </c>
      <c r="E5969" s="565">
        <v>39867</v>
      </c>
      <c r="F5969" s="566">
        <v>50000000</v>
      </c>
      <c r="G5969" s="564" t="s">
        <v>2434</v>
      </c>
      <c r="H5969" s="564" t="s">
        <v>2546</v>
      </c>
      <c r="I5969" s="564" t="s">
        <v>12348</v>
      </c>
      <c r="J5969" s="564" t="s">
        <v>1069</v>
      </c>
      <c r="K5969" s="564" t="s">
        <v>2466</v>
      </c>
      <c r="L5969" s="564" t="s">
        <v>2467</v>
      </c>
      <c r="M5969" s="564" t="s">
        <v>2466</v>
      </c>
      <c r="N5969" s="564" t="s">
        <v>1082</v>
      </c>
      <c r="O5969" s="564" t="s">
        <v>4798</v>
      </c>
      <c r="P5969" s="23"/>
      <c r="Q5969" s="23"/>
      <c r="R5969" s="23"/>
      <c r="S5969" s="23"/>
      <c r="T5969" s="23"/>
      <c r="U5969" s="23"/>
      <c r="V5969" s="23"/>
      <c r="W5969" s="23"/>
      <c r="X5969" s="23"/>
      <c r="Y5969" s="23"/>
      <c r="Z5969" s="23"/>
    </row>
    <row r="5970" spans="1:26" ht="13">
      <c r="A5970" s="562" t="s">
        <v>12892</v>
      </c>
      <c r="B5970" s="563" t="s">
        <v>12893</v>
      </c>
      <c r="C5970" s="564" t="s">
        <v>2484</v>
      </c>
      <c r="D5970" s="565">
        <v>39860</v>
      </c>
      <c r="E5970" s="565">
        <v>39871</v>
      </c>
      <c r="F5970" s="566">
        <v>11090909</v>
      </c>
      <c r="G5970" s="564" t="s">
        <v>12084</v>
      </c>
      <c r="H5970" s="564" t="s">
        <v>2546</v>
      </c>
      <c r="I5970" s="564" t="s">
        <v>12894</v>
      </c>
      <c r="J5970" s="564" t="s">
        <v>1069</v>
      </c>
      <c r="K5970" s="564" t="s">
        <v>2466</v>
      </c>
      <c r="L5970" s="564" t="s">
        <v>2467</v>
      </c>
      <c r="M5970" s="564" t="s">
        <v>2466</v>
      </c>
      <c r="N5970" s="564" t="s">
        <v>2325</v>
      </c>
      <c r="O5970" s="564" t="s">
        <v>12077</v>
      </c>
      <c r="P5970" s="23"/>
      <c r="Q5970" s="23"/>
      <c r="R5970" s="23"/>
      <c r="S5970" s="23"/>
      <c r="T5970" s="23"/>
      <c r="U5970" s="23"/>
      <c r="V5970" s="23"/>
      <c r="W5970" s="23"/>
      <c r="X5970" s="23"/>
      <c r="Y5970" s="23"/>
      <c r="Z5970" s="23"/>
    </row>
    <row r="5971" spans="1:26" ht="13">
      <c r="A5971" s="562" t="s">
        <v>12895</v>
      </c>
      <c r="B5971" s="563" t="s">
        <v>12896</v>
      </c>
      <c r="C5971" s="564" t="s">
        <v>2484</v>
      </c>
      <c r="D5971" s="565">
        <v>39835</v>
      </c>
      <c r="E5971" s="565">
        <v>39902</v>
      </c>
      <c r="F5971" s="566">
        <v>20000000</v>
      </c>
      <c r="G5971" s="564" t="s">
        <v>12124</v>
      </c>
      <c r="H5971" s="564" t="s">
        <v>2541</v>
      </c>
      <c r="I5971" s="564" t="s">
        <v>12897</v>
      </c>
      <c r="J5971" s="564" t="s">
        <v>1069</v>
      </c>
      <c r="K5971" s="564" t="s">
        <v>2466</v>
      </c>
      <c r="L5971" s="564" t="s">
        <v>2467</v>
      </c>
      <c r="M5971" s="564" t="s">
        <v>2466</v>
      </c>
      <c r="N5971" s="564" t="s">
        <v>1082</v>
      </c>
      <c r="O5971" s="564" t="s">
        <v>12077</v>
      </c>
      <c r="P5971" s="23"/>
      <c r="Q5971" s="23"/>
      <c r="R5971" s="23"/>
      <c r="S5971" s="23"/>
      <c r="T5971" s="23"/>
      <c r="U5971" s="23"/>
      <c r="V5971" s="23"/>
      <c r="W5971" s="23"/>
      <c r="X5971" s="23"/>
      <c r="Y5971" s="23"/>
      <c r="Z5971" s="23"/>
    </row>
    <row r="5972" spans="1:26" ht="13">
      <c r="A5972" s="562" t="s">
        <v>12898</v>
      </c>
      <c r="B5972" s="563" t="s">
        <v>12899</v>
      </c>
      <c r="C5972" s="564" t="s">
        <v>2484</v>
      </c>
      <c r="D5972" s="565">
        <v>39849</v>
      </c>
      <c r="E5972" s="565">
        <v>39862</v>
      </c>
      <c r="F5972" s="566">
        <v>16363636</v>
      </c>
      <c r="G5972" s="564" t="s">
        <v>12364</v>
      </c>
      <c r="H5972" s="564" t="s">
        <v>2541</v>
      </c>
      <c r="I5972" s="564" t="s">
        <v>12847</v>
      </c>
      <c r="J5972" s="564" t="s">
        <v>1069</v>
      </c>
      <c r="K5972" s="564" t="s">
        <v>2466</v>
      </c>
      <c r="L5972" s="564" t="s">
        <v>2467</v>
      </c>
      <c r="M5972" s="564" t="s">
        <v>2466</v>
      </c>
      <c r="N5972" s="564" t="s">
        <v>2325</v>
      </c>
      <c r="O5972" s="564" t="s">
        <v>12077</v>
      </c>
      <c r="P5972" s="23"/>
      <c r="Q5972" s="23"/>
      <c r="R5972" s="23"/>
      <c r="S5972" s="23"/>
      <c r="T5972" s="23"/>
      <c r="U5972" s="23"/>
      <c r="V5972" s="23"/>
      <c r="W5972" s="23"/>
      <c r="X5972" s="23"/>
      <c r="Y5972" s="23"/>
      <c r="Z5972" s="23"/>
    </row>
    <row r="5973" spans="1:26" ht="13">
      <c r="A5973" s="562" t="s">
        <v>12900</v>
      </c>
      <c r="B5973" s="563" t="s">
        <v>12901</v>
      </c>
      <c r="C5973" s="564" t="s">
        <v>2484</v>
      </c>
      <c r="D5973" s="565">
        <v>39853</v>
      </c>
      <c r="E5973" s="565">
        <v>40032</v>
      </c>
      <c r="F5973" s="566">
        <v>156708182</v>
      </c>
      <c r="G5973" s="564" t="s">
        <v>12124</v>
      </c>
      <c r="H5973" s="564" t="s">
        <v>12125</v>
      </c>
      <c r="I5973" s="564" t="s">
        <v>12902</v>
      </c>
      <c r="J5973" s="564" t="s">
        <v>1069</v>
      </c>
      <c r="K5973" s="564" t="s">
        <v>2466</v>
      </c>
      <c r="L5973" s="564" t="s">
        <v>2467</v>
      </c>
      <c r="M5973" s="564" t="s">
        <v>2466</v>
      </c>
      <c r="N5973" s="564" t="s">
        <v>2543</v>
      </c>
      <c r="O5973" s="564" t="s">
        <v>12077</v>
      </c>
      <c r="P5973" s="23"/>
      <c r="Q5973" s="23"/>
      <c r="R5973" s="23"/>
      <c r="S5973" s="23"/>
      <c r="T5973" s="23"/>
      <c r="U5973" s="23"/>
      <c r="V5973" s="23"/>
      <c r="W5973" s="23"/>
      <c r="X5973" s="23"/>
      <c r="Y5973" s="23"/>
      <c r="Z5973" s="23"/>
    </row>
    <row r="5974" spans="1:26" ht="13">
      <c r="A5974" s="562" t="s">
        <v>12903</v>
      </c>
      <c r="B5974" s="563" t="s">
        <v>12904</v>
      </c>
      <c r="C5974" s="564" t="s">
        <v>2484</v>
      </c>
      <c r="D5974" s="565">
        <v>39849</v>
      </c>
      <c r="E5974" s="565">
        <v>39908</v>
      </c>
      <c r="F5974" s="566">
        <v>13636364</v>
      </c>
      <c r="G5974" s="564" t="s">
        <v>12293</v>
      </c>
      <c r="H5974" s="564" t="s">
        <v>2546</v>
      </c>
      <c r="I5974" s="564" t="s">
        <v>12535</v>
      </c>
      <c r="J5974" s="564" t="s">
        <v>1069</v>
      </c>
      <c r="K5974" s="564" t="s">
        <v>2466</v>
      </c>
      <c r="L5974" s="564" t="s">
        <v>2467</v>
      </c>
      <c r="M5974" s="564" t="s">
        <v>2466</v>
      </c>
      <c r="N5974" s="564" t="s">
        <v>1082</v>
      </c>
      <c r="O5974" s="564" t="s">
        <v>12077</v>
      </c>
      <c r="P5974" s="23"/>
      <c r="Q5974" s="23"/>
      <c r="R5974" s="23"/>
      <c r="S5974" s="23"/>
      <c r="T5974" s="23"/>
      <c r="U5974" s="23"/>
      <c r="V5974" s="23"/>
      <c r="W5974" s="23"/>
      <c r="X5974" s="23"/>
      <c r="Y5974" s="23"/>
      <c r="Z5974" s="23"/>
    </row>
    <row r="5975" spans="1:26" ht="13">
      <c r="A5975" s="562" t="s">
        <v>12905</v>
      </c>
      <c r="B5975" s="563" t="s">
        <v>12906</v>
      </c>
      <c r="C5975" s="564" t="s">
        <v>2484</v>
      </c>
      <c r="D5975" s="565">
        <v>39845</v>
      </c>
      <c r="E5975" s="565">
        <v>40298</v>
      </c>
      <c r="F5975" s="566">
        <v>35000000</v>
      </c>
      <c r="G5975" s="564" t="s">
        <v>2518</v>
      </c>
      <c r="H5975" s="564" t="s">
        <v>2323</v>
      </c>
      <c r="I5975" s="564" t="s">
        <v>12907</v>
      </c>
      <c r="J5975" s="564" t="s">
        <v>1069</v>
      </c>
      <c r="K5975" s="564" t="s">
        <v>2466</v>
      </c>
      <c r="L5975" s="564" t="s">
        <v>2467</v>
      </c>
      <c r="M5975" s="564" t="s">
        <v>2466</v>
      </c>
      <c r="N5975" s="564" t="s">
        <v>1082</v>
      </c>
      <c r="O5975" s="564" t="s">
        <v>12077</v>
      </c>
      <c r="P5975" s="23"/>
      <c r="Q5975" s="23"/>
      <c r="R5975" s="23"/>
      <c r="S5975" s="23"/>
      <c r="T5975" s="23"/>
      <c r="U5975" s="23"/>
      <c r="V5975" s="23"/>
      <c r="W5975" s="23"/>
      <c r="X5975" s="23"/>
      <c r="Y5975" s="23"/>
      <c r="Z5975" s="23"/>
    </row>
    <row r="5976" spans="1:26" ht="13">
      <c r="A5976" s="562" t="s">
        <v>12908</v>
      </c>
      <c r="B5976" s="563" t="s">
        <v>12909</v>
      </c>
      <c r="C5976" s="564" t="s">
        <v>2484</v>
      </c>
      <c r="D5976" s="565">
        <v>39845</v>
      </c>
      <c r="E5976" s="565">
        <v>40178</v>
      </c>
      <c r="F5976" s="566">
        <v>60909091</v>
      </c>
      <c r="G5976" s="564" t="s">
        <v>2540</v>
      </c>
      <c r="H5976" s="564" t="s">
        <v>2541</v>
      </c>
      <c r="I5976" s="564" t="s">
        <v>12130</v>
      </c>
      <c r="J5976" s="564" t="s">
        <v>1069</v>
      </c>
      <c r="K5976" s="564" t="s">
        <v>2466</v>
      </c>
      <c r="L5976" s="564" t="s">
        <v>2467</v>
      </c>
      <c r="M5976" s="564" t="s">
        <v>2466</v>
      </c>
      <c r="N5976" s="564" t="s">
        <v>2543</v>
      </c>
      <c r="O5976" s="564" t="s">
        <v>12077</v>
      </c>
      <c r="P5976" s="23"/>
      <c r="Q5976" s="23"/>
      <c r="R5976" s="23"/>
      <c r="S5976" s="23"/>
      <c r="T5976" s="23"/>
      <c r="U5976" s="23"/>
      <c r="V5976" s="23"/>
      <c r="W5976" s="23"/>
      <c r="X5976" s="23"/>
      <c r="Y5976" s="23"/>
      <c r="Z5976" s="23"/>
    </row>
    <row r="5977" spans="1:26" ht="13">
      <c r="A5977" s="562" t="s">
        <v>12910</v>
      </c>
      <c r="B5977" s="563" t="s">
        <v>12911</v>
      </c>
      <c r="C5977" s="564" t="s">
        <v>2484</v>
      </c>
      <c r="D5977" s="565">
        <v>39843</v>
      </c>
      <c r="E5977" s="565">
        <v>40024</v>
      </c>
      <c r="F5977" s="566">
        <v>27272727</v>
      </c>
      <c r="G5977" s="564" t="s">
        <v>12912</v>
      </c>
      <c r="H5977" s="564" t="s">
        <v>12365</v>
      </c>
      <c r="I5977" s="564" t="s">
        <v>12913</v>
      </c>
      <c r="J5977" s="564" t="s">
        <v>1069</v>
      </c>
      <c r="K5977" s="564" t="s">
        <v>2466</v>
      </c>
      <c r="L5977" s="564" t="s">
        <v>2467</v>
      </c>
      <c r="M5977" s="564" t="s">
        <v>2466</v>
      </c>
      <c r="N5977" s="564" t="s">
        <v>1368</v>
      </c>
      <c r="O5977" s="564" t="s">
        <v>12077</v>
      </c>
      <c r="P5977" s="23"/>
      <c r="Q5977" s="23"/>
      <c r="R5977" s="23"/>
      <c r="S5977" s="23"/>
      <c r="T5977" s="23"/>
      <c r="U5977" s="23"/>
      <c r="V5977" s="23"/>
      <c r="W5977" s="23"/>
      <c r="X5977" s="23"/>
      <c r="Y5977" s="23"/>
      <c r="Z5977" s="23"/>
    </row>
    <row r="5978" spans="1:26" ht="13">
      <c r="A5978" s="562" t="s">
        <v>12914</v>
      </c>
      <c r="B5978" s="563" t="s">
        <v>12915</v>
      </c>
      <c r="C5978" s="564" t="s">
        <v>2484</v>
      </c>
      <c r="D5978" s="565">
        <v>39848</v>
      </c>
      <c r="E5978" s="565">
        <v>39849</v>
      </c>
      <c r="F5978" s="566">
        <v>86474182</v>
      </c>
      <c r="G5978" s="564" t="s">
        <v>12293</v>
      </c>
      <c r="H5978" s="564" t="s">
        <v>12365</v>
      </c>
      <c r="I5978" s="564" t="s">
        <v>12916</v>
      </c>
      <c r="J5978" s="564" t="s">
        <v>1069</v>
      </c>
      <c r="K5978" s="564" t="s">
        <v>2466</v>
      </c>
      <c r="L5978" s="564" t="s">
        <v>2467</v>
      </c>
      <c r="M5978" s="564" t="s">
        <v>2466</v>
      </c>
      <c r="N5978" s="564" t="s">
        <v>2543</v>
      </c>
      <c r="O5978" s="564" t="s">
        <v>12077</v>
      </c>
      <c r="P5978" s="23"/>
      <c r="Q5978" s="23"/>
      <c r="R5978" s="23"/>
      <c r="S5978" s="23"/>
      <c r="T5978" s="23"/>
      <c r="U5978" s="23"/>
      <c r="V5978" s="23"/>
      <c r="W5978" s="23"/>
      <c r="X5978" s="23"/>
      <c r="Y5978" s="23"/>
      <c r="Z5978" s="23"/>
    </row>
    <row r="5979" spans="1:26" ht="13">
      <c r="A5979" s="562" t="s">
        <v>12917</v>
      </c>
      <c r="B5979" s="563" t="s">
        <v>12918</v>
      </c>
      <c r="C5979" s="564" t="s">
        <v>2484</v>
      </c>
      <c r="D5979" s="565">
        <v>39815</v>
      </c>
      <c r="E5979" s="565">
        <v>40178</v>
      </c>
      <c r="F5979" s="566">
        <v>17372727</v>
      </c>
      <c r="G5979" s="564" t="s">
        <v>12129</v>
      </c>
      <c r="H5979" s="564" t="s">
        <v>12125</v>
      </c>
      <c r="I5979" s="564" t="s">
        <v>12147</v>
      </c>
      <c r="J5979" s="564" t="s">
        <v>1069</v>
      </c>
      <c r="K5979" s="564" t="s">
        <v>2466</v>
      </c>
      <c r="L5979" s="564" t="s">
        <v>2467</v>
      </c>
      <c r="M5979" s="564" t="s">
        <v>2466</v>
      </c>
      <c r="N5979" s="564" t="s">
        <v>2543</v>
      </c>
      <c r="O5979" s="564" t="s">
        <v>12077</v>
      </c>
      <c r="P5979" s="23"/>
      <c r="Q5979" s="23"/>
      <c r="R5979" s="23"/>
      <c r="S5979" s="23"/>
      <c r="T5979" s="23"/>
      <c r="U5979" s="23"/>
      <c r="V5979" s="23"/>
      <c r="W5979" s="23"/>
      <c r="X5979" s="23"/>
      <c r="Y5979" s="23"/>
      <c r="Z5979" s="23"/>
    </row>
    <row r="5980" spans="1:26" ht="13">
      <c r="A5980" s="562" t="s">
        <v>12919</v>
      </c>
      <c r="B5980" s="563" t="s">
        <v>12920</v>
      </c>
      <c r="C5980" s="564" t="s">
        <v>2484</v>
      </c>
      <c r="D5980" s="565">
        <v>39833</v>
      </c>
      <c r="E5980" s="565">
        <v>39864</v>
      </c>
      <c r="F5980" s="566">
        <v>58181818</v>
      </c>
      <c r="G5980" s="564" t="s">
        <v>2434</v>
      </c>
      <c r="H5980" s="564" t="s">
        <v>2459</v>
      </c>
      <c r="I5980" s="564" t="s">
        <v>12921</v>
      </c>
      <c r="J5980" s="564" t="s">
        <v>1069</v>
      </c>
      <c r="K5980" s="564" t="s">
        <v>2466</v>
      </c>
      <c r="L5980" s="564" t="s">
        <v>2467</v>
      </c>
      <c r="M5980" s="564" t="s">
        <v>2466</v>
      </c>
      <c r="N5980" s="564" t="s">
        <v>1368</v>
      </c>
      <c r="O5980" s="564" t="s">
        <v>4798</v>
      </c>
      <c r="P5980" s="23"/>
      <c r="Q5980" s="23"/>
      <c r="R5980" s="23"/>
      <c r="S5980" s="23"/>
      <c r="T5980" s="23"/>
      <c r="U5980" s="23"/>
      <c r="V5980" s="23"/>
      <c r="W5980" s="23"/>
      <c r="X5980" s="23"/>
      <c r="Y5980" s="23"/>
      <c r="Z5980" s="23"/>
    </row>
    <row r="5981" spans="1:26" ht="13">
      <c r="A5981" s="562" t="s">
        <v>12922</v>
      </c>
      <c r="B5981" s="563" t="s">
        <v>12923</v>
      </c>
      <c r="C5981" s="564" t="s">
        <v>2484</v>
      </c>
      <c r="D5981" s="565">
        <v>39910</v>
      </c>
      <c r="E5981" s="565">
        <v>40229</v>
      </c>
      <c r="F5981" s="566">
        <v>493745455</v>
      </c>
      <c r="G5981" s="564" t="s">
        <v>12592</v>
      </c>
      <c r="H5981" s="564" t="s">
        <v>12096</v>
      </c>
      <c r="I5981" s="564" t="s">
        <v>12312</v>
      </c>
      <c r="J5981" s="564" t="s">
        <v>1069</v>
      </c>
      <c r="K5981" s="564" t="s">
        <v>2466</v>
      </c>
      <c r="L5981" s="564" t="s">
        <v>2467</v>
      </c>
      <c r="M5981" s="564" t="s">
        <v>2466</v>
      </c>
      <c r="N5981" s="564" t="s">
        <v>1082</v>
      </c>
      <c r="O5981" s="564" t="s">
        <v>12077</v>
      </c>
      <c r="P5981" s="23"/>
      <c r="Q5981" s="23"/>
      <c r="R5981" s="23"/>
      <c r="S5981" s="23"/>
      <c r="T5981" s="23"/>
      <c r="U5981" s="23"/>
      <c r="V5981" s="23"/>
      <c r="W5981" s="23"/>
      <c r="X5981" s="23"/>
      <c r="Y5981" s="23"/>
      <c r="Z5981" s="23"/>
    </row>
    <row r="5982" spans="1:26" ht="13">
      <c r="A5982" s="562" t="s">
        <v>12924</v>
      </c>
      <c r="B5982" s="563" t="s">
        <v>12925</v>
      </c>
      <c r="C5982" s="564" t="s">
        <v>2484</v>
      </c>
      <c r="D5982" s="565">
        <v>40178</v>
      </c>
      <c r="E5982" s="565">
        <v>40198</v>
      </c>
      <c r="F5982" s="566">
        <v>13636364</v>
      </c>
      <c r="G5982" s="564" t="s">
        <v>12548</v>
      </c>
      <c r="H5982" s="564" t="s">
        <v>2546</v>
      </c>
      <c r="I5982" s="564" t="s">
        <v>12926</v>
      </c>
      <c r="J5982" s="564" t="s">
        <v>1069</v>
      </c>
      <c r="K5982" s="564" t="s">
        <v>2466</v>
      </c>
      <c r="L5982" s="564" t="s">
        <v>2467</v>
      </c>
      <c r="M5982" s="564" t="s">
        <v>2466</v>
      </c>
      <c r="N5982" s="564" t="s">
        <v>1368</v>
      </c>
      <c r="O5982" s="564" t="s">
        <v>4798</v>
      </c>
      <c r="P5982" s="23"/>
      <c r="Q5982" s="23"/>
      <c r="R5982" s="23"/>
      <c r="S5982" s="23"/>
      <c r="T5982" s="23"/>
      <c r="U5982" s="23"/>
      <c r="V5982" s="23"/>
      <c r="W5982" s="23"/>
      <c r="X5982" s="23"/>
      <c r="Y5982" s="23"/>
      <c r="Z5982" s="23"/>
    </row>
    <row r="5983" spans="1:26" ht="13">
      <c r="A5983" s="562" t="s">
        <v>12927</v>
      </c>
      <c r="B5983" s="563" t="s">
        <v>12928</v>
      </c>
      <c r="C5983" s="564" t="s">
        <v>2484</v>
      </c>
      <c r="D5983" s="565">
        <v>40169</v>
      </c>
      <c r="E5983" s="565">
        <v>40408</v>
      </c>
      <c r="F5983" s="566">
        <v>5564800</v>
      </c>
      <c r="G5983" s="564" t="s">
        <v>2434</v>
      </c>
      <c r="H5983" s="564" t="s">
        <v>12134</v>
      </c>
      <c r="I5983" s="564" t="s">
        <v>12297</v>
      </c>
      <c r="J5983" s="564" t="s">
        <v>1069</v>
      </c>
      <c r="K5983" s="564" t="s">
        <v>2466</v>
      </c>
      <c r="L5983" s="564" t="s">
        <v>2467</v>
      </c>
      <c r="M5983" s="564" t="s">
        <v>2466</v>
      </c>
      <c r="N5983" s="564" t="s">
        <v>2439</v>
      </c>
      <c r="O5983" s="564" t="s">
        <v>12077</v>
      </c>
      <c r="P5983" s="23"/>
      <c r="Q5983" s="23"/>
      <c r="R5983" s="23"/>
      <c r="S5983" s="23"/>
      <c r="T5983" s="23"/>
      <c r="U5983" s="23"/>
      <c r="V5983" s="23"/>
      <c r="W5983" s="23"/>
      <c r="X5983" s="23"/>
      <c r="Y5983" s="23"/>
      <c r="Z5983" s="23"/>
    </row>
    <row r="5984" spans="1:26" ht="13">
      <c r="A5984" s="562" t="s">
        <v>12929</v>
      </c>
      <c r="B5984" s="563" t="s">
        <v>12930</v>
      </c>
      <c r="C5984" s="564" t="s">
        <v>2484</v>
      </c>
      <c r="D5984" s="565">
        <v>40168</v>
      </c>
      <c r="E5984" s="565">
        <v>40208</v>
      </c>
      <c r="F5984" s="566">
        <v>90227273</v>
      </c>
      <c r="G5984" s="564" t="s">
        <v>12133</v>
      </c>
      <c r="H5984" s="564" t="s">
        <v>2546</v>
      </c>
      <c r="I5984" s="564" t="s">
        <v>2515</v>
      </c>
      <c r="J5984" s="564" t="s">
        <v>1069</v>
      </c>
      <c r="K5984" s="564" t="s">
        <v>2466</v>
      </c>
      <c r="L5984" s="564" t="s">
        <v>2467</v>
      </c>
      <c r="M5984" s="564" t="s">
        <v>2466</v>
      </c>
      <c r="N5984" s="564" t="s">
        <v>2325</v>
      </c>
      <c r="O5984" s="564" t="s">
        <v>12077</v>
      </c>
      <c r="P5984" s="23"/>
      <c r="Q5984" s="23"/>
      <c r="R5984" s="23"/>
      <c r="S5984" s="23"/>
      <c r="T5984" s="23"/>
      <c r="U5984" s="23"/>
      <c r="V5984" s="23"/>
      <c r="W5984" s="23"/>
      <c r="X5984" s="23"/>
      <c r="Y5984" s="23"/>
      <c r="Z5984" s="23"/>
    </row>
    <row r="5985" spans="1:26" ht="13">
      <c r="A5985" s="562" t="s">
        <v>12931</v>
      </c>
      <c r="B5985" s="563" t="s">
        <v>12932</v>
      </c>
      <c r="C5985" s="564" t="s">
        <v>2484</v>
      </c>
      <c r="D5985" s="565">
        <v>40168</v>
      </c>
      <c r="E5985" s="565">
        <v>40193</v>
      </c>
      <c r="F5985" s="566">
        <v>46000000</v>
      </c>
      <c r="G5985" s="564" t="s">
        <v>12548</v>
      </c>
      <c r="H5985" s="564" t="s">
        <v>2546</v>
      </c>
      <c r="I5985" s="564" t="s">
        <v>12933</v>
      </c>
      <c r="J5985" s="564" t="s">
        <v>1069</v>
      </c>
      <c r="K5985" s="564" t="s">
        <v>2466</v>
      </c>
      <c r="L5985" s="564" t="s">
        <v>2467</v>
      </c>
      <c r="M5985" s="564" t="s">
        <v>2466</v>
      </c>
      <c r="N5985" s="564" t="s">
        <v>1082</v>
      </c>
      <c r="O5985" s="564" t="s">
        <v>4798</v>
      </c>
      <c r="P5985" s="23"/>
      <c r="Q5985" s="23"/>
      <c r="R5985" s="23"/>
      <c r="S5985" s="23"/>
      <c r="T5985" s="23"/>
      <c r="U5985" s="23"/>
      <c r="V5985" s="23"/>
      <c r="W5985" s="23"/>
      <c r="X5985" s="23"/>
      <c r="Y5985" s="23"/>
      <c r="Z5985" s="23"/>
    </row>
    <row r="5986" spans="1:26" ht="13">
      <c r="A5986" s="562" t="s">
        <v>12934</v>
      </c>
      <c r="B5986" s="563" t="s">
        <v>12935</v>
      </c>
      <c r="C5986" s="564" t="s">
        <v>2484</v>
      </c>
      <c r="D5986" s="565">
        <v>40168</v>
      </c>
      <c r="E5986" s="565">
        <v>40543</v>
      </c>
      <c r="F5986" s="566">
        <v>20000000</v>
      </c>
      <c r="G5986" s="564" t="s">
        <v>12268</v>
      </c>
      <c r="H5986" s="564" t="s">
        <v>2459</v>
      </c>
      <c r="I5986" s="564" t="s">
        <v>12141</v>
      </c>
      <c r="J5986" s="564" t="s">
        <v>1069</v>
      </c>
      <c r="K5986" s="564" t="s">
        <v>2466</v>
      </c>
      <c r="L5986" s="564" t="s">
        <v>2467</v>
      </c>
      <c r="M5986" s="564" t="s">
        <v>2466</v>
      </c>
      <c r="N5986" s="564" t="s">
        <v>2543</v>
      </c>
      <c r="O5986" s="564" t="s">
        <v>12077</v>
      </c>
      <c r="P5986" s="23"/>
      <c r="Q5986" s="23"/>
      <c r="R5986" s="23"/>
      <c r="S5986" s="23"/>
      <c r="T5986" s="23"/>
      <c r="U5986" s="23"/>
      <c r="V5986" s="23"/>
      <c r="W5986" s="23"/>
      <c r="X5986" s="23"/>
      <c r="Y5986" s="23"/>
      <c r="Z5986" s="23"/>
    </row>
    <row r="5987" spans="1:26" ht="13">
      <c r="A5987" s="562" t="s">
        <v>12936</v>
      </c>
      <c r="B5987" s="563" t="s">
        <v>12937</v>
      </c>
      <c r="C5987" s="564" t="s">
        <v>2484</v>
      </c>
      <c r="D5987" s="565">
        <v>40165</v>
      </c>
      <c r="E5987" s="565">
        <v>40234</v>
      </c>
      <c r="F5987" s="566">
        <v>118854545</v>
      </c>
      <c r="G5987" s="564" t="s">
        <v>12293</v>
      </c>
      <c r="H5987" s="564" t="s">
        <v>12096</v>
      </c>
      <c r="I5987" s="564" t="s">
        <v>2542</v>
      </c>
      <c r="J5987" s="564" t="s">
        <v>1069</v>
      </c>
      <c r="K5987" s="564" t="s">
        <v>2466</v>
      </c>
      <c r="L5987" s="564" t="s">
        <v>2467</v>
      </c>
      <c r="M5987" s="564" t="s">
        <v>2466</v>
      </c>
      <c r="N5987" s="564" t="s">
        <v>2543</v>
      </c>
      <c r="O5987" s="564" t="s">
        <v>12077</v>
      </c>
      <c r="P5987" s="23"/>
      <c r="Q5987" s="23"/>
      <c r="R5987" s="23"/>
      <c r="S5987" s="23"/>
      <c r="T5987" s="23"/>
      <c r="U5987" s="23"/>
      <c r="V5987" s="23"/>
      <c r="W5987" s="23"/>
      <c r="X5987" s="23"/>
      <c r="Y5987" s="23"/>
      <c r="Z5987" s="23"/>
    </row>
    <row r="5988" spans="1:26" ht="13">
      <c r="A5988" s="562" t="s">
        <v>12938</v>
      </c>
      <c r="B5988" s="563" t="s">
        <v>12939</v>
      </c>
      <c r="C5988" s="564" t="s">
        <v>2484</v>
      </c>
      <c r="D5988" s="565">
        <v>40164</v>
      </c>
      <c r="E5988" s="565">
        <v>40193</v>
      </c>
      <c r="F5988" s="566">
        <v>23000000</v>
      </c>
      <c r="G5988" s="564" t="s">
        <v>12548</v>
      </c>
      <c r="H5988" s="564" t="s">
        <v>2546</v>
      </c>
      <c r="I5988" s="564" t="s">
        <v>12940</v>
      </c>
      <c r="J5988" s="564" t="s">
        <v>1069</v>
      </c>
      <c r="K5988" s="564" t="s">
        <v>2466</v>
      </c>
      <c r="L5988" s="564" t="s">
        <v>2467</v>
      </c>
      <c r="M5988" s="564" t="s">
        <v>2466</v>
      </c>
      <c r="N5988" s="564" t="s">
        <v>1082</v>
      </c>
      <c r="O5988" s="564" t="s">
        <v>4798</v>
      </c>
      <c r="P5988" s="23"/>
      <c r="Q5988" s="23"/>
      <c r="R5988" s="23"/>
      <c r="S5988" s="23"/>
      <c r="T5988" s="23"/>
      <c r="U5988" s="23"/>
      <c r="V5988" s="23"/>
      <c r="W5988" s="23"/>
      <c r="X5988" s="23"/>
      <c r="Y5988" s="23"/>
      <c r="Z5988" s="23"/>
    </row>
    <row r="5989" spans="1:26" ht="13">
      <c r="A5989" s="562" t="s">
        <v>12941</v>
      </c>
      <c r="B5989" s="563" t="s">
        <v>12942</v>
      </c>
      <c r="C5989" s="564" t="s">
        <v>2484</v>
      </c>
      <c r="D5989" s="565">
        <v>40154</v>
      </c>
      <c r="E5989" s="565">
        <v>40162</v>
      </c>
      <c r="F5989" s="566">
        <v>30000000</v>
      </c>
      <c r="G5989" s="564" t="s">
        <v>2434</v>
      </c>
      <c r="H5989" s="564" t="s">
        <v>12365</v>
      </c>
      <c r="I5989" s="564" t="s">
        <v>12943</v>
      </c>
      <c r="J5989" s="564" t="s">
        <v>1069</v>
      </c>
      <c r="K5989" s="564" t="s">
        <v>2466</v>
      </c>
      <c r="L5989" s="564" t="s">
        <v>2467</v>
      </c>
      <c r="M5989" s="564" t="s">
        <v>2466</v>
      </c>
      <c r="N5989" s="564" t="s">
        <v>1082</v>
      </c>
      <c r="O5989" s="564" t="s">
        <v>12077</v>
      </c>
      <c r="P5989" s="23"/>
      <c r="Q5989" s="23"/>
      <c r="R5989" s="23"/>
      <c r="S5989" s="23"/>
      <c r="T5989" s="23"/>
      <c r="U5989" s="23"/>
      <c r="V5989" s="23"/>
      <c r="W5989" s="23"/>
      <c r="X5989" s="23"/>
      <c r="Y5989" s="23"/>
      <c r="Z5989" s="23"/>
    </row>
    <row r="5990" spans="1:26" ht="13">
      <c r="A5990" s="562" t="s">
        <v>12944</v>
      </c>
      <c r="B5990" s="563" t="s">
        <v>12945</v>
      </c>
      <c r="C5990" s="564" t="s">
        <v>2484</v>
      </c>
      <c r="D5990" s="565">
        <v>40161</v>
      </c>
      <c r="E5990" s="565">
        <v>40163</v>
      </c>
      <c r="F5990" s="566">
        <v>7727273</v>
      </c>
      <c r="G5990" s="564" t="s">
        <v>2434</v>
      </c>
      <c r="H5990" s="564" t="s">
        <v>12365</v>
      </c>
      <c r="I5990" s="564" t="s">
        <v>12847</v>
      </c>
      <c r="J5990" s="564" t="s">
        <v>1069</v>
      </c>
      <c r="K5990" s="564" t="s">
        <v>2466</v>
      </c>
      <c r="L5990" s="564" t="s">
        <v>2467</v>
      </c>
      <c r="M5990" s="564" t="s">
        <v>2466</v>
      </c>
      <c r="N5990" s="564" t="s">
        <v>2325</v>
      </c>
      <c r="O5990" s="564" t="s">
        <v>12077</v>
      </c>
      <c r="P5990" s="23"/>
      <c r="Q5990" s="23"/>
      <c r="R5990" s="23"/>
      <c r="S5990" s="23"/>
      <c r="T5990" s="23"/>
      <c r="U5990" s="23"/>
      <c r="V5990" s="23"/>
      <c r="W5990" s="23"/>
      <c r="X5990" s="23"/>
      <c r="Y5990" s="23"/>
      <c r="Z5990" s="23"/>
    </row>
    <row r="5991" spans="1:26" ht="13">
      <c r="A5991" s="562" t="s">
        <v>12946</v>
      </c>
      <c r="B5991" s="563" t="s">
        <v>12947</v>
      </c>
      <c r="C5991" s="564" t="s">
        <v>2484</v>
      </c>
      <c r="D5991" s="565">
        <v>40161</v>
      </c>
      <c r="E5991" s="565">
        <v>40163</v>
      </c>
      <c r="F5991" s="566">
        <v>17272727</v>
      </c>
      <c r="G5991" s="564" t="s">
        <v>2434</v>
      </c>
      <c r="H5991" s="564" t="s">
        <v>12365</v>
      </c>
      <c r="I5991" s="564" t="s">
        <v>12847</v>
      </c>
      <c r="J5991" s="564" t="s">
        <v>1069</v>
      </c>
      <c r="K5991" s="564" t="s">
        <v>2466</v>
      </c>
      <c r="L5991" s="564" t="s">
        <v>2467</v>
      </c>
      <c r="M5991" s="564" t="s">
        <v>2466</v>
      </c>
      <c r="N5991" s="564" t="s">
        <v>2325</v>
      </c>
      <c r="O5991" s="564" t="s">
        <v>12077</v>
      </c>
      <c r="P5991" s="23"/>
      <c r="Q5991" s="23"/>
      <c r="R5991" s="23"/>
      <c r="S5991" s="23"/>
      <c r="T5991" s="23"/>
      <c r="U5991" s="23"/>
      <c r="V5991" s="23"/>
      <c r="W5991" s="23"/>
      <c r="X5991" s="23"/>
      <c r="Y5991" s="23"/>
      <c r="Z5991" s="23"/>
    </row>
    <row r="5992" spans="1:26" ht="13">
      <c r="A5992" s="562" t="s">
        <v>12948</v>
      </c>
      <c r="B5992" s="563" t="s">
        <v>12949</v>
      </c>
      <c r="C5992" s="564" t="s">
        <v>2484</v>
      </c>
      <c r="D5992" s="565">
        <v>40141</v>
      </c>
      <c r="E5992" s="565">
        <v>40201</v>
      </c>
      <c r="F5992" s="566">
        <v>4545455</v>
      </c>
      <c r="G5992" s="564" t="s">
        <v>2434</v>
      </c>
      <c r="H5992" s="564" t="s">
        <v>12365</v>
      </c>
      <c r="I5992" s="564" t="s">
        <v>12913</v>
      </c>
      <c r="J5992" s="564" t="s">
        <v>1069</v>
      </c>
      <c r="K5992" s="564" t="s">
        <v>2466</v>
      </c>
      <c r="L5992" s="564" t="s">
        <v>2467</v>
      </c>
      <c r="M5992" s="564" t="s">
        <v>2466</v>
      </c>
      <c r="N5992" s="564" t="s">
        <v>1368</v>
      </c>
      <c r="O5992" s="564" t="s">
        <v>12077</v>
      </c>
      <c r="P5992" s="23"/>
      <c r="Q5992" s="23"/>
      <c r="R5992" s="23"/>
      <c r="S5992" s="23"/>
      <c r="T5992" s="23"/>
      <c r="U5992" s="23"/>
      <c r="V5992" s="23"/>
      <c r="W5992" s="23"/>
      <c r="X5992" s="23"/>
      <c r="Y5992" s="23"/>
      <c r="Z5992" s="23"/>
    </row>
    <row r="5993" spans="1:26" ht="13">
      <c r="A5993" s="562" t="s">
        <v>12950</v>
      </c>
      <c r="B5993" s="563" t="s">
        <v>12951</v>
      </c>
      <c r="C5993" s="564" t="s">
        <v>2484</v>
      </c>
      <c r="D5993" s="565">
        <v>39995</v>
      </c>
      <c r="E5993" s="565">
        <v>40056</v>
      </c>
      <c r="F5993" s="566">
        <v>18181818</v>
      </c>
      <c r="G5993" s="564" t="s">
        <v>12084</v>
      </c>
      <c r="H5993" s="564" t="s">
        <v>2541</v>
      </c>
      <c r="I5993" s="564" t="s">
        <v>12952</v>
      </c>
      <c r="J5993" s="564" t="s">
        <v>1069</v>
      </c>
      <c r="K5993" s="564" t="s">
        <v>2466</v>
      </c>
      <c r="L5993" s="564" t="s">
        <v>2467</v>
      </c>
      <c r="M5993" s="564" t="s">
        <v>2466</v>
      </c>
      <c r="N5993" s="564" t="s">
        <v>1368</v>
      </c>
      <c r="O5993" s="564" t="s">
        <v>12077</v>
      </c>
      <c r="P5993" s="23"/>
      <c r="Q5993" s="23"/>
      <c r="R5993" s="23"/>
      <c r="S5993" s="23"/>
      <c r="T5993" s="23"/>
      <c r="U5993" s="23"/>
      <c r="V5993" s="23"/>
      <c r="W5993" s="23"/>
      <c r="X5993" s="23"/>
      <c r="Y5993" s="23"/>
      <c r="Z5993" s="23"/>
    </row>
    <row r="5994" spans="1:26" ht="13">
      <c r="A5994" s="562" t="s">
        <v>12953</v>
      </c>
      <c r="B5994" s="563" t="s">
        <v>12954</v>
      </c>
      <c r="C5994" s="564" t="s">
        <v>2484</v>
      </c>
      <c r="D5994" s="565">
        <v>40158</v>
      </c>
      <c r="E5994" s="565">
        <v>40227</v>
      </c>
      <c r="F5994" s="566">
        <v>92909091</v>
      </c>
      <c r="G5994" s="564" t="s">
        <v>12586</v>
      </c>
      <c r="H5994" s="564" t="s">
        <v>2459</v>
      </c>
      <c r="I5994" s="564" t="s">
        <v>12955</v>
      </c>
      <c r="J5994" s="564" t="s">
        <v>1069</v>
      </c>
      <c r="K5994" s="564" t="s">
        <v>2466</v>
      </c>
      <c r="L5994" s="564" t="s">
        <v>2467</v>
      </c>
      <c r="M5994" s="564" t="s">
        <v>2466</v>
      </c>
      <c r="N5994" s="564" t="s">
        <v>2543</v>
      </c>
      <c r="O5994" s="564" t="s">
        <v>12077</v>
      </c>
      <c r="P5994" s="23"/>
      <c r="Q5994" s="23"/>
      <c r="R5994" s="23"/>
      <c r="S5994" s="23"/>
      <c r="T5994" s="23"/>
      <c r="U5994" s="23"/>
      <c r="V5994" s="23"/>
      <c r="W5994" s="23"/>
      <c r="X5994" s="23"/>
      <c r="Y5994" s="23"/>
      <c r="Z5994" s="23"/>
    </row>
    <row r="5995" spans="1:26" ht="13">
      <c r="A5995" s="562" t="s">
        <v>12956</v>
      </c>
      <c r="B5995" s="563" t="s">
        <v>12957</v>
      </c>
      <c r="C5995" s="564" t="s">
        <v>2484</v>
      </c>
      <c r="D5995" s="565">
        <v>40101</v>
      </c>
      <c r="E5995" s="565">
        <v>40102</v>
      </c>
      <c r="F5995" s="566">
        <v>5000000</v>
      </c>
      <c r="G5995" s="564" t="s">
        <v>12084</v>
      </c>
      <c r="H5995" s="564" t="s">
        <v>2546</v>
      </c>
      <c r="I5995" s="564" t="s">
        <v>12958</v>
      </c>
      <c r="J5995" s="564" t="s">
        <v>1069</v>
      </c>
      <c r="K5995" s="564" t="s">
        <v>2466</v>
      </c>
      <c r="L5995" s="564" t="s">
        <v>2467</v>
      </c>
      <c r="M5995" s="564" t="s">
        <v>2466</v>
      </c>
      <c r="N5995" s="564" t="s">
        <v>1082</v>
      </c>
      <c r="O5995" s="564" t="s">
        <v>12077</v>
      </c>
      <c r="P5995" s="23"/>
      <c r="Q5995" s="23"/>
      <c r="R5995" s="23"/>
      <c r="S5995" s="23"/>
      <c r="T5995" s="23"/>
      <c r="U5995" s="23"/>
      <c r="V5995" s="23"/>
      <c r="W5995" s="23"/>
      <c r="X5995" s="23"/>
      <c r="Y5995" s="23"/>
      <c r="Z5995" s="23"/>
    </row>
    <row r="5996" spans="1:26" ht="13">
      <c r="A5996" s="562" t="s">
        <v>12959</v>
      </c>
      <c r="B5996" s="563" t="s">
        <v>12960</v>
      </c>
      <c r="C5996" s="564" t="s">
        <v>2484</v>
      </c>
      <c r="D5996" s="565">
        <v>40133</v>
      </c>
      <c r="E5996" s="565">
        <v>40157</v>
      </c>
      <c r="F5996" s="566">
        <v>23000000</v>
      </c>
      <c r="G5996" s="564" t="s">
        <v>12548</v>
      </c>
      <c r="H5996" s="564" t="s">
        <v>2546</v>
      </c>
      <c r="I5996" s="564" t="s">
        <v>12583</v>
      </c>
      <c r="J5996" s="564" t="s">
        <v>1069</v>
      </c>
      <c r="K5996" s="564" t="s">
        <v>2466</v>
      </c>
      <c r="L5996" s="564" t="s">
        <v>2467</v>
      </c>
      <c r="M5996" s="564" t="s">
        <v>2466</v>
      </c>
      <c r="N5996" s="564" t="s">
        <v>1082</v>
      </c>
      <c r="O5996" s="564" t="s">
        <v>4798</v>
      </c>
      <c r="P5996" s="23"/>
      <c r="Q5996" s="23"/>
      <c r="R5996" s="23"/>
      <c r="S5996" s="23"/>
      <c r="T5996" s="23"/>
      <c r="U5996" s="23"/>
      <c r="V5996" s="23"/>
      <c r="W5996" s="23"/>
      <c r="X5996" s="23"/>
      <c r="Y5996" s="23"/>
      <c r="Z5996" s="23"/>
    </row>
    <row r="5997" spans="1:26" ht="13">
      <c r="A5997" s="562" t="s">
        <v>12961</v>
      </c>
      <c r="B5997" s="563" t="s">
        <v>12962</v>
      </c>
      <c r="C5997" s="564" t="s">
        <v>2484</v>
      </c>
      <c r="D5997" s="565">
        <v>40127</v>
      </c>
      <c r="E5997" s="565">
        <v>40277</v>
      </c>
      <c r="F5997" s="566">
        <v>178931818</v>
      </c>
      <c r="G5997" s="564" t="s">
        <v>12133</v>
      </c>
      <c r="H5997" s="564" t="s">
        <v>2546</v>
      </c>
      <c r="I5997" s="564" t="s">
        <v>12963</v>
      </c>
      <c r="J5997" s="564" t="s">
        <v>1069</v>
      </c>
      <c r="K5997" s="564" t="s">
        <v>2466</v>
      </c>
      <c r="L5997" s="564" t="s">
        <v>2467</v>
      </c>
      <c r="M5997" s="564" t="s">
        <v>2466</v>
      </c>
      <c r="N5997" s="564" t="s">
        <v>2543</v>
      </c>
      <c r="O5997" s="564" t="s">
        <v>12077</v>
      </c>
      <c r="P5997" s="23"/>
      <c r="Q5997" s="23"/>
      <c r="R5997" s="23"/>
      <c r="S5997" s="23"/>
      <c r="T5997" s="23"/>
      <c r="U5997" s="23"/>
      <c r="V5997" s="23"/>
      <c r="W5997" s="23"/>
      <c r="X5997" s="23"/>
      <c r="Y5997" s="23"/>
      <c r="Z5997" s="23"/>
    </row>
    <row r="5998" spans="1:26" ht="13">
      <c r="A5998" s="562" t="s">
        <v>12964</v>
      </c>
      <c r="B5998" s="563" t="s">
        <v>12965</v>
      </c>
      <c r="C5998" s="564" t="s">
        <v>2484</v>
      </c>
      <c r="D5998" s="565">
        <v>40112</v>
      </c>
      <c r="E5998" s="565">
        <v>40487</v>
      </c>
      <c r="F5998" s="566">
        <v>73736364</v>
      </c>
      <c r="G5998" s="564" t="s">
        <v>12133</v>
      </c>
      <c r="H5998" s="564" t="s">
        <v>12125</v>
      </c>
      <c r="I5998" s="564" t="s">
        <v>12334</v>
      </c>
      <c r="J5998" s="564" t="s">
        <v>1069</v>
      </c>
      <c r="K5998" s="564" t="s">
        <v>2466</v>
      </c>
      <c r="L5998" s="564" t="s">
        <v>2467</v>
      </c>
      <c r="M5998" s="564" t="s">
        <v>2466</v>
      </c>
      <c r="N5998" s="564" t="s">
        <v>2439</v>
      </c>
      <c r="O5998" s="564" t="s">
        <v>12077</v>
      </c>
      <c r="P5998" s="23"/>
      <c r="Q5998" s="23"/>
      <c r="R5998" s="23"/>
      <c r="S5998" s="23"/>
      <c r="T5998" s="23"/>
      <c r="U5998" s="23"/>
      <c r="V5998" s="23"/>
      <c r="W5998" s="23"/>
      <c r="X5998" s="23"/>
      <c r="Y5998" s="23"/>
      <c r="Z5998" s="23"/>
    </row>
    <row r="5999" spans="1:26" ht="13">
      <c r="A5999" s="562" t="s">
        <v>12966</v>
      </c>
      <c r="B5999" s="563" t="s">
        <v>12967</v>
      </c>
      <c r="C5999" s="564" t="s">
        <v>1612</v>
      </c>
      <c r="D5999" s="565">
        <v>39814</v>
      </c>
      <c r="E5999" s="565">
        <v>40178</v>
      </c>
      <c r="F5999" s="566">
        <v>58272000</v>
      </c>
      <c r="G5999" s="564" t="s">
        <v>1729</v>
      </c>
      <c r="H5999" s="564" t="s">
        <v>1128</v>
      </c>
      <c r="I5999" s="564" t="s">
        <v>70</v>
      </c>
      <c r="J5999" s="564" t="s">
        <v>1069</v>
      </c>
      <c r="K5999" s="564" t="s">
        <v>1120</v>
      </c>
      <c r="L5999" s="564" t="s">
        <v>1071</v>
      </c>
      <c r="M5999" s="564" t="s">
        <v>1091</v>
      </c>
      <c r="N5999" s="564" t="s">
        <v>70</v>
      </c>
      <c r="O5999" s="564" t="s">
        <v>241</v>
      </c>
      <c r="P5999" s="23"/>
      <c r="Q5999" s="23"/>
      <c r="R5999" s="23"/>
      <c r="S5999" s="23"/>
      <c r="T5999" s="23"/>
      <c r="U5999" s="23"/>
      <c r="V5999" s="23"/>
      <c r="W5999" s="23"/>
      <c r="X5999" s="23"/>
      <c r="Y5999" s="23"/>
      <c r="Z5999" s="23"/>
    </row>
    <row r="6000" spans="1:26" ht="13">
      <c r="A6000" s="562" t="s">
        <v>12968</v>
      </c>
      <c r="B6000" s="563" t="s">
        <v>12969</v>
      </c>
      <c r="C6000" s="564" t="s">
        <v>2191</v>
      </c>
      <c r="D6000" s="565">
        <v>40177</v>
      </c>
      <c r="E6000" s="565">
        <v>40541</v>
      </c>
      <c r="F6000" s="566">
        <v>81800000</v>
      </c>
      <c r="G6000" s="564" t="s">
        <v>1912</v>
      </c>
      <c r="H6000" s="564" t="s">
        <v>1123</v>
      </c>
      <c r="I6000" s="564" t="s">
        <v>143</v>
      </c>
      <c r="J6000" s="564" t="s">
        <v>1069</v>
      </c>
      <c r="K6000" s="564" t="s">
        <v>1205</v>
      </c>
      <c r="L6000" s="564" t="s">
        <v>1071</v>
      </c>
      <c r="M6000" s="564" t="s">
        <v>1091</v>
      </c>
      <c r="N6000" s="564" t="s">
        <v>1073</v>
      </c>
      <c r="O6000" s="564" t="s">
        <v>241</v>
      </c>
      <c r="P6000" s="23"/>
      <c r="Q6000" s="23"/>
      <c r="R6000" s="23"/>
      <c r="S6000" s="23"/>
      <c r="T6000" s="23"/>
      <c r="U6000" s="23"/>
      <c r="V6000" s="23"/>
      <c r="W6000" s="23"/>
      <c r="X6000" s="23"/>
      <c r="Y6000" s="23"/>
      <c r="Z6000" s="23"/>
    </row>
    <row r="6001" spans="1:26" ht="13">
      <c r="A6001" s="562" t="s">
        <v>12970</v>
      </c>
      <c r="B6001" s="563" t="s">
        <v>1910</v>
      </c>
      <c r="C6001" s="564" t="s">
        <v>1612</v>
      </c>
      <c r="D6001" s="565">
        <v>40168</v>
      </c>
      <c r="E6001" s="565">
        <v>41993</v>
      </c>
      <c r="F6001" s="566">
        <v>221460000</v>
      </c>
      <c r="G6001" s="564" t="s">
        <v>1961</v>
      </c>
      <c r="H6001" s="564" t="s">
        <v>1912</v>
      </c>
      <c r="I6001" s="564" t="s">
        <v>64</v>
      </c>
      <c r="J6001" s="564" t="s">
        <v>1069</v>
      </c>
      <c r="K6001" s="564" t="s">
        <v>1090</v>
      </c>
      <c r="L6001" s="564" t="s">
        <v>1390</v>
      </c>
      <c r="M6001" s="564" t="s">
        <v>1390</v>
      </c>
      <c r="N6001" s="564" t="s">
        <v>64</v>
      </c>
      <c r="O6001" s="564" t="s">
        <v>38</v>
      </c>
      <c r="P6001" s="23"/>
      <c r="Q6001" s="23"/>
      <c r="R6001" s="23"/>
      <c r="S6001" s="23"/>
      <c r="T6001" s="23"/>
      <c r="U6001" s="23"/>
      <c r="V6001" s="23"/>
      <c r="W6001" s="23"/>
      <c r="X6001" s="23"/>
      <c r="Y6001" s="23"/>
      <c r="Z6001" s="23"/>
    </row>
    <row r="6002" spans="1:26" ht="13">
      <c r="A6002" s="562" t="s">
        <v>12971</v>
      </c>
      <c r="B6002" s="563" t="s">
        <v>12972</v>
      </c>
      <c r="C6002" s="564" t="s">
        <v>1612</v>
      </c>
      <c r="D6002" s="565">
        <v>40168</v>
      </c>
      <c r="E6002" s="565">
        <v>40532</v>
      </c>
      <c r="F6002" s="566">
        <v>392592000</v>
      </c>
      <c r="G6002" s="564" t="s">
        <v>12663</v>
      </c>
      <c r="H6002" s="564" t="s">
        <v>1856</v>
      </c>
      <c r="I6002" s="564" t="s">
        <v>45</v>
      </c>
      <c r="J6002" s="564" t="s">
        <v>1069</v>
      </c>
      <c r="K6002" s="564" t="s">
        <v>1090</v>
      </c>
      <c r="L6002" s="564" t="s">
        <v>1071</v>
      </c>
      <c r="M6002" s="564" t="s">
        <v>1091</v>
      </c>
      <c r="N6002" s="564" t="s">
        <v>45</v>
      </c>
      <c r="O6002" s="564" t="s">
        <v>241</v>
      </c>
      <c r="P6002" s="23"/>
      <c r="Q6002" s="23"/>
      <c r="R6002" s="23"/>
      <c r="S6002" s="23"/>
      <c r="T6002" s="23"/>
      <c r="U6002" s="23"/>
      <c r="V6002" s="23"/>
      <c r="W6002" s="23"/>
      <c r="X6002" s="23"/>
      <c r="Y6002" s="23"/>
      <c r="Z6002" s="23"/>
    </row>
    <row r="6003" spans="1:26" ht="13">
      <c r="A6003" s="562" t="s">
        <v>12973</v>
      </c>
      <c r="B6003" s="563" t="s">
        <v>12974</v>
      </c>
      <c r="C6003" s="564" t="s">
        <v>1612</v>
      </c>
      <c r="D6003" s="565">
        <v>40207</v>
      </c>
      <c r="E6003" s="565">
        <v>40416</v>
      </c>
      <c r="F6003" s="566">
        <v>159975455</v>
      </c>
      <c r="G6003" s="564" t="s">
        <v>12975</v>
      </c>
      <c r="H6003" s="564" t="s">
        <v>1157</v>
      </c>
      <c r="I6003" s="564" t="s">
        <v>12251</v>
      </c>
      <c r="J6003" s="564" t="s">
        <v>1069</v>
      </c>
      <c r="K6003" s="564" t="s">
        <v>1120</v>
      </c>
      <c r="L6003" s="564" t="s">
        <v>1071</v>
      </c>
      <c r="M6003" s="564" t="s">
        <v>1091</v>
      </c>
      <c r="N6003" s="564" t="s">
        <v>1073</v>
      </c>
      <c r="O6003" s="564" t="s">
        <v>241</v>
      </c>
      <c r="P6003" s="23"/>
      <c r="Q6003" s="23"/>
      <c r="R6003" s="23"/>
      <c r="S6003" s="23"/>
      <c r="T6003" s="23"/>
      <c r="U6003" s="23"/>
      <c r="V6003" s="23"/>
      <c r="W6003" s="23"/>
      <c r="X6003" s="23"/>
      <c r="Y6003" s="23"/>
      <c r="Z6003" s="23"/>
    </row>
    <row r="6004" spans="1:26" ht="13">
      <c r="A6004" s="562" t="s">
        <v>12976</v>
      </c>
      <c r="B6004" s="563" t="s">
        <v>12977</v>
      </c>
      <c r="C6004" s="564" t="s">
        <v>2191</v>
      </c>
      <c r="D6004" s="565">
        <v>40148</v>
      </c>
      <c r="E6004" s="565">
        <v>40209</v>
      </c>
      <c r="F6004" s="566">
        <v>298000000</v>
      </c>
      <c r="G6004" s="564" t="s">
        <v>1753</v>
      </c>
      <c r="H6004" s="564" t="s">
        <v>1187</v>
      </c>
      <c r="I6004" s="564" t="s">
        <v>12978</v>
      </c>
      <c r="J6004" s="564" t="s">
        <v>1069</v>
      </c>
      <c r="K6004" s="564" t="s">
        <v>1120</v>
      </c>
      <c r="L6004" s="564" t="s">
        <v>1390</v>
      </c>
      <c r="M6004" s="564" t="s">
        <v>1390</v>
      </c>
      <c r="N6004" s="564" t="s">
        <v>1082</v>
      </c>
      <c r="O6004" s="564" t="s">
        <v>38</v>
      </c>
      <c r="P6004" s="23"/>
      <c r="Q6004" s="23"/>
      <c r="R6004" s="23"/>
      <c r="S6004" s="23"/>
      <c r="T6004" s="23"/>
      <c r="U6004" s="23"/>
      <c r="V6004" s="23"/>
      <c r="W6004" s="23"/>
      <c r="X6004" s="23"/>
      <c r="Y6004" s="23"/>
      <c r="Z6004" s="23"/>
    </row>
    <row r="6005" spans="1:26" ht="13">
      <c r="A6005" s="562" t="s">
        <v>12979</v>
      </c>
      <c r="B6005" s="563" t="s">
        <v>12980</v>
      </c>
      <c r="C6005" s="564" t="s">
        <v>1612</v>
      </c>
      <c r="D6005" s="565">
        <v>40134</v>
      </c>
      <c r="E6005" s="565">
        <v>40178</v>
      </c>
      <c r="F6005" s="567"/>
      <c r="G6005" s="564" t="s">
        <v>1123</v>
      </c>
      <c r="H6005" s="564" t="s">
        <v>1912</v>
      </c>
      <c r="I6005" s="564" t="s">
        <v>7768</v>
      </c>
      <c r="J6005" s="564" t="s">
        <v>1069</v>
      </c>
      <c r="K6005" s="564" t="s">
        <v>1198</v>
      </c>
      <c r="L6005" s="564" t="s">
        <v>1071</v>
      </c>
      <c r="M6005" s="564" t="s">
        <v>1124</v>
      </c>
      <c r="N6005" s="564" t="s">
        <v>1073</v>
      </c>
      <c r="O6005" s="564" t="s">
        <v>38</v>
      </c>
      <c r="P6005" s="23"/>
      <c r="Q6005" s="23"/>
      <c r="R6005" s="23"/>
      <c r="S6005" s="23"/>
      <c r="T6005" s="23"/>
      <c r="U6005" s="23"/>
      <c r="V6005" s="23"/>
      <c r="W6005" s="23"/>
      <c r="X6005" s="23"/>
      <c r="Y6005" s="23"/>
      <c r="Z6005" s="23"/>
    </row>
    <row r="6006" spans="1:26" ht="13">
      <c r="A6006" s="562" t="s">
        <v>12981</v>
      </c>
      <c r="B6006" s="563" t="s">
        <v>12982</v>
      </c>
      <c r="C6006" s="564" t="s">
        <v>1612</v>
      </c>
      <c r="D6006" s="565">
        <v>40146</v>
      </c>
      <c r="E6006" s="565">
        <v>40147</v>
      </c>
      <c r="F6006" s="566">
        <v>13411000</v>
      </c>
      <c r="G6006" s="564" t="s">
        <v>1298</v>
      </c>
      <c r="H6006" s="564" t="s">
        <v>1157</v>
      </c>
      <c r="I6006" s="564" t="s">
        <v>1821</v>
      </c>
      <c r="J6006" s="564" t="s">
        <v>1069</v>
      </c>
      <c r="K6006" s="564" t="s">
        <v>1120</v>
      </c>
      <c r="L6006" s="564" t="s">
        <v>1390</v>
      </c>
      <c r="M6006" s="564" t="s">
        <v>1390</v>
      </c>
      <c r="N6006" s="564" t="s">
        <v>1073</v>
      </c>
      <c r="O6006" s="564" t="s">
        <v>38</v>
      </c>
      <c r="P6006" s="23"/>
      <c r="Q6006" s="23"/>
      <c r="R6006" s="23"/>
      <c r="S6006" s="23"/>
      <c r="T6006" s="23"/>
      <c r="U6006" s="23"/>
      <c r="V6006" s="23"/>
      <c r="W6006" s="23"/>
      <c r="X6006" s="23"/>
      <c r="Y6006" s="23"/>
      <c r="Z6006" s="23"/>
    </row>
    <row r="6007" spans="1:26" ht="13">
      <c r="A6007" s="562" t="s">
        <v>12983</v>
      </c>
      <c r="B6007" s="563" t="s">
        <v>12984</v>
      </c>
      <c r="C6007" s="564" t="s">
        <v>1612</v>
      </c>
      <c r="D6007" s="565">
        <v>40079</v>
      </c>
      <c r="E6007" s="565">
        <v>40147</v>
      </c>
      <c r="F6007" s="566">
        <v>2300000</v>
      </c>
      <c r="G6007" s="564" t="s">
        <v>1123</v>
      </c>
      <c r="H6007" s="564" t="s">
        <v>1912</v>
      </c>
      <c r="I6007" s="564" t="s">
        <v>257</v>
      </c>
      <c r="J6007" s="564" t="s">
        <v>1069</v>
      </c>
      <c r="K6007" s="564" t="s">
        <v>1209</v>
      </c>
      <c r="L6007" s="564" t="s">
        <v>1071</v>
      </c>
      <c r="M6007" s="564" t="s">
        <v>1124</v>
      </c>
      <c r="N6007" s="564" t="s">
        <v>257</v>
      </c>
      <c r="O6007" s="564" t="s">
        <v>38</v>
      </c>
      <c r="P6007" s="23"/>
      <c r="Q6007" s="23"/>
      <c r="R6007" s="23"/>
      <c r="S6007" s="23"/>
      <c r="T6007" s="23"/>
      <c r="U6007" s="23"/>
      <c r="V6007" s="23"/>
      <c r="W6007" s="23"/>
      <c r="X6007" s="23"/>
      <c r="Y6007" s="23"/>
      <c r="Z6007" s="23"/>
    </row>
    <row r="6008" spans="1:26" ht="13">
      <c r="A6008" s="562" t="s">
        <v>12985</v>
      </c>
      <c r="B6008" s="563" t="s">
        <v>12986</v>
      </c>
      <c r="C6008" s="564" t="s">
        <v>1612</v>
      </c>
      <c r="D6008" s="565">
        <v>40121</v>
      </c>
      <c r="E6008" s="565">
        <v>40178</v>
      </c>
      <c r="F6008" s="566">
        <v>8236363</v>
      </c>
      <c r="G6008" s="564" t="s">
        <v>1123</v>
      </c>
      <c r="H6008" s="564" t="s">
        <v>1912</v>
      </c>
      <c r="I6008" s="564" t="s">
        <v>7768</v>
      </c>
      <c r="J6008" s="564" t="s">
        <v>1069</v>
      </c>
      <c r="K6008" s="564" t="s">
        <v>1198</v>
      </c>
      <c r="L6008" s="564" t="s">
        <v>1071</v>
      </c>
      <c r="M6008" s="564" t="s">
        <v>1124</v>
      </c>
      <c r="N6008" s="564" t="s">
        <v>1073</v>
      </c>
      <c r="O6008" s="564" t="s">
        <v>38</v>
      </c>
      <c r="P6008" s="23"/>
      <c r="Q6008" s="23"/>
      <c r="R6008" s="23"/>
      <c r="S6008" s="23"/>
      <c r="T6008" s="23"/>
      <c r="U6008" s="23"/>
      <c r="V6008" s="23"/>
      <c r="W6008" s="23"/>
      <c r="X6008" s="23"/>
      <c r="Y6008" s="23"/>
      <c r="Z6008" s="23"/>
    </row>
    <row r="6009" spans="1:26" ht="13">
      <c r="A6009" s="562" t="s">
        <v>12987</v>
      </c>
      <c r="B6009" s="563" t="s">
        <v>12988</v>
      </c>
      <c r="C6009" s="564" t="s">
        <v>1612</v>
      </c>
      <c r="D6009" s="565">
        <v>40109</v>
      </c>
      <c r="E6009" s="565">
        <v>40151</v>
      </c>
      <c r="F6009" s="566">
        <v>19200000</v>
      </c>
      <c r="G6009" s="564" t="s">
        <v>1604</v>
      </c>
      <c r="H6009" s="564" t="s">
        <v>1912</v>
      </c>
      <c r="I6009" s="564" t="s">
        <v>45</v>
      </c>
      <c r="J6009" s="564" t="s">
        <v>1069</v>
      </c>
      <c r="K6009" s="564" t="s">
        <v>1090</v>
      </c>
      <c r="L6009" s="564" t="s">
        <v>1390</v>
      </c>
      <c r="M6009" s="564" t="s">
        <v>1390</v>
      </c>
      <c r="N6009" s="564" t="s">
        <v>45</v>
      </c>
      <c r="O6009" s="564" t="s">
        <v>38</v>
      </c>
      <c r="P6009" s="23"/>
      <c r="Q6009" s="23"/>
      <c r="R6009" s="23"/>
      <c r="S6009" s="23"/>
      <c r="T6009" s="23"/>
      <c r="U6009" s="23"/>
      <c r="V6009" s="23"/>
      <c r="W6009" s="23"/>
      <c r="X6009" s="23"/>
      <c r="Y6009" s="23"/>
      <c r="Z6009" s="23"/>
    </row>
    <row r="6010" spans="1:26" ht="13">
      <c r="A6010" s="562" t="s">
        <v>12989</v>
      </c>
      <c r="B6010" s="563" t="s">
        <v>12990</v>
      </c>
      <c r="C6010" s="564" t="s">
        <v>1612</v>
      </c>
      <c r="D6010" s="565">
        <v>40121</v>
      </c>
      <c r="E6010" s="565">
        <v>40150</v>
      </c>
      <c r="F6010" s="566">
        <v>46000000</v>
      </c>
      <c r="G6010" s="564" t="s">
        <v>1123</v>
      </c>
      <c r="H6010" s="564" t="s">
        <v>1912</v>
      </c>
      <c r="I6010" s="564" t="s">
        <v>257</v>
      </c>
      <c r="J6010" s="564" t="s">
        <v>1069</v>
      </c>
      <c r="K6010" s="564" t="s">
        <v>1209</v>
      </c>
      <c r="L6010" s="564" t="s">
        <v>1071</v>
      </c>
      <c r="M6010" s="564" t="s">
        <v>1124</v>
      </c>
      <c r="N6010" s="564" t="s">
        <v>257</v>
      </c>
      <c r="O6010" s="564" t="s">
        <v>38</v>
      </c>
      <c r="P6010" s="23"/>
      <c r="Q6010" s="23"/>
      <c r="R6010" s="23"/>
      <c r="S6010" s="23"/>
      <c r="T6010" s="23"/>
      <c r="U6010" s="23"/>
      <c r="V6010" s="23"/>
      <c r="W6010" s="23"/>
      <c r="X6010" s="23"/>
      <c r="Y6010" s="23"/>
      <c r="Z6010" s="23"/>
    </row>
    <row r="6011" spans="1:26" ht="13">
      <c r="A6011" s="562" t="s">
        <v>12991</v>
      </c>
      <c r="B6011" s="563" t="s">
        <v>12992</v>
      </c>
      <c r="C6011" s="564" t="s">
        <v>6860</v>
      </c>
      <c r="D6011" s="565">
        <v>40119</v>
      </c>
      <c r="E6011" s="565">
        <v>40144</v>
      </c>
      <c r="F6011" s="566">
        <v>6500000</v>
      </c>
      <c r="G6011" s="564" t="s">
        <v>1442</v>
      </c>
      <c r="H6011" s="564" t="s">
        <v>1640</v>
      </c>
      <c r="I6011" s="564" t="s">
        <v>7259</v>
      </c>
      <c r="J6011" s="564" t="s">
        <v>1069</v>
      </c>
      <c r="K6011" s="564" t="s">
        <v>1070</v>
      </c>
      <c r="L6011" s="564" t="s">
        <v>1390</v>
      </c>
      <c r="M6011" s="564" t="s">
        <v>1390</v>
      </c>
      <c r="N6011" s="564" t="s">
        <v>1082</v>
      </c>
      <c r="O6011" s="564" t="s">
        <v>38</v>
      </c>
      <c r="P6011" s="23"/>
      <c r="Q6011" s="23"/>
      <c r="R6011" s="23"/>
      <c r="S6011" s="23"/>
      <c r="T6011" s="23"/>
      <c r="U6011" s="23"/>
      <c r="V6011" s="23"/>
      <c r="W6011" s="23"/>
      <c r="X6011" s="23"/>
      <c r="Y6011" s="23"/>
      <c r="Z6011" s="23"/>
    </row>
    <row r="6012" spans="1:26" ht="13">
      <c r="A6012" s="562" t="s">
        <v>12993</v>
      </c>
      <c r="B6012" s="563" t="s">
        <v>12994</v>
      </c>
      <c r="C6012" s="564" t="s">
        <v>1612</v>
      </c>
      <c r="D6012" s="565">
        <v>40063</v>
      </c>
      <c r="E6012" s="565">
        <v>40178</v>
      </c>
      <c r="F6012" s="566">
        <v>36176000</v>
      </c>
      <c r="G6012" s="564" t="s">
        <v>2123</v>
      </c>
      <c r="H6012" s="564" t="s">
        <v>1157</v>
      </c>
      <c r="I6012" s="564" t="s">
        <v>170</v>
      </c>
      <c r="J6012" s="564" t="s">
        <v>1069</v>
      </c>
      <c r="K6012" s="564" t="s">
        <v>1105</v>
      </c>
      <c r="L6012" s="564" t="s">
        <v>1390</v>
      </c>
      <c r="M6012" s="564" t="s">
        <v>1390</v>
      </c>
      <c r="N6012" s="564" t="s">
        <v>170</v>
      </c>
      <c r="O6012" s="564" t="s">
        <v>38</v>
      </c>
      <c r="P6012" s="23"/>
      <c r="Q6012" s="23"/>
      <c r="R6012" s="23"/>
      <c r="S6012" s="23"/>
      <c r="T6012" s="23"/>
      <c r="U6012" s="23"/>
      <c r="V6012" s="23"/>
      <c r="W6012" s="23"/>
      <c r="X6012" s="23"/>
      <c r="Y6012" s="23"/>
      <c r="Z6012" s="23"/>
    </row>
    <row r="6013" spans="1:26" ht="13">
      <c r="A6013" s="562" t="s">
        <v>12995</v>
      </c>
      <c r="B6013" s="563" t="s">
        <v>12996</v>
      </c>
      <c r="C6013" s="564" t="s">
        <v>1612</v>
      </c>
      <c r="D6013" s="565">
        <v>40079</v>
      </c>
      <c r="E6013" s="565">
        <v>40178</v>
      </c>
      <c r="F6013" s="566">
        <v>2480985000</v>
      </c>
      <c r="G6013" s="564" t="s">
        <v>2192</v>
      </c>
      <c r="H6013" s="564" t="s">
        <v>1856</v>
      </c>
      <c r="I6013" s="564" t="s">
        <v>45</v>
      </c>
      <c r="J6013" s="564" t="s">
        <v>1069</v>
      </c>
      <c r="K6013" s="564" t="s">
        <v>1090</v>
      </c>
      <c r="L6013" s="564" t="s">
        <v>2098</v>
      </c>
      <c r="M6013" s="564" t="s">
        <v>2098</v>
      </c>
      <c r="N6013" s="564" t="s">
        <v>45</v>
      </c>
      <c r="O6013" s="564" t="s">
        <v>2099</v>
      </c>
      <c r="P6013" s="23"/>
      <c r="Q6013" s="23"/>
      <c r="R6013" s="23"/>
      <c r="S6013" s="23"/>
      <c r="T6013" s="23"/>
      <c r="U6013" s="23"/>
      <c r="V6013" s="23"/>
      <c r="W6013" s="23"/>
      <c r="X6013" s="23"/>
      <c r="Y6013" s="23"/>
      <c r="Z6013" s="23"/>
    </row>
    <row r="6014" spans="1:26" ht="13">
      <c r="A6014" s="562" t="s">
        <v>12997</v>
      </c>
      <c r="B6014" s="563" t="s">
        <v>12998</v>
      </c>
      <c r="C6014" s="564" t="s">
        <v>6860</v>
      </c>
      <c r="D6014" s="565">
        <v>40026</v>
      </c>
      <c r="E6014" s="565">
        <v>40209</v>
      </c>
      <c r="F6014" s="566">
        <v>1134000</v>
      </c>
      <c r="G6014" s="564" t="s">
        <v>1897</v>
      </c>
      <c r="H6014" s="564" t="s">
        <v>1640</v>
      </c>
      <c r="I6014" s="564" t="s">
        <v>7259</v>
      </c>
      <c r="J6014" s="564" t="s">
        <v>1069</v>
      </c>
      <c r="K6014" s="564" t="s">
        <v>1070</v>
      </c>
      <c r="L6014" s="564" t="s">
        <v>1071</v>
      </c>
      <c r="M6014" s="564" t="s">
        <v>1124</v>
      </c>
      <c r="N6014" s="564" t="s">
        <v>1082</v>
      </c>
      <c r="O6014" s="564" t="s">
        <v>38</v>
      </c>
      <c r="P6014" s="23"/>
      <c r="Q6014" s="23"/>
      <c r="R6014" s="23"/>
      <c r="S6014" s="23"/>
      <c r="T6014" s="23"/>
      <c r="U6014" s="23"/>
      <c r="V6014" s="23"/>
      <c r="W6014" s="23"/>
      <c r="X6014" s="23"/>
      <c r="Y6014" s="23"/>
      <c r="Z6014" s="23"/>
    </row>
    <row r="6015" spans="1:26" ht="13">
      <c r="A6015" s="562" t="s">
        <v>12999</v>
      </c>
      <c r="B6015" s="563" t="s">
        <v>13000</v>
      </c>
      <c r="C6015" s="564" t="s">
        <v>1612</v>
      </c>
      <c r="D6015" s="565">
        <v>40057</v>
      </c>
      <c r="E6015" s="565">
        <v>40086</v>
      </c>
      <c r="F6015" s="566">
        <v>229000000</v>
      </c>
      <c r="G6015" s="564" t="s">
        <v>1123</v>
      </c>
      <c r="H6015" s="564" t="s">
        <v>1912</v>
      </c>
      <c r="I6015" s="564" t="s">
        <v>257</v>
      </c>
      <c r="J6015" s="564" t="s">
        <v>1069</v>
      </c>
      <c r="K6015" s="564" t="s">
        <v>1209</v>
      </c>
      <c r="L6015" s="564" t="s">
        <v>1390</v>
      </c>
      <c r="M6015" s="564" t="s">
        <v>1390</v>
      </c>
      <c r="N6015" s="564" t="s">
        <v>257</v>
      </c>
      <c r="O6015" s="564" t="s">
        <v>38</v>
      </c>
      <c r="P6015" s="23"/>
      <c r="Q6015" s="23"/>
      <c r="R6015" s="23"/>
      <c r="S6015" s="23"/>
      <c r="T6015" s="23"/>
      <c r="U6015" s="23"/>
      <c r="V6015" s="23"/>
      <c r="W6015" s="23"/>
      <c r="X6015" s="23"/>
      <c r="Y6015" s="23"/>
      <c r="Z6015" s="23"/>
    </row>
    <row r="6016" spans="1:26" ht="13">
      <c r="A6016" s="562" t="s">
        <v>13001</v>
      </c>
      <c r="B6016" s="563" t="s">
        <v>13002</v>
      </c>
      <c r="C6016" s="564" t="s">
        <v>1612</v>
      </c>
      <c r="D6016" s="565">
        <v>40057</v>
      </c>
      <c r="E6016" s="565">
        <v>40117</v>
      </c>
      <c r="F6016" s="566">
        <v>20860000</v>
      </c>
      <c r="G6016" s="564" t="s">
        <v>1780</v>
      </c>
      <c r="H6016" s="564" t="s">
        <v>1912</v>
      </c>
      <c r="I6016" s="564" t="s">
        <v>45</v>
      </c>
      <c r="J6016" s="564" t="s">
        <v>1069</v>
      </c>
      <c r="K6016" s="564" t="s">
        <v>1090</v>
      </c>
      <c r="L6016" s="564" t="s">
        <v>1390</v>
      </c>
      <c r="M6016" s="564" t="s">
        <v>1390</v>
      </c>
      <c r="N6016" s="564" t="s">
        <v>45</v>
      </c>
      <c r="O6016" s="564" t="s">
        <v>38</v>
      </c>
      <c r="P6016" s="23"/>
      <c r="Q6016" s="23"/>
      <c r="R6016" s="23"/>
      <c r="S6016" s="23"/>
      <c r="T6016" s="23"/>
      <c r="U6016" s="23"/>
      <c r="V6016" s="23"/>
      <c r="W6016" s="23"/>
      <c r="X6016" s="23"/>
      <c r="Y6016" s="23"/>
      <c r="Z6016" s="23"/>
    </row>
    <row r="6017" spans="1:26" ht="13">
      <c r="A6017" s="562" t="s">
        <v>13003</v>
      </c>
      <c r="B6017" s="563" t="s">
        <v>13004</v>
      </c>
      <c r="C6017" s="564" t="s">
        <v>1255</v>
      </c>
      <c r="D6017" s="565">
        <v>40057</v>
      </c>
      <c r="E6017" s="565">
        <v>40786</v>
      </c>
      <c r="F6017" s="567"/>
      <c r="G6017" s="564" t="s">
        <v>1097</v>
      </c>
      <c r="H6017" s="564" t="s">
        <v>1123</v>
      </c>
      <c r="I6017" s="564" t="s">
        <v>141</v>
      </c>
      <c r="J6017" s="564" t="s">
        <v>1069</v>
      </c>
      <c r="K6017" s="564" t="s">
        <v>1205</v>
      </c>
      <c r="L6017" s="564" t="s">
        <v>1071</v>
      </c>
      <c r="M6017" s="564" t="s">
        <v>1091</v>
      </c>
      <c r="N6017" s="564" t="s">
        <v>1073</v>
      </c>
      <c r="O6017" s="564" t="s">
        <v>241</v>
      </c>
      <c r="P6017" s="23"/>
      <c r="Q6017" s="23"/>
      <c r="R6017" s="23"/>
      <c r="S6017" s="23"/>
      <c r="T6017" s="23"/>
      <c r="U6017" s="23"/>
      <c r="V6017" s="23"/>
      <c r="W6017" s="23"/>
      <c r="X6017" s="23"/>
      <c r="Y6017" s="23"/>
      <c r="Z6017" s="23"/>
    </row>
    <row r="6018" spans="1:26" ht="13">
      <c r="A6018" s="562" t="s">
        <v>13005</v>
      </c>
      <c r="B6018" s="563" t="s">
        <v>13006</v>
      </c>
      <c r="C6018" s="564" t="s">
        <v>1612</v>
      </c>
      <c r="D6018" s="565">
        <v>40042</v>
      </c>
      <c r="E6018" s="565">
        <v>40163</v>
      </c>
      <c r="F6018" s="566">
        <v>349000000</v>
      </c>
      <c r="G6018" s="564" t="s">
        <v>1750</v>
      </c>
      <c r="H6018" s="564" t="s">
        <v>1157</v>
      </c>
      <c r="I6018" s="564" t="s">
        <v>70</v>
      </c>
      <c r="J6018" s="564" t="s">
        <v>1069</v>
      </c>
      <c r="K6018" s="564" t="s">
        <v>1120</v>
      </c>
      <c r="L6018" s="564" t="s">
        <v>1390</v>
      </c>
      <c r="M6018" s="564" t="s">
        <v>1390</v>
      </c>
      <c r="N6018" s="564" t="s">
        <v>70</v>
      </c>
      <c r="O6018" s="564" t="s">
        <v>38</v>
      </c>
      <c r="P6018" s="23"/>
      <c r="Q6018" s="23"/>
      <c r="R6018" s="23"/>
      <c r="S6018" s="23"/>
      <c r="T6018" s="23"/>
      <c r="U6018" s="23"/>
      <c r="V6018" s="23"/>
      <c r="W6018" s="23"/>
      <c r="X6018" s="23"/>
      <c r="Y6018" s="23"/>
      <c r="Z6018" s="23"/>
    </row>
    <row r="6019" spans="1:26" ht="13">
      <c r="A6019" s="562" t="s">
        <v>13007</v>
      </c>
      <c r="B6019" s="563" t="s">
        <v>13008</v>
      </c>
      <c r="C6019" s="564" t="s">
        <v>1612</v>
      </c>
      <c r="D6019" s="565">
        <v>40033</v>
      </c>
      <c r="E6019" s="565">
        <v>40063</v>
      </c>
      <c r="F6019" s="566">
        <v>5600000</v>
      </c>
      <c r="G6019" s="564" t="s">
        <v>1123</v>
      </c>
      <c r="H6019" s="564" t="s">
        <v>1912</v>
      </c>
      <c r="I6019" s="564" t="s">
        <v>7768</v>
      </c>
      <c r="J6019" s="564" t="s">
        <v>1069</v>
      </c>
      <c r="K6019" s="564" t="s">
        <v>1198</v>
      </c>
      <c r="L6019" s="564" t="s">
        <v>1071</v>
      </c>
      <c r="M6019" s="564" t="s">
        <v>1124</v>
      </c>
      <c r="N6019" s="564" t="s">
        <v>1073</v>
      </c>
      <c r="O6019" s="564" t="s">
        <v>38</v>
      </c>
      <c r="P6019" s="23"/>
      <c r="Q6019" s="23"/>
      <c r="R6019" s="23"/>
      <c r="S6019" s="23"/>
      <c r="T6019" s="23"/>
      <c r="U6019" s="23"/>
      <c r="V6019" s="23"/>
      <c r="W6019" s="23"/>
      <c r="X6019" s="23"/>
      <c r="Y6019" s="23"/>
      <c r="Z6019" s="23"/>
    </row>
    <row r="6020" spans="1:26" ht="13">
      <c r="A6020" s="562" t="s">
        <v>13009</v>
      </c>
      <c r="B6020" s="563" t="s">
        <v>13010</v>
      </c>
      <c r="C6020" s="564" t="s">
        <v>1612</v>
      </c>
      <c r="D6020" s="565">
        <v>40050</v>
      </c>
      <c r="E6020" s="565">
        <v>40506</v>
      </c>
      <c r="F6020" s="566">
        <v>22500000</v>
      </c>
      <c r="G6020" s="564" t="s">
        <v>2346</v>
      </c>
      <c r="H6020" s="564" t="s">
        <v>9480</v>
      </c>
      <c r="I6020" s="564" t="s">
        <v>1068</v>
      </c>
      <c r="J6020" s="564" t="s">
        <v>1069</v>
      </c>
      <c r="K6020" s="564" t="s">
        <v>1070</v>
      </c>
      <c r="L6020" s="564" t="s">
        <v>1071</v>
      </c>
      <c r="M6020" s="564" t="s">
        <v>1091</v>
      </c>
      <c r="N6020" s="564" t="s">
        <v>1073</v>
      </c>
      <c r="O6020" s="564" t="s">
        <v>241</v>
      </c>
      <c r="P6020" s="23"/>
      <c r="Q6020" s="23"/>
      <c r="R6020" s="23"/>
      <c r="S6020" s="23"/>
      <c r="T6020" s="23"/>
      <c r="U6020" s="23"/>
      <c r="V6020" s="23"/>
      <c r="W6020" s="23"/>
      <c r="X6020" s="23"/>
      <c r="Y6020" s="23"/>
      <c r="Z6020" s="23"/>
    </row>
    <row r="6021" spans="1:26" ht="13">
      <c r="A6021" s="562" t="s">
        <v>13011</v>
      </c>
      <c r="B6021" s="563" t="s">
        <v>13012</v>
      </c>
      <c r="C6021" s="564" t="s">
        <v>1204</v>
      </c>
      <c r="D6021" s="565">
        <v>40038</v>
      </c>
      <c r="E6021" s="565">
        <v>40068</v>
      </c>
      <c r="F6021" s="566">
        <v>17000000</v>
      </c>
      <c r="G6021" s="564" t="s">
        <v>1266</v>
      </c>
      <c r="H6021" s="564" t="s">
        <v>1640</v>
      </c>
      <c r="I6021" s="564" t="s">
        <v>7259</v>
      </c>
      <c r="J6021" s="564" t="s">
        <v>1069</v>
      </c>
      <c r="K6021" s="564" t="s">
        <v>1070</v>
      </c>
      <c r="L6021" s="564" t="s">
        <v>1390</v>
      </c>
      <c r="M6021" s="564" t="s">
        <v>1390</v>
      </c>
      <c r="N6021" s="564" t="s">
        <v>1082</v>
      </c>
      <c r="O6021" s="564" t="s">
        <v>38</v>
      </c>
      <c r="P6021" s="23"/>
      <c r="Q6021" s="23"/>
      <c r="R6021" s="23"/>
      <c r="S6021" s="23"/>
      <c r="T6021" s="23"/>
      <c r="U6021" s="23"/>
      <c r="V6021" s="23"/>
      <c r="W6021" s="23"/>
      <c r="X6021" s="23"/>
      <c r="Y6021" s="23"/>
      <c r="Z6021" s="23"/>
    </row>
    <row r="6022" spans="1:26" ht="13">
      <c r="A6022" s="562" t="s">
        <v>13013</v>
      </c>
      <c r="B6022" s="563" t="s">
        <v>13014</v>
      </c>
      <c r="C6022" s="564" t="s">
        <v>1204</v>
      </c>
      <c r="D6022" s="565">
        <v>40007</v>
      </c>
      <c r="E6022" s="565">
        <v>40068</v>
      </c>
      <c r="F6022" s="566">
        <v>70000000</v>
      </c>
      <c r="G6022" s="564" t="s">
        <v>754</v>
      </c>
      <c r="H6022" s="564" t="s">
        <v>1640</v>
      </c>
      <c r="I6022" s="564" t="s">
        <v>7259</v>
      </c>
      <c r="J6022" s="564" t="s">
        <v>1069</v>
      </c>
      <c r="K6022" s="564" t="s">
        <v>1070</v>
      </c>
      <c r="L6022" s="564" t="s">
        <v>1390</v>
      </c>
      <c r="M6022" s="564" t="s">
        <v>1390</v>
      </c>
      <c r="N6022" s="564" t="s">
        <v>1082</v>
      </c>
      <c r="O6022" s="564" t="s">
        <v>38</v>
      </c>
      <c r="P6022" s="23"/>
      <c r="Q6022" s="23"/>
      <c r="R6022" s="23"/>
      <c r="S6022" s="23"/>
      <c r="T6022" s="23"/>
      <c r="U6022" s="23"/>
      <c r="V6022" s="23"/>
      <c r="W6022" s="23"/>
      <c r="X6022" s="23"/>
      <c r="Y6022" s="23"/>
      <c r="Z6022" s="23"/>
    </row>
    <row r="6023" spans="1:26" ht="13">
      <c r="A6023" s="562" t="s">
        <v>13015</v>
      </c>
      <c r="B6023" s="563" t="s">
        <v>13016</v>
      </c>
      <c r="C6023" s="564" t="s">
        <v>1612</v>
      </c>
      <c r="D6023" s="565">
        <v>40029</v>
      </c>
      <c r="E6023" s="565">
        <v>40862</v>
      </c>
      <c r="F6023" s="566">
        <v>739000000</v>
      </c>
      <c r="G6023" s="564" t="s">
        <v>1912</v>
      </c>
      <c r="H6023" s="564" t="s">
        <v>1856</v>
      </c>
      <c r="I6023" s="564" t="s">
        <v>45</v>
      </c>
      <c r="J6023" s="564" t="s">
        <v>1069</v>
      </c>
      <c r="K6023" s="564" t="s">
        <v>1090</v>
      </c>
      <c r="L6023" s="564" t="s">
        <v>1390</v>
      </c>
      <c r="M6023" s="564" t="s">
        <v>1390</v>
      </c>
      <c r="N6023" s="564" t="s">
        <v>45</v>
      </c>
      <c r="O6023" s="564" t="s">
        <v>38</v>
      </c>
      <c r="P6023" s="23"/>
      <c r="Q6023" s="23"/>
      <c r="R6023" s="23"/>
      <c r="S6023" s="23"/>
      <c r="T6023" s="23"/>
      <c r="U6023" s="23"/>
      <c r="V6023" s="23"/>
      <c r="W6023" s="23"/>
      <c r="X6023" s="23"/>
      <c r="Y6023" s="23"/>
      <c r="Z6023" s="23"/>
    </row>
    <row r="6024" spans="1:26" ht="13">
      <c r="A6024" s="562" t="s">
        <v>13017</v>
      </c>
      <c r="B6024" s="563" t="s">
        <v>13018</v>
      </c>
      <c r="C6024" s="564" t="s">
        <v>2191</v>
      </c>
      <c r="D6024" s="565">
        <v>40020</v>
      </c>
      <c r="E6024" s="565">
        <v>40268</v>
      </c>
      <c r="F6024" s="566">
        <v>52772727</v>
      </c>
      <c r="G6024" s="564" t="s">
        <v>1912</v>
      </c>
      <c r="H6024" s="564" t="s">
        <v>1123</v>
      </c>
      <c r="I6024" s="564" t="s">
        <v>143</v>
      </c>
      <c r="J6024" s="564" t="s">
        <v>1069</v>
      </c>
      <c r="K6024" s="564" t="s">
        <v>1205</v>
      </c>
      <c r="L6024" s="564" t="s">
        <v>1071</v>
      </c>
      <c r="M6024" s="564" t="s">
        <v>1091</v>
      </c>
      <c r="N6024" s="564" t="s">
        <v>1073</v>
      </c>
      <c r="O6024" s="564" t="s">
        <v>241</v>
      </c>
      <c r="P6024" s="23"/>
      <c r="Q6024" s="23"/>
      <c r="R6024" s="23"/>
      <c r="S6024" s="23"/>
      <c r="T6024" s="23"/>
      <c r="U6024" s="23"/>
      <c r="V6024" s="23"/>
      <c r="W6024" s="23"/>
      <c r="X6024" s="23"/>
      <c r="Y6024" s="23"/>
      <c r="Z6024" s="23"/>
    </row>
    <row r="6025" spans="1:26" ht="13">
      <c r="A6025" s="562" t="s">
        <v>13019</v>
      </c>
      <c r="B6025" s="563" t="s">
        <v>13020</v>
      </c>
      <c r="C6025" s="564" t="s">
        <v>1612</v>
      </c>
      <c r="D6025" s="565">
        <v>40004</v>
      </c>
      <c r="E6025" s="565">
        <v>40025</v>
      </c>
      <c r="F6025" s="566">
        <v>4900000</v>
      </c>
      <c r="G6025" s="564" t="s">
        <v>1123</v>
      </c>
      <c r="H6025" s="564" t="s">
        <v>1912</v>
      </c>
      <c r="I6025" s="564" t="s">
        <v>7768</v>
      </c>
      <c r="J6025" s="564" t="s">
        <v>1069</v>
      </c>
      <c r="K6025" s="564" t="s">
        <v>1198</v>
      </c>
      <c r="L6025" s="564" t="s">
        <v>1071</v>
      </c>
      <c r="M6025" s="564" t="s">
        <v>1124</v>
      </c>
      <c r="N6025" s="564" t="s">
        <v>1073</v>
      </c>
      <c r="O6025" s="564" t="s">
        <v>38</v>
      </c>
      <c r="P6025" s="23"/>
      <c r="Q6025" s="23"/>
      <c r="R6025" s="23"/>
      <c r="S6025" s="23"/>
      <c r="T6025" s="23"/>
      <c r="U6025" s="23"/>
      <c r="V6025" s="23"/>
      <c r="W6025" s="23"/>
      <c r="X6025" s="23"/>
      <c r="Y6025" s="23"/>
      <c r="Z6025" s="23"/>
    </row>
    <row r="6026" spans="1:26" ht="13">
      <c r="A6026" s="562" t="s">
        <v>13021</v>
      </c>
      <c r="B6026" s="563" t="s">
        <v>13022</v>
      </c>
      <c r="C6026" s="564" t="s">
        <v>1612</v>
      </c>
      <c r="D6026" s="565">
        <v>40022</v>
      </c>
      <c r="E6026" s="565">
        <v>40237</v>
      </c>
      <c r="F6026" s="566">
        <v>895000000</v>
      </c>
      <c r="G6026" s="564" t="s">
        <v>1216</v>
      </c>
      <c r="H6026" s="564" t="s">
        <v>1856</v>
      </c>
      <c r="I6026" s="564" t="s">
        <v>45</v>
      </c>
      <c r="J6026" s="564" t="s">
        <v>1069</v>
      </c>
      <c r="K6026" s="564" t="s">
        <v>1090</v>
      </c>
      <c r="L6026" s="564" t="s">
        <v>1390</v>
      </c>
      <c r="M6026" s="564" t="s">
        <v>1390</v>
      </c>
      <c r="N6026" s="564" t="s">
        <v>45</v>
      </c>
      <c r="O6026" s="564" t="s">
        <v>38</v>
      </c>
      <c r="P6026" s="23"/>
      <c r="Q6026" s="23"/>
      <c r="R6026" s="23"/>
      <c r="S6026" s="23"/>
      <c r="T6026" s="23"/>
      <c r="U6026" s="23"/>
      <c r="V6026" s="23"/>
      <c r="W6026" s="23"/>
      <c r="X6026" s="23"/>
      <c r="Y6026" s="23"/>
      <c r="Z6026" s="23"/>
    </row>
    <row r="6027" spans="1:26" ht="13">
      <c r="A6027" s="562" t="s">
        <v>13023</v>
      </c>
      <c r="B6027" s="563" t="s">
        <v>13024</v>
      </c>
      <c r="C6027" s="564" t="s">
        <v>1255</v>
      </c>
      <c r="D6027" s="565">
        <v>39965</v>
      </c>
      <c r="E6027" s="565">
        <v>40268</v>
      </c>
      <c r="F6027" s="566">
        <v>8887270</v>
      </c>
      <c r="G6027" s="564" t="s">
        <v>8532</v>
      </c>
      <c r="H6027" s="564" t="s">
        <v>1912</v>
      </c>
      <c r="I6027" s="564" t="s">
        <v>8659</v>
      </c>
      <c r="J6027" s="564" t="s">
        <v>1069</v>
      </c>
      <c r="K6027" s="564" t="s">
        <v>1205</v>
      </c>
      <c r="L6027" s="564" t="s">
        <v>1071</v>
      </c>
      <c r="M6027" s="564" t="s">
        <v>1091</v>
      </c>
      <c r="N6027" s="564" t="s">
        <v>1073</v>
      </c>
      <c r="O6027" s="564" t="s">
        <v>241</v>
      </c>
      <c r="P6027" s="23"/>
      <c r="Q6027" s="23"/>
      <c r="R6027" s="23"/>
      <c r="S6027" s="23"/>
      <c r="T6027" s="23"/>
      <c r="U6027" s="23"/>
      <c r="V6027" s="23"/>
      <c r="W6027" s="23"/>
      <c r="X6027" s="23"/>
      <c r="Y6027" s="23"/>
      <c r="Z6027" s="23"/>
    </row>
    <row r="6028" spans="1:26" ht="13">
      <c r="A6028" s="562" t="s">
        <v>13025</v>
      </c>
      <c r="B6028" s="563" t="s">
        <v>13026</v>
      </c>
      <c r="C6028" s="564" t="s">
        <v>1612</v>
      </c>
      <c r="D6028" s="565">
        <v>39934</v>
      </c>
      <c r="E6028" s="565">
        <v>41394</v>
      </c>
      <c r="F6028" s="566">
        <v>6247588</v>
      </c>
      <c r="G6028" s="564" t="s">
        <v>13027</v>
      </c>
      <c r="H6028" s="564" t="s">
        <v>1912</v>
      </c>
      <c r="I6028" s="564" t="s">
        <v>1934</v>
      </c>
      <c r="J6028" s="564" t="s">
        <v>1069</v>
      </c>
      <c r="K6028" s="564" t="s">
        <v>1070</v>
      </c>
      <c r="L6028" s="564" t="s">
        <v>1071</v>
      </c>
      <c r="M6028" s="564" t="s">
        <v>1091</v>
      </c>
      <c r="N6028" s="564" t="s">
        <v>1073</v>
      </c>
      <c r="O6028" s="564" t="s">
        <v>241</v>
      </c>
      <c r="P6028" s="23"/>
      <c r="Q6028" s="23"/>
      <c r="R6028" s="23"/>
      <c r="S6028" s="23"/>
      <c r="T6028" s="23"/>
      <c r="U6028" s="23"/>
      <c r="V6028" s="23"/>
      <c r="W6028" s="23"/>
      <c r="X6028" s="23"/>
      <c r="Y6028" s="23"/>
      <c r="Z6028" s="23"/>
    </row>
    <row r="6029" spans="1:26" ht="13">
      <c r="A6029" s="562" t="s">
        <v>13028</v>
      </c>
      <c r="B6029" s="563" t="s">
        <v>13029</v>
      </c>
      <c r="C6029" s="564" t="s">
        <v>1612</v>
      </c>
      <c r="D6029" s="565">
        <v>39814</v>
      </c>
      <c r="E6029" s="565">
        <v>40178</v>
      </c>
      <c r="F6029" s="566">
        <v>62519400</v>
      </c>
      <c r="G6029" s="564" t="s">
        <v>1729</v>
      </c>
      <c r="H6029" s="564" t="s">
        <v>1128</v>
      </c>
      <c r="I6029" s="564" t="s">
        <v>70</v>
      </c>
      <c r="J6029" s="564" t="s">
        <v>1069</v>
      </c>
      <c r="K6029" s="564" t="s">
        <v>1120</v>
      </c>
      <c r="L6029" s="564" t="s">
        <v>1071</v>
      </c>
      <c r="M6029" s="564" t="s">
        <v>1091</v>
      </c>
      <c r="N6029" s="564" t="s">
        <v>70</v>
      </c>
      <c r="O6029" s="564" t="s">
        <v>241</v>
      </c>
      <c r="P6029" s="23"/>
      <c r="Q6029" s="23"/>
      <c r="R6029" s="23"/>
      <c r="S6029" s="23"/>
      <c r="T6029" s="23"/>
      <c r="U6029" s="23"/>
      <c r="V6029" s="23"/>
      <c r="W6029" s="23"/>
      <c r="X6029" s="23"/>
      <c r="Y6029" s="23"/>
      <c r="Z6029" s="23"/>
    </row>
    <row r="6030" spans="1:26" ht="13">
      <c r="A6030" s="562" t="s">
        <v>13030</v>
      </c>
      <c r="B6030" s="563" t="s">
        <v>13031</v>
      </c>
      <c r="C6030" s="564" t="s">
        <v>1612</v>
      </c>
      <c r="D6030" s="565">
        <v>39986</v>
      </c>
      <c r="E6030" s="565">
        <v>40046</v>
      </c>
      <c r="F6030" s="566">
        <v>48000000</v>
      </c>
      <c r="G6030" s="564" t="s">
        <v>1729</v>
      </c>
      <c r="H6030" s="564" t="s">
        <v>1856</v>
      </c>
      <c r="I6030" s="564" t="s">
        <v>45</v>
      </c>
      <c r="J6030" s="564" t="s">
        <v>1069</v>
      </c>
      <c r="K6030" s="564" t="s">
        <v>1090</v>
      </c>
      <c r="L6030" s="564" t="s">
        <v>1390</v>
      </c>
      <c r="M6030" s="564" t="s">
        <v>1390</v>
      </c>
      <c r="N6030" s="564" t="s">
        <v>45</v>
      </c>
      <c r="O6030" s="564" t="s">
        <v>38</v>
      </c>
      <c r="P6030" s="23"/>
      <c r="Q6030" s="23"/>
      <c r="R6030" s="23"/>
      <c r="S6030" s="23"/>
      <c r="T6030" s="23"/>
      <c r="U6030" s="23"/>
      <c r="V6030" s="23"/>
      <c r="W6030" s="23"/>
      <c r="X6030" s="23"/>
      <c r="Y6030" s="23"/>
      <c r="Z6030" s="23"/>
    </row>
    <row r="6031" spans="1:26" ht="13">
      <c r="A6031" s="562" t="s">
        <v>13032</v>
      </c>
      <c r="B6031" s="563" t="s">
        <v>13033</v>
      </c>
      <c r="C6031" s="564" t="s">
        <v>1255</v>
      </c>
      <c r="D6031" s="565">
        <v>39934</v>
      </c>
      <c r="E6031" s="565">
        <v>40268</v>
      </c>
      <c r="F6031" s="566">
        <v>40800000</v>
      </c>
      <c r="G6031" s="564" t="s">
        <v>1123</v>
      </c>
      <c r="H6031" s="564" t="s">
        <v>1912</v>
      </c>
      <c r="I6031" s="564" t="s">
        <v>8659</v>
      </c>
      <c r="J6031" s="564" t="s">
        <v>1069</v>
      </c>
      <c r="K6031" s="564" t="s">
        <v>1205</v>
      </c>
      <c r="L6031" s="564" t="s">
        <v>1071</v>
      </c>
      <c r="M6031" s="564" t="s">
        <v>1091</v>
      </c>
      <c r="N6031" s="564" t="s">
        <v>1073</v>
      </c>
      <c r="O6031" s="564" t="s">
        <v>241</v>
      </c>
      <c r="P6031" s="23"/>
      <c r="Q6031" s="23"/>
      <c r="R6031" s="23"/>
      <c r="S6031" s="23"/>
      <c r="T6031" s="23"/>
      <c r="U6031" s="23"/>
      <c r="V6031" s="23"/>
      <c r="W6031" s="23"/>
      <c r="X6031" s="23"/>
      <c r="Y6031" s="23"/>
      <c r="Z6031" s="23"/>
    </row>
    <row r="6032" spans="1:26" ht="13">
      <c r="A6032" s="562" t="s">
        <v>13034</v>
      </c>
      <c r="B6032" s="563" t="s">
        <v>13035</v>
      </c>
      <c r="C6032" s="564" t="s">
        <v>2484</v>
      </c>
      <c r="D6032" s="565">
        <v>39883</v>
      </c>
      <c r="E6032" s="565">
        <v>41256</v>
      </c>
      <c r="F6032" s="566">
        <v>486811364</v>
      </c>
      <c r="G6032" s="564" t="s">
        <v>12124</v>
      </c>
      <c r="H6032" s="564" t="s">
        <v>2459</v>
      </c>
      <c r="I6032" s="564" t="s">
        <v>13036</v>
      </c>
      <c r="J6032" s="564" t="s">
        <v>1069</v>
      </c>
      <c r="K6032" s="564" t="s">
        <v>2466</v>
      </c>
      <c r="L6032" s="564" t="s">
        <v>2467</v>
      </c>
      <c r="M6032" s="564" t="s">
        <v>2466</v>
      </c>
      <c r="N6032" s="564" t="s">
        <v>2543</v>
      </c>
      <c r="O6032" s="564" t="s">
        <v>12077</v>
      </c>
      <c r="P6032" s="23"/>
      <c r="Q6032" s="23"/>
      <c r="R6032" s="23"/>
      <c r="S6032" s="23"/>
      <c r="T6032" s="23"/>
      <c r="U6032" s="23"/>
      <c r="V6032" s="23"/>
      <c r="W6032" s="23"/>
      <c r="X6032" s="23"/>
      <c r="Y6032" s="23"/>
      <c r="Z6032" s="23"/>
    </row>
    <row r="6033" spans="1:26" ht="13">
      <c r="A6033" s="562" t="s">
        <v>13037</v>
      </c>
      <c r="B6033" s="563" t="s">
        <v>13038</v>
      </c>
      <c r="C6033" s="564" t="s">
        <v>1612</v>
      </c>
      <c r="D6033" s="565">
        <v>39958</v>
      </c>
      <c r="E6033" s="565">
        <v>39968</v>
      </c>
      <c r="F6033" s="566">
        <v>5700000</v>
      </c>
      <c r="G6033" s="564" t="s">
        <v>1729</v>
      </c>
      <c r="H6033" s="564" t="s">
        <v>1157</v>
      </c>
      <c r="I6033" s="564" t="s">
        <v>257</v>
      </c>
      <c r="J6033" s="564" t="s">
        <v>1069</v>
      </c>
      <c r="K6033" s="564" t="s">
        <v>1209</v>
      </c>
      <c r="L6033" s="564" t="s">
        <v>1390</v>
      </c>
      <c r="M6033" s="564" t="s">
        <v>1390</v>
      </c>
      <c r="N6033" s="564" t="s">
        <v>257</v>
      </c>
      <c r="O6033" s="564" t="s">
        <v>38</v>
      </c>
      <c r="P6033" s="23"/>
      <c r="Q6033" s="23"/>
      <c r="R6033" s="23"/>
      <c r="S6033" s="23"/>
      <c r="T6033" s="23"/>
      <c r="U6033" s="23"/>
      <c r="V6033" s="23"/>
      <c r="W6033" s="23"/>
      <c r="X6033" s="23"/>
      <c r="Y6033" s="23"/>
      <c r="Z6033" s="23"/>
    </row>
    <row r="6034" spans="1:26" ht="13">
      <c r="A6034" s="562" t="s">
        <v>13039</v>
      </c>
      <c r="B6034" s="563" t="s">
        <v>13040</v>
      </c>
      <c r="C6034" s="564" t="s">
        <v>1612</v>
      </c>
      <c r="D6034" s="565">
        <v>39904</v>
      </c>
      <c r="E6034" s="565">
        <v>40268</v>
      </c>
      <c r="F6034" s="566">
        <v>39000000</v>
      </c>
      <c r="G6034" s="564" t="s">
        <v>1729</v>
      </c>
      <c r="H6034" s="564" t="s">
        <v>1157</v>
      </c>
      <c r="I6034" s="564" t="s">
        <v>70</v>
      </c>
      <c r="J6034" s="564" t="s">
        <v>1069</v>
      </c>
      <c r="K6034" s="564" t="s">
        <v>1120</v>
      </c>
      <c r="L6034" s="564" t="s">
        <v>1071</v>
      </c>
      <c r="M6034" s="564" t="s">
        <v>1091</v>
      </c>
      <c r="N6034" s="564" t="s">
        <v>70</v>
      </c>
      <c r="O6034" s="564" t="s">
        <v>241</v>
      </c>
      <c r="P6034" s="23"/>
      <c r="Q6034" s="23"/>
      <c r="R6034" s="23"/>
      <c r="S6034" s="23"/>
      <c r="T6034" s="23"/>
      <c r="U6034" s="23"/>
      <c r="V6034" s="23"/>
      <c r="W6034" s="23"/>
      <c r="X6034" s="23"/>
      <c r="Y6034" s="23"/>
      <c r="Z6034" s="23"/>
    </row>
    <row r="6035" spans="1:26" ht="13">
      <c r="A6035" s="562" t="s">
        <v>13041</v>
      </c>
      <c r="B6035" s="563" t="s">
        <v>13042</v>
      </c>
      <c r="C6035" s="564" t="s">
        <v>1255</v>
      </c>
      <c r="D6035" s="565">
        <v>39934</v>
      </c>
      <c r="E6035" s="565">
        <v>40268</v>
      </c>
      <c r="F6035" s="566">
        <v>40800000</v>
      </c>
      <c r="G6035" s="564" t="s">
        <v>1912</v>
      </c>
      <c r="H6035" s="564" t="s">
        <v>1912</v>
      </c>
      <c r="I6035" s="564" t="s">
        <v>8659</v>
      </c>
      <c r="J6035" s="564" t="s">
        <v>1069</v>
      </c>
      <c r="K6035" s="564" t="s">
        <v>1205</v>
      </c>
      <c r="L6035" s="564" t="s">
        <v>1071</v>
      </c>
      <c r="M6035" s="564" t="s">
        <v>1091</v>
      </c>
      <c r="N6035" s="564" t="s">
        <v>1073</v>
      </c>
      <c r="O6035" s="564" t="s">
        <v>241</v>
      </c>
      <c r="P6035" s="23"/>
      <c r="Q6035" s="23"/>
      <c r="R6035" s="23"/>
      <c r="S6035" s="23"/>
      <c r="T6035" s="23"/>
      <c r="U6035" s="23"/>
      <c r="V6035" s="23"/>
      <c r="W6035" s="23"/>
      <c r="X6035" s="23"/>
      <c r="Y6035" s="23"/>
      <c r="Z6035" s="23"/>
    </row>
    <row r="6036" spans="1:26" ht="13">
      <c r="A6036" s="562" t="s">
        <v>13043</v>
      </c>
      <c r="B6036" s="563" t="s">
        <v>13044</v>
      </c>
      <c r="C6036" s="564" t="s">
        <v>2191</v>
      </c>
      <c r="D6036" s="565">
        <v>40558</v>
      </c>
      <c r="E6036" s="565">
        <v>40663</v>
      </c>
      <c r="F6036" s="566">
        <v>2299626775</v>
      </c>
      <c r="G6036" s="564" t="s">
        <v>1345</v>
      </c>
      <c r="H6036" s="564" t="s">
        <v>1521</v>
      </c>
      <c r="I6036" s="564" t="s">
        <v>13045</v>
      </c>
      <c r="J6036" s="564" t="s">
        <v>1069</v>
      </c>
      <c r="K6036" s="564" t="s">
        <v>1070</v>
      </c>
      <c r="L6036" s="564" t="s">
        <v>1071</v>
      </c>
      <c r="M6036" s="564" t="s">
        <v>1091</v>
      </c>
      <c r="N6036" s="564" t="s">
        <v>2439</v>
      </c>
      <c r="O6036" s="564" t="s">
        <v>241</v>
      </c>
      <c r="P6036" s="23"/>
      <c r="Q6036" s="23"/>
      <c r="R6036" s="23"/>
      <c r="S6036" s="23"/>
      <c r="T6036" s="23"/>
      <c r="U6036" s="23"/>
      <c r="V6036" s="23"/>
      <c r="W6036" s="23"/>
      <c r="X6036" s="23"/>
      <c r="Y6036" s="23"/>
      <c r="Z6036" s="23"/>
    </row>
    <row r="6037" spans="1:26" ht="13">
      <c r="A6037" s="562" t="s">
        <v>13046</v>
      </c>
      <c r="B6037" s="563" t="s">
        <v>13047</v>
      </c>
      <c r="C6037" s="564" t="s">
        <v>1612</v>
      </c>
      <c r="D6037" s="565">
        <v>39930</v>
      </c>
      <c r="E6037" s="565">
        <v>40204</v>
      </c>
      <c r="F6037" s="566">
        <v>112700000</v>
      </c>
      <c r="G6037" s="564" t="s">
        <v>1729</v>
      </c>
      <c r="H6037" s="564" t="s">
        <v>1856</v>
      </c>
      <c r="I6037" s="564" t="s">
        <v>64</v>
      </c>
      <c r="J6037" s="564" t="s">
        <v>1069</v>
      </c>
      <c r="K6037" s="564" t="s">
        <v>1090</v>
      </c>
      <c r="L6037" s="564" t="s">
        <v>1390</v>
      </c>
      <c r="M6037" s="564" t="s">
        <v>1390</v>
      </c>
      <c r="N6037" s="564" t="s">
        <v>64</v>
      </c>
      <c r="O6037" s="564" t="s">
        <v>38</v>
      </c>
      <c r="P6037" s="23"/>
      <c r="Q6037" s="23"/>
      <c r="R6037" s="23"/>
      <c r="S6037" s="23"/>
      <c r="T6037" s="23"/>
      <c r="U6037" s="23"/>
      <c r="V6037" s="23"/>
      <c r="W6037" s="23"/>
      <c r="X6037" s="23"/>
      <c r="Y6037" s="23"/>
      <c r="Z6037" s="23"/>
    </row>
    <row r="6038" spans="1:26" ht="13">
      <c r="A6038" s="562" t="s">
        <v>13048</v>
      </c>
      <c r="B6038" s="563" t="s">
        <v>13049</v>
      </c>
      <c r="C6038" s="564" t="s">
        <v>1255</v>
      </c>
      <c r="D6038" s="565">
        <v>39904</v>
      </c>
      <c r="E6038" s="565">
        <v>40268</v>
      </c>
      <c r="F6038" s="566">
        <v>34909091</v>
      </c>
      <c r="G6038" s="564" t="s">
        <v>1123</v>
      </c>
      <c r="H6038" s="564" t="s">
        <v>1912</v>
      </c>
      <c r="I6038" s="564" t="s">
        <v>8659</v>
      </c>
      <c r="J6038" s="564" t="s">
        <v>1069</v>
      </c>
      <c r="K6038" s="564" t="s">
        <v>1205</v>
      </c>
      <c r="L6038" s="564" t="s">
        <v>1071</v>
      </c>
      <c r="M6038" s="564" t="s">
        <v>1091</v>
      </c>
      <c r="N6038" s="564" t="s">
        <v>1073</v>
      </c>
      <c r="O6038" s="564" t="s">
        <v>241</v>
      </c>
      <c r="P6038" s="23"/>
      <c r="Q6038" s="23"/>
      <c r="R6038" s="23"/>
      <c r="S6038" s="23"/>
      <c r="T6038" s="23"/>
      <c r="U6038" s="23"/>
      <c r="V6038" s="23"/>
      <c r="W6038" s="23"/>
      <c r="X6038" s="23"/>
      <c r="Y6038" s="23"/>
      <c r="Z6038" s="23"/>
    </row>
    <row r="6039" spans="1:26" ht="13">
      <c r="A6039" s="562" t="s">
        <v>13050</v>
      </c>
      <c r="B6039" s="563" t="s">
        <v>13051</v>
      </c>
      <c r="C6039" s="564" t="s">
        <v>1612</v>
      </c>
      <c r="D6039" s="565">
        <v>39904</v>
      </c>
      <c r="E6039" s="565">
        <v>40268</v>
      </c>
      <c r="F6039" s="566">
        <v>15120000</v>
      </c>
      <c r="G6039" s="564" t="s">
        <v>1912</v>
      </c>
      <c r="H6039" s="564" t="s">
        <v>1912</v>
      </c>
      <c r="I6039" s="564" t="s">
        <v>11724</v>
      </c>
      <c r="J6039" s="564" t="s">
        <v>1069</v>
      </c>
      <c r="K6039" s="564" t="s">
        <v>1105</v>
      </c>
      <c r="L6039" s="564" t="s">
        <v>1071</v>
      </c>
      <c r="M6039" s="564" t="s">
        <v>1091</v>
      </c>
      <c r="N6039" s="564" t="s">
        <v>1073</v>
      </c>
      <c r="O6039" s="564" t="s">
        <v>241</v>
      </c>
      <c r="P6039" s="23"/>
      <c r="Q6039" s="23"/>
      <c r="R6039" s="23"/>
      <c r="S6039" s="23"/>
      <c r="T6039" s="23"/>
      <c r="U6039" s="23"/>
      <c r="V6039" s="23"/>
      <c r="W6039" s="23"/>
      <c r="X6039" s="23"/>
      <c r="Y6039" s="23"/>
      <c r="Z6039" s="23"/>
    </row>
    <row r="6040" spans="1:26" ht="13">
      <c r="A6040" s="562" t="s">
        <v>13052</v>
      </c>
      <c r="B6040" s="563" t="s">
        <v>13053</v>
      </c>
      <c r="C6040" s="564" t="s">
        <v>1612</v>
      </c>
      <c r="D6040" s="565">
        <v>39904</v>
      </c>
      <c r="E6040" s="565">
        <v>40268</v>
      </c>
      <c r="F6040" s="566">
        <v>14256000</v>
      </c>
      <c r="G6040" s="564" t="s">
        <v>1067</v>
      </c>
      <c r="H6040" s="564" t="s">
        <v>297</v>
      </c>
      <c r="I6040" s="564" t="s">
        <v>146</v>
      </c>
      <c r="J6040" s="564" t="s">
        <v>1069</v>
      </c>
      <c r="K6040" s="564" t="s">
        <v>1070</v>
      </c>
      <c r="L6040" s="564" t="s">
        <v>1071</v>
      </c>
      <c r="M6040" s="564" t="s">
        <v>1091</v>
      </c>
      <c r="N6040" s="564" t="s">
        <v>1073</v>
      </c>
      <c r="O6040" s="564" t="s">
        <v>241</v>
      </c>
      <c r="P6040" s="23"/>
      <c r="Q6040" s="23"/>
      <c r="R6040" s="23"/>
      <c r="S6040" s="23"/>
      <c r="T6040" s="23"/>
      <c r="U6040" s="23"/>
      <c r="V6040" s="23"/>
      <c r="W6040" s="23"/>
      <c r="X6040" s="23"/>
      <c r="Y6040" s="23"/>
      <c r="Z6040" s="23"/>
    </row>
    <row r="6041" spans="1:26" ht="13">
      <c r="A6041" s="562" t="s">
        <v>13054</v>
      </c>
      <c r="B6041" s="563" t="s">
        <v>13055</v>
      </c>
      <c r="C6041" s="564" t="s">
        <v>1612</v>
      </c>
      <c r="D6041" s="565">
        <v>39873</v>
      </c>
      <c r="E6041" s="565">
        <v>39964</v>
      </c>
      <c r="F6041" s="566">
        <v>108000000</v>
      </c>
      <c r="G6041" s="564" t="s">
        <v>11469</v>
      </c>
      <c r="H6041" s="564" t="s">
        <v>1856</v>
      </c>
      <c r="I6041" s="564" t="s">
        <v>45</v>
      </c>
      <c r="J6041" s="564" t="s">
        <v>1069</v>
      </c>
      <c r="K6041" s="564" t="s">
        <v>1090</v>
      </c>
      <c r="L6041" s="564" t="s">
        <v>1390</v>
      </c>
      <c r="M6041" s="564" t="s">
        <v>1390</v>
      </c>
      <c r="N6041" s="564" t="s">
        <v>45</v>
      </c>
      <c r="O6041" s="564" t="s">
        <v>38</v>
      </c>
      <c r="P6041" s="23"/>
      <c r="Q6041" s="23"/>
      <c r="R6041" s="23"/>
      <c r="S6041" s="23"/>
      <c r="T6041" s="23"/>
      <c r="U6041" s="23"/>
      <c r="V6041" s="23"/>
      <c r="W6041" s="23"/>
      <c r="X6041" s="23"/>
      <c r="Y6041" s="23"/>
      <c r="Z6041" s="23"/>
    </row>
    <row r="6042" spans="1:26" ht="13">
      <c r="A6042" s="562" t="s">
        <v>13056</v>
      </c>
      <c r="B6042" s="563" t="s">
        <v>13057</v>
      </c>
      <c r="C6042" s="564" t="s">
        <v>1255</v>
      </c>
      <c r="D6042" s="565">
        <v>39904</v>
      </c>
      <c r="E6042" s="565">
        <v>40268</v>
      </c>
      <c r="F6042" s="566">
        <v>34909091</v>
      </c>
      <c r="G6042" s="564" t="s">
        <v>1123</v>
      </c>
      <c r="H6042" s="564" t="s">
        <v>1912</v>
      </c>
      <c r="I6042" s="564" t="s">
        <v>8659</v>
      </c>
      <c r="J6042" s="564" t="s">
        <v>1069</v>
      </c>
      <c r="K6042" s="564" t="s">
        <v>1205</v>
      </c>
      <c r="L6042" s="564" t="s">
        <v>1071</v>
      </c>
      <c r="M6042" s="564" t="s">
        <v>1091</v>
      </c>
      <c r="N6042" s="564" t="s">
        <v>1073</v>
      </c>
      <c r="O6042" s="564" t="s">
        <v>241</v>
      </c>
      <c r="P6042" s="23"/>
      <c r="Q6042" s="23"/>
      <c r="R6042" s="23"/>
      <c r="S6042" s="23"/>
      <c r="T6042" s="23"/>
      <c r="U6042" s="23"/>
      <c r="V6042" s="23"/>
      <c r="W6042" s="23"/>
      <c r="X6042" s="23"/>
      <c r="Y6042" s="23"/>
      <c r="Z6042" s="23"/>
    </row>
    <row r="6043" spans="1:26" ht="13">
      <c r="A6043" s="562" t="s">
        <v>13058</v>
      </c>
      <c r="B6043" s="563" t="s">
        <v>13059</v>
      </c>
      <c r="C6043" s="564" t="s">
        <v>2191</v>
      </c>
      <c r="D6043" s="565">
        <v>40148</v>
      </c>
      <c r="E6043" s="565">
        <v>40755</v>
      </c>
      <c r="F6043" s="566">
        <v>254110000</v>
      </c>
      <c r="G6043" s="564" t="s">
        <v>2508</v>
      </c>
      <c r="H6043" s="564" t="s">
        <v>1157</v>
      </c>
      <c r="I6043" s="564" t="s">
        <v>70</v>
      </c>
      <c r="J6043" s="564" t="s">
        <v>1069</v>
      </c>
      <c r="K6043" s="564" t="s">
        <v>1120</v>
      </c>
      <c r="L6043" s="564" t="s">
        <v>1071</v>
      </c>
      <c r="M6043" s="564" t="s">
        <v>1124</v>
      </c>
      <c r="N6043" s="564" t="s">
        <v>70</v>
      </c>
      <c r="O6043" s="564" t="s">
        <v>38</v>
      </c>
      <c r="P6043" s="23"/>
      <c r="Q6043" s="23"/>
      <c r="R6043" s="23"/>
      <c r="S6043" s="23"/>
      <c r="T6043" s="23"/>
      <c r="U6043" s="23"/>
      <c r="V6043" s="23"/>
      <c r="W6043" s="23"/>
      <c r="X6043" s="23"/>
      <c r="Y6043" s="23"/>
      <c r="Z6043" s="23"/>
    </row>
    <row r="6044" spans="1:26" ht="13">
      <c r="A6044" s="562" t="s">
        <v>13060</v>
      </c>
      <c r="B6044" s="563" t="s">
        <v>13061</v>
      </c>
      <c r="C6044" s="564" t="s">
        <v>1612</v>
      </c>
      <c r="D6044" s="565">
        <v>39902</v>
      </c>
      <c r="E6044" s="565">
        <v>39932</v>
      </c>
      <c r="F6044" s="566">
        <v>91818182</v>
      </c>
      <c r="G6044" s="564" t="s">
        <v>1123</v>
      </c>
      <c r="H6044" s="564" t="s">
        <v>1912</v>
      </c>
      <c r="I6044" s="564" t="s">
        <v>802</v>
      </c>
      <c r="J6044" s="564" t="s">
        <v>1069</v>
      </c>
      <c r="K6044" s="564" t="s">
        <v>1198</v>
      </c>
      <c r="L6044" s="564" t="s">
        <v>1071</v>
      </c>
      <c r="M6044" s="564" t="s">
        <v>1124</v>
      </c>
      <c r="N6044" s="564" t="s">
        <v>132</v>
      </c>
      <c r="O6044" s="564" t="s">
        <v>38</v>
      </c>
      <c r="P6044" s="23"/>
      <c r="Q6044" s="23"/>
      <c r="R6044" s="23"/>
      <c r="S6044" s="23"/>
      <c r="T6044" s="23"/>
      <c r="U6044" s="23"/>
      <c r="V6044" s="23"/>
      <c r="W6044" s="23"/>
      <c r="X6044" s="23"/>
      <c r="Y6044" s="23"/>
      <c r="Z6044" s="23"/>
    </row>
    <row r="6045" spans="1:26" ht="13">
      <c r="A6045" s="562" t="s">
        <v>13062</v>
      </c>
      <c r="B6045" s="563" t="s">
        <v>13063</v>
      </c>
      <c r="C6045" s="564" t="s">
        <v>1612</v>
      </c>
      <c r="D6045" s="565">
        <v>39873</v>
      </c>
      <c r="E6045" s="565">
        <v>40237</v>
      </c>
      <c r="F6045" s="566">
        <v>16800000</v>
      </c>
      <c r="G6045" s="564" t="s">
        <v>1729</v>
      </c>
      <c r="H6045" s="564" t="s">
        <v>297</v>
      </c>
      <c r="I6045" s="564" t="s">
        <v>802</v>
      </c>
      <c r="J6045" s="564" t="s">
        <v>1069</v>
      </c>
      <c r="K6045" s="564" t="s">
        <v>1198</v>
      </c>
      <c r="L6045" s="564" t="s">
        <v>1071</v>
      </c>
      <c r="M6045" s="564" t="s">
        <v>1091</v>
      </c>
      <c r="N6045" s="564" t="s">
        <v>132</v>
      </c>
      <c r="O6045" s="564" t="s">
        <v>241</v>
      </c>
      <c r="P6045" s="23"/>
      <c r="Q6045" s="23"/>
      <c r="R6045" s="23"/>
      <c r="S6045" s="23"/>
      <c r="T6045" s="23"/>
      <c r="U6045" s="23"/>
      <c r="V6045" s="23"/>
      <c r="W6045" s="23"/>
      <c r="X6045" s="23"/>
      <c r="Y6045" s="23"/>
      <c r="Z6045" s="23"/>
    </row>
    <row r="6046" spans="1:26" ht="13">
      <c r="A6046" s="562" t="s">
        <v>13064</v>
      </c>
      <c r="B6046" s="563" t="s">
        <v>13065</v>
      </c>
      <c r="C6046" s="564" t="s">
        <v>6860</v>
      </c>
      <c r="D6046" s="565">
        <v>39857</v>
      </c>
      <c r="E6046" s="565">
        <v>40178</v>
      </c>
      <c r="F6046" s="566">
        <v>584858345</v>
      </c>
      <c r="G6046" s="564" t="s">
        <v>2168</v>
      </c>
      <c r="H6046" s="564" t="s">
        <v>2168</v>
      </c>
      <c r="I6046" s="564" t="s">
        <v>13066</v>
      </c>
      <c r="J6046" s="564" t="s">
        <v>1069</v>
      </c>
      <c r="K6046" s="564" t="s">
        <v>1070</v>
      </c>
      <c r="L6046" s="564" t="s">
        <v>1071</v>
      </c>
      <c r="M6046" s="564" t="s">
        <v>1091</v>
      </c>
      <c r="N6046" s="564" t="s">
        <v>2439</v>
      </c>
      <c r="O6046" s="564" t="s">
        <v>241</v>
      </c>
      <c r="P6046" s="23"/>
      <c r="Q6046" s="23"/>
      <c r="R6046" s="23"/>
      <c r="S6046" s="23"/>
      <c r="T6046" s="23"/>
      <c r="U6046" s="23"/>
      <c r="V6046" s="23"/>
      <c r="W6046" s="23"/>
      <c r="X6046" s="23"/>
      <c r="Y6046" s="23"/>
      <c r="Z6046" s="23"/>
    </row>
    <row r="6047" spans="1:26" ht="13">
      <c r="A6047" s="562" t="s">
        <v>13067</v>
      </c>
      <c r="B6047" s="563" t="s">
        <v>13068</v>
      </c>
      <c r="C6047" s="564" t="s">
        <v>2191</v>
      </c>
      <c r="D6047" s="565">
        <v>39846</v>
      </c>
      <c r="E6047" s="565">
        <v>39933</v>
      </c>
      <c r="F6047" s="566">
        <v>275000000</v>
      </c>
      <c r="G6047" s="564" t="s">
        <v>13069</v>
      </c>
      <c r="H6047" s="564" t="s">
        <v>1145</v>
      </c>
      <c r="I6047" s="564" t="s">
        <v>13070</v>
      </c>
      <c r="J6047" s="564" t="s">
        <v>1069</v>
      </c>
      <c r="K6047" s="564" t="s">
        <v>1070</v>
      </c>
      <c r="L6047" s="564" t="s">
        <v>1390</v>
      </c>
      <c r="M6047" s="564" t="s">
        <v>1390</v>
      </c>
      <c r="N6047" s="564" t="s">
        <v>1082</v>
      </c>
      <c r="O6047" s="564" t="s">
        <v>38</v>
      </c>
      <c r="P6047" s="23"/>
      <c r="Q6047" s="23"/>
      <c r="R6047" s="23"/>
      <c r="S6047" s="23"/>
      <c r="T6047" s="23"/>
      <c r="U6047" s="23"/>
      <c r="V6047" s="23"/>
      <c r="W6047" s="23"/>
      <c r="X6047" s="23"/>
      <c r="Y6047" s="23"/>
      <c r="Z6047" s="23"/>
    </row>
    <row r="6048" spans="1:26" ht="13">
      <c r="A6048" s="562" t="s">
        <v>13071</v>
      </c>
      <c r="B6048" s="563" t="s">
        <v>13072</v>
      </c>
      <c r="C6048" s="564" t="s">
        <v>2191</v>
      </c>
      <c r="D6048" s="565">
        <v>39808</v>
      </c>
      <c r="E6048" s="565">
        <v>40178</v>
      </c>
      <c r="F6048" s="566">
        <v>134695287</v>
      </c>
      <c r="G6048" s="564" t="s">
        <v>1123</v>
      </c>
      <c r="H6048" s="564" t="s">
        <v>1912</v>
      </c>
      <c r="I6048" s="564" t="s">
        <v>13073</v>
      </c>
      <c r="J6048" s="564" t="s">
        <v>1069</v>
      </c>
      <c r="K6048" s="564" t="s">
        <v>1070</v>
      </c>
      <c r="L6048" s="564" t="s">
        <v>1071</v>
      </c>
      <c r="M6048" s="564" t="s">
        <v>1124</v>
      </c>
      <c r="N6048" s="564" t="s">
        <v>2543</v>
      </c>
      <c r="O6048" s="564" t="s">
        <v>38</v>
      </c>
      <c r="P6048" s="23"/>
      <c r="Q6048" s="23"/>
      <c r="R6048" s="23"/>
      <c r="S6048" s="23"/>
      <c r="T6048" s="23"/>
      <c r="U6048" s="23"/>
      <c r="V6048" s="23"/>
      <c r="W6048" s="23"/>
      <c r="X6048" s="23"/>
      <c r="Y6048" s="23"/>
      <c r="Z6048" s="23"/>
    </row>
    <row r="6049" spans="1:26" ht="13">
      <c r="A6049" s="562" t="s">
        <v>13074</v>
      </c>
      <c r="B6049" s="563" t="s">
        <v>13075</v>
      </c>
      <c r="C6049" s="564" t="s">
        <v>8539</v>
      </c>
      <c r="D6049" s="565">
        <v>39846</v>
      </c>
      <c r="E6049" s="565">
        <v>39903</v>
      </c>
      <c r="F6049" s="566">
        <v>28000000</v>
      </c>
      <c r="G6049" s="564" t="s">
        <v>1604</v>
      </c>
      <c r="H6049" s="564" t="s">
        <v>1604</v>
      </c>
      <c r="I6049" s="564" t="s">
        <v>170</v>
      </c>
      <c r="J6049" s="564" t="s">
        <v>1069</v>
      </c>
      <c r="K6049" s="564" t="s">
        <v>1105</v>
      </c>
      <c r="L6049" s="564" t="s">
        <v>1071</v>
      </c>
      <c r="M6049" s="564" t="s">
        <v>1091</v>
      </c>
      <c r="N6049" s="564" t="s">
        <v>170</v>
      </c>
      <c r="O6049" s="564"/>
      <c r="P6049" s="23"/>
      <c r="Q6049" s="23"/>
      <c r="R6049" s="23"/>
      <c r="S6049" s="23"/>
      <c r="T6049" s="23"/>
      <c r="U6049" s="23"/>
      <c r="V6049" s="23"/>
      <c r="W6049" s="23"/>
      <c r="X6049" s="23"/>
      <c r="Y6049" s="23"/>
      <c r="Z6049" s="23"/>
    </row>
    <row r="6050" spans="1:26" ht="13">
      <c r="A6050" s="562" t="s">
        <v>13076</v>
      </c>
      <c r="B6050" s="563" t="s">
        <v>13077</v>
      </c>
      <c r="C6050" s="564" t="s">
        <v>8539</v>
      </c>
      <c r="D6050" s="565">
        <v>39569</v>
      </c>
      <c r="E6050" s="565">
        <v>39721</v>
      </c>
      <c r="F6050" s="566">
        <v>107160000</v>
      </c>
      <c r="G6050" s="564" t="s">
        <v>1604</v>
      </c>
      <c r="H6050" s="564" t="s">
        <v>1604</v>
      </c>
      <c r="I6050" s="564" t="s">
        <v>45</v>
      </c>
      <c r="J6050" s="564" t="s">
        <v>1069</v>
      </c>
      <c r="K6050" s="564" t="s">
        <v>1090</v>
      </c>
      <c r="L6050" s="564" t="s">
        <v>1071</v>
      </c>
      <c r="M6050" s="564" t="s">
        <v>1124</v>
      </c>
      <c r="N6050" s="564" t="s">
        <v>45</v>
      </c>
      <c r="O6050" s="564" t="s">
        <v>2512</v>
      </c>
      <c r="P6050" s="23"/>
      <c r="Q6050" s="23"/>
      <c r="R6050" s="23"/>
      <c r="S6050" s="23"/>
      <c r="T6050" s="23"/>
      <c r="U6050" s="23"/>
      <c r="V6050" s="23"/>
      <c r="W6050" s="23"/>
      <c r="X6050" s="23"/>
      <c r="Y6050" s="23"/>
      <c r="Z6050" s="23"/>
    </row>
    <row r="6051" spans="1:26" ht="13">
      <c r="A6051" s="562" t="s">
        <v>13078</v>
      </c>
      <c r="B6051" s="563" t="s">
        <v>13079</v>
      </c>
      <c r="C6051" s="564" t="s">
        <v>8539</v>
      </c>
      <c r="D6051" s="565">
        <v>39448</v>
      </c>
      <c r="E6051" s="565">
        <v>39813</v>
      </c>
      <c r="F6051" s="567"/>
      <c r="G6051" s="564" t="s">
        <v>2192</v>
      </c>
      <c r="H6051" s="564" t="s">
        <v>2192</v>
      </c>
      <c r="I6051" s="564" t="s">
        <v>802</v>
      </c>
      <c r="J6051" s="564" t="s">
        <v>1069</v>
      </c>
      <c r="K6051" s="564" t="s">
        <v>1198</v>
      </c>
      <c r="L6051" s="564" t="s">
        <v>1071</v>
      </c>
      <c r="M6051" s="564" t="s">
        <v>1124</v>
      </c>
      <c r="N6051" s="564" t="s">
        <v>132</v>
      </c>
      <c r="O6051" s="564" t="s">
        <v>2512</v>
      </c>
      <c r="P6051" s="23"/>
      <c r="Q6051" s="23"/>
      <c r="R6051" s="23"/>
      <c r="S6051" s="23"/>
      <c r="T6051" s="23"/>
      <c r="U6051" s="23"/>
      <c r="V6051" s="23"/>
      <c r="W6051" s="23"/>
      <c r="X6051" s="23"/>
      <c r="Y6051" s="23"/>
      <c r="Z6051" s="23"/>
    </row>
    <row r="6052" spans="1:26" ht="13">
      <c r="A6052" s="562" t="s">
        <v>13080</v>
      </c>
      <c r="B6052" s="563" t="s">
        <v>13081</v>
      </c>
      <c r="C6052" s="564" t="s">
        <v>8539</v>
      </c>
      <c r="D6052" s="565">
        <v>39539</v>
      </c>
      <c r="E6052" s="565">
        <v>39903</v>
      </c>
      <c r="F6052" s="566">
        <v>148319400</v>
      </c>
      <c r="G6052" s="564" t="s">
        <v>1830</v>
      </c>
      <c r="H6052" s="564" t="s">
        <v>1830</v>
      </c>
      <c r="I6052" s="564" t="s">
        <v>12758</v>
      </c>
      <c r="J6052" s="564" t="s">
        <v>1069</v>
      </c>
      <c r="K6052" s="564" t="s">
        <v>1070</v>
      </c>
      <c r="L6052" s="564" t="s">
        <v>1071</v>
      </c>
      <c r="M6052" s="564" t="s">
        <v>1091</v>
      </c>
      <c r="N6052" s="564" t="s">
        <v>2439</v>
      </c>
      <c r="O6052" s="564"/>
      <c r="P6052" s="23"/>
      <c r="Q6052" s="23"/>
      <c r="R6052" s="23"/>
      <c r="S6052" s="23"/>
      <c r="T6052" s="23"/>
      <c r="U6052" s="23"/>
      <c r="V6052" s="23"/>
      <c r="W6052" s="23"/>
      <c r="X6052" s="23"/>
      <c r="Y6052" s="23"/>
      <c r="Z6052" s="23"/>
    </row>
    <row r="6053" spans="1:26" ht="13">
      <c r="A6053" s="562" t="s">
        <v>13082</v>
      </c>
      <c r="B6053" s="563" t="s">
        <v>13083</v>
      </c>
      <c r="C6053" s="564" t="s">
        <v>8539</v>
      </c>
      <c r="D6053" s="565">
        <v>39448</v>
      </c>
      <c r="E6053" s="565">
        <v>39478</v>
      </c>
      <c r="F6053" s="566">
        <v>180000</v>
      </c>
      <c r="G6053" s="564" t="s">
        <v>1830</v>
      </c>
      <c r="H6053" s="564" t="s">
        <v>1830</v>
      </c>
      <c r="I6053" s="564" t="s">
        <v>10223</v>
      </c>
      <c r="J6053" s="564" t="s">
        <v>1069</v>
      </c>
      <c r="K6053" s="564" t="s">
        <v>1070</v>
      </c>
      <c r="L6053" s="564" t="s">
        <v>2098</v>
      </c>
      <c r="M6053" s="564" t="s">
        <v>2098</v>
      </c>
      <c r="N6053" s="564" t="s">
        <v>1082</v>
      </c>
      <c r="O6053" s="564"/>
      <c r="P6053" s="23"/>
      <c r="Q6053" s="23"/>
      <c r="R6053" s="23"/>
      <c r="S6053" s="23"/>
      <c r="T6053" s="23"/>
      <c r="U6053" s="23"/>
      <c r="V6053" s="23"/>
      <c r="W6053" s="23"/>
      <c r="X6053" s="23"/>
      <c r="Y6053" s="23"/>
      <c r="Z6053" s="23"/>
    </row>
    <row r="6054" spans="1:26" ht="13">
      <c r="A6054" s="562" t="s">
        <v>13084</v>
      </c>
      <c r="B6054" s="563" t="s">
        <v>13085</v>
      </c>
      <c r="C6054" s="564" t="s">
        <v>8539</v>
      </c>
      <c r="D6054" s="565">
        <v>39448</v>
      </c>
      <c r="E6054" s="565">
        <v>39813</v>
      </c>
      <c r="F6054" s="566">
        <v>1083500000</v>
      </c>
      <c r="G6054" s="564" t="s">
        <v>13086</v>
      </c>
      <c r="H6054" s="564" t="s">
        <v>13086</v>
      </c>
      <c r="I6054" s="564" t="s">
        <v>45</v>
      </c>
      <c r="J6054" s="564" t="s">
        <v>1069</v>
      </c>
      <c r="K6054" s="564" t="s">
        <v>1090</v>
      </c>
      <c r="L6054" s="564" t="s">
        <v>1071</v>
      </c>
      <c r="M6054" s="564" t="s">
        <v>1091</v>
      </c>
      <c r="N6054" s="564" t="s">
        <v>45</v>
      </c>
      <c r="O6054" s="564"/>
      <c r="P6054" s="23"/>
      <c r="Q6054" s="23"/>
      <c r="R6054" s="23"/>
      <c r="S6054" s="23"/>
      <c r="T6054" s="23"/>
      <c r="U6054" s="23"/>
      <c r="V6054" s="23"/>
      <c r="W6054" s="23"/>
      <c r="X6054" s="23"/>
      <c r="Y6054" s="23"/>
      <c r="Z6054" s="23"/>
    </row>
    <row r="6055" spans="1:26" ht="13">
      <c r="A6055" s="562" t="s">
        <v>13087</v>
      </c>
      <c r="B6055" s="563" t="s">
        <v>13088</v>
      </c>
      <c r="C6055" s="564" t="s">
        <v>2484</v>
      </c>
      <c r="D6055" s="565">
        <v>39769</v>
      </c>
      <c r="E6055" s="565">
        <v>39892</v>
      </c>
      <c r="F6055" s="566">
        <v>119006364</v>
      </c>
      <c r="G6055" s="564" t="s">
        <v>12084</v>
      </c>
      <c r="H6055" s="564" t="s">
        <v>12365</v>
      </c>
      <c r="I6055" s="564" t="s">
        <v>13089</v>
      </c>
      <c r="J6055" s="564" t="s">
        <v>1069</v>
      </c>
      <c r="K6055" s="564" t="s">
        <v>2466</v>
      </c>
      <c r="L6055" s="564" t="s">
        <v>2467</v>
      </c>
      <c r="M6055" s="564" t="s">
        <v>2466</v>
      </c>
      <c r="N6055" s="564" t="s">
        <v>2325</v>
      </c>
      <c r="O6055" s="564" t="s">
        <v>12077</v>
      </c>
      <c r="P6055" s="23"/>
      <c r="Q6055" s="23"/>
      <c r="R6055" s="23"/>
      <c r="S6055" s="23"/>
      <c r="T6055" s="23"/>
      <c r="U6055" s="23"/>
      <c r="V6055" s="23"/>
      <c r="W6055" s="23"/>
      <c r="X6055" s="23"/>
      <c r="Y6055" s="23"/>
      <c r="Z6055" s="23"/>
    </row>
    <row r="6056" spans="1:26" ht="13">
      <c r="A6056" s="562" t="s">
        <v>13090</v>
      </c>
      <c r="B6056" s="563" t="s">
        <v>13091</v>
      </c>
      <c r="C6056" s="564" t="s">
        <v>2484</v>
      </c>
      <c r="D6056" s="565">
        <v>39757</v>
      </c>
      <c r="E6056" s="565">
        <v>39808</v>
      </c>
      <c r="F6056" s="566">
        <v>8636364</v>
      </c>
      <c r="G6056" s="564" t="s">
        <v>2464</v>
      </c>
      <c r="H6056" s="564" t="s">
        <v>2541</v>
      </c>
      <c r="I6056" s="564" t="s">
        <v>12894</v>
      </c>
      <c r="J6056" s="564" t="s">
        <v>1069</v>
      </c>
      <c r="K6056" s="564" t="s">
        <v>2466</v>
      </c>
      <c r="L6056" s="564" t="s">
        <v>2467</v>
      </c>
      <c r="M6056" s="564" t="s">
        <v>2466</v>
      </c>
      <c r="N6056" s="564" t="s">
        <v>2325</v>
      </c>
      <c r="O6056" s="564" t="s">
        <v>12077</v>
      </c>
      <c r="P6056" s="23"/>
      <c r="Q6056" s="23"/>
      <c r="R6056" s="23"/>
      <c r="S6056" s="23"/>
      <c r="T6056" s="23"/>
      <c r="U6056" s="23"/>
      <c r="V6056" s="23"/>
      <c r="W6056" s="23"/>
      <c r="X6056" s="23"/>
      <c r="Y6056" s="23"/>
      <c r="Z6056" s="23"/>
    </row>
    <row r="6057" spans="1:26" ht="13">
      <c r="A6057" s="562" t="s">
        <v>13092</v>
      </c>
      <c r="B6057" s="563" t="s">
        <v>13093</v>
      </c>
      <c r="C6057" s="564" t="s">
        <v>2484</v>
      </c>
      <c r="D6057" s="565">
        <v>39752</v>
      </c>
      <c r="E6057" s="565">
        <v>39762</v>
      </c>
      <c r="F6057" s="566">
        <v>81818182</v>
      </c>
      <c r="G6057" s="564" t="s">
        <v>2434</v>
      </c>
      <c r="H6057" s="564" t="s">
        <v>2546</v>
      </c>
      <c r="I6057" s="564" t="s">
        <v>10189</v>
      </c>
      <c r="J6057" s="564" t="s">
        <v>1069</v>
      </c>
      <c r="K6057" s="564" t="s">
        <v>2466</v>
      </c>
      <c r="L6057" s="564" t="s">
        <v>2467</v>
      </c>
      <c r="M6057" s="564" t="s">
        <v>2466</v>
      </c>
      <c r="N6057" s="564" t="s">
        <v>1082</v>
      </c>
      <c r="O6057" s="564" t="s">
        <v>4798</v>
      </c>
      <c r="P6057" s="23"/>
      <c r="Q6057" s="23"/>
      <c r="R6057" s="23"/>
      <c r="S6057" s="23"/>
      <c r="T6057" s="23"/>
      <c r="U6057" s="23"/>
      <c r="V6057" s="23"/>
      <c r="W6057" s="23"/>
      <c r="X6057" s="23"/>
      <c r="Y6057" s="23"/>
      <c r="Z6057" s="23"/>
    </row>
    <row r="6058" spans="1:26" ht="13">
      <c r="A6058" s="562" t="s">
        <v>13094</v>
      </c>
      <c r="B6058" s="563" t="s">
        <v>13095</v>
      </c>
      <c r="C6058" s="564" t="s">
        <v>2484</v>
      </c>
      <c r="D6058" s="565">
        <v>39751</v>
      </c>
      <c r="E6058" s="565">
        <v>39795</v>
      </c>
      <c r="F6058" s="566">
        <v>25487273</v>
      </c>
      <c r="G6058" s="564" t="s">
        <v>2502</v>
      </c>
      <c r="H6058" s="564" t="s">
        <v>2541</v>
      </c>
      <c r="I6058" s="564" t="s">
        <v>13096</v>
      </c>
      <c r="J6058" s="564" t="s">
        <v>1069</v>
      </c>
      <c r="K6058" s="564" t="s">
        <v>2466</v>
      </c>
      <c r="L6058" s="564" t="s">
        <v>2467</v>
      </c>
      <c r="M6058" s="564" t="s">
        <v>2466</v>
      </c>
      <c r="N6058" s="564" t="s">
        <v>1082</v>
      </c>
      <c r="O6058" s="564" t="s">
        <v>12077</v>
      </c>
      <c r="P6058" s="23"/>
      <c r="Q6058" s="23"/>
      <c r="R6058" s="23"/>
      <c r="S6058" s="23"/>
      <c r="T6058" s="23"/>
      <c r="U6058" s="23"/>
      <c r="V6058" s="23"/>
      <c r="W6058" s="23"/>
      <c r="X6058" s="23"/>
      <c r="Y6058" s="23"/>
      <c r="Z6058" s="23"/>
    </row>
    <row r="6059" spans="1:26" ht="13">
      <c r="A6059" s="562" t="s">
        <v>13097</v>
      </c>
      <c r="B6059" s="563" t="s">
        <v>13098</v>
      </c>
      <c r="C6059" s="564" t="s">
        <v>2484</v>
      </c>
      <c r="D6059" s="565">
        <v>39743</v>
      </c>
      <c r="E6059" s="565">
        <v>39758</v>
      </c>
      <c r="F6059" s="566">
        <v>28454545</v>
      </c>
      <c r="G6059" s="564" t="s">
        <v>2434</v>
      </c>
      <c r="H6059" s="564" t="s">
        <v>2546</v>
      </c>
      <c r="I6059" s="564" t="s">
        <v>13099</v>
      </c>
      <c r="J6059" s="564" t="s">
        <v>1069</v>
      </c>
      <c r="K6059" s="564" t="s">
        <v>2466</v>
      </c>
      <c r="L6059" s="564" t="s">
        <v>2467</v>
      </c>
      <c r="M6059" s="564" t="s">
        <v>2466</v>
      </c>
      <c r="N6059" s="564" t="s">
        <v>1082</v>
      </c>
      <c r="O6059" s="564" t="s">
        <v>4798</v>
      </c>
      <c r="P6059" s="23"/>
      <c r="Q6059" s="23"/>
      <c r="R6059" s="23"/>
      <c r="S6059" s="23"/>
      <c r="T6059" s="23"/>
      <c r="U6059" s="23"/>
      <c r="V6059" s="23"/>
      <c r="W6059" s="23"/>
      <c r="X6059" s="23"/>
      <c r="Y6059" s="23"/>
      <c r="Z6059" s="23"/>
    </row>
    <row r="6060" spans="1:26" ht="13">
      <c r="A6060" s="562" t="s">
        <v>13100</v>
      </c>
      <c r="B6060" s="563" t="s">
        <v>13101</v>
      </c>
      <c r="C6060" s="564" t="s">
        <v>2484</v>
      </c>
      <c r="D6060" s="565">
        <v>39741</v>
      </c>
      <c r="E6060" s="565">
        <v>40041</v>
      </c>
      <c r="F6060" s="566">
        <v>303088805</v>
      </c>
      <c r="G6060" s="564" t="s">
        <v>12084</v>
      </c>
      <c r="H6060" s="564" t="s">
        <v>12120</v>
      </c>
      <c r="I6060" s="564" t="s">
        <v>13102</v>
      </c>
      <c r="J6060" s="564" t="s">
        <v>1069</v>
      </c>
      <c r="K6060" s="564" t="s">
        <v>2466</v>
      </c>
      <c r="L6060" s="564" t="s">
        <v>2467</v>
      </c>
      <c r="M6060" s="564" t="s">
        <v>2466</v>
      </c>
      <c r="N6060" s="564" t="s">
        <v>2543</v>
      </c>
      <c r="O6060" s="564" t="s">
        <v>12077</v>
      </c>
      <c r="P6060" s="23"/>
      <c r="Q6060" s="23"/>
      <c r="R6060" s="23"/>
      <c r="S6060" s="23"/>
      <c r="T6060" s="23"/>
      <c r="U6060" s="23"/>
      <c r="V6060" s="23"/>
      <c r="W6060" s="23"/>
      <c r="X6060" s="23"/>
      <c r="Y6060" s="23"/>
      <c r="Z6060" s="23"/>
    </row>
    <row r="6061" spans="1:26" ht="13">
      <c r="A6061" s="562" t="s">
        <v>13103</v>
      </c>
      <c r="B6061" s="563" t="s">
        <v>13104</v>
      </c>
      <c r="C6061" s="564" t="s">
        <v>2484</v>
      </c>
      <c r="D6061" s="565">
        <v>39741</v>
      </c>
      <c r="E6061" s="565">
        <v>39767</v>
      </c>
      <c r="F6061" s="566">
        <v>84971200</v>
      </c>
      <c r="G6061" s="564" t="s">
        <v>2434</v>
      </c>
      <c r="H6061" s="564" t="s">
        <v>2459</v>
      </c>
      <c r="I6061" s="564" t="s">
        <v>13105</v>
      </c>
      <c r="J6061" s="564" t="s">
        <v>1069</v>
      </c>
      <c r="K6061" s="564" t="s">
        <v>2466</v>
      </c>
      <c r="L6061" s="564" t="s">
        <v>2467</v>
      </c>
      <c r="M6061" s="564" t="s">
        <v>2466</v>
      </c>
      <c r="N6061" s="564" t="s">
        <v>1082</v>
      </c>
      <c r="O6061" s="564" t="s">
        <v>12077</v>
      </c>
      <c r="P6061" s="23"/>
      <c r="Q6061" s="23"/>
      <c r="R6061" s="23"/>
      <c r="S6061" s="23"/>
      <c r="T6061" s="23"/>
      <c r="U6061" s="23"/>
      <c r="V6061" s="23"/>
      <c r="W6061" s="23"/>
      <c r="X6061" s="23"/>
      <c r="Y6061" s="23"/>
      <c r="Z6061" s="23"/>
    </row>
    <row r="6062" spans="1:26" ht="13">
      <c r="A6062" s="562" t="s">
        <v>13106</v>
      </c>
      <c r="B6062" s="563" t="s">
        <v>13107</v>
      </c>
      <c r="C6062" s="564" t="s">
        <v>2484</v>
      </c>
      <c r="D6062" s="565">
        <v>39734</v>
      </c>
      <c r="E6062" s="565">
        <v>39823</v>
      </c>
      <c r="F6062" s="566">
        <v>27272727</v>
      </c>
      <c r="G6062" s="564" t="s">
        <v>2502</v>
      </c>
      <c r="H6062" s="564" t="s">
        <v>12120</v>
      </c>
      <c r="I6062" s="564" t="s">
        <v>13108</v>
      </c>
      <c r="J6062" s="564" t="s">
        <v>1069</v>
      </c>
      <c r="K6062" s="564" t="s">
        <v>2466</v>
      </c>
      <c r="L6062" s="564" t="s">
        <v>2467</v>
      </c>
      <c r="M6062" s="564" t="s">
        <v>2466</v>
      </c>
      <c r="N6062" s="564" t="s">
        <v>1082</v>
      </c>
      <c r="O6062" s="564" t="s">
        <v>12077</v>
      </c>
      <c r="P6062" s="23"/>
      <c r="Q6062" s="23"/>
      <c r="R6062" s="23"/>
      <c r="S6062" s="23"/>
      <c r="T6062" s="23"/>
      <c r="U6062" s="23"/>
      <c r="V6062" s="23"/>
      <c r="W6062" s="23"/>
      <c r="X6062" s="23"/>
      <c r="Y6062" s="23"/>
      <c r="Z6062" s="23"/>
    </row>
    <row r="6063" spans="1:26" ht="13">
      <c r="A6063" s="562" t="s">
        <v>13109</v>
      </c>
      <c r="B6063" s="563" t="s">
        <v>13110</v>
      </c>
      <c r="C6063" s="564" t="s">
        <v>2484</v>
      </c>
      <c r="D6063" s="565">
        <v>39730</v>
      </c>
      <c r="E6063" s="565">
        <v>39763</v>
      </c>
      <c r="F6063" s="566">
        <v>27272727</v>
      </c>
      <c r="G6063" s="564" t="s">
        <v>12337</v>
      </c>
      <c r="H6063" s="564" t="s">
        <v>2459</v>
      </c>
      <c r="I6063" s="564" t="s">
        <v>13111</v>
      </c>
      <c r="J6063" s="564" t="s">
        <v>1069</v>
      </c>
      <c r="K6063" s="564" t="s">
        <v>2466</v>
      </c>
      <c r="L6063" s="564" t="s">
        <v>2467</v>
      </c>
      <c r="M6063" s="564" t="s">
        <v>2466</v>
      </c>
      <c r="N6063" s="564" t="s">
        <v>2543</v>
      </c>
      <c r="O6063" s="564" t="s">
        <v>12077</v>
      </c>
      <c r="P6063" s="23"/>
      <c r="Q6063" s="23"/>
      <c r="R6063" s="23"/>
      <c r="S6063" s="23"/>
      <c r="T6063" s="23"/>
      <c r="U6063" s="23"/>
      <c r="V6063" s="23"/>
      <c r="W6063" s="23"/>
      <c r="X6063" s="23"/>
      <c r="Y6063" s="23"/>
      <c r="Z6063" s="23"/>
    </row>
    <row r="6064" spans="1:26" ht="13">
      <c r="A6064" s="562" t="s">
        <v>13112</v>
      </c>
      <c r="B6064" s="563" t="s">
        <v>13113</v>
      </c>
      <c r="C6064" s="564" t="s">
        <v>2484</v>
      </c>
      <c r="D6064" s="565">
        <v>39721</v>
      </c>
      <c r="E6064" s="565">
        <v>40031</v>
      </c>
      <c r="F6064" s="566">
        <v>86154545</v>
      </c>
      <c r="G6064" s="564" t="s">
        <v>12337</v>
      </c>
      <c r="H6064" s="564" t="s">
        <v>2459</v>
      </c>
      <c r="I6064" s="564" t="s">
        <v>12361</v>
      </c>
      <c r="J6064" s="564" t="s">
        <v>1069</v>
      </c>
      <c r="K6064" s="564" t="s">
        <v>2466</v>
      </c>
      <c r="L6064" s="564" t="s">
        <v>2467</v>
      </c>
      <c r="M6064" s="564" t="s">
        <v>2466</v>
      </c>
      <c r="N6064" s="564" t="s">
        <v>2543</v>
      </c>
      <c r="O6064" s="564" t="s">
        <v>12077</v>
      </c>
      <c r="P6064" s="23"/>
      <c r="Q6064" s="23"/>
      <c r="R6064" s="23"/>
      <c r="S6064" s="23"/>
      <c r="T6064" s="23"/>
      <c r="U6064" s="23"/>
      <c r="V6064" s="23"/>
      <c r="W6064" s="23"/>
      <c r="X6064" s="23"/>
      <c r="Y6064" s="23"/>
      <c r="Z6064" s="23"/>
    </row>
    <row r="6065" spans="1:26" ht="13">
      <c r="A6065" s="562" t="s">
        <v>13114</v>
      </c>
      <c r="B6065" s="563" t="s">
        <v>13115</v>
      </c>
      <c r="C6065" s="564" t="s">
        <v>2484</v>
      </c>
      <c r="D6065" s="565">
        <v>39722</v>
      </c>
      <c r="E6065" s="565">
        <v>39752</v>
      </c>
      <c r="F6065" s="566">
        <v>56363636</v>
      </c>
      <c r="G6065" s="564" t="s">
        <v>2434</v>
      </c>
      <c r="H6065" s="564" t="s">
        <v>12640</v>
      </c>
      <c r="I6065" s="564" t="s">
        <v>13116</v>
      </c>
      <c r="J6065" s="564" t="s">
        <v>1069</v>
      </c>
      <c r="K6065" s="564" t="s">
        <v>2466</v>
      </c>
      <c r="L6065" s="564" t="s">
        <v>2467</v>
      </c>
      <c r="M6065" s="564" t="s">
        <v>2466</v>
      </c>
      <c r="N6065" s="564" t="s">
        <v>1082</v>
      </c>
      <c r="O6065" s="564" t="s">
        <v>4798</v>
      </c>
      <c r="P6065" s="23"/>
      <c r="Q6065" s="23"/>
      <c r="R6065" s="23"/>
      <c r="S6065" s="23"/>
      <c r="T6065" s="23"/>
      <c r="U6065" s="23"/>
      <c r="V6065" s="23"/>
      <c r="W6065" s="23"/>
      <c r="X6065" s="23"/>
      <c r="Y6065" s="23"/>
      <c r="Z6065" s="23"/>
    </row>
    <row r="6066" spans="1:26" ht="13">
      <c r="A6066" s="562" t="s">
        <v>13117</v>
      </c>
      <c r="B6066" s="563" t="s">
        <v>13118</v>
      </c>
      <c r="C6066" s="564" t="s">
        <v>2484</v>
      </c>
      <c r="D6066" s="565">
        <v>39714</v>
      </c>
      <c r="E6066" s="565">
        <v>39728</v>
      </c>
      <c r="F6066" s="566">
        <v>27818182</v>
      </c>
      <c r="G6066" s="564" t="s">
        <v>2434</v>
      </c>
      <c r="H6066" s="564" t="s">
        <v>2546</v>
      </c>
      <c r="I6066" s="564" t="s">
        <v>13119</v>
      </c>
      <c r="J6066" s="564" t="s">
        <v>1069</v>
      </c>
      <c r="K6066" s="564" t="s">
        <v>2466</v>
      </c>
      <c r="L6066" s="564" t="s">
        <v>2467</v>
      </c>
      <c r="M6066" s="564" t="s">
        <v>2466</v>
      </c>
      <c r="N6066" s="564" t="s">
        <v>1082</v>
      </c>
      <c r="O6066" s="564" t="s">
        <v>4798</v>
      </c>
      <c r="P6066" s="23"/>
      <c r="Q6066" s="23"/>
      <c r="R6066" s="23"/>
      <c r="S6066" s="23"/>
      <c r="T6066" s="23"/>
      <c r="U6066" s="23"/>
      <c r="V6066" s="23"/>
      <c r="W6066" s="23"/>
      <c r="X6066" s="23"/>
      <c r="Y6066" s="23"/>
      <c r="Z6066" s="23"/>
    </row>
    <row r="6067" spans="1:26" ht="13">
      <c r="A6067" s="562" t="s">
        <v>13120</v>
      </c>
      <c r="B6067" s="563" t="s">
        <v>13121</v>
      </c>
      <c r="C6067" s="564" t="s">
        <v>2484</v>
      </c>
      <c r="D6067" s="565">
        <v>39715</v>
      </c>
      <c r="E6067" s="565">
        <v>39795</v>
      </c>
      <c r="F6067" s="566">
        <v>49545455</v>
      </c>
      <c r="G6067" s="564" t="s">
        <v>12337</v>
      </c>
      <c r="H6067" s="564" t="s">
        <v>12125</v>
      </c>
      <c r="I6067" s="564" t="s">
        <v>13122</v>
      </c>
      <c r="J6067" s="564" t="s">
        <v>1069</v>
      </c>
      <c r="K6067" s="564" t="s">
        <v>2466</v>
      </c>
      <c r="L6067" s="564" t="s">
        <v>2467</v>
      </c>
      <c r="M6067" s="564" t="s">
        <v>2466</v>
      </c>
      <c r="N6067" s="564" t="s">
        <v>2543</v>
      </c>
      <c r="O6067" s="564" t="s">
        <v>12077</v>
      </c>
      <c r="P6067" s="23"/>
      <c r="Q6067" s="23"/>
      <c r="R6067" s="23"/>
      <c r="S6067" s="23"/>
      <c r="T6067" s="23"/>
      <c r="U6067" s="23"/>
      <c r="V6067" s="23"/>
      <c r="W6067" s="23"/>
      <c r="X6067" s="23"/>
      <c r="Y6067" s="23"/>
      <c r="Z6067" s="23"/>
    </row>
    <row r="6068" spans="1:26" ht="13">
      <c r="A6068" s="562" t="s">
        <v>13123</v>
      </c>
      <c r="B6068" s="563" t="s">
        <v>13124</v>
      </c>
      <c r="C6068" s="564" t="s">
        <v>2484</v>
      </c>
      <c r="D6068" s="565">
        <v>39694</v>
      </c>
      <c r="E6068" s="565">
        <v>39804</v>
      </c>
      <c r="F6068" s="566">
        <v>336818182</v>
      </c>
      <c r="G6068" s="564" t="s">
        <v>12293</v>
      </c>
      <c r="H6068" s="564" t="s">
        <v>2541</v>
      </c>
      <c r="I6068" s="564" t="s">
        <v>12297</v>
      </c>
      <c r="J6068" s="564" t="s">
        <v>1069</v>
      </c>
      <c r="K6068" s="564" t="s">
        <v>2466</v>
      </c>
      <c r="L6068" s="564" t="s">
        <v>2467</v>
      </c>
      <c r="M6068" s="564" t="s">
        <v>2466</v>
      </c>
      <c r="N6068" s="564" t="s">
        <v>2439</v>
      </c>
      <c r="O6068" s="564" t="s">
        <v>12077</v>
      </c>
      <c r="P6068" s="23"/>
      <c r="Q6068" s="23"/>
      <c r="R6068" s="23"/>
      <c r="S6068" s="23"/>
      <c r="T6068" s="23"/>
      <c r="U6068" s="23"/>
      <c r="V6068" s="23"/>
      <c r="W6068" s="23"/>
      <c r="X6068" s="23"/>
      <c r="Y6068" s="23"/>
      <c r="Z6068" s="23"/>
    </row>
    <row r="6069" spans="1:26" ht="13">
      <c r="A6069" s="562" t="s">
        <v>13125</v>
      </c>
      <c r="B6069" s="563" t="s">
        <v>13126</v>
      </c>
      <c r="C6069" s="564" t="s">
        <v>2484</v>
      </c>
      <c r="D6069" s="565">
        <v>39688</v>
      </c>
      <c r="E6069" s="565">
        <v>39813</v>
      </c>
      <c r="F6069" s="566">
        <v>18636364</v>
      </c>
      <c r="G6069" s="564" t="s">
        <v>2502</v>
      </c>
      <c r="H6069" s="564" t="s">
        <v>2459</v>
      </c>
      <c r="I6069" s="564" t="s">
        <v>12141</v>
      </c>
      <c r="J6069" s="564" t="s">
        <v>1069</v>
      </c>
      <c r="K6069" s="564" t="s">
        <v>2466</v>
      </c>
      <c r="L6069" s="564" t="s">
        <v>2467</v>
      </c>
      <c r="M6069" s="564" t="s">
        <v>2466</v>
      </c>
      <c r="N6069" s="564" t="s">
        <v>2543</v>
      </c>
      <c r="O6069" s="564" t="s">
        <v>12077</v>
      </c>
      <c r="P6069" s="23"/>
      <c r="Q6069" s="23"/>
      <c r="R6069" s="23"/>
      <c r="S6069" s="23"/>
      <c r="T6069" s="23"/>
      <c r="U6069" s="23"/>
      <c r="V6069" s="23"/>
      <c r="W6069" s="23"/>
      <c r="X6069" s="23"/>
      <c r="Y6069" s="23"/>
      <c r="Z6069" s="23"/>
    </row>
    <row r="6070" spans="1:26" ht="13">
      <c r="A6070" s="562" t="s">
        <v>13127</v>
      </c>
      <c r="B6070" s="563" t="s">
        <v>13128</v>
      </c>
      <c r="C6070" s="564" t="s">
        <v>2484</v>
      </c>
      <c r="D6070" s="565">
        <v>39650</v>
      </c>
      <c r="E6070" s="565">
        <v>39660</v>
      </c>
      <c r="F6070" s="566">
        <v>4545455</v>
      </c>
      <c r="G6070" s="564" t="s">
        <v>2464</v>
      </c>
      <c r="H6070" s="564" t="s">
        <v>2541</v>
      </c>
      <c r="I6070" s="564" t="s">
        <v>12150</v>
      </c>
      <c r="J6070" s="564" t="s">
        <v>1069</v>
      </c>
      <c r="K6070" s="564" t="s">
        <v>2466</v>
      </c>
      <c r="L6070" s="564" t="s">
        <v>2467</v>
      </c>
      <c r="M6070" s="564" t="s">
        <v>2466</v>
      </c>
      <c r="N6070" s="564" t="s">
        <v>1368</v>
      </c>
      <c r="O6070" s="564" t="s">
        <v>12077</v>
      </c>
      <c r="P6070" s="23"/>
      <c r="Q6070" s="23"/>
      <c r="R6070" s="23"/>
      <c r="S6070" s="23"/>
      <c r="T6070" s="23"/>
      <c r="U6070" s="23"/>
      <c r="V6070" s="23"/>
      <c r="W6070" s="23"/>
      <c r="X6070" s="23"/>
      <c r="Y6070" s="23"/>
      <c r="Z6070" s="23"/>
    </row>
    <row r="6071" spans="1:26" ht="13">
      <c r="A6071" s="562" t="s">
        <v>13129</v>
      </c>
      <c r="B6071" s="563" t="s">
        <v>13130</v>
      </c>
      <c r="C6071" s="564" t="s">
        <v>2484</v>
      </c>
      <c r="D6071" s="565">
        <v>39671</v>
      </c>
      <c r="E6071" s="565">
        <v>39813</v>
      </c>
      <c r="F6071" s="566">
        <v>363818182</v>
      </c>
      <c r="G6071" s="564" t="s">
        <v>2502</v>
      </c>
      <c r="H6071" s="564" t="s">
        <v>12640</v>
      </c>
      <c r="I6071" s="564" t="s">
        <v>13131</v>
      </c>
      <c r="J6071" s="564" t="s">
        <v>1069</v>
      </c>
      <c r="K6071" s="564" t="s">
        <v>2466</v>
      </c>
      <c r="L6071" s="564" t="s">
        <v>2467</v>
      </c>
      <c r="M6071" s="564" t="s">
        <v>2466</v>
      </c>
      <c r="N6071" s="564" t="s">
        <v>1082</v>
      </c>
      <c r="O6071" s="564" t="s">
        <v>12077</v>
      </c>
      <c r="P6071" s="23"/>
      <c r="Q6071" s="23"/>
      <c r="R6071" s="23"/>
      <c r="S6071" s="23"/>
      <c r="T6071" s="23"/>
      <c r="U6071" s="23"/>
      <c r="V6071" s="23"/>
      <c r="W6071" s="23"/>
      <c r="X6071" s="23"/>
      <c r="Y6071" s="23"/>
      <c r="Z6071" s="23"/>
    </row>
    <row r="6072" spans="1:26" ht="13">
      <c r="A6072" s="562" t="s">
        <v>13132</v>
      </c>
      <c r="B6072" s="563" t="s">
        <v>13133</v>
      </c>
      <c r="C6072" s="564" t="s">
        <v>2484</v>
      </c>
      <c r="D6072" s="565">
        <v>39661</v>
      </c>
      <c r="E6072" s="565">
        <v>39730</v>
      </c>
      <c r="F6072" s="566">
        <v>73890909</v>
      </c>
      <c r="G6072" s="564" t="s">
        <v>13134</v>
      </c>
      <c r="H6072" s="564" t="s">
        <v>12096</v>
      </c>
      <c r="I6072" s="564" t="s">
        <v>13135</v>
      </c>
      <c r="J6072" s="564" t="s">
        <v>1069</v>
      </c>
      <c r="K6072" s="564" t="s">
        <v>2466</v>
      </c>
      <c r="L6072" s="564" t="s">
        <v>2467</v>
      </c>
      <c r="M6072" s="564" t="s">
        <v>2466</v>
      </c>
      <c r="N6072" s="564" t="s">
        <v>2325</v>
      </c>
      <c r="O6072" s="564" t="s">
        <v>12077</v>
      </c>
      <c r="P6072" s="23"/>
      <c r="Q6072" s="23"/>
      <c r="R6072" s="23"/>
      <c r="S6072" s="23"/>
      <c r="T6072" s="23"/>
      <c r="U6072" s="23"/>
      <c r="V6072" s="23"/>
      <c r="W6072" s="23"/>
      <c r="X6072" s="23"/>
      <c r="Y6072" s="23"/>
      <c r="Z6072" s="23"/>
    </row>
    <row r="6073" spans="1:26" ht="13">
      <c r="A6073" s="562" t="s">
        <v>13136</v>
      </c>
      <c r="B6073" s="563" t="s">
        <v>13137</v>
      </c>
      <c r="C6073" s="564" t="s">
        <v>2484</v>
      </c>
      <c r="D6073" s="565">
        <v>39654</v>
      </c>
      <c r="E6073" s="565">
        <v>39721</v>
      </c>
      <c r="F6073" s="566">
        <v>55636364</v>
      </c>
      <c r="G6073" s="564" t="s">
        <v>2434</v>
      </c>
      <c r="H6073" s="564" t="s">
        <v>2546</v>
      </c>
      <c r="I6073" s="564" t="s">
        <v>12467</v>
      </c>
      <c r="J6073" s="564" t="s">
        <v>1069</v>
      </c>
      <c r="K6073" s="564" t="s">
        <v>2466</v>
      </c>
      <c r="L6073" s="564" t="s">
        <v>2467</v>
      </c>
      <c r="M6073" s="564" t="s">
        <v>2466</v>
      </c>
      <c r="N6073" s="564" t="s">
        <v>1082</v>
      </c>
      <c r="O6073" s="564" t="s">
        <v>4798</v>
      </c>
      <c r="P6073" s="23"/>
      <c r="Q6073" s="23"/>
      <c r="R6073" s="23"/>
      <c r="S6073" s="23"/>
      <c r="T6073" s="23"/>
      <c r="U6073" s="23"/>
      <c r="V6073" s="23"/>
      <c r="W6073" s="23"/>
      <c r="X6073" s="23"/>
      <c r="Y6073" s="23"/>
      <c r="Z6073" s="23"/>
    </row>
    <row r="6074" spans="1:26" ht="13">
      <c r="A6074" s="562" t="s">
        <v>13138</v>
      </c>
      <c r="B6074" s="563" t="s">
        <v>13139</v>
      </c>
      <c r="C6074" s="564" t="s">
        <v>2484</v>
      </c>
      <c r="D6074" s="565">
        <v>39653</v>
      </c>
      <c r="E6074" s="565">
        <v>39774</v>
      </c>
      <c r="F6074" s="566">
        <v>7454000</v>
      </c>
      <c r="G6074" s="564" t="s">
        <v>2502</v>
      </c>
      <c r="H6074" s="564" t="s">
        <v>12640</v>
      </c>
      <c r="I6074" s="564" t="s">
        <v>13140</v>
      </c>
      <c r="J6074" s="564" t="s">
        <v>1069</v>
      </c>
      <c r="K6074" s="564" t="s">
        <v>2466</v>
      </c>
      <c r="L6074" s="564" t="s">
        <v>2467</v>
      </c>
      <c r="M6074" s="564" t="s">
        <v>2466</v>
      </c>
      <c r="N6074" s="564" t="s">
        <v>2543</v>
      </c>
      <c r="O6074" s="564" t="s">
        <v>12077</v>
      </c>
      <c r="P6074" s="23"/>
      <c r="Q6074" s="23"/>
      <c r="R6074" s="23"/>
      <c r="S6074" s="23"/>
      <c r="T6074" s="23"/>
      <c r="U6074" s="23"/>
      <c r="V6074" s="23"/>
      <c r="W6074" s="23"/>
      <c r="X6074" s="23"/>
      <c r="Y6074" s="23"/>
      <c r="Z6074" s="23"/>
    </row>
    <row r="6075" spans="1:26" ht="13">
      <c r="A6075" s="562" t="s">
        <v>13141</v>
      </c>
      <c r="B6075" s="563" t="s">
        <v>13142</v>
      </c>
      <c r="C6075" s="564" t="s">
        <v>2484</v>
      </c>
      <c r="D6075" s="565">
        <v>39652</v>
      </c>
      <c r="E6075" s="565">
        <v>39778</v>
      </c>
      <c r="F6075" s="566">
        <v>24545455</v>
      </c>
      <c r="G6075" s="564" t="s">
        <v>2464</v>
      </c>
      <c r="H6075" s="564" t="s">
        <v>2541</v>
      </c>
      <c r="I6075" s="564" t="s">
        <v>143</v>
      </c>
      <c r="J6075" s="564" t="s">
        <v>1069</v>
      </c>
      <c r="K6075" s="564" t="s">
        <v>2466</v>
      </c>
      <c r="L6075" s="564" t="s">
        <v>2467</v>
      </c>
      <c r="M6075" s="564" t="s">
        <v>2466</v>
      </c>
      <c r="N6075" s="564" t="s">
        <v>1073</v>
      </c>
      <c r="O6075" s="564" t="s">
        <v>12077</v>
      </c>
      <c r="P6075" s="23"/>
      <c r="Q6075" s="23"/>
      <c r="R6075" s="23"/>
      <c r="S6075" s="23"/>
      <c r="T6075" s="23"/>
      <c r="U6075" s="23"/>
      <c r="V6075" s="23"/>
      <c r="W6075" s="23"/>
      <c r="X6075" s="23"/>
      <c r="Y6075" s="23"/>
      <c r="Z6075" s="23"/>
    </row>
    <row r="6076" spans="1:26" ht="13">
      <c r="A6076" s="562" t="s">
        <v>13143</v>
      </c>
      <c r="B6076" s="563" t="s">
        <v>13144</v>
      </c>
      <c r="C6076" s="564" t="s">
        <v>2484</v>
      </c>
      <c r="D6076" s="565">
        <v>39632</v>
      </c>
      <c r="E6076" s="565">
        <v>39813</v>
      </c>
      <c r="F6076" s="566">
        <v>10490909</v>
      </c>
      <c r="G6076" s="564" t="s">
        <v>2518</v>
      </c>
      <c r="H6076" s="564" t="s">
        <v>2541</v>
      </c>
      <c r="I6076" s="564" t="s">
        <v>12297</v>
      </c>
      <c r="J6076" s="564" t="s">
        <v>1069</v>
      </c>
      <c r="K6076" s="564" t="s">
        <v>2466</v>
      </c>
      <c r="L6076" s="564" t="s">
        <v>2467</v>
      </c>
      <c r="M6076" s="564" t="s">
        <v>2466</v>
      </c>
      <c r="N6076" s="564" t="s">
        <v>2439</v>
      </c>
      <c r="O6076" s="564" t="s">
        <v>12077</v>
      </c>
      <c r="P6076" s="23"/>
      <c r="Q6076" s="23"/>
      <c r="R6076" s="23"/>
      <c r="S6076" s="23"/>
      <c r="T6076" s="23"/>
      <c r="U6076" s="23"/>
      <c r="V6076" s="23"/>
      <c r="W6076" s="23"/>
      <c r="X6076" s="23"/>
      <c r="Y6076" s="23"/>
      <c r="Z6076" s="23"/>
    </row>
    <row r="6077" spans="1:26" ht="13">
      <c r="A6077" s="562" t="s">
        <v>13145</v>
      </c>
      <c r="B6077" s="563" t="s">
        <v>13146</v>
      </c>
      <c r="C6077" s="564" t="s">
        <v>2484</v>
      </c>
      <c r="D6077" s="565">
        <v>39609</v>
      </c>
      <c r="E6077" s="565">
        <v>39812</v>
      </c>
      <c r="F6077" s="566">
        <v>27000000</v>
      </c>
      <c r="G6077" s="564" t="s">
        <v>12080</v>
      </c>
      <c r="H6077" s="564" t="s">
        <v>12096</v>
      </c>
      <c r="I6077" s="564" t="s">
        <v>13147</v>
      </c>
      <c r="J6077" s="564" t="s">
        <v>1069</v>
      </c>
      <c r="K6077" s="564" t="s">
        <v>2466</v>
      </c>
      <c r="L6077" s="564" t="s">
        <v>2467</v>
      </c>
      <c r="M6077" s="564" t="s">
        <v>2466</v>
      </c>
      <c r="N6077" s="564" t="s">
        <v>1082</v>
      </c>
      <c r="O6077" s="564" t="s">
        <v>12077</v>
      </c>
      <c r="P6077" s="23"/>
      <c r="Q6077" s="23"/>
      <c r="R6077" s="23"/>
      <c r="S6077" s="23"/>
      <c r="T6077" s="23"/>
      <c r="U6077" s="23"/>
      <c r="V6077" s="23"/>
      <c r="W6077" s="23"/>
      <c r="X6077" s="23"/>
      <c r="Y6077" s="23"/>
      <c r="Z6077" s="23"/>
    </row>
    <row r="6078" spans="1:26" ht="13">
      <c r="A6078" s="562" t="s">
        <v>13148</v>
      </c>
      <c r="B6078" s="563" t="s">
        <v>13149</v>
      </c>
      <c r="C6078" s="564" t="s">
        <v>2484</v>
      </c>
      <c r="D6078" s="565">
        <v>39610</v>
      </c>
      <c r="E6078" s="565">
        <v>39813</v>
      </c>
      <c r="F6078" s="566">
        <v>36545455</v>
      </c>
      <c r="G6078" s="564" t="s">
        <v>13150</v>
      </c>
      <c r="H6078" s="564" t="s">
        <v>12365</v>
      </c>
      <c r="I6078" s="564" t="s">
        <v>13151</v>
      </c>
      <c r="J6078" s="564" t="s">
        <v>1069</v>
      </c>
      <c r="K6078" s="564" t="s">
        <v>2466</v>
      </c>
      <c r="L6078" s="564" t="s">
        <v>2467</v>
      </c>
      <c r="M6078" s="564" t="s">
        <v>2466</v>
      </c>
      <c r="N6078" s="564" t="s">
        <v>2325</v>
      </c>
      <c r="O6078" s="564" t="s">
        <v>12077</v>
      </c>
      <c r="P6078" s="23"/>
      <c r="Q6078" s="23"/>
      <c r="R6078" s="23"/>
      <c r="S6078" s="23"/>
      <c r="T6078" s="23"/>
      <c r="U6078" s="23"/>
      <c r="V6078" s="23"/>
      <c r="W6078" s="23"/>
      <c r="X6078" s="23"/>
      <c r="Y6078" s="23"/>
      <c r="Z6078" s="23"/>
    </row>
    <row r="6079" spans="1:26" ht="13">
      <c r="A6079" s="562" t="s">
        <v>13152</v>
      </c>
      <c r="B6079" s="563" t="s">
        <v>13153</v>
      </c>
      <c r="C6079" s="564" t="s">
        <v>2484</v>
      </c>
      <c r="D6079" s="565">
        <v>39608</v>
      </c>
      <c r="E6079" s="565">
        <v>39609</v>
      </c>
      <c r="F6079" s="566">
        <v>1272727</v>
      </c>
      <c r="G6079" s="564" t="s">
        <v>2502</v>
      </c>
      <c r="H6079" s="564" t="s">
        <v>2546</v>
      </c>
      <c r="I6079" s="564" t="s">
        <v>12076</v>
      </c>
      <c r="J6079" s="564" t="s">
        <v>1069</v>
      </c>
      <c r="K6079" s="564" t="s">
        <v>2466</v>
      </c>
      <c r="L6079" s="564" t="s">
        <v>2467</v>
      </c>
      <c r="M6079" s="564" t="s">
        <v>2466</v>
      </c>
      <c r="N6079" s="564" t="s">
        <v>2325</v>
      </c>
      <c r="O6079" s="564" t="s">
        <v>12077</v>
      </c>
      <c r="P6079" s="23"/>
      <c r="Q6079" s="23"/>
      <c r="R6079" s="23"/>
      <c r="S6079" s="23"/>
      <c r="T6079" s="23"/>
      <c r="U6079" s="23"/>
      <c r="V6079" s="23"/>
      <c r="W6079" s="23"/>
      <c r="X6079" s="23"/>
      <c r="Y6079" s="23"/>
      <c r="Z6079" s="23"/>
    </row>
    <row r="6080" spans="1:26" ht="13">
      <c r="A6080" s="562" t="s">
        <v>13154</v>
      </c>
      <c r="B6080" s="563" t="s">
        <v>13155</v>
      </c>
      <c r="C6080" s="564" t="s">
        <v>2484</v>
      </c>
      <c r="D6080" s="565">
        <v>39608</v>
      </c>
      <c r="E6080" s="565">
        <v>39654</v>
      </c>
      <c r="F6080" s="566">
        <v>63636364</v>
      </c>
      <c r="G6080" s="564" t="s">
        <v>2434</v>
      </c>
      <c r="H6080" s="564" t="s">
        <v>2546</v>
      </c>
      <c r="I6080" s="564" t="s">
        <v>13156</v>
      </c>
      <c r="J6080" s="564" t="s">
        <v>1069</v>
      </c>
      <c r="K6080" s="564" t="s">
        <v>2466</v>
      </c>
      <c r="L6080" s="564" t="s">
        <v>2467</v>
      </c>
      <c r="M6080" s="564" t="s">
        <v>2466</v>
      </c>
      <c r="N6080" s="564" t="s">
        <v>1082</v>
      </c>
      <c r="O6080" s="564" t="s">
        <v>4798</v>
      </c>
      <c r="P6080" s="23"/>
      <c r="Q6080" s="23"/>
      <c r="R6080" s="23"/>
      <c r="S6080" s="23"/>
      <c r="T6080" s="23"/>
      <c r="U6080" s="23"/>
      <c r="V6080" s="23"/>
      <c r="W6080" s="23"/>
      <c r="X6080" s="23"/>
      <c r="Y6080" s="23"/>
      <c r="Z6080" s="23"/>
    </row>
    <row r="6081" spans="1:26" ht="13">
      <c r="A6081" s="562" t="s">
        <v>13157</v>
      </c>
      <c r="B6081" s="563" t="s">
        <v>13158</v>
      </c>
      <c r="C6081" s="564" t="s">
        <v>2484</v>
      </c>
      <c r="D6081" s="565">
        <v>39610</v>
      </c>
      <c r="E6081" s="565">
        <v>39789</v>
      </c>
      <c r="F6081" s="566">
        <v>116727272</v>
      </c>
      <c r="G6081" s="564" t="s">
        <v>12080</v>
      </c>
      <c r="H6081" s="564" t="s">
        <v>12096</v>
      </c>
      <c r="I6081" s="564" t="s">
        <v>13159</v>
      </c>
      <c r="J6081" s="564" t="s">
        <v>1069</v>
      </c>
      <c r="K6081" s="564" t="s">
        <v>2466</v>
      </c>
      <c r="L6081" s="564" t="s">
        <v>2467</v>
      </c>
      <c r="M6081" s="564" t="s">
        <v>2466</v>
      </c>
      <c r="N6081" s="564" t="s">
        <v>2543</v>
      </c>
      <c r="O6081" s="564" t="s">
        <v>12077</v>
      </c>
      <c r="P6081" s="23"/>
      <c r="Q6081" s="23"/>
      <c r="R6081" s="23"/>
      <c r="S6081" s="23"/>
      <c r="T6081" s="23"/>
      <c r="U6081" s="23"/>
      <c r="V6081" s="23"/>
      <c r="W6081" s="23"/>
      <c r="X6081" s="23"/>
      <c r="Y6081" s="23"/>
      <c r="Z6081" s="23"/>
    </row>
    <row r="6082" spans="1:26" ht="13">
      <c r="A6082" s="562" t="s">
        <v>13160</v>
      </c>
      <c r="B6082" s="563" t="s">
        <v>13161</v>
      </c>
      <c r="C6082" s="564" t="s">
        <v>2484</v>
      </c>
      <c r="D6082" s="565">
        <v>39609</v>
      </c>
      <c r="E6082" s="565">
        <v>41056</v>
      </c>
      <c r="F6082" s="566">
        <v>446574864</v>
      </c>
      <c r="G6082" s="564" t="s">
        <v>12084</v>
      </c>
      <c r="H6082" s="564" t="s">
        <v>12365</v>
      </c>
      <c r="I6082" s="564" t="s">
        <v>12091</v>
      </c>
      <c r="J6082" s="564" t="s">
        <v>1069</v>
      </c>
      <c r="K6082" s="564" t="s">
        <v>2466</v>
      </c>
      <c r="L6082" s="564" t="s">
        <v>2467</v>
      </c>
      <c r="M6082" s="564" t="s">
        <v>2466</v>
      </c>
      <c r="N6082" s="564" t="s">
        <v>2325</v>
      </c>
      <c r="O6082" s="564" t="s">
        <v>12077</v>
      </c>
      <c r="P6082" s="23"/>
      <c r="Q6082" s="23"/>
      <c r="R6082" s="23"/>
      <c r="S6082" s="23"/>
      <c r="T6082" s="23"/>
      <c r="U6082" s="23"/>
      <c r="V6082" s="23"/>
      <c r="W6082" s="23"/>
      <c r="X6082" s="23"/>
      <c r="Y6082" s="23"/>
      <c r="Z6082" s="23"/>
    </row>
    <row r="6083" spans="1:26" ht="13">
      <c r="A6083" s="562" t="s">
        <v>13162</v>
      </c>
      <c r="B6083" s="563" t="s">
        <v>13163</v>
      </c>
      <c r="C6083" s="564" t="s">
        <v>2484</v>
      </c>
      <c r="D6083" s="565">
        <v>39436</v>
      </c>
      <c r="E6083" s="565">
        <v>39721</v>
      </c>
      <c r="F6083" s="566">
        <v>399572727</v>
      </c>
      <c r="G6083" s="564" t="s">
        <v>12124</v>
      </c>
      <c r="H6083" s="564" t="s">
        <v>2459</v>
      </c>
      <c r="I6083" s="564" t="s">
        <v>13164</v>
      </c>
      <c r="J6083" s="564" t="s">
        <v>1069</v>
      </c>
      <c r="K6083" s="564" t="s">
        <v>2466</v>
      </c>
      <c r="L6083" s="564" t="s">
        <v>2467</v>
      </c>
      <c r="M6083" s="564" t="s">
        <v>2466</v>
      </c>
      <c r="N6083" s="564" t="s">
        <v>2543</v>
      </c>
      <c r="O6083" s="564" t="s">
        <v>12077</v>
      </c>
      <c r="P6083" s="23"/>
      <c r="Q6083" s="23"/>
      <c r="R6083" s="23"/>
      <c r="S6083" s="23"/>
      <c r="T6083" s="23"/>
      <c r="U6083" s="23"/>
      <c r="V6083" s="23"/>
      <c r="W6083" s="23"/>
      <c r="X6083" s="23"/>
      <c r="Y6083" s="23"/>
      <c r="Z6083" s="23"/>
    </row>
    <row r="6084" spans="1:26" ht="13">
      <c r="A6084" s="562" t="s">
        <v>13165</v>
      </c>
      <c r="B6084" s="563" t="s">
        <v>13166</v>
      </c>
      <c r="C6084" s="564" t="s">
        <v>2484</v>
      </c>
      <c r="D6084" s="565">
        <v>39609</v>
      </c>
      <c r="E6084" s="565">
        <v>39709</v>
      </c>
      <c r="F6084" s="566">
        <v>117981818</v>
      </c>
      <c r="G6084" s="564" t="s">
        <v>13150</v>
      </c>
      <c r="H6084" s="564" t="s">
        <v>2459</v>
      </c>
      <c r="I6084" s="564" t="s">
        <v>13167</v>
      </c>
      <c r="J6084" s="564" t="s">
        <v>1069</v>
      </c>
      <c r="K6084" s="564" t="s">
        <v>2466</v>
      </c>
      <c r="L6084" s="564" t="s">
        <v>2467</v>
      </c>
      <c r="M6084" s="564" t="s">
        <v>2466</v>
      </c>
      <c r="N6084" s="564" t="s">
        <v>2543</v>
      </c>
      <c r="O6084" s="564" t="s">
        <v>12077</v>
      </c>
      <c r="P6084" s="23"/>
      <c r="Q6084" s="23"/>
      <c r="R6084" s="23"/>
      <c r="S6084" s="23"/>
      <c r="T6084" s="23"/>
      <c r="U6084" s="23"/>
      <c r="V6084" s="23"/>
      <c r="W6084" s="23"/>
      <c r="X6084" s="23"/>
      <c r="Y6084" s="23"/>
      <c r="Z6084" s="23"/>
    </row>
    <row r="6085" spans="1:26" ht="13">
      <c r="A6085" s="562" t="s">
        <v>13168</v>
      </c>
      <c r="B6085" s="563" t="s">
        <v>13169</v>
      </c>
      <c r="C6085" s="564" t="s">
        <v>2484</v>
      </c>
      <c r="D6085" s="565">
        <v>39595</v>
      </c>
      <c r="E6085" s="565">
        <v>40178</v>
      </c>
      <c r="F6085" s="566">
        <v>393067273</v>
      </c>
      <c r="G6085" s="564" t="s">
        <v>12293</v>
      </c>
      <c r="H6085" s="564" t="s">
        <v>12640</v>
      </c>
      <c r="I6085" s="564" t="s">
        <v>13170</v>
      </c>
      <c r="J6085" s="564" t="s">
        <v>1069</v>
      </c>
      <c r="K6085" s="564" t="s">
        <v>2466</v>
      </c>
      <c r="L6085" s="564" t="s">
        <v>2467</v>
      </c>
      <c r="M6085" s="564" t="s">
        <v>2466</v>
      </c>
      <c r="N6085" s="564" t="s">
        <v>2325</v>
      </c>
      <c r="O6085" s="564" t="s">
        <v>12077</v>
      </c>
      <c r="P6085" s="23"/>
      <c r="Q6085" s="23"/>
      <c r="R6085" s="23"/>
      <c r="S6085" s="23"/>
      <c r="T6085" s="23"/>
      <c r="U6085" s="23"/>
      <c r="V6085" s="23"/>
      <c r="W6085" s="23"/>
      <c r="X6085" s="23"/>
      <c r="Y6085" s="23"/>
      <c r="Z6085" s="23"/>
    </row>
    <row r="6086" spans="1:26" ht="13">
      <c r="A6086" s="562" t="s">
        <v>13171</v>
      </c>
      <c r="B6086" s="563" t="s">
        <v>13172</v>
      </c>
      <c r="C6086" s="564" t="s">
        <v>2484</v>
      </c>
      <c r="D6086" s="565">
        <v>39583</v>
      </c>
      <c r="E6086" s="565">
        <v>39813</v>
      </c>
      <c r="F6086" s="566">
        <v>12000000</v>
      </c>
      <c r="G6086" s="564" t="s">
        <v>12084</v>
      </c>
      <c r="H6086" s="564" t="s">
        <v>12096</v>
      </c>
      <c r="I6086" s="564" t="s">
        <v>13173</v>
      </c>
      <c r="J6086" s="564" t="s">
        <v>1069</v>
      </c>
      <c r="K6086" s="564" t="s">
        <v>2466</v>
      </c>
      <c r="L6086" s="564" t="s">
        <v>2467</v>
      </c>
      <c r="M6086" s="564" t="s">
        <v>2466</v>
      </c>
      <c r="N6086" s="564" t="s">
        <v>1082</v>
      </c>
      <c r="O6086" s="564" t="s">
        <v>12077</v>
      </c>
      <c r="P6086" s="23"/>
      <c r="Q6086" s="23"/>
      <c r="R6086" s="23"/>
      <c r="S6086" s="23"/>
      <c r="T6086" s="23"/>
      <c r="U6086" s="23"/>
      <c r="V6086" s="23"/>
      <c r="W6086" s="23"/>
      <c r="X6086" s="23"/>
      <c r="Y6086" s="23"/>
      <c r="Z6086" s="23"/>
    </row>
    <row r="6087" spans="1:26" ht="13">
      <c r="A6087" s="562" t="s">
        <v>13174</v>
      </c>
      <c r="B6087" s="563" t="s">
        <v>13175</v>
      </c>
      <c r="C6087" s="564" t="s">
        <v>2484</v>
      </c>
      <c r="D6087" s="565">
        <v>39591</v>
      </c>
      <c r="E6087" s="565">
        <v>39621</v>
      </c>
      <c r="F6087" s="566">
        <v>149545455</v>
      </c>
      <c r="G6087" s="564" t="s">
        <v>2434</v>
      </c>
      <c r="H6087" s="564" t="s">
        <v>2546</v>
      </c>
      <c r="I6087" s="564" t="s">
        <v>2515</v>
      </c>
      <c r="J6087" s="564" t="s">
        <v>1069</v>
      </c>
      <c r="K6087" s="564" t="s">
        <v>2466</v>
      </c>
      <c r="L6087" s="564" t="s">
        <v>2467</v>
      </c>
      <c r="M6087" s="564" t="s">
        <v>2466</v>
      </c>
      <c r="N6087" s="564" t="s">
        <v>2325</v>
      </c>
      <c r="O6087" s="564" t="s">
        <v>4798</v>
      </c>
      <c r="P6087" s="23"/>
      <c r="Q6087" s="23"/>
      <c r="R6087" s="23"/>
      <c r="S6087" s="23"/>
      <c r="T6087" s="23"/>
      <c r="U6087" s="23"/>
      <c r="V6087" s="23"/>
      <c r="W6087" s="23"/>
      <c r="X6087" s="23"/>
      <c r="Y6087" s="23"/>
      <c r="Z6087" s="23"/>
    </row>
    <row r="6088" spans="1:26" ht="13">
      <c r="A6088" s="562" t="s">
        <v>13176</v>
      </c>
      <c r="B6088" s="563" t="s">
        <v>13177</v>
      </c>
      <c r="C6088" s="564" t="s">
        <v>2484</v>
      </c>
      <c r="D6088" s="565">
        <v>39582</v>
      </c>
      <c r="E6088" s="565">
        <v>39643</v>
      </c>
      <c r="F6088" s="566">
        <v>7900000</v>
      </c>
      <c r="G6088" s="564" t="s">
        <v>13150</v>
      </c>
      <c r="H6088" s="564" t="s">
        <v>2541</v>
      </c>
      <c r="I6088" s="564" t="s">
        <v>12894</v>
      </c>
      <c r="J6088" s="564" t="s">
        <v>1069</v>
      </c>
      <c r="K6088" s="564" t="s">
        <v>2466</v>
      </c>
      <c r="L6088" s="564" t="s">
        <v>2467</v>
      </c>
      <c r="M6088" s="564" t="s">
        <v>2466</v>
      </c>
      <c r="N6088" s="564" t="s">
        <v>2325</v>
      </c>
      <c r="O6088" s="564" t="s">
        <v>12077</v>
      </c>
      <c r="P6088" s="23"/>
      <c r="Q6088" s="23"/>
      <c r="R6088" s="23"/>
      <c r="S6088" s="23"/>
      <c r="T6088" s="23"/>
      <c r="U6088" s="23"/>
      <c r="V6088" s="23"/>
      <c r="W6088" s="23"/>
      <c r="X6088" s="23"/>
      <c r="Y6088" s="23"/>
      <c r="Z6088" s="23"/>
    </row>
    <row r="6089" spans="1:26" ht="13">
      <c r="A6089" s="562" t="s">
        <v>13178</v>
      </c>
      <c r="B6089" s="563" t="s">
        <v>13179</v>
      </c>
      <c r="C6089" s="564" t="s">
        <v>2484</v>
      </c>
      <c r="D6089" s="565">
        <v>39582</v>
      </c>
      <c r="E6089" s="565">
        <v>39629</v>
      </c>
      <c r="F6089" s="566">
        <v>16150000</v>
      </c>
      <c r="G6089" s="564" t="s">
        <v>13150</v>
      </c>
      <c r="H6089" s="564" t="s">
        <v>2541</v>
      </c>
      <c r="I6089" s="564" t="s">
        <v>13180</v>
      </c>
      <c r="J6089" s="564" t="s">
        <v>1069</v>
      </c>
      <c r="K6089" s="564" t="s">
        <v>2466</v>
      </c>
      <c r="L6089" s="564" t="s">
        <v>2467</v>
      </c>
      <c r="M6089" s="564" t="s">
        <v>2466</v>
      </c>
      <c r="N6089" s="564" t="s">
        <v>1082</v>
      </c>
      <c r="O6089" s="564" t="s">
        <v>12077</v>
      </c>
      <c r="P6089" s="23"/>
      <c r="Q6089" s="23"/>
      <c r="R6089" s="23"/>
      <c r="S6089" s="23"/>
      <c r="T6089" s="23"/>
      <c r="U6089" s="23"/>
      <c r="V6089" s="23"/>
      <c r="W6089" s="23"/>
      <c r="X6089" s="23"/>
      <c r="Y6089" s="23"/>
      <c r="Z6089" s="23"/>
    </row>
    <row r="6090" spans="1:26" ht="13">
      <c r="A6090" s="562" t="s">
        <v>13181</v>
      </c>
      <c r="B6090" s="563" t="s">
        <v>13182</v>
      </c>
      <c r="C6090" s="564" t="s">
        <v>2484</v>
      </c>
      <c r="D6090" s="565">
        <v>39926</v>
      </c>
      <c r="E6090" s="565">
        <v>40003</v>
      </c>
      <c r="F6090" s="566">
        <v>170000000</v>
      </c>
      <c r="G6090" s="564" t="s">
        <v>12084</v>
      </c>
      <c r="H6090" s="564" t="s">
        <v>12365</v>
      </c>
      <c r="I6090" s="564" t="s">
        <v>13183</v>
      </c>
      <c r="J6090" s="564" t="s">
        <v>1069</v>
      </c>
      <c r="K6090" s="564" t="s">
        <v>2466</v>
      </c>
      <c r="L6090" s="564" t="s">
        <v>2467</v>
      </c>
      <c r="M6090" s="564" t="s">
        <v>2466</v>
      </c>
      <c r="N6090" s="564" t="s">
        <v>1082</v>
      </c>
      <c r="O6090" s="564" t="s">
        <v>12077</v>
      </c>
      <c r="P6090" s="23"/>
      <c r="Q6090" s="23"/>
      <c r="R6090" s="23"/>
      <c r="S6090" s="23"/>
      <c r="T6090" s="23"/>
      <c r="U6090" s="23"/>
      <c r="V6090" s="23"/>
      <c r="W6090" s="23"/>
      <c r="X6090" s="23"/>
      <c r="Y6090" s="23"/>
      <c r="Z6090" s="23"/>
    </row>
    <row r="6091" spans="1:26" ht="13">
      <c r="A6091" s="562" t="s">
        <v>13184</v>
      </c>
      <c r="B6091" s="563" t="s">
        <v>13185</v>
      </c>
      <c r="C6091" s="564" t="s">
        <v>2484</v>
      </c>
      <c r="D6091" s="565">
        <v>39574</v>
      </c>
      <c r="E6091" s="565">
        <v>39584</v>
      </c>
      <c r="F6091" s="566">
        <v>15218182</v>
      </c>
      <c r="G6091" s="564" t="s">
        <v>2464</v>
      </c>
      <c r="H6091" s="564" t="s">
        <v>2541</v>
      </c>
      <c r="I6091" s="564" t="s">
        <v>12837</v>
      </c>
      <c r="J6091" s="564" t="s">
        <v>1069</v>
      </c>
      <c r="K6091" s="564" t="s">
        <v>2466</v>
      </c>
      <c r="L6091" s="564" t="s">
        <v>2467</v>
      </c>
      <c r="M6091" s="564" t="s">
        <v>2466</v>
      </c>
      <c r="N6091" s="564" t="s">
        <v>1082</v>
      </c>
      <c r="O6091" s="564" t="s">
        <v>12077</v>
      </c>
      <c r="P6091" s="23"/>
      <c r="Q6091" s="23"/>
      <c r="R6091" s="23"/>
      <c r="S6091" s="23"/>
      <c r="T6091" s="23"/>
      <c r="U6091" s="23"/>
      <c r="V6091" s="23"/>
      <c r="W6091" s="23"/>
      <c r="X6091" s="23"/>
      <c r="Y6091" s="23"/>
      <c r="Z6091" s="23"/>
    </row>
    <row r="6092" spans="1:26" ht="13">
      <c r="A6092" s="562" t="s">
        <v>13186</v>
      </c>
      <c r="B6092" s="563" t="s">
        <v>13187</v>
      </c>
      <c r="C6092" s="564" t="s">
        <v>2484</v>
      </c>
      <c r="D6092" s="565">
        <v>39566</v>
      </c>
      <c r="E6092" s="565">
        <v>39636</v>
      </c>
      <c r="F6092" s="566">
        <v>22727273</v>
      </c>
      <c r="G6092" s="564" t="s">
        <v>12080</v>
      </c>
      <c r="H6092" s="564" t="s">
        <v>13150</v>
      </c>
      <c r="I6092" s="564" t="s">
        <v>13188</v>
      </c>
      <c r="J6092" s="564" t="s">
        <v>1069</v>
      </c>
      <c r="K6092" s="564" t="s">
        <v>2466</v>
      </c>
      <c r="L6092" s="564" t="s">
        <v>2467</v>
      </c>
      <c r="M6092" s="564" t="s">
        <v>2466</v>
      </c>
      <c r="N6092" s="564" t="s">
        <v>1082</v>
      </c>
      <c r="O6092" s="564" t="s">
        <v>12077</v>
      </c>
      <c r="P6092" s="23"/>
      <c r="Q6092" s="23"/>
      <c r="R6092" s="23"/>
      <c r="S6092" s="23"/>
      <c r="T6092" s="23"/>
      <c r="U6092" s="23"/>
      <c r="V6092" s="23"/>
      <c r="W6092" s="23"/>
      <c r="X6092" s="23"/>
      <c r="Y6092" s="23"/>
      <c r="Z6092" s="23"/>
    </row>
    <row r="6093" spans="1:26" ht="13">
      <c r="A6093" s="562" t="s">
        <v>13189</v>
      </c>
      <c r="B6093" s="563" t="s">
        <v>13190</v>
      </c>
      <c r="C6093" s="564" t="s">
        <v>2484</v>
      </c>
      <c r="D6093" s="565">
        <v>39555</v>
      </c>
      <c r="E6093" s="565">
        <v>40590</v>
      </c>
      <c r="F6093" s="566">
        <v>685000000</v>
      </c>
      <c r="G6093" s="564" t="s">
        <v>12084</v>
      </c>
      <c r="H6093" s="564" t="s">
        <v>2459</v>
      </c>
      <c r="I6093" s="564" t="s">
        <v>12141</v>
      </c>
      <c r="J6093" s="564" t="s">
        <v>1069</v>
      </c>
      <c r="K6093" s="564" t="s">
        <v>2466</v>
      </c>
      <c r="L6093" s="564" t="s">
        <v>2467</v>
      </c>
      <c r="M6093" s="564" t="s">
        <v>2466</v>
      </c>
      <c r="N6093" s="564" t="s">
        <v>2543</v>
      </c>
      <c r="O6093" s="564" t="s">
        <v>12077</v>
      </c>
      <c r="P6093" s="23"/>
      <c r="Q6093" s="23"/>
      <c r="R6093" s="23"/>
      <c r="S6093" s="23"/>
      <c r="T6093" s="23"/>
      <c r="U6093" s="23"/>
      <c r="V6093" s="23"/>
      <c r="W6093" s="23"/>
      <c r="X6093" s="23"/>
      <c r="Y6093" s="23"/>
      <c r="Z6093" s="23"/>
    </row>
    <row r="6094" spans="1:26" ht="13">
      <c r="A6094" s="562" t="s">
        <v>13191</v>
      </c>
      <c r="B6094" s="563" t="s">
        <v>13192</v>
      </c>
      <c r="C6094" s="564" t="s">
        <v>2484</v>
      </c>
      <c r="D6094" s="565">
        <v>39556</v>
      </c>
      <c r="E6094" s="565">
        <v>39626</v>
      </c>
      <c r="F6094" s="566">
        <v>32000000</v>
      </c>
      <c r="G6094" s="564" t="s">
        <v>12080</v>
      </c>
      <c r="H6094" s="564" t="s">
        <v>13150</v>
      </c>
      <c r="I6094" s="564" t="s">
        <v>13193</v>
      </c>
      <c r="J6094" s="564" t="s">
        <v>1069</v>
      </c>
      <c r="K6094" s="564" t="s">
        <v>2466</v>
      </c>
      <c r="L6094" s="564" t="s">
        <v>2467</v>
      </c>
      <c r="M6094" s="564" t="s">
        <v>2466</v>
      </c>
      <c r="N6094" s="564" t="s">
        <v>1082</v>
      </c>
      <c r="O6094" s="564" t="s">
        <v>12077</v>
      </c>
      <c r="P6094" s="23"/>
      <c r="Q6094" s="23"/>
      <c r="R6094" s="23"/>
      <c r="S6094" s="23"/>
      <c r="T6094" s="23"/>
      <c r="U6094" s="23"/>
      <c r="V6094" s="23"/>
      <c r="W6094" s="23"/>
      <c r="X6094" s="23"/>
      <c r="Y6094" s="23"/>
      <c r="Z6094" s="23"/>
    </row>
    <row r="6095" spans="1:26" ht="13">
      <c r="A6095" s="562" t="s">
        <v>13194</v>
      </c>
      <c r="B6095" s="563" t="s">
        <v>13195</v>
      </c>
      <c r="C6095" s="564" t="s">
        <v>2484</v>
      </c>
      <c r="D6095" s="565">
        <v>39570</v>
      </c>
      <c r="E6095" s="565">
        <v>39581</v>
      </c>
      <c r="F6095" s="566">
        <v>881818</v>
      </c>
      <c r="G6095" s="564" t="s">
        <v>2519</v>
      </c>
      <c r="H6095" s="564" t="s">
        <v>2541</v>
      </c>
      <c r="I6095" s="564" t="s">
        <v>13180</v>
      </c>
      <c r="J6095" s="564" t="s">
        <v>1069</v>
      </c>
      <c r="K6095" s="564" t="s">
        <v>2466</v>
      </c>
      <c r="L6095" s="564" t="s">
        <v>2467</v>
      </c>
      <c r="M6095" s="564" t="s">
        <v>2466</v>
      </c>
      <c r="N6095" s="564" t="s">
        <v>1082</v>
      </c>
      <c r="O6095" s="564" t="s">
        <v>12077</v>
      </c>
      <c r="P6095" s="23"/>
      <c r="Q6095" s="23"/>
      <c r="R6095" s="23"/>
      <c r="S6095" s="23"/>
      <c r="T6095" s="23"/>
      <c r="U6095" s="23"/>
      <c r="V6095" s="23"/>
      <c r="W6095" s="23"/>
      <c r="X6095" s="23"/>
      <c r="Y6095" s="23"/>
      <c r="Z6095" s="23"/>
    </row>
    <row r="6096" spans="1:26" ht="13">
      <c r="A6096" s="562" t="s">
        <v>13196</v>
      </c>
      <c r="B6096" s="563" t="s">
        <v>13197</v>
      </c>
      <c r="C6096" s="564" t="s">
        <v>2484</v>
      </c>
      <c r="D6096" s="565">
        <v>39546</v>
      </c>
      <c r="E6096" s="565">
        <v>39609</v>
      </c>
      <c r="F6096" s="566">
        <v>8136364</v>
      </c>
      <c r="G6096" s="564" t="s">
        <v>2464</v>
      </c>
      <c r="H6096" s="564" t="s">
        <v>2541</v>
      </c>
      <c r="I6096" s="564" t="s">
        <v>12894</v>
      </c>
      <c r="J6096" s="564" t="s">
        <v>1069</v>
      </c>
      <c r="K6096" s="564" t="s">
        <v>2466</v>
      </c>
      <c r="L6096" s="564" t="s">
        <v>2467</v>
      </c>
      <c r="M6096" s="564" t="s">
        <v>2466</v>
      </c>
      <c r="N6096" s="564" t="s">
        <v>2325</v>
      </c>
      <c r="O6096" s="564" t="s">
        <v>12077</v>
      </c>
      <c r="P6096" s="23"/>
      <c r="Q6096" s="23"/>
      <c r="R6096" s="23"/>
      <c r="S6096" s="23"/>
      <c r="T6096" s="23"/>
      <c r="U6096" s="23"/>
      <c r="V6096" s="23"/>
      <c r="W6096" s="23"/>
      <c r="X6096" s="23"/>
      <c r="Y6096" s="23"/>
      <c r="Z6096" s="23"/>
    </row>
    <row r="6097" spans="1:26" ht="13">
      <c r="A6097" s="562" t="s">
        <v>13198</v>
      </c>
      <c r="B6097" s="563" t="s">
        <v>13199</v>
      </c>
      <c r="C6097" s="564" t="s">
        <v>2484</v>
      </c>
      <c r="D6097" s="565">
        <v>39539</v>
      </c>
      <c r="E6097" s="565">
        <v>39813</v>
      </c>
      <c r="F6097" s="566">
        <v>8818182</v>
      </c>
      <c r="G6097" s="564" t="s">
        <v>2518</v>
      </c>
      <c r="H6097" s="564" t="s">
        <v>2546</v>
      </c>
      <c r="I6097" s="564" t="s">
        <v>13200</v>
      </c>
      <c r="J6097" s="564" t="s">
        <v>1069</v>
      </c>
      <c r="K6097" s="564" t="s">
        <v>2466</v>
      </c>
      <c r="L6097" s="564" t="s">
        <v>2467</v>
      </c>
      <c r="M6097" s="564" t="s">
        <v>2466</v>
      </c>
      <c r="N6097" s="564" t="s">
        <v>2543</v>
      </c>
      <c r="O6097" s="564" t="s">
        <v>12077</v>
      </c>
      <c r="P6097" s="23"/>
      <c r="Q6097" s="23"/>
      <c r="R6097" s="23"/>
      <c r="S6097" s="23"/>
      <c r="T6097" s="23"/>
      <c r="U6097" s="23"/>
      <c r="V6097" s="23"/>
      <c r="W6097" s="23"/>
      <c r="X6097" s="23"/>
      <c r="Y6097" s="23"/>
      <c r="Z6097" s="23"/>
    </row>
    <row r="6098" spans="1:26" ht="13">
      <c r="A6098" s="562" t="s">
        <v>13201</v>
      </c>
      <c r="B6098" s="563" t="s">
        <v>13202</v>
      </c>
      <c r="C6098" s="564" t="s">
        <v>2484</v>
      </c>
      <c r="D6098" s="565">
        <v>39491</v>
      </c>
      <c r="E6098" s="565">
        <v>39856</v>
      </c>
      <c r="F6098" s="566">
        <v>5869091</v>
      </c>
      <c r="G6098" s="564" t="s">
        <v>12318</v>
      </c>
      <c r="H6098" s="564" t="s">
        <v>13150</v>
      </c>
      <c r="I6098" s="564" t="s">
        <v>12889</v>
      </c>
      <c r="J6098" s="564" t="s">
        <v>1069</v>
      </c>
      <c r="K6098" s="564" t="s">
        <v>2466</v>
      </c>
      <c r="L6098" s="564" t="s">
        <v>2467</v>
      </c>
      <c r="M6098" s="564" t="s">
        <v>2466</v>
      </c>
      <c r="N6098" s="564" t="s">
        <v>2543</v>
      </c>
      <c r="O6098" s="564" t="s">
        <v>12077</v>
      </c>
      <c r="P6098" s="23"/>
      <c r="Q6098" s="23"/>
      <c r="R6098" s="23"/>
      <c r="S6098" s="23"/>
      <c r="T6098" s="23"/>
      <c r="U6098" s="23"/>
      <c r="V6098" s="23"/>
      <c r="W6098" s="23"/>
      <c r="X6098" s="23"/>
      <c r="Y6098" s="23"/>
      <c r="Z6098" s="23"/>
    </row>
    <row r="6099" spans="1:26" ht="13">
      <c r="A6099" s="562" t="s">
        <v>13203</v>
      </c>
      <c r="B6099" s="563" t="s">
        <v>13204</v>
      </c>
      <c r="C6099" s="564" t="s">
        <v>2484</v>
      </c>
      <c r="D6099" s="565">
        <v>39508</v>
      </c>
      <c r="E6099" s="565">
        <v>39872</v>
      </c>
      <c r="F6099" s="566">
        <v>89727273</v>
      </c>
      <c r="G6099" s="564" t="s">
        <v>2519</v>
      </c>
      <c r="H6099" s="564" t="s">
        <v>2519</v>
      </c>
      <c r="I6099" s="564" t="s">
        <v>12297</v>
      </c>
      <c r="J6099" s="564" t="s">
        <v>1069</v>
      </c>
      <c r="K6099" s="564" t="s">
        <v>2466</v>
      </c>
      <c r="L6099" s="564" t="s">
        <v>2467</v>
      </c>
      <c r="M6099" s="564" t="s">
        <v>2466</v>
      </c>
      <c r="N6099" s="564" t="s">
        <v>2439</v>
      </c>
      <c r="O6099" s="564" t="s">
        <v>12077</v>
      </c>
      <c r="P6099" s="23"/>
      <c r="Q6099" s="23"/>
      <c r="R6099" s="23"/>
      <c r="S6099" s="23"/>
      <c r="T6099" s="23"/>
      <c r="U6099" s="23"/>
      <c r="V6099" s="23"/>
      <c r="W6099" s="23"/>
      <c r="X6099" s="23"/>
      <c r="Y6099" s="23"/>
      <c r="Z6099" s="23"/>
    </row>
    <row r="6100" spans="1:26" ht="13">
      <c r="A6100" s="562" t="s">
        <v>13205</v>
      </c>
      <c r="B6100" s="563" t="s">
        <v>13206</v>
      </c>
      <c r="C6100" s="564" t="s">
        <v>2484</v>
      </c>
      <c r="D6100" s="565">
        <v>39471</v>
      </c>
      <c r="E6100" s="565">
        <v>39837</v>
      </c>
      <c r="F6100" s="566">
        <v>2727273</v>
      </c>
      <c r="G6100" s="564" t="s">
        <v>2464</v>
      </c>
      <c r="H6100" s="564" t="s">
        <v>12365</v>
      </c>
      <c r="I6100" s="564" t="s">
        <v>12913</v>
      </c>
      <c r="J6100" s="564" t="s">
        <v>1069</v>
      </c>
      <c r="K6100" s="564" t="s">
        <v>2466</v>
      </c>
      <c r="L6100" s="564" t="s">
        <v>2467</v>
      </c>
      <c r="M6100" s="564" t="s">
        <v>2466</v>
      </c>
      <c r="N6100" s="564" t="s">
        <v>1368</v>
      </c>
      <c r="O6100" s="564" t="s">
        <v>12077</v>
      </c>
      <c r="P6100" s="23"/>
      <c r="Q6100" s="23"/>
      <c r="R6100" s="23"/>
      <c r="S6100" s="23"/>
      <c r="T6100" s="23"/>
      <c r="U6100" s="23"/>
      <c r="V6100" s="23"/>
      <c r="W6100" s="23"/>
      <c r="X6100" s="23"/>
      <c r="Y6100" s="23"/>
      <c r="Z6100" s="23"/>
    </row>
    <row r="6101" spans="1:26" ht="13">
      <c r="A6101" s="562" t="s">
        <v>13207</v>
      </c>
      <c r="B6101" s="563" t="s">
        <v>13208</v>
      </c>
      <c r="C6101" s="564" t="s">
        <v>2484</v>
      </c>
      <c r="D6101" s="565">
        <v>39471</v>
      </c>
      <c r="E6101" s="565">
        <v>40202</v>
      </c>
      <c r="F6101" s="566">
        <v>13636364</v>
      </c>
      <c r="G6101" s="564" t="s">
        <v>2464</v>
      </c>
      <c r="H6101" s="564" t="s">
        <v>2541</v>
      </c>
      <c r="I6101" s="564" t="s">
        <v>12913</v>
      </c>
      <c r="J6101" s="564" t="s">
        <v>1069</v>
      </c>
      <c r="K6101" s="564" t="s">
        <v>2466</v>
      </c>
      <c r="L6101" s="564" t="s">
        <v>2467</v>
      </c>
      <c r="M6101" s="564" t="s">
        <v>2466</v>
      </c>
      <c r="N6101" s="564" t="s">
        <v>1368</v>
      </c>
      <c r="O6101" s="564" t="s">
        <v>12077</v>
      </c>
      <c r="P6101" s="23"/>
      <c r="Q6101" s="23"/>
      <c r="R6101" s="23"/>
      <c r="S6101" s="23"/>
      <c r="T6101" s="23"/>
      <c r="U6101" s="23"/>
      <c r="V6101" s="23"/>
      <c r="W6101" s="23"/>
      <c r="X6101" s="23"/>
      <c r="Y6101" s="23"/>
      <c r="Z6101" s="23"/>
    </row>
    <row r="6102" spans="1:26" ht="13">
      <c r="A6102" s="562" t="s">
        <v>13209</v>
      </c>
      <c r="B6102" s="563" t="s">
        <v>13210</v>
      </c>
      <c r="C6102" s="564" t="s">
        <v>2484</v>
      </c>
      <c r="D6102" s="565">
        <v>39455</v>
      </c>
      <c r="E6102" s="565">
        <v>39813</v>
      </c>
      <c r="F6102" s="566">
        <v>17372727</v>
      </c>
      <c r="G6102" s="564" t="s">
        <v>2518</v>
      </c>
      <c r="H6102" s="564" t="s">
        <v>12125</v>
      </c>
      <c r="I6102" s="564" t="s">
        <v>12147</v>
      </c>
      <c r="J6102" s="564" t="s">
        <v>1069</v>
      </c>
      <c r="K6102" s="564" t="s">
        <v>2466</v>
      </c>
      <c r="L6102" s="564" t="s">
        <v>2467</v>
      </c>
      <c r="M6102" s="564" t="s">
        <v>2466</v>
      </c>
      <c r="N6102" s="564" t="s">
        <v>2543</v>
      </c>
      <c r="O6102" s="564" t="s">
        <v>12077</v>
      </c>
      <c r="P6102" s="23"/>
      <c r="Q6102" s="23"/>
      <c r="R6102" s="23"/>
      <c r="S6102" s="23"/>
      <c r="T6102" s="23"/>
      <c r="U6102" s="23"/>
      <c r="V6102" s="23"/>
      <c r="W6102" s="23"/>
      <c r="X6102" s="23"/>
      <c r="Y6102" s="23"/>
      <c r="Z6102" s="23"/>
    </row>
    <row r="6103" spans="1:26" ht="13">
      <c r="A6103" s="562" t="s">
        <v>13211</v>
      </c>
      <c r="B6103" s="563" t="s">
        <v>13212</v>
      </c>
      <c r="C6103" s="564" t="s">
        <v>2484</v>
      </c>
      <c r="D6103" s="565">
        <v>39476</v>
      </c>
      <c r="E6103" s="565">
        <v>39813</v>
      </c>
      <c r="F6103" s="566">
        <v>318181820</v>
      </c>
      <c r="G6103" s="564" t="s">
        <v>2434</v>
      </c>
      <c r="H6103" s="564" t="s">
        <v>2546</v>
      </c>
      <c r="I6103" s="564" t="s">
        <v>2311</v>
      </c>
      <c r="J6103" s="564" t="s">
        <v>1069</v>
      </c>
      <c r="K6103" s="564" t="s">
        <v>2466</v>
      </c>
      <c r="L6103" s="564" t="s">
        <v>2467</v>
      </c>
      <c r="M6103" s="564" t="s">
        <v>2466</v>
      </c>
      <c r="N6103" s="564" t="s">
        <v>1073</v>
      </c>
      <c r="O6103" s="564" t="s">
        <v>4798</v>
      </c>
      <c r="P6103" s="23"/>
      <c r="Q6103" s="23"/>
      <c r="R6103" s="23"/>
      <c r="S6103" s="23"/>
      <c r="T6103" s="23"/>
      <c r="U6103" s="23"/>
      <c r="V6103" s="23"/>
      <c r="W6103" s="23"/>
      <c r="X6103" s="23"/>
      <c r="Y6103" s="23"/>
      <c r="Z6103" s="23"/>
    </row>
    <row r="6104" spans="1:26" ht="13">
      <c r="A6104" s="562" t="s">
        <v>13213</v>
      </c>
      <c r="B6104" s="563" t="s">
        <v>13214</v>
      </c>
      <c r="C6104" s="564" t="s">
        <v>2484</v>
      </c>
      <c r="D6104" s="565">
        <v>39615</v>
      </c>
      <c r="E6104" s="565">
        <v>40178</v>
      </c>
      <c r="F6104" s="566">
        <v>88636364</v>
      </c>
      <c r="G6104" s="564" t="s">
        <v>12293</v>
      </c>
      <c r="H6104" s="564" t="s">
        <v>12365</v>
      </c>
      <c r="I6104" s="564" t="s">
        <v>13151</v>
      </c>
      <c r="J6104" s="564" t="s">
        <v>1069</v>
      </c>
      <c r="K6104" s="564" t="s">
        <v>2466</v>
      </c>
      <c r="L6104" s="564" t="s">
        <v>2467</v>
      </c>
      <c r="M6104" s="564" t="s">
        <v>2466</v>
      </c>
      <c r="N6104" s="564" t="s">
        <v>2325</v>
      </c>
      <c r="O6104" s="564" t="s">
        <v>12077</v>
      </c>
      <c r="P6104" s="23"/>
      <c r="Q6104" s="23"/>
      <c r="R6104" s="23"/>
      <c r="S6104" s="23"/>
      <c r="T6104" s="23"/>
      <c r="U6104" s="23"/>
      <c r="V6104" s="23"/>
      <c r="W6104" s="23"/>
      <c r="X6104" s="23"/>
      <c r="Y6104" s="23"/>
      <c r="Z6104" s="23"/>
    </row>
    <row r="6105" spans="1:26" ht="13">
      <c r="A6105" s="562" t="s">
        <v>13215</v>
      </c>
      <c r="B6105" s="563" t="s">
        <v>13216</v>
      </c>
      <c r="C6105" s="564" t="s">
        <v>2484</v>
      </c>
      <c r="D6105" s="565">
        <v>39811</v>
      </c>
      <c r="E6105" s="565">
        <v>40051</v>
      </c>
      <c r="F6105" s="566">
        <v>147272727</v>
      </c>
      <c r="G6105" s="564" t="s">
        <v>12124</v>
      </c>
      <c r="H6105" s="564" t="s">
        <v>2459</v>
      </c>
      <c r="I6105" s="564" t="s">
        <v>13217</v>
      </c>
      <c r="J6105" s="564" t="s">
        <v>1069</v>
      </c>
      <c r="K6105" s="564" t="s">
        <v>2466</v>
      </c>
      <c r="L6105" s="564" t="s">
        <v>2467</v>
      </c>
      <c r="M6105" s="564" t="s">
        <v>2466</v>
      </c>
      <c r="N6105" s="564" t="s">
        <v>2543</v>
      </c>
      <c r="O6105" s="564" t="s">
        <v>12077</v>
      </c>
      <c r="P6105" s="23"/>
      <c r="Q6105" s="23"/>
      <c r="R6105" s="23"/>
      <c r="S6105" s="23"/>
      <c r="T6105" s="23"/>
      <c r="U6105" s="23"/>
      <c r="V6105" s="23"/>
      <c r="W6105" s="23"/>
      <c r="X6105" s="23"/>
      <c r="Y6105" s="23"/>
      <c r="Z6105" s="23"/>
    </row>
    <row r="6106" spans="1:26" ht="13">
      <c r="A6106" s="562" t="s">
        <v>13218</v>
      </c>
      <c r="B6106" s="563" t="s">
        <v>13219</v>
      </c>
      <c r="C6106" s="564" t="s">
        <v>2484</v>
      </c>
      <c r="D6106" s="565">
        <v>39786</v>
      </c>
      <c r="E6106" s="565">
        <v>39876</v>
      </c>
      <c r="F6106" s="566">
        <v>39228182</v>
      </c>
      <c r="G6106" s="564" t="s">
        <v>12075</v>
      </c>
      <c r="H6106" s="564" t="s">
        <v>12125</v>
      </c>
      <c r="I6106" s="564" t="s">
        <v>13122</v>
      </c>
      <c r="J6106" s="564" t="s">
        <v>1069</v>
      </c>
      <c r="K6106" s="564" t="s">
        <v>2466</v>
      </c>
      <c r="L6106" s="564" t="s">
        <v>2467</v>
      </c>
      <c r="M6106" s="564" t="s">
        <v>2466</v>
      </c>
      <c r="N6106" s="564" t="s">
        <v>2543</v>
      </c>
      <c r="O6106" s="564" t="s">
        <v>12077</v>
      </c>
      <c r="P6106" s="23"/>
      <c r="Q6106" s="23"/>
      <c r="R6106" s="23"/>
      <c r="S6106" s="23"/>
      <c r="T6106" s="23"/>
      <c r="U6106" s="23"/>
      <c r="V6106" s="23"/>
      <c r="W6106" s="23"/>
      <c r="X6106" s="23"/>
      <c r="Y6106" s="23"/>
      <c r="Z6106" s="23"/>
    </row>
    <row r="6107" spans="1:26" ht="13">
      <c r="A6107" s="562" t="s">
        <v>13220</v>
      </c>
      <c r="B6107" s="563" t="s">
        <v>13221</v>
      </c>
      <c r="C6107" s="564" t="s">
        <v>2484</v>
      </c>
      <c r="D6107" s="565">
        <v>39765</v>
      </c>
      <c r="E6107" s="565">
        <v>39798</v>
      </c>
      <c r="F6107" s="566">
        <v>27818182</v>
      </c>
      <c r="G6107" s="564" t="s">
        <v>2434</v>
      </c>
      <c r="H6107" s="564" t="s">
        <v>2546</v>
      </c>
      <c r="I6107" s="564" t="s">
        <v>12467</v>
      </c>
      <c r="J6107" s="564" t="s">
        <v>1069</v>
      </c>
      <c r="K6107" s="564" t="s">
        <v>2466</v>
      </c>
      <c r="L6107" s="564" t="s">
        <v>2467</v>
      </c>
      <c r="M6107" s="564" t="s">
        <v>2466</v>
      </c>
      <c r="N6107" s="564" t="s">
        <v>1082</v>
      </c>
      <c r="O6107" s="564" t="s">
        <v>4798</v>
      </c>
      <c r="P6107" s="23"/>
      <c r="Q6107" s="23"/>
      <c r="R6107" s="23"/>
      <c r="S6107" s="23"/>
      <c r="T6107" s="23"/>
      <c r="U6107" s="23"/>
      <c r="V6107" s="23"/>
      <c r="W6107" s="23"/>
      <c r="X6107" s="23"/>
      <c r="Y6107" s="23"/>
      <c r="Z6107" s="23"/>
    </row>
    <row r="6108" spans="1:26" ht="13">
      <c r="A6108" s="562" t="s">
        <v>13222</v>
      </c>
      <c r="B6108" s="563" t="s">
        <v>13223</v>
      </c>
      <c r="C6108" s="564" t="s">
        <v>1255</v>
      </c>
      <c r="D6108" s="565">
        <v>39812</v>
      </c>
      <c r="E6108" s="565">
        <v>40176</v>
      </c>
      <c r="F6108" s="566">
        <v>81800000</v>
      </c>
      <c r="G6108" s="564" t="s">
        <v>1123</v>
      </c>
      <c r="H6108" s="564" t="s">
        <v>1912</v>
      </c>
      <c r="I6108" s="564" t="s">
        <v>143</v>
      </c>
      <c r="J6108" s="564" t="s">
        <v>1069</v>
      </c>
      <c r="K6108" s="564" t="s">
        <v>1205</v>
      </c>
      <c r="L6108" s="564" t="s">
        <v>1071</v>
      </c>
      <c r="M6108" s="564" t="s">
        <v>1091</v>
      </c>
      <c r="N6108" s="564" t="s">
        <v>1073</v>
      </c>
      <c r="O6108" s="564" t="s">
        <v>241</v>
      </c>
      <c r="P6108" s="23"/>
      <c r="Q6108" s="23"/>
      <c r="R6108" s="23"/>
      <c r="S6108" s="23"/>
      <c r="T6108" s="23"/>
      <c r="U6108" s="23"/>
      <c r="V6108" s="23"/>
      <c r="W6108" s="23"/>
      <c r="X6108" s="23"/>
      <c r="Y6108" s="23"/>
      <c r="Z6108" s="23"/>
    </row>
    <row r="6109" spans="1:26" ht="13">
      <c r="A6109" s="562" t="s">
        <v>13224</v>
      </c>
      <c r="B6109" s="563" t="s">
        <v>13225</v>
      </c>
      <c r="C6109" s="564" t="s">
        <v>1612</v>
      </c>
      <c r="D6109" s="565">
        <v>39786</v>
      </c>
      <c r="E6109" s="565">
        <v>39806</v>
      </c>
      <c r="F6109" s="566">
        <v>2363636</v>
      </c>
      <c r="G6109" s="564" t="s">
        <v>1123</v>
      </c>
      <c r="H6109" s="564" t="s">
        <v>1912</v>
      </c>
      <c r="I6109" s="564" t="s">
        <v>802</v>
      </c>
      <c r="J6109" s="564" t="s">
        <v>1069</v>
      </c>
      <c r="K6109" s="564" t="s">
        <v>1198</v>
      </c>
      <c r="L6109" s="564" t="s">
        <v>1071</v>
      </c>
      <c r="M6109" s="564" t="s">
        <v>1124</v>
      </c>
      <c r="N6109" s="564" t="s">
        <v>132</v>
      </c>
      <c r="O6109" s="564" t="s">
        <v>38</v>
      </c>
      <c r="P6109" s="23"/>
      <c r="Q6109" s="23"/>
      <c r="R6109" s="23"/>
      <c r="S6109" s="23"/>
      <c r="T6109" s="23"/>
      <c r="U6109" s="23"/>
      <c r="V6109" s="23"/>
      <c r="W6109" s="23"/>
      <c r="X6109" s="23"/>
      <c r="Y6109" s="23"/>
      <c r="Z6109" s="23"/>
    </row>
    <row r="6110" spans="1:26" ht="13">
      <c r="A6110" s="562" t="s">
        <v>13226</v>
      </c>
      <c r="B6110" s="563" t="s">
        <v>13227</v>
      </c>
      <c r="C6110" s="564" t="s">
        <v>2191</v>
      </c>
      <c r="D6110" s="565">
        <v>39806</v>
      </c>
      <c r="E6110" s="565">
        <v>39892</v>
      </c>
      <c r="F6110" s="566">
        <v>108181819</v>
      </c>
      <c r="G6110" s="564" t="s">
        <v>2561</v>
      </c>
      <c r="H6110" s="564" t="s">
        <v>1912</v>
      </c>
      <c r="I6110" s="564" t="s">
        <v>2455</v>
      </c>
      <c r="J6110" s="564" t="s">
        <v>1069</v>
      </c>
      <c r="K6110" s="564" t="s">
        <v>1205</v>
      </c>
      <c r="L6110" s="564" t="s">
        <v>1390</v>
      </c>
      <c r="M6110" s="564" t="s">
        <v>1390</v>
      </c>
      <c r="N6110" s="564" t="s">
        <v>1368</v>
      </c>
      <c r="O6110" s="564" t="s">
        <v>38</v>
      </c>
      <c r="P6110" s="23"/>
      <c r="Q6110" s="23"/>
      <c r="R6110" s="23"/>
      <c r="S6110" s="23"/>
      <c r="T6110" s="23"/>
      <c r="U6110" s="23"/>
      <c r="V6110" s="23"/>
      <c r="W6110" s="23"/>
      <c r="X6110" s="23"/>
      <c r="Y6110" s="23"/>
      <c r="Z6110" s="23"/>
    </row>
    <row r="6111" spans="1:26" ht="13">
      <c r="A6111" s="562" t="s">
        <v>13228</v>
      </c>
      <c r="B6111" s="563" t="s">
        <v>13229</v>
      </c>
      <c r="C6111" s="564" t="s">
        <v>1204</v>
      </c>
      <c r="D6111" s="565">
        <v>39753</v>
      </c>
      <c r="E6111" s="565">
        <v>39994</v>
      </c>
      <c r="F6111" s="566">
        <v>1085586000</v>
      </c>
      <c r="G6111" s="564" t="s">
        <v>754</v>
      </c>
      <c r="H6111" s="564" t="s">
        <v>1640</v>
      </c>
      <c r="I6111" s="564" t="s">
        <v>7259</v>
      </c>
      <c r="J6111" s="564" t="s">
        <v>1069</v>
      </c>
      <c r="K6111" s="564" t="s">
        <v>1070</v>
      </c>
      <c r="L6111" s="564" t="s">
        <v>1390</v>
      </c>
      <c r="M6111" s="564" t="s">
        <v>1390</v>
      </c>
      <c r="N6111" s="564" t="s">
        <v>1082</v>
      </c>
      <c r="O6111" s="564" t="s">
        <v>38</v>
      </c>
      <c r="P6111" s="23"/>
      <c r="Q6111" s="23"/>
      <c r="R6111" s="23"/>
      <c r="S6111" s="23"/>
      <c r="T6111" s="23"/>
      <c r="U6111" s="23"/>
      <c r="V6111" s="23"/>
      <c r="W6111" s="23"/>
      <c r="X6111" s="23"/>
      <c r="Y6111" s="23"/>
      <c r="Z6111" s="23"/>
    </row>
    <row r="6112" spans="1:26" ht="13">
      <c r="A6112" s="562" t="s">
        <v>13230</v>
      </c>
      <c r="B6112" s="563" t="s">
        <v>13231</v>
      </c>
      <c r="C6112" s="564" t="s">
        <v>1612</v>
      </c>
      <c r="D6112" s="565">
        <v>39803</v>
      </c>
      <c r="E6112" s="565">
        <v>40178</v>
      </c>
      <c r="F6112" s="566">
        <v>422938000</v>
      </c>
      <c r="G6112" s="564" t="s">
        <v>1729</v>
      </c>
      <c r="H6112" s="564" t="s">
        <v>1856</v>
      </c>
      <c r="I6112" s="564" t="s">
        <v>45</v>
      </c>
      <c r="J6112" s="564" t="s">
        <v>1069</v>
      </c>
      <c r="K6112" s="564" t="s">
        <v>1090</v>
      </c>
      <c r="L6112" s="564" t="s">
        <v>1071</v>
      </c>
      <c r="M6112" s="564" t="s">
        <v>1091</v>
      </c>
      <c r="N6112" s="564" t="s">
        <v>45</v>
      </c>
      <c r="O6112" s="564" t="s">
        <v>241</v>
      </c>
      <c r="P6112" s="23"/>
      <c r="Q6112" s="23"/>
      <c r="R6112" s="23"/>
      <c r="S6112" s="23"/>
      <c r="T6112" s="23"/>
      <c r="U6112" s="23"/>
      <c r="V6112" s="23"/>
      <c r="W6112" s="23"/>
      <c r="X6112" s="23"/>
      <c r="Y6112" s="23"/>
      <c r="Z6112" s="23"/>
    </row>
    <row r="6113" spans="1:26" ht="13">
      <c r="A6113" s="562" t="s">
        <v>13232</v>
      </c>
      <c r="B6113" s="563" t="s">
        <v>13233</v>
      </c>
      <c r="C6113" s="564" t="s">
        <v>2191</v>
      </c>
      <c r="D6113" s="565">
        <v>39755</v>
      </c>
      <c r="E6113" s="565">
        <v>41619</v>
      </c>
      <c r="F6113" s="566">
        <v>99000000</v>
      </c>
      <c r="G6113" s="564" t="s">
        <v>12766</v>
      </c>
      <c r="H6113" s="564" t="s">
        <v>1187</v>
      </c>
      <c r="I6113" s="564" t="s">
        <v>2013</v>
      </c>
      <c r="J6113" s="564" t="s">
        <v>1069</v>
      </c>
      <c r="K6113" s="564" t="s">
        <v>1070</v>
      </c>
      <c r="L6113" s="564" t="s">
        <v>1390</v>
      </c>
      <c r="M6113" s="564" t="s">
        <v>1390</v>
      </c>
      <c r="N6113" s="564" t="s">
        <v>1082</v>
      </c>
      <c r="O6113" s="564" t="s">
        <v>38</v>
      </c>
      <c r="P6113" s="23"/>
      <c r="Q6113" s="23"/>
      <c r="R6113" s="23"/>
      <c r="S6113" s="23"/>
      <c r="T6113" s="23"/>
      <c r="U6113" s="23"/>
      <c r="V6113" s="23"/>
      <c r="W6113" s="23"/>
      <c r="X6113" s="23"/>
      <c r="Y6113" s="23"/>
      <c r="Z6113" s="23"/>
    </row>
    <row r="6114" spans="1:26" ht="13">
      <c r="A6114" s="562" t="s">
        <v>13234</v>
      </c>
      <c r="B6114" s="563" t="s">
        <v>13235</v>
      </c>
      <c r="C6114" s="564" t="s">
        <v>2191</v>
      </c>
      <c r="D6114" s="565">
        <v>39743</v>
      </c>
      <c r="E6114" s="565">
        <v>39764</v>
      </c>
      <c r="F6114" s="566">
        <v>10909090</v>
      </c>
      <c r="G6114" s="564" t="s">
        <v>2458</v>
      </c>
      <c r="H6114" s="564" t="s">
        <v>297</v>
      </c>
      <c r="I6114" s="564" t="s">
        <v>802</v>
      </c>
      <c r="J6114" s="564" t="s">
        <v>1069</v>
      </c>
      <c r="K6114" s="564" t="s">
        <v>1198</v>
      </c>
      <c r="L6114" s="564" t="s">
        <v>1390</v>
      </c>
      <c r="M6114" s="564" t="s">
        <v>1390</v>
      </c>
      <c r="N6114" s="564" t="s">
        <v>132</v>
      </c>
      <c r="O6114" s="564" t="s">
        <v>38</v>
      </c>
      <c r="P6114" s="23"/>
      <c r="Q6114" s="23"/>
      <c r="R6114" s="23"/>
      <c r="S6114" s="23"/>
      <c r="T6114" s="23"/>
      <c r="U6114" s="23"/>
      <c r="V6114" s="23"/>
      <c r="W6114" s="23"/>
      <c r="X6114" s="23"/>
      <c r="Y6114" s="23"/>
      <c r="Z6114" s="23"/>
    </row>
    <row r="6115" spans="1:26" ht="13">
      <c r="A6115" s="562" t="s">
        <v>13236</v>
      </c>
      <c r="B6115" s="563" t="s">
        <v>13237</v>
      </c>
      <c r="C6115" s="564" t="s">
        <v>1612</v>
      </c>
      <c r="D6115" s="565">
        <v>39771</v>
      </c>
      <c r="E6115" s="565">
        <v>39812</v>
      </c>
      <c r="F6115" s="566">
        <v>173000000</v>
      </c>
      <c r="G6115" s="564" t="s">
        <v>1856</v>
      </c>
      <c r="H6115" s="564" t="s">
        <v>1856</v>
      </c>
      <c r="I6115" s="564" t="s">
        <v>45</v>
      </c>
      <c r="J6115" s="564" t="s">
        <v>1069</v>
      </c>
      <c r="K6115" s="564" t="s">
        <v>1090</v>
      </c>
      <c r="L6115" s="564" t="s">
        <v>1390</v>
      </c>
      <c r="M6115" s="564" t="s">
        <v>1390</v>
      </c>
      <c r="N6115" s="564" t="s">
        <v>45</v>
      </c>
      <c r="O6115" s="564" t="s">
        <v>38</v>
      </c>
      <c r="P6115" s="23"/>
      <c r="Q6115" s="23"/>
      <c r="R6115" s="23"/>
      <c r="S6115" s="23"/>
      <c r="T6115" s="23"/>
      <c r="U6115" s="23"/>
      <c r="V6115" s="23"/>
      <c r="W6115" s="23"/>
      <c r="X6115" s="23"/>
      <c r="Y6115" s="23"/>
      <c r="Z6115" s="23"/>
    </row>
    <row r="6116" spans="1:26" ht="13">
      <c r="A6116" s="562" t="s">
        <v>13238</v>
      </c>
      <c r="B6116" s="563" t="s">
        <v>13239</v>
      </c>
      <c r="C6116" s="564" t="s">
        <v>2484</v>
      </c>
      <c r="D6116" s="565">
        <v>39727</v>
      </c>
      <c r="E6116" s="565">
        <v>39907</v>
      </c>
      <c r="F6116" s="566">
        <v>48840909</v>
      </c>
      <c r="G6116" s="564" t="s">
        <v>12084</v>
      </c>
      <c r="H6116" s="564" t="s">
        <v>2519</v>
      </c>
      <c r="I6116" s="564" t="s">
        <v>12297</v>
      </c>
      <c r="J6116" s="564" t="s">
        <v>1069</v>
      </c>
      <c r="K6116" s="564" t="s">
        <v>2466</v>
      </c>
      <c r="L6116" s="564" t="s">
        <v>2467</v>
      </c>
      <c r="M6116" s="564" t="s">
        <v>2466</v>
      </c>
      <c r="N6116" s="564" t="s">
        <v>2439</v>
      </c>
      <c r="O6116" s="564" t="s">
        <v>12077</v>
      </c>
      <c r="P6116" s="23"/>
      <c r="Q6116" s="23"/>
      <c r="R6116" s="23"/>
      <c r="S6116" s="23"/>
      <c r="T6116" s="23"/>
      <c r="U6116" s="23"/>
      <c r="V6116" s="23"/>
      <c r="W6116" s="23"/>
      <c r="X6116" s="23"/>
      <c r="Y6116" s="23"/>
      <c r="Z6116" s="23"/>
    </row>
    <row r="6117" spans="1:26" ht="13">
      <c r="A6117" s="562" t="s">
        <v>13240</v>
      </c>
      <c r="B6117" s="563" t="s">
        <v>13241</v>
      </c>
      <c r="C6117" s="564" t="s">
        <v>6860</v>
      </c>
      <c r="D6117" s="565">
        <v>39609</v>
      </c>
      <c r="E6117" s="565">
        <v>39788</v>
      </c>
      <c r="F6117" s="567"/>
      <c r="G6117" s="564" t="s">
        <v>1640</v>
      </c>
      <c r="H6117" s="564" t="s">
        <v>1640</v>
      </c>
      <c r="I6117" s="564" t="s">
        <v>13242</v>
      </c>
      <c r="J6117" s="564" t="s">
        <v>1069</v>
      </c>
      <c r="K6117" s="564" t="s">
        <v>1209</v>
      </c>
      <c r="L6117" s="564" t="s">
        <v>1390</v>
      </c>
      <c r="M6117" s="564" t="s">
        <v>1390</v>
      </c>
      <c r="N6117" s="564" t="s">
        <v>2325</v>
      </c>
      <c r="O6117" s="564" t="s">
        <v>38</v>
      </c>
      <c r="P6117" s="23"/>
      <c r="Q6117" s="23"/>
      <c r="R6117" s="23"/>
      <c r="S6117" s="23"/>
      <c r="T6117" s="23"/>
      <c r="U6117" s="23"/>
      <c r="V6117" s="23"/>
      <c r="W6117" s="23"/>
      <c r="X6117" s="23"/>
      <c r="Y6117" s="23"/>
      <c r="Z6117" s="23"/>
    </row>
    <row r="6118" spans="1:26" ht="13">
      <c r="A6118" s="562" t="s">
        <v>13243</v>
      </c>
      <c r="B6118" s="563" t="s">
        <v>13244</v>
      </c>
      <c r="C6118" s="564" t="s">
        <v>1612</v>
      </c>
      <c r="D6118" s="565">
        <v>39722</v>
      </c>
      <c r="E6118" s="565">
        <v>40209</v>
      </c>
      <c r="F6118" s="566">
        <v>84000000</v>
      </c>
      <c r="G6118" s="564" t="s">
        <v>1729</v>
      </c>
      <c r="H6118" s="564" t="s">
        <v>1856</v>
      </c>
      <c r="I6118" s="564" t="s">
        <v>9250</v>
      </c>
      <c r="J6118" s="564" t="s">
        <v>1069</v>
      </c>
      <c r="K6118" s="564" t="s">
        <v>1090</v>
      </c>
      <c r="L6118" s="564" t="s">
        <v>1390</v>
      </c>
      <c r="M6118" s="564" t="s">
        <v>1390</v>
      </c>
      <c r="N6118" s="564" t="s">
        <v>45</v>
      </c>
      <c r="O6118" s="564" t="s">
        <v>38</v>
      </c>
      <c r="P6118" s="23"/>
      <c r="Q6118" s="23"/>
      <c r="R6118" s="23"/>
      <c r="S6118" s="23"/>
      <c r="T6118" s="23"/>
      <c r="U6118" s="23"/>
      <c r="V6118" s="23"/>
      <c r="W6118" s="23"/>
      <c r="X6118" s="23"/>
      <c r="Y6118" s="23"/>
      <c r="Z6118" s="23"/>
    </row>
    <row r="6119" spans="1:26" ht="13">
      <c r="A6119" s="562" t="s">
        <v>13245</v>
      </c>
      <c r="B6119" s="563" t="s">
        <v>13246</v>
      </c>
      <c r="C6119" s="564" t="s">
        <v>2191</v>
      </c>
      <c r="D6119" s="565">
        <v>39721</v>
      </c>
      <c r="E6119" s="565">
        <v>40039</v>
      </c>
      <c r="F6119" s="566">
        <v>100000000</v>
      </c>
      <c r="G6119" s="564" t="s">
        <v>1116</v>
      </c>
      <c r="H6119" s="564" t="s">
        <v>1912</v>
      </c>
      <c r="I6119" s="564" t="s">
        <v>13247</v>
      </c>
      <c r="J6119" s="564" t="s">
        <v>1069</v>
      </c>
      <c r="K6119" s="564" t="s">
        <v>1070</v>
      </c>
      <c r="L6119" s="564" t="s">
        <v>1071</v>
      </c>
      <c r="M6119" s="564" t="s">
        <v>1124</v>
      </c>
      <c r="N6119" s="564" t="s">
        <v>1082</v>
      </c>
      <c r="O6119" s="564" t="s">
        <v>38</v>
      </c>
      <c r="P6119" s="23"/>
      <c r="Q6119" s="23"/>
      <c r="R6119" s="23"/>
      <c r="S6119" s="23"/>
      <c r="T6119" s="23"/>
      <c r="U6119" s="23"/>
      <c r="V6119" s="23"/>
      <c r="W6119" s="23"/>
      <c r="X6119" s="23"/>
      <c r="Y6119" s="23"/>
      <c r="Z6119" s="23"/>
    </row>
    <row r="6120" spans="1:26" ht="13">
      <c r="A6120" s="562" t="s">
        <v>13248</v>
      </c>
      <c r="B6120" s="563" t="s">
        <v>13249</v>
      </c>
      <c r="C6120" s="564" t="s">
        <v>1612</v>
      </c>
      <c r="D6120" s="565">
        <v>39685</v>
      </c>
      <c r="E6120" s="565">
        <v>40049</v>
      </c>
      <c r="F6120" s="566">
        <v>18600000</v>
      </c>
      <c r="G6120" s="564" t="s">
        <v>1729</v>
      </c>
      <c r="H6120" s="564" t="s">
        <v>1856</v>
      </c>
      <c r="I6120" s="564" t="s">
        <v>1068</v>
      </c>
      <c r="J6120" s="564" t="s">
        <v>1069</v>
      </c>
      <c r="K6120" s="564" t="s">
        <v>1070</v>
      </c>
      <c r="L6120" s="564" t="s">
        <v>1071</v>
      </c>
      <c r="M6120" s="564" t="s">
        <v>1091</v>
      </c>
      <c r="N6120" s="564" t="s">
        <v>1073</v>
      </c>
      <c r="O6120" s="564" t="s">
        <v>241</v>
      </c>
      <c r="P6120" s="23"/>
      <c r="Q6120" s="23"/>
      <c r="R6120" s="23"/>
      <c r="S6120" s="23"/>
      <c r="T6120" s="23"/>
      <c r="U6120" s="23"/>
      <c r="V6120" s="23"/>
      <c r="W6120" s="23"/>
      <c r="X6120" s="23"/>
      <c r="Y6120" s="23"/>
      <c r="Z6120" s="23"/>
    </row>
    <row r="6121" spans="1:26" ht="13">
      <c r="A6121" s="562" t="s">
        <v>13250</v>
      </c>
      <c r="B6121" s="563" t="s">
        <v>13251</v>
      </c>
      <c r="C6121" s="564" t="s">
        <v>1612</v>
      </c>
      <c r="D6121" s="565">
        <v>39723</v>
      </c>
      <c r="E6121" s="565">
        <v>39843</v>
      </c>
      <c r="F6121" s="566">
        <v>332410000</v>
      </c>
      <c r="G6121" s="564" t="s">
        <v>10823</v>
      </c>
      <c r="H6121" s="564" t="s">
        <v>1640</v>
      </c>
      <c r="I6121" s="564" t="s">
        <v>45</v>
      </c>
      <c r="J6121" s="564" t="s">
        <v>1069</v>
      </c>
      <c r="K6121" s="564" t="s">
        <v>1090</v>
      </c>
      <c r="L6121" s="564" t="s">
        <v>1390</v>
      </c>
      <c r="M6121" s="564" t="s">
        <v>1390</v>
      </c>
      <c r="N6121" s="564" t="s">
        <v>45</v>
      </c>
      <c r="O6121" s="564" t="s">
        <v>38</v>
      </c>
      <c r="P6121" s="23"/>
      <c r="Q6121" s="23"/>
      <c r="R6121" s="23"/>
      <c r="S6121" s="23"/>
      <c r="T6121" s="23"/>
      <c r="U6121" s="23"/>
      <c r="V6121" s="23"/>
      <c r="W6121" s="23"/>
      <c r="X6121" s="23"/>
      <c r="Y6121" s="23"/>
      <c r="Z6121" s="23"/>
    </row>
    <row r="6122" spans="1:26" ht="13">
      <c r="A6122" s="562" t="s">
        <v>13252</v>
      </c>
      <c r="B6122" s="563" t="s">
        <v>13253</v>
      </c>
      <c r="C6122" s="564" t="s">
        <v>2484</v>
      </c>
      <c r="D6122" s="565">
        <v>39695</v>
      </c>
      <c r="E6122" s="565">
        <v>40178</v>
      </c>
      <c r="F6122" s="566">
        <v>33727273</v>
      </c>
      <c r="G6122" s="564" t="s">
        <v>12080</v>
      </c>
      <c r="H6122" s="564" t="s">
        <v>12096</v>
      </c>
      <c r="I6122" s="564" t="s">
        <v>13254</v>
      </c>
      <c r="J6122" s="564" t="s">
        <v>1069</v>
      </c>
      <c r="K6122" s="564" t="s">
        <v>2466</v>
      </c>
      <c r="L6122" s="564" t="s">
        <v>2467</v>
      </c>
      <c r="M6122" s="564" t="s">
        <v>2466</v>
      </c>
      <c r="N6122" s="564" t="s">
        <v>1082</v>
      </c>
      <c r="O6122" s="564" t="s">
        <v>12077</v>
      </c>
      <c r="P6122" s="23"/>
      <c r="Q6122" s="23"/>
      <c r="R6122" s="23"/>
      <c r="S6122" s="23"/>
      <c r="T6122" s="23"/>
      <c r="U6122" s="23"/>
      <c r="V6122" s="23"/>
      <c r="W6122" s="23"/>
      <c r="X6122" s="23"/>
      <c r="Y6122" s="23"/>
      <c r="Z6122" s="23"/>
    </row>
    <row r="6123" spans="1:26" ht="13">
      <c r="A6123" s="562" t="s">
        <v>13255</v>
      </c>
      <c r="B6123" s="563" t="s">
        <v>13256</v>
      </c>
      <c r="C6123" s="564" t="s">
        <v>1612</v>
      </c>
      <c r="D6123" s="565">
        <v>39722</v>
      </c>
      <c r="E6123" s="565">
        <v>40086</v>
      </c>
      <c r="F6123" s="566">
        <v>23100000</v>
      </c>
      <c r="G6123" s="564" t="s">
        <v>1856</v>
      </c>
      <c r="H6123" s="564" t="s">
        <v>1856</v>
      </c>
      <c r="I6123" s="564" t="s">
        <v>70</v>
      </c>
      <c r="J6123" s="564" t="s">
        <v>1069</v>
      </c>
      <c r="K6123" s="564" t="s">
        <v>1120</v>
      </c>
      <c r="L6123" s="564" t="s">
        <v>1071</v>
      </c>
      <c r="M6123" s="564" t="s">
        <v>1091</v>
      </c>
      <c r="N6123" s="564" t="s">
        <v>70</v>
      </c>
      <c r="O6123" s="564" t="s">
        <v>241</v>
      </c>
      <c r="P6123" s="23"/>
      <c r="Q6123" s="23"/>
      <c r="R6123" s="23"/>
      <c r="S6123" s="23"/>
      <c r="T6123" s="23"/>
      <c r="U6123" s="23"/>
      <c r="V6123" s="23"/>
      <c r="W6123" s="23"/>
      <c r="X6123" s="23"/>
      <c r="Y6123" s="23"/>
      <c r="Z6123" s="23"/>
    </row>
    <row r="6124" spans="1:26" ht="13">
      <c r="A6124" s="562" t="s">
        <v>13257</v>
      </c>
      <c r="B6124" s="563" t="s">
        <v>13258</v>
      </c>
      <c r="C6124" s="564" t="s">
        <v>1612</v>
      </c>
      <c r="D6124" s="565">
        <v>39661</v>
      </c>
      <c r="E6124" s="565">
        <v>39721</v>
      </c>
      <c r="F6124" s="566">
        <v>6327272</v>
      </c>
      <c r="G6124" s="564" t="s">
        <v>1123</v>
      </c>
      <c r="H6124" s="564" t="s">
        <v>1912</v>
      </c>
      <c r="I6124" s="564" t="s">
        <v>7768</v>
      </c>
      <c r="J6124" s="564" t="s">
        <v>1069</v>
      </c>
      <c r="K6124" s="564" t="s">
        <v>1198</v>
      </c>
      <c r="L6124" s="564" t="s">
        <v>1071</v>
      </c>
      <c r="M6124" s="564" t="s">
        <v>1124</v>
      </c>
      <c r="N6124" s="564" t="s">
        <v>1073</v>
      </c>
      <c r="O6124" s="564" t="s">
        <v>38</v>
      </c>
      <c r="P6124" s="23"/>
      <c r="Q6124" s="23"/>
      <c r="R6124" s="23"/>
      <c r="S6124" s="23"/>
      <c r="T6124" s="23"/>
      <c r="U6124" s="23"/>
      <c r="V6124" s="23"/>
      <c r="W6124" s="23"/>
      <c r="X6124" s="23"/>
      <c r="Y6124" s="23"/>
      <c r="Z6124" s="23"/>
    </row>
    <row r="6125" spans="1:26" ht="13">
      <c r="A6125" s="562" t="s">
        <v>13259</v>
      </c>
      <c r="B6125" s="563" t="s">
        <v>13260</v>
      </c>
      <c r="C6125" s="564" t="s">
        <v>1612</v>
      </c>
      <c r="D6125" s="565">
        <v>39709</v>
      </c>
      <c r="E6125" s="565">
        <v>39799</v>
      </c>
      <c r="F6125" s="566">
        <v>96600000</v>
      </c>
      <c r="G6125" s="564" t="s">
        <v>1116</v>
      </c>
      <c r="H6125" s="564" t="s">
        <v>1128</v>
      </c>
      <c r="I6125" s="564" t="s">
        <v>10537</v>
      </c>
      <c r="J6125" s="564" t="s">
        <v>1069</v>
      </c>
      <c r="K6125" s="564" t="s">
        <v>1198</v>
      </c>
      <c r="L6125" s="564" t="s">
        <v>1390</v>
      </c>
      <c r="M6125" s="564" t="s">
        <v>1390</v>
      </c>
      <c r="N6125" s="564" t="s">
        <v>132</v>
      </c>
      <c r="O6125" s="564" t="s">
        <v>38</v>
      </c>
      <c r="P6125" s="23"/>
      <c r="Q6125" s="23"/>
      <c r="R6125" s="23"/>
      <c r="S6125" s="23"/>
      <c r="T6125" s="23"/>
      <c r="U6125" s="23"/>
      <c r="V6125" s="23"/>
      <c r="W6125" s="23"/>
      <c r="X6125" s="23"/>
      <c r="Y6125" s="23"/>
      <c r="Z6125" s="23"/>
    </row>
    <row r="6126" spans="1:26" ht="13">
      <c r="A6126" s="562" t="s">
        <v>13261</v>
      </c>
      <c r="B6126" s="563" t="s">
        <v>13262</v>
      </c>
      <c r="C6126" s="564" t="s">
        <v>2484</v>
      </c>
      <c r="D6126" s="565">
        <v>39650</v>
      </c>
      <c r="E6126" s="565">
        <v>39660</v>
      </c>
      <c r="F6126" s="566">
        <v>4545455</v>
      </c>
      <c r="G6126" s="564" t="s">
        <v>2464</v>
      </c>
      <c r="H6126" s="564" t="s">
        <v>2541</v>
      </c>
      <c r="I6126" s="564" t="s">
        <v>12150</v>
      </c>
      <c r="J6126" s="564" t="s">
        <v>1069</v>
      </c>
      <c r="K6126" s="564" t="s">
        <v>2466</v>
      </c>
      <c r="L6126" s="564" t="s">
        <v>2467</v>
      </c>
      <c r="M6126" s="564" t="s">
        <v>2466</v>
      </c>
      <c r="N6126" s="564" t="s">
        <v>1368</v>
      </c>
      <c r="O6126" s="564" t="s">
        <v>12077</v>
      </c>
      <c r="P6126" s="23"/>
      <c r="Q6126" s="23"/>
      <c r="R6126" s="23"/>
      <c r="S6126" s="23"/>
      <c r="T6126" s="23"/>
      <c r="U6126" s="23"/>
      <c r="V6126" s="23"/>
      <c r="W6126" s="23"/>
      <c r="X6126" s="23"/>
      <c r="Y6126" s="23"/>
      <c r="Z6126" s="23"/>
    </row>
    <row r="6127" spans="1:26" ht="13">
      <c r="A6127" s="562" t="s">
        <v>13263</v>
      </c>
      <c r="B6127" s="563" t="s">
        <v>13264</v>
      </c>
      <c r="C6127" s="564" t="s">
        <v>1612</v>
      </c>
      <c r="D6127" s="565">
        <v>39650</v>
      </c>
      <c r="E6127" s="565">
        <v>39661</v>
      </c>
      <c r="F6127" s="566">
        <v>10000000</v>
      </c>
      <c r="G6127" s="564" t="s">
        <v>297</v>
      </c>
      <c r="H6127" s="564" t="s">
        <v>297</v>
      </c>
      <c r="I6127" s="564" t="s">
        <v>45</v>
      </c>
      <c r="J6127" s="564" t="s">
        <v>1069</v>
      </c>
      <c r="K6127" s="564" t="s">
        <v>1090</v>
      </c>
      <c r="L6127" s="564" t="s">
        <v>1390</v>
      </c>
      <c r="M6127" s="564" t="s">
        <v>1390</v>
      </c>
      <c r="N6127" s="564" t="s">
        <v>45</v>
      </c>
      <c r="O6127" s="564" t="s">
        <v>38</v>
      </c>
      <c r="P6127" s="23"/>
      <c r="Q6127" s="23"/>
      <c r="R6127" s="23"/>
      <c r="S6127" s="23"/>
      <c r="T6127" s="23"/>
      <c r="U6127" s="23"/>
      <c r="V6127" s="23"/>
      <c r="W6127" s="23"/>
      <c r="X6127" s="23"/>
      <c r="Y6127" s="23"/>
      <c r="Z6127" s="23"/>
    </row>
    <row r="6128" spans="1:26" ht="13">
      <c r="A6128" s="562" t="s">
        <v>13265</v>
      </c>
      <c r="B6128" s="563" t="s">
        <v>13266</v>
      </c>
      <c r="C6128" s="564" t="s">
        <v>1255</v>
      </c>
      <c r="D6128" s="565">
        <v>39661</v>
      </c>
      <c r="E6128" s="565">
        <v>40755</v>
      </c>
      <c r="F6128" s="566">
        <v>283636395</v>
      </c>
      <c r="G6128" s="564" t="s">
        <v>1097</v>
      </c>
      <c r="H6128" s="564" t="s">
        <v>1123</v>
      </c>
      <c r="I6128" s="564" t="s">
        <v>141</v>
      </c>
      <c r="J6128" s="564" t="s">
        <v>1069</v>
      </c>
      <c r="K6128" s="564" t="s">
        <v>1205</v>
      </c>
      <c r="L6128" s="564" t="s">
        <v>1071</v>
      </c>
      <c r="M6128" s="564" t="s">
        <v>1091</v>
      </c>
      <c r="N6128" s="564" t="s">
        <v>1073</v>
      </c>
      <c r="O6128" s="564" t="s">
        <v>241</v>
      </c>
      <c r="P6128" s="23"/>
      <c r="Q6128" s="23"/>
      <c r="R6128" s="23"/>
      <c r="S6128" s="23"/>
      <c r="T6128" s="23"/>
      <c r="U6128" s="23"/>
      <c r="V6128" s="23"/>
      <c r="W6128" s="23"/>
      <c r="X6128" s="23"/>
      <c r="Y6128" s="23"/>
      <c r="Z6128" s="23"/>
    </row>
    <row r="6129" spans="1:26" ht="13">
      <c r="A6129" s="562" t="s">
        <v>13267</v>
      </c>
      <c r="B6129" s="563" t="s">
        <v>13268</v>
      </c>
      <c r="C6129" s="564" t="s">
        <v>1612</v>
      </c>
      <c r="D6129" s="565">
        <v>39637</v>
      </c>
      <c r="E6129" s="565">
        <v>39691</v>
      </c>
      <c r="F6129" s="566">
        <v>10909000</v>
      </c>
      <c r="G6129" s="564" t="s">
        <v>1912</v>
      </c>
      <c r="H6129" s="564" t="s">
        <v>1604</v>
      </c>
      <c r="I6129" s="564" t="s">
        <v>802</v>
      </c>
      <c r="J6129" s="564" t="s">
        <v>1069</v>
      </c>
      <c r="K6129" s="564" t="s">
        <v>1198</v>
      </c>
      <c r="L6129" s="564" t="s">
        <v>1071</v>
      </c>
      <c r="M6129" s="564" t="s">
        <v>1124</v>
      </c>
      <c r="N6129" s="564" t="s">
        <v>132</v>
      </c>
      <c r="O6129" s="564" t="s">
        <v>38</v>
      </c>
      <c r="P6129" s="23"/>
      <c r="Q6129" s="23"/>
      <c r="R6129" s="23"/>
      <c r="S6129" s="23"/>
      <c r="T6129" s="23"/>
      <c r="U6129" s="23"/>
      <c r="V6129" s="23"/>
      <c r="W6129" s="23"/>
      <c r="X6129" s="23"/>
      <c r="Y6129" s="23"/>
      <c r="Z6129" s="23"/>
    </row>
    <row r="6130" spans="1:26" ht="13">
      <c r="A6130" s="562" t="s">
        <v>13269</v>
      </c>
      <c r="B6130" s="563" t="s">
        <v>13270</v>
      </c>
      <c r="C6130" s="564" t="s">
        <v>2191</v>
      </c>
      <c r="D6130" s="565">
        <v>39600</v>
      </c>
      <c r="E6130" s="565">
        <v>39964</v>
      </c>
      <c r="F6130" s="566">
        <v>13600000</v>
      </c>
      <c r="G6130" s="564" t="s">
        <v>1912</v>
      </c>
      <c r="H6130" s="564" t="s">
        <v>1912</v>
      </c>
      <c r="I6130" s="564" t="s">
        <v>8659</v>
      </c>
      <c r="J6130" s="564" t="s">
        <v>1069</v>
      </c>
      <c r="K6130" s="564" t="s">
        <v>1205</v>
      </c>
      <c r="L6130" s="564" t="s">
        <v>1071</v>
      </c>
      <c r="M6130" s="564" t="s">
        <v>1091</v>
      </c>
      <c r="N6130" s="564" t="s">
        <v>1073</v>
      </c>
      <c r="O6130" s="564" t="s">
        <v>241</v>
      </c>
      <c r="P6130" s="23"/>
      <c r="Q6130" s="23"/>
      <c r="R6130" s="23"/>
      <c r="S6130" s="23"/>
      <c r="T6130" s="23"/>
      <c r="U6130" s="23"/>
      <c r="V6130" s="23"/>
      <c r="W6130" s="23"/>
      <c r="X6130" s="23"/>
      <c r="Y6130" s="23"/>
      <c r="Z6130" s="23"/>
    </row>
    <row r="6131" spans="1:26" ht="13">
      <c r="A6131" s="562" t="s">
        <v>13271</v>
      </c>
      <c r="B6131" s="563" t="s">
        <v>13272</v>
      </c>
      <c r="C6131" s="564" t="s">
        <v>1255</v>
      </c>
      <c r="D6131" s="565">
        <v>39655</v>
      </c>
      <c r="E6131" s="565">
        <v>40019</v>
      </c>
      <c r="F6131" s="566">
        <v>81800000</v>
      </c>
      <c r="G6131" s="564" t="s">
        <v>1067</v>
      </c>
      <c r="H6131" s="564" t="s">
        <v>1912</v>
      </c>
      <c r="I6131" s="564" t="s">
        <v>143</v>
      </c>
      <c r="J6131" s="564" t="s">
        <v>1069</v>
      </c>
      <c r="K6131" s="564" t="s">
        <v>1205</v>
      </c>
      <c r="L6131" s="564" t="s">
        <v>1071</v>
      </c>
      <c r="M6131" s="564" t="s">
        <v>1091</v>
      </c>
      <c r="N6131" s="564" t="s">
        <v>1073</v>
      </c>
      <c r="O6131" s="564" t="s">
        <v>241</v>
      </c>
      <c r="P6131" s="23"/>
      <c r="Q6131" s="23"/>
      <c r="R6131" s="23"/>
      <c r="S6131" s="23"/>
      <c r="T6131" s="23"/>
      <c r="U6131" s="23"/>
      <c r="V6131" s="23"/>
      <c r="W6131" s="23"/>
      <c r="X6131" s="23"/>
      <c r="Y6131" s="23"/>
      <c r="Z6131" s="23"/>
    </row>
    <row r="6132" spans="1:26" ht="13">
      <c r="A6132" s="562" t="s">
        <v>13273</v>
      </c>
      <c r="B6132" s="563" t="s">
        <v>13274</v>
      </c>
      <c r="C6132" s="564" t="s">
        <v>1612</v>
      </c>
      <c r="D6132" s="565">
        <v>39652</v>
      </c>
      <c r="E6132" s="565">
        <v>39753</v>
      </c>
      <c r="F6132" s="566">
        <v>429638560</v>
      </c>
      <c r="G6132" s="564" t="s">
        <v>10823</v>
      </c>
      <c r="H6132" s="564" t="s">
        <v>1640</v>
      </c>
      <c r="I6132" s="564" t="s">
        <v>45</v>
      </c>
      <c r="J6132" s="564" t="s">
        <v>1069</v>
      </c>
      <c r="K6132" s="564" t="s">
        <v>1090</v>
      </c>
      <c r="L6132" s="564" t="s">
        <v>1390</v>
      </c>
      <c r="M6132" s="564" t="s">
        <v>1390</v>
      </c>
      <c r="N6132" s="564" t="s">
        <v>45</v>
      </c>
      <c r="O6132" s="564" t="s">
        <v>38</v>
      </c>
      <c r="P6132" s="23"/>
      <c r="Q6132" s="23"/>
      <c r="R6132" s="23"/>
      <c r="S6132" s="23"/>
      <c r="T6132" s="23"/>
      <c r="U6132" s="23"/>
      <c r="V6132" s="23"/>
      <c r="W6132" s="23"/>
      <c r="X6132" s="23"/>
      <c r="Y6132" s="23"/>
      <c r="Z6132" s="23"/>
    </row>
    <row r="6133" spans="1:26" ht="13">
      <c r="A6133" s="562" t="s">
        <v>13275</v>
      </c>
      <c r="B6133" s="563" t="s">
        <v>13276</v>
      </c>
      <c r="C6133" s="564" t="s">
        <v>1612</v>
      </c>
      <c r="D6133" s="565">
        <v>39601</v>
      </c>
      <c r="E6133" s="565">
        <v>40021</v>
      </c>
      <c r="F6133" s="566">
        <v>512517000</v>
      </c>
      <c r="G6133" s="564" t="s">
        <v>1729</v>
      </c>
      <c r="H6133" s="564" t="s">
        <v>1128</v>
      </c>
      <c r="I6133" s="564" t="s">
        <v>45</v>
      </c>
      <c r="J6133" s="564" t="s">
        <v>1069</v>
      </c>
      <c r="K6133" s="564" t="s">
        <v>1090</v>
      </c>
      <c r="L6133" s="564" t="s">
        <v>1390</v>
      </c>
      <c r="M6133" s="564" t="s">
        <v>1390</v>
      </c>
      <c r="N6133" s="564" t="s">
        <v>45</v>
      </c>
      <c r="O6133" s="564" t="s">
        <v>38</v>
      </c>
      <c r="P6133" s="23"/>
      <c r="Q6133" s="23"/>
      <c r="R6133" s="23"/>
      <c r="S6133" s="23"/>
      <c r="T6133" s="23"/>
      <c r="U6133" s="23"/>
      <c r="V6133" s="23"/>
      <c r="W6133" s="23"/>
      <c r="X6133" s="23"/>
      <c r="Y6133" s="23"/>
      <c r="Z6133" s="23"/>
    </row>
    <row r="6134" spans="1:26" ht="13">
      <c r="A6134" s="562" t="s">
        <v>13277</v>
      </c>
      <c r="B6134" s="563" t="s">
        <v>13278</v>
      </c>
      <c r="C6134" s="564" t="s">
        <v>1612</v>
      </c>
      <c r="D6134" s="565">
        <v>39630</v>
      </c>
      <c r="E6134" s="565">
        <v>39721</v>
      </c>
      <c r="F6134" s="566">
        <v>468513760</v>
      </c>
      <c r="G6134" s="564" t="s">
        <v>1729</v>
      </c>
      <c r="H6134" s="564" t="s">
        <v>1856</v>
      </c>
      <c r="I6134" s="564" t="s">
        <v>45</v>
      </c>
      <c r="J6134" s="564" t="s">
        <v>1069</v>
      </c>
      <c r="K6134" s="564" t="s">
        <v>1090</v>
      </c>
      <c r="L6134" s="564" t="s">
        <v>1390</v>
      </c>
      <c r="M6134" s="564" t="s">
        <v>1390</v>
      </c>
      <c r="N6134" s="564" t="s">
        <v>45</v>
      </c>
      <c r="O6134" s="564" t="s">
        <v>38</v>
      </c>
      <c r="P6134" s="23"/>
      <c r="Q6134" s="23"/>
      <c r="R6134" s="23"/>
      <c r="S6134" s="23"/>
      <c r="T6134" s="23"/>
      <c r="U6134" s="23"/>
      <c r="V6134" s="23"/>
      <c r="W6134" s="23"/>
      <c r="X6134" s="23"/>
      <c r="Y6134" s="23"/>
      <c r="Z6134" s="23"/>
    </row>
    <row r="6135" spans="1:26" ht="13">
      <c r="A6135" s="562" t="s">
        <v>13279</v>
      </c>
      <c r="B6135" s="563" t="s">
        <v>13280</v>
      </c>
      <c r="C6135" s="564" t="s">
        <v>1612</v>
      </c>
      <c r="D6135" s="565">
        <v>39594</v>
      </c>
      <c r="E6135" s="565">
        <v>39654</v>
      </c>
      <c r="F6135" s="566">
        <v>20000000</v>
      </c>
      <c r="G6135" s="564" t="s">
        <v>2458</v>
      </c>
      <c r="H6135" s="564" t="s">
        <v>1856</v>
      </c>
      <c r="I6135" s="564" t="s">
        <v>70</v>
      </c>
      <c r="J6135" s="564" t="s">
        <v>1069</v>
      </c>
      <c r="K6135" s="564" t="s">
        <v>1120</v>
      </c>
      <c r="L6135" s="564" t="s">
        <v>1390</v>
      </c>
      <c r="M6135" s="564" t="s">
        <v>1390</v>
      </c>
      <c r="N6135" s="564" t="s">
        <v>70</v>
      </c>
      <c r="O6135" s="564" t="s">
        <v>38</v>
      </c>
      <c r="P6135" s="23"/>
      <c r="Q6135" s="23"/>
      <c r="R6135" s="23"/>
      <c r="S6135" s="23"/>
      <c r="T6135" s="23"/>
      <c r="U6135" s="23"/>
      <c r="V6135" s="23"/>
      <c r="W6135" s="23"/>
      <c r="X6135" s="23"/>
      <c r="Y6135" s="23"/>
      <c r="Z6135" s="23"/>
    </row>
    <row r="6136" spans="1:26" ht="13">
      <c r="A6136" s="562" t="s">
        <v>13281</v>
      </c>
      <c r="B6136" s="563" t="s">
        <v>13282</v>
      </c>
      <c r="C6136" s="564" t="s">
        <v>1612</v>
      </c>
      <c r="D6136" s="565">
        <v>39539</v>
      </c>
      <c r="E6136" s="565">
        <v>39903</v>
      </c>
      <c r="F6136" s="566">
        <v>46000000</v>
      </c>
      <c r="G6136" s="564" t="s">
        <v>2458</v>
      </c>
      <c r="H6136" s="564" t="s">
        <v>1856</v>
      </c>
      <c r="I6136" s="564" t="s">
        <v>70</v>
      </c>
      <c r="J6136" s="564" t="s">
        <v>1069</v>
      </c>
      <c r="K6136" s="564" t="s">
        <v>1120</v>
      </c>
      <c r="L6136" s="564" t="s">
        <v>1071</v>
      </c>
      <c r="M6136" s="564" t="s">
        <v>1091</v>
      </c>
      <c r="N6136" s="564" t="s">
        <v>70</v>
      </c>
      <c r="O6136" s="564" t="s">
        <v>241</v>
      </c>
      <c r="P6136" s="23"/>
      <c r="Q6136" s="23"/>
      <c r="R6136" s="23"/>
      <c r="S6136" s="23"/>
      <c r="T6136" s="23"/>
      <c r="U6136" s="23"/>
      <c r="V6136" s="23"/>
      <c r="W6136" s="23"/>
      <c r="X6136" s="23"/>
      <c r="Y6136" s="23"/>
      <c r="Z6136" s="23"/>
    </row>
    <row r="6137" spans="1:26" ht="13">
      <c r="A6137" s="562" t="s">
        <v>13283</v>
      </c>
      <c r="B6137" s="563" t="s">
        <v>13284</v>
      </c>
      <c r="C6137" s="564" t="s">
        <v>1612</v>
      </c>
      <c r="D6137" s="565">
        <v>39581</v>
      </c>
      <c r="E6137" s="565">
        <v>39643</v>
      </c>
      <c r="F6137" s="566">
        <v>20000000</v>
      </c>
      <c r="G6137" s="564" t="s">
        <v>2458</v>
      </c>
      <c r="H6137" s="564" t="s">
        <v>1856</v>
      </c>
      <c r="I6137" s="564" t="s">
        <v>12251</v>
      </c>
      <c r="J6137" s="564" t="s">
        <v>1069</v>
      </c>
      <c r="K6137" s="564" t="s">
        <v>1120</v>
      </c>
      <c r="L6137" s="564" t="s">
        <v>1071</v>
      </c>
      <c r="M6137" s="564" t="s">
        <v>1091</v>
      </c>
      <c r="N6137" s="564" t="s">
        <v>1073</v>
      </c>
      <c r="O6137" s="564" t="s">
        <v>241</v>
      </c>
      <c r="P6137" s="23"/>
      <c r="Q6137" s="23"/>
      <c r="R6137" s="23"/>
      <c r="S6137" s="23"/>
      <c r="T6137" s="23"/>
      <c r="U6137" s="23"/>
      <c r="V6137" s="23"/>
      <c r="W6137" s="23"/>
      <c r="X6137" s="23"/>
      <c r="Y6137" s="23"/>
      <c r="Z6137" s="23"/>
    </row>
    <row r="6138" spans="1:26" ht="13">
      <c r="A6138" s="562" t="s">
        <v>13285</v>
      </c>
      <c r="B6138" s="563" t="s">
        <v>13286</v>
      </c>
      <c r="C6138" s="564" t="s">
        <v>1255</v>
      </c>
      <c r="D6138" s="565">
        <v>39569</v>
      </c>
      <c r="E6138" s="565">
        <v>39933</v>
      </c>
      <c r="F6138" s="566">
        <v>38045455</v>
      </c>
      <c r="G6138" s="564" t="s">
        <v>1912</v>
      </c>
      <c r="H6138" s="564" t="s">
        <v>1912</v>
      </c>
      <c r="I6138" s="564" t="s">
        <v>8659</v>
      </c>
      <c r="J6138" s="564" t="s">
        <v>1069</v>
      </c>
      <c r="K6138" s="564" t="s">
        <v>1205</v>
      </c>
      <c r="L6138" s="564" t="s">
        <v>1071</v>
      </c>
      <c r="M6138" s="564" t="s">
        <v>1091</v>
      </c>
      <c r="N6138" s="564" t="s">
        <v>1073</v>
      </c>
      <c r="O6138" s="564" t="s">
        <v>241</v>
      </c>
      <c r="P6138" s="23"/>
      <c r="Q6138" s="23"/>
      <c r="R6138" s="23"/>
      <c r="S6138" s="23"/>
      <c r="T6138" s="23"/>
      <c r="U6138" s="23"/>
      <c r="V6138" s="23"/>
      <c r="W6138" s="23"/>
      <c r="X6138" s="23"/>
      <c r="Y6138" s="23"/>
      <c r="Z6138" s="23"/>
    </row>
    <row r="6139" spans="1:26" ht="13">
      <c r="A6139" s="562" t="s">
        <v>13287</v>
      </c>
      <c r="B6139" s="563" t="s">
        <v>13288</v>
      </c>
      <c r="C6139" s="564" t="s">
        <v>1612</v>
      </c>
      <c r="D6139" s="565">
        <v>39539</v>
      </c>
      <c r="E6139" s="565">
        <v>39697</v>
      </c>
      <c r="F6139" s="566">
        <v>251000000</v>
      </c>
      <c r="G6139" s="564" t="s">
        <v>2458</v>
      </c>
      <c r="H6139" s="564" t="s">
        <v>1856</v>
      </c>
      <c r="I6139" s="564" t="s">
        <v>45</v>
      </c>
      <c r="J6139" s="564" t="s">
        <v>1069</v>
      </c>
      <c r="K6139" s="564" t="s">
        <v>1090</v>
      </c>
      <c r="L6139" s="564" t="s">
        <v>1390</v>
      </c>
      <c r="M6139" s="564" t="s">
        <v>1390</v>
      </c>
      <c r="N6139" s="564" t="s">
        <v>45</v>
      </c>
      <c r="O6139" s="564" t="s">
        <v>38</v>
      </c>
      <c r="P6139" s="23"/>
      <c r="Q6139" s="23"/>
      <c r="R6139" s="23"/>
      <c r="S6139" s="23"/>
      <c r="T6139" s="23"/>
      <c r="U6139" s="23"/>
      <c r="V6139" s="23"/>
      <c r="W6139" s="23"/>
      <c r="X6139" s="23"/>
      <c r="Y6139" s="23"/>
      <c r="Z6139" s="23"/>
    </row>
    <row r="6140" spans="1:26" ht="13">
      <c r="A6140" s="562" t="s">
        <v>13289</v>
      </c>
      <c r="B6140" s="563" t="s">
        <v>13290</v>
      </c>
      <c r="C6140" s="564" t="s">
        <v>1255</v>
      </c>
      <c r="D6140" s="565">
        <v>39539</v>
      </c>
      <c r="E6140" s="565">
        <v>39903</v>
      </c>
      <c r="F6140" s="566">
        <v>349090910</v>
      </c>
      <c r="G6140" s="564" t="s">
        <v>1912</v>
      </c>
      <c r="H6140" s="564" t="s">
        <v>1912</v>
      </c>
      <c r="I6140" s="564" t="s">
        <v>8659</v>
      </c>
      <c r="J6140" s="564" t="s">
        <v>1069</v>
      </c>
      <c r="K6140" s="564" t="s">
        <v>1205</v>
      </c>
      <c r="L6140" s="564" t="s">
        <v>1071</v>
      </c>
      <c r="M6140" s="564" t="s">
        <v>1091</v>
      </c>
      <c r="N6140" s="564" t="s">
        <v>1073</v>
      </c>
      <c r="O6140" s="564" t="s">
        <v>241</v>
      </c>
      <c r="P6140" s="23"/>
      <c r="Q6140" s="23"/>
      <c r="R6140" s="23"/>
      <c r="S6140" s="23"/>
      <c r="T6140" s="23"/>
      <c r="U6140" s="23"/>
      <c r="V6140" s="23"/>
      <c r="W6140" s="23"/>
      <c r="X6140" s="23"/>
      <c r="Y6140" s="23"/>
      <c r="Z6140" s="23"/>
    </row>
    <row r="6141" spans="1:26" ht="13">
      <c r="A6141" s="562" t="s">
        <v>13291</v>
      </c>
      <c r="B6141" s="563" t="s">
        <v>13292</v>
      </c>
      <c r="C6141" s="564" t="s">
        <v>1612</v>
      </c>
      <c r="D6141" s="565">
        <v>39539</v>
      </c>
      <c r="E6141" s="565">
        <v>39903</v>
      </c>
      <c r="F6141" s="566">
        <v>16800000</v>
      </c>
      <c r="G6141" s="564" t="s">
        <v>1912</v>
      </c>
      <c r="H6141" s="564" t="s">
        <v>1912</v>
      </c>
      <c r="I6141" s="564" t="s">
        <v>2041</v>
      </c>
      <c r="J6141" s="564" t="s">
        <v>1069</v>
      </c>
      <c r="K6141" s="564" t="s">
        <v>1105</v>
      </c>
      <c r="L6141" s="564" t="s">
        <v>1071</v>
      </c>
      <c r="M6141" s="564" t="s">
        <v>1091</v>
      </c>
      <c r="N6141" s="564" t="s">
        <v>1073</v>
      </c>
      <c r="O6141" s="564" t="s">
        <v>241</v>
      </c>
      <c r="P6141" s="23"/>
      <c r="Q6141" s="23"/>
      <c r="R6141" s="23"/>
      <c r="S6141" s="23"/>
      <c r="T6141" s="23"/>
      <c r="U6141" s="23"/>
      <c r="V6141" s="23"/>
      <c r="W6141" s="23"/>
      <c r="X6141" s="23"/>
      <c r="Y6141" s="23"/>
      <c r="Z6141" s="23"/>
    </row>
    <row r="6142" spans="1:26" ht="13">
      <c r="A6142" s="562" t="s">
        <v>13293</v>
      </c>
      <c r="B6142" s="563" t="s">
        <v>13294</v>
      </c>
      <c r="C6142" s="564" t="s">
        <v>1612</v>
      </c>
      <c r="D6142" s="565">
        <v>39539</v>
      </c>
      <c r="E6142" s="565">
        <v>39782</v>
      </c>
      <c r="F6142" s="566">
        <v>45500000</v>
      </c>
      <c r="G6142" s="564" t="s">
        <v>2458</v>
      </c>
      <c r="H6142" s="564" t="s">
        <v>1856</v>
      </c>
      <c r="I6142" s="564" t="s">
        <v>45</v>
      </c>
      <c r="J6142" s="564" t="s">
        <v>1069</v>
      </c>
      <c r="K6142" s="564" t="s">
        <v>1090</v>
      </c>
      <c r="L6142" s="564" t="s">
        <v>1390</v>
      </c>
      <c r="M6142" s="564" t="s">
        <v>1390</v>
      </c>
      <c r="N6142" s="564" t="s">
        <v>45</v>
      </c>
      <c r="O6142" s="564" t="s">
        <v>38</v>
      </c>
      <c r="P6142" s="23"/>
      <c r="Q6142" s="23"/>
      <c r="R6142" s="23"/>
      <c r="S6142" s="23"/>
      <c r="T6142" s="23"/>
      <c r="U6142" s="23"/>
      <c r="V6142" s="23"/>
      <c r="W6142" s="23"/>
      <c r="X6142" s="23"/>
      <c r="Y6142" s="23"/>
      <c r="Z6142" s="23"/>
    </row>
    <row r="6143" spans="1:26" ht="13">
      <c r="A6143" s="562" t="s">
        <v>13295</v>
      </c>
      <c r="B6143" s="563" t="s">
        <v>13296</v>
      </c>
      <c r="C6143" s="564" t="s">
        <v>1612</v>
      </c>
      <c r="D6143" s="565">
        <v>39508</v>
      </c>
      <c r="E6143" s="565">
        <v>39872</v>
      </c>
      <c r="F6143" s="566">
        <v>16800000</v>
      </c>
      <c r="G6143" s="564" t="s">
        <v>2458</v>
      </c>
      <c r="H6143" s="564" t="s">
        <v>297</v>
      </c>
      <c r="I6143" s="564" t="s">
        <v>802</v>
      </c>
      <c r="J6143" s="564" t="s">
        <v>1069</v>
      </c>
      <c r="K6143" s="564" t="s">
        <v>1198</v>
      </c>
      <c r="L6143" s="564" t="s">
        <v>1071</v>
      </c>
      <c r="M6143" s="564" t="s">
        <v>1091</v>
      </c>
      <c r="N6143" s="564" t="s">
        <v>132</v>
      </c>
      <c r="O6143" s="564" t="s">
        <v>241</v>
      </c>
      <c r="P6143" s="23"/>
      <c r="Q6143" s="23"/>
      <c r="R6143" s="23"/>
      <c r="S6143" s="23"/>
      <c r="T6143" s="23"/>
      <c r="U6143" s="23"/>
      <c r="V6143" s="23"/>
      <c r="W6143" s="23"/>
      <c r="X6143" s="23"/>
      <c r="Y6143" s="23"/>
      <c r="Z6143" s="23"/>
    </row>
    <row r="6144" spans="1:26" ht="13">
      <c r="A6144" s="562" t="s">
        <v>13297</v>
      </c>
      <c r="B6144" s="563" t="s">
        <v>13298</v>
      </c>
      <c r="C6144" s="564" t="s">
        <v>1612</v>
      </c>
      <c r="D6144" s="565">
        <v>39539</v>
      </c>
      <c r="E6144" s="565">
        <v>39903</v>
      </c>
      <c r="F6144" s="566">
        <v>15000000</v>
      </c>
      <c r="G6144" s="564" t="s">
        <v>2458</v>
      </c>
      <c r="H6144" s="564" t="s">
        <v>297</v>
      </c>
      <c r="I6144" s="564" t="s">
        <v>13299</v>
      </c>
      <c r="J6144" s="564" t="s">
        <v>1069</v>
      </c>
      <c r="K6144" s="564" t="s">
        <v>1070</v>
      </c>
      <c r="L6144" s="564" t="s">
        <v>1071</v>
      </c>
      <c r="M6144" s="564" t="s">
        <v>1091</v>
      </c>
      <c r="N6144" s="564" t="s">
        <v>1073</v>
      </c>
      <c r="O6144" s="564" t="s">
        <v>241</v>
      </c>
      <c r="P6144" s="23"/>
      <c r="Q6144" s="23"/>
      <c r="R6144" s="23"/>
      <c r="S6144" s="23"/>
      <c r="T6144" s="23"/>
      <c r="U6144" s="23"/>
      <c r="V6144" s="23"/>
      <c r="W6144" s="23"/>
      <c r="X6144" s="23"/>
      <c r="Y6144" s="23"/>
      <c r="Z6144" s="23"/>
    </row>
    <row r="6145" spans="1:26" ht="13">
      <c r="A6145" s="562" t="s">
        <v>13300</v>
      </c>
      <c r="B6145" s="563" t="s">
        <v>13301</v>
      </c>
      <c r="C6145" s="564" t="s">
        <v>2191</v>
      </c>
      <c r="D6145" s="565">
        <v>39479</v>
      </c>
      <c r="E6145" s="565">
        <v>39527</v>
      </c>
      <c r="F6145" s="566">
        <v>7545000</v>
      </c>
      <c r="G6145" s="564" t="s">
        <v>297</v>
      </c>
      <c r="H6145" s="564" t="s">
        <v>297</v>
      </c>
      <c r="I6145" s="564" t="s">
        <v>802</v>
      </c>
      <c r="J6145" s="564" t="s">
        <v>1069</v>
      </c>
      <c r="K6145" s="564" t="s">
        <v>1198</v>
      </c>
      <c r="L6145" s="564" t="s">
        <v>1390</v>
      </c>
      <c r="M6145" s="564" t="s">
        <v>1390</v>
      </c>
      <c r="N6145" s="564" t="s">
        <v>132</v>
      </c>
      <c r="O6145" s="564" t="s">
        <v>38</v>
      </c>
      <c r="P6145" s="23"/>
      <c r="Q6145" s="23"/>
      <c r="R6145" s="23"/>
      <c r="S6145" s="23"/>
      <c r="T6145" s="23"/>
      <c r="U6145" s="23"/>
      <c r="V6145" s="23"/>
      <c r="W6145" s="23"/>
      <c r="X6145" s="23"/>
      <c r="Y6145" s="23"/>
      <c r="Z6145" s="23"/>
    </row>
    <row r="6146" spans="1:26" ht="13">
      <c r="A6146" s="562" t="s">
        <v>13302</v>
      </c>
      <c r="B6146" s="563" t="s">
        <v>13303</v>
      </c>
      <c r="C6146" s="564" t="s">
        <v>2191</v>
      </c>
      <c r="D6146" s="565">
        <v>39517</v>
      </c>
      <c r="E6146" s="565">
        <v>39881</v>
      </c>
      <c r="F6146" s="566">
        <v>238143600</v>
      </c>
      <c r="G6146" s="564" t="s">
        <v>2458</v>
      </c>
      <c r="H6146" s="564" t="s">
        <v>297</v>
      </c>
      <c r="I6146" s="564" t="s">
        <v>7259</v>
      </c>
      <c r="J6146" s="564" t="s">
        <v>1069</v>
      </c>
      <c r="K6146" s="564" t="s">
        <v>1070</v>
      </c>
      <c r="L6146" s="564" t="s">
        <v>1071</v>
      </c>
      <c r="M6146" s="564" t="s">
        <v>1091</v>
      </c>
      <c r="N6146" s="564" t="s">
        <v>1082</v>
      </c>
      <c r="O6146" s="564" t="s">
        <v>241</v>
      </c>
      <c r="P6146" s="23"/>
      <c r="Q6146" s="23"/>
      <c r="R6146" s="23"/>
      <c r="S6146" s="23"/>
      <c r="T6146" s="23"/>
      <c r="U6146" s="23"/>
      <c r="V6146" s="23"/>
      <c r="W6146" s="23"/>
      <c r="X6146" s="23"/>
      <c r="Y6146" s="23"/>
      <c r="Z6146" s="23"/>
    </row>
    <row r="6147" spans="1:26" ht="13">
      <c r="A6147" s="562" t="s">
        <v>13304</v>
      </c>
      <c r="B6147" s="563" t="s">
        <v>13305</v>
      </c>
      <c r="C6147" s="564" t="s">
        <v>1612</v>
      </c>
      <c r="D6147" s="565">
        <v>39517</v>
      </c>
      <c r="E6147" s="565">
        <v>39597</v>
      </c>
      <c r="F6147" s="566">
        <v>51000000</v>
      </c>
      <c r="G6147" s="564" t="s">
        <v>2508</v>
      </c>
      <c r="H6147" s="564" t="s">
        <v>1128</v>
      </c>
      <c r="I6147" s="564" t="s">
        <v>1068</v>
      </c>
      <c r="J6147" s="564" t="s">
        <v>1069</v>
      </c>
      <c r="K6147" s="564" t="s">
        <v>1070</v>
      </c>
      <c r="L6147" s="564" t="s">
        <v>1390</v>
      </c>
      <c r="M6147" s="564" t="s">
        <v>1390</v>
      </c>
      <c r="N6147" s="564" t="s">
        <v>1073</v>
      </c>
      <c r="O6147" s="564" t="s">
        <v>38</v>
      </c>
      <c r="P6147" s="23"/>
      <c r="Q6147" s="23"/>
      <c r="R6147" s="23"/>
      <c r="S6147" s="23"/>
      <c r="T6147" s="23"/>
      <c r="U6147" s="23"/>
      <c r="V6147" s="23"/>
      <c r="W6147" s="23"/>
      <c r="X6147" s="23"/>
      <c r="Y6147" s="23"/>
      <c r="Z6147" s="23"/>
    </row>
    <row r="6148" spans="1:26" ht="13">
      <c r="A6148" s="562" t="s">
        <v>13306</v>
      </c>
      <c r="B6148" s="563" t="s">
        <v>13307</v>
      </c>
      <c r="C6148" s="564" t="s">
        <v>1612</v>
      </c>
      <c r="D6148" s="565">
        <v>39462</v>
      </c>
      <c r="E6148" s="565">
        <v>39552</v>
      </c>
      <c r="F6148" s="566">
        <v>22000000</v>
      </c>
      <c r="G6148" s="564" t="s">
        <v>1856</v>
      </c>
      <c r="H6148" s="564" t="s">
        <v>1856</v>
      </c>
      <c r="I6148" s="564" t="s">
        <v>45</v>
      </c>
      <c r="J6148" s="564" t="s">
        <v>1069</v>
      </c>
      <c r="K6148" s="564" t="s">
        <v>1090</v>
      </c>
      <c r="L6148" s="564" t="s">
        <v>1390</v>
      </c>
      <c r="M6148" s="564" t="s">
        <v>1390</v>
      </c>
      <c r="N6148" s="564" t="s">
        <v>45</v>
      </c>
      <c r="O6148" s="564" t="s">
        <v>38</v>
      </c>
      <c r="P6148" s="23"/>
      <c r="Q6148" s="23"/>
      <c r="R6148" s="23"/>
      <c r="S6148" s="23"/>
      <c r="T6148" s="23"/>
      <c r="U6148" s="23"/>
      <c r="V6148" s="23"/>
      <c r="W6148" s="23"/>
      <c r="X6148" s="23"/>
      <c r="Y6148" s="23"/>
      <c r="Z6148" s="23"/>
    </row>
    <row r="6149" spans="1:26" ht="13">
      <c r="A6149" s="562" t="s">
        <v>13308</v>
      </c>
      <c r="B6149" s="563" t="s">
        <v>13309</v>
      </c>
      <c r="C6149" s="564" t="s">
        <v>1612</v>
      </c>
      <c r="D6149" s="565">
        <v>39508</v>
      </c>
      <c r="E6149" s="565">
        <v>39538</v>
      </c>
      <c r="F6149" s="566">
        <v>14600000</v>
      </c>
      <c r="G6149" s="564" t="s">
        <v>1856</v>
      </c>
      <c r="H6149" s="564" t="s">
        <v>1856</v>
      </c>
      <c r="I6149" s="564" t="s">
        <v>45</v>
      </c>
      <c r="J6149" s="564" t="s">
        <v>1069</v>
      </c>
      <c r="K6149" s="564" t="s">
        <v>1090</v>
      </c>
      <c r="L6149" s="564" t="s">
        <v>1390</v>
      </c>
      <c r="M6149" s="564" t="s">
        <v>1390</v>
      </c>
      <c r="N6149" s="564" t="s">
        <v>45</v>
      </c>
      <c r="O6149" s="564" t="s">
        <v>38</v>
      </c>
      <c r="P6149" s="23"/>
      <c r="Q6149" s="23"/>
      <c r="R6149" s="23"/>
      <c r="S6149" s="23"/>
      <c r="T6149" s="23"/>
      <c r="U6149" s="23"/>
      <c r="V6149" s="23"/>
      <c r="W6149" s="23"/>
      <c r="X6149" s="23"/>
      <c r="Y6149" s="23"/>
      <c r="Z6149" s="23"/>
    </row>
    <row r="6150" spans="1:26" ht="13">
      <c r="A6150" s="562" t="s">
        <v>13310</v>
      </c>
      <c r="B6150" s="563" t="s">
        <v>13311</v>
      </c>
      <c r="C6150" s="564" t="s">
        <v>6860</v>
      </c>
      <c r="D6150" s="565">
        <v>39452</v>
      </c>
      <c r="E6150" s="565">
        <v>39817</v>
      </c>
      <c r="F6150" s="566">
        <v>110727272</v>
      </c>
      <c r="G6150" s="564" t="s">
        <v>2458</v>
      </c>
      <c r="H6150" s="564" t="s">
        <v>1128</v>
      </c>
      <c r="I6150" s="564" t="s">
        <v>13312</v>
      </c>
      <c r="J6150" s="564" t="s">
        <v>1069</v>
      </c>
      <c r="K6150" s="564" t="s">
        <v>1198</v>
      </c>
      <c r="L6150" s="564" t="s">
        <v>1071</v>
      </c>
      <c r="M6150" s="564" t="s">
        <v>1091</v>
      </c>
      <c r="N6150" s="564" t="s">
        <v>1368</v>
      </c>
      <c r="O6150" s="564" t="s">
        <v>241</v>
      </c>
      <c r="P6150" s="23"/>
      <c r="Q6150" s="23"/>
      <c r="R6150" s="23"/>
      <c r="S6150" s="23"/>
      <c r="T6150" s="23"/>
      <c r="U6150" s="23"/>
      <c r="V6150" s="23"/>
      <c r="W6150" s="23"/>
      <c r="X6150" s="23"/>
      <c r="Y6150" s="23"/>
      <c r="Z6150" s="23"/>
    </row>
    <row r="6151" spans="1:26" ht="13">
      <c r="A6151" s="562" t="s">
        <v>13313</v>
      </c>
      <c r="B6151" s="563" t="s">
        <v>13314</v>
      </c>
      <c r="C6151" s="564" t="s">
        <v>2191</v>
      </c>
      <c r="D6151" s="565">
        <v>39498</v>
      </c>
      <c r="E6151" s="565">
        <v>39677</v>
      </c>
      <c r="F6151" s="566">
        <v>61573636</v>
      </c>
      <c r="G6151" s="564" t="s">
        <v>2370</v>
      </c>
      <c r="H6151" s="564" t="s">
        <v>1912</v>
      </c>
      <c r="I6151" s="564" t="s">
        <v>12091</v>
      </c>
      <c r="J6151" s="564" t="s">
        <v>1069</v>
      </c>
      <c r="K6151" s="564" t="s">
        <v>1070</v>
      </c>
      <c r="L6151" s="564" t="s">
        <v>1390</v>
      </c>
      <c r="M6151" s="564" t="s">
        <v>1390</v>
      </c>
      <c r="N6151" s="564" t="s">
        <v>2325</v>
      </c>
      <c r="O6151" s="564" t="s">
        <v>38</v>
      </c>
      <c r="P6151" s="23"/>
      <c r="Q6151" s="23"/>
      <c r="R6151" s="23"/>
      <c r="S6151" s="23"/>
      <c r="T6151" s="23"/>
      <c r="U6151" s="23"/>
      <c r="V6151" s="23"/>
      <c r="W6151" s="23"/>
      <c r="X6151" s="23"/>
      <c r="Y6151" s="23"/>
      <c r="Z6151" s="23"/>
    </row>
    <row r="6152" spans="1:26" ht="13">
      <c r="A6152" s="562" t="s">
        <v>13315</v>
      </c>
      <c r="B6152" s="563" t="s">
        <v>13316</v>
      </c>
      <c r="C6152" s="564" t="s">
        <v>1612</v>
      </c>
      <c r="D6152" s="565">
        <v>39491</v>
      </c>
      <c r="E6152" s="565">
        <v>39713</v>
      </c>
      <c r="F6152" s="566">
        <v>2085000000</v>
      </c>
      <c r="G6152" s="564" t="s">
        <v>1912</v>
      </c>
      <c r="H6152" s="564" t="s">
        <v>1912</v>
      </c>
      <c r="I6152" s="564" t="s">
        <v>45</v>
      </c>
      <c r="J6152" s="564" t="s">
        <v>1069</v>
      </c>
      <c r="K6152" s="564" t="s">
        <v>1090</v>
      </c>
      <c r="L6152" s="564" t="s">
        <v>1390</v>
      </c>
      <c r="M6152" s="564" t="s">
        <v>1390</v>
      </c>
      <c r="N6152" s="564" t="s">
        <v>45</v>
      </c>
      <c r="O6152" s="564" t="s">
        <v>38</v>
      </c>
      <c r="P6152" s="23"/>
      <c r="Q6152" s="23"/>
      <c r="R6152" s="23"/>
      <c r="S6152" s="23"/>
      <c r="T6152" s="23"/>
      <c r="U6152" s="23"/>
      <c r="V6152" s="23"/>
      <c r="W6152" s="23"/>
      <c r="X6152" s="23"/>
      <c r="Y6152" s="23"/>
      <c r="Z6152" s="23"/>
    </row>
    <row r="6153" spans="1:26" ht="13">
      <c r="A6153" s="562" t="s">
        <v>13317</v>
      </c>
      <c r="B6153" s="563" t="s">
        <v>13318</v>
      </c>
      <c r="C6153" s="564" t="s">
        <v>6860</v>
      </c>
      <c r="D6153" s="565">
        <v>39478</v>
      </c>
      <c r="E6153" s="565">
        <v>39561</v>
      </c>
      <c r="F6153" s="566">
        <v>272000000</v>
      </c>
      <c r="G6153" s="564" t="s">
        <v>2508</v>
      </c>
      <c r="H6153" s="564" t="s">
        <v>1128</v>
      </c>
      <c r="I6153" s="564" t="s">
        <v>143</v>
      </c>
      <c r="J6153" s="564" t="s">
        <v>1069</v>
      </c>
      <c r="K6153" s="564" t="s">
        <v>1205</v>
      </c>
      <c r="L6153" s="564" t="s">
        <v>1390</v>
      </c>
      <c r="M6153" s="564" t="s">
        <v>1390</v>
      </c>
      <c r="N6153" s="564" t="s">
        <v>1073</v>
      </c>
      <c r="O6153" s="564" t="s">
        <v>38</v>
      </c>
      <c r="P6153" s="23"/>
      <c r="Q6153" s="23"/>
      <c r="R6153" s="23"/>
      <c r="S6153" s="23"/>
      <c r="T6153" s="23"/>
      <c r="U6153" s="23"/>
      <c r="V6153" s="23"/>
      <c r="W6153" s="23"/>
      <c r="X6153" s="23"/>
      <c r="Y6153" s="23"/>
      <c r="Z6153" s="23"/>
    </row>
    <row r="6154" spans="1:26" ht="13">
      <c r="A6154" s="562" t="s">
        <v>13319</v>
      </c>
      <c r="B6154" s="563" t="s">
        <v>13320</v>
      </c>
      <c r="C6154" s="564" t="s">
        <v>2191</v>
      </c>
      <c r="D6154" s="565">
        <v>39458</v>
      </c>
      <c r="E6154" s="565">
        <v>39813</v>
      </c>
      <c r="F6154" s="566">
        <v>59000000</v>
      </c>
      <c r="G6154" s="564" t="s">
        <v>1123</v>
      </c>
      <c r="H6154" s="564" t="s">
        <v>1912</v>
      </c>
      <c r="I6154" s="564" t="s">
        <v>13321</v>
      </c>
      <c r="J6154" s="564" t="s">
        <v>1069</v>
      </c>
      <c r="K6154" s="564" t="s">
        <v>1205</v>
      </c>
      <c r="L6154" s="564" t="s">
        <v>1071</v>
      </c>
      <c r="M6154" s="564" t="s">
        <v>1124</v>
      </c>
      <c r="N6154" s="564" t="s">
        <v>1082</v>
      </c>
      <c r="O6154" s="564" t="s">
        <v>38</v>
      </c>
      <c r="P6154" s="23"/>
      <c r="Q6154" s="23"/>
      <c r="R6154" s="23"/>
      <c r="S6154" s="23"/>
      <c r="T6154" s="23"/>
      <c r="U6154" s="23"/>
      <c r="V6154" s="23"/>
      <c r="W6154" s="23"/>
      <c r="X6154" s="23"/>
      <c r="Y6154" s="23"/>
      <c r="Z6154" s="23"/>
    </row>
    <row r="6155" spans="1:26" ht="13">
      <c r="A6155" s="562" t="s">
        <v>13322</v>
      </c>
      <c r="B6155" s="563" t="s">
        <v>13323</v>
      </c>
      <c r="C6155" s="564" t="s">
        <v>2191</v>
      </c>
      <c r="D6155" s="565">
        <v>39458</v>
      </c>
      <c r="E6155" s="565">
        <v>39599</v>
      </c>
      <c r="F6155" s="566">
        <v>13500000</v>
      </c>
      <c r="G6155" s="564" t="s">
        <v>1123</v>
      </c>
      <c r="H6155" s="564" t="s">
        <v>1912</v>
      </c>
      <c r="I6155" s="564" t="s">
        <v>13321</v>
      </c>
      <c r="J6155" s="564" t="s">
        <v>1069</v>
      </c>
      <c r="K6155" s="564" t="s">
        <v>2430</v>
      </c>
      <c r="L6155" s="564" t="s">
        <v>1071</v>
      </c>
      <c r="M6155" s="564" t="s">
        <v>1124</v>
      </c>
      <c r="N6155" s="564" t="s">
        <v>1082</v>
      </c>
      <c r="O6155" s="564" t="s">
        <v>38</v>
      </c>
      <c r="P6155" s="23"/>
      <c r="Q6155" s="23"/>
      <c r="R6155" s="23"/>
      <c r="S6155" s="23"/>
      <c r="T6155" s="23"/>
      <c r="U6155" s="23"/>
      <c r="V6155" s="23"/>
      <c r="W6155" s="23"/>
      <c r="X6155" s="23"/>
      <c r="Y6155" s="23"/>
      <c r="Z6155" s="23"/>
    </row>
    <row r="6156" spans="1:26" ht="13">
      <c r="A6156" s="562" t="s">
        <v>13324</v>
      </c>
      <c r="B6156" s="563" t="s">
        <v>13325</v>
      </c>
      <c r="C6156" s="564" t="s">
        <v>6860</v>
      </c>
      <c r="D6156" s="565">
        <v>39454</v>
      </c>
      <c r="E6156" s="565">
        <v>39507</v>
      </c>
      <c r="F6156" s="566">
        <v>18100000</v>
      </c>
      <c r="G6156" s="564" t="s">
        <v>1753</v>
      </c>
      <c r="H6156" s="564" t="s">
        <v>1128</v>
      </c>
      <c r="I6156" s="564" t="s">
        <v>141</v>
      </c>
      <c r="J6156" s="564" t="s">
        <v>1069</v>
      </c>
      <c r="K6156" s="564" t="s">
        <v>1205</v>
      </c>
      <c r="L6156" s="564" t="s">
        <v>1390</v>
      </c>
      <c r="M6156" s="564" t="s">
        <v>1390</v>
      </c>
      <c r="N6156" s="564" t="s">
        <v>1073</v>
      </c>
      <c r="O6156" s="564" t="s">
        <v>38</v>
      </c>
      <c r="P6156" s="23"/>
      <c r="Q6156" s="23"/>
      <c r="R6156" s="23"/>
      <c r="S6156" s="23"/>
      <c r="T6156" s="23"/>
      <c r="U6156" s="23"/>
      <c r="V6156" s="23"/>
      <c r="W6156" s="23"/>
      <c r="X6156" s="23"/>
      <c r="Y6156" s="23"/>
      <c r="Z6156" s="23"/>
    </row>
    <row r="6157" spans="1:26" ht="13">
      <c r="A6157" s="562" t="s">
        <v>13326</v>
      </c>
      <c r="B6157" s="563" t="s">
        <v>13327</v>
      </c>
      <c r="C6157" s="564" t="s">
        <v>2191</v>
      </c>
      <c r="D6157" s="565">
        <v>39450</v>
      </c>
      <c r="E6157" s="565">
        <v>39478</v>
      </c>
      <c r="F6157" s="566">
        <v>69835839</v>
      </c>
      <c r="G6157" s="564" t="s">
        <v>1123</v>
      </c>
      <c r="H6157" s="564" t="s">
        <v>1912</v>
      </c>
      <c r="I6157" s="564" t="s">
        <v>162</v>
      </c>
      <c r="J6157" s="564" t="s">
        <v>1069</v>
      </c>
      <c r="K6157" s="564" t="s">
        <v>1209</v>
      </c>
      <c r="L6157" s="564" t="s">
        <v>1390</v>
      </c>
      <c r="M6157" s="564" t="s">
        <v>1390</v>
      </c>
      <c r="N6157" s="564" t="s">
        <v>1082</v>
      </c>
      <c r="O6157" s="564" t="s">
        <v>38</v>
      </c>
      <c r="P6157" s="23"/>
      <c r="Q6157" s="23"/>
      <c r="R6157" s="23"/>
      <c r="S6157" s="23"/>
      <c r="T6157" s="23"/>
      <c r="U6157" s="23"/>
      <c r="V6157" s="23"/>
      <c r="W6157" s="23"/>
      <c r="X6157" s="23"/>
      <c r="Y6157" s="23"/>
      <c r="Z6157" s="23"/>
    </row>
    <row r="6158" spans="1:26" ht="13">
      <c r="A6158" s="562" t="s">
        <v>13328</v>
      </c>
      <c r="B6158" s="563" t="s">
        <v>13329</v>
      </c>
      <c r="C6158" s="564" t="s">
        <v>2191</v>
      </c>
      <c r="D6158" s="565">
        <v>39448</v>
      </c>
      <c r="E6158" s="565">
        <v>40543</v>
      </c>
      <c r="F6158" s="566">
        <v>162940600</v>
      </c>
      <c r="G6158" s="564" t="s">
        <v>1912</v>
      </c>
      <c r="H6158" s="564" t="s">
        <v>1912</v>
      </c>
      <c r="I6158" s="564" t="s">
        <v>13330</v>
      </c>
      <c r="J6158" s="564" t="s">
        <v>1069</v>
      </c>
      <c r="K6158" s="564" t="s">
        <v>1070</v>
      </c>
      <c r="L6158" s="564" t="s">
        <v>1071</v>
      </c>
      <c r="M6158" s="564" t="s">
        <v>1091</v>
      </c>
      <c r="N6158" s="564" t="s">
        <v>1082</v>
      </c>
      <c r="O6158" s="564" t="s">
        <v>241</v>
      </c>
      <c r="P6158" s="23"/>
      <c r="Q6158" s="23"/>
      <c r="R6158" s="23"/>
      <c r="S6158" s="23"/>
      <c r="T6158" s="23"/>
      <c r="U6158" s="23"/>
      <c r="V6158" s="23"/>
      <c r="W6158" s="23"/>
      <c r="X6158" s="23"/>
      <c r="Y6158" s="23"/>
      <c r="Z6158" s="23"/>
    </row>
    <row r="6159" spans="1:26" ht="13">
      <c r="A6159" s="562" t="s">
        <v>13331</v>
      </c>
      <c r="B6159" s="563" t="s">
        <v>13332</v>
      </c>
      <c r="C6159" s="564" t="s">
        <v>8539</v>
      </c>
      <c r="D6159" s="565">
        <v>39356</v>
      </c>
      <c r="E6159" s="565">
        <v>39447</v>
      </c>
      <c r="F6159" s="566">
        <v>84545454</v>
      </c>
      <c r="G6159" s="564" t="s">
        <v>1604</v>
      </c>
      <c r="H6159" s="564" t="s">
        <v>2192</v>
      </c>
      <c r="I6159" s="564" t="s">
        <v>802</v>
      </c>
      <c r="J6159" s="564" t="s">
        <v>1069</v>
      </c>
      <c r="K6159" s="564" t="s">
        <v>1198</v>
      </c>
      <c r="L6159" s="564" t="s">
        <v>1071</v>
      </c>
      <c r="M6159" s="564" t="s">
        <v>1124</v>
      </c>
      <c r="N6159" s="564" t="s">
        <v>132</v>
      </c>
      <c r="O6159" s="564" t="s">
        <v>2512</v>
      </c>
      <c r="P6159" s="23"/>
      <c r="Q6159" s="23"/>
      <c r="R6159" s="23"/>
      <c r="S6159" s="23"/>
      <c r="T6159" s="23"/>
      <c r="U6159" s="23"/>
      <c r="V6159" s="23"/>
      <c r="W6159" s="23"/>
      <c r="X6159" s="23"/>
      <c r="Y6159" s="23"/>
      <c r="Z6159" s="23"/>
    </row>
    <row r="6160" spans="1:26" ht="13">
      <c r="A6160" s="562" t="s">
        <v>13333</v>
      </c>
      <c r="B6160" s="563" t="s">
        <v>13334</v>
      </c>
      <c r="C6160" s="564" t="s">
        <v>8539</v>
      </c>
      <c r="D6160" s="565">
        <v>39192</v>
      </c>
      <c r="E6160" s="565">
        <v>39233</v>
      </c>
      <c r="F6160" s="567"/>
      <c r="G6160" s="564" t="s">
        <v>2192</v>
      </c>
      <c r="H6160" s="564" t="s">
        <v>2192</v>
      </c>
      <c r="I6160" s="564" t="s">
        <v>802</v>
      </c>
      <c r="J6160" s="564" t="s">
        <v>1069</v>
      </c>
      <c r="K6160" s="564" t="s">
        <v>1198</v>
      </c>
      <c r="L6160" s="564" t="s">
        <v>1071</v>
      </c>
      <c r="M6160" s="564" t="s">
        <v>1124</v>
      </c>
      <c r="N6160" s="564" t="s">
        <v>132</v>
      </c>
      <c r="O6160" s="564" t="s">
        <v>2512</v>
      </c>
      <c r="P6160" s="23"/>
      <c r="Q6160" s="23"/>
      <c r="R6160" s="23"/>
      <c r="S6160" s="23"/>
      <c r="T6160" s="23"/>
      <c r="U6160" s="23"/>
      <c r="V6160" s="23"/>
      <c r="W6160" s="23"/>
      <c r="X6160" s="23"/>
      <c r="Y6160" s="23"/>
      <c r="Z6160" s="23"/>
    </row>
    <row r="6161" spans="1:26" ht="13">
      <c r="A6161" s="562" t="s">
        <v>13335</v>
      </c>
      <c r="B6161" s="563" t="s">
        <v>13081</v>
      </c>
      <c r="C6161" s="564" t="s">
        <v>8539</v>
      </c>
      <c r="D6161" s="565">
        <v>39173</v>
      </c>
      <c r="E6161" s="565">
        <v>39538</v>
      </c>
      <c r="F6161" s="567"/>
      <c r="G6161" s="564" t="s">
        <v>1830</v>
      </c>
      <c r="H6161" s="564"/>
      <c r="I6161" s="564" t="s">
        <v>12758</v>
      </c>
      <c r="J6161" s="564" t="s">
        <v>1069</v>
      </c>
      <c r="K6161" s="564" t="s">
        <v>1070</v>
      </c>
      <c r="L6161" s="564" t="s">
        <v>1071</v>
      </c>
      <c r="M6161" s="564" t="s">
        <v>1091</v>
      </c>
      <c r="N6161" s="564" t="s">
        <v>2439</v>
      </c>
      <c r="O6161" s="564"/>
      <c r="P6161" s="23"/>
      <c r="Q6161" s="23"/>
      <c r="R6161" s="23"/>
      <c r="S6161" s="23"/>
      <c r="T6161" s="23"/>
      <c r="U6161" s="23"/>
      <c r="V6161" s="23"/>
      <c r="W6161" s="23"/>
      <c r="X6161" s="23"/>
      <c r="Y6161" s="23"/>
      <c r="Z6161" s="23"/>
    </row>
    <row r="6162" spans="1:26" ht="13">
      <c r="A6162" s="562" t="s">
        <v>13336</v>
      </c>
      <c r="B6162" s="563" t="s">
        <v>13083</v>
      </c>
      <c r="C6162" s="564" t="s">
        <v>8539</v>
      </c>
      <c r="D6162" s="565">
        <v>39142</v>
      </c>
      <c r="E6162" s="565">
        <v>39447</v>
      </c>
      <c r="F6162" s="566">
        <v>230190000</v>
      </c>
      <c r="G6162" s="564" t="s">
        <v>1830</v>
      </c>
      <c r="H6162" s="564" t="s">
        <v>2192</v>
      </c>
      <c r="I6162" s="564" t="s">
        <v>10223</v>
      </c>
      <c r="J6162" s="564" t="s">
        <v>1069</v>
      </c>
      <c r="K6162" s="564" t="s">
        <v>1070</v>
      </c>
      <c r="L6162" s="564" t="s">
        <v>2098</v>
      </c>
      <c r="M6162" s="564" t="s">
        <v>2098</v>
      </c>
      <c r="N6162" s="564" t="s">
        <v>1082</v>
      </c>
      <c r="O6162" s="564"/>
      <c r="P6162" s="23"/>
      <c r="Q6162" s="23"/>
      <c r="R6162" s="23"/>
      <c r="S6162" s="23"/>
      <c r="T6162" s="23"/>
      <c r="U6162" s="23"/>
      <c r="V6162" s="23"/>
      <c r="W6162" s="23"/>
      <c r="X6162" s="23"/>
      <c r="Y6162" s="23"/>
      <c r="Z6162" s="23"/>
    </row>
    <row r="6163" spans="1:26" ht="13">
      <c r="A6163" s="562" t="s">
        <v>13337</v>
      </c>
      <c r="B6163" s="563" t="s">
        <v>13338</v>
      </c>
      <c r="C6163" s="564" t="s">
        <v>2484</v>
      </c>
      <c r="D6163" s="565">
        <v>39301</v>
      </c>
      <c r="E6163" s="565">
        <v>39480</v>
      </c>
      <c r="F6163" s="566">
        <v>79590909</v>
      </c>
      <c r="G6163" s="564" t="s">
        <v>13339</v>
      </c>
      <c r="H6163" s="564" t="s">
        <v>12125</v>
      </c>
      <c r="I6163" s="564" t="s">
        <v>12902</v>
      </c>
      <c r="J6163" s="564" t="s">
        <v>1069</v>
      </c>
      <c r="K6163" s="564" t="s">
        <v>2466</v>
      </c>
      <c r="L6163" s="564" t="s">
        <v>2467</v>
      </c>
      <c r="M6163" s="564" t="s">
        <v>2466</v>
      </c>
      <c r="N6163" s="564" t="s">
        <v>2543</v>
      </c>
      <c r="O6163" s="564" t="s">
        <v>12077</v>
      </c>
      <c r="P6163" s="23"/>
      <c r="Q6163" s="23"/>
      <c r="R6163" s="23"/>
      <c r="S6163" s="23"/>
      <c r="T6163" s="23"/>
      <c r="U6163" s="23"/>
      <c r="V6163" s="23"/>
      <c r="W6163" s="23"/>
      <c r="X6163" s="23"/>
      <c r="Y6163" s="23"/>
      <c r="Z6163" s="23"/>
    </row>
    <row r="6164" spans="1:26" ht="13">
      <c r="A6164" s="562" t="s">
        <v>13340</v>
      </c>
      <c r="B6164" s="563" t="s">
        <v>13341</v>
      </c>
      <c r="C6164" s="564" t="s">
        <v>2484</v>
      </c>
      <c r="D6164" s="565">
        <v>39279</v>
      </c>
      <c r="E6164" s="565">
        <v>39339</v>
      </c>
      <c r="F6164" s="566">
        <v>22309091</v>
      </c>
      <c r="G6164" s="564" t="s">
        <v>13339</v>
      </c>
      <c r="H6164" s="564" t="s">
        <v>13150</v>
      </c>
      <c r="I6164" s="564" t="s">
        <v>13342</v>
      </c>
      <c r="J6164" s="564" t="s">
        <v>1069</v>
      </c>
      <c r="K6164" s="564" t="s">
        <v>2466</v>
      </c>
      <c r="L6164" s="564" t="s">
        <v>2467</v>
      </c>
      <c r="M6164" s="564" t="s">
        <v>2466</v>
      </c>
      <c r="N6164" s="564" t="s">
        <v>2543</v>
      </c>
      <c r="O6164" s="564" t="s">
        <v>12077</v>
      </c>
      <c r="P6164" s="23"/>
      <c r="Q6164" s="23"/>
      <c r="R6164" s="23"/>
      <c r="S6164" s="23"/>
      <c r="T6164" s="23"/>
      <c r="U6164" s="23"/>
      <c r="V6164" s="23"/>
      <c r="W6164" s="23"/>
      <c r="X6164" s="23"/>
      <c r="Y6164" s="23"/>
      <c r="Z6164" s="23"/>
    </row>
    <row r="6165" spans="1:26" ht="13">
      <c r="A6165" s="562" t="s">
        <v>13343</v>
      </c>
      <c r="B6165" s="563" t="s">
        <v>13344</v>
      </c>
      <c r="C6165" s="564" t="s">
        <v>2484</v>
      </c>
      <c r="D6165" s="565">
        <v>39255</v>
      </c>
      <c r="E6165" s="565">
        <v>39297</v>
      </c>
      <c r="F6165" s="566">
        <v>15800000</v>
      </c>
      <c r="G6165" s="564" t="s">
        <v>2485</v>
      </c>
      <c r="H6165" s="564" t="s">
        <v>2541</v>
      </c>
      <c r="I6165" s="564" t="s">
        <v>12105</v>
      </c>
      <c r="J6165" s="564" t="s">
        <v>1069</v>
      </c>
      <c r="K6165" s="564" t="s">
        <v>2466</v>
      </c>
      <c r="L6165" s="564" t="s">
        <v>2467</v>
      </c>
      <c r="M6165" s="564" t="s">
        <v>2466</v>
      </c>
      <c r="N6165" s="564" t="s">
        <v>1082</v>
      </c>
      <c r="O6165" s="564" t="s">
        <v>12077</v>
      </c>
      <c r="P6165" s="23"/>
      <c r="Q6165" s="23"/>
      <c r="R6165" s="23"/>
      <c r="S6165" s="23"/>
      <c r="T6165" s="23"/>
      <c r="U6165" s="23"/>
      <c r="V6165" s="23"/>
      <c r="W6165" s="23"/>
      <c r="X6165" s="23"/>
      <c r="Y6165" s="23"/>
      <c r="Z6165" s="23"/>
    </row>
    <row r="6166" spans="1:26" ht="13">
      <c r="A6166" s="562" t="s">
        <v>13345</v>
      </c>
      <c r="B6166" s="563" t="s">
        <v>13346</v>
      </c>
      <c r="C6166" s="564" t="s">
        <v>2484</v>
      </c>
      <c r="D6166" s="565">
        <v>39275</v>
      </c>
      <c r="E6166" s="565">
        <v>39405</v>
      </c>
      <c r="F6166" s="566">
        <v>75798727</v>
      </c>
      <c r="G6166" s="564" t="s">
        <v>13134</v>
      </c>
      <c r="H6166" s="564" t="s">
        <v>12096</v>
      </c>
      <c r="I6166" s="564" t="s">
        <v>12577</v>
      </c>
      <c r="J6166" s="564" t="s">
        <v>1069</v>
      </c>
      <c r="K6166" s="564" t="s">
        <v>2466</v>
      </c>
      <c r="L6166" s="564" t="s">
        <v>2467</v>
      </c>
      <c r="M6166" s="564" t="s">
        <v>2466</v>
      </c>
      <c r="N6166" s="564" t="s">
        <v>2325</v>
      </c>
      <c r="O6166" s="564" t="s">
        <v>12077</v>
      </c>
      <c r="P6166" s="23"/>
      <c r="Q6166" s="23"/>
      <c r="R6166" s="23"/>
      <c r="S6166" s="23"/>
      <c r="T6166" s="23"/>
      <c r="U6166" s="23"/>
      <c r="V6166" s="23"/>
      <c r="W6166" s="23"/>
      <c r="X6166" s="23"/>
      <c r="Y6166" s="23"/>
      <c r="Z6166" s="23"/>
    </row>
    <row r="6167" spans="1:26" ht="13">
      <c r="A6167" s="562" t="s">
        <v>13347</v>
      </c>
      <c r="B6167" s="563" t="s">
        <v>13348</v>
      </c>
      <c r="C6167" s="564" t="s">
        <v>2484</v>
      </c>
      <c r="D6167" s="565">
        <v>39255</v>
      </c>
      <c r="E6167" s="565">
        <v>39285</v>
      </c>
      <c r="F6167" s="566">
        <v>27500000</v>
      </c>
      <c r="G6167" s="564" t="s">
        <v>12124</v>
      </c>
      <c r="H6167" s="564" t="s">
        <v>2546</v>
      </c>
      <c r="I6167" s="564" t="s">
        <v>12897</v>
      </c>
      <c r="J6167" s="564" t="s">
        <v>1069</v>
      </c>
      <c r="K6167" s="564" t="s">
        <v>2466</v>
      </c>
      <c r="L6167" s="564" t="s">
        <v>2467</v>
      </c>
      <c r="M6167" s="564" t="s">
        <v>2466</v>
      </c>
      <c r="N6167" s="564" t="s">
        <v>1082</v>
      </c>
      <c r="O6167" s="564" t="s">
        <v>12077</v>
      </c>
      <c r="P6167" s="23"/>
      <c r="Q6167" s="23"/>
      <c r="R6167" s="23"/>
      <c r="S6167" s="23"/>
      <c r="T6167" s="23"/>
      <c r="U6167" s="23"/>
      <c r="V6167" s="23"/>
      <c r="W6167" s="23"/>
      <c r="X6167" s="23"/>
      <c r="Y6167" s="23"/>
      <c r="Z6167" s="23"/>
    </row>
    <row r="6168" spans="1:26" ht="13">
      <c r="A6168" s="562" t="s">
        <v>13349</v>
      </c>
      <c r="B6168" s="563" t="s">
        <v>13350</v>
      </c>
      <c r="C6168" s="564" t="s">
        <v>2484</v>
      </c>
      <c r="D6168" s="565">
        <v>39269</v>
      </c>
      <c r="E6168" s="565">
        <v>39275</v>
      </c>
      <c r="F6168" s="566">
        <v>11000000</v>
      </c>
      <c r="G6168" s="564" t="s">
        <v>2485</v>
      </c>
      <c r="H6168" s="564" t="s">
        <v>2541</v>
      </c>
      <c r="I6168" s="564" t="s">
        <v>13351</v>
      </c>
      <c r="J6168" s="564" t="s">
        <v>1069</v>
      </c>
      <c r="K6168" s="564" t="s">
        <v>2466</v>
      </c>
      <c r="L6168" s="564" t="s">
        <v>2467</v>
      </c>
      <c r="M6168" s="564" t="s">
        <v>2466</v>
      </c>
      <c r="N6168" s="564" t="s">
        <v>1082</v>
      </c>
      <c r="O6168" s="564" t="s">
        <v>12077</v>
      </c>
      <c r="P6168" s="23"/>
      <c r="Q6168" s="23"/>
      <c r="R6168" s="23"/>
      <c r="S6168" s="23"/>
      <c r="T6168" s="23"/>
      <c r="U6168" s="23"/>
      <c r="V6168" s="23"/>
      <c r="W6168" s="23"/>
      <c r="X6168" s="23"/>
      <c r="Y6168" s="23"/>
      <c r="Z6168" s="23"/>
    </row>
    <row r="6169" spans="1:26" ht="13">
      <c r="A6169" s="562" t="s">
        <v>13352</v>
      </c>
      <c r="B6169" s="563" t="s">
        <v>13353</v>
      </c>
      <c r="C6169" s="564" t="s">
        <v>2484</v>
      </c>
      <c r="D6169" s="565">
        <v>39202</v>
      </c>
      <c r="E6169" s="565">
        <v>39431</v>
      </c>
      <c r="F6169" s="566">
        <v>435454546</v>
      </c>
      <c r="G6169" s="564" t="s">
        <v>13339</v>
      </c>
      <c r="H6169" s="564" t="s">
        <v>2541</v>
      </c>
      <c r="I6169" s="564" t="s">
        <v>12105</v>
      </c>
      <c r="J6169" s="564" t="s">
        <v>1069</v>
      </c>
      <c r="K6169" s="564" t="s">
        <v>2466</v>
      </c>
      <c r="L6169" s="564" t="s">
        <v>2467</v>
      </c>
      <c r="M6169" s="564" t="s">
        <v>2466</v>
      </c>
      <c r="N6169" s="564" t="s">
        <v>1082</v>
      </c>
      <c r="O6169" s="564" t="s">
        <v>12077</v>
      </c>
      <c r="P6169" s="23"/>
      <c r="Q6169" s="23"/>
      <c r="R6169" s="23"/>
      <c r="S6169" s="23"/>
      <c r="T6169" s="23"/>
      <c r="U6169" s="23"/>
      <c r="V6169" s="23"/>
      <c r="W6169" s="23"/>
      <c r="X6169" s="23"/>
      <c r="Y6169" s="23"/>
      <c r="Z6169" s="23"/>
    </row>
    <row r="6170" spans="1:26" ht="13">
      <c r="A6170" s="562" t="s">
        <v>13354</v>
      </c>
      <c r="B6170" s="563" t="s">
        <v>13355</v>
      </c>
      <c r="C6170" s="564" t="s">
        <v>2484</v>
      </c>
      <c r="D6170" s="565">
        <v>39114</v>
      </c>
      <c r="E6170" s="565">
        <v>39383</v>
      </c>
      <c r="F6170" s="566">
        <v>5000000</v>
      </c>
      <c r="G6170" s="564" t="s">
        <v>2485</v>
      </c>
      <c r="H6170" s="564" t="s">
        <v>12096</v>
      </c>
      <c r="I6170" s="564" t="s">
        <v>13356</v>
      </c>
      <c r="J6170" s="564" t="s">
        <v>1069</v>
      </c>
      <c r="K6170" s="564" t="s">
        <v>2466</v>
      </c>
      <c r="L6170" s="564" t="s">
        <v>2467</v>
      </c>
      <c r="M6170" s="564" t="s">
        <v>2466</v>
      </c>
      <c r="N6170" s="564" t="s">
        <v>1082</v>
      </c>
      <c r="O6170" s="564" t="s">
        <v>12077</v>
      </c>
      <c r="P6170" s="23"/>
      <c r="Q6170" s="23"/>
      <c r="R6170" s="23"/>
      <c r="S6170" s="23"/>
      <c r="T6170" s="23"/>
      <c r="U6170" s="23"/>
      <c r="V6170" s="23"/>
      <c r="W6170" s="23"/>
      <c r="X6170" s="23"/>
      <c r="Y6170" s="23"/>
      <c r="Z6170" s="23"/>
    </row>
    <row r="6171" spans="1:26" ht="13">
      <c r="A6171" s="562" t="s">
        <v>13357</v>
      </c>
      <c r="B6171" s="563" t="s">
        <v>13358</v>
      </c>
      <c r="C6171" s="564" t="s">
        <v>2484</v>
      </c>
      <c r="D6171" s="565">
        <v>39182</v>
      </c>
      <c r="E6171" s="565">
        <v>40056</v>
      </c>
      <c r="F6171" s="566">
        <v>177536364</v>
      </c>
      <c r="G6171" s="564" t="s">
        <v>12080</v>
      </c>
      <c r="H6171" s="564" t="s">
        <v>12096</v>
      </c>
      <c r="I6171" s="564" t="s">
        <v>12538</v>
      </c>
      <c r="J6171" s="564" t="s">
        <v>1069</v>
      </c>
      <c r="K6171" s="564" t="s">
        <v>2466</v>
      </c>
      <c r="L6171" s="564" t="s">
        <v>2467</v>
      </c>
      <c r="M6171" s="564" t="s">
        <v>2466</v>
      </c>
      <c r="N6171" s="564" t="s">
        <v>1082</v>
      </c>
      <c r="O6171" s="564" t="s">
        <v>12077</v>
      </c>
      <c r="P6171" s="23"/>
      <c r="Q6171" s="23"/>
      <c r="R6171" s="23"/>
      <c r="S6171" s="23"/>
      <c r="T6171" s="23"/>
      <c r="U6171" s="23"/>
      <c r="V6171" s="23"/>
      <c r="W6171" s="23"/>
      <c r="X6171" s="23"/>
      <c r="Y6171" s="23"/>
      <c r="Z6171" s="23"/>
    </row>
    <row r="6172" spans="1:26" ht="13">
      <c r="A6172" s="562" t="s">
        <v>13359</v>
      </c>
      <c r="B6172" s="563" t="s">
        <v>13360</v>
      </c>
      <c r="C6172" s="564" t="s">
        <v>2484</v>
      </c>
      <c r="D6172" s="565">
        <v>39202</v>
      </c>
      <c r="E6172" s="565">
        <v>39209</v>
      </c>
      <c r="F6172" s="566">
        <v>5500000</v>
      </c>
      <c r="G6172" s="564" t="s">
        <v>2502</v>
      </c>
      <c r="H6172" s="564" t="s">
        <v>2546</v>
      </c>
      <c r="I6172" s="564" t="s">
        <v>12105</v>
      </c>
      <c r="J6172" s="564" t="s">
        <v>1069</v>
      </c>
      <c r="K6172" s="564" t="s">
        <v>2466</v>
      </c>
      <c r="L6172" s="564" t="s">
        <v>2467</v>
      </c>
      <c r="M6172" s="564" t="s">
        <v>2466</v>
      </c>
      <c r="N6172" s="564" t="s">
        <v>1082</v>
      </c>
      <c r="O6172" s="564" t="s">
        <v>12077</v>
      </c>
      <c r="P6172" s="23"/>
      <c r="Q6172" s="23"/>
      <c r="R6172" s="23"/>
      <c r="S6172" s="23"/>
      <c r="T6172" s="23"/>
      <c r="U6172" s="23"/>
      <c r="V6172" s="23"/>
      <c r="W6172" s="23"/>
      <c r="X6172" s="23"/>
      <c r="Y6172" s="23"/>
      <c r="Z6172" s="23"/>
    </row>
    <row r="6173" spans="1:26" ht="13">
      <c r="A6173" s="562" t="s">
        <v>13361</v>
      </c>
      <c r="B6173" s="563" t="s">
        <v>13362</v>
      </c>
      <c r="C6173" s="564" t="s">
        <v>2484</v>
      </c>
      <c r="D6173" s="565">
        <v>39196</v>
      </c>
      <c r="E6173" s="565">
        <v>39202</v>
      </c>
      <c r="F6173" s="566">
        <v>4425455</v>
      </c>
      <c r="G6173" s="564" t="s">
        <v>2502</v>
      </c>
      <c r="H6173" s="564" t="s">
        <v>12365</v>
      </c>
      <c r="I6173" s="564" t="s">
        <v>12897</v>
      </c>
      <c r="J6173" s="564" t="s">
        <v>1069</v>
      </c>
      <c r="K6173" s="564" t="s">
        <v>2466</v>
      </c>
      <c r="L6173" s="564" t="s">
        <v>2467</v>
      </c>
      <c r="M6173" s="564" t="s">
        <v>2466</v>
      </c>
      <c r="N6173" s="564" t="s">
        <v>1082</v>
      </c>
      <c r="O6173" s="564" t="s">
        <v>12077</v>
      </c>
      <c r="P6173" s="23"/>
      <c r="Q6173" s="23"/>
      <c r="R6173" s="23"/>
      <c r="S6173" s="23"/>
      <c r="T6173" s="23"/>
      <c r="U6173" s="23"/>
      <c r="V6173" s="23"/>
      <c r="W6173" s="23"/>
      <c r="X6173" s="23"/>
      <c r="Y6173" s="23"/>
      <c r="Z6173" s="23"/>
    </row>
    <row r="6174" spans="1:26" ht="13">
      <c r="A6174" s="562" t="s">
        <v>13363</v>
      </c>
      <c r="B6174" s="563" t="s">
        <v>13364</v>
      </c>
      <c r="C6174" s="564" t="s">
        <v>2484</v>
      </c>
      <c r="D6174" s="565">
        <v>39183</v>
      </c>
      <c r="E6174" s="565">
        <v>39490</v>
      </c>
      <c r="F6174" s="566">
        <v>4890909</v>
      </c>
      <c r="G6174" s="564" t="s">
        <v>12318</v>
      </c>
      <c r="H6174" s="564" t="s">
        <v>13150</v>
      </c>
      <c r="I6174" s="564" t="s">
        <v>12889</v>
      </c>
      <c r="J6174" s="564" t="s">
        <v>1069</v>
      </c>
      <c r="K6174" s="564" t="s">
        <v>2466</v>
      </c>
      <c r="L6174" s="564" t="s">
        <v>2467</v>
      </c>
      <c r="M6174" s="564" t="s">
        <v>2466</v>
      </c>
      <c r="N6174" s="564" t="s">
        <v>2543</v>
      </c>
      <c r="O6174" s="564" t="s">
        <v>12077</v>
      </c>
      <c r="P6174" s="23"/>
      <c r="Q6174" s="23"/>
      <c r="R6174" s="23"/>
      <c r="S6174" s="23"/>
      <c r="T6174" s="23"/>
      <c r="U6174" s="23"/>
      <c r="V6174" s="23"/>
      <c r="W6174" s="23"/>
      <c r="X6174" s="23"/>
      <c r="Y6174" s="23"/>
      <c r="Z6174" s="23"/>
    </row>
    <row r="6175" spans="1:26" ht="13">
      <c r="A6175" s="562" t="s">
        <v>13365</v>
      </c>
      <c r="B6175" s="563" t="s">
        <v>13366</v>
      </c>
      <c r="C6175" s="564" t="s">
        <v>2484</v>
      </c>
      <c r="D6175" s="565">
        <v>39181</v>
      </c>
      <c r="E6175" s="565">
        <v>39386</v>
      </c>
      <c r="F6175" s="566">
        <v>11000000</v>
      </c>
      <c r="G6175" s="564" t="s">
        <v>12293</v>
      </c>
      <c r="H6175" s="564" t="s">
        <v>2546</v>
      </c>
      <c r="I6175" s="564" t="s">
        <v>12105</v>
      </c>
      <c r="J6175" s="564" t="s">
        <v>1069</v>
      </c>
      <c r="K6175" s="564" t="s">
        <v>2466</v>
      </c>
      <c r="L6175" s="564" t="s">
        <v>2467</v>
      </c>
      <c r="M6175" s="564" t="s">
        <v>2466</v>
      </c>
      <c r="N6175" s="564" t="s">
        <v>1082</v>
      </c>
      <c r="O6175" s="564" t="s">
        <v>12077</v>
      </c>
      <c r="P6175" s="23"/>
      <c r="Q6175" s="23"/>
      <c r="R6175" s="23"/>
      <c r="S6175" s="23"/>
      <c r="T6175" s="23"/>
      <c r="U6175" s="23"/>
      <c r="V6175" s="23"/>
      <c r="W6175" s="23"/>
      <c r="X6175" s="23"/>
      <c r="Y6175" s="23"/>
      <c r="Z6175" s="23"/>
    </row>
    <row r="6176" spans="1:26" ht="13">
      <c r="A6176" s="562" t="s">
        <v>13367</v>
      </c>
      <c r="B6176" s="563" t="s">
        <v>13368</v>
      </c>
      <c r="C6176" s="564" t="s">
        <v>2484</v>
      </c>
      <c r="D6176" s="565">
        <v>39184</v>
      </c>
      <c r="E6176" s="565">
        <v>39447</v>
      </c>
      <c r="F6176" s="566">
        <v>249681818</v>
      </c>
      <c r="G6176" s="564" t="s">
        <v>12075</v>
      </c>
      <c r="H6176" s="564" t="s">
        <v>2459</v>
      </c>
      <c r="I6176" s="564" t="s">
        <v>13167</v>
      </c>
      <c r="J6176" s="564" t="s">
        <v>1069</v>
      </c>
      <c r="K6176" s="564" t="s">
        <v>2466</v>
      </c>
      <c r="L6176" s="564" t="s">
        <v>2467</v>
      </c>
      <c r="M6176" s="564" t="s">
        <v>2466</v>
      </c>
      <c r="N6176" s="564" t="s">
        <v>2543</v>
      </c>
      <c r="O6176" s="564" t="s">
        <v>12077</v>
      </c>
      <c r="P6176" s="23"/>
      <c r="Q6176" s="23"/>
      <c r="R6176" s="23"/>
      <c r="S6176" s="23"/>
      <c r="T6176" s="23"/>
      <c r="U6176" s="23"/>
      <c r="V6176" s="23"/>
      <c r="W6176" s="23"/>
      <c r="X6176" s="23"/>
      <c r="Y6176" s="23"/>
      <c r="Z6176" s="23"/>
    </row>
    <row r="6177" spans="1:26" ht="13">
      <c r="A6177" s="562" t="s">
        <v>13369</v>
      </c>
      <c r="B6177" s="563" t="s">
        <v>13370</v>
      </c>
      <c r="C6177" s="564" t="s">
        <v>2484</v>
      </c>
      <c r="D6177" s="565">
        <v>39167</v>
      </c>
      <c r="E6177" s="565">
        <v>39198</v>
      </c>
      <c r="F6177" s="566">
        <v>5500000</v>
      </c>
      <c r="G6177" s="564" t="s">
        <v>2502</v>
      </c>
      <c r="H6177" s="564"/>
      <c r="I6177" s="564" t="s">
        <v>12282</v>
      </c>
      <c r="J6177" s="564" t="s">
        <v>1069</v>
      </c>
      <c r="K6177" s="564" t="s">
        <v>2466</v>
      </c>
      <c r="L6177" s="564" t="s">
        <v>2467</v>
      </c>
      <c r="M6177" s="564" t="s">
        <v>2466</v>
      </c>
      <c r="N6177" s="564" t="s">
        <v>1082</v>
      </c>
      <c r="O6177" s="564" t="s">
        <v>12077</v>
      </c>
      <c r="P6177" s="23"/>
      <c r="Q6177" s="23"/>
      <c r="R6177" s="23"/>
      <c r="S6177" s="23"/>
      <c r="T6177" s="23"/>
      <c r="U6177" s="23"/>
      <c r="V6177" s="23"/>
      <c r="W6177" s="23"/>
      <c r="X6177" s="23"/>
      <c r="Y6177" s="23"/>
      <c r="Z6177" s="23"/>
    </row>
    <row r="6178" spans="1:26" ht="13">
      <c r="A6178" s="562" t="s">
        <v>13371</v>
      </c>
      <c r="B6178" s="563" t="s">
        <v>13372</v>
      </c>
      <c r="C6178" s="564" t="s">
        <v>2484</v>
      </c>
      <c r="D6178" s="565">
        <v>39168</v>
      </c>
      <c r="E6178" s="565">
        <v>39198</v>
      </c>
      <c r="F6178" s="566">
        <v>8181818</v>
      </c>
      <c r="G6178" s="564" t="s">
        <v>2485</v>
      </c>
      <c r="H6178" s="564" t="s">
        <v>2541</v>
      </c>
      <c r="I6178" s="564" t="s">
        <v>2515</v>
      </c>
      <c r="J6178" s="564" t="s">
        <v>1069</v>
      </c>
      <c r="K6178" s="564" t="s">
        <v>2466</v>
      </c>
      <c r="L6178" s="564" t="s">
        <v>2467</v>
      </c>
      <c r="M6178" s="564" t="s">
        <v>2466</v>
      </c>
      <c r="N6178" s="564" t="s">
        <v>2325</v>
      </c>
      <c r="O6178" s="564" t="s">
        <v>12077</v>
      </c>
      <c r="P6178" s="23"/>
      <c r="Q6178" s="23"/>
      <c r="R6178" s="23"/>
      <c r="S6178" s="23"/>
      <c r="T6178" s="23"/>
      <c r="U6178" s="23"/>
      <c r="V6178" s="23"/>
      <c r="W6178" s="23"/>
      <c r="X6178" s="23"/>
      <c r="Y6178" s="23"/>
      <c r="Z6178" s="23"/>
    </row>
    <row r="6179" spans="1:26" ht="13">
      <c r="A6179" s="562" t="s">
        <v>13373</v>
      </c>
      <c r="B6179" s="563" t="s">
        <v>13374</v>
      </c>
      <c r="C6179" s="564" t="s">
        <v>2484</v>
      </c>
      <c r="D6179" s="565">
        <v>39178</v>
      </c>
      <c r="E6179" s="565">
        <v>39323</v>
      </c>
      <c r="F6179" s="566">
        <v>157463636</v>
      </c>
      <c r="G6179" s="564" t="s">
        <v>12075</v>
      </c>
      <c r="H6179" s="564" t="s">
        <v>12096</v>
      </c>
      <c r="I6179" s="564" t="s">
        <v>12081</v>
      </c>
      <c r="J6179" s="564" t="s">
        <v>1069</v>
      </c>
      <c r="K6179" s="564" t="s">
        <v>2466</v>
      </c>
      <c r="L6179" s="564" t="s">
        <v>2467</v>
      </c>
      <c r="M6179" s="564" t="s">
        <v>2466</v>
      </c>
      <c r="N6179" s="564" t="s">
        <v>2439</v>
      </c>
      <c r="O6179" s="564" t="s">
        <v>12077</v>
      </c>
      <c r="P6179" s="23"/>
      <c r="Q6179" s="23"/>
      <c r="R6179" s="23"/>
      <c r="S6179" s="23"/>
      <c r="T6179" s="23"/>
      <c r="U6179" s="23"/>
      <c r="V6179" s="23"/>
      <c r="W6179" s="23"/>
      <c r="X6179" s="23"/>
      <c r="Y6179" s="23"/>
      <c r="Z6179" s="23"/>
    </row>
    <row r="6180" spans="1:26" ht="13">
      <c r="A6180" s="562" t="s">
        <v>13375</v>
      </c>
      <c r="B6180" s="563" t="s">
        <v>13376</v>
      </c>
      <c r="C6180" s="564" t="s">
        <v>2484</v>
      </c>
      <c r="D6180" s="565">
        <v>39162</v>
      </c>
      <c r="E6180" s="565">
        <v>39392</v>
      </c>
      <c r="F6180" s="566">
        <v>402999091</v>
      </c>
      <c r="G6180" s="564" t="s">
        <v>13339</v>
      </c>
      <c r="H6180" s="564" t="s">
        <v>2541</v>
      </c>
      <c r="I6180" s="564" t="s">
        <v>12297</v>
      </c>
      <c r="J6180" s="564" t="s">
        <v>1069</v>
      </c>
      <c r="K6180" s="564" t="s">
        <v>2466</v>
      </c>
      <c r="L6180" s="564" t="s">
        <v>2467</v>
      </c>
      <c r="M6180" s="564" t="s">
        <v>2466</v>
      </c>
      <c r="N6180" s="564" t="s">
        <v>2439</v>
      </c>
      <c r="O6180" s="564" t="s">
        <v>12077</v>
      </c>
      <c r="P6180" s="23"/>
      <c r="Q6180" s="23"/>
      <c r="R6180" s="23"/>
      <c r="S6180" s="23"/>
      <c r="T6180" s="23"/>
      <c r="U6180" s="23"/>
      <c r="V6180" s="23"/>
      <c r="W6180" s="23"/>
      <c r="X6180" s="23"/>
      <c r="Y6180" s="23"/>
      <c r="Z6180" s="23"/>
    </row>
    <row r="6181" spans="1:26" ht="13">
      <c r="A6181" s="562" t="s">
        <v>13377</v>
      </c>
      <c r="B6181" s="563" t="s">
        <v>13378</v>
      </c>
      <c r="C6181" s="564" t="s">
        <v>2484</v>
      </c>
      <c r="D6181" s="565">
        <v>39160</v>
      </c>
      <c r="E6181" s="565">
        <v>39171</v>
      </c>
      <c r="F6181" s="566">
        <v>13727273</v>
      </c>
      <c r="G6181" s="564" t="s">
        <v>13379</v>
      </c>
      <c r="H6181" s="564" t="s">
        <v>12096</v>
      </c>
      <c r="I6181" s="564" t="s">
        <v>2515</v>
      </c>
      <c r="J6181" s="564" t="s">
        <v>1069</v>
      </c>
      <c r="K6181" s="564" t="s">
        <v>2466</v>
      </c>
      <c r="L6181" s="564" t="s">
        <v>2467</v>
      </c>
      <c r="M6181" s="564" t="s">
        <v>2466</v>
      </c>
      <c r="N6181" s="564" t="s">
        <v>2325</v>
      </c>
      <c r="O6181" s="564" t="s">
        <v>12077</v>
      </c>
      <c r="P6181" s="23"/>
      <c r="Q6181" s="23"/>
      <c r="R6181" s="23"/>
      <c r="S6181" s="23"/>
      <c r="T6181" s="23"/>
      <c r="U6181" s="23"/>
      <c r="V6181" s="23"/>
      <c r="W6181" s="23"/>
      <c r="X6181" s="23"/>
      <c r="Y6181" s="23"/>
      <c r="Z6181" s="23"/>
    </row>
    <row r="6182" spans="1:26" ht="13">
      <c r="A6182" s="562" t="s">
        <v>13380</v>
      </c>
      <c r="B6182" s="563" t="s">
        <v>13381</v>
      </c>
      <c r="C6182" s="564" t="s">
        <v>2484</v>
      </c>
      <c r="D6182" s="565">
        <v>39146</v>
      </c>
      <c r="E6182" s="565">
        <v>39447</v>
      </c>
      <c r="F6182" s="566">
        <v>14290909</v>
      </c>
      <c r="G6182" s="564" t="s">
        <v>2536</v>
      </c>
      <c r="H6182" s="564" t="s">
        <v>13382</v>
      </c>
      <c r="I6182" s="564" t="s">
        <v>2542</v>
      </c>
      <c r="J6182" s="564" t="s">
        <v>1069</v>
      </c>
      <c r="K6182" s="564" t="s">
        <v>2466</v>
      </c>
      <c r="L6182" s="564" t="s">
        <v>2467</v>
      </c>
      <c r="M6182" s="564" t="s">
        <v>2466</v>
      </c>
      <c r="N6182" s="564" t="s">
        <v>2543</v>
      </c>
      <c r="O6182" s="564" t="s">
        <v>12077</v>
      </c>
      <c r="P6182" s="23"/>
      <c r="Q6182" s="23"/>
      <c r="R6182" s="23"/>
      <c r="S6182" s="23"/>
      <c r="T6182" s="23"/>
      <c r="U6182" s="23"/>
      <c r="V6182" s="23"/>
      <c r="W6182" s="23"/>
      <c r="X6182" s="23"/>
      <c r="Y6182" s="23"/>
      <c r="Z6182" s="23"/>
    </row>
    <row r="6183" spans="1:26" ht="13">
      <c r="A6183" s="562" t="s">
        <v>13383</v>
      </c>
      <c r="B6183" s="563" t="s">
        <v>13384</v>
      </c>
      <c r="C6183" s="564" t="s">
        <v>2484</v>
      </c>
      <c r="D6183" s="565">
        <v>39119</v>
      </c>
      <c r="E6183" s="565">
        <v>39507</v>
      </c>
      <c r="F6183" s="566">
        <v>85454545</v>
      </c>
      <c r="G6183" s="564" t="s">
        <v>2519</v>
      </c>
      <c r="H6183" s="564" t="s">
        <v>2519</v>
      </c>
      <c r="I6183" s="564" t="s">
        <v>12297</v>
      </c>
      <c r="J6183" s="564" t="s">
        <v>1069</v>
      </c>
      <c r="K6183" s="564" t="s">
        <v>2466</v>
      </c>
      <c r="L6183" s="564" t="s">
        <v>2467</v>
      </c>
      <c r="M6183" s="564" t="s">
        <v>2466</v>
      </c>
      <c r="N6183" s="564" t="s">
        <v>2439</v>
      </c>
      <c r="O6183" s="564" t="s">
        <v>12077</v>
      </c>
      <c r="P6183" s="23"/>
      <c r="Q6183" s="23"/>
      <c r="R6183" s="23"/>
      <c r="S6183" s="23"/>
      <c r="T6183" s="23"/>
      <c r="U6183" s="23"/>
      <c r="V6183" s="23"/>
      <c r="W6183" s="23"/>
      <c r="X6183" s="23"/>
      <c r="Y6183" s="23"/>
      <c r="Z6183" s="23"/>
    </row>
    <row r="6184" spans="1:26" ht="13">
      <c r="A6184" s="562" t="s">
        <v>13385</v>
      </c>
      <c r="B6184" s="563" t="s">
        <v>13386</v>
      </c>
      <c r="C6184" s="564" t="s">
        <v>2484</v>
      </c>
      <c r="D6184" s="565">
        <v>39084</v>
      </c>
      <c r="E6184" s="565">
        <v>39447</v>
      </c>
      <c r="F6184" s="566">
        <v>17372727</v>
      </c>
      <c r="G6184" s="564" t="s">
        <v>2518</v>
      </c>
      <c r="H6184" s="564" t="s">
        <v>12125</v>
      </c>
      <c r="I6184" s="564" t="s">
        <v>12147</v>
      </c>
      <c r="J6184" s="564" t="s">
        <v>1069</v>
      </c>
      <c r="K6184" s="564" t="s">
        <v>2466</v>
      </c>
      <c r="L6184" s="564" t="s">
        <v>2467</v>
      </c>
      <c r="M6184" s="564" t="s">
        <v>2466</v>
      </c>
      <c r="N6184" s="564" t="s">
        <v>2543</v>
      </c>
      <c r="O6184" s="564" t="s">
        <v>12077</v>
      </c>
      <c r="P6184" s="23"/>
      <c r="Q6184" s="23"/>
      <c r="R6184" s="23"/>
      <c r="S6184" s="23"/>
      <c r="T6184" s="23"/>
      <c r="U6184" s="23"/>
      <c r="V6184" s="23"/>
      <c r="W6184" s="23"/>
      <c r="X6184" s="23"/>
      <c r="Y6184" s="23"/>
      <c r="Z6184" s="23"/>
    </row>
    <row r="6185" spans="1:26" ht="13">
      <c r="A6185" s="562" t="s">
        <v>13387</v>
      </c>
      <c r="B6185" s="563" t="s">
        <v>13388</v>
      </c>
      <c r="C6185" s="564" t="s">
        <v>2484</v>
      </c>
      <c r="D6185" s="565">
        <v>39086</v>
      </c>
      <c r="E6185" s="565">
        <v>39155</v>
      </c>
      <c r="F6185" s="566">
        <v>45008954</v>
      </c>
      <c r="G6185" s="564" t="s">
        <v>12124</v>
      </c>
      <c r="H6185" s="564"/>
      <c r="I6185" s="564" t="s">
        <v>13108</v>
      </c>
      <c r="J6185" s="564" t="s">
        <v>1069</v>
      </c>
      <c r="K6185" s="564" t="s">
        <v>2466</v>
      </c>
      <c r="L6185" s="564" t="s">
        <v>2467</v>
      </c>
      <c r="M6185" s="564" t="s">
        <v>2466</v>
      </c>
      <c r="N6185" s="564" t="s">
        <v>1082</v>
      </c>
      <c r="O6185" s="564" t="s">
        <v>12077</v>
      </c>
      <c r="P6185" s="23"/>
      <c r="Q6185" s="23"/>
      <c r="R6185" s="23"/>
      <c r="S6185" s="23"/>
      <c r="T6185" s="23"/>
      <c r="U6185" s="23"/>
      <c r="V6185" s="23"/>
      <c r="W6185" s="23"/>
      <c r="X6185" s="23"/>
      <c r="Y6185" s="23"/>
      <c r="Z6185" s="23"/>
    </row>
    <row r="6186" spans="1:26" ht="13">
      <c r="A6186" s="562" t="s">
        <v>13389</v>
      </c>
      <c r="B6186" s="563" t="s">
        <v>13390</v>
      </c>
      <c r="C6186" s="564" t="s">
        <v>2484</v>
      </c>
      <c r="D6186" s="565">
        <v>39084</v>
      </c>
      <c r="E6186" s="565">
        <v>39113</v>
      </c>
      <c r="F6186" s="566">
        <v>25000000</v>
      </c>
      <c r="G6186" s="564" t="s">
        <v>13391</v>
      </c>
      <c r="H6186" s="564" t="s">
        <v>2546</v>
      </c>
      <c r="I6186" s="564" t="s">
        <v>13392</v>
      </c>
      <c r="J6186" s="564" t="s">
        <v>1069</v>
      </c>
      <c r="K6186" s="564" t="s">
        <v>2466</v>
      </c>
      <c r="L6186" s="564" t="s">
        <v>2467</v>
      </c>
      <c r="M6186" s="564" t="s">
        <v>2466</v>
      </c>
      <c r="N6186" s="564" t="s">
        <v>1082</v>
      </c>
      <c r="O6186" s="564" t="s">
        <v>12077</v>
      </c>
      <c r="P6186" s="23"/>
      <c r="Q6186" s="23"/>
      <c r="R6186" s="23"/>
      <c r="S6186" s="23"/>
      <c r="T6186" s="23"/>
      <c r="U6186" s="23"/>
      <c r="V6186" s="23"/>
      <c r="W6186" s="23"/>
      <c r="X6186" s="23"/>
      <c r="Y6186" s="23"/>
      <c r="Z6186" s="23"/>
    </row>
    <row r="6187" spans="1:26" ht="13">
      <c r="A6187" s="562" t="s">
        <v>13393</v>
      </c>
      <c r="B6187" s="563" t="s">
        <v>13394</v>
      </c>
      <c r="C6187" s="564" t="s">
        <v>2484</v>
      </c>
      <c r="D6187" s="565">
        <v>39447</v>
      </c>
      <c r="E6187" s="565">
        <v>39813</v>
      </c>
      <c r="F6187" s="567"/>
      <c r="G6187" s="564" t="s">
        <v>12586</v>
      </c>
      <c r="H6187" s="564"/>
      <c r="I6187" s="564" t="s">
        <v>2311</v>
      </c>
      <c r="J6187" s="564" t="s">
        <v>1069</v>
      </c>
      <c r="K6187" s="564" t="s">
        <v>2466</v>
      </c>
      <c r="L6187" s="564" t="s">
        <v>2467</v>
      </c>
      <c r="M6187" s="564" t="s">
        <v>2466</v>
      </c>
      <c r="N6187" s="564" t="s">
        <v>1073</v>
      </c>
      <c r="O6187" s="564" t="s">
        <v>4798</v>
      </c>
      <c r="P6187" s="23"/>
      <c r="Q6187" s="23"/>
      <c r="R6187" s="23"/>
      <c r="S6187" s="23"/>
      <c r="T6187" s="23"/>
      <c r="U6187" s="23"/>
      <c r="V6187" s="23"/>
      <c r="W6187" s="23"/>
      <c r="X6187" s="23"/>
      <c r="Y6187" s="23"/>
      <c r="Z6187" s="23"/>
    </row>
    <row r="6188" spans="1:26" ht="13">
      <c r="A6188" s="562" t="s">
        <v>13395</v>
      </c>
      <c r="B6188" s="563" t="s">
        <v>13396</v>
      </c>
      <c r="C6188" s="564" t="s">
        <v>2484</v>
      </c>
      <c r="D6188" s="565">
        <v>39444</v>
      </c>
      <c r="E6188" s="565">
        <v>39464</v>
      </c>
      <c r="F6188" s="566">
        <v>26818181</v>
      </c>
      <c r="G6188" s="564" t="s">
        <v>2555</v>
      </c>
      <c r="H6188" s="564" t="s">
        <v>2323</v>
      </c>
      <c r="I6188" s="564" t="s">
        <v>2542</v>
      </c>
      <c r="J6188" s="564" t="s">
        <v>1069</v>
      </c>
      <c r="K6188" s="564" t="s">
        <v>2466</v>
      </c>
      <c r="L6188" s="564" t="s">
        <v>2467</v>
      </c>
      <c r="M6188" s="564" t="s">
        <v>2466</v>
      </c>
      <c r="N6188" s="564" t="s">
        <v>2543</v>
      </c>
      <c r="O6188" s="564" t="s">
        <v>12077</v>
      </c>
      <c r="P6188" s="23"/>
      <c r="Q6188" s="23"/>
      <c r="R6188" s="23"/>
      <c r="S6188" s="23"/>
      <c r="T6188" s="23"/>
      <c r="U6188" s="23"/>
      <c r="V6188" s="23"/>
      <c r="W6188" s="23"/>
      <c r="X6188" s="23"/>
      <c r="Y6188" s="23"/>
      <c r="Z6188" s="23"/>
    </row>
    <row r="6189" spans="1:26" ht="13">
      <c r="A6189" s="562" t="s">
        <v>13397</v>
      </c>
      <c r="B6189" s="563" t="s">
        <v>13398</v>
      </c>
      <c r="C6189" s="564" t="s">
        <v>2484</v>
      </c>
      <c r="D6189" s="565">
        <v>39444</v>
      </c>
      <c r="E6189" s="565">
        <v>39444</v>
      </c>
      <c r="F6189" s="566">
        <v>35909091</v>
      </c>
      <c r="G6189" s="564" t="s">
        <v>2464</v>
      </c>
      <c r="H6189" s="564" t="s">
        <v>2541</v>
      </c>
      <c r="I6189" s="564" t="s">
        <v>12334</v>
      </c>
      <c r="J6189" s="564" t="s">
        <v>1069</v>
      </c>
      <c r="K6189" s="564" t="s">
        <v>2466</v>
      </c>
      <c r="L6189" s="564" t="s">
        <v>2467</v>
      </c>
      <c r="M6189" s="564" t="s">
        <v>2466</v>
      </c>
      <c r="N6189" s="564" t="s">
        <v>2439</v>
      </c>
      <c r="O6189" s="564" t="s">
        <v>12077</v>
      </c>
      <c r="P6189" s="23"/>
      <c r="Q6189" s="23"/>
      <c r="R6189" s="23"/>
      <c r="S6189" s="23"/>
      <c r="T6189" s="23"/>
      <c r="U6189" s="23"/>
      <c r="V6189" s="23"/>
      <c r="W6189" s="23"/>
      <c r="X6189" s="23"/>
      <c r="Y6189" s="23"/>
      <c r="Z6189" s="23"/>
    </row>
    <row r="6190" spans="1:26" ht="13">
      <c r="A6190" s="562" t="s">
        <v>13399</v>
      </c>
      <c r="B6190" s="563" t="s">
        <v>13400</v>
      </c>
      <c r="C6190" s="564" t="s">
        <v>2484</v>
      </c>
      <c r="D6190" s="565">
        <v>39443</v>
      </c>
      <c r="E6190" s="565">
        <v>39490</v>
      </c>
      <c r="F6190" s="566">
        <v>10218182</v>
      </c>
      <c r="G6190" s="564" t="s">
        <v>13339</v>
      </c>
      <c r="H6190" s="564" t="s">
        <v>13150</v>
      </c>
      <c r="I6190" s="564" t="s">
        <v>13342</v>
      </c>
      <c r="J6190" s="564" t="s">
        <v>1069</v>
      </c>
      <c r="K6190" s="564" t="s">
        <v>2466</v>
      </c>
      <c r="L6190" s="564" t="s">
        <v>2467</v>
      </c>
      <c r="M6190" s="564" t="s">
        <v>2466</v>
      </c>
      <c r="N6190" s="564" t="s">
        <v>2543</v>
      </c>
      <c r="O6190" s="564" t="s">
        <v>12077</v>
      </c>
      <c r="P6190" s="23"/>
      <c r="Q6190" s="23"/>
      <c r="R6190" s="23"/>
      <c r="S6190" s="23"/>
      <c r="T6190" s="23"/>
      <c r="U6190" s="23"/>
      <c r="V6190" s="23"/>
      <c r="W6190" s="23"/>
      <c r="X6190" s="23"/>
      <c r="Y6190" s="23"/>
      <c r="Z6190" s="23"/>
    </row>
    <row r="6191" spans="1:26" ht="13">
      <c r="A6191" s="562" t="s">
        <v>13401</v>
      </c>
      <c r="B6191" s="563" t="s">
        <v>13402</v>
      </c>
      <c r="C6191" s="564" t="s">
        <v>2484</v>
      </c>
      <c r="D6191" s="565">
        <v>39440</v>
      </c>
      <c r="E6191" s="565">
        <v>39670</v>
      </c>
      <c r="F6191" s="566">
        <v>274849091</v>
      </c>
      <c r="G6191" s="564" t="s">
        <v>13339</v>
      </c>
      <c r="H6191" s="564" t="s">
        <v>2541</v>
      </c>
      <c r="I6191" s="564" t="s">
        <v>12297</v>
      </c>
      <c r="J6191" s="564" t="s">
        <v>1069</v>
      </c>
      <c r="K6191" s="564" t="s">
        <v>2466</v>
      </c>
      <c r="L6191" s="564" t="s">
        <v>2467</v>
      </c>
      <c r="M6191" s="564" t="s">
        <v>2466</v>
      </c>
      <c r="N6191" s="564" t="s">
        <v>2439</v>
      </c>
      <c r="O6191" s="564" t="s">
        <v>12077</v>
      </c>
      <c r="P6191" s="23"/>
      <c r="Q6191" s="23"/>
      <c r="R6191" s="23"/>
      <c r="S6191" s="23"/>
      <c r="T6191" s="23"/>
      <c r="U6191" s="23"/>
      <c r="V6191" s="23"/>
      <c r="W6191" s="23"/>
      <c r="X6191" s="23"/>
      <c r="Y6191" s="23"/>
      <c r="Z6191" s="23"/>
    </row>
    <row r="6192" spans="1:26" ht="13">
      <c r="A6192" s="562" t="s">
        <v>13403</v>
      </c>
      <c r="B6192" s="563" t="s">
        <v>13404</v>
      </c>
      <c r="C6192" s="564" t="s">
        <v>2484</v>
      </c>
      <c r="D6192" s="565">
        <v>39436</v>
      </c>
      <c r="E6192" s="565">
        <v>39706</v>
      </c>
      <c r="F6192" s="566">
        <v>256236364</v>
      </c>
      <c r="G6192" s="564" t="s">
        <v>2464</v>
      </c>
      <c r="H6192" s="564" t="s">
        <v>2541</v>
      </c>
      <c r="I6192" s="564" t="s">
        <v>12297</v>
      </c>
      <c r="J6192" s="564" t="s">
        <v>1069</v>
      </c>
      <c r="K6192" s="564" t="s">
        <v>2466</v>
      </c>
      <c r="L6192" s="564" t="s">
        <v>2467</v>
      </c>
      <c r="M6192" s="564" t="s">
        <v>2466</v>
      </c>
      <c r="N6192" s="564" t="s">
        <v>2439</v>
      </c>
      <c r="O6192" s="564" t="s">
        <v>12077</v>
      </c>
      <c r="P6192" s="23"/>
      <c r="Q6192" s="23"/>
      <c r="R6192" s="23"/>
      <c r="S6192" s="23"/>
      <c r="T6192" s="23"/>
      <c r="U6192" s="23"/>
      <c r="V6192" s="23"/>
      <c r="W6192" s="23"/>
      <c r="X6192" s="23"/>
      <c r="Y6192" s="23"/>
      <c r="Z6192" s="23"/>
    </row>
    <row r="6193" spans="1:26" ht="13">
      <c r="A6193" s="562" t="s">
        <v>13405</v>
      </c>
      <c r="B6193" s="563" t="s">
        <v>13406</v>
      </c>
      <c r="C6193" s="564" t="s">
        <v>2484</v>
      </c>
      <c r="D6193" s="565">
        <v>39442</v>
      </c>
      <c r="E6193" s="565">
        <v>39492</v>
      </c>
      <c r="F6193" s="566">
        <v>95950909</v>
      </c>
      <c r="G6193" s="564" t="s">
        <v>12586</v>
      </c>
      <c r="H6193" s="564" t="s">
        <v>2459</v>
      </c>
      <c r="I6193" s="564" t="s">
        <v>12955</v>
      </c>
      <c r="J6193" s="564" t="s">
        <v>1069</v>
      </c>
      <c r="K6193" s="564" t="s">
        <v>2466</v>
      </c>
      <c r="L6193" s="564" t="s">
        <v>2467</v>
      </c>
      <c r="M6193" s="564" t="s">
        <v>2466</v>
      </c>
      <c r="N6193" s="564" t="s">
        <v>2543</v>
      </c>
      <c r="O6193" s="564" t="s">
        <v>12077</v>
      </c>
      <c r="P6193" s="23"/>
      <c r="Q6193" s="23"/>
      <c r="R6193" s="23"/>
      <c r="S6193" s="23"/>
      <c r="T6193" s="23"/>
      <c r="U6193" s="23"/>
      <c r="V6193" s="23"/>
      <c r="W6193" s="23"/>
      <c r="X6193" s="23"/>
      <c r="Y6193" s="23"/>
      <c r="Z6193" s="23"/>
    </row>
    <row r="6194" spans="1:26" ht="13">
      <c r="A6194" s="562" t="s">
        <v>13407</v>
      </c>
      <c r="B6194" s="563" t="s">
        <v>13408</v>
      </c>
      <c r="C6194" s="564" t="s">
        <v>2484</v>
      </c>
      <c r="D6194" s="565">
        <v>39423</v>
      </c>
      <c r="E6194" s="565">
        <v>39633</v>
      </c>
      <c r="F6194" s="566">
        <v>252958182</v>
      </c>
      <c r="G6194" s="564" t="s">
        <v>12124</v>
      </c>
      <c r="H6194" s="564" t="s">
        <v>13150</v>
      </c>
      <c r="I6194" s="564" t="s">
        <v>12105</v>
      </c>
      <c r="J6194" s="564" t="s">
        <v>1069</v>
      </c>
      <c r="K6194" s="564" t="s">
        <v>2466</v>
      </c>
      <c r="L6194" s="564" t="s">
        <v>2467</v>
      </c>
      <c r="M6194" s="564" t="s">
        <v>2466</v>
      </c>
      <c r="N6194" s="564" t="s">
        <v>1082</v>
      </c>
      <c r="O6194" s="564" t="s">
        <v>12077</v>
      </c>
      <c r="P6194" s="23"/>
      <c r="Q6194" s="23"/>
      <c r="R6194" s="23"/>
      <c r="S6194" s="23"/>
      <c r="T6194" s="23"/>
      <c r="U6194" s="23"/>
      <c r="V6194" s="23"/>
      <c r="W6194" s="23"/>
      <c r="X6194" s="23"/>
      <c r="Y6194" s="23"/>
      <c r="Z6194" s="23"/>
    </row>
    <row r="6195" spans="1:26" ht="13">
      <c r="A6195" s="562" t="s">
        <v>13409</v>
      </c>
      <c r="B6195" s="563" t="s">
        <v>13410</v>
      </c>
      <c r="C6195" s="564" t="s">
        <v>2484</v>
      </c>
      <c r="D6195" s="565">
        <v>39288</v>
      </c>
      <c r="E6195" s="565">
        <v>39620</v>
      </c>
      <c r="F6195" s="566">
        <v>114690909</v>
      </c>
      <c r="G6195" s="564" t="s">
        <v>12124</v>
      </c>
      <c r="H6195" s="564" t="s">
        <v>12120</v>
      </c>
      <c r="I6195" s="564" t="s">
        <v>12105</v>
      </c>
      <c r="J6195" s="564" t="s">
        <v>1069</v>
      </c>
      <c r="K6195" s="564" t="s">
        <v>2466</v>
      </c>
      <c r="L6195" s="564" t="s">
        <v>2467</v>
      </c>
      <c r="M6195" s="564" t="s">
        <v>2466</v>
      </c>
      <c r="N6195" s="564" t="s">
        <v>1082</v>
      </c>
      <c r="O6195" s="564" t="s">
        <v>12077</v>
      </c>
      <c r="P6195" s="23"/>
      <c r="Q6195" s="23"/>
      <c r="R6195" s="23"/>
      <c r="S6195" s="23"/>
      <c r="T6195" s="23"/>
      <c r="U6195" s="23"/>
      <c r="V6195" s="23"/>
      <c r="W6195" s="23"/>
      <c r="X6195" s="23"/>
      <c r="Y6195" s="23"/>
      <c r="Z6195" s="23"/>
    </row>
    <row r="6196" spans="1:26" ht="13">
      <c r="A6196" s="562" t="s">
        <v>13411</v>
      </c>
      <c r="B6196" s="563" t="s">
        <v>13412</v>
      </c>
      <c r="C6196" s="564" t="s">
        <v>2484</v>
      </c>
      <c r="D6196" s="565">
        <v>39430</v>
      </c>
      <c r="E6196" s="565">
        <v>39551</v>
      </c>
      <c r="F6196" s="566">
        <v>147961819</v>
      </c>
      <c r="G6196" s="564" t="s">
        <v>2464</v>
      </c>
      <c r="H6196" s="564" t="s">
        <v>2541</v>
      </c>
      <c r="I6196" s="564" t="s">
        <v>12105</v>
      </c>
      <c r="J6196" s="564" t="s">
        <v>1069</v>
      </c>
      <c r="K6196" s="564" t="s">
        <v>2466</v>
      </c>
      <c r="L6196" s="564" t="s">
        <v>2467</v>
      </c>
      <c r="M6196" s="564" t="s">
        <v>2466</v>
      </c>
      <c r="N6196" s="564" t="s">
        <v>1082</v>
      </c>
      <c r="O6196" s="564" t="s">
        <v>12077</v>
      </c>
      <c r="P6196" s="23"/>
      <c r="Q6196" s="23"/>
      <c r="R6196" s="23"/>
      <c r="S6196" s="23"/>
      <c r="T6196" s="23"/>
      <c r="U6196" s="23"/>
      <c r="V6196" s="23"/>
      <c r="W6196" s="23"/>
      <c r="X6196" s="23"/>
      <c r="Y6196" s="23"/>
      <c r="Z6196" s="23"/>
    </row>
    <row r="6197" spans="1:26" ht="13">
      <c r="A6197" s="562" t="s">
        <v>13413</v>
      </c>
      <c r="B6197" s="563" t="s">
        <v>13414</v>
      </c>
      <c r="C6197" s="564" t="s">
        <v>2484</v>
      </c>
      <c r="D6197" s="565">
        <v>39420</v>
      </c>
      <c r="E6197" s="565">
        <v>39451</v>
      </c>
      <c r="F6197" s="566">
        <v>25000000</v>
      </c>
      <c r="G6197" s="564" t="s">
        <v>2502</v>
      </c>
      <c r="H6197" s="564" t="s">
        <v>12365</v>
      </c>
      <c r="I6197" s="564" t="s">
        <v>12282</v>
      </c>
      <c r="J6197" s="564" t="s">
        <v>1069</v>
      </c>
      <c r="K6197" s="564" t="s">
        <v>2466</v>
      </c>
      <c r="L6197" s="564" t="s">
        <v>2467</v>
      </c>
      <c r="M6197" s="564" t="s">
        <v>2466</v>
      </c>
      <c r="N6197" s="564" t="s">
        <v>1082</v>
      </c>
      <c r="O6197" s="564" t="s">
        <v>12077</v>
      </c>
      <c r="P6197" s="23"/>
      <c r="Q6197" s="23"/>
      <c r="R6197" s="23"/>
      <c r="S6197" s="23"/>
      <c r="T6197" s="23"/>
      <c r="U6197" s="23"/>
      <c r="V6197" s="23"/>
      <c r="W6197" s="23"/>
      <c r="X6197" s="23"/>
      <c r="Y6197" s="23"/>
      <c r="Z6197" s="23"/>
    </row>
    <row r="6198" spans="1:26" ht="13">
      <c r="A6198" s="562" t="s">
        <v>13415</v>
      </c>
      <c r="B6198" s="563" t="s">
        <v>13416</v>
      </c>
      <c r="C6198" s="564" t="s">
        <v>2484</v>
      </c>
      <c r="D6198" s="565">
        <v>39416</v>
      </c>
      <c r="E6198" s="565">
        <v>39538</v>
      </c>
      <c r="F6198" s="566">
        <v>44900000</v>
      </c>
      <c r="G6198" s="564" t="s">
        <v>12124</v>
      </c>
      <c r="H6198" s="564" t="s">
        <v>13150</v>
      </c>
      <c r="I6198" s="564" t="s">
        <v>13417</v>
      </c>
      <c r="J6198" s="564" t="s">
        <v>1069</v>
      </c>
      <c r="K6198" s="564" t="s">
        <v>2466</v>
      </c>
      <c r="L6198" s="564" t="s">
        <v>2467</v>
      </c>
      <c r="M6198" s="564" t="s">
        <v>2466</v>
      </c>
      <c r="N6198" s="564" t="s">
        <v>2543</v>
      </c>
      <c r="O6198" s="564" t="s">
        <v>12077</v>
      </c>
      <c r="P6198" s="23"/>
      <c r="Q6198" s="23"/>
      <c r="R6198" s="23"/>
      <c r="S6198" s="23"/>
      <c r="T6198" s="23"/>
      <c r="U6198" s="23"/>
      <c r="V6198" s="23"/>
      <c r="W6198" s="23"/>
      <c r="X6198" s="23"/>
      <c r="Y6198" s="23"/>
      <c r="Z6198" s="23"/>
    </row>
    <row r="6199" spans="1:26" ht="13">
      <c r="A6199" s="562" t="s">
        <v>13418</v>
      </c>
      <c r="B6199" s="563" t="s">
        <v>13419</v>
      </c>
      <c r="C6199" s="564" t="s">
        <v>2484</v>
      </c>
      <c r="D6199" s="565">
        <v>39413</v>
      </c>
      <c r="E6199" s="565">
        <v>39473</v>
      </c>
      <c r="F6199" s="566">
        <v>19861818</v>
      </c>
      <c r="G6199" s="564" t="s">
        <v>12586</v>
      </c>
      <c r="H6199" s="564" t="s">
        <v>2459</v>
      </c>
      <c r="I6199" s="564" t="s">
        <v>12361</v>
      </c>
      <c r="J6199" s="564" t="s">
        <v>1069</v>
      </c>
      <c r="K6199" s="564" t="s">
        <v>2466</v>
      </c>
      <c r="L6199" s="564" t="s">
        <v>2467</v>
      </c>
      <c r="M6199" s="564" t="s">
        <v>2466</v>
      </c>
      <c r="N6199" s="564" t="s">
        <v>2543</v>
      </c>
      <c r="O6199" s="564" t="s">
        <v>12077</v>
      </c>
      <c r="P6199" s="23"/>
      <c r="Q6199" s="23"/>
      <c r="R6199" s="23"/>
      <c r="S6199" s="23"/>
      <c r="T6199" s="23"/>
      <c r="U6199" s="23"/>
      <c r="V6199" s="23"/>
      <c r="W6199" s="23"/>
      <c r="X6199" s="23"/>
      <c r="Y6199" s="23"/>
      <c r="Z6199" s="23"/>
    </row>
    <row r="6200" spans="1:26" ht="13">
      <c r="A6200" s="562" t="s">
        <v>13420</v>
      </c>
      <c r="B6200" s="563" t="s">
        <v>13421</v>
      </c>
      <c r="C6200" s="564" t="s">
        <v>2484</v>
      </c>
      <c r="D6200" s="565">
        <v>39401</v>
      </c>
      <c r="E6200" s="565">
        <v>39641</v>
      </c>
      <c r="F6200" s="566">
        <v>145681818</v>
      </c>
      <c r="G6200" s="564" t="s">
        <v>12124</v>
      </c>
      <c r="H6200" s="564" t="s">
        <v>12096</v>
      </c>
      <c r="I6200" s="564" t="s">
        <v>12121</v>
      </c>
      <c r="J6200" s="564" t="s">
        <v>1069</v>
      </c>
      <c r="K6200" s="564" t="s">
        <v>2466</v>
      </c>
      <c r="L6200" s="564" t="s">
        <v>2467</v>
      </c>
      <c r="M6200" s="564" t="s">
        <v>2466</v>
      </c>
      <c r="N6200" s="564" t="s">
        <v>2543</v>
      </c>
      <c r="O6200" s="564" t="s">
        <v>12077</v>
      </c>
      <c r="P6200" s="23"/>
      <c r="Q6200" s="23"/>
      <c r="R6200" s="23"/>
      <c r="S6200" s="23"/>
      <c r="T6200" s="23"/>
      <c r="U6200" s="23"/>
      <c r="V6200" s="23"/>
      <c r="W6200" s="23"/>
      <c r="X6200" s="23"/>
      <c r="Y6200" s="23"/>
      <c r="Z6200" s="23"/>
    </row>
    <row r="6201" spans="1:26" ht="13">
      <c r="A6201" s="562" t="s">
        <v>13422</v>
      </c>
      <c r="B6201" s="563" t="s">
        <v>13423</v>
      </c>
      <c r="C6201" s="564" t="s">
        <v>2484</v>
      </c>
      <c r="D6201" s="565">
        <v>39395</v>
      </c>
      <c r="E6201" s="565">
        <v>39442</v>
      </c>
      <c r="F6201" s="566">
        <v>47872727</v>
      </c>
      <c r="G6201" s="564" t="s">
        <v>12124</v>
      </c>
      <c r="H6201" s="564" t="s">
        <v>13150</v>
      </c>
      <c r="I6201" s="564" t="s">
        <v>13151</v>
      </c>
      <c r="J6201" s="564" t="s">
        <v>1069</v>
      </c>
      <c r="K6201" s="564" t="s">
        <v>2466</v>
      </c>
      <c r="L6201" s="564" t="s">
        <v>2467</v>
      </c>
      <c r="M6201" s="564" t="s">
        <v>2466</v>
      </c>
      <c r="N6201" s="564" t="s">
        <v>2325</v>
      </c>
      <c r="O6201" s="564" t="s">
        <v>12077</v>
      </c>
      <c r="P6201" s="23"/>
      <c r="Q6201" s="23"/>
      <c r="R6201" s="23"/>
      <c r="S6201" s="23"/>
      <c r="T6201" s="23"/>
      <c r="U6201" s="23"/>
      <c r="V6201" s="23"/>
      <c r="W6201" s="23"/>
      <c r="X6201" s="23"/>
      <c r="Y6201" s="23"/>
      <c r="Z6201" s="23"/>
    </row>
    <row r="6202" spans="1:26" ht="13">
      <c r="A6202" s="562" t="s">
        <v>13424</v>
      </c>
      <c r="B6202" s="563" t="s">
        <v>13425</v>
      </c>
      <c r="C6202" s="564" t="s">
        <v>2484</v>
      </c>
      <c r="D6202" s="565">
        <v>39402</v>
      </c>
      <c r="E6202" s="565">
        <v>39462</v>
      </c>
      <c r="F6202" s="566">
        <v>17272727</v>
      </c>
      <c r="G6202" s="564" t="s">
        <v>12124</v>
      </c>
      <c r="H6202" s="564" t="s">
        <v>2546</v>
      </c>
      <c r="I6202" s="564" t="s">
        <v>12535</v>
      </c>
      <c r="J6202" s="564" t="s">
        <v>1069</v>
      </c>
      <c r="K6202" s="564" t="s">
        <v>2466</v>
      </c>
      <c r="L6202" s="564" t="s">
        <v>2467</v>
      </c>
      <c r="M6202" s="564" t="s">
        <v>2466</v>
      </c>
      <c r="N6202" s="564" t="s">
        <v>1082</v>
      </c>
      <c r="O6202" s="564" t="s">
        <v>12077</v>
      </c>
      <c r="P6202" s="23"/>
      <c r="Q6202" s="23"/>
      <c r="R6202" s="23"/>
      <c r="S6202" s="23"/>
      <c r="T6202" s="23"/>
      <c r="U6202" s="23"/>
      <c r="V6202" s="23"/>
      <c r="W6202" s="23"/>
      <c r="X6202" s="23"/>
      <c r="Y6202" s="23"/>
      <c r="Z6202" s="23"/>
    </row>
    <row r="6203" spans="1:26" ht="13">
      <c r="A6203" s="562" t="s">
        <v>13426</v>
      </c>
      <c r="B6203" s="563" t="s">
        <v>13427</v>
      </c>
      <c r="C6203" s="564" t="s">
        <v>2484</v>
      </c>
      <c r="D6203" s="565">
        <v>39387</v>
      </c>
      <c r="E6203" s="565">
        <v>39447</v>
      </c>
      <c r="F6203" s="566">
        <v>4750000</v>
      </c>
      <c r="G6203" s="564" t="s">
        <v>2464</v>
      </c>
      <c r="H6203" s="564" t="s">
        <v>12096</v>
      </c>
      <c r="I6203" s="564" t="s">
        <v>13428</v>
      </c>
      <c r="J6203" s="564" t="s">
        <v>1069</v>
      </c>
      <c r="K6203" s="564" t="s">
        <v>2466</v>
      </c>
      <c r="L6203" s="564" t="s">
        <v>2467</v>
      </c>
      <c r="M6203" s="564" t="s">
        <v>2466</v>
      </c>
      <c r="N6203" s="564" t="s">
        <v>2543</v>
      </c>
      <c r="O6203" s="564" t="s">
        <v>12077</v>
      </c>
      <c r="P6203" s="23"/>
      <c r="Q6203" s="23"/>
      <c r="R6203" s="23"/>
      <c r="S6203" s="23"/>
      <c r="T6203" s="23"/>
      <c r="U6203" s="23"/>
      <c r="V6203" s="23"/>
      <c r="W6203" s="23"/>
      <c r="X6203" s="23"/>
      <c r="Y6203" s="23"/>
      <c r="Z6203" s="23"/>
    </row>
    <row r="6204" spans="1:26" ht="13">
      <c r="A6204" s="562" t="s">
        <v>13429</v>
      </c>
      <c r="B6204" s="563" t="s">
        <v>13430</v>
      </c>
      <c r="C6204" s="564" t="s">
        <v>2484</v>
      </c>
      <c r="D6204" s="565">
        <v>39395</v>
      </c>
      <c r="E6204" s="565">
        <v>39629</v>
      </c>
      <c r="F6204" s="566">
        <v>135000000</v>
      </c>
      <c r="G6204" s="564" t="s">
        <v>12084</v>
      </c>
      <c r="H6204" s="564" t="s">
        <v>12640</v>
      </c>
      <c r="I6204" s="564" t="s">
        <v>13431</v>
      </c>
      <c r="J6204" s="564" t="s">
        <v>1069</v>
      </c>
      <c r="K6204" s="564" t="s">
        <v>2466</v>
      </c>
      <c r="L6204" s="564" t="s">
        <v>2467</v>
      </c>
      <c r="M6204" s="564" t="s">
        <v>2466</v>
      </c>
      <c r="N6204" s="564" t="s">
        <v>1082</v>
      </c>
      <c r="O6204" s="564" t="s">
        <v>12077</v>
      </c>
      <c r="P6204" s="23"/>
      <c r="Q6204" s="23"/>
      <c r="R6204" s="23"/>
      <c r="S6204" s="23"/>
      <c r="T6204" s="23"/>
      <c r="U6204" s="23"/>
      <c r="V6204" s="23"/>
      <c r="W6204" s="23"/>
      <c r="X6204" s="23"/>
      <c r="Y6204" s="23"/>
      <c r="Z6204" s="23"/>
    </row>
    <row r="6205" spans="1:26" ht="13">
      <c r="A6205" s="562" t="s">
        <v>13432</v>
      </c>
      <c r="B6205" s="563" t="s">
        <v>13433</v>
      </c>
      <c r="C6205" s="564" t="s">
        <v>2484</v>
      </c>
      <c r="D6205" s="565">
        <v>39387</v>
      </c>
      <c r="E6205" s="565">
        <v>39417</v>
      </c>
      <c r="F6205" s="566">
        <v>26363636</v>
      </c>
      <c r="G6205" s="564" t="s">
        <v>2464</v>
      </c>
      <c r="H6205" s="564" t="s">
        <v>2541</v>
      </c>
      <c r="I6205" s="564" t="s">
        <v>12334</v>
      </c>
      <c r="J6205" s="564" t="s">
        <v>1069</v>
      </c>
      <c r="K6205" s="564" t="s">
        <v>2466</v>
      </c>
      <c r="L6205" s="564" t="s">
        <v>2467</v>
      </c>
      <c r="M6205" s="564" t="s">
        <v>2466</v>
      </c>
      <c r="N6205" s="564" t="s">
        <v>2439</v>
      </c>
      <c r="O6205" s="564" t="s">
        <v>12077</v>
      </c>
      <c r="P6205" s="23"/>
      <c r="Q6205" s="23"/>
      <c r="R6205" s="23"/>
      <c r="S6205" s="23"/>
      <c r="T6205" s="23"/>
      <c r="U6205" s="23"/>
      <c r="V6205" s="23"/>
      <c r="W6205" s="23"/>
      <c r="X6205" s="23"/>
      <c r="Y6205" s="23"/>
      <c r="Z6205" s="23"/>
    </row>
    <row r="6206" spans="1:26" ht="13">
      <c r="A6206" s="562" t="s">
        <v>13434</v>
      </c>
      <c r="B6206" s="563" t="s">
        <v>13435</v>
      </c>
      <c r="C6206" s="564" t="s">
        <v>2484</v>
      </c>
      <c r="D6206" s="565">
        <v>39388</v>
      </c>
      <c r="E6206" s="565">
        <v>39568</v>
      </c>
      <c r="F6206" s="566">
        <v>33861818</v>
      </c>
      <c r="G6206" s="564" t="s">
        <v>2518</v>
      </c>
      <c r="H6206" s="564" t="s">
        <v>12096</v>
      </c>
      <c r="I6206" s="564" t="s">
        <v>13436</v>
      </c>
      <c r="J6206" s="564" t="s">
        <v>1069</v>
      </c>
      <c r="K6206" s="564" t="s">
        <v>2466</v>
      </c>
      <c r="L6206" s="564" t="s">
        <v>2467</v>
      </c>
      <c r="M6206" s="564" t="s">
        <v>2466</v>
      </c>
      <c r="N6206" s="564" t="s">
        <v>2543</v>
      </c>
      <c r="O6206" s="564" t="s">
        <v>12077</v>
      </c>
      <c r="P6206" s="23"/>
      <c r="Q6206" s="23"/>
      <c r="R6206" s="23"/>
      <c r="S6206" s="23"/>
      <c r="T6206" s="23"/>
      <c r="U6206" s="23"/>
      <c r="V6206" s="23"/>
      <c r="W6206" s="23"/>
      <c r="X6206" s="23"/>
      <c r="Y6206" s="23"/>
      <c r="Z6206" s="23"/>
    </row>
    <row r="6207" spans="1:26" ht="13">
      <c r="A6207" s="562" t="s">
        <v>13437</v>
      </c>
      <c r="B6207" s="563" t="s">
        <v>13438</v>
      </c>
      <c r="C6207" s="564" t="s">
        <v>2484</v>
      </c>
      <c r="D6207" s="565">
        <v>39378</v>
      </c>
      <c r="E6207" s="565">
        <v>39528</v>
      </c>
      <c r="F6207" s="566">
        <v>163811364</v>
      </c>
      <c r="G6207" s="564" t="s">
        <v>13134</v>
      </c>
      <c r="H6207" s="564" t="s">
        <v>12096</v>
      </c>
      <c r="I6207" s="564" t="s">
        <v>13135</v>
      </c>
      <c r="J6207" s="564" t="s">
        <v>1069</v>
      </c>
      <c r="K6207" s="564" t="s">
        <v>2466</v>
      </c>
      <c r="L6207" s="564" t="s">
        <v>2467</v>
      </c>
      <c r="M6207" s="564" t="s">
        <v>2466</v>
      </c>
      <c r="N6207" s="564" t="s">
        <v>2325</v>
      </c>
      <c r="O6207" s="564" t="s">
        <v>12077</v>
      </c>
      <c r="P6207" s="23"/>
      <c r="Q6207" s="23"/>
      <c r="R6207" s="23"/>
      <c r="S6207" s="23"/>
      <c r="T6207" s="23"/>
      <c r="U6207" s="23"/>
      <c r="V6207" s="23"/>
      <c r="W6207" s="23"/>
      <c r="X6207" s="23"/>
      <c r="Y6207" s="23"/>
      <c r="Z6207" s="23"/>
    </row>
    <row r="6208" spans="1:26" ht="13">
      <c r="A6208" s="562" t="s">
        <v>13439</v>
      </c>
      <c r="B6208" s="563" t="s">
        <v>13440</v>
      </c>
      <c r="C6208" s="564" t="s">
        <v>2484</v>
      </c>
      <c r="D6208" s="565">
        <v>39378</v>
      </c>
      <c r="E6208" s="565">
        <v>39409</v>
      </c>
      <c r="F6208" s="566">
        <v>8000000</v>
      </c>
      <c r="G6208" s="564" t="s">
        <v>2502</v>
      </c>
      <c r="H6208" s="564" t="s">
        <v>12365</v>
      </c>
      <c r="I6208" s="564" t="s">
        <v>12897</v>
      </c>
      <c r="J6208" s="564" t="s">
        <v>1069</v>
      </c>
      <c r="K6208" s="564" t="s">
        <v>2466</v>
      </c>
      <c r="L6208" s="564" t="s">
        <v>2467</v>
      </c>
      <c r="M6208" s="564" t="s">
        <v>2466</v>
      </c>
      <c r="N6208" s="564" t="s">
        <v>1082</v>
      </c>
      <c r="O6208" s="564" t="s">
        <v>12077</v>
      </c>
      <c r="P6208" s="23"/>
      <c r="Q6208" s="23"/>
      <c r="R6208" s="23"/>
      <c r="S6208" s="23"/>
      <c r="T6208" s="23"/>
      <c r="U6208" s="23"/>
      <c r="V6208" s="23"/>
      <c r="W6208" s="23"/>
      <c r="X6208" s="23"/>
      <c r="Y6208" s="23"/>
      <c r="Z6208" s="23"/>
    </row>
    <row r="6209" spans="1:26" ht="13">
      <c r="A6209" s="562" t="s">
        <v>13441</v>
      </c>
      <c r="B6209" s="563" t="s">
        <v>13442</v>
      </c>
      <c r="C6209" s="564" t="s">
        <v>2484</v>
      </c>
      <c r="D6209" s="565">
        <v>39371</v>
      </c>
      <c r="E6209" s="565">
        <v>39390</v>
      </c>
      <c r="F6209" s="566">
        <v>15454546</v>
      </c>
      <c r="G6209" s="564" t="s">
        <v>12124</v>
      </c>
      <c r="H6209" s="564" t="s">
        <v>12096</v>
      </c>
      <c r="I6209" s="564" t="s">
        <v>13443</v>
      </c>
      <c r="J6209" s="564" t="s">
        <v>1069</v>
      </c>
      <c r="K6209" s="564" t="s">
        <v>2466</v>
      </c>
      <c r="L6209" s="564" t="s">
        <v>2467</v>
      </c>
      <c r="M6209" s="564" t="s">
        <v>2466</v>
      </c>
      <c r="N6209" s="564" t="s">
        <v>2543</v>
      </c>
      <c r="O6209" s="564" t="s">
        <v>12077</v>
      </c>
      <c r="P6209" s="23"/>
      <c r="Q6209" s="23"/>
      <c r="R6209" s="23"/>
      <c r="S6209" s="23"/>
      <c r="T6209" s="23"/>
      <c r="U6209" s="23"/>
      <c r="V6209" s="23"/>
      <c r="W6209" s="23"/>
      <c r="X6209" s="23"/>
      <c r="Y6209" s="23"/>
      <c r="Z6209" s="23"/>
    </row>
    <row r="6210" spans="1:26" ht="13">
      <c r="A6210" s="562" t="s">
        <v>13444</v>
      </c>
      <c r="B6210" s="563" t="s">
        <v>13445</v>
      </c>
      <c r="C6210" s="564" t="s">
        <v>2484</v>
      </c>
      <c r="D6210" s="565">
        <v>39360</v>
      </c>
      <c r="E6210" s="565">
        <v>39380</v>
      </c>
      <c r="F6210" s="566">
        <v>14929636</v>
      </c>
      <c r="G6210" s="564" t="s">
        <v>13339</v>
      </c>
      <c r="H6210" s="564" t="s">
        <v>2541</v>
      </c>
      <c r="I6210" s="564" t="s">
        <v>13446</v>
      </c>
      <c r="J6210" s="564" t="s">
        <v>1069</v>
      </c>
      <c r="K6210" s="564" t="s">
        <v>2466</v>
      </c>
      <c r="L6210" s="564" t="s">
        <v>2467</v>
      </c>
      <c r="M6210" s="564" t="s">
        <v>2466</v>
      </c>
      <c r="N6210" s="564" t="s">
        <v>2439</v>
      </c>
      <c r="O6210" s="564" t="s">
        <v>12077</v>
      </c>
      <c r="P6210" s="23"/>
      <c r="Q6210" s="23"/>
      <c r="R6210" s="23"/>
      <c r="S6210" s="23"/>
      <c r="T6210" s="23"/>
      <c r="U6210" s="23"/>
      <c r="V6210" s="23"/>
      <c r="W6210" s="23"/>
      <c r="X6210" s="23"/>
      <c r="Y6210" s="23"/>
      <c r="Z6210" s="23"/>
    </row>
    <row r="6211" spans="1:26" ht="13">
      <c r="A6211" s="562" t="s">
        <v>13447</v>
      </c>
      <c r="B6211" s="563" t="s">
        <v>13448</v>
      </c>
      <c r="C6211" s="564" t="s">
        <v>2484</v>
      </c>
      <c r="D6211" s="565">
        <v>39336</v>
      </c>
      <c r="E6211" s="565">
        <v>39495</v>
      </c>
      <c r="F6211" s="566">
        <v>43543636</v>
      </c>
      <c r="G6211" s="564" t="s">
        <v>13339</v>
      </c>
      <c r="H6211" s="564" t="s">
        <v>2541</v>
      </c>
      <c r="I6211" s="564" t="s">
        <v>12105</v>
      </c>
      <c r="J6211" s="564" t="s">
        <v>1069</v>
      </c>
      <c r="K6211" s="564" t="s">
        <v>2466</v>
      </c>
      <c r="L6211" s="564" t="s">
        <v>2467</v>
      </c>
      <c r="M6211" s="564" t="s">
        <v>2466</v>
      </c>
      <c r="N6211" s="564" t="s">
        <v>1082</v>
      </c>
      <c r="O6211" s="564" t="s">
        <v>12077</v>
      </c>
      <c r="P6211" s="23"/>
      <c r="Q6211" s="23"/>
      <c r="R6211" s="23"/>
      <c r="S6211" s="23"/>
      <c r="T6211" s="23"/>
      <c r="U6211" s="23"/>
      <c r="V6211" s="23"/>
      <c r="W6211" s="23"/>
      <c r="X6211" s="23"/>
      <c r="Y6211" s="23"/>
      <c r="Z6211" s="23"/>
    </row>
    <row r="6212" spans="1:26" ht="13">
      <c r="A6212" s="562" t="s">
        <v>13449</v>
      </c>
      <c r="B6212" s="563" t="s">
        <v>13450</v>
      </c>
      <c r="C6212" s="564" t="s">
        <v>2484</v>
      </c>
      <c r="D6212" s="565">
        <v>39335</v>
      </c>
      <c r="E6212" s="565">
        <v>40354</v>
      </c>
      <c r="F6212" s="566">
        <v>172727273</v>
      </c>
      <c r="G6212" s="564" t="s">
        <v>12586</v>
      </c>
      <c r="H6212" s="564" t="s">
        <v>12096</v>
      </c>
      <c r="I6212" s="564" t="s">
        <v>12651</v>
      </c>
      <c r="J6212" s="564" t="s">
        <v>1069</v>
      </c>
      <c r="K6212" s="564" t="s">
        <v>2466</v>
      </c>
      <c r="L6212" s="564" t="s">
        <v>2467</v>
      </c>
      <c r="M6212" s="564" t="s">
        <v>2466</v>
      </c>
      <c r="N6212" s="564" t="s">
        <v>1082</v>
      </c>
      <c r="O6212" s="564" t="s">
        <v>12077</v>
      </c>
      <c r="P6212" s="23"/>
      <c r="Q6212" s="23"/>
      <c r="R6212" s="23"/>
      <c r="S6212" s="23"/>
      <c r="T6212" s="23"/>
      <c r="U6212" s="23"/>
      <c r="V6212" s="23"/>
      <c r="W6212" s="23"/>
      <c r="X6212" s="23"/>
      <c r="Y6212" s="23"/>
      <c r="Z6212" s="23"/>
    </row>
    <row r="6213" spans="1:26" ht="13">
      <c r="A6213" s="562" t="s">
        <v>13451</v>
      </c>
      <c r="B6213" s="563" t="s">
        <v>13452</v>
      </c>
      <c r="C6213" s="564" t="s">
        <v>2484</v>
      </c>
      <c r="D6213" s="565">
        <v>39356</v>
      </c>
      <c r="E6213" s="565">
        <v>39367</v>
      </c>
      <c r="F6213" s="566">
        <v>11454545</v>
      </c>
      <c r="G6213" s="564" t="s">
        <v>13379</v>
      </c>
      <c r="H6213" s="564" t="s">
        <v>12096</v>
      </c>
      <c r="I6213" s="564" t="s">
        <v>12894</v>
      </c>
      <c r="J6213" s="564" t="s">
        <v>1069</v>
      </c>
      <c r="K6213" s="564" t="s">
        <v>2466</v>
      </c>
      <c r="L6213" s="564" t="s">
        <v>2467</v>
      </c>
      <c r="M6213" s="564" t="s">
        <v>2466</v>
      </c>
      <c r="N6213" s="564" t="s">
        <v>2325</v>
      </c>
      <c r="O6213" s="564" t="s">
        <v>12077</v>
      </c>
      <c r="P6213" s="23"/>
      <c r="Q6213" s="23"/>
      <c r="R6213" s="23"/>
      <c r="S6213" s="23"/>
      <c r="T6213" s="23"/>
      <c r="U6213" s="23"/>
      <c r="V6213" s="23"/>
      <c r="W6213" s="23"/>
      <c r="X6213" s="23"/>
      <c r="Y6213" s="23"/>
      <c r="Z6213" s="23"/>
    </row>
    <row r="6214" spans="1:26" ht="13">
      <c r="A6214" s="562" t="s">
        <v>13453</v>
      </c>
      <c r="B6214" s="563" t="s">
        <v>13454</v>
      </c>
      <c r="C6214" s="564" t="s">
        <v>2484</v>
      </c>
      <c r="D6214" s="565">
        <v>39342</v>
      </c>
      <c r="E6214" s="565">
        <v>39386</v>
      </c>
      <c r="F6214" s="566">
        <v>15000000</v>
      </c>
      <c r="G6214" s="564" t="s">
        <v>2464</v>
      </c>
      <c r="H6214" s="564" t="s">
        <v>2541</v>
      </c>
      <c r="I6214" s="564" t="s">
        <v>13455</v>
      </c>
      <c r="J6214" s="564" t="s">
        <v>1069</v>
      </c>
      <c r="K6214" s="564" t="s">
        <v>2466</v>
      </c>
      <c r="L6214" s="564" t="s">
        <v>2467</v>
      </c>
      <c r="M6214" s="564" t="s">
        <v>2466</v>
      </c>
      <c r="N6214" s="564" t="s">
        <v>1082</v>
      </c>
      <c r="O6214" s="564" t="s">
        <v>12077</v>
      </c>
      <c r="P6214" s="23"/>
      <c r="Q6214" s="23"/>
      <c r="R6214" s="23"/>
      <c r="S6214" s="23"/>
      <c r="T6214" s="23"/>
      <c r="U6214" s="23"/>
      <c r="V6214" s="23"/>
      <c r="W6214" s="23"/>
      <c r="X6214" s="23"/>
      <c r="Y6214" s="23"/>
      <c r="Z6214" s="23"/>
    </row>
    <row r="6215" spans="1:26" ht="13">
      <c r="A6215" s="562" t="s">
        <v>13456</v>
      </c>
      <c r="B6215" s="563" t="s">
        <v>13457</v>
      </c>
      <c r="C6215" s="564" t="s">
        <v>2484</v>
      </c>
      <c r="D6215" s="565">
        <v>39345</v>
      </c>
      <c r="E6215" s="565">
        <v>39404</v>
      </c>
      <c r="F6215" s="566">
        <v>13636364</v>
      </c>
      <c r="G6215" s="564" t="s">
        <v>13339</v>
      </c>
      <c r="H6215" s="564" t="s">
        <v>2546</v>
      </c>
      <c r="I6215" s="564" t="s">
        <v>12535</v>
      </c>
      <c r="J6215" s="564" t="s">
        <v>1069</v>
      </c>
      <c r="K6215" s="564" t="s">
        <v>2466</v>
      </c>
      <c r="L6215" s="564" t="s">
        <v>2467</v>
      </c>
      <c r="M6215" s="564" t="s">
        <v>2466</v>
      </c>
      <c r="N6215" s="564" t="s">
        <v>1082</v>
      </c>
      <c r="O6215" s="564" t="s">
        <v>12077</v>
      </c>
      <c r="P6215" s="23"/>
      <c r="Q6215" s="23"/>
      <c r="R6215" s="23"/>
      <c r="S6215" s="23"/>
      <c r="T6215" s="23"/>
      <c r="U6215" s="23"/>
      <c r="V6215" s="23"/>
      <c r="W6215" s="23"/>
      <c r="X6215" s="23"/>
      <c r="Y6215" s="23"/>
      <c r="Z6215" s="23"/>
    </row>
    <row r="6216" spans="1:26" ht="13">
      <c r="A6216" s="562" t="s">
        <v>13458</v>
      </c>
      <c r="B6216" s="563" t="s">
        <v>13459</v>
      </c>
      <c r="C6216" s="564" t="s">
        <v>2484</v>
      </c>
      <c r="D6216" s="565">
        <v>39339</v>
      </c>
      <c r="E6216" s="565">
        <v>39398</v>
      </c>
      <c r="F6216" s="566">
        <v>18181818</v>
      </c>
      <c r="G6216" s="564" t="s">
        <v>13339</v>
      </c>
      <c r="H6216" s="564" t="s">
        <v>12365</v>
      </c>
      <c r="I6216" s="564" t="s">
        <v>13460</v>
      </c>
      <c r="J6216" s="564" t="s">
        <v>1069</v>
      </c>
      <c r="K6216" s="564" t="s">
        <v>2466</v>
      </c>
      <c r="L6216" s="564" t="s">
        <v>2467</v>
      </c>
      <c r="M6216" s="564" t="s">
        <v>2466</v>
      </c>
      <c r="N6216" s="564" t="s">
        <v>1082</v>
      </c>
      <c r="O6216" s="564" t="s">
        <v>12077</v>
      </c>
      <c r="P6216" s="23"/>
      <c r="Q6216" s="23"/>
      <c r="R6216" s="23"/>
      <c r="S6216" s="23"/>
      <c r="T6216" s="23"/>
      <c r="U6216" s="23"/>
      <c r="V6216" s="23"/>
      <c r="W6216" s="23"/>
      <c r="X6216" s="23"/>
      <c r="Y6216" s="23"/>
      <c r="Z6216" s="23"/>
    </row>
    <row r="6217" spans="1:26" ht="13">
      <c r="A6217" s="562" t="s">
        <v>13461</v>
      </c>
      <c r="B6217" s="563" t="s">
        <v>13462</v>
      </c>
      <c r="C6217" s="564" t="s">
        <v>2484</v>
      </c>
      <c r="D6217" s="565">
        <v>39331</v>
      </c>
      <c r="E6217" s="565">
        <v>39467</v>
      </c>
      <c r="F6217" s="566">
        <v>50000000</v>
      </c>
      <c r="G6217" s="564" t="s">
        <v>2464</v>
      </c>
      <c r="H6217" s="564" t="s">
        <v>2541</v>
      </c>
      <c r="I6217" s="564" t="s">
        <v>13463</v>
      </c>
      <c r="J6217" s="564" t="s">
        <v>1069</v>
      </c>
      <c r="K6217" s="564" t="s">
        <v>2466</v>
      </c>
      <c r="L6217" s="564" t="s">
        <v>2467</v>
      </c>
      <c r="M6217" s="564" t="s">
        <v>2466</v>
      </c>
      <c r="N6217" s="564" t="s">
        <v>1082</v>
      </c>
      <c r="O6217" s="564" t="s">
        <v>12077</v>
      </c>
      <c r="P6217" s="23"/>
      <c r="Q6217" s="23"/>
      <c r="R6217" s="23"/>
      <c r="S6217" s="23"/>
      <c r="T6217" s="23"/>
      <c r="U6217" s="23"/>
      <c r="V6217" s="23"/>
      <c r="W6217" s="23"/>
      <c r="X6217" s="23"/>
      <c r="Y6217" s="23"/>
      <c r="Z6217" s="23"/>
    </row>
    <row r="6218" spans="1:26" ht="13">
      <c r="A6218" s="562" t="s">
        <v>13464</v>
      </c>
      <c r="B6218" s="563" t="s">
        <v>13465</v>
      </c>
      <c r="C6218" s="564" t="s">
        <v>2484</v>
      </c>
      <c r="D6218" s="565">
        <v>39328</v>
      </c>
      <c r="E6218" s="565">
        <v>39850</v>
      </c>
      <c r="F6218" s="566">
        <v>566969000</v>
      </c>
      <c r="G6218" s="564" t="s">
        <v>13466</v>
      </c>
      <c r="H6218" s="564" t="s">
        <v>12640</v>
      </c>
      <c r="I6218" s="564" t="s">
        <v>12105</v>
      </c>
      <c r="J6218" s="564" t="s">
        <v>1069</v>
      </c>
      <c r="K6218" s="564" t="s">
        <v>2466</v>
      </c>
      <c r="L6218" s="564" t="s">
        <v>2467</v>
      </c>
      <c r="M6218" s="564" t="s">
        <v>2466</v>
      </c>
      <c r="N6218" s="564" t="s">
        <v>1082</v>
      </c>
      <c r="O6218" s="564" t="s">
        <v>12077</v>
      </c>
      <c r="P6218" s="23"/>
      <c r="Q6218" s="23"/>
      <c r="R6218" s="23"/>
      <c r="S6218" s="23"/>
      <c r="T6218" s="23"/>
      <c r="U6218" s="23"/>
      <c r="V6218" s="23"/>
      <c r="W6218" s="23"/>
      <c r="X6218" s="23"/>
      <c r="Y6218" s="23"/>
      <c r="Z6218" s="23"/>
    </row>
    <row r="6219" spans="1:26" ht="13">
      <c r="A6219" s="562" t="s">
        <v>13467</v>
      </c>
      <c r="B6219" s="563" t="s">
        <v>13468</v>
      </c>
      <c r="C6219" s="564" t="s">
        <v>2484</v>
      </c>
      <c r="D6219" s="565">
        <v>39335</v>
      </c>
      <c r="E6219" s="565">
        <v>39392</v>
      </c>
      <c r="F6219" s="566">
        <v>4727272</v>
      </c>
      <c r="G6219" s="564" t="s">
        <v>12075</v>
      </c>
      <c r="H6219" s="564" t="s">
        <v>13150</v>
      </c>
      <c r="I6219" s="564" t="s">
        <v>13342</v>
      </c>
      <c r="J6219" s="564" t="s">
        <v>1069</v>
      </c>
      <c r="K6219" s="564" t="s">
        <v>2466</v>
      </c>
      <c r="L6219" s="564" t="s">
        <v>2467</v>
      </c>
      <c r="M6219" s="564" t="s">
        <v>2466</v>
      </c>
      <c r="N6219" s="564" t="s">
        <v>2543</v>
      </c>
      <c r="O6219" s="564" t="s">
        <v>12077</v>
      </c>
      <c r="P6219" s="23"/>
      <c r="Q6219" s="23"/>
      <c r="R6219" s="23"/>
      <c r="S6219" s="23"/>
      <c r="T6219" s="23"/>
      <c r="U6219" s="23"/>
      <c r="V6219" s="23"/>
      <c r="W6219" s="23"/>
      <c r="X6219" s="23"/>
      <c r="Y6219" s="23"/>
      <c r="Z6219" s="23"/>
    </row>
    <row r="6220" spans="1:26" ht="13">
      <c r="A6220" s="562" t="s">
        <v>13469</v>
      </c>
      <c r="B6220" s="563" t="s">
        <v>13470</v>
      </c>
      <c r="C6220" s="564" t="s">
        <v>2484</v>
      </c>
      <c r="D6220" s="565">
        <v>39324</v>
      </c>
      <c r="E6220" s="565">
        <v>39428</v>
      </c>
      <c r="F6220" s="567"/>
      <c r="G6220" s="564" t="s">
        <v>13339</v>
      </c>
      <c r="H6220" s="564" t="s">
        <v>13150</v>
      </c>
      <c r="I6220" s="564" t="s">
        <v>12541</v>
      </c>
      <c r="J6220" s="564" t="s">
        <v>1069</v>
      </c>
      <c r="K6220" s="564" t="s">
        <v>2466</v>
      </c>
      <c r="L6220" s="564" t="s">
        <v>2467</v>
      </c>
      <c r="M6220" s="564" t="s">
        <v>2466</v>
      </c>
      <c r="N6220" s="564" t="s">
        <v>2325</v>
      </c>
      <c r="O6220" s="564" t="s">
        <v>12077</v>
      </c>
      <c r="P6220" s="23"/>
      <c r="Q6220" s="23"/>
      <c r="R6220" s="23"/>
      <c r="S6220" s="23"/>
      <c r="T6220" s="23"/>
      <c r="U6220" s="23"/>
      <c r="V6220" s="23"/>
      <c r="W6220" s="23"/>
      <c r="X6220" s="23"/>
      <c r="Y6220" s="23"/>
      <c r="Z6220" s="23"/>
    </row>
    <row r="6221" spans="1:26" ht="13">
      <c r="A6221" s="562" t="s">
        <v>13471</v>
      </c>
      <c r="B6221" s="563" t="s">
        <v>13472</v>
      </c>
      <c r="C6221" s="564" t="s">
        <v>2484</v>
      </c>
      <c r="D6221" s="565">
        <v>39308</v>
      </c>
      <c r="E6221" s="565">
        <v>39367</v>
      </c>
      <c r="F6221" s="566">
        <v>17272727</v>
      </c>
      <c r="G6221" s="564" t="s">
        <v>12124</v>
      </c>
      <c r="H6221" s="564" t="s">
        <v>2546</v>
      </c>
      <c r="I6221" s="564" t="s">
        <v>12535</v>
      </c>
      <c r="J6221" s="564" t="s">
        <v>1069</v>
      </c>
      <c r="K6221" s="564" t="s">
        <v>2466</v>
      </c>
      <c r="L6221" s="564" t="s">
        <v>2467</v>
      </c>
      <c r="M6221" s="564" t="s">
        <v>2466</v>
      </c>
      <c r="N6221" s="564" t="s">
        <v>1082</v>
      </c>
      <c r="O6221" s="564" t="s">
        <v>12077</v>
      </c>
      <c r="P6221" s="23"/>
      <c r="Q6221" s="23"/>
      <c r="R6221" s="23"/>
      <c r="S6221" s="23"/>
      <c r="T6221" s="23"/>
      <c r="U6221" s="23"/>
      <c r="V6221" s="23"/>
      <c r="W6221" s="23"/>
      <c r="X6221" s="23"/>
      <c r="Y6221" s="23"/>
      <c r="Z6221" s="23"/>
    </row>
    <row r="6222" spans="1:26" ht="13">
      <c r="A6222" s="562" t="s">
        <v>13473</v>
      </c>
      <c r="B6222" s="563" t="s">
        <v>13474</v>
      </c>
      <c r="C6222" s="564" t="s">
        <v>6860</v>
      </c>
      <c r="D6222" s="565">
        <v>39370</v>
      </c>
      <c r="E6222" s="565">
        <v>40329</v>
      </c>
      <c r="F6222" s="566">
        <v>2265176000</v>
      </c>
      <c r="G6222" s="564" t="s">
        <v>1729</v>
      </c>
      <c r="H6222" s="564" t="s">
        <v>1128</v>
      </c>
      <c r="I6222" s="564" t="s">
        <v>2509</v>
      </c>
      <c r="J6222" s="564" t="s">
        <v>1069</v>
      </c>
      <c r="K6222" s="564" t="s">
        <v>1090</v>
      </c>
      <c r="L6222" s="564" t="s">
        <v>1390</v>
      </c>
      <c r="M6222" s="564" t="s">
        <v>1390</v>
      </c>
      <c r="N6222" s="564" t="s">
        <v>1082</v>
      </c>
      <c r="O6222" s="564" t="s">
        <v>38</v>
      </c>
      <c r="P6222" s="23"/>
      <c r="Q6222" s="23"/>
      <c r="R6222" s="23"/>
      <c r="S6222" s="23"/>
      <c r="T6222" s="23"/>
      <c r="U6222" s="23"/>
      <c r="V6222" s="23"/>
      <c r="W6222" s="23"/>
      <c r="X6222" s="23"/>
      <c r="Y6222" s="23"/>
      <c r="Z6222" s="23"/>
    </row>
    <row r="6223" spans="1:26" ht="13">
      <c r="A6223" s="562" t="s">
        <v>13475</v>
      </c>
      <c r="B6223" s="563" t="s">
        <v>13476</v>
      </c>
      <c r="C6223" s="564" t="s">
        <v>1612</v>
      </c>
      <c r="D6223" s="565">
        <v>39419</v>
      </c>
      <c r="E6223" s="565">
        <v>39465</v>
      </c>
      <c r="F6223" s="566">
        <v>18000000</v>
      </c>
      <c r="G6223" s="564" t="s">
        <v>1856</v>
      </c>
      <c r="H6223" s="564" t="s">
        <v>1856</v>
      </c>
      <c r="I6223" s="564" t="s">
        <v>70</v>
      </c>
      <c r="J6223" s="564" t="s">
        <v>1069</v>
      </c>
      <c r="K6223" s="564" t="s">
        <v>1120</v>
      </c>
      <c r="L6223" s="564" t="s">
        <v>1390</v>
      </c>
      <c r="M6223" s="564" t="s">
        <v>1390</v>
      </c>
      <c r="N6223" s="564" t="s">
        <v>70</v>
      </c>
      <c r="O6223" s="564" t="s">
        <v>38</v>
      </c>
      <c r="P6223" s="23"/>
      <c r="Q6223" s="23"/>
      <c r="R6223" s="23"/>
      <c r="S6223" s="23"/>
      <c r="T6223" s="23"/>
      <c r="U6223" s="23"/>
      <c r="V6223" s="23"/>
      <c r="W6223" s="23"/>
      <c r="X6223" s="23"/>
      <c r="Y6223" s="23"/>
      <c r="Z6223" s="23"/>
    </row>
    <row r="6224" spans="1:26" ht="13">
      <c r="A6224" s="562" t="s">
        <v>13477</v>
      </c>
      <c r="B6224" s="563" t="s">
        <v>13478</v>
      </c>
      <c r="C6224" s="564" t="s">
        <v>1612</v>
      </c>
      <c r="D6224" s="565">
        <v>39417</v>
      </c>
      <c r="E6224" s="565">
        <v>39507</v>
      </c>
      <c r="F6224" s="566">
        <v>59000000</v>
      </c>
      <c r="G6224" s="564" t="s">
        <v>1128</v>
      </c>
      <c r="H6224" s="564" t="s">
        <v>1128</v>
      </c>
      <c r="I6224" s="564" t="s">
        <v>45</v>
      </c>
      <c r="J6224" s="564" t="s">
        <v>1069</v>
      </c>
      <c r="K6224" s="564" t="s">
        <v>1090</v>
      </c>
      <c r="L6224" s="564" t="s">
        <v>1390</v>
      </c>
      <c r="M6224" s="564" t="s">
        <v>1390</v>
      </c>
      <c r="N6224" s="564" t="s">
        <v>45</v>
      </c>
      <c r="O6224" s="564" t="s">
        <v>38</v>
      </c>
      <c r="P6224" s="23"/>
      <c r="Q6224" s="23"/>
      <c r="R6224" s="23"/>
      <c r="S6224" s="23"/>
      <c r="T6224" s="23"/>
      <c r="U6224" s="23"/>
      <c r="V6224" s="23"/>
      <c r="W6224" s="23"/>
      <c r="X6224" s="23"/>
      <c r="Y6224" s="23"/>
      <c r="Z6224" s="23"/>
    </row>
    <row r="6225" spans="1:26" ht="13">
      <c r="A6225" s="562" t="s">
        <v>13479</v>
      </c>
      <c r="B6225" s="563" t="s">
        <v>13480</v>
      </c>
      <c r="C6225" s="564" t="s">
        <v>1612</v>
      </c>
      <c r="D6225" s="565">
        <v>39407</v>
      </c>
      <c r="E6225" s="565">
        <v>39498</v>
      </c>
      <c r="F6225" s="566">
        <v>34000000</v>
      </c>
      <c r="G6225" s="564" t="s">
        <v>1856</v>
      </c>
      <c r="H6225" s="564" t="s">
        <v>1856</v>
      </c>
      <c r="I6225" s="564" t="s">
        <v>45</v>
      </c>
      <c r="J6225" s="564" t="s">
        <v>1069</v>
      </c>
      <c r="K6225" s="564" t="s">
        <v>1090</v>
      </c>
      <c r="L6225" s="564" t="s">
        <v>1390</v>
      </c>
      <c r="M6225" s="564" t="s">
        <v>1390</v>
      </c>
      <c r="N6225" s="564" t="s">
        <v>45</v>
      </c>
      <c r="O6225" s="564" t="s">
        <v>38</v>
      </c>
      <c r="P6225" s="23"/>
      <c r="Q6225" s="23"/>
      <c r="R6225" s="23"/>
      <c r="S6225" s="23"/>
      <c r="T6225" s="23"/>
      <c r="U6225" s="23"/>
      <c r="V6225" s="23"/>
      <c r="W6225" s="23"/>
      <c r="X6225" s="23"/>
      <c r="Y6225" s="23"/>
      <c r="Z6225" s="23"/>
    </row>
    <row r="6226" spans="1:26" ht="13">
      <c r="A6226" s="562" t="s">
        <v>13481</v>
      </c>
      <c r="B6226" s="563" t="s">
        <v>13482</v>
      </c>
      <c r="C6226" s="564" t="s">
        <v>1612</v>
      </c>
      <c r="D6226" s="565">
        <v>39416</v>
      </c>
      <c r="E6226" s="565">
        <v>39447</v>
      </c>
      <c r="F6226" s="566">
        <v>58500000</v>
      </c>
      <c r="G6226" s="564" t="s">
        <v>10823</v>
      </c>
      <c r="H6226" s="564" t="s">
        <v>1128</v>
      </c>
      <c r="I6226" s="564" t="s">
        <v>121</v>
      </c>
      <c r="J6226" s="564" t="s">
        <v>1069</v>
      </c>
      <c r="K6226" s="564" t="s">
        <v>1105</v>
      </c>
      <c r="L6226" s="564" t="s">
        <v>1390</v>
      </c>
      <c r="M6226" s="564" t="s">
        <v>1390</v>
      </c>
      <c r="N6226" s="564" t="s">
        <v>1073</v>
      </c>
      <c r="O6226" s="564" t="s">
        <v>38</v>
      </c>
      <c r="P6226" s="23"/>
      <c r="Q6226" s="23"/>
      <c r="R6226" s="23"/>
      <c r="S6226" s="23"/>
      <c r="T6226" s="23"/>
      <c r="U6226" s="23"/>
      <c r="V6226" s="23"/>
      <c r="W6226" s="23"/>
      <c r="X6226" s="23"/>
      <c r="Y6226" s="23"/>
      <c r="Z6226" s="23"/>
    </row>
    <row r="6227" spans="1:26" ht="13">
      <c r="A6227" s="562" t="s">
        <v>13483</v>
      </c>
      <c r="B6227" s="563" t="s">
        <v>13484</v>
      </c>
      <c r="C6227" s="564" t="s">
        <v>2191</v>
      </c>
      <c r="D6227" s="565">
        <v>39387</v>
      </c>
      <c r="E6227" s="565">
        <v>39447</v>
      </c>
      <c r="F6227" s="566">
        <v>2549000</v>
      </c>
      <c r="G6227" s="564" t="s">
        <v>2458</v>
      </c>
      <c r="H6227" s="564" t="s">
        <v>1912</v>
      </c>
      <c r="I6227" s="564" t="s">
        <v>162</v>
      </c>
      <c r="J6227" s="564" t="s">
        <v>1069</v>
      </c>
      <c r="K6227" s="564" t="s">
        <v>1209</v>
      </c>
      <c r="L6227" s="564" t="s">
        <v>1071</v>
      </c>
      <c r="M6227" s="564" t="s">
        <v>1091</v>
      </c>
      <c r="N6227" s="564" t="s">
        <v>1082</v>
      </c>
      <c r="O6227" s="564" t="s">
        <v>241</v>
      </c>
      <c r="P6227" s="23"/>
      <c r="Q6227" s="23"/>
      <c r="R6227" s="23"/>
      <c r="S6227" s="23"/>
      <c r="T6227" s="23"/>
      <c r="U6227" s="23"/>
      <c r="V6227" s="23"/>
      <c r="W6227" s="23"/>
      <c r="X6227" s="23"/>
      <c r="Y6227" s="23"/>
      <c r="Z6227" s="23"/>
    </row>
    <row r="6228" spans="1:26" ht="13">
      <c r="A6228" s="562" t="s">
        <v>13485</v>
      </c>
      <c r="B6228" s="563" t="s">
        <v>13486</v>
      </c>
      <c r="C6228" s="564" t="s">
        <v>1612</v>
      </c>
      <c r="D6228" s="565">
        <v>39419</v>
      </c>
      <c r="E6228" s="565">
        <v>39477</v>
      </c>
      <c r="F6228" s="566">
        <v>92000000</v>
      </c>
      <c r="G6228" s="564" t="s">
        <v>1116</v>
      </c>
      <c r="H6228" s="564" t="s">
        <v>1116</v>
      </c>
      <c r="I6228" s="564" t="s">
        <v>45</v>
      </c>
      <c r="J6228" s="564" t="s">
        <v>1069</v>
      </c>
      <c r="K6228" s="564" t="s">
        <v>1090</v>
      </c>
      <c r="L6228" s="564" t="s">
        <v>1071</v>
      </c>
      <c r="M6228" s="564" t="s">
        <v>1124</v>
      </c>
      <c r="N6228" s="564" t="s">
        <v>45</v>
      </c>
      <c r="O6228" s="564" t="s">
        <v>38</v>
      </c>
      <c r="P6228" s="23"/>
      <c r="Q6228" s="23"/>
      <c r="R6228" s="23"/>
      <c r="S6228" s="23"/>
      <c r="T6228" s="23"/>
      <c r="U6228" s="23"/>
      <c r="V6228" s="23"/>
      <c r="W6228" s="23"/>
      <c r="X6228" s="23"/>
      <c r="Y6228" s="23"/>
      <c r="Z6228" s="23"/>
    </row>
    <row r="6229" spans="1:26" ht="13">
      <c r="A6229" s="562" t="s">
        <v>13487</v>
      </c>
      <c r="B6229" s="563" t="s">
        <v>13488</v>
      </c>
      <c r="C6229" s="564" t="s">
        <v>1612</v>
      </c>
      <c r="D6229" s="565">
        <v>39326</v>
      </c>
      <c r="E6229" s="565">
        <v>40329</v>
      </c>
      <c r="F6229" s="566">
        <v>2894000000</v>
      </c>
      <c r="G6229" s="564" t="s">
        <v>1729</v>
      </c>
      <c r="H6229" s="564" t="s">
        <v>1128</v>
      </c>
      <c r="I6229" s="564" t="s">
        <v>45</v>
      </c>
      <c r="J6229" s="564" t="s">
        <v>1069</v>
      </c>
      <c r="K6229" s="564" t="s">
        <v>1090</v>
      </c>
      <c r="L6229" s="564" t="s">
        <v>1390</v>
      </c>
      <c r="M6229" s="564" t="s">
        <v>1390</v>
      </c>
      <c r="N6229" s="564" t="s">
        <v>45</v>
      </c>
      <c r="O6229" s="564" t="s">
        <v>38</v>
      </c>
      <c r="P6229" s="23"/>
      <c r="Q6229" s="23"/>
      <c r="R6229" s="23"/>
      <c r="S6229" s="23"/>
      <c r="T6229" s="23"/>
      <c r="U6229" s="23"/>
      <c r="V6229" s="23"/>
      <c r="W6229" s="23"/>
      <c r="X6229" s="23"/>
      <c r="Y6229" s="23"/>
      <c r="Z6229" s="23"/>
    </row>
    <row r="6230" spans="1:26" ht="13">
      <c r="A6230" s="562" t="s">
        <v>13489</v>
      </c>
      <c r="B6230" s="563" t="s">
        <v>13490</v>
      </c>
      <c r="C6230" s="564" t="s">
        <v>2484</v>
      </c>
      <c r="D6230" s="565">
        <v>39225</v>
      </c>
      <c r="E6230" s="565">
        <v>39325</v>
      </c>
      <c r="F6230" s="566">
        <v>15454545</v>
      </c>
      <c r="G6230" s="564" t="s">
        <v>2502</v>
      </c>
      <c r="H6230" s="564" t="s">
        <v>12096</v>
      </c>
      <c r="I6230" s="564" t="s">
        <v>13491</v>
      </c>
      <c r="J6230" s="564" t="s">
        <v>1069</v>
      </c>
      <c r="K6230" s="564" t="s">
        <v>2466</v>
      </c>
      <c r="L6230" s="564" t="s">
        <v>2467</v>
      </c>
      <c r="M6230" s="564" t="s">
        <v>2466</v>
      </c>
      <c r="N6230" s="564" t="s">
        <v>2543</v>
      </c>
      <c r="O6230" s="564" t="s">
        <v>12077</v>
      </c>
      <c r="P6230" s="23"/>
      <c r="Q6230" s="23"/>
      <c r="R6230" s="23"/>
      <c r="S6230" s="23"/>
      <c r="T6230" s="23"/>
      <c r="U6230" s="23"/>
      <c r="V6230" s="23"/>
      <c r="W6230" s="23"/>
      <c r="X6230" s="23"/>
      <c r="Y6230" s="23"/>
      <c r="Z6230" s="23"/>
    </row>
    <row r="6231" spans="1:26" ht="13">
      <c r="A6231" s="562" t="s">
        <v>13492</v>
      </c>
      <c r="B6231" s="563" t="s">
        <v>13493</v>
      </c>
      <c r="C6231" s="564" t="s">
        <v>1873</v>
      </c>
      <c r="D6231" s="565">
        <v>39366</v>
      </c>
      <c r="E6231" s="565">
        <v>39457</v>
      </c>
      <c r="F6231" s="566">
        <v>22300000</v>
      </c>
      <c r="G6231" s="564" t="s">
        <v>2561</v>
      </c>
      <c r="H6231" s="564" t="s">
        <v>1128</v>
      </c>
      <c r="I6231" s="564" t="s">
        <v>170</v>
      </c>
      <c r="J6231" s="564" t="s">
        <v>1069</v>
      </c>
      <c r="K6231" s="564" t="s">
        <v>1105</v>
      </c>
      <c r="L6231" s="564" t="s">
        <v>1390</v>
      </c>
      <c r="M6231" s="564" t="s">
        <v>1390</v>
      </c>
      <c r="N6231" s="564" t="s">
        <v>170</v>
      </c>
      <c r="O6231" s="564" t="s">
        <v>38</v>
      </c>
      <c r="P6231" s="23"/>
      <c r="Q6231" s="23"/>
      <c r="R6231" s="23"/>
      <c r="S6231" s="23"/>
      <c r="T6231" s="23"/>
      <c r="U6231" s="23"/>
      <c r="V6231" s="23"/>
      <c r="W6231" s="23"/>
      <c r="X6231" s="23"/>
      <c r="Y6231" s="23"/>
      <c r="Z6231" s="23"/>
    </row>
    <row r="6232" spans="1:26" ht="13">
      <c r="A6232" s="562" t="s">
        <v>13494</v>
      </c>
      <c r="B6232" s="563" t="s">
        <v>13495</v>
      </c>
      <c r="C6232" s="564" t="s">
        <v>2191</v>
      </c>
      <c r="D6232" s="565">
        <v>39392</v>
      </c>
      <c r="E6232" s="565">
        <v>39468</v>
      </c>
      <c r="F6232" s="566">
        <v>44000000</v>
      </c>
      <c r="G6232" s="564" t="s">
        <v>2508</v>
      </c>
      <c r="H6232" s="564" t="s">
        <v>11225</v>
      </c>
      <c r="I6232" s="564" t="s">
        <v>13496</v>
      </c>
      <c r="J6232" s="564" t="s">
        <v>1069</v>
      </c>
      <c r="K6232" s="564" t="s">
        <v>1105</v>
      </c>
      <c r="L6232" s="564" t="s">
        <v>1390</v>
      </c>
      <c r="M6232" s="564" t="s">
        <v>1390</v>
      </c>
      <c r="N6232" s="564" t="s">
        <v>1082</v>
      </c>
      <c r="O6232" s="564" t="s">
        <v>38</v>
      </c>
      <c r="P6232" s="23"/>
      <c r="Q6232" s="23"/>
      <c r="R6232" s="23"/>
      <c r="S6232" s="23"/>
      <c r="T6232" s="23"/>
      <c r="U6232" s="23"/>
      <c r="V6232" s="23"/>
      <c r="W6232" s="23"/>
      <c r="X6232" s="23"/>
      <c r="Y6232" s="23"/>
      <c r="Z6232" s="23"/>
    </row>
    <row r="6233" spans="1:26" ht="13">
      <c r="A6233" s="562" t="s">
        <v>13497</v>
      </c>
      <c r="B6233" s="563" t="s">
        <v>13498</v>
      </c>
      <c r="C6233" s="564" t="s">
        <v>1612</v>
      </c>
      <c r="D6233" s="565">
        <v>39387</v>
      </c>
      <c r="E6233" s="565">
        <v>39507</v>
      </c>
      <c r="F6233" s="566">
        <v>87000000</v>
      </c>
      <c r="G6233" s="564" t="s">
        <v>1293</v>
      </c>
      <c r="H6233" s="564" t="s">
        <v>1128</v>
      </c>
      <c r="I6233" s="564" t="s">
        <v>45</v>
      </c>
      <c r="J6233" s="564" t="s">
        <v>1069</v>
      </c>
      <c r="K6233" s="564" t="s">
        <v>1090</v>
      </c>
      <c r="L6233" s="564" t="s">
        <v>1390</v>
      </c>
      <c r="M6233" s="564" t="s">
        <v>1390</v>
      </c>
      <c r="N6233" s="564" t="s">
        <v>45</v>
      </c>
      <c r="O6233" s="564" t="s">
        <v>38</v>
      </c>
      <c r="P6233" s="23"/>
      <c r="Q6233" s="23"/>
      <c r="R6233" s="23"/>
      <c r="S6233" s="23"/>
      <c r="T6233" s="23"/>
      <c r="U6233" s="23"/>
      <c r="V6233" s="23"/>
      <c r="W6233" s="23"/>
      <c r="X6233" s="23"/>
      <c r="Y6233" s="23"/>
      <c r="Z6233" s="23"/>
    </row>
    <row r="6234" spans="1:26" ht="13">
      <c r="A6234" s="562" t="s">
        <v>13499</v>
      </c>
      <c r="B6234" s="563" t="s">
        <v>13500</v>
      </c>
      <c r="C6234" s="564" t="s">
        <v>1612</v>
      </c>
      <c r="D6234" s="565">
        <v>39401</v>
      </c>
      <c r="E6234" s="565">
        <v>39492</v>
      </c>
      <c r="F6234" s="566">
        <v>114000000</v>
      </c>
      <c r="G6234" s="564" t="s">
        <v>10823</v>
      </c>
      <c r="H6234" s="564" t="s">
        <v>1128</v>
      </c>
      <c r="I6234" s="564" t="s">
        <v>121</v>
      </c>
      <c r="J6234" s="564" t="s">
        <v>1069</v>
      </c>
      <c r="K6234" s="564" t="s">
        <v>1105</v>
      </c>
      <c r="L6234" s="564" t="s">
        <v>1390</v>
      </c>
      <c r="M6234" s="564" t="s">
        <v>1390</v>
      </c>
      <c r="N6234" s="564" t="s">
        <v>1073</v>
      </c>
      <c r="O6234" s="564" t="s">
        <v>38</v>
      </c>
      <c r="P6234" s="23"/>
      <c r="Q6234" s="23"/>
      <c r="R6234" s="23"/>
      <c r="S6234" s="23"/>
      <c r="T6234" s="23"/>
      <c r="U6234" s="23"/>
      <c r="V6234" s="23"/>
      <c r="W6234" s="23"/>
      <c r="X6234" s="23"/>
      <c r="Y6234" s="23"/>
      <c r="Z6234" s="23"/>
    </row>
    <row r="6235" spans="1:26" ht="13">
      <c r="A6235" s="562" t="s">
        <v>13501</v>
      </c>
      <c r="B6235" s="563" t="s">
        <v>13502</v>
      </c>
      <c r="C6235" s="564" t="s">
        <v>6860</v>
      </c>
      <c r="D6235" s="565">
        <v>39387</v>
      </c>
      <c r="E6235" s="565">
        <v>39437</v>
      </c>
      <c r="F6235" s="567"/>
      <c r="G6235" s="564" t="s">
        <v>2558</v>
      </c>
      <c r="H6235" s="564" t="s">
        <v>1640</v>
      </c>
      <c r="I6235" s="564" t="s">
        <v>7259</v>
      </c>
      <c r="J6235" s="564" t="s">
        <v>1069</v>
      </c>
      <c r="K6235" s="564" t="s">
        <v>1070</v>
      </c>
      <c r="L6235" s="564" t="s">
        <v>1390</v>
      </c>
      <c r="M6235" s="564" t="s">
        <v>1390</v>
      </c>
      <c r="N6235" s="564" t="s">
        <v>1082</v>
      </c>
      <c r="O6235" s="564" t="s">
        <v>38</v>
      </c>
      <c r="P6235" s="23"/>
      <c r="Q6235" s="23"/>
      <c r="R6235" s="23"/>
      <c r="S6235" s="23"/>
      <c r="T6235" s="23"/>
      <c r="U6235" s="23"/>
      <c r="V6235" s="23"/>
      <c r="W6235" s="23"/>
      <c r="X6235" s="23"/>
      <c r="Y6235" s="23"/>
      <c r="Z6235" s="23"/>
    </row>
    <row r="6236" spans="1:26" ht="13">
      <c r="A6236" s="562" t="s">
        <v>13503</v>
      </c>
      <c r="B6236" s="563" t="s">
        <v>13504</v>
      </c>
      <c r="C6236" s="564" t="s">
        <v>2191</v>
      </c>
      <c r="D6236" s="565">
        <v>39356</v>
      </c>
      <c r="E6236" s="565">
        <v>39721</v>
      </c>
      <c r="F6236" s="566">
        <v>100000000</v>
      </c>
      <c r="G6236" s="564" t="s">
        <v>13505</v>
      </c>
      <c r="H6236" s="564" t="s">
        <v>11225</v>
      </c>
      <c r="I6236" s="564" t="s">
        <v>13506</v>
      </c>
      <c r="J6236" s="564" t="s">
        <v>1069</v>
      </c>
      <c r="K6236" s="564" t="s">
        <v>1120</v>
      </c>
      <c r="L6236" s="564" t="s">
        <v>1071</v>
      </c>
      <c r="M6236" s="564" t="s">
        <v>1091</v>
      </c>
      <c r="N6236" s="564" t="s">
        <v>1082</v>
      </c>
      <c r="O6236" s="564" t="s">
        <v>241</v>
      </c>
      <c r="P6236" s="23"/>
      <c r="Q6236" s="23"/>
      <c r="R6236" s="23"/>
      <c r="S6236" s="23"/>
      <c r="T6236" s="23"/>
      <c r="U6236" s="23"/>
      <c r="V6236" s="23"/>
      <c r="W6236" s="23"/>
      <c r="X6236" s="23"/>
      <c r="Y6236" s="23"/>
      <c r="Z6236" s="23"/>
    </row>
    <row r="6237" spans="1:26" ht="13">
      <c r="A6237" s="562" t="s">
        <v>13507</v>
      </c>
      <c r="B6237" s="563" t="s">
        <v>13508</v>
      </c>
      <c r="C6237" s="564" t="s">
        <v>6860</v>
      </c>
      <c r="D6237" s="565">
        <v>39387</v>
      </c>
      <c r="E6237" s="565">
        <v>41213</v>
      </c>
      <c r="F6237" s="566">
        <v>2636363636</v>
      </c>
      <c r="G6237" s="564" t="s">
        <v>1128</v>
      </c>
      <c r="H6237" s="564" t="s">
        <v>1128</v>
      </c>
      <c r="I6237" s="564" t="s">
        <v>13509</v>
      </c>
      <c r="J6237" s="564" t="s">
        <v>1069</v>
      </c>
      <c r="K6237" s="564" t="s">
        <v>1198</v>
      </c>
      <c r="L6237" s="564" t="s">
        <v>1071</v>
      </c>
      <c r="M6237" s="564" t="s">
        <v>1091</v>
      </c>
      <c r="N6237" s="564" t="s">
        <v>1368</v>
      </c>
      <c r="O6237" s="564" t="s">
        <v>241</v>
      </c>
      <c r="P6237" s="23"/>
      <c r="Q6237" s="23"/>
      <c r="R6237" s="23"/>
      <c r="S6237" s="23"/>
      <c r="T6237" s="23"/>
      <c r="U6237" s="23"/>
      <c r="V6237" s="23"/>
      <c r="W6237" s="23"/>
      <c r="X6237" s="23"/>
      <c r="Y6237" s="23"/>
      <c r="Z6237" s="23"/>
    </row>
    <row r="6238" spans="1:26" ht="13">
      <c r="A6238" s="562" t="s">
        <v>13510</v>
      </c>
      <c r="B6238" s="563" t="s">
        <v>13511</v>
      </c>
      <c r="C6238" s="564" t="s">
        <v>2484</v>
      </c>
      <c r="D6238" s="565">
        <v>39224</v>
      </c>
      <c r="E6238" s="565">
        <v>39373</v>
      </c>
      <c r="F6238" s="566">
        <v>23181818</v>
      </c>
      <c r="G6238" s="564" t="s">
        <v>12124</v>
      </c>
      <c r="H6238" s="564" t="s">
        <v>2459</v>
      </c>
      <c r="I6238" s="564" t="s">
        <v>13512</v>
      </c>
      <c r="J6238" s="564" t="s">
        <v>1069</v>
      </c>
      <c r="K6238" s="564" t="s">
        <v>2466</v>
      </c>
      <c r="L6238" s="564" t="s">
        <v>2467</v>
      </c>
      <c r="M6238" s="564" t="s">
        <v>2466</v>
      </c>
      <c r="N6238" s="564" t="s">
        <v>2543</v>
      </c>
      <c r="O6238" s="564" t="s">
        <v>12077</v>
      </c>
      <c r="P6238" s="23"/>
      <c r="Q6238" s="23"/>
      <c r="R6238" s="23"/>
      <c r="S6238" s="23"/>
      <c r="T6238" s="23"/>
      <c r="U6238" s="23"/>
      <c r="V6238" s="23"/>
      <c r="W6238" s="23"/>
      <c r="X6238" s="23"/>
      <c r="Y6238" s="23"/>
      <c r="Z6238" s="23"/>
    </row>
    <row r="6239" spans="1:26" ht="13">
      <c r="A6239" s="562" t="s">
        <v>13513</v>
      </c>
      <c r="B6239" s="563" t="s">
        <v>13514</v>
      </c>
      <c r="C6239" s="564" t="s">
        <v>1612</v>
      </c>
      <c r="D6239" s="565">
        <v>39344</v>
      </c>
      <c r="E6239" s="565">
        <v>39507</v>
      </c>
      <c r="F6239" s="566">
        <v>99800000</v>
      </c>
      <c r="G6239" s="564" t="s">
        <v>2561</v>
      </c>
      <c r="H6239" s="564" t="s">
        <v>1128</v>
      </c>
      <c r="I6239" s="564" t="s">
        <v>45</v>
      </c>
      <c r="J6239" s="564" t="s">
        <v>1069</v>
      </c>
      <c r="K6239" s="564" t="s">
        <v>1090</v>
      </c>
      <c r="L6239" s="564" t="s">
        <v>1390</v>
      </c>
      <c r="M6239" s="564" t="s">
        <v>1390</v>
      </c>
      <c r="N6239" s="564" t="s">
        <v>45</v>
      </c>
      <c r="O6239" s="564" t="s">
        <v>38</v>
      </c>
      <c r="P6239" s="23"/>
      <c r="Q6239" s="23"/>
      <c r="R6239" s="23"/>
      <c r="S6239" s="23"/>
      <c r="T6239" s="23"/>
      <c r="U6239" s="23"/>
      <c r="V6239" s="23"/>
      <c r="W6239" s="23"/>
      <c r="X6239" s="23"/>
      <c r="Y6239" s="23"/>
      <c r="Z6239" s="23"/>
    </row>
    <row r="6240" spans="1:26" ht="13">
      <c r="A6240" s="562" t="s">
        <v>13515</v>
      </c>
      <c r="B6240" s="563" t="s">
        <v>13516</v>
      </c>
      <c r="C6240" s="564" t="s">
        <v>6860</v>
      </c>
      <c r="D6240" s="565">
        <v>39326</v>
      </c>
      <c r="E6240" s="565">
        <v>39355</v>
      </c>
      <c r="F6240" s="566">
        <v>8500000</v>
      </c>
      <c r="G6240" s="564" t="s">
        <v>1116</v>
      </c>
      <c r="H6240" s="564" t="s">
        <v>1116</v>
      </c>
      <c r="I6240" s="564" t="s">
        <v>13242</v>
      </c>
      <c r="J6240" s="564" t="s">
        <v>1069</v>
      </c>
      <c r="K6240" s="564" t="s">
        <v>1209</v>
      </c>
      <c r="L6240" s="564" t="s">
        <v>1071</v>
      </c>
      <c r="M6240" s="564" t="s">
        <v>1124</v>
      </c>
      <c r="N6240" s="564" t="s">
        <v>2325</v>
      </c>
      <c r="O6240" s="564" t="s">
        <v>38</v>
      </c>
      <c r="P6240" s="23"/>
      <c r="Q6240" s="23"/>
      <c r="R6240" s="23"/>
      <c r="S6240" s="23"/>
      <c r="T6240" s="23"/>
      <c r="U6240" s="23"/>
      <c r="V6240" s="23"/>
      <c r="W6240" s="23"/>
      <c r="X6240" s="23"/>
      <c r="Y6240" s="23"/>
      <c r="Z6240" s="23"/>
    </row>
    <row r="6241" spans="1:26" ht="13">
      <c r="A6241" s="562" t="s">
        <v>13517</v>
      </c>
      <c r="B6241" s="563" t="s">
        <v>13518</v>
      </c>
      <c r="C6241" s="564" t="s">
        <v>6860</v>
      </c>
      <c r="D6241" s="565">
        <v>39343</v>
      </c>
      <c r="E6241" s="565">
        <v>39383</v>
      </c>
      <c r="F6241" s="566">
        <v>346281818</v>
      </c>
      <c r="G6241" s="564" t="s">
        <v>1912</v>
      </c>
      <c r="H6241" s="564" t="s">
        <v>1116</v>
      </c>
      <c r="I6241" s="564" t="s">
        <v>13242</v>
      </c>
      <c r="J6241" s="564" t="s">
        <v>1069</v>
      </c>
      <c r="K6241" s="564" t="s">
        <v>1209</v>
      </c>
      <c r="L6241" s="564" t="s">
        <v>1390</v>
      </c>
      <c r="M6241" s="564" t="s">
        <v>1390</v>
      </c>
      <c r="N6241" s="564" t="s">
        <v>2325</v>
      </c>
      <c r="O6241" s="564" t="s">
        <v>38</v>
      </c>
      <c r="P6241" s="23"/>
      <c r="Q6241" s="23"/>
      <c r="R6241" s="23"/>
      <c r="S6241" s="23"/>
      <c r="T6241" s="23"/>
      <c r="U6241" s="23"/>
      <c r="V6241" s="23"/>
      <c r="W6241" s="23"/>
      <c r="X6241" s="23"/>
      <c r="Y6241" s="23"/>
      <c r="Z6241" s="23"/>
    </row>
    <row r="6242" spans="1:26" ht="13">
      <c r="A6242" s="562" t="s">
        <v>13519</v>
      </c>
      <c r="B6242" s="563" t="s">
        <v>13520</v>
      </c>
      <c r="C6242" s="564" t="s">
        <v>2191</v>
      </c>
      <c r="D6242" s="565">
        <v>39316</v>
      </c>
      <c r="E6242" s="565">
        <v>39447</v>
      </c>
      <c r="F6242" s="566">
        <v>653800768</v>
      </c>
      <c r="G6242" s="564" t="s">
        <v>1123</v>
      </c>
      <c r="H6242" s="564" t="s">
        <v>1912</v>
      </c>
      <c r="I6242" s="564" t="s">
        <v>162</v>
      </c>
      <c r="J6242" s="564" t="s">
        <v>1069</v>
      </c>
      <c r="K6242" s="564" t="s">
        <v>1209</v>
      </c>
      <c r="L6242" s="564" t="s">
        <v>1071</v>
      </c>
      <c r="M6242" s="564" t="s">
        <v>1091</v>
      </c>
      <c r="N6242" s="564" t="s">
        <v>1082</v>
      </c>
      <c r="O6242" s="564" t="s">
        <v>241</v>
      </c>
      <c r="P6242" s="23"/>
      <c r="Q6242" s="23"/>
      <c r="R6242" s="23"/>
      <c r="S6242" s="23"/>
      <c r="T6242" s="23"/>
      <c r="U6242" s="23"/>
      <c r="V6242" s="23"/>
      <c r="W6242" s="23"/>
      <c r="X6242" s="23"/>
      <c r="Y6242" s="23"/>
      <c r="Z6242" s="23"/>
    </row>
    <row r="6243" spans="1:26" ht="13">
      <c r="A6243" s="562" t="s">
        <v>13521</v>
      </c>
      <c r="B6243" s="563" t="s">
        <v>13522</v>
      </c>
      <c r="C6243" s="564" t="s">
        <v>6860</v>
      </c>
      <c r="D6243" s="565">
        <v>39286</v>
      </c>
      <c r="E6243" s="565">
        <v>39291</v>
      </c>
      <c r="F6243" s="566">
        <v>8636364</v>
      </c>
      <c r="G6243" s="564" t="s">
        <v>1116</v>
      </c>
      <c r="H6243" s="564" t="s">
        <v>1116</v>
      </c>
      <c r="I6243" s="564" t="s">
        <v>8659</v>
      </c>
      <c r="J6243" s="564" t="s">
        <v>1069</v>
      </c>
      <c r="K6243" s="564" t="s">
        <v>1205</v>
      </c>
      <c r="L6243" s="564" t="s">
        <v>1071</v>
      </c>
      <c r="M6243" s="564" t="s">
        <v>1124</v>
      </c>
      <c r="N6243" s="564" t="s">
        <v>1073</v>
      </c>
      <c r="O6243" s="564" t="s">
        <v>38</v>
      </c>
      <c r="P6243" s="23"/>
      <c r="Q6243" s="23"/>
      <c r="R6243" s="23"/>
      <c r="S6243" s="23"/>
      <c r="T6243" s="23"/>
      <c r="U6243" s="23"/>
      <c r="V6243" s="23"/>
      <c r="W6243" s="23"/>
      <c r="X6243" s="23"/>
      <c r="Y6243" s="23"/>
      <c r="Z6243" s="23"/>
    </row>
    <row r="6244" spans="1:26" ht="13">
      <c r="A6244" s="562" t="s">
        <v>13523</v>
      </c>
      <c r="B6244" s="563" t="s">
        <v>13524</v>
      </c>
      <c r="C6244" s="564" t="s">
        <v>6860</v>
      </c>
      <c r="D6244" s="565">
        <v>39279</v>
      </c>
      <c r="E6244" s="565">
        <v>39386</v>
      </c>
      <c r="F6244" s="566">
        <v>50000000</v>
      </c>
      <c r="G6244" s="564" t="s">
        <v>10823</v>
      </c>
      <c r="H6244" s="564" t="s">
        <v>2168</v>
      </c>
      <c r="I6244" s="564" t="s">
        <v>13525</v>
      </c>
      <c r="J6244" s="564" t="s">
        <v>1069</v>
      </c>
      <c r="K6244" s="564" t="s">
        <v>1209</v>
      </c>
      <c r="L6244" s="564" t="s">
        <v>1390</v>
      </c>
      <c r="M6244" s="564" t="s">
        <v>1390</v>
      </c>
      <c r="N6244" s="564" t="s">
        <v>1082</v>
      </c>
      <c r="O6244" s="564" t="s">
        <v>38</v>
      </c>
      <c r="P6244" s="23"/>
      <c r="Q6244" s="23"/>
      <c r="R6244" s="23"/>
      <c r="S6244" s="23"/>
      <c r="T6244" s="23"/>
      <c r="U6244" s="23"/>
      <c r="V6244" s="23"/>
      <c r="W6244" s="23"/>
      <c r="X6244" s="23"/>
      <c r="Y6244" s="23"/>
      <c r="Z6244" s="23"/>
    </row>
    <row r="6245" spans="1:26" ht="13">
      <c r="A6245" s="562" t="s">
        <v>13526</v>
      </c>
      <c r="B6245" s="563" t="s">
        <v>13527</v>
      </c>
      <c r="C6245" s="564" t="s">
        <v>1612</v>
      </c>
      <c r="D6245" s="565">
        <v>39251</v>
      </c>
      <c r="E6245" s="565">
        <v>39345</v>
      </c>
      <c r="F6245" s="566">
        <v>84500000</v>
      </c>
      <c r="G6245" s="564" t="s">
        <v>1128</v>
      </c>
      <c r="H6245" s="564" t="s">
        <v>1128</v>
      </c>
      <c r="I6245" s="564" t="s">
        <v>70</v>
      </c>
      <c r="J6245" s="564" t="s">
        <v>1069</v>
      </c>
      <c r="K6245" s="564" t="s">
        <v>1120</v>
      </c>
      <c r="L6245" s="564" t="s">
        <v>1390</v>
      </c>
      <c r="M6245" s="564" t="s">
        <v>1390</v>
      </c>
      <c r="N6245" s="564" t="s">
        <v>70</v>
      </c>
      <c r="O6245" s="564" t="s">
        <v>38</v>
      </c>
      <c r="P6245" s="23"/>
      <c r="Q6245" s="23"/>
      <c r="R6245" s="23"/>
      <c r="S6245" s="23"/>
      <c r="T6245" s="23"/>
      <c r="U6245" s="23"/>
      <c r="V6245" s="23"/>
      <c r="W6245" s="23"/>
      <c r="X6245" s="23"/>
      <c r="Y6245" s="23"/>
      <c r="Z6245" s="23"/>
    </row>
    <row r="6246" spans="1:26" ht="13">
      <c r="A6246" s="562" t="s">
        <v>13528</v>
      </c>
      <c r="B6246" s="563" t="s">
        <v>13529</v>
      </c>
      <c r="C6246" s="564" t="s">
        <v>1612</v>
      </c>
      <c r="D6246" s="565">
        <v>39258</v>
      </c>
      <c r="E6246" s="565">
        <v>39318</v>
      </c>
      <c r="F6246" s="566">
        <v>233460000</v>
      </c>
      <c r="G6246" s="564" t="s">
        <v>1725</v>
      </c>
      <c r="H6246" s="564" t="s">
        <v>1128</v>
      </c>
      <c r="I6246" s="564" t="s">
        <v>1068</v>
      </c>
      <c r="J6246" s="564" t="s">
        <v>1069</v>
      </c>
      <c r="K6246" s="564" t="s">
        <v>1070</v>
      </c>
      <c r="L6246" s="564" t="s">
        <v>1390</v>
      </c>
      <c r="M6246" s="564" t="s">
        <v>1390</v>
      </c>
      <c r="N6246" s="564" t="s">
        <v>1073</v>
      </c>
      <c r="O6246" s="564" t="s">
        <v>38</v>
      </c>
      <c r="P6246" s="23"/>
      <c r="Q6246" s="23"/>
      <c r="R6246" s="23"/>
      <c r="S6246" s="23"/>
      <c r="T6246" s="23"/>
      <c r="U6246" s="23"/>
      <c r="V6246" s="23"/>
      <c r="W6246" s="23"/>
      <c r="X6246" s="23"/>
      <c r="Y6246" s="23"/>
      <c r="Z6246" s="23"/>
    </row>
    <row r="6247" spans="1:26" ht="13">
      <c r="A6247" s="562" t="s">
        <v>13530</v>
      </c>
      <c r="B6247" s="563" t="s">
        <v>13531</v>
      </c>
      <c r="C6247" s="564" t="s">
        <v>2191</v>
      </c>
      <c r="D6247" s="565">
        <v>39173</v>
      </c>
      <c r="E6247" s="565">
        <v>39202</v>
      </c>
      <c r="F6247" s="566">
        <v>105000000</v>
      </c>
      <c r="G6247" s="564" t="s">
        <v>13532</v>
      </c>
      <c r="H6247" s="564" t="s">
        <v>13532</v>
      </c>
      <c r="I6247" s="564" t="s">
        <v>13533</v>
      </c>
      <c r="J6247" s="564" t="s">
        <v>1069</v>
      </c>
      <c r="K6247" s="564" t="s">
        <v>1070</v>
      </c>
      <c r="L6247" s="564" t="s">
        <v>1390</v>
      </c>
      <c r="M6247" s="564" t="s">
        <v>1390</v>
      </c>
      <c r="N6247" s="564" t="s">
        <v>1082</v>
      </c>
      <c r="O6247" s="564" t="s">
        <v>38</v>
      </c>
      <c r="P6247" s="23"/>
      <c r="Q6247" s="23"/>
      <c r="R6247" s="23"/>
      <c r="S6247" s="23"/>
      <c r="T6247" s="23"/>
      <c r="U6247" s="23"/>
      <c r="V6247" s="23"/>
      <c r="W6247" s="23"/>
      <c r="X6247" s="23"/>
      <c r="Y6247" s="23"/>
      <c r="Z6247" s="23"/>
    </row>
    <row r="6248" spans="1:26" ht="13">
      <c r="A6248" s="562" t="s">
        <v>13534</v>
      </c>
      <c r="B6248" s="563" t="s">
        <v>13535</v>
      </c>
      <c r="C6248" s="564" t="s">
        <v>6860</v>
      </c>
      <c r="D6248" s="565">
        <v>39258</v>
      </c>
      <c r="E6248" s="565">
        <v>39386</v>
      </c>
      <c r="F6248" s="566">
        <v>454545454</v>
      </c>
      <c r="G6248" s="564" t="s">
        <v>1725</v>
      </c>
      <c r="H6248" s="564" t="s">
        <v>1116</v>
      </c>
      <c r="I6248" s="564" t="s">
        <v>13242</v>
      </c>
      <c r="J6248" s="564" t="s">
        <v>1069</v>
      </c>
      <c r="K6248" s="564" t="s">
        <v>1209</v>
      </c>
      <c r="L6248" s="564" t="s">
        <v>1390</v>
      </c>
      <c r="M6248" s="564" t="s">
        <v>1390</v>
      </c>
      <c r="N6248" s="564" t="s">
        <v>2325</v>
      </c>
      <c r="O6248" s="564" t="s">
        <v>38</v>
      </c>
      <c r="P6248" s="23"/>
      <c r="Q6248" s="23"/>
      <c r="R6248" s="23"/>
      <c r="S6248" s="23"/>
      <c r="T6248" s="23"/>
      <c r="U6248" s="23"/>
      <c r="V6248" s="23"/>
      <c r="W6248" s="23"/>
      <c r="X6248" s="23"/>
      <c r="Y6248" s="23"/>
      <c r="Z6248" s="23"/>
    </row>
    <row r="6249" spans="1:26" ht="13">
      <c r="A6249" s="562" t="s">
        <v>13536</v>
      </c>
      <c r="B6249" s="563" t="s">
        <v>13537</v>
      </c>
      <c r="C6249" s="564" t="s">
        <v>2191</v>
      </c>
      <c r="D6249" s="565">
        <v>39251</v>
      </c>
      <c r="E6249" s="565">
        <v>39342</v>
      </c>
      <c r="F6249" s="566">
        <v>14500000</v>
      </c>
      <c r="G6249" s="564" t="s">
        <v>4261</v>
      </c>
      <c r="H6249" s="564" t="s">
        <v>8532</v>
      </c>
      <c r="I6249" s="564" t="s">
        <v>13538</v>
      </c>
      <c r="J6249" s="564" t="s">
        <v>1069</v>
      </c>
      <c r="K6249" s="564" t="s">
        <v>1105</v>
      </c>
      <c r="L6249" s="564" t="s">
        <v>1390</v>
      </c>
      <c r="M6249" s="564" t="s">
        <v>1390</v>
      </c>
      <c r="N6249" s="564" t="s">
        <v>1082</v>
      </c>
      <c r="O6249" s="564" t="s">
        <v>38</v>
      </c>
      <c r="P6249" s="23"/>
      <c r="Q6249" s="23"/>
      <c r="R6249" s="23"/>
      <c r="S6249" s="23"/>
      <c r="T6249" s="23"/>
      <c r="U6249" s="23"/>
      <c r="V6249" s="23"/>
      <c r="W6249" s="23"/>
      <c r="X6249" s="23"/>
      <c r="Y6249" s="23"/>
      <c r="Z6249" s="23"/>
    </row>
    <row r="6250" spans="1:26" ht="13">
      <c r="A6250" s="562" t="s">
        <v>13539</v>
      </c>
      <c r="B6250" s="563" t="s">
        <v>13540</v>
      </c>
      <c r="C6250" s="564" t="s">
        <v>2191</v>
      </c>
      <c r="D6250" s="565">
        <v>39243</v>
      </c>
      <c r="E6250" s="565">
        <v>39365</v>
      </c>
      <c r="F6250" s="566">
        <v>100872727</v>
      </c>
      <c r="G6250" s="564" t="s">
        <v>11225</v>
      </c>
      <c r="H6250" s="564" t="s">
        <v>11225</v>
      </c>
      <c r="I6250" s="564" t="s">
        <v>13541</v>
      </c>
      <c r="J6250" s="564" t="s">
        <v>1069</v>
      </c>
      <c r="K6250" s="564" t="s">
        <v>1070</v>
      </c>
      <c r="L6250" s="564" t="s">
        <v>1390</v>
      </c>
      <c r="M6250" s="564" t="s">
        <v>1390</v>
      </c>
      <c r="N6250" s="564" t="s">
        <v>2543</v>
      </c>
      <c r="O6250" s="564" t="s">
        <v>38</v>
      </c>
      <c r="P6250" s="23"/>
      <c r="Q6250" s="23"/>
      <c r="R6250" s="23"/>
      <c r="S6250" s="23"/>
      <c r="T6250" s="23"/>
      <c r="U6250" s="23"/>
      <c r="V6250" s="23"/>
      <c r="W6250" s="23"/>
      <c r="X6250" s="23"/>
      <c r="Y6250" s="23"/>
      <c r="Z6250" s="23"/>
    </row>
    <row r="6251" spans="1:26" ht="13">
      <c r="A6251" s="562" t="s">
        <v>13542</v>
      </c>
      <c r="B6251" s="563" t="s">
        <v>13543</v>
      </c>
      <c r="C6251" s="564" t="s">
        <v>1612</v>
      </c>
      <c r="D6251" s="565">
        <v>39154</v>
      </c>
      <c r="E6251" s="565">
        <v>39183</v>
      </c>
      <c r="F6251" s="566">
        <v>6900000</v>
      </c>
      <c r="G6251" s="564" t="s">
        <v>1128</v>
      </c>
      <c r="H6251" s="564" t="s">
        <v>1128</v>
      </c>
      <c r="I6251" s="564" t="s">
        <v>45</v>
      </c>
      <c r="J6251" s="564" t="s">
        <v>1069</v>
      </c>
      <c r="K6251" s="564" t="s">
        <v>1090</v>
      </c>
      <c r="L6251" s="564" t="s">
        <v>1390</v>
      </c>
      <c r="M6251" s="564" t="s">
        <v>1390</v>
      </c>
      <c r="N6251" s="564" t="s">
        <v>45</v>
      </c>
      <c r="O6251" s="564" t="s">
        <v>38</v>
      </c>
      <c r="P6251" s="23"/>
      <c r="Q6251" s="23"/>
      <c r="R6251" s="23"/>
      <c r="S6251" s="23"/>
      <c r="T6251" s="23"/>
      <c r="U6251" s="23"/>
      <c r="V6251" s="23"/>
      <c r="W6251" s="23"/>
      <c r="X6251" s="23"/>
      <c r="Y6251" s="23"/>
      <c r="Z6251" s="23"/>
    </row>
    <row r="6252" spans="1:26" ht="13">
      <c r="A6252" s="562" t="s">
        <v>13544</v>
      </c>
      <c r="B6252" s="563" t="s">
        <v>13545</v>
      </c>
      <c r="C6252" s="564" t="s">
        <v>2484</v>
      </c>
      <c r="D6252" s="565">
        <v>39154</v>
      </c>
      <c r="E6252" s="565">
        <v>40237</v>
      </c>
      <c r="F6252" s="566">
        <v>167088835</v>
      </c>
      <c r="G6252" s="564" t="s">
        <v>12080</v>
      </c>
      <c r="H6252" s="564" t="s">
        <v>2459</v>
      </c>
      <c r="I6252" s="564" t="s">
        <v>13546</v>
      </c>
      <c r="J6252" s="564" t="s">
        <v>1069</v>
      </c>
      <c r="K6252" s="564" t="s">
        <v>2466</v>
      </c>
      <c r="L6252" s="564" t="s">
        <v>2467</v>
      </c>
      <c r="M6252" s="564" t="s">
        <v>2466</v>
      </c>
      <c r="N6252" s="564" t="s">
        <v>2543</v>
      </c>
      <c r="O6252" s="564" t="s">
        <v>12077</v>
      </c>
      <c r="P6252" s="23"/>
      <c r="Q6252" s="23"/>
      <c r="R6252" s="23"/>
      <c r="S6252" s="23"/>
      <c r="T6252" s="23"/>
      <c r="U6252" s="23"/>
      <c r="V6252" s="23"/>
      <c r="W6252" s="23"/>
      <c r="X6252" s="23"/>
      <c r="Y6252" s="23"/>
      <c r="Z6252" s="23"/>
    </row>
    <row r="6253" spans="1:26" ht="13">
      <c r="A6253" s="562" t="s">
        <v>13547</v>
      </c>
      <c r="B6253" s="563" t="s">
        <v>13548</v>
      </c>
      <c r="C6253" s="564" t="s">
        <v>2191</v>
      </c>
      <c r="D6253" s="565">
        <v>39170</v>
      </c>
      <c r="E6253" s="565">
        <v>39224</v>
      </c>
      <c r="F6253" s="566">
        <v>436363636</v>
      </c>
      <c r="G6253" s="564" t="s">
        <v>1123</v>
      </c>
      <c r="H6253" s="564" t="s">
        <v>2558</v>
      </c>
      <c r="I6253" s="564" t="s">
        <v>143</v>
      </c>
      <c r="J6253" s="564" t="s">
        <v>1069</v>
      </c>
      <c r="K6253" s="564" t="s">
        <v>1205</v>
      </c>
      <c r="L6253" s="564" t="s">
        <v>1390</v>
      </c>
      <c r="M6253" s="564" t="s">
        <v>1390</v>
      </c>
      <c r="N6253" s="564" t="s">
        <v>1073</v>
      </c>
      <c r="O6253" s="564" t="s">
        <v>38</v>
      </c>
      <c r="P6253" s="23"/>
      <c r="Q6253" s="23"/>
      <c r="R6253" s="23"/>
      <c r="S6253" s="23"/>
      <c r="T6253" s="23"/>
      <c r="U6253" s="23"/>
      <c r="V6253" s="23"/>
      <c r="W6253" s="23"/>
      <c r="X6253" s="23"/>
      <c r="Y6253" s="23"/>
      <c r="Z6253" s="23"/>
    </row>
    <row r="6254" spans="1:26" ht="13">
      <c r="A6254" s="562" t="s">
        <v>13549</v>
      </c>
      <c r="B6254" s="563" t="s">
        <v>13550</v>
      </c>
      <c r="C6254" s="564" t="s">
        <v>1255</v>
      </c>
      <c r="D6254" s="565">
        <v>39153</v>
      </c>
      <c r="E6254" s="565">
        <v>39610</v>
      </c>
      <c r="F6254" s="566">
        <v>1750400000</v>
      </c>
      <c r="G6254" s="564" t="s">
        <v>13551</v>
      </c>
      <c r="H6254" s="564" t="s">
        <v>1856</v>
      </c>
      <c r="I6254" s="564" t="s">
        <v>45</v>
      </c>
      <c r="J6254" s="564" t="s">
        <v>1069</v>
      </c>
      <c r="K6254" s="564" t="s">
        <v>1090</v>
      </c>
      <c r="L6254" s="564" t="s">
        <v>1071</v>
      </c>
      <c r="M6254" s="564" t="s">
        <v>1124</v>
      </c>
      <c r="N6254" s="564" t="s">
        <v>45</v>
      </c>
      <c r="O6254" s="564" t="s">
        <v>38</v>
      </c>
      <c r="P6254" s="23"/>
      <c r="Q6254" s="23"/>
      <c r="R6254" s="23"/>
      <c r="S6254" s="23"/>
      <c r="T6254" s="23"/>
      <c r="U6254" s="23"/>
      <c r="V6254" s="23"/>
      <c r="W6254" s="23"/>
      <c r="X6254" s="23"/>
      <c r="Y6254" s="23"/>
      <c r="Z6254" s="23"/>
    </row>
    <row r="6255" spans="1:26" ht="13">
      <c r="A6255" s="562" t="s">
        <v>13552</v>
      </c>
      <c r="B6255" s="563" t="s">
        <v>13311</v>
      </c>
      <c r="C6255" s="564" t="s">
        <v>6860</v>
      </c>
      <c r="D6255" s="565">
        <v>39087</v>
      </c>
      <c r="E6255" s="565">
        <v>39451</v>
      </c>
      <c r="F6255" s="566">
        <v>110727272</v>
      </c>
      <c r="G6255" s="564" t="s">
        <v>2168</v>
      </c>
      <c r="H6255" s="564" t="s">
        <v>2168</v>
      </c>
      <c r="I6255" s="564" t="s">
        <v>13312</v>
      </c>
      <c r="J6255" s="564" t="s">
        <v>1069</v>
      </c>
      <c r="K6255" s="564" t="s">
        <v>1198</v>
      </c>
      <c r="L6255" s="564" t="s">
        <v>1071</v>
      </c>
      <c r="M6255" s="564" t="s">
        <v>1091</v>
      </c>
      <c r="N6255" s="564" t="s">
        <v>1368</v>
      </c>
      <c r="O6255" s="564" t="s">
        <v>241</v>
      </c>
      <c r="P6255" s="23"/>
      <c r="Q6255" s="23"/>
      <c r="R6255" s="23"/>
      <c r="S6255" s="23"/>
      <c r="T6255" s="23"/>
      <c r="U6255" s="23"/>
      <c r="V6255" s="23"/>
      <c r="W6255" s="23"/>
      <c r="X6255" s="23"/>
      <c r="Y6255" s="23"/>
      <c r="Z6255" s="23"/>
    </row>
    <row r="6256" spans="1:26" ht="13">
      <c r="A6256" s="562" t="s">
        <v>13553</v>
      </c>
      <c r="B6256" s="563" t="s">
        <v>13554</v>
      </c>
      <c r="C6256" s="564" t="s">
        <v>2191</v>
      </c>
      <c r="D6256" s="565">
        <v>39104</v>
      </c>
      <c r="E6256" s="565">
        <v>39202</v>
      </c>
      <c r="F6256" s="566">
        <v>2161332727</v>
      </c>
      <c r="G6256" s="564" t="s">
        <v>2558</v>
      </c>
      <c r="H6256" s="564" t="s">
        <v>2558</v>
      </c>
      <c r="I6256" s="564" t="s">
        <v>141</v>
      </c>
      <c r="J6256" s="564" t="s">
        <v>1069</v>
      </c>
      <c r="K6256" s="564" t="s">
        <v>1205</v>
      </c>
      <c r="L6256" s="564" t="s">
        <v>1390</v>
      </c>
      <c r="M6256" s="564" t="s">
        <v>1390</v>
      </c>
      <c r="N6256" s="564" t="s">
        <v>1073</v>
      </c>
      <c r="O6256" s="564" t="s">
        <v>38</v>
      </c>
      <c r="P6256" s="23"/>
      <c r="Q6256" s="23"/>
      <c r="R6256" s="23"/>
      <c r="S6256" s="23"/>
      <c r="T6256" s="23"/>
      <c r="U6256" s="23"/>
      <c r="V6256" s="23"/>
      <c r="W6256" s="23"/>
      <c r="X6256" s="23"/>
      <c r="Y6256" s="23"/>
      <c r="Z6256" s="23"/>
    </row>
    <row r="6257" spans="1:26" ht="13">
      <c r="A6257" s="562" t="s">
        <v>13555</v>
      </c>
      <c r="B6257" s="563" t="s">
        <v>13556</v>
      </c>
      <c r="C6257" s="564" t="s">
        <v>1612</v>
      </c>
      <c r="D6257" s="565">
        <v>39142</v>
      </c>
      <c r="E6257" s="565">
        <v>39507</v>
      </c>
      <c r="F6257" s="566">
        <v>416500000</v>
      </c>
      <c r="G6257" s="564" t="s">
        <v>12766</v>
      </c>
      <c r="H6257" s="564" t="s">
        <v>1128</v>
      </c>
      <c r="I6257" s="564" t="s">
        <v>45</v>
      </c>
      <c r="J6257" s="564" t="s">
        <v>1069</v>
      </c>
      <c r="K6257" s="564" t="s">
        <v>1090</v>
      </c>
      <c r="L6257" s="564" t="s">
        <v>1390</v>
      </c>
      <c r="M6257" s="564" t="s">
        <v>1390</v>
      </c>
      <c r="N6257" s="564" t="s">
        <v>45</v>
      </c>
      <c r="O6257" s="564" t="s">
        <v>38</v>
      </c>
      <c r="P6257" s="23"/>
      <c r="Q6257" s="23"/>
      <c r="R6257" s="23"/>
      <c r="S6257" s="23"/>
      <c r="T6257" s="23"/>
      <c r="U6257" s="23"/>
      <c r="V6257" s="23"/>
      <c r="W6257" s="23"/>
      <c r="X6257" s="23"/>
      <c r="Y6257" s="23"/>
      <c r="Z6257" s="23"/>
    </row>
    <row r="6258" spans="1:26" ht="13">
      <c r="A6258" s="562" t="s">
        <v>13557</v>
      </c>
      <c r="B6258" s="563" t="s">
        <v>13558</v>
      </c>
      <c r="C6258" s="564" t="s">
        <v>1873</v>
      </c>
      <c r="D6258" s="565">
        <v>39094</v>
      </c>
      <c r="E6258" s="565">
        <v>39152</v>
      </c>
      <c r="F6258" s="566">
        <v>13960000</v>
      </c>
      <c r="G6258" s="564" t="s">
        <v>337</v>
      </c>
      <c r="H6258" s="564" t="s">
        <v>8532</v>
      </c>
      <c r="I6258" s="564" t="s">
        <v>170</v>
      </c>
      <c r="J6258" s="564" t="s">
        <v>1069</v>
      </c>
      <c r="K6258" s="564" t="s">
        <v>1105</v>
      </c>
      <c r="L6258" s="564" t="s">
        <v>1071</v>
      </c>
      <c r="M6258" s="564" t="s">
        <v>1091</v>
      </c>
      <c r="N6258" s="564" t="s">
        <v>170</v>
      </c>
      <c r="O6258" s="564" t="s">
        <v>241</v>
      </c>
      <c r="P6258" s="23"/>
      <c r="Q6258" s="23"/>
      <c r="R6258" s="23"/>
      <c r="S6258" s="23"/>
      <c r="T6258" s="23"/>
      <c r="U6258" s="23"/>
      <c r="V6258" s="23"/>
      <c r="W6258" s="23"/>
      <c r="X6258" s="23"/>
      <c r="Y6258" s="23"/>
      <c r="Z6258" s="23"/>
    </row>
    <row r="6259" spans="1:26" ht="13">
      <c r="A6259" s="562" t="s">
        <v>13559</v>
      </c>
      <c r="B6259" s="563" t="s">
        <v>13560</v>
      </c>
      <c r="C6259" s="564" t="s">
        <v>2191</v>
      </c>
      <c r="D6259" s="565">
        <v>39094</v>
      </c>
      <c r="E6259" s="565">
        <v>39782</v>
      </c>
      <c r="F6259" s="566">
        <v>751927655</v>
      </c>
      <c r="G6259" s="564" t="s">
        <v>1123</v>
      </c>
      <c r="H6259" s="564" t="s">
        <v>1912</v>
      </c>
      <c r="I6259" s="564" t="s">
        <v>13561</v>
      </c>
      <c r="J6259" s="564" t="s">
        <v>1069</v>
      </c>
      <c r="K6259" s="564" t="s">
        <v>2430</v>
      </c>
      <c r="L6259" s="564" t="s">
        <v>1071</v>
      </c>
      <c r="M6259" s="564" t="s">
        <v>1124</v>
      </c>
      <c r="N6259" s="564" t="s">
        <v>1082</v>
      </c>
      <c r="O6259" s="564" t="s">
        <v>38</v>
      </c>
      <c r="P6259" s="23"/>
      <c r="Q6259" s="23"/>
      <c r="R6259" s="23"/>
      <c r="S6259" s="23"/>
      <c r="T6259" s="23"/>
      <c r="U6259" s="23"/>
      <c r="V6259" s="23"/>
      <c r="W6259" s="23"/>
      <c r="X6259" s="23"/>
      <c r="Y6259" s="23"/>
      <c r="Z6259" s="23"/>
    </row>
    <row r="6260" spans="1:26" ht="13">
      <c r="A6260" s="562" t="s">
        <v>13562</v>
      </c>
      <c r="B6260" s="563" t="s">
        <v>13563</v>
      </c>
      <c r="C6260" s="564" t="s">
        <v>2484</v>
      </c>
      <c r="D6260" s="565">
        <v>39006</v>
      </c>
      <c r="E6260" s="565">
        <v>39017</v>
      </c>
      <c r="F6260" s="566">
        <v>5000000</v>
      </c>
      <c r="G6260" s="564" t="s">
        <v>13339</v>
      </c>
      <c r="H6260" s="564"/>
      <c r="I6260" s="564" t="s">
        <v>12105</v>
      </c>
      <c r="J6260" s="564" t="s">
        <v>1069</v>
      </c>
      <c r="K6260" s="564" t="s">
        <v>2466</v>
      </c>
      <c r="L6260" s="564" t="s">
        <v>2467</v>
      </c>
      <c r="M6260" s="564" t="s">
        <v>2466</v>
      </c>
      <c r="N6260" s="564" t="s">
        <v>1082</v>
      </c>
      <c r="O6260" s="564" t="s">
        <v>12077</v>
      </c>
      <c r="P6260" s="23"/>
      <c r="Q6260" s="23"/>
      <c r="R6260" s="23"/>
      <c r="S6260" s="23"/>
      <c r="T6260" s="23"/>
      <c r="U6260" s="23"/>
      <c r="V6260" s="23"/>
      <c r="W6260" s="23"/>
      <c r="X6260" s="23"/>
      <c r="Y6260" s="23"/>
      <c r="Z6260" s="23"/>
    </row>
    <row r="6261" spans="1:26" ht="13">
      <c r="A6261" s="562" t="s">
        <v>13564</v>
      </c>
      <c r="B6261" s="563" t="s">
        <v>13565</v>
      </c>
      <c r="C6261" s="564" t="s">
        <v>2484</v>
      </c>
      <c r="D6261" s="565">
        <v>39020</v>
      </c>
      <c r="E6261" s="565">
        <v>39109</v>
      </c>
      <c r="F6261" s="566">
        <v>30915455</v>
      </c>
      <c r="G6261" s="564" t="s">
        <v>13339</v>
      </c>
      <c r="H6261" s="564"/>
      <c r="I6261" s="564" t="s">
        <v>12116</v>
      </c>
      <c r="J6261" s="564" t="s">
        <v>1069</v>
      </c>
      <c r="K6261" s="564" t="s">
        <v>2466</v>
      </c>
      <c r="L6261" s="564" t="s">
        <v>2467</v>
      </c>
      <c r="M6261" s="564" t="s">
        <v>2466</v>
      </c>
      <c r="N6261" s="564" t="s">
        <v>2325</v>
      </c>
      <c r="O6261" s="564" t="s">
        <v>12077</v>
      </c>
      <c r="P6261" s="23"/>
      <c r="Q6261" s="23"/>
      <c r="R6261" s="23"/>
      <c r="S6261" s="23"/>
      <c r="T6261" s="23"/>
      <c r="U6261" s="23"/>
      <c r="V6261" s="23"/>
      <c r="W6261" s="23"/>
      <c r="X6261" s="23"/>
      <c r="Y6261" s="23"/>
      <c r="Z6261" s="23"/>
    </row>
    <row r="6262" spans="1:26" ht="13">
      <c r="A6262" s="562" t="s">
        <v>13566</v>
      </c>
      <c r="B6262" s="563" t="s">
        <v>13567</v>
      </c>
      <c r="C6262" s="564" t="s">
        <v>2484</v>
      </c>
      <c r="D6262" s="565">
        <v>39014</v>
      </c>
      <c r="E6262" s="565">
        <v>39029</v>
      </c>
      <c r="F6262" s="566">
        <v>5545546</v>
      </c>
      <c r="G6262" s="564" t="s">
        <v>13379</v>
      </c>
      <c r="H6262" s="564"/>
      <c r="I6262" s="564" t="s">
        <v>2515</v>
      </c>
      <c r="J6262" s="564" t="s">
        <v>1069</v>
      </c>
      <c r="K6262" s="564" t="s">
        <v>2466</v>
      </c>
      <c r="L6262" s="564" t="s">
        <v>2467</v>
      </c>
      <c r="M6262" s="564" t="s">
        <v>2466</v>
      </c>
      <c r="N6262" s="564" t="s">
        <v>2325</v>
      </c>
      <c r="O6262" s="564" t="s">
        <v>12077</v>
      </c>
      <c r="P6262" s="23"/>
      <c r="Q6262" s="23"/>
      <c r="R6262" s="23"/>
      <c r="S6262" s="23"/>
      <c r="T6262" s="23"/>
      <c r="U6262" s="23"/>
      <c r="V6262" s="23"/>
      <c r="W6262" s="23"/>
      <c r="X6262" s="23"/>
      <c r="Y6262" s="23"/>
      <c r="Z6262" s="23"/>
    </row>
    <row r="6263" spans="1:26" ht="13">
      <c r="A6263" s="562" t="s">
        <v>13568</v>
      </c>
      <c r="B6263" s="563" t="s">
        <v>13569</v>
      </c>
      <c r="C6263" s="564" t="s">
        <v>2484</v>
      </c>
      <c r="D6263" s="565">
        <v>39013</v>
      </c>
      <c r="E6263" s="565">
        <v>39263</v>
      </c>
      <c r="F6263" s="566">
        <v>26592364</v>
      </c>
      <c r="G6263" s="564" t="s">
        <v>2565</v>
      </c>
      <c r="H6263" s="564"/>
      <c r="I6263" s="564" t="s">
        <v>2542</v>
      </c>
      <c r="J6263" s="564" t="s">
        <v>1069</v>
      </c>
      <c r="K6263" s="564" t="s">
        <v>2466</v>
      </c>
      <c r="L6263" s="564" t="s">
        <v>2467</v>
      </c>
      <c r="M6263" s="564" t="s">
        <v>2466</v>
      </c>
      <c r="N6263" s="564" t="s">
        <v>2543</v>
      </c>
      <c r="O6263" s="564" t="s">
        <v>12077</v>
      </c>
      <c r="P6263" s="23"/>
      <c r="Q6263" s="23"/>
      <c r="R6263" s="23"/>
      <c r="S6263" s="23"/>
      <c r="T6263" s="23"/>
      <c r="U6263" s="23"/>
      <c r="V6263" s="23"/>
      <c r="W6263" s="23"/>
      <c r="X6263" s="23"/>
      <c r="Y6263" s="23"/>
      <c r="Z6263" s="23"/>
    </row>
    <row r="6264" spans="1:26" ht="13">
      <c r="A6264" s="562" t="s">
        <v>13570</v>
      </c>
      <c r="B6264" s="563" t="s">
        <v>13571</v>
      </c>
      <c r="C6264" s="564" t="s">
        <v>2484</v>
      </c>
      <c r="D6264" s="565">
        <v>39017</v>
      </c>
      <c r="E6264" s="565">
        <v>39076</v>
      </c>
      <c r="F6264" s="566">
        <v>47705455</v>
      </c>
      <c r="G6264" s="564" t="s">
        <v>13339</v>
      </c>
      <c r="H6264" s="564"/>
      <c r="I6264" s="564" t="s">
        <v>13572</v>
      </c>
      <c r="J6264" s="564" t="s">
        <v>1069</v>
      </c>
      <c r="K6264" s="564" t="s">
        <v>2466</v>
      </c>
      <c r="L6264" s="564" t="s">
        <v>2467</v>
      </c>
      <c r="M6264" s="564" t="s">
        <v>2466</v>
      </c>
      <c r="N6264" s="564" t="s">
        <v>2439</v>
      </c>
      <c r="O6264" s="564" t="s">
        <v>12077</v>
      </c>
      <c r="P6264" s="23"/>
      <c r="Q6264" s="23"/>
      <c r="R6264" s="23"/>
      <c r="S6264" s="23"/>
      <c r="T6264" s="23"/>
      <c r="U6264" s="23"/>
      <c r="V6264" s="23"/>
      <c r="W6264" s="23"/>
      <c r="X6264" s="23"/>
      <c r="Y6264" s="23"/>
      <c r="Z6264" s="23"/>
    </row>
    <row r="6265" spans="1:26" ht="13">
      <c r="A6265" s="562" t="s">
        <v>13573</v>
      </c>
      <c r="B6265" s="563" t="s">
        <v>13574</v>
      </c>
      <c r="C6265" s="564" t="s">
        <v>2484</v>
      </c>
      <c r="D6265" s="565">
        <v>39014</v>
      </c>
      <c r="E6265" s="565">
        <v>39058</v>
      </c>
      <c r="F6265" s="566">
        <v>32062727</v>
      </c>
      <c r="G6265" s="564" t="s">
        <v>12075</v>
      </c>
      <c r="H6265" s="564"/>
      <c r="I6265" s="564" t="s">
        <v>13575</v>
      </c>
      <c r="J6265" s="564" t="s">
        <v>1069</v>
      </c>
      <c r="K6265" s="564" t="s">
        <v>2466</v>
      </c>
      <c r="L6265" s="564" t="s">
        <v>2467</v>
      </c>
      <c r="M6265" s="564" t="s">
        <v>2466</v>
      </c>
      <c r="N6265" s="564" t="s">
        <v>2325</v>
      </c>
      <c r="O6265" s="564" t="s">
        <v>12077</v>
      </c>
      <c r="P6265" s="23"/>
      <c r="Q6265" s="23"/>
      <c r="R6265" s="23"/>
      <c r="S6265" s="23"/>
      <c r="T6265" s="23"/>
      <c r="U6265" s="23"/>
      <c r="V6265" s="23"/>
      <c r="W6265" s="23"/>
      <c r="X6265" s="23"/>
      <c r="Y6265" s="23"/>
      <c r="Z6265" s="23"/>
    </row>
    <row r="6266" spans="1:26" ht="13">
      <c r="A6266" s="562" t="s">
        <v>13576</v>
      </c>
      <c r="B6266" s="563" t="s">
        <v>13577</v>
      </c>
      <c r="C6266" s="564" t="s">
        <v>2484</v>
      </c>
      <c r="D6266" s="565">
        <v>39000</v>
      </c>
      <c r="E6266" s="565">
        <v>39079</v>
      </c>
      <c r="F6266" s="566">
        <v>83450910</v>
      </c>
      <c r="G6266" s="564" t="s">
        <v>13391</v>
      </c>
      <c r="H6266" s="564"/>
      <c r="I6266" s="564" t="s">
        <v>12297</v>
      </c>
      <c r="J6266" s="564" t="s">
        <v>1069</v>
      </c>
      <c r="K6266" s="564" t="s">
        <v>2466</v>
      </c>
      <c r="L6266" s="564" t="s">
        <v>2467</v>
      </c>
      <c r="M6266" s="564" t="s">
        <v>2466</v>
      </c>
      <c r="N6266" s="564" t="s">
        <v>2439</v>
      </c>
      <c r="O6266" s="564" t="s">
        <v>12077</v>
      </c>
      <c r="P6266" s="23"/>
      <c r="Q6266" s="23"/>
      <c r="R6266" s="23"/>
      <c r="S6266" s="23"/>
      <c r="T6266" s="23"/>
      <c r="U6266" s="23"/>
      <c r="V6266" s="23"/>
      <c r="W6266" s="23"/>
      <c r="X6266" s="23"/>
      <c r="Y6266" s="23"/>
      <c r="Z6266" s="23"/>
    </row>
    <row r="6267" spans="1:26" ht="13">
      <c r="A6267" s="562" t="s">
        <v>13578</v>
      </c>
      <c r="B6267" s="563" t="s">
        <v>13579</v>
      </c>
      <c r="C6267" s="564" t="s">
        <v>2484</v>
      </c>
      <c r="D6267" s="565">
        <v>38967</v>
      </c>
      <c r="E6267" s="565">
        <v>39146</v>
      </c>
      <c r="F6267" s="566">
        <v>51240909</v>
      </c>
      <c r="G6267" s="564" t="s">
        <v>12075</v>
      </c>
      <c r="H6267" s="564"/>
      <c r="I6267" s="564" t="s">
        <v>12916</v>
      </c>
      <c r="J6267" s="564" t="s">
        <v>1069</v>
      </c>
      <c r="K6267" s="564" t="s">
        <v>2466</v>
      </c>
      <c r="L6267" s="564" t="s">
        <v>2467</v>
      </c>
      <c r="M6267" s="564" t="s">
        <v>2466</v>
      </c>
      <c r="N6267" s="564" t="s">
        <v>2543</v>
      </c>
      <c r="O6267" s="564" t="s">
        <v>12077</v>
      </c>
      <c r="P6267" s="23"/>
      <c r="Q6267" s="23"/>
      <c r="R6267" s="23"/>
      <c r="S6267" s="23"/>
      <c r="T6267" s="23"/>
      <c r="U6267" s="23"/>
      <c r="V6267" s="23"/>
      <c r="W6267" s="23"/>
      <c r="X6267" s="23"/>
      <c r="Y6267" s="23"/>
      <c r="Z6267" s="23"/>
    </row>
    <row r="6268" spans="1:26" ht="13">
      <c r="A6268" s="562" t="s">
        <v>13580</v>
      </c>
      <c r="B6268" s="563" t="s">
        <v>13581</v>
      </c>
      <c r="C6268" s="564" t="s">
        <v>2484</v>
      </c>
      <c r="D6268" s="565">
        <v>38992</v>
      </c>
      <c r="E6268" s="565">
        <v>39021</v>
      </c>
      <c r="F6268" s="566">
        <v>5000000</v>
      </c>
      <c r="G6268" s="564" t="s">
        <v>13391</v>
      </c>
      <c r="H6268" s="564"/>
      <c r="I6268" s="564" t="s">
        <v>13582</v>
      </c>
      <c r="J6268" s="564" t="s">
        <v>1069</v>
      </c>
      <c r="K6268" s="564" t="s">
        <v>2466</v>
      </c>
      <c r="L6268" s="564" t="s">
        <v>2467</v>
      </c>
      <c r="M6268" s="564" t="s">
        <v>2466</v>
      </c>
      <c r="N6268" s="564" t="s">
        <v>1082</v>
      </c>
      <c r="O6268" s="564" t="s">
        <v>12077</v>
      </c>
      <c r="P6268" s="23"/>
      <c r="Q6268" s="23"/>
      <c r="R6268" s="23"/>
      <c r="S6268" s="23"/>
      <c r="T6268" s="23"/>
      <c r="U6268" s="23"/>
      <c r="V6268" s="23"/>
      <c r="W6268" s="23"/>
      <c r="X6268" s="23"/>
      <c r="Y6268" s="23"/>
      <c r="Z6268" s="23"/>
    </row>
    <row r="6269" spans="1:26" ht="13">
      <c r="A6269" s="562" t="s">
        <v>13583</v>
      </c>
      <c r="B6269" s="563" t="s">
        <v>13584</v>
      </c>
      <c r="C6269" s="564" t="s">
        <v>2484</v>
      </c>
      <c r="D6269" s="565">
        <v>38965</v>
      </c>
      <c r="E6269" s="565">
        <v>39389</v>
      </c>
      <c r="F6269" s="566">
        <v>636363636</v>
      </c>
      <c r="G6269" s="564" t="s">
        <v>13339</v>
      </c>
      <c r="H6269" s="564"/>
      <c r="I6269" s="564" t="s">
        <v>12857</v>
      </c>
      <c r="J6269" s="564" t="s">
        <v>1069</v>
      </c>
      <c r="K6269" s="564" t="s">
        <v>2466</v>
      </c>
      <c r="L6269" s="564" t="s">
        <v>2467</v>
      </c>
      <c r="M6269" s="564" t="s">
        <v>2466</v>
      </c>
      <c r="N6269" s="564" t="s">
        <v>2439</v>
      </c>
      <c r="O6269" s="564" t="s">
        <v>12077</v>
      </c>
      <c r="P6269" s="23"/>
      <c r="Q6269" s="23"/>
      <c r="R6269" s="23"/>
      <c r="S6269" s="23"/>
      <c r="T6269" s="23"/>
      <c r="U6269" s="23"/>
      <c r="V6269" s="23"/>
      <c r="W6269" s="23"/>
      <c r="X6269" s="23"/>
      <c r="Y6269" s="23"/>
      <c r="Z6269" s="23"/>
    </row>
    <row r="6270" spans="1:26" ht="13">
      <c r="A6270" s="562" t="s">
        <v>13585</v>
      </c>
      <c r="B6270" s="563" t="s">
        <v>13586</v>
      </c>
      <c r="C6270" s="564" t="s">
        <v>2484</v>
      </c>
      <c r="D6270" s="565">
        <v>38940</v>
      </c>
      <c r="E6270" s="565">
        <v>39780</v>
      </c>
      <c r="F6270" s="566">
        <v>71272727</v>
      </c>
      <c r="G6270" s="564" t="s">
        <v>12124</v>
      </c>
      <c r="H6270" s="564" t="s">
        <v>12640</v>
      </c>
      <c r="I6270" s="564" t="s">
        <v>13587</v>
      </c>
      <c r="J6270" s="564" t="s">
        <v>1069</v>
      </c>
      <c r="K6270" s="564" t="s">
        <v>2466</v>
      </c>
      <c r="L6270" s="564" t="s">
        <v>2467</v>
      </c>
      <c r="M6270" s="564" t="s">
        <v>2466</v>
      </c>
      <c r="N6270" s="564" t="s">
        <v>2543</v>
      </c>
      <c r="O6270" s="564" t="s">
        <v>12077</v>
      </c>
      <c r="P6270" s="23"/>
      <c r="Q6270" s="23"/>
      <c r="R6270" s="23"/>
      <c r="S6270" s="23"/>
      <c r="T6270" s="23"/>
      <c r="U6270" s="23"/>
      <c r="V6270" s="23"/>
      <c r="W6270" s="23"/>
      <c r="X6270" s="23"/>
      <c r="Y6270" s="23"/>
      <c r="Z6270" s="23"/>
    </row>
    <row r="6271" spans="1:26" ht="13">
      <c r="A6271" s="562" t="s">
        <v>13588</v>
      </c>
      <c r="B6271" s="563" t="s">
        <v>13589</v>
      </c>
      <c r="C6271" s="564" t="s">
        <v>2484</v>
      </c>
      <c r="D6271" s="565">
        <v>38947</v>
      </c>
      <c r="E6271" s="565">
        <v>40075</v>
      </c>
      <c r="F6271" s="566">
        <v>232334700</v>
      </c>
      <c r="G6271" s="564" t="s">
        <v>12084</v>
      </c>
      <c r="H6271" s="564" t="s">
        <v>12365</v>
      </c>
      <c r="I6271" s="564" t="s">
        <v>12091</v>
      </c>
      <c r="J6271" s="564" t="s">
        <v>1069</v>
      </c>
      <c r="K6271" s="564" t="s">
        <v>2466</v>
      </c>
      <c r="L6271" s="564" t="s">
        <v>2467</v>
      </c>
      <c r="M6271" s="564" t="s">
        <v>2466</v>
      </c>
      <c r="N6271" s="564" t="s">
        <v>2325</v>
      </c>
      <c r="O6271" s="564" t="s">
        <v>12077</v>
      </c>
      <c r="P6271" s="23"/>
      <c r="Q6271" s="23"/>
      <c r="R6271" s="23"/>
      <c r="S6271" s="23"/>
      <c r="T6271" s="23"/>
      <c r="U6271" s="23"/>
      <c r="V6271" s="23"/>
      <c r="W6271" s="23"/>
      <c r="X6271" s="23"/>
      <c r="Y6271" s="23"/>
      <c r="Z6271" s="23"/>
    </row>
    <row r="6272" spans="1:26" ht="13">
      <c r="A6272" s="562" t="s">
        <v>13590</v>
      </c>
      <c r="B6272" s="563" t="s">
        <v>13591</v>
      </c>
      <c r="C6272" s="564" t="s">
        <v>2484</v>
      </c>
      <c r="D6272" s="565">
        <v>38898</v>
      </c>
      <c r="E6272" s="565">
        <v>38950</v>
      </c>
      <c r="F6272" s="567"/>
      <c r="G6272" s="564" t="s">
        <v>12124</v>
      </c>
      <c r="H6272" s="564"/>
      <c r="I6272" s="564" t="s">
        <v>13592</v>
      </c>
      <c r="J6272" s="564" t="s">
        <v>1069</v>
      </c>
      <c r="K6272" s="564" t="s">
        <v>2466</v>
      </c>
      <c r="L6272" s="564" t="s">
        <v>2467</v>
      </c>
      <c r="M6272" s="564" t="s">
        <v>2466</v>
      </c>
      <c r="N6272" s="564" t="s">
        <v>1082</v>
      </c>
      <c r="O6272" s="564" t="s">
        <v>12077</v>
      </c>
      <c r="P6272" s="23"/>
      <c r="Q6272" s="23"/>
      <c r="R6272" s="23"/>
      <c r="S6272" s="23"/>
      <c r="T6272" s="23"/>
      <c r="U6272" s="23"/>
      <c r="V6272" s="23"/>
      <c r="W6272" s="23"/>
      <c r="X6272" s="23"/>
      <c r="Y6272" s="23"/>
      <c r="Z6272" s="23"/>
    </row>
    <row r="6273" spans="1:26" ht="13">
      <c r="A6273" s="562" t="s">
        <v>13593</v>
      </c>
      <c r="B6273" s="563" t="s">
        <v>13594</v>
      </c>
      <c r="C6273" s="564" t="s">
        <v>2484</v>
      </c>
      <c r="D6273" s="565">
        <v>38909</v>
      </c>
      <c r="E6273" s="565">
        <v>39449</v>
      </c>
      <c r="F6273" s="566">
        <v>37006545</v>
      </c>
      <c r="G6273" s="564" t="s">
        <v>12124</v>
      </c>
      <c r="H6273" s="564"/>
      <c r="I6273" s="564" t="s">
        <v>13595</v>
      </c>
      <c r="J6273" s="564" t="s">
        <v>1069</v>
      </c>
      <c r="K6273" s="564" t="s">
        <v>2466</v>
      </c>
      <c r="L6273" s="564" t="s">
        <v>2467</v>
      </c>
      <c r="M6273" s="564" t="s">
        <v>2466</v>
      </c>
      <c r="N6273" s="564" t="s">
        <v>2543</v>
      </c>
      <c r="O6273" s="564" t="s">
        <v>12077</v>
      </c>
      <c r="P6273" s="23"/>
      <c r="Q6273" s="23"/>
      <c r="R6273" s="23"/>
      <c r="S6273" s="23"/>
      <c r="T6273" s="23"/>
      <c r="U6273" s="23"/>
      <c r="V6273" s="23"/>
      <c r="W6273" s="23"/>
      <c r="X6273" s="23"/>
      <c r="Y6273" s="23"/>
      <c r="Z6273" s="23"/>
    </row>
    <row r="6274" spans="1:26" ht="13">
      <c r="A6274" s="562" t="s">
        <v>13596</v>
      </c>
      <c r="B6274" s="563" t="s">
        <v>13597</v>
      </c>
      <c r="C6274" s="564" t="s">
        <v>2484</v>
      </c>
      <c r="D6274" s="565">
        <v>38888</v>
      </c>
      <c r="E6274" s="565">
        <v>39041</v>
      </c>
      <c r="F6274" s="567"/>
      <c r="G6274" s="564" t="s">
        <v>13391</v>
      </c>
      <c r="H6274" s="564"/>
      <c r="I6274" s="564" t="s">
        <v>12269</v>
      </c>
      <c r="J6274" s="564" t="s">
        <v>1069</v>
      </c>
      <c r="K6274" s="564" t="s">
        <v>2466</v>
      </c>
      <c r="L6274" s="564" t="s">
        <v>2467</v>
      </c>
      <c r="M6274" s="564" t="s">
        <v>2466</v>
      </c>
      <c r="N6274" s="564" t="s">
        <v>1082</v>
      </c>
      <c r="O6274" s="564" t="s">
        <v>12077</v>
      </c>
      <c r="P6274" s="23"/>
      <c r="Q6274" s="23"/>
      <c r="R6274" s="23"/>
      <c r="S6274" s="23"/>
      <c r="T6274" s="23"/>
      <c r="U6274" s="23"/>
      <c r="V6274" s="23"/>
      <c r="W6274" s="23"/>
      <c r="X6274" s="23"/>
      <c r="Y6274" s="23"/>
      <c r="Z6274" s="23"/>
    </row>
    <row r="6275" spans="1:26" ht="13">
      <c r="A6275" s="562" t="s">
        <v>13598</v>
      </c>
      <c r="B6275" s="563" t="s">
        <v>13599</v>
      </c>
      <c r="C6275" s="564" t="s">
        <v>2484</v>
      </c>
      <c r="D6275" s="565">
        <v>38899</v>
      </c>
      <c r="E6275" s="565">
        <v>39051</v>
      </c>
      <c r="F6275" s="567"/>
      <c r="G6275" s="564" t="s">
        <v>13339</v>
      </c>
      <c r="H6275" s="564"/>
      <c r="I6275" s="564" t="s">
        <v>13600</v>
      </c>
      <c r="J6275" s="564" t="s">
        <v>1069</v>
      </c>
      <c r="K6275" s="564" t="s">
        <v>2466</v>
      </c>
      <c r="L6275" s="564" t="s">
        <v>2467</v>
      </c>
      <c r="M6275" s="564" t="s">
        <v>2466</v>
      </c>
      <c r="N6275" s="564" t="s">
        <v>1082</v>
      </c>
      <c r="O6275" s="564" t="s">
        <v>12077</v>
      </c>
      <c r="P6275" s="23"/>
      <c r="Q6275" s="23"/>
      <c r="R6275" s="23"/>
      <c r="S6275" s="23"/>
      <c r="T6275" s="23"/>
      <c r="U6275" s="23"/>
      <c r="V6275" s="23"/>
      <c r="W6275" s="23"/>
      <c r="X6275" s="23"/>
      <c r="Y6275" s="23"/>
      <c r="Z6275" s="23"/>
    </row>
    <row r="6276" spans="1:26" ht="13">
      <c r="A6276" s="562" t="s">
        <v>13601</v>
      </c>
      <c r="B6276" s="563" t="s">
        <v>13602</v>
      </c>
      <c r="C6276" s="564" t="s">
        <v>2484</v>
      </c>
      <c r="D6276" s="565">
        <v>39022</v>
      </c>
      <c r="E6276" s="565">
        <v>39048</v>
      </c>
      <c r="F6276" s="566">
        <v>13636364</v>
      </c>
      <c r="G6276" s="564" t="s">
        <v>2485</v>
      </c>
      <c r="H6276" s="564"/>
      <c r="I6276" s="564" t="s">
        <v>12150</v>
      </c>
      <c r="J6276" s="564" t="s">
        <v>1069</v>
      </c>
      <c r="K6276" s="564" t="s">
        <v>2466</v>
      </c>
      <c r="L6276" s="564" t="s">
        <v>2467</v>
      </c>
      <c r="M6276" s="564" t="s">
        <v>2466</v>
      </c>
      <c r="N6276" s="564" t="s">
        <v>1368</v>
      </c>
      <c r="O6276" s="564" t="s">
        <v>4798</v>
      </c>
      <c r="P6276" s="23"/>
      <c r="Q6276" s="23"/>
      <c r="R6276" s="23"/>
      <c r="S6276" s="23"/>
      <c r="T6276" s="23"/>
      <c r="U6276" s="23"/>
      <c r="V6276" s="23"/>
      <c r="W6276" s="23"/>
      <c r="X6276" s="23"/>
      <c r="Y6276" s="23"/>
      <c r="Z6276" s="23"/>
    </row>
    <row r="6277" spans="1:26" ht="13">
      <c r="A6277" s="562" t="s">
        <v>13603</v>
      </c>
      <c r="B6277" s="563" t="s">
        <v>13604</v>
      </c>
      <c r="C6277" s="564" t="s">
        <v>2484</v>
      </c>
      <c r="D6277" s="565">
        <v>38992</v>
      </c>
      <c r="E6277" s="565">
        <v>39141</v>
      </c>
      <c r="F6277" s="566">
        <v>27000000</v>
      </c>
      <c r="G6277" s="564" t="s">
        <v>2485</v>
      </c>
      <c r="H6277" s="564"/>
      <c r="I6277" s="564" t="s">
        <v>12297</v>
      </c>
      <c r="J6277" s="564" t="s">
        <v>1069</v>
      </c>
      <c r="K6277" s="564" t="s">
        <v>2466</v>
      </c>
      <c r="L6277" s="564" t="s">
        <v>2467</v>
      </c>
      <c r="M6277" s="564" t="s">
        <v>2466</v>
      </c>
      <c r="N6277" s="564" t="s">
        <v>2439</v>
      </c>
      <c r="O6277" s="564" t="s">
        <v>12077</v>
      </c>
      <c r="P6277" s="23"/>
      <c r="Q6277" s="23"/>
      <c r="R6277" s="23"/>
      <c r="S6277" s="23"/>
      <c r="T6277" s="23"/>
      <c r="U6277" s="23"/>
      <c r="V6277" s="23"/>
      <c r="W6277" s="23"/>
      <c r="X6277" s="23"/>
      <c r="Y6277" s="23"/>
      <c r="Z6277" s="23"/>
    </row>
    <row r="6278" spans="1:26" ht="13">
      <c r="A6278" s="562" t="s">
        <v>13605</v>
      </c>
      <c r="B6278" s="563" t="s">
        <v>13606</v>
      </c>
      <c r="C6278" s="564" t="s">
        <v>2484</v>
      </c>
      <c r="D6278" s="565">
        <v>39079</v>
      </c>
      <c r="E6278" s="565">
        <v>39163</v>
      </c>
      <c r="F6278" s="566">
        <v>60363636</v>
      </c>
      <c r="G6278" s="564" t="s">
        <v>13339</v>
      </c>
      <c r="H6278" s="564"/>
      <c r="I6278" s="564" t="s">
        <v>13607</v>
      </c>
      <c r="J6278" s="564" t="s">
        <v>1069</v>
      </c>
      <c r="K6278" s="564" t="s">
        <v>2466</v>
      </c>
      <c r="L6278" s="564" t="s">
        <v>2467</v>
      </c>
      <c r="M6278" s="564" t="s">
        <v>2466</v>
      </c>
      <c r="N6278" s="564" t="s">
        <v>2543</v>
      </c>
      <c r="O6278" s="564" t="s">
        <v>12077</v>
      </c>
      <c r="P6278" s="23"/>
      <c r="Q6278" s="23"/>
      <c r="R6278" s="23"/>
      <c r="S6278" s="23"/>
      <c r="T6278" s="23"/>
      <c r="U6278" s="23"/>
      <c r="V6278" s="23"/>
      <c r="W6278" s="23"/>
      <c r="X6278" s="23"/>
      <c r="Y6278" s="23"/>
      <c r="Z6278" s="23"/>
    </row>
    <row r="6279" spans="1:26" ht="13">
      <c r="A6279" s="562" t="s">
        <v>13608</v>
      </c>
      <c r="B6279" s="563" t="s">
        <v>13609</v>
      </c>
      <c r="C6279" s="564" t="s">
        <v>2484</v>
      </c>
      <c r="D6279" s="565">
        <v>39080</v>
      </c>
      <c r="E6279" s="565">
        <v>39205</v>
      </c>
      <c r="F6279" s="566">
        <v>59965000</v>
      </c>
      <c r="G6279" s="564" t="s">
        <v>12075</v>
      </c>
      <c r="H6279" s="564" t="s">
        <v>13150</v>
      </c>
      <c r="I6279" s="564" t="s">
        <v>12525</v>
      </c>
      <c r="J6279" s="564" t="s">
        <v>1069</v>
      </c>
      <c r="K6279" s="564" t="s">
        <v>2466</v>
      </c>
      <c r="L6279" s="564" t="s">
        <v>2467</v>
      </c>
      <c r="M6279" s="564" t="s">
        <v>2466</v>
      </c>
      <c r="N6279" s="564" t="s">
        <v>2543</v>
      </c>
      <c r="O6279" s="564" t="s">
        <v>12077</v>
      </c>
      <c r="P6279" s="23"/>
      <c r="Q6279" s="23"/>
      <c r="R6279" s="23"/>
      <c r="S6279" s="23"/>
      <c r="T6279" s="23"/>
      <c r="U6279" s="23"/>
      <c r="V6279" s="23"/>
      <c r="W6279" s="23"/>
      <c r="X6279" s="23"/>
      <c r="Y6279" s="23"/>
      <c r="Z6279" s="23"/>
    </row>
    <row r="6280" spans="1:26" ht="13">
      <c r="A6280" s="562" t="s">
        <v>13610</v>
      </c>
      <c r="B6280" s="563" t="s">
        <v>13611</v>
      </c>
      <c r="C6280" s="564" t="s">
        <v>2484</v>
      </c>
      <c r="D6280" s="565">
        <v>39031</v>
      </c>
      <c r="E6280" s="565">
        <v>39062</v>
      </c>
      <c r="F6280" s="566">
        <v>41818181</v>
      </c>
      <c r="G6280" s="564" t="s">
        <v>13391</v>
      </c>
      <c r="H6280" s="564"/>
      <c r="I6280" s="564" t="s">
        <v>12105</v>
      </c>
      <c r="J6280" s="564" t="s">
        <v>1069</v>
      </c>
      <c r="K6280" s="564" t="s">
        <v>2466</v>
      </c>
      <c r="L6280" s="564" t="s">
        <v>2467</v>
      </c>
      <c r="M6280" s="564" t="s">
        <v>2466</v>
      </c>
      <c r="N6280" s="564" t="s">
        <v>1082</v>
      </c>
      <c r="O6280" s="564" t="s">
        <v>12077</v>
      </c>
      <c r="P6280" s="23"/>
      <c r="Q6280" s="23"/>
      <c r="R6280" s="23"/>
      <c r="S6280" s="23"/>
      <c r="T6280" s="23"/>
      <c r="U6280" s="23"/>
      <c r="V6280" s="23"/>
      <c r="W6280" s="23"/>
      <c r="X6280" s="23"/>
      <c r="Y6280" s="23"/>
      <c r="Z6280" s="23"/>
    </row>
    <row r="6281" spans="1:26" ht="13">
      <c r="A6281" s="562" t="s">
        <v>13612</v>
      </c>
      <c r="B6281" s="563" t="s">
        <v>13613</v>
      </c>
      <c r="C6281" s="564" t="s">
        <v>2484</v>
      </c>
      <c r="D6281" s="565">
        <v>39071</v>
      </c>
      <c r="E6281" s="565">
        <v>39141</v>
      </c>
      <c r="F6281" s="566">
        <v>83758182</v>
      </c>
      <c r="G6281" s="564" t="s">
        <v>13391</v>
      </c>
      <c r="H6281" s="564"/>
      <c r="I6281" s="564" t="s">
        <v>11803</v>
      </c>
      <c r="J6281" s="564" t="s">
        <v>1069</v>
      </c>
      <c r="K6281" s="564" t="s">
        <v>2466</v>
      </c>
      <c r="L6281" s="564" t="s">
        <v>2467</v>
      </c>
      <c r="M6281" s="564" t="s">
        <v>2466</v>
      </c>
      <c r="N6281" s="564" t="s">
        <v>2543</v>
      </c>
      <c r="O6281" s="564" t="s">
        <v>12077</v>
      </c>
      <c r="P6281" s="23"/>
      <c r="Q6281" s="23"/>
      <c r="R6281" s="23"/>
      <c r="S6281" s="23"/>
      <c r="T6281" s="23"/>
      <c r="U6281" s="23"/>
      <c r="V6281" s="23"/>
      <c r="W6281" s="23"/>
      <c r="X6281" s="23"/>
      <c r="Y6281" s="23"/>
      <c r="Z6281" s="23"/>
    </row>
    <row r="6282" spans="1:26" ht="13">
      <c r="A6282" s="562" t="s">
        <v>13614</v>
      </c>
      <c r="B6282" s="563" t="s">
        <v>13615</v>
      </c>
      <c r="C6282" s="564" t="s">
        <v>2484</v>
      </c>
      <c r="D6282" s="565">
        <v>39028</v>
      </c>
      <c r="E6282" s="565">
        <v>39051</v>
      </c>
      <c r="F6282" s="566">
        <v>5000000</v>
      </c>
      <c r="G6282" s="564" t="s">
        <v>13391</v>
      </c>
      <c r="H6282" s="564"/>
      <c r="I6282" s="564" t="s">
        <v>13582</v>
      </c>
      <c r="J6282" s="564" t="s">
        <v>1069</v>
      </c>
      <c r="K6282" s="564" t="s">
        <v>2466</v>
      </c>
      <c r="L6282" s="564" t="s">
        <v>2467</v>
      </c>
      <c r="M6282" s="564" t="s">
        <v>2466</v>
      </c>
      <c r="N6282" s="564" t="s">
        <v>1082</v>
      </c>
      <c r="O6282" s="564" t="s">
        <v>12077</v>
      </c>
      <c r="P6282" s="23"/>
      <c r="Q6282" s="23"/>
      <c r="R6282" s="23"/>
      <c r="S6282" s="23"/>
      <c r="T6282" s="23"/>
      <c r="U6282" s="23"/>
      <c r="V6282" s="23"/>
      <c r="W6282" s="23"/>
      <c r="X6282" s="23"/>
      <c r="Y6282" s="23"/>
      <c r="Z6282" s="23"/>
    </row>
    <row r="6283" spans="1:26" ht="13">
      <c r="A6283" s="562" t="s">
        <v>13616</v>
      </c>
      <c r="B6283" s="563" t="s">
        <v>13617</v>
      </c>
      <c r="C6283" s="564" t="s">
        <v>2484</v>
      </c>
      <c r="D6283" s="565">
        <v>39080</v>
      </c>
      <c r="E6283" s="565">
        <v>39813</v>
      </c>
      <c r="F6283" s="566">
        <v>312272727</v>
      </c>
      <c r="G6283" s="564" t="s">
        <v>12124</v>
      </c>
      <c r="H6283" s="564" t="s">
        <v>12125</v>
      </c>
      <c r="I6283" s="564" t="s">
        <v>13618</v>
      </c>
      <c r="J6283" s="564" t="s">
        <v>1069</v>
      </c>
      <c r="K6283" s="564" t="s">
        <v>2466</v>
      </c>
      <c r="L6283" s="564" t="s">
        <v>2467</v>
      </c>
      <c r="M6283" s="564" t="s">
        <v>2466</v>
      </c>
      <c r="N6283" s="564" t="s">
        <v>2543</v>
      </c>
      <c r="O6283" s="564" t="s">
        <v>12077</v>
      </c>
      <c r="P6283" s="23"/>
      <c r="Q6283" s="23"/>
      <c r="R6283" s="23"/>
      <c r="S6283" s="23"/>
      <c r="T6283" s="23"/>
      <c r="U6283" s="23"/>
      <c r="V6283" s="23"/>
      <c r="W6283" s="23"/>
      <c r="X6283" s="23"/>
      <c r="Y6283" s="23"/>
      <c r="Z6283" s="23"/>
    </row>
    <row r="6284" spans="1:26" ht="13">
      <c r="A6284" s="562" t="s">
        <v>13619</v>
      </c>
      <c r="B6284" s="563" t="s">
        <v>13620</v>
      </c>
      <c r="C6284" s="564" t="s">
        <v>2484</v>
      </c>
      <c r="D6284" s="565">
        <v>39069</v>
      </c>
      <c r="E6284" s="565">
        <v>39169</v>
      </c>
      <c r="F6284" s="566">
        <v>197581818</v>
      </c>
      <c r="G6284" s="564" t="s">
        <v>13339</v>
      </c>
      <c r="H6284" s="564"/>
      <c r="I6284" s="564" t="s">
        <v>13621</v>
      </c>
      <c r="J6284" s="564" t="s">
        <v>1069</v>
      </c>
      <c r="K6284" s="564" t="s">
        <v>2466</v>
      </c>
      <c r="L6284" s="564" t="s">
        <v>2467</v>
      </c>
      <c r="M6284" s="564" t="s">
        <v>2466</v>
      </c>
      <c r="N6284" s="564" t="s">
        <v>2543</v>
      </c>
      <c r="O6284" s="564" t="s">
        <v>12077</v>
      </c>
      <c r="P6284" s="23"/>
      <c r="Q6284" s="23"/>
      <c r="R6284" s="23"/>
      <c r="S6284" s="23"/>
      <c r="T6284" s="23"/>
      <c r="U6284" s="23"/>
      <c r="V6284" s="23"/>
      <c r="W6284" s="23"/>
      <c r="X6284" s="23"/>
      <c r="Y6284" s="23"/>
      <c r="Z6284" s="23"/>
    </row>
    <row r="6285" spans="1:26" ht="13">
      <c r="A6285" s="562" t="s">
        <v>13622</v>
      </c>
      <c r="B6285" s="563" t="s">
        <v>13623</v>
      </c>
      <c r="C6285" s="564" t="s">
        <v>2484</v>
      </c>
      <c r="D6285" s="565">
        <v>39064</v>
      </c>
      <c r="E6285" s="565">
        <v>39077</v>
      </c>
      <c r="F6285" s="567"/>
      <c r="G6285" s="564" t="s">
        <v>2502</v>
      </c>
      <c r="H6285" s="564"/>
      <c r="I6285" s="564" t="s">
        <v>12847</v>
      </c>
      <c r="J6285" s="564" t="s">
        <v>1069</v>
      </c>
      <c r="K6285" s="564" t="s">
        <v>2466</v>
      </c>
      <c r="L6285" s="564" t="s">
        <v>2467</v>
      </c>
      <c r="M6285" s="564" t="s">
        <v>2466</v>
      </c>
      <c r="N6285" s="564" t="s">
        <v>2325</v>
      </c>
      <c r="O6285" s="564" t="s">
        <v>12077</v>
      </c>
      <c r="P6285" s="23"/>
      <c r="Q6285" s="23"/>
      <c r="R6285" s="23"/>
      <c r="S6285" s="23"/>
      <c r="T6285" s="23"/>
      <c r="U6285" s="23"/>
      <c r="V6285" s="23"/>
      <c r="W6285" s="23"/>
      <c r="X6285" s="23"/>
      <c r="Y6285" s="23"/>
      <c r="Z6285" s="23"/>
    </row>
    <row r="6286" spans="1:26" ht="13">
      <c r="A6286" s="562" t="s">
        <v>13624</v>
      </c>
      <c r="B6286" s="563" t="s">
        <v>13625</v>
      </c>
      <c r="C6286" s="564" t="s">
        <v>2484</v>
      </c>
      <c r="D6286" s="565">
        <v>39062</v>
      </c>
      <c r="E6286" s="565">
        <v>39068</v>
      </c>
      <c r="F6286" s="567"/>
      <c r="G6286" s="564" t="s">
        <v>2502</v>
      </c>
      <c r="H6286" s="564"/>
      <c r="I6286" s="564" t="s">
        <v>13626</v>
      </c>
      <c r="J6286" s="564" t="s">
        <v>1069</v>
      </c>
      <c r="K6286" s="564" t="s">
        <v>2466</v>
      </c>
      <c r="L6286" s="564" t="s">
        <v>2467</v>
      </c>
      <c r="M6286" s="564" t="s">
        <v>2466</v>
      </c>
      <c r="N6286" s="564" t="s">
        <v>1082</v>
      </c>
      <c r="O6286" s="564" t="s">
        <v>12077</v>
      </c>
      <c r="P6286" s="23"/>
      <c r="Q6286" s="23"/>
      <c r="R6286" s="23"/>
      <c r="S6286" s="23"/>
      <c r="T6286" s="23"/>
      <c r="U6286" s="23"/>
      <c r="V6286" s="23"/>
      <c r="W6286" s="23"/>
      <c r="X6286" s="23"/>
      <c r="Y6286" s="23"/>
      <c r="Z6286" s="23"/>
    </row>
    <row r="6287" spans="1:26" ht="13">
      <c r="A6287" s="562" t="s">
        <v>13627</v>
      </c>
      <c r="B6287" s="563" t="s">
        <v>13628</v>
      </c>
      <c r="C6287" s="564" t="s">
        <v>2484</v>
      </c>
      <c r="D6287" s="565">
        <v>39045</v>
      </c>
      <c r="E6287" s="565">
        <v>39077</v>
      </c>
      <c r="F6287" s="566">
        <v>8636364</v>
      </c>
      <c r="G6287" s="564" t="s">
        <v>13339</v>
      </c>
      <c r="H6287" s="564"/>
      <c r="I6287" s="564" t="s">
        <v>13629</v>
      </c>
      <c r="J6287" s="564" t="s">
        <v>1069</v>
      </c>
      <c r="K6287" s="564" t="s">
        <v>2466</v>
      </c>
      <c r="L6287" s="564" t="s">
        <v>2467</v>
      </c>
      <c r="M6287" s="564" t="s">
        <v>2466</v>
      </c>
      <c r="N6287" s="564" t="s">
        <v>1082</v>
      </c>
      <c r="O6287" s="564" t="s">
        <v>12077</v>
      </c>
      <c r="P6287" s="23"/>
      <c r="Q6287" s="23"/>
      <c r="R6287" s="23"/>
      <c r="S6287" s="23"/>
      <c r="T6287" s="23"/>
      <c r="U6287" s="23"/>
      <c r="V6287" s="23"/>
      <c r="W6287" s="23"/>
      <c r="X6287" s="23"/>
      <c r="Y6287" s="23"/>
      <c r="Z6287" s="23"/>
    </row>
    <row r="6288" spans="1:26" ht="13">
      <c r="A6288" s="562" t="s">
        <v>13630</v>
      </c>
      <c r="B6288" s="563" t="s">
        <v>13631</v>
      </c>
      <c r="C6288" s="564" t="s">
        <v>2484</v>
      </c>
      <c r="D6288" s="565">
        <v>39052</v>
      </c>
      <c r="E6288" s="565">
        <v>39141</v>
      </c>
      <c r="F6288" s="566">
        <v>22727273</v>
      </c>
      <c r="G6288" s="564" t="s">
        <v>2519</v>
      </c>
      <c r="H6288" s="564" t="s">
        <v>2519</v>
      </c>
      <c r="I6288" s="564" t="s">
        <v>12297</v>
      </c>
      <c r="J6288" s="564" t="s">
        <v>1069</v>
      </c>
      <c r="K6288" s="564" t="s">
        <v>2466</v>
      </c>
      <c r="L6288" s="564" t="s">
        <v>2467</v>
      </c>
      <c r="M6288" s="564" t="s">
        <v>2466</v>
      </c>
      <c r="N6288" s="564" t="s">
        <v>2439</v>
      </c>
      <c r="O6288" s="564" t="s">
        <v>12077</v>
      </c>
      <c r="P6288" s="23"/>
      <c r="Q6288" s="23"/>
      <c r="R6288" s="23"/>
      <c r="S6288" s="23"/>
      <c r="T6288" s="23"/>
      <c r="U6288" s="23"/>
      <c r="V6288" s="23"/>
      <c r="W6288" s="23"/>
      <c r="X6288" s="23"/>
      <c r="Y6288" s="23"/>
      <c r="Z6288" s="23"/>
    </row>
    <row r="6289" spans="1:26" ht="13">
      <c r="A6289" s="562" t="s">
        <v>13632</v>
      </c>
      <c r="B6289" s="563" t="s">
        <v>13633</v>
      </c>
      <c r="C6289" s="564" t="s">
        <v>2484</v>
      </c>
      <c r="D6289" s="565">
        <v>38827</v>
      </c>
      <c r="E6289" s="565">
        <v>39036</v>
      </c>
      <c r="F6289" s="566">
        <v>173743636</v>
      </c>
      <c r="G6289" s="564" t="s">
        <v>2485</v>
      </c>
      <c r="H6289" s="564"/>
      <c r="I6289" s="564" t="s">
        <v>12081</v>
      </c>
      <c r="J6289" s="564" t="s">
        <v>1069</v>
      </c>
      <c r="K6289" s="564" t="s">
        <v>2466</v>
      </c>
      <c r="L6289" s="564" t="s">
        <v>2467</v>
      </c>
      <c r="M6289" s="564" t="s">
        <v>2466</v>
      </c>
      <c r="N6289" s="564" t="s">
        <v>2439</v>
      </c>
      <c r="O6289" s="564" t="s">
        <v>12077</v>
      </c>
      <c r="P6289" s="23"/>
      <c r="Q6289" s="23"/>
      <c r="R6289" s="23"/>
      <c r="S6289" s="23"/>
      <c r="T6289" s="23"/>
      <c r="U6289" s="23"/>
      <c r="V6289" s="23"/>
      <c r="W6289" s="23"/>
      <c r="X6289" s="23"/>
      <c r="Y6289" s="23"/>
      <c r="Z6289" s="23"/>
    </row>
    <row r="6290" spans="1:26" ht="13">
      <c r="A6290" s="562" t="s">
        <v>13634</v>
      </c>
      <c r="B6290" s="563" t="s">
        <v>13635</v>
      </c>
      <c r="C6290" s="564" t="s">
        <v>2484</v>
      </c>
      <c r="D6290" s="565">
        <v>39041</v>
      </c>
      <c r="E6290" s="565">
        <v>39132</v>
      </c>
      <c r="F6290" s="566">
        <v>24090909</v>
      </c>
      <c r="G6290" s="564" t="s">
        <v>2536</v>
      </c>
      <c r="H6290" s="564"/>
      <c r="I6290" s="564" t="s">
        <v>2542</v>
      </c>
      <c r="J6290" s="564" t="s">
        <v>1069</v>
      </c>
      <c r="K6290" s="564" t="s">
        <v>2466</v>
      </c>
      <c r="L6290" s="564" t="s">
        <v>2467</v>
      </c>
      <c r="M6290" s="564" t="s">
        <v>2466</v>
      </c>
      <c r="N6290" s="564" t="s">
        <v>2543</v>
      </c>
      <c r="O6290" s="564" t="s">
        <v>12077</v>
      </c>
      <c r="P6290" s="23"/>
      <c r="Q6290" s="23"/>
      <c r="R6290" s="23"/>
      <c r="S6290" s="23"/>
      <c r="T6290" s="23"/>
      <c r="U6290" s="23"/>
      <c r="V6290" s="23"/>
      <c r="W6290" s="23"/>
      <c r="X6290" s="23"/>
      <c r="Y6290" s="23"/>
      <c r="Z6290" s="23"/>
    </row>
    <row r="6291" spans="1:26" ht="13">
      <c r="A6291" s="562" t="s">
        <v>13636</v>
      </c>
      <c r="B6291" s="563" t="s">
        <v>13637</v>
      </c>
      <c r="C6291" s="564" t="s">
        <v>2484</v>
      </c>
      <c r="D6291" s="565">
        <v>39034</v>
      </c>
      <c r="E6291" s="565">
        <v>39066</v>
      </c>
      <c r="F6291" s="566">
        <v>10000000</v>
      </c>
      <c r="G6291" s="564" t="s">
        <v>13391</v>
      </c>
      <c r="H6291" s="564"/>
      <c r="I6291" s="564" t="s">
        <v>12269</v>
      </c>
      <c r="J6291" s="564" t="s">
        <v>1069</v>
      </c>
      <c r="K6291" s="564" t="s">
        <v>2466</v>
      </c>
      <c r="L6291" s="564" t="s">
        <v>2467</v>
      </c>
      <c r="M6291" s="564" t="s">
        <v>2466</v>
      </c>
      <c r="N6291" s="564" t="s">
        <v>1082</v>
      </c>
      <c r="O6291" s="564" t="s">
        <v>12077</v>
      </c>
      <c r="P6291" s="23"/>
      <c r="Q6291" s="23"/>
      <c r="R6291" s="23"/>
      <c r="S6291" s="23"/>
      <c r="T6291" s="23"/>
      <c r="U6291" s="23"/>
      <c r="V6291" s="23"/>
      <c r="W6291" s="23"/>
      <c r="X6291" s="23"/>
      <c r="Y6291" s="23"/>
      <c r="Z6291" s="23"/>
    </row>
    <row r="6292" spans="1:26" ht="13">
      <c r="A6292" s="562" t="s">
        <v>13638</v>
      </c>
      <c r="B6292" s="563" t="s">
        <v>13639</v>
      </c>
      <c r="C6292" s="564" t="s">
        <v>2484</v>
      </c>
      <c r="D6292" s="565">
        <v>39034</v>
      </c>
      <c r="E6292" s="565">
        <v>39124</v>
      </c>
      <c r="F6292" s="566">
        <v>83659000</v>
      </c>
      <c r="G6292" s="564" t="s">
        <v>13339</v>
      </c>
      <c r="H6292" s="564"/>
      <c r="I6292" s="564" t="s">
        <v>12916</v>
      </c>
      <c r="J6292" s="564" t="s">
        <v>1069</v>
      </c>
      <c r="K6292" s="564" t="s">
        <v>2466</v>
      </c>
      <c r="L6292" s="564" t="s">
        <v>2467</v>
      </c>
      <c r="M6292" s="564" t="s">
        <v>2466</v>
      </c>
      <c r="N6292" s="564" t="s">
        <v>2543</v>
      </c>
      <c r="O6292" s="564" t="s">
        <v>12077</v>
      </c>
      <c r="P6292" s="23"/>
      <c r="Q6292" s="23"/>
      <c r="R6292" s="23"/>
      <c r="S6292" s="23"/>
      <c r="T6292" s="23"/>
      <c r="U6292" s="23"/>
      <c r="V6292" s="23"/>
      <c r="W6292" s="23"/>
      <c r="X6292" s="23"/>
      <c r="Y6292" s="23"/>
      <c r="Z6292" s="23"/>
    </row>
    <row r="6293" spans="1:26" ht="13">
      <c r="A6293" s="562" t="s">
        <v>13640</v>
      </c>
      <c r="B6293" s="563" t="s">
        <v>13641</v>
      </c>
      <c r="C6293" s="564" t="s">
        <v>2484</v>
      </c>
      <c r="D6293" s="565">
        <v>39031</v>
      </c>
      <c r="E6293" s="565">
        <v>39090</v>
      </c>
      <c r="F6293" s="566">
        <v>21818180</v>
      </c>
      <c r="G6293" s="564" t="s">
        <v>13339</v>
      </c>
      <c r="H6293" s="564"/>
      <c r="I6293" s="564" t="s">
        <v>13642</v>
      </c>
      <c r="J6293" s="564" t="s">
        <v>1069</v>
      </c>
      <c r="K6293" s="564" t="s">
        <v>2466</v>
      </c>
      <c r="L6293" s="564" t="s">
        <v>2467</v>
      </c>
      <c r="M6293" s="564" t="s">
        <v>2466</v>
      </c>
      <c r="N6293" s="564" t="s">
        <v>1082</v>
      </c>
      <c r="O6293" s="564" t="s">
        <v>12077</v>
      </c>
      <c r="P6293" s="23"/>
      <c r="Q6293" s="23"/>
      <c r="R6293" s="23"/>
      <c r="S6293" s="23"/>
      <c r="T6293" s="23"/>
      <c r="U6293" s="23"/>
      <c r="V6293" s="23"/>
      <c r="W6293" s="23"/>
      <c r="X6293" s="23"/>
      <c r="Y6293" s="23"/>
      <c r="Z6293" s="23"/>
    </row>
    <row r="6294" spans="1:26" ht="13">
      <c r="A6294" s="562" t="s">
        <v>13643</v>
      </c>
      <c r="B6294" s="563" t="s">
        <v>13644</v>
      </c>
      <c r="C6294" s="564" t="s">
        <v>1612</v>
      </c>
      <c r="D6294" s="565">
        <v>39027</v>
      </c>
      <c r="E6294" s="565">
        <v>39233</v>
      </c>
      <c r="F6294" s="566">
        <v>104500000</v>
      </c>
      <c r="G6294" s="564" t="s">
        <v>1128</v>
      </c>
      <c r="H6294" s="564" t="s">
        <v>1128</v>
      </c>
      <c r="I6294" s="564" t="s">
        <v>70</v>
      </c>
      <c r="J6294" s="564" t="s">
        <v>1069</v>
      </c>
      <c r="K6294" s="564" t="s">
        <v>1120</v>
      </c>
      <c r="L6294" s="564" t="s">
        <v>1390</v>
      </c>
      <c r="M6294" s="564" t="s">
        <v>1390</v>
      </c>
      <c r="N6294" s="564" t="s">
        <v>70</v>
      </c>
      <c r="O6294" s="564" t="s">
        <v>38</v>
      </c>
      <c r="P6294" s="23"/>
      <c r="Q6294" s="23"/>
      <c r="R6294" s="23"/>
      <c r="S6294" s="23"/>
      <c r="T6294" s="23"/>
      <c r="U6294" s="23"/>
      <c r="V6294" s="23"/>
      <c r="W6294" s="23"/>
      <c r="X6294" s="23"/>
      <c r="Y6294" s="23"/>
      <c r="Z6294" s="23"/>
    </row>
    <row r="6295" spans="1:26" ht="13">
      <c r="A6295" s="562" t="s">
        <v>13645</v>
      </c>
      <c r="B6295" s="563" t="s">
        <v>13646</v>
      </c>
      <c r="C6295" s="564" t="s">
        <v>1255</v>
      </c>
      <c r="D6295" s="565">
        <v>39081</v>
      </c>
      <c r="E6295" s="565">
        <v>39811</v>
      </c>
      <c r="F6295" s="566">
        <v>163600000</v>
      </c>
      <c r="G6295" s="564" t="s">
        <v>1912</v>
      </c>
      <c r="H6295" s="564" t="s">
        <v>1912</v>
      </c>
      <c r="I6295" s="564" t="s">
        <v>143</v>
      </c>
      <c r="J6295" s="564" t="s">
        <v>1069</v>
      </c>
      <c r="K6295" s="564" t="s">
        <v>1205</v>
      </c>
      <c r="L6295" s="564" t="s">
        <v>1071</v>
      </c>
      <c r="M6295" s="564" t="s">
        <v>1091</v>
      </c>
      <c r="N6295" s="564" t="s">
        <v>1073</v>
      </c>
      <c r="O6295" s="564" t="s">
        <v>241</v>
      </c>
      <c r="P6295" s="23"/>
      <c r="Q6295" s="23"/>
      <c r="R6295" s="23"/>
      <c r="S6295" s="23"/>
      <c r="T6295" s="23"/>
      <c r="U6295" s="23"/>
      <c r="V6295" s="23"/>
      <c r="W6295" s="23"/>
      <c r="X6295" s="23"/>
      <c r="Y6295" s="23"/>
      <c r="Z6295" s="23"/>
    </row>
    <row r="6296" spans="1:26" ht="13">
      <c r="A6296" s="562" t="s">
        <v>13647</v>
      </c>
      <c r="B6296" s="563" t="s">
        <v>13648</v>
      </c>
      <c r="C6296" s="564" t="s">
        <v>6860</v>
      </c>
      <c r="D6296" s="565">
        <v>38898</v>
      </c>
      <c r="E6296" s="565">
        <v>39293</v>
      </c>
      <c r="F6296" s="566">
        <v>160000000</v>
      </c>
      <c r="G6296" s="564" t="s">
        <v>1116</v>
      </c>
      <c r="H6296" s="564" t="s">
        <v>1116</v>
      </c>
      <c r="I6296" s="564" t="s">
        <v>13321</v>
      </c>
      <c r="J6296" s="564" t="s">
        <v>1069</v>
      </c>
      <c r="K6296" s="564" t="s">
        <v>1205</v>
      </c>
      <c r="L6296" s="564" t="s">
        <v>1071</v>
      </c>
      <c r="M6296" s="564" t="s">
        <v>1124</v>
      </c>
      <c r="N6296" s="564" t="s">
        <v>1082</v>
      </c>
      <c r="O6296" s="564" t="s">
        <v>38</v>
      </c>
      <c r="P6296" s="23"/>
      <c r="Q6296" s="23"/>
      <c r="R6296" s="23"/>
      <c r="S6296" s="23"/>
      <c r="T6296" s="23"/>
      <c r="U6296" s="23"/>
      <c r="V6296" s="23"/>
      <c r="W6296" s="23"/>
      <c r="X6296" s="23"/>
      <c r="Y6296" s="23"/>
      <c r="Z6296" s="23"/>
    </row>
    <row r="6297" spans="1:26" ht="13">
      <c r="A6297" s="562" t="s">
        <v>13649</v>
      </c>
      <c r="B6297" s="563" t="s">
        <v>13650</v>
      </c>
      <c r="C6297" s="564" t="s">
        <v>1612</v>
      </c>
      <c r="D6297" s="565">
        <v>39052</v>
      </c>
      <c r="E6297" s="565">
        <v>39112</v>
      </c>
      <c r="F6297" s="566">
        <v>27500000</v>
      </c>
      <c r="G6297" s="564" t="s">
        <v>1128</v>
      </c>
      <c r="H6297" s="564" t="s">
        <v>1128</v>
      </c>
      <c r="I6297" s="564" t="s">
        <v>45</v>
      </c>
      <c r="J6297" s="564" t="s">
        <v>1069</v>
      </c>
      <c r="K6297" s="564" t="s">
        <v>1090</v>
      </c>
      <c r="L6297" s="564" t="s">
        <v>1390</v>
      </c>
      <c r="M6297" s="564" t="s">
        <v>1390</v>
      </c>
      <c r="N6297" s="564" t="s">
        <v>45</v>
      </c>
      <c r="O6297" s="564" t="s">
        <v>38</v>
      </c>
      <c r="P6297" s="23"/>
      <c r="Q6297" s="23"/>
      <c r="R6297" s="23"/>
      <c r="S6297" s="23"/>
      <c r="T6297" s="23"/>
      <c r="U6297" s="23"/>
      <c r="V6297" s="23"/>
      <c r="W6297" s="23"/>
      <c r="X6297" s="23"/>
      <c r="Y6297" s="23"/>
      <c r="Z6297" s="23"/>
    </row>
    <row r="6298" spans="1:26" ht="13">
      <c r="A6298" s="562" t="s">
        <v>13651</v>
      </c>
      <c r="B6298" s="563" t="s">
        <v>13652</v>
      </c>
      <c r="C6298" s="564" t="s">
        <v>1612</v>
      </c>
      <c r="D6298" s="565">
        <v>39034</v>
      </c>
      <c r="E6298" s="565">
        <v>39146</v>
      </c>
      <c r="F6298" s="566">
        <v>26250000</v>
      </c>
      <c r="G6298" s="564" t="s">
        <v>1128</v>
      </c>
      <c r="H6298" s="564" t="s">
        <v>1128</v>
      </c>
      <c r="I6298" s="564" t="s">
        <v>70</v>
      </c>
      <c r="J6298" s="564" t="s">
        <v>1069</v>
      </c>
      <c r="K6298" s="564" t="s">
        <v>1120</v>
      </c>
      <c r="L6298" s="564" t="s">
        <v>1390</v>
      </c>
      <c r="M6298" s="564" t="s">
        <v>1390</v>
      </c>
      <c r="N6298" s="564" t="s">
        <v>70</v>
      </c>
      <c r="O6298" s="564" t="s">
        <v>38</v>
      </c>
      <c r="P6298" s="23"/>
      <c r="Q6298" s="23"/>
      <c r="R6298" s="23"/>
      <c r="S6298" s="23"/>
      <c r="T6298" s="23"/>
      <c r="U6298" s="23"/>
      <c r="V6298" s="23"/>
      <c r="W6298" s="23"/>
      <c r="X6298" s="23"/>
      <c r="Y6298" s="23"/>
      <c r="Z6298" s="23"/>
    </row>
    <row r="6299" spans="1:26" ht="13">
      <c r="A6299" s="562" t="s">
        <v>13653</v>
      </c>
      <c r="B6299" s="563" t="s">
        <v>13654</v>
      </c>
      <c r="C6299" s="564" t="s">
        <v>6860</v>
      </c>
      <c r="D6299" s="565">
        <v>39057</v>
      </c>
      <c r="E6299" s="565">
        <v>39079</v>
      </c>
      <c r="F6299" s="566">
        <v>357272727</v>
      </c>
      <c r="G6299" s="564" t="s">
        <v>1116</v>
      </c>
      <c r="H6299" s="564" t="s">
        <v>1116</v>
      </c>
      <c r="I6299" s="564" t="s">
        <v>143</v>
      </c>
      <c r="J6299" s="564" t="s">
        <v>1069</v>
      </c>
      <c r="K6299" s="564" t="s">
        <v>1205</v>
      </c>
      <c r="L6299" s="564" t="s">
        <v>1390</v>
      </c>
      <c r="M6299" s="564" t="s">
        <v>1390</v>
      </c>
      <c r="N6299" s="564" t="s">
        <v>1073</v>
      </c>
      <c r="O6299" s="564" t="s">
        <v>38</v>
      </c>
      <c r="P6299" s="23"/>
      <c r="Q6299" s="23"/>
      <c r="R6299" s="23"/>
      <c r="S6299" s="23"/>
      <c r="T6299" s="23"/>
      <c r="U6299" s="23"/>
      <c r="V6299" s="23"/>
      <c r="W6299" s="23"/>
      <c r="X6299" s="23"/>
      <c r="Y6299" s="23"/>
      <c r="Z6299" s="23"/>
    </row>
    <row r="6300" spans="1:26" ht="13">
      <c r="A6300" s="562" t="s">
        <v>13655</v>
      </c>
      <c r="B6300" s="563" t="s">
        <v>13656</v>
      </c>
      <c r="C6300" s="564" t="s">
        <v>2191</v>
      </c>
      <c r="D6300" s="565">
        <v>39050</v>
      </c>
      <c r="E6300" s="565">
        <v>39097</v>
      </c>
      <c r="F6300" s="567"/>
      <c r="G6300" s="564" t="s">
        <v>11225</v>
      </c>
      <c r="H6300" s="564" t="s">
        <v>11225</v>
      </c>
      <c r="I6300" s="564" t="s">
        <v>13657</v>
      </c>
      <c r="J6300" s="564" t="s">
        <v>1069</v>
      </c>
      <c r="K6300" s="564" t="s">
        <v>1070</v>
      </c>
      <c r="L6300" s="564" t="s">
        <v>2098</v>
      </c>
      <c r="M6300" s="564" t="s">
        <v>2098</v>
      </c>
      <c r="N6300" s="564" t="s">
        <v>1082</v>
      </c>
      <c r="O6300" s="564" t="s">
        <v>2099</v>
      </c>
      <c r="P6300" s="23"/>
      <c r="Q6300" s="23"/>
      <c r="R6300" s="23"/>
      <c r="S6300" s="23"/>
      <c r="T6300" s="23"/>
      <c r="U6300" s="23"/>
      <c r="V6300" s="23"/>
      <c r="W6300" s="23"/>
      <c r="X6300" s="23"/>
      <c r="Y6300" s="23"/>
      <c r="Z6300" s="23"/>
    </row>
    <row r="6301" spans="1:26" ht="13">
      <c r="A6301" s="562" t="s">
        <v>13658</v>
      </c>
      <c r="B6301" s="563" t="s">
        <v>13659</v>
      </c>
      <c r="C6301" s="564" t="s">
        <v>1612</v>
      </c>
      <c r="D6301" s="565">
        <v>39022</v>
      </c>
      <c r="E6301" s="565">
        <v>39120</v>
      </c>
      <c r="F6301" s="566">
        <v>97570000</v>
      </c>
      <c r="G6301" s="564" t="s">
        <v>4261</v>
      </c>
      <c r="H6301" s="564" t="s">
        <v>8532</v>
      </c>
      <c r="I6301" s="564" t="s">
        <v>257</v>
      </c>
      <c r="J6301" s="564" t="s">
        <v>1069</v>
      </c>
      <c r="K6301" s="564" t="s">
        <v>1209</v>
      </c>
      <c r="L6301" s="564" t="s">
        <v>1390</v>
      </c>
      <c r="M6301" s="564" t="s">
        <v>1390</v>
      </c>
      <c r="N6301" s="564" t="s">
        <v>257</v>
      </c>
      <c r="O6301" s="564" t="s">
        <v>38</v>
      </c>
      <c r="P6301" s="23"/>
      <c r="Q6301" s="23"/>
      <c r="R6301" s="23"/>
      <c r="S6301" s="23"/>
      <c r="T6301" s="23"/>
      <c r="U6301" s="23"/>
      <c r="V6301" s="23"/>
      <c r="W6301" s="23"/>
      <c r="X6301" s="23"/>
      <c r="Y6301" s="23"/>
      <c r="Z6301" s="23"/>
    </row>
    <row r="6302" spans="1:26" ht="13">
      <c r="A6302" s="562" t="s">
        <v>13660</v>
      </c>
      <c r="B6302" s="563" t="s">
        <v>13661</v>
      </c>
      <c r="C6302" s="564" t="s">
        <v>1612</v>
      </c>
      <c r="D6302" s="565">
        <v>38989</v>
      </c>
      <c r="E6302" s="565">
        <v>39061</v>
      </c>
      <c r="F6302" s="567"/>
      <c r="G6302" s="564" t="s">
        <v>1128</v>
      </c>
      <c r="H6302" s="564"/>
      <c r="I6302" s="564" t="s">
        <v>70</v>
      </c>
      <c r="J6302" s="564" t="s">
        <v>1069</v>
      </c>
      <c r="K6302" s="564" t="s">
        <v>1120</v>
      </c>
      <c r="L6302" s="564" t="s">
        <v>1390</v>
      </c>
      <c r="M6302" s="564" t="s">
        <v>1390</v>
      </c>
      <c r="N6302" s="564" t="s">
        <v>70</v>
      </c>
      <c r="O6302" s="564" t="s">
        <v>38</v>
      </c>
      <c r="P6302" s="23"/>
      <c r="Q6302" s="23"/>
      <c r="R6302" s="23"/>
      <c r="S6302" s="23"/>
      <c r="T6302" s="23"/>
      <c r="U6302" s="23"/>
      <c r="V6302" s="23"/>
      <c r="W6302" s="23"/>
      <c r="X6302" s="23"/>
      <c r="Y6302" s="23"/>
      <c r="Z6302" s="23"/>
    </row>
    <row r="6303" spans="1:26" ht="13">
      <c r="A6303" s="562" t="s">
        <v>13662</v>
      </c>
      <c r="B6303" s="563" t="s">
        <v>13663</v>
      </c>
      <c r="C6303" s="564" t="s">
        <v>1612</v>
      </c>
      <c r="D6303" s="565">
        <v>38991</v>
      </c>
      <c r="E6303" s="565">
        <v>39538</v>
      </c>
      <c r="F6303" s="566">
        <v>18360000</v>
      </c>
      <c r="G6303" s="564" t="s">
        <v>8532</v>
      </c>
      <c r="H6303" s="564" t="s">
        <v>8532</v>
      </c>
      <c r="I6303" s="564" t="s">
        <v>13299</v>
      </c>
      <c r="J6303" s="564" t="s">
        <v>1069</v>
      </c>
      <c r="K6303" s="564" t="s">
        <v>1070</v>
      </c>
      <c r="L6303" s="564" t="s">
        <v>1071</v>
      </c>
      <c r="M6303" s="564" t="s">
        <v>1091</v>
      </c>
      <c r="N6303" s="564" t="s">
        <v>1073</v>
      </c>
      <c r="O6303" s="564" t="s">
        <v>241</v>
      </c>
      <c r="P6303" s="23"/>
      <c r="Q6303" s="23"/>
      <c r="R6303" s="23"/>
      <c r="S6303" s="23"/>
      <c r="T6303" s="23"/>
      <c r="U6303" s="23"/>
      <c r="V6303" s="23"/>
      <c r="W6303" s="23"/>
      <c r="X6303" s="23"/>
      <c r="Y6303" s="23"/>
      <c r="Z6303" s="23"/>
    </row>
    <row r="6304" spans="1:26" ht="13">
      <c r="A6304" s="562" t="s">
        <v>13664</v>
      </c>
      <c r="B6304" s="563" t="s">
        <v>13665</v>
      </c>
      <c r="C6304" s="564" t="s">
        <v>2191</v>
      </c>
      <c r="D6304" s="565">
        <v>39020</v>
      </c>
      <c r="E6304" s="565">
        <v>39660</v>
      </c>
      <c r="F6304" s="566">
        <v>347000000</v>
      </c>
      <c r="G6304" s="564" t="s">
        <v>1123</v>
      </c>
      <c r="H6304" s="564" t="s">
        <v>1116</v>
      </c>
      <c r="I6304" s="564" t="s">
        <v>7439</v>
      </c>
      <c r="J6304" s="564" t="s">
        <v>1069</v>
      </c>
      <c r="K6304" s="564" t="s">
        <v>2430</v>
      </c>
      <c r="L6304" s="564" t="s">
        <v>1071</v>
      </c>
      <c r="M6304" s="564" t="s">
        <v>1124</v>
      </c>
      <c r="N6304" s="564" t="s">
        <v>1082</v>
      </c>
      <c r="O6304" s="564" t="s">
        <v>38</v>
      </c>
      <c r="P6304" s="23"/>
      <c r="Q6304" s="23"/>
      <c r="R6304" s="23"/>
      <c r="S6304" s="23"/>
      <c r="T6304" s="23"/>
      <c r="U6304" s="23"/>
      <c r="V6304" s="23"/>
      <c r="W6304" s="23"/>
      <c r="X6304" s="23"/>
      <c r="Y6304" s="23"/>
      <c r="Z6304" s="23"/>
    </row>
    <row r="6305" spans="1:26" ht="13">
      <c r="A6305" s="562" t="s">
        <v>13666</v>
      </c>
      <c r="B6305" s="563" t="s">
        <v>13667</v>
      </c>
      <c r="C6305" s="564" t="s">
        <v>2484</v>
      </c>
      <c r="D6305" s="565">
        <v>38959</v>
      </c>
      <c r="E6305" s="565">
        <v>39202</v>
      </c>
      <c r="F6305" s="566">
        <v>314909091</v>
      </c>
      <c r="G6305" s="564" t="s">
        <v>2565</v>
      </c>
      <c r="H6305" s="564"/>
      <c r="I6305" s="564" t="s">
        <v>12297</v>
      </c>
      <c r="J6305" s="564" t="s">
        <v>1069</v>
      </c>
      <c r="K6305" s="564" t="s">
        <v>2466</v>
      </c>
      <c r="L6305" s="564" t="s">
        <v>2467</v>
      </c>
      <c r="M6305" s="564" t="s">
        <v>2466</v>
      </c>
      <c r="N6305" s="564" t="s">
        <v>2439</v>
      </c>
      <c r="O6305" s="564" t="s">
        <v>12077</v>
      </c>
      <c r="P6305" s="23"/>
      <c r="Q6305" s="23"/>
      <c r="R6305" s="23"/>
      <c r="S6305" s="23"/>
      <c r="T6305" s="23"/>
      <c r="U6305" s="23"/>
      <c r="V6305" s="23"/>
      <c r="W6305" s="23"/>
      <c r="X6305" s="23"/>
      <c r="Y6305" s="23"/>
      <c r="Z6305" s="23"/>
    </row>
    <row r="6306" spans="1:26" ht="13">
      <c r="A6306" s="562" t="s">
        <v>13668</v>
      </c>
      <c r="B6306" s="563" t="s">
        <v>13669</v>
      </c>
      <c r="C6306" s="564" t="s">
        <v>1612</v>
      </c>
      <c r="D6306" s="565">
        <v>38991</v>
      </c>
      <c r="E6306" s="565">
        <v>39113</v>
      </c>
      <c r="F6306" s="566">
        <v>1027424000</v>
      </c>
      <c r="G6306" s="564" t="s">
        <v>1725</v>
      </c>
      <c r="H6306" s="564" t="s">
        <v>1128</v>
      </c>
      <c r="I6306" s="564" t="s">
        <v>70</v>
      </c>
      <c r="J6306" s="564" t="s">
        <v>1069</v>
      </c>
      <c r="K6306" s="564" t="s">
        <v>1120</v>
      </c>
      <c r="L6306" s="564" t="s">
        <v>1390</v>
      </c>
      <c r="M6306" s="564" t="s">
        <v>1390</v>
      </c>
      <c r="N6306" s="564" t="s">
        <v>70</v>
      </c>
      <c r="O6306" s="564" t="s">
        <v>38</v>
      </c>
      <c r="P6306" s="23"/>
      <c r="Q6306" s="23"/>
      <c r="R6306" s="23"/>
      <c r="S6306" s="23"/>
      <c r="T6306" s="23"/>
      <c r="U6306" s="23"/>
      <c r="V6306" s="23"/>
      <c r="W6306" s="23"/>
      <c r="X6306" s="23"/>
      <c r="Y6306" s="23"/>
      <c r="Z6306" s="23"/>
    </row>
    <row r="6307" spans="1:26" ht="13">
      <c r="A6307" s="562" t="s">
        <v>13670</v>
      </c>
      <c r="B6307" s="563" t="s">
        <v>13671</v>
      </c>
      <c r="C6307" s="564" t="s">
        <v>1612</v>
      </c>
      <c r="D6307" s="565">
        <v>38959</v>
      </c>
      <c r="E6307" s="565">
        <v>39141</v>
      </c>
      <c r="F6307" s="566">
        <v>199070000</v>
      </c>
      <c r="G6307" s="564" t="s">
        <v>2370</v>
      </c>
      <c r="H6307" s="564" t="s">
        <v>1116</v>
      </c>
      <c r="I6307" s="564" t="s">
        <v>45</v>
      </c>
      <c r="J6307" s="564" t="s">
        <v>1069</v>
      </c>
      <c r="K6307" s="564" t="s">
        <v>1090</v>
      </c>
      <c r="L6307" s="564" t="s">
        <v>1390</v>
      </c>
      <c r="M6307" s="564" t="s">
        <v>1390</v>
      </c>
      <c r="N6307" s="564" t="s">
        <v>45</v>
      </c>
      <c r="O6307" s="564" t="s">
        <v>38</v>
      </c>
      <c r="P6307" s="23"/>
      <c r="Q6307" s="23"/>
      <c r="R6307" s="23"/>
      <c r="S6307" s="23"/>
      <c r="T6307" s="23"/>
      <c r="U6307" s="23"/>
      <c r="V6307" s="23"/>
      <c r="W6307" s="23"/>
      <c r="X6307" s="23"/>
      <c r="Y6307" s="23"/>
      <c r="Z6307" s="23"/>
    </row>
    <row r="6308" spans="1:26" ht="13">
      <c r="A6308" s="562" t="s">
        <v>13672</v>
      </c>
      <c r="B6308" s="563" t="s">
        <v>13673</v>
      </c>
      <c r="C6308" s="564" t="s">
        <v>1612</v>
      </c>
      <c r="D6308" s="565">
        <v>38973</v>
      </c>
      <c r="E6308" s="565">
        <v>39038</v>
      </c>
      <c r="F6308" s="566">
        <v>13000000</v>
      </c>
      <c r="G6308" s="564" t="s">
        <v>1128</v>
      </c>
      <c r="H6308" s="564"/>
      <c r="I6308" s="564" t="s">
        <v>257</v>
      </c>
      <c r="J6308" s="564" t="s">
        <v>1069</v>
      </c>
      <c r="K6308" s="564" t="s">
        <v>1209</v>
      </c>
      <c r="L6308" s="564" t="s">
        <v>1390</v>
      </c>
      <c r="M6308" s="564" t="s">
        <v>1390</v>
      </c>
      <c r="N6308" s="564" t="s">
        <v>257</v>
      </c>
      <c r="O6308" s="564" t="s">
        <v>38</v>
      </c>
      <c r="P6308" s="23"/>
      <c r="Q6308" s="23"/>
      <c r="R6308" s="23"/>
      <c r="S6308" s="23"/>
      <c r="T6308" s="23"/>
      <c r="U6308" s="23"/>
      <c r="V6308" s="23"/>
      <c r="W6308" s="23"/>
      <c r="X6308" s="23"/>
      <c r="Y6308" s="23"/>
      <c r="Z6308" s="23"/>
    </row>
    <row r="6309" spans="1:26" ht="13">
      <c r="A6309" s="562" t="s">
        <v>13674</v>
      </c>
      <c r="B6309" s="563" t="s">
        <v>13675</v>
      </c>
      <c r="C6309" s="564" t="s">
        <v>2484</v>
      </c>
      <c r="D6309" s="565">
        <v>38777</v>
      </c>
      <c r="E6309" s="565">
        <v>39082</v>
      </c>
      <c r="F6309" s="567"/>
      <c r="G6309" s="564" t="s">
        <v>2323</v>
      </c>
      <c r="H6309" s="564"/>
      <c r="I6309" s="564" t="s">
        <v>12130</v>
      </c>
      <c r="J6309" s="564" t="s">
        <v>1069</v>
      </c>
      <c r="K6309" s="564" t="s">
        <v>2466</v>
      </c>
      <c r="L6309" s="564" t="s">
        <v>2467</v>
      </c>
      <c r="M6309" s="564" t="s">
        <v>2466</v>
      </c>
      <c r="N6309" s="564" t="s">
        <v>2543</v>
      </c>
      <c r="O6309" s="564" t="s">
        <v>12077</v>
      </c>
      <c r="P6309" s="23"/>
      <c r="Q6309" s="23"/>
      <c r="R6309" s="23"/>
      <c r="S6309" s="23"/>
      <c r="T6309" s="23"/>
      <c r="U6309" s="23"/>
      <c r="V6309" s="23"/>
      <c r="W6309" s="23"/>
      <c r="X6309" s="23"/>
      <c r="Y6309" s="23"/>
      <c r="Z6309" s="23"/>
    </row>
    <row r="6310" spans="1:26" ht="13">
      <c r="A6310" s="562" t="s">
        <v>13676</v>
      </c>
      <c r="B6310" s="563" t="s">
        <v>13677</v>
      </c>
      <c r="C6310" s="564" t="s">
        <v>1873</v>
      </c>
      <c r="D6310" s="565">
        <v>38824</v>
      </c>
      <c r="E6310" s="565">
        <v>38901</v>
      </c>
      <c r="F6310" s="567"/>
      <c r="G6310" s="564" t="s">
        <v>8532</v>
      </c>
      <c r="H6310" s="564"/>
      <c r="I6310" s="564" t="s">
        <v>170</v>
      </c>
      <c r="J6310" s="564" t="s">
        <v>1069</v>
      </c>
      <c r="K6310" s="564" t="s">
        <v>1105</v>
      </c>
      <c r="L6310" s="564" t="s">
        <v>1390</v>
      </c>
      <c r="M6310" s="564" t="s">
        <v>1390</v>
      </c>
      <c r="N6310" s="564" t="s">
        <v>170</v>
      </c>
      <c r="O6310" s="564" t="s">
        <v>38</v>
      </c>
      <c r="P6310" s="23"/>
      <c r="Q6310" s="23"/>
      <c r="R6310" s="23"/>
      <c r="S6310" s="23"/>
      <c r="T6310" s="23"/>
      <c r="U6310" s="23"/>
      <c r="V6310" s="23"/>
      <c r="W6310" s="23"/>
      <c r="X6310" s="23"/>
      <c r="Y6310" s="23"/>
      <c r="Z6310" s="23"/>
    </row>
    <row r="6311" spans="1:26" ht="13">
      <c r="A6311" s="562" t="s">
        <v>13678</v>
      </c>
      <c r="B6311" s="563" t="s">
        <v>13679</v>
      </c>
      <c r="C6311" s="564" t="s">
        <v>2191</v>
      </c>
      <c r="D6311" s="565">
        <v>38943</v>
      </c>
      <c r="E6311" s="565">
        <v>39039</v>
      </c>
      <c r="F6311" s="567"/>
      <c r="G6311" s="564" t="s">
        <v>1187</v>
      </c>
      <c r="H6311" s="564"/>
      <c r="I6311" s="564" t="s">
        <v>2311</v>
      </c>
      <c r="J6311" s="564" t="s">
        <v>1069</v>
      </c>
      <c r="K6311" s="564" t="s">
        <v>1070</v>
      </c>
      <c r="L6311" s="564" t="s">
        <v>1390</v>
      </c>
      <c r="M6311" s="564" t="s">
        <v>1390</v>
      </c>
      <c r="N6311" s="564" t="s">
        <v>1073</v>
      </c>
      <c r="O6311" s="564" t="s">
        <v>38</v>
      </c>
      <c r="P6311" s="23"/>
      <c r="Q6311" s="23"/>
      <c r="R6311" s="23"/>
      <c r="S6311" s="23"/>
      <c r="T6311" s="23"/>
      <c r="U6311" s="23"/>
      <c r="V6311" s="23"/>
      <c r="W6311" s="23"/>
      <c r="X6311" s="23"/>
      <c r="Y6311" s="23"/>
      <c r="Z6311" s="23"/>
    </row>
    <row r="6312" spans="1:26" ht="13">
      <c r="A6312" s="562" t="s">
        <v>13680</v>
      </c>
      <c r="B6312" s="563" t="s">
        <v>13681</v>
      </c>
      <c r="C6312" s="564" t="s">
        <v>1612</v>
      </c>
      <c r="D6312" s="565">
        <v>38930</v>
      </c>
      <c r="E6312" s="565">
        <v>39022</v>
      </c>
      <c r="F6312" s="566">
        <v>112500000</v>
      </c>
      <c r="G6312" s="564" t="s">
        <v>4261</v>
      </c>
      <c r="H6312" s="564"/>
      <c r="I6312" s="564" t="s">
        <v>2073</v>
      </c>
      <c r="J6312" s="564" t="s">
        <v>1069</v>
      </c>
      <c r="K6312" s="564" t="s">
        <v>1105</v>
      </c>
      <c r="L6312" s="564" t="s">
        <v>1390</v>
      </c>
      <c r="M6312" s="564" t="s">
        <v>1390</v>
      </c>
      <c r="N6312" s="564" t="s">
        <v>225</v>
      </c>
      <c r="O6312" s="564" t="s">
        <v>38</v>
      </c>
      <c r="P6312" s="23"/>
      <c r="Q6312" s="23"/>
      <c r="R6312" s="23"/>
      <c r="S6312" s="23"/>
      <c r="T6312" s="23"/>
      <c r="U6312" s="23"/>
      <c r="V6312" s="23"/>
      <c r="W6312" s="23"/>
      <c r="X6312" s="23"/>
      <c r="Y6312" s="23"/>
      <c r="Z6312" s="23"/>
    </row>
    <row r="6313" spans="1:26" ht="13">
      <c r="A6313" s="562" t="s">
        <v>13682</v>
      </c>
      <c r="B6313" s="563" t="s">
        <v>13282</v>
      </c>
      <c r="C6313" s="564" t="s">
        <v>1612</v>
      </c>
      <c r="D6313" s="565">
        <v>38808</v>
      </c>
      <c r="E6313" s="565">
        <v>39538</v>
      </c>
      <c r="F6313" s="566">
        <v>107170000</v>
      </c>
      <c r="G6313" s="564" t="s">
        <v>1856</v>
      </c>
      <c r="H6313" s="564" t="s">
        <v>1856</v>
      </c>
      <c r="I6313" s="564" t="s">
        <v>70</v>
      </c>
      <c r="J6313" s="564" t="s">
        <v>1069</v>
      </c>
      <c r="K6313" s="564" t="s">
        <v>1120</v>
      </c>
      <c r="L6313" s="564" t="s">
        <v>1071</v>
      </c>
      <c r="M6313" s="564" t="s">
        <v>1091</v>
      </c>
      <c r="N6313" s="564" t="s">
        <v>70</v>
      </c>
      <c r="O6313" s="564" t="s">
        <v>241</v>
      </c>
      <c r="P6313" s="23"/>
      <c r="Q6313" s="23"/>
      <c r="R6313" s="23"/>
      <c r="S6313" s="23"/>
      <c r="T6313" s="23"/>
      <c r="U6313" s="23"/>
      <c r="V6313" s="23"/>
      <c r="W6313" s="23"/>
      <c r="X6313" s="23"/>
      <c r="Y6313" s="23"/>
      <c r="Z6313" s="23"/>
    </row>
    <row r="6314" spans="1:26" ht="13">
      <c r="A6314" s="562" t="s">
        <v>13683</v>
      </c>
      <c r="B6314" s="563" t="s">
        <v>13684</v>
      </c>
      <c r="C6314" s="564" t="s">
        <v>1612</v>
      </c>
      <c r="D6314" s="565">
        <v>38880</v>
      </c>
      <c r="E6314" s="565">
        <v>39211</v>
      </c>
      <c r="F6314" s="566">
        <v>267600000</v>
      </c>
      <c r="G6314" s="564" t="s">
        <v>1128</v>
      </c>
      <c r="H6314" s="564" t="s">
        <v>1128</v>
      </c>
      <c r="I6314" s="564" t="s">
        <v>45</v>
      </c>
      <c r="J6314" s="564" t="s">
        <v>1069</v>
      </c>
      <c r="K6314" s="564" t="s">
        <v>1090</v>
      </c>
      <c r="L6314" s="564" t="s">
        <v>1390</v>
      </c>
      <c r="M6314" s="564" t="s">
        <v>1390</v>
      </c>
      <c r="N6314" s="564" t="s">
        <v>45</v>
      </c>
      <c r="O6314" s="564" t="s">
        <v>38</v>
      </c>
      <c r="P6314" s="23"/>
      <c r="Q6314" s="23"/>
      <c r="R6314" s="23"/>
      <c r="S6314" s="23"/>
      <c r="T6314" s="23"/>
      <c r="U6314" s="23"/>
      <c r="V6314" s="23"/>
      <c r="W6314" s="23"/>
      <c r="X6314" s="23"/>
      <c r="Y6314" s="23"/>
      <c r="Z6314" s="23"/>
    </row>
    <row r="6315" spans="1:26" ht="13">
      <c r="A6315" s="562" t="s">
        <v>13685</v>
      </c>
      <c r="B6315" s="563" t="s">
        <v>13686</v>
      </c>
      <c r="C6315" s="564" t="s">
        <v>6860</v>
      </c>
      <c r="D6315" s="565">
        <v>38784</v>
      </c>
      <c r="E6315" s="565">
        <v>39113</v>
      </c>
      <c r="F6315" s="566">
        <v>12727272</v>
      </c>
      <c r="G6315" s="564" t="s">
        <v>2168</v>
      </c>
      <c r="H6315" s="564" t="s">
        <v>2168</v>
      </c>
      <c r="I6315" s="564" t="s">
        <v>2542</v>
      </c>
      <c r="J6315" s="564" t="s">
        <v>1069</v>
      </c>
      <c r="K6315" s="564" t="s">
        <v>1070</v>
      </c>
      <c r="L6315" s="564" t="s">
        <v>1071</v>
      </c>
      <c r="M6315" s="564" t="s">
        <v>1091</v>
      </c>
      <c r="N6315" s="564" t="s">
        <v>2543</v>
      </c>
      <c r="O6315" s="564" t="s">
        <v>241</v>
      </c>
      <c r="P6315" s="23"/>
      <c r="Q6315" s="23"/>
      <c r="R6315" s="23"/>
      <c r="S6315" s="23"/>
      <c r="T6315" s="23"/>
      <c r="U6315" s="23"/>
      <c r="V6315" s="23"/>
      <c r="W6315" s="23"/>
      <c r="X6315" s="23"/>
      <c r="Y6315" s="23"/>
      <c r="Z6315" s="23"/>
    </row>
    <row r="6316" spans="1:26" ht="13">
      <c r="A6316" s="562" t="s">
        <v>13687</v>
      </c>
      <c r="B6316" s="563" t="s">
        <v>13688</v>
      </c>
      <c r="C6316" s="564" t="s">
        <v>2484</v>
      </c>
      <c r="D6316" s="565">
        <v>38888</v>
      </c>
      <c r="E6316" s="565">
        <v>39132</v>
      </c>
      <c r="F6316" s="566">
        <v>125600691</v>
      </c>
      <c r="G6316" s="564" t="s">
        <v>12075</v>
      </c>
      <c r="H6316" s="564"/>
      <c r="I6316" s="564" t="s">
        <v>13689</v>
      </c>
      <c r="J6316" s="564" t="s">
        <v>1069</v>
      </c>
      <c r="K6316" s="564" t="s">
        <v>2466</v>
      </c>
      <c r="L6316" s="564" t="s">
        <v>2467</v>
      </c>
      <c r="M6316" s="564" t="s">
        <v>2466</v>
      </c>
      <c r="N6316" s="564" t="s">
        <v>2543</v>
      </c>
      <c r="O6316" s="564" t="s">
        <v>12077</v>
      </c>
      <c r="P6316" s="23"/>
      <c r="Q6316" s="23"/>
      <c r="R6316" s="23"/>
      <c r="S6316" s="23"/>
      <c r="T6316" s="23"/>
      <c r="U6316" s="23"/>
      <c r="V6316" s="23"/>
      <c r="W6316" s="23"/>
      <c r="X6316" s="23"/>
      <c r="Y6316" s="23"/>
      <c r="Z6316" s="23"/>
    </row>
    <row r="6317" spans="1:26" ht="13">
      <c r="A6317" s="562" t="s">
        <v>13690</v>
      </c>
      <c r="B6317" s="563" t="s">
        <v>13691</v>
      </c>
      <c r="C6317" s="564" t="s">
        <v>1873</v>
      </c>
      <c r="D6317" s="565">
        <v>38719</v>
      </c>
      <c r="E6317" s="565">
        <v>39447</v>
      </c>
      <c r="F6317" s="566">
        <v>8700000</v>
      </c>
      <c r="G6317" s="564" t="s">
        <v>8532</v>
      </c>
      <c r="H6317" s="564" t="s">
        <v>8532</v>
      </c>
      <c r="I6317" s="564" t="s">
        <v>170</v>
      </c>
      <c r="J6317" s="564" t="s">
        <v>1069</v>
      </c>
      <c r="K6317" s="564" t="s">
        <v>1105</v>
      </c>
      <c r="L6317" s="564" t="s">
        <v>1071</v>
      </c>
      <c r="M6317" s="564" t="s">
        <v>1091</v>
      </c>
      <c r="N6317" s="564" t="s">
        <v>170</v>
      </c>
      <c r="O6317" s="564" t="s">
        <v>241</v>
      </c>
      <c r="P6317" s="23"/>
      <c r="Q6317" s="23"/>
      <c r="R6317" s="23"/>
      <c r="S6317" s="23"/>
      <c r="T6317" s="23"/>
      <c r="U6317" s="23"/>
      <c r="V6317" s="23"/>
      <c r="W6317" s="23"/>
      <c r="X6317" s="23"/>
      <c r="Y6317" s="23"/>
      <c r="Z6317" s="23"/>
    </row>
    <row r="6318" spans="1:26" ht="13">
      <c r="A6318" s="562" t="s">
        <v>13692</v>
      </c>
      <c r="B6318" s="563" t="s">
        <v>13693</v>
      </c>
      <c r="C6318" s="564" t="s">
        <v>2484</v>
      </c>
      <c r="D6318" s="565">
        <v>38876</v>
      </c>
      <c r="E6318" s="565">
        <v>39275</v>
      </c>
      <c r="F6318" s="566">
        <v>148145454</v>
      </c>
      <c r="G6318" s="564" t="s">
        <v>13339</v>
      </c>
      <c r="H6318" s="564"/>
      <c r="I6318" s="564" t="s">
        <v>12541</v>
      </c>
      <c r="J6318" s="564" t="s">
        <v>1069</v>
      </c>
      <c r="K6318" s="564" t="s">
        <v>2466</v>
      </c>
      <c r="L6318" s="564" t="s">
        <v>2467</v>
      </c>
      <c r="M6318" s="564" t="s">
        <v>2466</v>
      </c>
      <c r="N6318" s="564" t="s">
        <v>2325</v>
      </c>
      <c r="O6318" s="564" t="s">
        <v>12077</v>
      </c>
      <c r="P6318" s="23"/>
      <c r="Q6318" s="23"/>
      <c r="R6318" s="23"/>
      <c r="S6318" s="23"/>
      <c r="T6318" s="23"/>
      <c r="U6318" s="23"/>
      <c r="V6318" s="23"/>
      <c r="W6318" s="23"/>
      <c r="X6318" s="23"/>
      <c r="Y6318" s="23"/>
      <c r="Z6318" s="23"/>
    </row>
    <row r="6319" spans="1:26" ht="13">
      <c r="A6319" s="562" t="s">
        <v>13694</v>
      </c>
      <c r="B6319" s="563" t="s">
        <v>13695</v>
      </c>
      <c r="C6319" s="564" t="s">
        <v>2484</v>
      </c>
      <c r="D6319" s="565">
        <v>38749</v>
      </c>
      <c r="E6319" s="565">
        <v>39113</v>
      </c>
      <c r="F6319" s="567"/>
      <c r="G6319" s="564" t="s">
        <v>2541</v>
      </c>
      <c r="H6319" s="564"/>
      <c r="I6319" s="564" t="s">
        <v>13696</v>
      </c>
      <c r="J6319" s="564" t="s">
        <v>1069</v>
      </c>
      <c r="K6319" s="564" t="s">
        <v>2466</v>
      </c>
      <c r="L6319" s="564" t="s">
        <v>2467</v>
      </c>
      <c r="M6319" s="564" t="s">
        <v>2466</v>
      </c>
      <c r="N6319" s="564" t="s">
        <v>1082</v>
      </c>
      <c r="O6319" s="564" t="s">
        <v>12077</v>
      </c>
      <c r="P6319" s="23"/>
      <c r="Q6319" s="23"/>
      <c r="R6319" s="23"/>
      <c r="S6319" s="23"/>
      <c r="T6319" s="23"/>
      <c r="U6319" s="23"/>
      <c r="V6319" s="23"/>
      <c r="W6319" s="23"/>
      <c r="X6319" s="23"/>
      <c r="Y6319" s="23"/>
      <c r="Z6319" s="23"/>
    </row>
    <row r="6320" spans="1:26" ht="13">
      <c r="A6320" s="562" t="s">
        <v>13697</v>
      </c>
      <c r="B6320" s="563" t="s">
        <v>13296</v>
      </c>
      <c r="C6320" s="564" t="s">
        <v>1612</v>
      </c>
      <c r="D6320" s="565">
        <v>38777</v>
      </c>
      <c r="E6320" s="565">
        <v>39507</v>
      </c>
      <c r="F6320" s="566">
        <v>33600000</v>
      </c>
      <c r="G6320" s="564" t="s">
        <v>8532</v>
      </c>
      <c r="H6320" s="564" t="s">
        <v>8532</v>
      </c>
      <c r="I6320" s="564" t="s">
        <v>802</v>
      </c>
      <c r="J6320" s="564" t="s">
        <v>1069</v>
      </c>
      <c r="K6320" s="564" t="s">
        <v>1198</v>
      </c>
      <c r="L6320" s="564" t="s">
        <v>1071</v>
      </c>
      <c r="M6320" s="564" t="s">
        <v>1091</v>
      </c>
      <c r="N6320" s="564" t="s">
        <v>132</v>
      </c>
      <c r="O6320" s="564" t="s">
        <v>241</v>
      </c>
      <c r="P6320" s="23"/>
      <c r="Q6320" s="23"/>
      <c r="R6320" s="23"/>
      <c r="S6320" s="23"/>
      <c r="T6320" s="23"/>
      <c r="U6320" s="23"/>
      <c r="V6320" s="23"/>
      <c r="W6320" s="23"/>
      <c r="X6320" s="23"/>
      <c r="Y6320" s="23"/>
      <c r="Z6320" s="23"/>
    </row>
    <row r="6321" spans="1:26" ht="13">
      <c r="A6321" s="562" t="s">
        <v>13698</v>
      </c>
      <c r="B6321" s="563" t="s">
        <v>13699</v>
      </c>
      <c r="C6321" s="564" t="s">
        <v>1612</v>
      </c>
      <c r="D6321" s="565">
        <v>38899</v>
      </c>
      <c r="E6321" s="565">
        <v>39082</v>
      </c>
      <c r="F6321" s="566">
        <v>69180000</v>
      </c>
      <c r="G6321" s="564" t="s">
        <v>13532</v>
      </c>
      <c r="H6321" s="564" t="s">
        <v>13532</v>
      </c>
      <c r="I6321" s="564" t="s">
        <v>70</v>
      </c>
      <c r="J6321" s="564" t="s">
        <v>1069</v>
      </c>
      <c r="K6321" s="564" t="s">
        <v>1120</v>
      </c>
      <c r="L6321" s="564" t="s">
        <v>1390</v>
      </c>
      <c r="M6321" s="564" t="s">
        <v>1390</v>
      </c>
      <c r="N6321" s="564" t="s">
        <v>70</v>
      </c>
      <c r="O6321" s="564" t="s">
        <v>38</v>
      </c>
      <c r="P6321" s="23"/>
      <c r="Q6321" s="23"/>
      <c r="R6321" s="23"/>
      <c r="S6321" s="23"/>
      <c r="T6321" s="23"/>
      <c r="U6321" s="23"/>
      <c r="V6321" s="23"/>
      <c r="W6321" s="23"/>
      <c r="X6321" s="23"/>
      <c r="Y6321" s="23"/>
      <c r="Z6321" s="23"/>
    </row>
    <row r="6322" spans="1:26" ht="13">
      <c r="A6322" s="562" t="s">
        <v>13700</v>
      </c>
      <c r="B6322" s="563" t="s">
        <v>13701</v>
      </c>
      <c r="C6322" s="564" t="s">
        <v>2191</v>
      </c>
      <c r="D6322" s="565">
        <v>38855</v>
      </c>
      <c r="E6322" s="565">
        <v>39294</v>
      </c>
      <c r="F6322" s="566">
        <v>31500000</v>
      </c>
      <c r="G6322" s="564" t="s">
        <v>1123</v>
      </c>
      <c r="H6322" s="564" t="s">
        <v>1116</v>
      </c>
      <c r="I6322" s="564" t="s">
        <v>7439</v>
      </c>
      <c r="J6322" s="564" t="s">
        <v>1069</v>
      </c>
      <c r="K6322" s="564" t="s">
        <v>2430</v>
      </c>
      <c r="L6322" s="564" t="s">
        <v>1071</v>
      </c>
      <c r="M6322" s="564" t="s">
        <v>1124</v>
      </c>
      <c r="N6322" s="564" t="s">
        <v>1082</v>
      </c>
      <c r="O6322" s="564" t="s">
        <v>38</v>
      </c>
      <c r="P6322" s="23"/>
      <c r="Q6322" s="23"/>
      <c r="R6322" s="23"/>
      <c r="S6322" s="23"/>
      <c r="T6322" s="23"/>
      <c r="U6322" s="23"/>
      <c r="V6322" s="23"/>
      <c r="W6322" s="23"/>
      <c r="X6322" s="23"/>
      <c r="Y6322" s="23"/>
      <c r="Z6322" s="23"/>
    </row>
    <row r="6323" spans="1:26" ht="13">
      <c r="A6323" s="562" t="s">
        <v>13702</v>
      </c>
      <c r="B6323" s="563" t="s">
        <v>13703</v>
      </c>
      <c r="C6323" s="564" t="s">
        <v>2484</v>
      </c>
      <c r="D6323" s="565">
        <v>38838</v>
      </c>
      <c r="E6323" s="565">
        <v>39051</v>
      </c>
      <c r="F6323" s="567"/>
      <c r="G6323" s="564" t="s">
        <v>13339</v>
      </c>
      <c r="H6323" s="564"/>
      <c r="I6323" s="564" t="s">
        <v>13704</v>
      </c>
      <c r="J6323" s="564" t="s">
        <v>1069</v>
      </c>
      <c r="K6323" s="564" t="s">
        <v>2466</v>
      </c>
      <c r="L6323" s="564" t="s">
        <v>2467</v>
      </c>
      <c r="M6323" s="564" t="s">
        <v>2466</v>
      </c>
      <c r="N6323" s="564" t="s">
        <v>1368</v>
      </c>
      <c r="O6323" s="564" t="s">
        <v>12077</v>
      </c>
      <c r="P6323" s="23"/>
      <c r="Q6323" s="23"/>
      <c r="R6323" s="23"/>
      <c r="S6323" s="23"/>
      <c r="T6323" s="23"/>
      <c r="U6323" s="23"/>
      <c r="V6323" s="23"/>
      <c r="W6323" s="23"/>
      <c r="X6323" s="23"/>
      <c r="Y6323" s="23"/>
      <c r="Z6323" s="23"/>
    </row>
    <row r="6324" spans="1:26" ht="13">
      <c r="A6324" s="562" t="s">
        <v>13705</v>
      </c>
      <c r="B6324" s="563" t="s">
        <v>13706</v>
      </c>
      <c r="C6324" s="564" t="s">
        <v>6860</v>
      </c>
      <c r="D6324" s="565">
        <v>38753</v>
      </c>
      <c r="E6324" s="565">
        <v>38776</v>
      </c>
      <c r="F6324" s="567"/>
      <c r="G6324" s="564" t="s">
        <v>1116</v>
      </c>
      <c r="H6324" s="564"/>
      <c r="I6324" s="564" t="s">
        <v>13707</v>
      </c>
      <c r="J6324" s="564" t="s">
        <v>1069</v>
      </c>
      <c r="K6324" s="564" t="s">
        <v>1209</v>
      </c>
      <c r="L6324" s="564" t="s">
        <v>1390</v>
      </c>
      <c r="M6324" s="564" t="s">
        <v>1390</v>
      </c>
      <c r="N6324" s="564" t="s">
        <v>1082</v>
      </c>
      <c r="O6324" s="564" t="s">
        <v>38</v>
      </c>
      <c r="P6324" s="23"/>
      <c r="Q6324" s="23"/>
      <c r="R6324" s="23"/>
      <c r="S6324" s="23"/>
      <c r="T6324" s="23"/>
      <c r="U6324" s="23"/>
      <c r="V6324" s="23"/>
      <c r="W6324" s="23"/>
      <c r="X6324" s="23"/>
      <c r="Y6324" s="23"/>
      <c r="Z6324" s="23"/>
    </row>
    <row r="6325" spans="1:26" ht="13">
      <c r="A6325" s="562" t="s">
        <v>13708</v>
      </c>
      <c r="B6325" s="563" t="s">
        <v>13709</v>
      </c>
      <c r="C6325" s="564" t="s">
        <v>2484</v>
      </c>
      <c r="D6325" s="565">
        <v>38839</v>
      </c>
      <c r="E6325" s="565">
        <v>39018</v>
      </c>
      <c r="F6325" s="567"/>
      <c r="G6325" s="564" t="s">
        <v>12084</v>
      </c>
      <c r="H6325" s="564"/>
      <c r="I6325" s="564" t="s">
        <v>13710</v>
      </c>
      <c r="J6325" s="564" t="s">
        <v>1069</v>
      </c>
      <c r="K6325" s="564" t="s">
        <v>2466</v>
      </c>
      <c r="L6325" s="564" t="s">
        <v>2467</v>
      </c>
      <c r="M6325" s="564" t="s">
        <v>2466</v>
      </c>
      <c r="N6325" s="564" t="s">
        <v>2543</v>
      </c>
      <c r="O6325" s="564" t="s">
        <v>12077</v>
      </c>
      <c r="P6325" s="23"/>
      <c r="Q6325" s="23"/>
      <c r="R6325" s="23"/>
      <c r="S6325" s="23"/>
      <c r="T6325" s="23"/>
      <c r="U6325" s="23"/>
      <c r="V6325" s="23"/>
      <c r="W6325" s="23"/>
      <c r="X6325" s="23"/>
      <c r="Y6325" s="23"/>
      <c r="Z6325" s="23"/>
    </row>
    <row r="6326" spans="1:26" ht="13">
      <c r="A6326" s="562" t="s">
        <v>13711</v>
      </c>
      <c r="B6326" s="563" t="s">
        <v>13712</v>
      </c>
      <c r="C6326" s="564" t="s">
        <v>2484</v>
      </c>
      <c r="D6326" s="565">
        <v>38839</v>
      </c>
      <c r="E6326" s="565">
        <v>38988</v>
      </c>
      <c r="F6326" s="567"/>
      <c r="G6326" s="564" t="s">
        <v>12075</v>
      </c>
      <c r="H6326" s="564"/>
      <c r="I6326" s="564" t="s">
        <v>12081</v>
      </c>
      <c r="J6326" s="564" t="s">
        <v>1069</v>
      </c>
      <c r="K6326" s="564" t="s">
        <v>2466</v>
      </c>
      <c r="L6326" s="564" t="s">
        <v>2467</v>
      </c>
      <c r="M6326" s="564" t="s">
        <v>2466</v>
      </c>
      <c r="N6326" s="564" t="s">
        <v>2439</v>
      </c>
      <c r="O6326" s="564" t="s">
        <v>12077</v>
      </c>
      <c r="P6326" s="23"/>
      <c r="Q6326" s="23"/>
      <c r="R6326" s="23"/>
      <c r="S6326" s="23"/>
      <c r="T6326" s="23"/>
      <c r="U6326" s="23"/>
      <c r="V6326" s="23"/>
      <c r="W6326" s="23"/>
      <c r="X6326" s="23"/>
      <c r="Y6326" s="23"/>
      <c r="Z6326" s="23"/>
    </row>
    <row r="6327" spans="1:26" ht="13">
      <c r="A6327" s="562" t="s">
        <v>13713</v>
      </c>
      <c r="B6327" s="563" t="s">
        <v>13714</v>
      </c>
      <c r="C6327" s="564" t="s">
        <v>1612</v>
      </c>
      <c r="D6327" s="565">
        <v>38854</v>
      </c>
      <c r="E6327" s="565">
        <v>38944</v>
      </c>
      <c r="F6327" s="566">
        <v>112500000</v>
      </c>
      <c r="G6327" s="564" t="s">
        <v>1128</v>
      </c>
      <c r="H6327" s="564"/>
      <c r="I6327" s="564" t="s">
        <v>45</v>
      </c>
      <c r="J6327" s="564" t="s">
        <v>1069</v>
      </c>
      <c r="K6327" s="564" t="s">
        <v>1090</v>
      </c>
      <c r="L6327" s="564" t="s">
        <v>1390</v>
      </c>
      <c r="M6327" s="564" t="s">
        <v>1390</v>
      </c>
      <c r="N6327" s="564" t="s">
        <v>45</v>
      </c>
      <c r="O6327" s="564" t="s">
        <v>38</v>
      </c>
      <c r="P6327" s="23"/>
      <c r="Q6327" s="23"/>
      <c r="R6327" s="23"/>
      <c r="S6327" s="23"/>
      <c r="T6327" s="23"/>
      <c r="U6327" s="23"/>
      <c r="V6327" s="23"/>
      <c r="W6327" s="23"/>
      <c r="X6327" s="23"/>
      <c r="Y6327" s="23"/>
      <c r="Z6327" s="23"/>
    </row>
    <row r="6328" spans="1:26" ht="13">
      <c r="A6328" s="562" t="s">
        <v>13715</v>
      </c>
      <c r="B6328" s="563" t="s">
        <v>13716</v>
      </c>
      <c r="C6328" s="564" t="s">
        <v>1873</v>
      </c>
      <c r="D6328" s="565">
        <v>38756</v>
      </c>
      <c r="E6328" s="565">
        <v>38814</v>
      </c>
      <c r="F6328" s="566">
        <v>13000000</v>
      </c>
      <c r="G6328" s="564" t="s">
        <v>8532</v>
      </c>
      <c r="H6328" s="564"/>
      <c r="I6328" s="564" t="s">
        <v>170</v>
      </c>
      <c r="J6328" s="564" t="s">
        <v>1069</v>
      </c>
      <c r="K6328" s="564" t="s">
        <v>1105</v>
      </c>
      <c r="L6328" s="564" t="s">
        <v>1390</v>
      </c>
      <c r="M6328" s="564" t="s">
        <v>1390</v>
      </c>
      <c r="N6328" s="564" t="s">
        <v>170</v>
      </c>
      <c r="O6328" s="564" t="s">
        <v>38</v>
      </c>
      <c r="P6328" s="23"/>
      <c r="Q6328" s="23"/>
      <c r="R6328" s="23"/>
      <c r="S6328" s="23"/>
      <c r="T6328" s="23"/>
      <c r="U6328" s="23"/>
      <c r="V6328" s="23"/>
      <c r="W6328" s="23"/>
      <c r="X6328" s="23"/>
      <c r="Y6328" s="23"/>
      <c r="Z6328" s="23"/>
    </row>
    <row r="6329" spans="1:26" ht="13">
      <c r="A6329" s="562" t="s">
        <v>13717</v>
      </c>
      <c r="B6329" s="563" t="s">
        <v>13718</v>
      </c>
      <c r="C6329" s="564" t="s">
        <v>2484</v>
      </c>
      <c r="D6329" s="565">
        <v>38845</v>
      </c>
      <c r="E6329" s="565">
        <v>38997</v>
      </c>
      <c r="F6329" s="567"/>
      <c r="G6329" s="564" t="s">
        <v>12075</v>
      </c>
      <c r="H6329" s="564"/>
      <c r="I6329" s="564" t="s">
        <v>13719</v>
      </c>
      <c r="J6329" s="564" t="s">
        <v>1069</v>
      </c>
      <c r="K6329" s="564" t="s">
        <v>2466</v>
      </c>
      <c r="L6329" s="564" t="s">
        <v>2467</v>
      </c>
      <c r="M6329" s="564" t="s">
        <v>2466</v>
      </c>
      <c r="N6329" s="564" t="s">
        <v>2439</v>
      </c>
      <c r="O6329" s="564" t="s">
        <v>12077</v>
      </c>
      <c r="P6329" s="23"/>
      <c r="Q6329" s="23"/>
      <c r="R6329" s="23"/>
      <c r="S6329" s="23"/>
      <c r="T6329" s="23"/>
      <c r="U6329" s="23"/>
      <c r="V6329" s="23"/>
      <c r="W6329" s="23"/>
      <c r="X6329" s="23"/>
      <c r="Y6329" s="23"/>
      <c r="Z6329" s="23"/>
    </row>
    <row r="6330" spans="1:26" ht="13">
      <c r="A6330" s="562" t="s">
        <v>13720</v>
      </c>
      <c r="B6330" s="563" t="s">
        <v>13721</v>
      </c>
      <c r="C6330" s="564" t="s">
        <v>2484</v>
      </c>
      <c r="D6330" s="565">
        <v>38833</v>
      </c>
      <c r="E6330" s="565">
        <v>38922</v>
      </c>
      <c r="F6330" s="567"/>
      <c r="G6330" s="564" t="s">
        <v>13339</v>
      </c>
      <c r="H6330" s="564"/>
      <c r="I6330" s="564" t="s">
        <v>13722</v>
      </c>
      <c r="J6330" s="564" t="s">
        <v>1069</v>
      </c>
      <c r="K6330" s="564" t="s">
        <v>2466</v>
      </c>
      <c r="L6330" s="564" t="s">
        <v>2467</v>
      </c>
      <c r="M6330" s="564" t="s">
        <v>2466</v>
      </c>
      <c r="N6330" s="564" t="s">
        <v>2325</v>
      </c>
      <c r="O6330" s="564" t="s">
        <v>12077</v>
      </c>
      <c r="P6330" s="23"/>
      <c r="Q6330" s="23"/>
      <c r="R6330" s="23"/>
      <c r="S6330" s="23"/>
      <c r="T6330" s="23"/>
      <c r="U6330" s="23"/>
      <c r="V6330" s="23"/>
      <c r="W6330" s="23"/>
      <c r="X6330" s="23"/>
      <c r="Y6330" s="23"/>
      <c r="Z6330" s="23"/>
    </row>
    <row r="6331" spans="1:26" ht="13">
      <c r="A6331" s="562" t="s">
        <v>13723</v>
      </c>
      <c r="B6331" s="563" t="s">
        <v>13724</v>
      </c>
      <c r="C6331" s="564" t="s">
        <v>1612</v>
      </c>
      <c r="D6331" s="565">
        <v>38718</v>
      </c>
      <c r="E6331" s="565">
        <v>39447</v>
      </c>
      <c r="F6331" s="566">
        <v>317088000</v>
      </c>
      <c r="G6331" s="564" t="s">
        <v>2154</v>
      </c>
      <c r="H6331" s="564" t="s">
        <v>2154</v>
      </c>
      <c r="I6331" s="564" t="s">
        <v>802</v>
      </c>
      <c r="J6331" s="564" t="s">
        <v>1069</v>
      </c>
      <c r="K6331" s="564" t="s">
        <v>1198</v>
      </c>
      <c r="L6331" s="564" t="s">
        <v>1071</v>
      </c>
      <c r="M6331" s="564" t="s">
        <v>1091</v>
      </c>
      <c r="N6331" s="564" t="s">
        <v>132</v>
      </c>
      <c r="O6331" s="564" t="s">
        <v>241</v>
      </c>
      <c r="P6331" s="23"/>
      <c r="Q6331" s="23"/>
      <c r="R6331" s="23"/>
      <c r="S6331" s="23"/>
      <c r="T6331" s="23"/>
      <c r="U6331" s="23"/>
      <c r="V6331" s="23"/>
      <c r="W6331" s="23"/>
      <c r="X6331" s="23"/>
      <c r="Y6331" s="23"/>
      <c r="Z6331" s="23"/>
    </row>
    <row r="6332" spans="1:26" ht="13">
      <c r="A6332" s="562" t="s">
        <v>13725</v>
      </c>
      <c r="B6332" s="563" t="s">
        <v>13726</v>
      </c>
      <c r="C6332" s="564" t="s">
        <v>1612</v>
      </c>
      <c r="D6332" s="565">
        <v>38810</v>
      </c>
      <c r="E6332" s="565">
        <v>38847</v>
      </c>
      <c r="F6332" s="567"/>
      <c r="G6332" s="564" t="s">
        <v>1116</v>
      </c>
      <c r="H6332" s="564"/>
      <c r="I6332" s="564" t="s">
        <v>45</v>
      </c>
      <c r="J6332" s="564" t="s">
        <v>1069</v>
      </c>
      <c r="K6332" s="564" t="s">
        <v>1090</v>
      </c>
      <c r="L6332" s="564" t="s">
        <v>1390</v>
      </c>
      <c r="M6332" s="564" t="s">
        <v>1390</v>
      </c>
      <c r="N6332" s="564" t="s">
        <v>45</v>
      </c>
      <c r="O6332" s="564" t="s">
        <v>38</v>
      </c>
      <c r="P6332" s="23"/>
      <c r="Q6332" s="23"/>
      <c r="R6332" s="23"/>
      <c r="S6332" s="23"/>
      <c r="T6332" s="23"/>
      <c r="U6332" s="23"/>
      <c r="V6332" s="23"/>
      <c r="W6332" s="23"/>
      <c r="X6332" s="23"/>
      <c r="Y6332" s="23"/>
      <c r="Z6332" s="23"/>
    </row>
    <row r="6333" spans="1:26" ht="13">
      <c r="A6333" s="562" t="s">
        <v>13727</v>
      </c>
      <c r="B6333" s="563" t="s">
        <v>13728</v>
      </c>
      <c r="C6333" s="564" t="s">
        <v>2191</v>
      </c>
      <c r="D6333" s="565">
        <v>38808</v>
      </c>
      <c r="E6333" s="565">
        <v>40390</v>
      </c>
      <c r="F6333" s="566">
        <v>709896000</v>
      </c>
      <c r="G6333" s="564" t="s">
        <v>1912</v>
      </c>
      <c r="H6333" s="564" t="s">
        <v>1912</v>
      </c>
      <c r="I6333" s="564" t="s">
        <v>8659</v>
      </c>
      <c r="J6333" s="564" t="s">
        <v>1069</v>
      </c>
      <c r="K6333" s="564" t="s">
        <v>1205</v>
      </c>
      <c r="L6333" s="564" t="s">
        <v>1390</v>
      </c>
      <c r="M6333" s="564" t="s">
        <v>1390</v>
      </c>
      <c r="N6333" s="564" t="s">
        <v>1073</v>
      </c>
      <c r="O6333" s="564" t="s">
        <v>38</v>
      </c>
      <c r="P6333" s="23"/>
      <c r="Q6333" s="23"/>
      <c r="R6333" s="23"/>
      <c r="S6333" s="23"/>
      <c r="T6333" s="23"/>
      <c r="U6333" s="23"/>
      <c r="V6333" s="23"/>
      <c r="W6333" s="23"/>
      <c r="X6333" s="23"/>
      <c r="Y6333" s="23"/>
      <c r="Z6333" s="23"/>
    </row>
    <row r="6334" spans="1:26" ht="13">
      <c r="A6334" s="562" t="s">
        <v>13729</v>
      </c>
      <c r="B6334" s="563" t="s">
        <v>13730</v>
      </c>
      <c r="C6334" s="564" t="s">
        <v>6860</v>
      </c>
      <c r="D6334" s="565">
        <v>38869</v>
      </c>
      <c r="E6334" s="565">
        <v>38898</v>
      </c>
      <c r="F6334" s="566">
        <v>36400000</v>
      </c>
      <c r="G6334" s="564" t="s">
        <v>1128</v>
      </c>
      <c r="H6334" s="564"/>
      <c r="I6334" s="564" t="s">
        <v>13731</v>
      </c>
      <c r="J6334" s="564" t="s">
        <v>1069</v>
      </c>
      <c r="K6334" s="564" t="s">
        <v>1070</v>
      </c>
      <c r="L6334" s="564" t="s">
        <v>1390</v>
      </c>
      <c r="M6334" s="564" t="s">
        <v>1390</v>
      </c>
      <c r="N6334" s="564" t="s">
        <v>1082</v>
      </c>
      <c r="O6334" s="564" t="s">
        <v>38</v>
      </c>
      <c r="P6334" s="23"/>
      <c r="Q6334" s="23"/>
      <c r="R6334" s="23"/>
      <c r="S6334" s="23"/>
      <c r="T6334" s="23"/>
      <c r="U6334" s="23"/>
      <c r="V6334" s="23"/>
      <c r="W6334" s="23"/>
      <c r="X6334" s="23"/>
      <c r="Y6334" s="23"/>
      <c r="Z6334" s="23"/>
    </row>
    <row r="6335" spans="1:26" ht="13">
      <c r="A6335" s="562" t="s">
        <v>13732</v>
      </c>
      <c r="B6335" s="563" t="s">
        <v>13733</v>
      </c>
      <c r="C6335" s="564" t="s">
        <v>2484</v>
      </c>
      <c r="D6335" s="565">
        <v>38835</v>
      </c>
      <c r="E6335" s="565">
        <v>39073</v>
      </c>
      <c r="F6335" s="566">
        <v>277709091</v>
      </c>
      <c r="G6335" s="564" t="s">
        <v>12075</v>
      </c>
      <c r="H6335" s="564"/>
      <c r="I6335" s="564" t="s">
        <v>13167</v>
      </c>
      <c r="J6335" s="564" t="s">
        <v>1069</v>
      </c>
      <c r="K6335" s="564" t="s">
        <v>2466</v>
      </c>
      <c r="L6335" s="564" t="s">
        <v>2467</v>
      </c>
      <c r="M6335" s="564" t="s">
        <v>2466</v>
      </c>
      <c r="N6335" s="564" t="s">
        <v>2543</v>
      </c>
      <c r="O6335" s="564" t="s">
        <v>12077</v>
      </c>
      <c r="P6335" s="23"/>
      <c r="Q6335" s="23"/>
      <c r="R6335" s="23"/>
      <c r="S6335" s="23"/>
      <c r="T6335" s="23"/>
      <c r="U6335" s="23"/>
      <c r="V6335" s="23"/>
      <c r="W6335" s="23"/>
      <c r="X6335" s="23"/>
      <c r="Y6335" s="23"/>
      <c r="Z6335" s="23"/>
    </row>
    <row r="6336" spans="1:26" ht="13">
      <c r="A6336" s="562" t="s">
        <v>13734</v>
      </c>
      <c r="B6336" s="563" t="s">
        <v>13735</v>
      </c>
      <c r="C6336" s="564" t="s">
        <v>2191</v>
      </c>
      <c r="D6336" s="565">
        <v>38718</v>
      </c>
      <c r="E6336" s="565">
        <v>38719</v>
      </c>
      <c r="F6336" s="567"/>
      <c r="G6336" s="564" t="s">
        <v>2508</v>
      </c>
      <c r="H6336" s="564"/>
      <c r="I6336" s="564" t="s">
        <v>13736</v>
      </c>
      <c r="J6336" s="564" t="s">
        <v>1069</v>
      </c>
      <c r="K6336" s="564" t="s">
        <v>1070</v>
      </c>
      <c r="L6336" s="564" t="s">
        <v>1390</v>
      </c>
      <c r="M6336" s="564" t="s">
        <v>1390</v>
      </c>
      <c r="N6336" s="564" t="s">
        <v>1082</v>
      </c>
      <c r="O6336" s="564" t="s">
        <v>38</v>
      </c>
      <c r="P6336" s="23"/>
      <c r="Q6336" s="23"/>
      <c r="R6336" s="23"/>
      <c r="S6336" s="23"/>
      <c r="T6336" s="23"/>
      <c r="U6336" s="23"/>
      <c r="V6336" s="23"/>
      <c r="W6336" s="23"/>
      <c r="X6336" s="23"/>
      <c r="Y6336" s="23"/>
      <c r="Z6336" s="23"/>
    </row>
    <row r="6337" spans="1:26" ht="13">
      <c r="A6337" s="562" t="s">
        <v>13737</v>
      </c>
      <c r="B6337" s="563" t="s">
        <v>13738</v>
      </c>
      <c r="C6337" s="564" t="s">
        <v>1612</v>
      </c>
      <c r="D6337" s="565">
        <v>38749</v>
      </c>
      <c r="E6337" s="565">
        <v>38898</v>
      </c>
      <c r="F6337" s="566">
        <v>105000000</v>
      </c>
      <c r="G6337" s="564" t="s">
        <v>1128</v>
      </c>
      <c r="H6337" s="564"/>
      <c r="I6337" s="564" t="s">
        <v>70</v>
      </c>
      <c r="J6337" s="564" t="s">
        <v>1069</v>
      </c>
      <c r="K6337" s="564" t="s">
        <v>1120</v>
      </c>
      <c r="L6337" s="564" t="s">
        <v>1390</v>
      </c>
      <c r="M6337" s="564" t="s">
        <v>1390</v>
      </c>
      <c r="N6337" s="564" t="s">
        <v>70</v>
      </c>
      <c r="O6337" s="564" t="s">
        <v>38</v>
      </c>
      <c r="P6337" s="23"/>
      <c r="Q6337" s="23"/>
      <c r="R6337" s="23"/>
      <c r="S6337" s="23"/>
      <c r="T6337" s="23"/>
      <c r="U6337" s="23"/>
      <c r="V6337" s="23"/>
      <c r="W6337" s="23"/>
      <c r="X6337" s="23"/>
      <c r="Y6337" s="23"/>
      <c r="Z6337" s="23"/>
    </row>
    <row r="6338" spans="1:26" ht="13">
      <c r="A6338" s="562" t="s">
        <v>13739</v>
      </c>
      <c r="B6338" s="563" t="s">
        <v>13740</v>
      </c>
      <c r="C6338" s="564" t="s">
        <v>2484</v>
      </c>
      <c r="D6338" s="565">
        <v>38869</v>
      </c>
      <c r="E6338" s="565">
        <v>39082</v>
      </c>
      <c r="F6338" s="567"/>
      <c r="G6338" s="564" t="s">
        <v>2536</v>
      </c>
      <c r="H6338" s="564"/>
      <c r="I6338" s="564" t="s">
        <v>2311</v>
      </c>
      <c r="J6338" s="564" t="s">
        <v>1069</v>
      </c>
      <c r="K6338" s="564" t="s">
        <v>2466</v>
      </c>
      <c r="L6338" s="564" t="s">
        <v>2467</v>
      </c>
      <c r="M6338" s="564" t="s">
        <v>2466</v>
      </c>
      <c r="N6338" s="564" t="s">
        <v>1073</v>
      </c>
      <c r="O6338" s="564" t="s">
        <v>12077</v>
      </c>
      <c r="P6338" s="23"/>
      <c r="Q6338" s="23"/>
      <c r="R6338" s="23"/>
      <c r="S6338" s="23"/>
      <c r="T6338" s="23"/>
      <c r="U6338" s="23"/>
      <c r="V6338" s="23"/>
      <c r="W6338" s="23"/>
      <c r="X6338" s="23"/>
      <c r="Y6338" s="23"/>
      <c r="Z6338" s="23"/>
    </row>
    <row r="6339" spans="1:26" ht="13">
      <c r="A6339" s="562" t="s">
        <v>13741</v>
      </c>
      <c r="B6339" s="563" t="s">
        <v>13742</v>
      </c>
      <c r="C6339" s="564" t="s">
        <v>2484</v>
      </c>
      <c r="D6339" s="565">
        <v>38852</v>
      </c>
      <c r="E6339" s="565">
        <v>39021</v>
      </c>
      <c r="F6339" s="567"/>
      <c r="G6339" s="564" t="s">
        <v>2536</v>
      </c>
      <c r="H6339" s="564"/>
      <c r="I6339" s="564" t="s">
        <v>2311</v>
      </c>
      <c r="J6339" s="564" t="s">
        <v>1069</v>
      </c>
      <c r="K6339" s="564" t="s">
        <v>2466</v>
      </c>
      <c r="L6339" s="564" t="s">
        <v>2467</v>
      </c>
      <c r="M6339" s="564" t="s">
        <v>2466</v>
      </c>
      <c r="N6339" s="564" t="s">
        <v>1073</v>
      </c>
      <c r="O6339" s="564" t="s">
        <v>12077</v>
      </c>
      <c r="P6339" s="23"/>
      <c r="Q6339" s="23"/>
      <c r="R6339" s="23"/>
      <c r="S6339" s="23"/>
      <c r="T6339" s="23"/>
      <c r="U6339" s="23"/>
      <c r="V6339" s="23"/>
      <c r="W6339" s="23"/>
      <c r="X6339" s="23"/>
      <c r="Y6339" s="23"/>
      <c r="Z6339" s="23"/>
    </row>
    <row r="6340" spans="1:26" ht="13">
      <c r="A6340" s="562" t="s">
        <v>13743</v>
      </c>
      <c r="B6340" s="563" t="s">
        <v>13744</v>
      </c>
      <c r="C6340" s="564" t="s">
        <v>2484</v>
      </c>
      <c r="D6340" s="565">
        <v>38504</v>
      </c>
      <c r="E6340" s="565">
        <v>38717</v>
      </c>
      <c r="F6340" s="567"/>
      <c r="G6340" s="564" t="s">
        <v>2571</v>
      </c>
      <c r="H6340" s="564"/>
      <c r="I6340" s="564" t="s">
        <v>2311</v>
      </c>
      <c r="J6340" s="564" t="s">
        <v>1069</v>
      </c>
      <c r="K6340" s="564" t="s">
        <v>2466</v>
      </c>
      <c r="L6340" s="564" t="s">
        <v>2467</v>
      </c>
      <c r="M6340" s="564" t="s">
        <v>2466</v>
      </c>
      <c r="N6340" s="564" t="s">
        <v>1073</v>
      </c>
      <c r="O6340" s="564" t="s">
        <v>12077</v>
      </c>
      <c r="P6340" s="23"/>
      <c r="Q6340" s="23"/>
      <c r="R6340" s="23"/>
      <c r="S6340" s="23"/>
      <c r="T6340" s="23"/>
      <c r="U6340" s="23"/>
      <c r="V6340" s="23"/>
      <c r="W6340" s="23"/>
      <c r="X6340" s="23"/>
      <c r="Y6340" s="23"/>
      <c r="Z6340" s="23"/>
    </row>
    <row r="6341" spans="1:26" ht="13">
      <c r="A6341" s="562" t="s">
        <v>13745</v>
      </c>
      <c r="B6341" s="563" t="s">
        <v>13746</v>
      </c>
      <c r="C6341" s="564" t="s">
        <v>1612</v>
      </c>
      <c r="D6341" s="565">
        <v>38626</v>
      </c>
      <c r="E6341" s="565">
        <v>39721</v>
      </c>
      <c r="F6341" s="566">
        <v>27900000</v>
      </c>
      <c r="G6341" s="564" t="s">
        <v>2458</v>
      </c>
      <c r="H6341" s="564" t="s">
        <v>297</v>
      </c>
      <c r="I6341" s="564" t="s">
        <v>45</v>
      </c>
      <c r="J6341" s="564" t="s">
        <v>1069</v>
      </c>
      <c r="K6341" s="564" t="s">
        <v>1090</v>
      </c>
      <c r="L6341" s="564" t="s">
        <v>1071</v>
      </c>
      <c r="M6341" s="564" t="s">
        <v>1091</v>
      </c>
      <c r="N6341" s="564" t="s">
        <v>45</v>
      </c>
      <c r="O6341" s="564" t="s">
        <v>241</v>
      </c>
      <c r="P6341" s="23"/>
      <c r="Q6341" s="23"/>
      <c r="R6341" s="23"/>
      <c r="S6341" s="23"/>
      <c r="T6341" s="23"/>
      <c r="U6341" s="23"/>
      <c r="V6341" s="23"/>
      <c r="W6341" s="23"/>
      <c r="X6341" s="23"/>
      <c r="Y6341" s="23"/>
      <c r="Z6341" s="23"/>
    </row>
    <row r="6342" spans="1:26" ht="13">
      <c r="A6342" s="562" t="s">
        <v>13747</v>
      </c>
      <c r="B6342" s="563" t="s">
        <v>13748</v>
      </c>
      <c r="C6342" s="564" t="s">
        <v>2484</v>
      </c>
      <c r="D6342" s="565">
        <v>38502</v>
      </c>
      <c r="E6342" s="565">
        <v>38897</v>
      </c>
      <c r="F6342" s="567"/>
      <c r="G6342" s="564" t="s">
        <v>2536</v>
      </c>
      <c r="H6342" s="564"/>
      <c r="I6342" s="564" t="s">
        <v>2438</v>
      </c>
      <c r="J6342" s="564" t="s">
        <v>1069</v>
      </c>
      <c r="K6342" s="564" t="s">
        <v>2466</v>
      </c>
      <c r="L6342" s="564" t="s">
        <v>2467</v>
      </c>
      <c r="M6342" s="564" t="s">
        <v>2466</v>
      </c>
      <c r="N6342" s="564" t="s">
        <v>2439</v>
      </c>
      <c r="O6342" s="564" t="s">
        <v>12077</v>
      </c>
      <c r="P6342" s="23"/>
      <c r="Q6342" s="23"/>
      <c r="R6342" s="23"/>
      <c r="S6342" s="23"/>
      <c r="T6342" s="23"/>
      <c r="U6342" s="23"/>
      <c r="V6342" s="23"/>
      <c r="W6342" s="23"/>
      <c r="X6342" s="23"/>
      <c r="Y6342" s="23"/>
      <c r="Z6342" s="23"/>
    </row>
    <row r="6343" spans="1:26" ht="13">
      <c r="A6343" s="562" t="s">
        <v>13749</v>
      </c>
      <c r="B6343" s="563" t="s">
        <v>13750</v>
      </c>
      <c r="C6343" s="564" t="s">
        <v>1255</v>
      </c>
      <c r="D6343" s="565">
        <v>38716</v>
      </c>
      <c r="E6343" s="565">
        <v>39080</v>
      </c>
      <c r="F6343" s="566">
        <v>163600000</v>
      </c>
      <c r="G6343" s="564" t="s">
        <v>1912</v>
      </c>
      <c r="H6343" s="564" t="s">
        <v>2558</v>
      </c>
      <c r="I6343" s="564" t="s">
        <v>143</v>
      </c>
      <c r="J6343" s="564" t="s">
        <v>1069</v>
      </c>
      <c r="K6343" s="564" t="s">
        <v>1205</v>
      </c>
      <c r="L6343" s="564" t="s">
        <v>1071</v>
      </c>
      <c r="M6343" s="564" t="s">
        <v>1091</v>
      </c>
      <c r="N6343" s="564" t="s">
        <v>1073</v>
      </c>
      <c r="O6343" s="564" t="s">
        <v>241</v>
      </c>
      <c r="P6343" s="23"/>
      <c r="Q6343" s="23"/>
      <c r="R6343" s="23"/>
      <c r="S6343" s="23"/>
      <c r="T6343" s="23"/>
      <c r="U6343" s="23"/>
      <c r="V6343" s="23"/>
      <c r="W6343" s="23"/>
      <c r="X6343" s="23"/>
      <c r="Y6343" s="23"/>
      <c r="Z6343" s="23"/>
    </row>
    <row r="6344" spans="1:26" ht="13">
      <c r="A6344" s="562" t="s">
        <v>13751</v>
      </c>
      <c r="B6344" s="563" t="s">
        <v>13752</v>
      </c>
      <c r="C6344" s="564" t="s">
        <v>2484</v>
      </c>
      <c r="D6344" s="565">
        <v>38686</v>
      </c>
      <c r="E6344" s="565">
        <v>38958</v>
      </c>
      <c r="F6344" s="566">
        <v>38000000</v>
      </c>
      <c r="G6344" s="564" t="s">
        <v>2485</v>
      </c>
      <c r="H6344" s="564"/>
      <c r="I6344" s="564" t="s">
        <v>13753</v>
      </c>
      <c r="J6344" s="564" t="s">
        <v>1069</v>
      </c>
      <c r="K6344" s="564" t="s">
        <v>2466</v>
      </c>
      <c r="L6344" s="564" t="s">
        <v>2467</v>
      </c>
      <c r="M6344" s="564" t="s">
        <v>2466</v>
      </c>
      <c r="N6344" s="564" t="s">
        <v>1082</v>
      </c>
      <c r="O6344" s="564" t="s">
        <v>12077</v>
      </c>
      <c r="P6344" s="23"/>
      <c r="Q6344" s="23"/>
      <c r="R6344" s="23"/>
      <c r="S6344" s="23"/>
      <c r="T6344" s="23"/>
      <c r="U6344" s="23"/>
      <c r="V6344" s="23"/>
      <c r="W6344" s="23"/>
      <c r="X6344" s="23"/>
      <c r="Y6344" s="23"/>
      <c r="Z6344" s="23"/>
    </row>
    <row r="6345" spans="1:26" ht="13">
      <c r="A6345" s="562" t="s">
        <v>13754</v>
      </c>
      <c r="B6345" s="563" t="s">
        <v>13755</v>
      </c>
      <c r="C6345" s="564" t="s">
        <v>1612</v>
      </c>
      <c r="D6345" s="565">
        <v>38626</v>
      </c>
      <c r="E6345" s="565">
        <v>39721</v>
      </c>
      <c r="F6345" s="566">
        <v>69300000</v>
      </c>
      <c r="G6345" s="564" t="s">
        <v>1856</v>
      </c>
      <c r="H6345" s="564" t="s">
        <v>1856</v>
      </c>
      <c r="I6345" s="564" t="s">
        <v>70</v>
      </c>
      <c r="J6345" s="564" t="s">
        <v>1069</v>
      </c>
      <c r="K6345" s="564" t="s">
        <v>1120</v>
      </c>
      <c r="L6345" s="564" t="s">
        <v>1071</v>
      </c>
      <c r="M6345" s="564" t="s">
        <v>1091</v>
      </c>
      <c r="N6345" s="564" t="s">
        <v>70</v>
      </c>
      <c r="O6345" s="564" t="s">
        <v>241</v>
      </c>
      <c r="P6345" s="23"/>
      <c r="Q6345" s="23"/>
      <c r="R6345" s="23"/>
      <c r="S6345" s="23"/>
      <c r="T6345" s="23"/>
      <c r="U6345" s="23"/>
      <c r="V6345" s="23"/>
      <c r="W6345" s="23"/>
      <c r="X6345" s="23"/>
      <c r="Y6345" s="23"/>
      <c r="Z6345" s="23"/>
    </row>
    <row r="6346" spans="1:26" ht="13">
      <c r="A6346" s="562" t="s">
        <v>13756</v>
      </c>
      <c r="B6346" s="563" t="s">
        <v>13757</v>
      </c>
      <c r="C6346" s="564" t="s">
        <v>1612</v>
      </c>
      <c r="D6346" s="565">
        <v>38706</v>
      </c>
      <c r="E6346" s="565">
        <v>38767</v>
      </c>
      <c r="F6346" s="566">
        <v>18500000</v>
      </c>
      <c r="G6346" s="564" t="s">
        <v>10562</v>
      </c>
      <c r="H6346" s="564" t="s">
        <v>337</v>
      </c>
      <c r="I6346" s="564" t="s">
        <v>45</v>
      </c>
      <c r="J6346" s="564" t="s">
        <v>1069</v>
      </c>
      <c r="K6346" s="564" t="s">
        <v>1090</v>
      </c>
      <c r="L6346" s="564" t="s">
        <v>1390</v>
      </c>
      <c r="M6346" s="564" t="s">
        <v>1390</v>
      </c>
      <c r="N6346" s="564" t="s">
        <v>45</v>
      </c>
      <c r="O6346" s="564" t="s">
        <v>38</v>
      </c>
      <c r="P6346" s="23"/>
      <c r="Q6346" s="23"/>
      <c r="R6346" s="23"/>
      <c r="S6346" s="23"/>
      <c r="T6346" s="23"/>
      <c r="U6346" s="23"/>
      <c r="V6346" s="23"/>
      <c r="W6346" s="23"/>
      <c r="X6346" s="23"/>
      <c r="Y6346" s="23"/>
      <c r="Z6346" s="23"/>
    </row>
    <row r="6347" spans="1:26" ht="13">
      <c r="A6347" s="562" t="s">
        <v>13758</v>
      </c>
      <c r="B6347" s="563" t="s">
        <v>13759</v>
      </c>
      <c r="C6347" s="564" t="s">
        <v>2484</v>
      </c>
      <c r="D6347" s="565">
        <v>38677</v>
      </c>
      <c r="E6347" s="565">
        <v>39447</v>
      </c>
      <c r="F6347" s="566">
        <v>25621818</v>
      </c>
      <c r="G6347" s="564" t="s">
        <v>12124</v>
      </c>
      <c r="H6347" s="564"/>
      <c r="I6347" s="564" t="s">
        <v>13760</v>
      </c>
      <c r="J6347" s="564" t="s">
        <v>1069</v>
      </c>
      <c r="K6347" s="564" t="s">
        <v>2466</v>
      </c>
      <c r="L6347" s="564" t="s">
        <v>2467</v>
      </c>
      <c r="M6347" s="564" t="s">
        <v>2466</v>
      </c>
      <c r="N6347" s="564" t="s">
        <v>1082</v>
      </c>
      <c r="O6347" s="564" t="s">
        <v>12077</v>
      </c>
      <c r="P6347" s="23"/>
      <c r="Q6347" s="23"/>
      <c r="R6347" s="23"/>
      <c r="S6347" s="23"/>
      <c r="T6347" s="23"/>
      <c r="U6347" s="23"/>
      <c r="V6347" s="23"/>
      <c r="W6347" s="23"/>
      <c r="X6347" s="23"/>
      <c r="Y6347" s="23"/>
      <c r="Z6347" s="23"/>
    </row>
    <row r="6348" spans="1:26" ht="13">
      <c r="A6348" s="562" t="s">
        <v>13761</v>
      </c>
      <c r="B6348" s="563" t="s">
        <v>13762</v>
      </c>
      <c r="C6348" s="564" t="s">
        <v>2191</v>
      </c>
      <c r="D6348" s="565">
        <v>38472</v>
      </c>
      <c r="E6348" s="565">
        <v>38717</v>
      </c>
      <c r="F6348" s="566">
        <v>87000000</v>
      </c>
      <c r="G6348" s="564" t="s">
        <v>1123</v>
      </c>
      <c r="H6348" s="564"/>
      <c r="I6348" s="564" t="s">
        <v>7439</v>
      </c>
      <c r="J6348" s="564" t="s">
        <v>1069</v>
      </c>
      <c r="K6348" s="564" t="s">
        <v>1205</v>
      </c>
      <c r="L6348" s="564" t="s">
        <v>1071</v>
      </c>
      <c r="M6348" s="564" t="s">
        <v>1124</v>
      </c>
      <c r="N6348" s="564" t="s">
        <v>1082</v>
      </c>
      <c r="O6348" s="564" t="s">
        <v>38</v>
      </c>
      <c r="P6348" s="23"/>
      <c r="Q6348" s="23"/>
      <c r="R6348" s="23"/>
      <c r="S6348" s="23"/>
      <c r="T6348" s="23"/>
      <c r="U6348" s="23"/>
      <c r="V6348" s="23"/>
      <c r="W6348" s="23"/>
      <c r="X6348" s="23"/>
      <c r="Y6348" s="23"/>
      <c r="Z6348" s="23"/>
    </row>
    <row r="6349" spans="1:26" ht="13">
      <c r="A6349" s="562" t="s">
        <v>13763</v>
      </c>
      <c r="B6349" s="563" t="s">
        <v>13764</v>
      </c>
      <c r="C6349" s="564" t="s">
        <v>2484</v>
      </c>
      <c r="D6349" s="565">
        <v>38608</v>
      </c>
      <c r="E6349" s="565">
        <v>38971</v>
      </c>
      <c r="F6349" s="567"/>
      <c r="G6349" s="564" t="s">
        <v>2464</v>
      </c>
      <c r="H6349" s="564"/>
      <c r="I6349" s="564" t="s">
        <v>12541</v>
      </c>
      <c r="J6349" s="564" t="s">
        <v>1069</v>
      </c>
      <c r="K6349" s="564" t="s">
        <v>2466</v>
      </c>
      <c r="L6349" s="564" t="s">
        <v>2467</v>
      </c>
      <c r="M6349" s="564" t="s">
        <v>2466</v>
      </c>
      <c r="N6349" s="564" t="s">
        <v>2325</v>
      </c>
      <c r="O6349" s="564" t="s">
        <v>12077</v>
      </c>
      <c r="P6349" s="23"/>
      <c r="Q6349" s="23"/>
      <c r="R6349" s="23"/>
      <c r="S6349" s="23"/>
      <c r="T6349" s="23"/>
      <c r="U6349" s="23"/>
      <c r="V6349" s="23"/>
      <c r="W6349" s="23"/>
      <c r="X6349" s="23"/>
      <c r="Y6349" s="23"/>
      <c r="Z6349" s="23"/>
    </row>
    <row r="6350" spans="1:26" ht="13">
      <c r="A6350" s="562" t="s">
        <v>13765</v>
      </c>
      <c r="B6350" s="563" t="s">
        <v>13766</v>
      </c>
      <c r="C6350" s="564" t="s">
        <v>2484</v>
      </c>
      <c r="D6350" s="565">
        <v>38569</v>
      </c>
      <c r="E6350" s="565">
        <v>38630</v>
      </c>
      <c r="F6350" s="567"/>
      <c r="G6350" s="564" t="s">
        <v>12124</v>
      </c>
      <c r="H6350" s="564"/>
      <c r="I6350" s="564" t="s">
        <v>13767</v>
      </c>
      <c r="J6350" s="564" t="s">
        <v>1069</v>
      </c>
      <c r="K6350" s="564" t="s">
        <v>2466</v>
      </c>
      <c r="L6350" s="564" t="s">
        <v>2467</v>
      </c>
      <c r="M6350" s="564" t="s">
        <v>2466</v>
      </c>
      <c r="N6350" s="564" t="s">
        <v>1082</v>
      </c>
      <c r="O6350" s="564" t="s">
        <v>12077</v>
      </c>
      <c r="P6350" s="23"/>
      <c r="Q6350" s="23"/>
      <c r="R6350" s="23"/>
      <c r="S6350" s="23"/>
      <c r="T6350" s="23"/>
      <c r="U6350" s="23"/>
      <c r="V6350" s="23"/>
      <c r="W6350" s="23"/>
      <c r="X6350" s="23"/>
      <c r="Y6350" s="23"/>
      <c r="Z6350" s="23"/>
    </row>
    <row r="6351" spans="1:26" ht="13">
      <c r="A6351" s="562" t="s">
        <v>13768</v>
      </c>
      <c r="B6351" s="563" t="s">
        <v>13769</v>
      </c>
      <c r="C6351" s="564" t="s">
        <v>2191</v>
      </c>
      <c r="D6351" s="565">
        <v>38961</v>
      </c>
      <c r="E6351" s="565">
        <v>39325</v>
      </c>
      <c r="F6351" s="566">
        <v>28200000</v>
      </c>
      <c r="G6351" s="564" t="s">
        <v>8532</v>
      </c>
      <c r="H6351" s="564" t="s">
        <v>8532</v>
      </c>
      <c r="I6351" s="564" t="s">
        <v>13770</v>
      </c>
      <c r="J6351" s="564" t="s">
        <v>1069</v>
      </c>
      <c r="K6351" s="564" t="s">
        <v>1070</v>
      </c>
      <c r="L6351" s="564" t="s">
        <v>1071</v>
      </c>
      <c r="M6351" s="564" t="s">
        <v>1091</v>
      </c>
      <c r="N6351" s="564" t="s">
        <v>1082</v>
      </c>
      <c r="O6351" s="564" t="s">
        <v>241</v>
      </c>
      <c r="P6351" s="23"/>
      <c r="Q6351" s="23"/>
      <c r="R6351" s="23"/>
      <c r="S6351" s="23"/>
      <c r="T6351" s="23"/>
      <c r="U6351" s="23"/>
      <c r="V6351" s="23"/>
      <c r="W6351" s="23"/>
      <c r="X6351" s="23"/>
      <c r="Y6351" s="23"/>
      <c r="Z6351" s="23"/>
    </row>
    <row r="6352" spans="1:26" ht="13">
      <c r="A6352" s="562" t="s">
        <v>13771</v>
      </c>
      <c r="B6352" s="563" t="s">
        <v>13772</v>
      </c>
      <c r="C6352" s="564" t="s">
        <v>2191</v>
      </c>
      <c r="D6352" s="565">
        <v>38924</v>
      </c>
      <c r="E6352" s="565">
        <v>39654</v>
      </c>
      <c r="F6352" s="566">
        <v>140727272</v>
      </c>
      <c r="G6352" s="564" t="s">
        <v>2458</v>
      </c>
      <c r="H6352" s="564" t="s">
        <v>1912</v>
      </c>
      <c r="I6352" s="564" t="s">
        <v>143</v>
      </c>
      <c r="J6352" s="564" t="s">
        <v>1069</v>
      </c>
      <c r="K6352" s="564" t="s">
        <v>1205</v>
      </c>
      <c r="L6352" s="564" t="s">
        <v>1071</v>
      </c>
      <c r="M6352" s="564" t="s">
        <v>1091</v>
      </c>
      <c r="N6352" s="564" t="s">
        <v>1073</v>
      </c>
      <c r="O6352" s="564" t="s">
        <v>241</v>
      </c>
      <c r="P6352" s="23"/>
      <c r="Q6352" s="23"/>
      <c r="R6352" s="23"/>
      <c r="S6352" s="23"/>
      <c r="T6352" s="23"/>
      <c r="U6352" s="23"/>
      <c r="V6352" s="23"/>
      <c r="W6352" s="23"/>
      <c r="X6352" s="23"/>
      <c r="Y6352" s="23"/>
      <c r="Z6352" s="23"/>
    </row>
    <row r="6353" spans="1:26" ht="13">
      <c r="A6353" s="562" t="s">
        <v>13773</v>
      </c>
      <c r="B6353" s="563" t="s">
        <v>13774</v>
      </c>
      <c r="C6353" s="564" t="s">
        <v>2191</v>
      </c>
      <c r="D6353" s="565">
        <v>38425</v>
      </c>
      <c r="E6353" s="565">
        <v>38547</v>
      </c>
      <c r="F6353" s="567"/>
      <c r="G6353" s="564" t="s">
        <v>13775</v>
      </c>
      <c r="H6353" s="564"/>
      <c r="I6353" s="564" t="s">
        <v>8659</v>
      </c>
      <c r="J6353" s="564" t="s">
        <v>1069</v>
      </c>
      <c r="K6353" s="564" t="s">
        <v>1205</v>
      </c>
      <c r="L6353" s="564" t="s">
        <v>1390</v>
      </c>
      <c r="M6353" s="564" t="s">
        <v>1390</v>
      </c>
      <c r="N6353" s="564" t="s">
        <v>1073</v>
      </c>
      <c r="O6353" s="564" t="s">
        <v>38</v>
      </c>
      <c r="P6353" s="23"/>
      <c r="Q6353" s="23"/>
      <c r="R6353" s="23"/>
      <c r="S6353" s="23"/>
      <c r="T6353" s="23"/>
      <c r="U6353" s="23"/>
      <c r="V6353" s="23"/>
      <c r="W6353" s="23"/>
      <c r="X6353" s="23"/>
      <c r="Y6353" s="23"/>
      <c r="Z6353" s="23"/>
    </row>
    <row r="6354" spans="1:26" ht="13">
      <c r="A6354" s="562" t="s">
        <v>13776</v>
      </c>
      <c r="B6354" s="563" t="s">
        <v>13292</v>
      </c>
      <c r="C6354" s="564" t="s">
        <v>1612</v>
      </c>
      <c r="D6354" s="565">
        <v>38808</v>
      </c>
      <c r="E6354" s="565">
        <v>39538</v>
      </c>
      <c r="F6354" s="566">
        <v>51120000</v>
      </c>
      <c r="G6354" s="564" t="s">
        <v>1912</v>
      </c>
      <c r="H6354" s="564" t="s">
        <v>1116</v>
      </c>
      <c r="I6354" s="564" t="s">
        <v>13299</v>
      </c>
      <c r="J6354" s="564" t="s">
        <v>1069</v>
      </c>
      <c r="K6354" s="564" t="s">
        <v>1070</v>
      </c>
      <c r="L6354" s="564" t="s">
        <v>1071</v>
      </c>
      <c r="M6354" s="564" t="s">
        <v>1091</v>
      </c>
      <c r="N6354" s="564" t="s">
        <v>1073</v>
      </c>
      <c r="O6354" s="564" t="s">
        <v>241</v>
      </c>
      <c r="P6354" s="23"/>
      <c r="Q6354" s="23"/>
      <c r="R6354" s="23"/>
      <c r="S6354" s="23"/>
      <c r="T6354" s="23"/>
      <c r="U6354" s="23"/>
      <c r="V6354" s="23"/>
      <c r="W6354" s="23"/>
      <c r="X6354" s="23"/>
      <c r="Y6354" s="23"/>
      <c r="Z6354" s="23"/>
    </row>
    <row r="6355" spans="1:26" ht="13">
      <c r="A6355" s="562" t="s">
        <v>13777</v>
      </c>
      <c r="B6355" s="563" t="s">
        <v>13778</v>
      </c>
      <c r="C6355" s="564" t="s">
        <v>2191</v>
      </c>
      <c r="D6355" s="565">
        <v>38474</v>
      </c>
      <c r="E6355" s="565">
        <v>38503</v>
      </c>
      <c r="F6355" s="567"/>
      <c r="G6355" s="564" t="s">
        <v>10558</v>
      </c>
      <c r="H6355" s="564"/>
      <c r="I6355" s="564" t="s">
        <v>13779</v>
      </c>
      <c r="J6355" s="564" t="s">
        <v>1069</v>
      </c>
      <c r="K6355" s="564" t="s">
        <v>1205</v>
      </c>
      <c r="L6355" s="564" t="s">
        <v>1071</v>
      </c>
      <c r="M6355" s="564" t="s">
        <v>1124</v>
      </c>
      <c r="N6355" s="564" t="s">
        <v>1368</v>
      </c>
      <c r="O6355" s="564" t="s">
        <v>38</v>
      </c>
      <c r="P6355" s="23"/>
      <c r="Q6355" s="23"/>
      <c r="R6355" s="23"/>
      <c r="S6355" s="23"/>
      <c r="T6355" s="23"/>
      <c r="U6355" s="23"/>
      <c r="V6355" s="23"/>
      <c r="W6355" s="23"/>
      <c r="X6355" s="23"/>
      <c r="Y6355" s="23"/>
      <c r="Z6355" s="23"/>
    </row>
    <row r="6356" spans="1:26" ht="13">
      <c r="A6356" s="562" t="s">
        <v>13780</v>
      </c>
      <c r="B6356" s="563" t="s">
        <v>13781</v>
      </c>
      <c r="C6356" s="564" t="s">
        <v>2191</v>
      </c>
      <c r="D6356" s="565">
        <v>38373</v>
      </c>
      <c r="E6356" s="565">
        <v>38411</v>
      </c>
      <c r="F6356" s="567"/>
      <c r="G6356" s="564" t="s">
        <v>10558</v>
      </c>
      <c r="H6356" s="564"/>
      <c r="I6356" s="564" t="s">
        <v>13782</v>
      </c>
      <c r="J6356" s="564" t="s">
        <v>1069</v>
      </c>
      <c r="K6356" s="564" t="s">
        <v>1070</v>
      </c>
      <c r="L6356" s="564" t="s">
        <v>2098</v>
      </c>
      <c r="M6356" s="564" t="s">
        <v>2098</v>
      </c>
      <c r="N6356" s="564" t="s">
        <v>1082</v>
      </c>
      <c r="O6356" s="564" t="s">
        <v>2099</v>
      </c>
      <c r="P6356" s="23"/>
      <c r="Q6356" s="23"/>
      <c r="R6356" s="23"/>
      <c r="S6356" s="23"/>
      <c r="T6356" s="23"/>
      <c r="U6356" s="23"/>
      <c r="V6356" s="23"/>
      <c r="W6356" s="23"/>
      <c r="X6356" s="23"/>
      <c r="Y6356" s="23"/>
      <c r="Z6356" s="23"/>
    </row>
    <row r="6357" spans="1:26" ht="13">
      <c r="A6357" s="562" t="s">
        <v>13783</v>
      </c>
      <c r="B6357" s="563" t="s">
        <v>13784</v>
      </c>
      <c r="C6357" s="564" t="s">
        <v>1612</v>
      </c>
      <c r="D6357" s="565">
        <v>38491</v>
      </c>
      <c r="E6357" s="565">
        <v>38501</v>
      </c>
      <c r="F6357" s="567"/>
      <c r="G6357" s="564" t="s">
        <v>2558</v>
      </c>
      <c r="H6357" s="564"/>
      <c r="I6357" s="564" t="s">
        <v>257</v>
      </c>
      <c r="J6357" s="564" t="s">
        <v>1069</v>
      </c>
      <c r="K6357" s="564" t="s">
        <v>1209</v>
      </c>
      <c r="L6357" s="564" t="s">
        <v>1071</v>
      </c>
      <c r="M6357" s="564" t="s">
        <v>1124</v>
      </c>
      <c r="N6357" s="564" t="s">
        <v>257</v>
      </c>
      <c r="O6357" s="564" t="s">
        <v>38</v>
      </c>
      <c r="P6357" s="23"/>
      <c r="Q6357" s="23"/>
      <c r="R6357" s="23"/>
      <c r="S6357" s="23"/>
      <c r="T6357" s="23"/>
      <c r="U6357" s="23"/>
      <c r="V6357" s="23"/>
      <c r="W6357" s="23"/>
      <c r="X6357" s="23"/>
      <c r="Y6357" s="23"/>
      <c r="Z6357" s="23"/>
    </row>
    <row r="6358" spans="1:26" ht="13">
      <c r="A6358" s="562" t="s">
        <v>13785</v>
      </c>
      <c r="B6358" s="563" t="s">
        <v>13786</v>
      </c>
      <c r="C6358" s="564" t="s">
        <v>2191</v>
      </c>
      <c r="D6358" s="565">
        <v>38411</v>
      </c>
      <c r="E6358" s="565">
        <v>38413</v>
      </c>
      <c r="F6358" s="567"/>
      <c r="G6358" s="564" t="s">
        <v>2558</v>
      </c>
      <c r="H6358" s="564"/>
      <c r="I6358" s="564" t="s">
        <v>13787</v>
      </c>
      <c r="J6358" s="564" t="s">
        <v>1069</v>
      </c>
      <c r="K6358" s="564" t="s">
        <v>1070</v>
      </c>
      <c r="L6358" s="564" t="s">
        <v>2098</v>
      </c>
      <c r="M6358" s="564" t="s">
        <v>2098</v>
      </c>
      <c r="N6358" s="564" t="s">
        <v>1082</v>
      </c>
      <c r="O6358" s="564" t="s">
        <v>2099</v>
      </c>
      <c r="P6358" s="23"/>
      <c r="Q6358" s="23"/>
      <c r="R6358" s="23"/>
      <c r="S6358" s="23"/>
      <c r="T6358" s="23"/>
      <c r="U6358" s="23"/>
      <c r="V6358" s="23"/>
      <c r="W6358" s="23"/>
      <c r="X6358" s="23"/>
      <c r="Y6358" s="23"/>
      <c r="Z6358" s="23"/>
    </row>
    <row r="6359" spans="1:26" ht="13">
      <c r="A6359" s="562" t="s">
        <v>13788</v>
      </c>
      <c r="B6359" s="563" t="s">
        <v>13789</v>
      </c>
      <c r="C6359" s="564" t="s">
        <v>1255</v>
      </c>
      <c r="D6359" s="565">
        <v>38777</v>
      </c>
      <c r="E6359" s="565">
        <v>39538</v>
      </c>
      <c r="F6359" s="566">
        <v>91636362</v>
      </c>
      <c r="G6359" s="564" t="s">
        <v>1912</v>
      </c>
      <c r="H6359" s="564" t="s">
        <v>2558</v>
      </c>
      <c r="I6359" s="564" t="s">
        <v>8659</v>
      </c>
      <c r="J6359" s="564" t="s">
        <v>1069</v>
      </c>
      <c r="K6359" s="564" t="s">
        <v>1205</v>
      </c>
      <c r="L6359" s="564" t="s">
        <v>1071</v>
      </c>
      <c r="M6359" s="564" t="s">
        <v>1091</v>
      </c>
      <c r="N6359" s="564" t="s">
        <v>1073</v>
      </c>
      <c r="O6359" s="564" t="s">
        <v>241</v>
      </c>
      <c r="P6359" s="23"/>
      <c r="Q6359" s="23"/>
      <c r="R6359" s="23"/>
      <c r="S6359" s="23"/>
      <c r="T6359" s="23"/>
      <c r="U6359" s="23"/>
      <c r="V6359" s="23"/>
      <c r="W6359" s="23"/>
      <c r="X6359" s="23"/>
      <c r="Y6359" s="23"/>
      <c r="Z6359" s="23"/>
    </row>
    <row r="6360" spans="1:26" ht="13">
      <c r="A6360" s="562" t="s">
        <v>13790</v>
      </c>
      <c r="B6360" s="563" t="s">
        <v>13791</v>
      </c>
      <c r="C6360" s="564" t="s">
        <v>1612</v>
      </c>
      <c r="D6360" s="565">
        <v>38353</v>
      </c>
      <c r="E6360" s="565">
        <v>38717</v>
      </c>
      <c r="F6360" s="567"/>
      <c r="G6360" s="564" t="s">
        <v>8532</v>
      </c>
      <c r="H6360" s="564"/>
      <c r="I6360" s="564" t="s">
        <v>170</v>
      </c>
      <c r="J6360" s="564" t="s">
        <v>1069</v>
      </c>
      <c r="K6360" s="564" t="s">
        <v>1105</v>
      </c>
      <c r="L6360" s="564" t="s">
        <v>1071</v>
      </c>
      <c r="M6360" s="564" t="s">
        <v>1091</v>
      </c>
      <c r="N6360" s="564" t="s">
        <v>170</v>
      </c>
      <c r="O6360" s="564" t="s">
        <v>241</v>
      </c>
      <c r="P6360" s="23"/>
      <c r="Q6360" s="23"/>
      <c r="R6360" s="23"/>
      <c r="S6360" s="23"/>
      <c r="T6360" s="23"/>
      <c r="U6360" s="23"/>
      <c r="V6360" s="23"/>
      <c r="W6360" s="23"/>
      <c r="X6360" s="23"/>
      <c r="Y6360" s="23"/>
      <c r="Z6360" s="23"/>
    </row>
    <row r="6361" spans="1:26" ht="13">
      <c r="A6361" s="562" t="s">
        <v>13792</v>
      </c>
      <c r="B6361" s="563" t="s">
        <v>13793</v>
      </c>
      <c r="C6361" s="564" t="s">
        <v>2191</v>
      </c>
      <c r="D6361" s="565">
        <v>38231</v>
      </c>
      <c r="E6361" s="565">
        <v>38564</v>
      </c>
      <c r="F6361" s="567"/>
      <c r="G6361" s="564" t="s">
        <v>2558</v>
      </c>
      <c r="H6361" s="564"/>
      <c r="I6361" s="564" t="s">
        <v>13794</v>
      </c>
      <c r="J6361" s="564" t="s">
        <v>1069</v>
      </c>
      <c r="K6361" s="564" t="s">
        <v>1070</v>
      </c>
      <c r="L6361" s="564" t="s">
        <v>1071</v>
      </c>
      <c r="M6361" s="564" t="s">
        <v>1091</v>
      </c>
      <c r="N6361" s="564" t="s">
        <v>1082</v>
      </c>
      <c r="O6361" s="564" t="s">
        <v>241</v>
      </c>
      <c r="P6361" s="23"/>
      <c r="Q6361" s="23"/>
      <c r="R6361" s="23"/>
      <c r="S6361" s="23"/>
      <c r="T6361" s="23"/>
      <c r="U6361" s="23"/>
      <c r="V6361" s="23"/>
      <c r="W6361" s="23"/>
      <c r="X6361" s="23"/>
      <c r="Y6361" s="23"/>
      <c r="Z6361" s="23"/>
    </row>
    <row r="6362" spans="1:26" ht="13">
      <c r="A6362" s="562" t="s">
        <v>13795</v>
      </c>
      <c r="B6362" s="563" t="s">
        <v>13796</v>
      </c>
      <c r="C6362" s="564" t="s">
        <v>2191</v>
      </c>
      <c r="D6362" s="565">
        <v>38551</v>
      </c>
      <c r="E6362" s="565">
        <v>38793</v>
      </c>
      <c r="F6362" s="566">
        <v>260000000</v>
      </c>
      <c r="G6362" s="564" t="s">
        <v>13797</v>
      </c>
      <c r="H6362" s="564"/>
      <c r="I6362" s="564" t="s">
        <v>13798</v>
      </c>
      <c r="J6362" s="564" t="s">
        <v>1069</v>
      </c>
      <c r="K6362" s="564" t="s">
        <v>1070</v>
      </c>
      <c r="L6362" s="564" t="s">
        <v>1390</v>
      </c>
      <c r="M6362" s="564" t="s">
        <v>1390</v>
      </c>
      <c r="N6362" s="564" t="s">
        <v>1082</v>
      </c>
      <c r="O6362" s="564" t="s">
        <v>38</v>
      </c>
      <c r="P6362" s="23"/>
      <c r="Q6362" s="23"/>
      <c r="R6362" s="23"/>
      <c r="S6362" s="23"/>
      <c r="T6362" s="23"/>
      <c r="U6362" s="23"/>
      <c r="V6362" s="23"/>
      <c r="W6362" s="23"/>
      <c r="X6362" s="23"/>
      <c r="Y6362" s="23"/>
      <c r="Z6362" s="23"/>
    </row>
    <row r="6363" spans="1:26" ht="13">
      <c r="A6363" s="562" t="s">
        <v>13799</v>
      </c>
      <c r="B6363" s="563" t="s">
        <v>13800</v>
      </c>
      <c r="C6363" s="564" t="s">
        <v>2484</v>
      </c>
      <c r="D6363" s="565">
        <v>38478</v>
      </c>
      <c r="E6363" s="565">
        <v>38478</v>
      </c>
      <c r="F6363" s="567"/>
      <c r="G6363" s="564" t="s">
        <v>13339</v>
      </c>
      <c r="H6363" s="564"/>
      <c r="I6363" s="564" t="s">
        <v>13801</v>
      </c>
      <c r="J6363" s="564" t="s">
        <v>1069</v>
      </c>
      <c r="K6363" s="564" t="s">
        <v>2466</v>
      </c>
      <c r="L6363" s="564" t="s">
        <v>2467</v>
      </c>
      <c r="M6363" s="564" t="s">
        <v>2466</v>
      </c>
      <c r="N6363" s="564" t="s">
        <v>1082</v>
      </c>
      <c r="O6363" s="564" t="s">
        <v>12077</v>
      </c>
      <c r="P6363" s="23"/>
      <c r="Q6363" s="23"/>
      <c r="R6363" s="23"/>
      <c r="S6363" s="23"/>
      <c r="T6363" s="23"/>
      <c r="U6363" s="23"/>
      <c r="V6363" s="23"/>
      <c r="W6363" s="23"/>
      <c r="X6363" s="23"/>
      <c r="Y6363" s="23"/>
      <c r="Z6363" s="23"/>
    </row>
    <row r="6364" spans="1:26" ht="13">
      <c r="A6364" s="562" t="s">
        <v>13802</v>
      </c>
      <c r="B6364" s="563" t="s">
        <v>13803</v>
      </c>
      <c r="C6364" s="564" t="s">
        <v>2484</v>
      </c>
      <c r="D6364" s="565">
        <v>38554</v>
      </c>
      <c r="E6364" s="565">
        <v>38738</v>
      </c>
      <c r="F6364" s="567"/>
      <c r="G6364" s="564"/>
      <c r="H6364" s="564"/>
      <c r="I6364" s="564" t="s">
        <v>2542</v>
      </c>
      <c r="J6364" s="564" t="s">
        <v>1069</v>
      </c>
      <c r="K6364" s="564" t="s">
        <v>2466</v>
      </c>
      <c r="L6364" s="564" t="s">
        <v>2467</v>
      </c>
      <c r="M6364" s="564" t="s">
        <v>2466</v>
      </c>
      <c r="N6364" s="564" t="s">
        <v>2543</v>
      </c>
      <c r="O6364" s="564" t="s">
        <v>12077</v>
      </c>
      <c r="P6364" s="23"/>
      <c r="Q6364" s="23"/>
      <c r="R6364" s="23"/>
      <c r="S6364" s="23"/>
      <c r="T6364" s="23"/>
      <c r="U6364" s="23"/>
      <c r="V6364" s="23"/>
      <c r="W6364" s="23"/>
      <c r="X6364" s="23"/>
      <c r="Y6364" s="23"/>
      <c r="Z6364" s="23"/>
    </row>
    <row r="6365" spans="1:26" ht="13">
      <c r="A6365" s="562" t="s">
        <v>13804</v>
      </c>
      <c r="B6365" s="563" t="s">
        <v>13805</v>
      </c>
      <c r="C6365" s="564" t="s">
        <v>2484</v>
      </c>
      <c r="D6365" s="565">
        <v>38526</v>
      </c>
      <c r="E6365" s="565">
        <v>38705</v>
      </c>
      <c r="F6365" s="567"/>
      <c r="G6365" s="564" t="s">
        <v>13339</v>
      </c>
      <c r="H6365" s="564"/>
      <c r="I6365" s="564" t="s">
        <v>13417</v>
      </c>
      <c r="J6365" s="564" t="s">
        <v>1069</v>
      </c>
      <c r="K6365" s="564" t="s">
        <v>2466</v>
      </c>
      <c r="L6365" s="564" t="s">
        <v>2467</v>
      </c>
      <c r="M6365" s="564" t="s">
        <v>2466</v>
      </c>
      <c r="N6365" s="564" t="s">
        <v>2543</v>
      </c>
      <c r="O6365" s="564" t="s">
        <v>12077</v>
      </c>
      <c r="P6365" s="23"/>
      <c r="Q6365" s="23"/>
      <c r="R6365" s="23"/>
      <c r="S6365" s="23"/>
      <c r="T6365" s="23"/>
      <c r="U6365" s="23"/>
      <c r="V6365" s="23"/>
      <c r="W6365" s="23"/>
      <c r="X6365" s="23"/>
      <c r="Y6365" s="23"/>
      <c r="Z6365" s="23"/>
    </row>
    <row r="6366" spans="1:26" ht="13">
      <c r="A6366" s="562" t="s">
        <v>13806</v>
      </c>
      <c r="B6366" s="563" t="s">
        <v>13686</v>
      </c>
      <c r="C6366" s="564" t="s">
        <v>2191</v>
      </c>
      <c r="D6366" s="565">
        <v>38415</v>
      </c>
      <c r="E6366" s="565">
        <v>38776</v>
      </c>
      <c r="F6366" s="567"/>
      <c r="G6366" s="564" t="s">
        <v>13775</v>
      </c>
      <c r="H6366" s="564"/>
      <c r="I6366" s="564" t="s">
        <v>2542</v>
      </c>
      <c r="J6366" s="564" t="s">
        <v>1069</v>
      </c>
      <c r="K6366" s="564" t="s">
        <v>1070</v>
      </c>
      <c r="L6366" s="564" t="s">
        <v>1071</v>
      </c>
      <c r="M6366" s="564" t="s">
        <v>1091</v>
      </c>
      <c r="N6366" s="564" t="s">
        <v>2543</v>
      </c>
      <c r="O6366" s="564" t="s">
        <v>241</v>
      </c>
      <c r="P6366" s="23"/>
      <c r="Q6366" s="23"/>
      <c r="R6366" s="23"/>
      <c r="S6366" s="23"/>
      <c r="T6366" s="23"/>
      <c r="U6366" s="23"/>
      <c r="V6366" s="23"/>
      <c r="W6366" s="23"/>
      <c r="X6366" s="23"/>
      <c r="Y6366" s="23"/>
      <c r="Z6366" s="23"/>
    </row>
    <row r="6367" spans="1:26" ht="13">
      <c r="A6367" s="562" t="s">
        <v>13807</v>
      </c>
      <c r="B6367" s="563" t="s">
        <v>13808</v>
      </c>
      <c r="C6367" s="564" t="s">
        <v>2484</v>
      </c>
      <c r="D6367" s="565">
        <v>38534</v>
      </c>
      <c r="E6367" s="565">
        <v>38657</v>
      </c>
      <c r="F6367" s="567"/>
      <c r="G6367" s="564"/>
      <c r="H6367" s="564"/>
      <c r="I6367" s="564" t="s">
        <v>12091</v>
      </c>
      <c r="J6367" s="564" t="s">
        <v>1069</v>
      </c>
      <c r="K6367" s="564" t="s">
        <v>2466</v>
      </c>
      <c r="L6367" s="564" t="s">
        <v>2467</v>
      </c>
      <c r="M6367" s="564" t="s">
        <v>2466</v>
      </c>
      <c r="N6367" s="564" t="s">
        <v>2325</v>
      </c>
      <c r="O6367" s="564" t="s">
        <v>12077</v>
      </c>
      <c r="P6367" s="23"/>
      <c r="Q6367" s="23"/>
      <c r="R6367" s="23"/>
      <c r="S6367" s="23"/>
      <c r="T6367" s="23"/>
      <c r="U6367" s="23"/>
      <c r="V6367" s="23"/>
      <c r="W6367" s="23"/>
      <c r="X6367" s="23"/>
      <c r="Y6367" s="23"/>
      <c r="Z6367" s="23"/>
    </row>
    <row r="6368" spans="1:26" ht="13">
      <c r="A6368" s="562" t="s">
        <v>13809</v>
      </c>
      <c r="B6368" s="563" t="s">
        <v>13810</v>
      </c>
      <c r="C6368" s="564" t="s">
        <v>1612</v>
      </c>
      <c r="D6368" s="565">
        <v>38377</v>
      </c>
      <c r="E6368" s="565">
        <v>38401</v>
      </c>
      <c r="F6368" s="567"/>
      <c r="G6368" s="564" t="s">
        <v>1128</v>
      </c>
      <c r="H6368" s="564"/>
      <c r="I6368" s="564" t="s">
        <v>70</v>
      </c>
      <c r="J6368" s="564" t="s">
        <v>1069</v>
      </c>
      <c r="K6368" s="564" t="s">
        <v>1120</v>
      </c>
      <c r="L6368" s="564" t="s">
        <v>1390</v>
      </c>
      <c r="M6368" s="564" t="s">
        <v>1390</v>
      </c>
      <c r="N6368" s="564" t="s">
        <v>70</v>
      </c>
      <c r="O6368" s="564" t="s">
        <v>38</v>
      </c>
      <c r="P6368" s="23"/>
      <c r="Q6368" s="23"/>
      <c r="R6368" s="23"/>
      <c r="S6368" s="23"/>
      <c r="T6368" s="23"/>
      <c r="U6368" s="23"/>
      <c r="V6368" s="23"/>
      <c r="W6368" s="23"/>
      <c r="X6368" s="23"/>
      <c r="Y6368" s="23"/>
      <c r="Z6368" s="23"/>
    </row>
    <row r="6369" spans="1:26" ht="13">
      <c r="A6369" s="562" t="s">
        <v>13811</v>
      </c>
      <c r="B6369" s="563" t="s">
        <v>13812</v>
      </c>
      <c r="C6369" s="564" t="s">
        <v>2484</v>
      </c>
      <c r="D6369" s="565">
        <v>38404</v>
      </c>
      <c r="E6369" s="565">
        <v>38763</v>
      </c>
      <c r="F6369" s="566">
        <v>44762000</v>
      </c>
      <c r="G6369" s="564" t="s">
        <v>13391</v>
      </c>
      <c r="H6369" s="564"/>
      <c r="I6369" s="564" t="s">
        <v>13813</v>
      </c>
      <c r="J6369" s="564" t="s">
        <v>1069</v>
      </c>
      <c r="K6369" s="564" t="s">
        <v>2466</v>
      </c>
      <c r="L6369" s="564" t="s">
        <v>2467</v>
      </c>
      <c r="M6369" s="564" t="s">
        <v>2466</v>
      </c>
      <c r="N6369" s="564" t="s">
        <v>2543</v>
      </c>
      <c r="O6369" s="564" t="s">
        <v>12077</v>
      </c>
      <c r="P6369" s="23"/>
      <c r="Q6369" s="23"/>
      <c r="R6369" s="23"/>
      <c r="S6369" s="23"/>
      <c r="T6369" s="23"/>
      <c r="U6369" s="23"/>
      <c r="V6369" s="23"/>
      <c r="W6369" s="23"/>
      <c r="X6369" s="23"/>
      <c r="Y6369" s="23"/>
      <c r="Z6369" s="23"/>
    </row>
    <row r="6370" spans="1:26" ht="13">
      <c r="A6370" s="562" t="s">
        <v>13814</v>
      </c>
      <c r="B6370" s="563" t="s">
        <v>13815</v>
      </c>
      <c r="C6370" s="564" t="s">
        <v>2484</v>
      </c>
      <c r="D6370" s="565">
        <v>38504</v>
      </c>
      <c r="E6370" s="565">
        <v>38717</v>
      </c>
      <c r="F6370" s="567"/>
      <c r="G6370" s="564" t="s">
        <v>2536</v>
      </c>
      <c r="H6370" s="564"/>
      <c r="I6370" s="564" t="s">
        <v>2311</v>
      </c>
      <c r="J6370" s="564" t="s">
        <v>1069</v>
      </c>
      <c r="K6370" s="564" t="s">
        <v>2466</v>
      </c>
      <c r="L6370" s="564" t="s">
        <v>2467</v>
      </c>
      <c r="M6370" s="564" t="s">
        <v>2466</v>
      </c>
      <c r="N6370" s="564" t="s">
        <v>1073</v>
      </c>
      <c r="O6370" s="564" t="s">
        <v>12077</v>
      </c>
      <c r="P6370" s="23"/>
      <c r="Q6370" s="23"/>
      <c r="R6370" s="23"/>
      <c r="S6370" s="23"/>
      <c r="T6370" s="23"/>
      <c r="U6370" s="23"/>
      <c r="V6370" s="23"/>
      <c r="W6370" s="23"/>
      <c r="X6370" s="23"/>
      <c r="Y6370" s="23"/>
      <c r="Z6370" s="23"/>
    </row>
    <row r="6371" spans="1:26" ht="13">
      <c r="A6371" s="562" t="s">
        <v>13816</v>
      </c>
      <c r="B6371" s="563" t="s">
        <v>13817</v>
      </c>
      <c r="C6371" s="564" t="s">
        <v>2484</v>
      </c>
      <c r="D6371" s="565">
        <v>38473</v>
      </c>
      <c r="E6371" s="565">
        <v>38656</v>
      </c>
      <c r="F6371" s="567"/>
      <c r="G6371" s="564" t="s">
        <v>13818</v>
      </c>
      <c r="H6371" s="564"/>
      <c r="I6371" s="564" t="s">
        <v>2311</v>
      </c>
      <c r="J6371" s="564" t="s">
        <v>1069</v>
      </c>
      <c r="K6371" s="564" t="s">
        <v>2466</v>
      </c>
      <c r="L6371" s="564" t="s">
        <v>2467</v>
      </c>
      <c r="M6371" s="564" t="s">
        <v>2466</v>
      </c>
      <c r="N6371" s="564" t="s">
        <v>1073</v>
      </c>
      <c r="O6371" s="564" t="s">
        <v>12077</v>
      </c>
      <c r="P6371" s="23"/>
      <c r="Q6371" s="23"/>
      <c r="R6371" s="23"/>
      <c r="S6371" s="23"/>
      <c r="T6371" s="23"/>
      <c r="U6371" s="23"/>
      <c r="V6371" s="23"/>
      <c r="W6371" s="23"/>
      <c r="X6371" s="23"/>
      <c r="Y6371" s="23"/>
      <c r="Z6371" s="23"/>
    </row>
    <row r="6372" spans="1:26" ht="13">
      <c r="A6372" s="562" t="s">
        <v>13819</v>
      </c>
      <c r="B6372" s="563" t="s">
        <v>13820</v>
      </c>
      <c r="C6372" s="564" t="s">
        <v>2484</v>
      </c>
      <c r="D6372" s="565">
        <v>38504</v>
      </c>
      <c r="E6372" s="565">
        <v>38837</v>
      </c>
      <c r="F6372" s="567"/>
      <c r="G6372" s="564" t="s">
        <v>13821</v>
      </c>
      <c r="H6372" s="564"/>
      <c r="I6372" s="564" t="s">
        <v>13822</v>
      </c>
      <c r="J6372" s="564" t="s">
        <v>1069</v>
      </c>
      <c r="K6372" s="564" t="s">
        <v>2466</v>
      </c>
      <c r="L6372" s="564" t="s">
        <v>2467</v>
      </c>
      <c r="M6372" s="564" t="s">
        <v>2466</v>
      </c>
      <c r="N6372" s="564" t="s">
        <v>1073</v>
      </c>
      <c r="O6372" s="564" t="s">
        <v>12077</v>
      </c>
      <c r="P6372" s="23"/>
      <c r="Q6372" s="23"/>
      <c r="R6372" s="23"/>
      <c r="S6372" s="23"/>
      <c r="T6372" s="23"/>
      <c r="U6372" s="23"/>
      <c r="V6372" s="23"/>
      <c r="W6372" s="23"/>
      <c r="X6372" s="23"/>
      <c r="Y6372" s="23"/>
      <c r="Z6372" s="23"/>
    </row>
    <row r="6373" spans="1:26" ht="13">
      <c r="A6373" s="562" t="s">
        <v>13823</v>
      </c>
      <c r="B6373" s="563" t="s">
        <v>13824</v>
      </c>
      <c r="C6373" s="564" t="s">
        <v>2191</v>
      </c>
      <c r="D6373" s="565">
        <v>38131</v>
      </c>
      <c r="E6373" s="565">
        <v>38390</v>
      </c>
      <c r="F6373" s="567"/>
      <c r="G6373" s="564" t="s">
        <v>1123</v>
      </c>
      <c r="H6373" s="564"/>
      <c r="I6373" s="564" t="s">
        <v>13825</v>
      </c>
      <c r="J6373" s="564" t="s">
        <v>1069</v>
      </c>
      <c r="K6373" s="564" t="s">
        <v>1070</v>
      </c>
      <c r="L6373" s="564" t="s">
        <v>1071</v>
      </c>
      <c r="M6373" s="564" t="s">
        <v>1124</v>
      </c>
      <c r="N6373" s="564" t="s">
        <v>1082</v>
      </c>
      <c r="O6373" s="564" t="s">
        <v>38</v>
      </c>
      <c r="P6373" s="23"/>
      <c r="Q6373" s="23"/>
      <c r="R6373" s="23"/>
      <c r="S6373" s="23"/>
      <c r="T6373" s="23"/>
      <c r="U6373" s="23"/>
      <c r="V6373" s="23"/>
      <c r="W6373" s="23"/>
      <c r="X6373" s="23"/>
      <c r="Y6373" s="23"/>
      <c r="Z6373" s="23"/>
    </row>
    <row r="6374" spans="1:26" ht="13">
      <c r="A6374" s="562" t="s">
        <v>13826</v>
      </c>
      <c r="B6374" s="563" t="s">
        <v>13827</v>
      </c>
      <c r="C6374" s="564" t="s">
        <v>2484</v>
      </c>
      <c r="D6374" s="565">
        <v>38110</v>
      </c>
      <c r="E6374" s="565">
        <v>38199</v>
      </c>
      <c r="F6374" s="567"/>
      <c r="G6374" s="564" t="s">
        <v>12124</v>
      </c>
      <c r="H6374" s="564"/>
      <c r="I6374" s="564" t="s">
        <v>13828</v>
      </c>
      <c r="J6374" s="564" t="s">
        <v>1069</v>
      </c>
      <c r="K6374" s="564" t="s">
        <v>2466</v>
      </c>
      <c r="L6374" s="564" t="s">
        <v>2467</v>
      </c>
      <c r="M6374" s="564" t="s">
        <v>2466</v>
      </c>
      <c r="N6374" s="564" t="s">
        <v>1082</v>
      </c>
      <c r="O6374" s="564" t="s">
        <v>12077</v>
      </c>
      <c r="P6374" s="23"/>
      <c r="Q6374" s="23"/>
      <c r="R6374" s="23"/>
      <c r="S6374" s="23"/>
      <c r="T6374" s="23"/>
      <c r="U6374" s="23"/>
      <c r="V6374" s="23"/>
      <c r="W6374" s="23"/>
      <c r="X6374" s="23"/>
      <c r="Y6374" s="23"/>
      <c r="Z6374" s="23"/>
    </row>
    <row r="6375" spans="1:26" ht="13">
      <c r="A6375" s="562" t="s">
        <v>13829</v>
      </c>
      <c r="B6375" s="563" t="s">
        <v>13830</v>
      </c>
      <c r="C6375" s="564" t="s">
        <v>2484</v>
      </c>
      <c r="D6375" s="565">
        <v>38085</v>
      </c>
      <c r="E6375" s="565">
        <v>38115</v>
      </c>
      <c r="F6375" s="567"/>
      <c r="G6375" s="564" t="s">
        <v>2464</v>
      </c>
      <c r="H6375" s="564"/>
      <c r="I6375" s="564" t="s">
        <v>13831</v>
      </c>
      <c r="J6375" s="564" t="s">
        <v>1069</v>
      </c>
      <c r="K6375" s="564" t="s">
        <v>2466</v>
      </c>
      <c r="L6375" s="564" t="s">
        <v>2467</v>
      </c>
      <c r="M6375" s="564" t="s">
        <v>2466</v>
      </c>
      <c r="N6375" s="564" t="s">
        <v>1082</v>
      </c>
      <c r="O6375" s="564" t="s">
        <v>12077</v>
      </c>
      <c r="P6375" s="23"/>
      <c r="Q6375" s="23"/>
      <c r="R6375" s="23"/>
      <c r="S6375" s="23"/>
      <c r="T6375" s="23"/>
      <c r="U6375" s="23"/>
      <c r="V6375" s="23"/>
      <c r="W6375" s="23"/>
      <c r="X6375" s="23"/>
      <c r="Y6375" s="23"/>
      <c r="Z6375" s="23"/>
    </row>
    <row r="6376" spans="1:26" ht="13">
      <c r="A6376" s="562" t="s">
        <v>13832</v>
      </c>
      <c r="B6376" s="563" t="s">
        <v>13833</v>
      </c>
      <c r="C6376" s="564" t="s">
        <v>2484</v>
      </c>
      <c r="D6376" s="565">
        <v>38348</v>
      </c>
      <c r="E6376" s="565">
        <v>38357</v>
      </c>
      <c r="F6376" s="567"/>
      <c r="G6376" s="564" t="s">
        <v>13339</v>
      </c>
      <c r="H6376" s="564"/>
      <c r="I6376" s="564" t="s">
        <v>12105</v>
      </c>
      <c r="J6376" s="564" t="s">
        <v>1069</v>
      </c>
      <c r="K6376" s="564" t="s">
        <v>2466</v>
      </c>
      <c r="L6376" s="564" t="s">
        <v>2467</v>
      </c>
      <c r="M6376" s="564" t="s">
        <v>2466</v>
      </c>
      <c r="N6376" s="564" t="s">
        <v>1082</v>
      </c>
      <c r="O6376" s="564" t="s">
        <v>12077</v>
      </c>
      <c r="P6376" s="23"/>
      <c r="Q6376" s="23"/>
      <c r="R6376" s="23"/>
      <c r="S6376" s="23"/>
      <c r="T6376" s="23"/>
      <c r="U6376" s="23"/>
      <c r="V6376" s="23"/>
      <c r="W6376" s="23"/>
      <c r="X6376" s="23"/>
      <c r="Y6376" s="23"/>
      <c r="Z6376" s="23"/>
    </row>
    <row r="6377" spans="1:26" ht="13">
      <c r="A6377" s="562" t="s">
        <v>13834</v>
      </c>
      <c r="B6377" s="563" t="s">
        <v>13835</v>
      </c>
      <c r="C6377" s="564" t="s">
        <v>2484</v>
      </c>
      <c r="D6377" s="565">
        <v>38322</v>
      </c>
      <c r="E6377" s="565">
        <v>39051</v>
      </c>
      <c r="F6377" s="567"/>
      <c r="G6377" s="564" t="s">
        <v>13339</v>
      </c>
      <c r="H6377" s="564"/>
      <c r="I6377" s="564" t="s">
        <v>13836</v>
      </c>
      <c r="J6377" s="564" t="s">
        <v>1069</v>
      </c>
      <c r="K6377" s="564" t="s">
        <v>2466</v>
      </c>
      <c r="L6377" s="564" t="s">
        <v>2467</v>
      </c>
      <c r="M6377" s="564" t="s">
        <v>2466</v>
      </c>
      <c r="N6377" s="564" t="s">
        <v>2543</v>
      </c>
      <c r="O6377" s="564" t="s">
        <v>12077</v>
      </c>
      <c r="P6377" s="23"/>
      <c r="Q6377" s="23"/>
      <c r="R6377" s="23"/>
      <c r="S6377" s="23"/>
      <c r="T6377" s="23"/>
      <c r="U6377" s="23"/>
      <c r="V6377" s="23"/>
      <c r="W6377" s="23"/>
      <c r="X6377" s="23"/>
      <c r="Y6377" s="23"/>
      <c r="Z6377" s="23"/>
    </row>
    <row r="6378" spans="1:26" ht="13">
      <c r="A6378" s="562" t="s">
        <v>13837</v>
      </c>
      <c r="B6378" s="563" t="s">
        <v>13838</v>
      </c>
      <c r="C6378" s="564" t="s">
        <v>2484</v>
      </c>
      <c r="D6378" s="565">
        <v>38808</v>
      </c>
      <c r="E6378" s="565">
        <v>39140</v>
      </c>
      <c r="F6378" s="566">
        <v>4731473</v>
      </c>
      <c r="G6378" s="564" t="s">
        <v>2571</v>
      </c>
      <c r="H6378" s="564"/>
      <c r="I6378" s="564" t="s">
        <v>13839</v>
      </c>
      <c r="J6378" s="564" t="s">
        <v>1069</v>
      </c>
      <c r="K6378" s="564" t="s">
        <v>2466</v>
      </c>
      <c r="L6378" s="564" t="s">
        <v>2467</v>
      </c>
      <c r="M6378" s="564" t="s">
        <v>2466</v>
      </c>
      <c r="N6378" s="564" t="s">
        <v>2543</v>
      </c>
      <c r="O6378" s="564" t="s">
        <v>12077</v>
      </c>
      <c r="P6378" s="23"/>
      <c r="Q6378" s="23"/>
      <c r="R6378" s="23"/>
      <c r="S6378" s="23"/>
      <c r="T6378" s="23"/>
      <c r="U6378" s="23"/>
      <c r="V6378" s="23"/>
      <c r="W6378" s="23"/>
      <c r="X6378" s="23"/>
      <c r="Y6378" s="23"/>
      <c r="Z6378" s="23"/>
    </row>
    <row r="6379" spans="1:26" ht="13">
      <c r="A6379" s="562" t="s">
        <v>13840</v>
      </c>
      <c r="B6379" s="563" t="s">
        <v>13841</v>
      </c>
      <c r="C6379" s="564" t="s">
        <v>2484</v>
      </c>
      <c r="D6379" s="565">
        <v>38288</v>
      </c>
      <c r="E6379" s="565">
        <v>38474</v>
      </c>
      <c r="F6379" s="567"/>
      <c r="G6379" s="564" t="s">
        <v>2434</v>
      </c>
      <c r="H6379" s="564"/>
      <c r="I6379" s="564" t="s">
        <v>13842</v>
      </c>
      <c r="J6379" s="564" t="s">
        <v>1069</v>
      </c>
      <c r="K6379" s="564" t="s">
        <v>2466</v>
      </c>
      <c r="L6379" s="564" t="s">
        <v>2467</v>
      </c>
      <c r="M6379" s="564" t="s">
        <v>2466</v>
      </c>
      <c r="N6379" s="564" t="s">
        <v>1082</v>
      </c>
      <c r="O6379" s="564" t="s">
        <v>12077</v>
      </c>
      <c r="P6379" s="23"/>
      <c r="Q6379" s="23"/>
      <c r="R6379" s="23"/>
      <c r="S6379" s="23"/>
      <c r="T6379" s="23"/>
      <c r="U6379" s="23"/>
      <c r="V6379" s="23"/>
      <c r="W6379" s="23"/>
      <c r="X6379" s="23"/>
      <c r="Y6379" s="23"/>
      <c r="Z6379" s="23"/>
    </row>
    <row r="6380" spans="1:26" ht="13">
      <c r="A6380" s="562" t="s">
        <v>13843</v>
      </c>
      <c r="B6380" s="563" t="s">
        <v>13844</v>
      </c>
      <c r="C6380" s="564" t="s">
        <v>2484</v>
      </c>
      <c r="D6380" s="565">
        <v>38299</v>
      </c>
      <c r="E6380" s="565">
        <v>38441</v>
      </c>
      <c r="F6380" s="567"/>
      <c r="G6380" s="564" t="s">
        <v>12075</v>
      </c>
      <c r="H6380" s="564"/>
      <c r="I6380" s="564" t="s">
        <v>13845</v>
      </c>
      <c r="J6380" s="564" t="s">
        <v>1069</v>
      </c>
      <c r="K6380" s="564" t="s">
        <v>2466</v>
      </c>
      <c r="L6380" s="564" t="s">
        <v>2467</v>
      </c>
      <c r="M6380" s="564" t="s">
        <v>2466</v>
      </c>
      <c r="N6380" s="564" t="s">
        <v>1082</v>
      </c>
      <c r="O6380" s="564" t="s">
        <v>12077</v>
      </c>
      <c r="P6380" s="23"/>
      <c r="Q6380" s="23"/>
      <c r="R6380" s="23"/>
      <c r="S6380" s="23"/>
      <c r="T6380" s="23"/>
      <c r="U6380" s="23"/>
      <c r="V6380" s="23"/>
      <c r="W6380" s="23"/>
      <c r="X6380" s="23"/>
      <c r="Y6380" s="23"/>
      <c r="Z6380" s="23"/>
    </row>
    <row r="6381" spans="1:26" ht="13">
      <c r="A6381" s="562" t="s">
        <v>13846</v>
      </c>
      <c r="B6381" s="563" t="s">
        <v>13847</v>
      </c>
      <c r="C6381" s="564" t="s">
        <v>2484</v>
      </c>
      <c r="D6381" s="565">
        <v>38255</v>
      </c>
      <c r="E6381" s="565">
        <v>38352</v>
      </c>
      <c r="F6381" s="567"/>
      <c r="G6381" s="564" t="s">
        <v>12075</v>
      </c>
      <c r="H6381" s="564"/>
      <c r="I6381" s="564" t="s">
        <v>13696</v>
      </c>
      <c r="J6381" s="564" t="s">
        <v>1069</v>
      </c>
      <c r="K6381" s="564" t="s">
        <v>2466</v>
      </c>
      <c r="L6381" s="564" t="s">
        <v>2467</v>
      </c>
      <c r="M6381" s="564" t="s">
        <v>2466</v>
      </c>
      <c r="N6381" s="564" t="s">
        <v>1082</v>
      </c>
      <c r="O6381" s="564" t="s">
        <v>12077</v>
      </c>
      <c r="P6381" s="23"/>
      <c r="Q6381" s="23"/>
      <c r="R6381" s="23"/>
      <c r="S6381" s="23"/>
      <c r="T6381" s="23"/>
      <c r="U6381" s="23"/>
      <c r="V6381" s="23"/>
      <c r="W6381" s="23"/>
      <c r="X6381" s="23"/>
      <c r="Y6381" s="23"/>
      <c r="Z6381" s="23"/>
    </row>
    <row r="6382" spans="1:26" ht="13">
      <c r="A6382" s="562" t="s">
        <v>13848</v>
      </c>
      <c r="B6382" s="563" t="s">
        <v>13849</v>
      </c>
      <c r="C6382" s="564" t="s">
        <v>2484</v>
      </c>
      <c r="D6382" s="565">
        <v>38295</v>
      </c>
      <c r="E6382" s="565">
        <v>38444</v>
      </c>
      <c r="F6382" s="567"/>
      <c r="G6382" s="564" t="s">
        <v>12124</v>
      </c>
      <c r="H6382" s="564"/>
      <c r="I6382" s="564" t="s">
        <v>12105</v>
      </c>
      <c r="J6382" s="564" t="s">
        <v>1069</v>
      </c>
      <c r="K6382" s="564" t="s">
        <v>2466</v>
      </c>
      <c r="L6382" s="564" t="s">
        <v>2467</v>
      </c>
      <c r="M6382" s="564" t="s">
        <v>2466</v>
      </c>
      <c r="N6382" s="564" t="s">
        <v>1082</v>
      </c>
      <c r="O6382" s="564" t="s">
        <v>12077</v>
      </c>
      <c r="P6382" s="23"/>
      <c r="Q6382" s="23"/>
      <c r="R6382" s="23"/>
      <c r="S6382" s="23"/>
      <c r="T6382" s="23"/>
      <c r="U6382" s="23"/>
      <c r="V6382" s="23"/>
      <c r="W6382" s="23"/>
      <c r="X6382" s="23"/>
      <c r="Y6382" s="23"/>
      <c r="Z6382" s="23"/>
    </row>
    <row r="6383" spans="1:26" ht="13">
      <c r="A6383" s="562" t="s">
        <v>13850</v>
      </c>
      <c r="B6383" s="563" t="s">
        <v>13851</v>
      </c>
      <c r="C6383" s="564" t="s">
        <v>2484</v>
      </c>
      <c r="D6383" s="565">
        <v>38310</v>
      </c>
      <c r="E6383" s="565">
        <v>38409</v>
      </c>
      <c r="F6383" s="567"/>
      <c r="G6383" s="564" t="s">
        <v>12124</v>
      </c>
      <c r="H6383" s="564"/>
      <c r="I6383" s="564" t="s">
        <v>13852</v>
      </c>
      <c r="J6383" s="564" t="s">
        <v>1069</v>
      </c>
      <c r="K6383" s="564" t="s">
        <v>2466</v>
      </c>
      <c r="L6383" s="564" t="s">
        <v>2467</v>
      </c>
      <c r="M6383" s="564" t="s">
        <v>2466</v>
      </c>
      <c r="N6383" s="564" t="s">
        <v>2543</v>
      </c>
      <c r="O6383" s="564" t="s">
        <v>12077</v>
      </c>
      <c r="P6383" s="23"/>
      <c r="Q6383" s="23"/>
      <c r="R6383" s="23"/>
      <c r="S6383" s="23"/>
      <c r="T6383" s="23"/>
      <c r="U6383" s="23"/>
      <c r="V6383" s="23"/>
      <c r="W6383" s="23"/>
      <c r="X6383" s="23"/>
      <c r="Y6383" s="23"/>
      <c r="Z6383" s="23"/>
    </row>
    <row r="6384" spans="1:26" ht="13">
      <c r="A6384" s="562" t="s">
        <v>13853</v>
      </c>
      <c r="B6384" s="563" t="s">
        <v>13854</v>
      </c>
      <c r="C6384" s="564" t="s">
        <v>2484</v>
      </c>
      <c r="D6384" s="565">
        <v>38296</v>
      </c>
      <c r="E6384" s="565">
        <v>38395</v>
      </c>
      <c r="F6384" s="567"/>
      <c r="G6384" s="564" t="s">
        <v>13339</v>
      </c>
      <c r="H6384" s="564"/>
      <c r="I6384" s="564" t="s">
        <v>13855</v>
      </c>
      <c r="J6384" s="564" t="s">
        <v>1069</v>
      </c>
      <c r="K6384" s="564" t="s">
        <v>2466</v>
      </c>
      <c r="L6384" s="564" t="s">
        <v>2467</v>
      </c>
      <c r="M6384" s="564" t="s">
        <v>2466</v>
      </c>
      <c r="N6384" s="564" t="s">
        <v>2543</v>
      </c>
      <c r="O6384" s="564" t="s">
        <v>12077</v>
      </c>
      <c r="P6384" s="23"/>
      <c r="Q6384" s="23"/>
      <c r="R6384" s="23"/>
      <c r="S6384" s="23"/>
      <c r="T6384" s="23"/>
      <c r="U6384" s="23"/>
      <c r="V6384" s="23"/>
      <c r="W6384" s="23"/>
      <c r="X6384" s="23"/>
      <c r="Y6384" s="23"/>
      <c r="Z6384" s="23"/>
    </row>
    <row r="6385" spans="1:26" ht="13">
      <c r="A6385" s="562" t="s">
        <v>13856</v>
      </c>
      <c r="B6385" s="563" t="s">
        <v>13857</v>
      </c>
      <c r="C6385" s="564" t="s">
        <v>2484</v>
      </c>
      <c r="D6385" s="565">
        <v>38294</v>
      </c>
      <c r="E6385" s="565">
        <v>38383</v>
      </c>
      <c r="F6385" s="567"/>
      <c r="G6385" s="564" t="s">
        <v>13339</v>
      </c>
      <c r="H6385" s="564"/>
      <c r="I6385" s="564" t="s">
        <v>13621</v>
      </c>
      <c r="J6385" s="564" t="s">
        <v>1069</v>
      </c>
      <c r="K6385" s="564" t="s">
        <v>2466</v>
      </c>
      <c r="L6385" s="564" t="s">
        <v>2467</v>
      </c>
      <c r="M6385" s="564" t="s">
        <v>2466</v>
      </c>
      <c r="N6385" s="564" t="s">
        <v>2543</v>
      </c>
      <c r="O6385" s="564" t="s">
        <v>12077</v>
      </c>
      <c r="P6385" s="23"/>
      <c r="Q6385" s="23"/>
      <c r="R6385" s="23"/>
      <c r="S6385" s="23"/>
      <c r="T6385" s="23"/>
      <c r="U6385" s="23"/>
      <c r="V6385" s="23"/>
      <c r="W6385" s="23"/>
      <c r="X6385" s="23"/>
      <c r="Y6385" s="23"/>
      <c r="Z6385" s="23"/>
    </row>
    <row r="6386" spans="1:26" ht="13">
      <c r="A6386" s="562" t="s">
        <v>13858</v>
      </c>
      <c r="B6386" s="563" t="s">
        <v>13859</v>
      </c>
      <c r="C6386" s="564" t="s">
        <v>2484</v>
      </c>
      <c r="D6386" s="565">
        <v>38132</v>
      </c>
      <c r="E6386" s="565">
        <v>40209</v>
      </c>
      <c r="F6386" s="566">
        <v>223026432</v>
      </c>
      <c r="G6386" s="564" t="s">
        <v>12084</v>
      </c>
      <c r="H6386" s="564" t="s">
        <v>12365</v>
      </c>
      <c r="I6386" s="564" t="s">
        <v>12091</v>
      </c>
      <c r="J6386" s="564" t="s">
        <v>1069</v>
      </c>
      <c r="K6386" s="564" t="s">
        <v>2466</v>
      </c>
      <c r="L6386" s="564" t="s">
        <v>2467</v>
      </c>
      <c r="M6386" s="564" t="s">
        <v>2466</v>
      </c>
      <c r="N6386" s="564" t="s">
        <v>2325</v>
      </c>
      <c r="O6386" s="564" t="s">
        <v>12077</v>
      </c>
      <c r="P6386" s="23"/>
      <c r="Q6386" s="23"/>
      <c r="R6386" s="23"/>
      <c r="S6386" s="23"/>
      <c r="T6386" s="23"/>
      <c r="U6386" s="23"/>
      <c r="V6386" s="23"/>
      <c r="W6386" s="23"/>
      <c r="X6386" s="23"/>
      <c r="Y6386" s="23"/>
      <c r="Z6386" s="23"/>
    </row>
    <row r="6387" spans="1:26" ht="13">
      <c r="A6387" s="562" t="s">
        <v>13860</v>
      </c>
      <c r="B6387" s="563" t="s">
        <v>13861</v>
      </c>
      <c r="C6387" s="564" t="s">
        <v>1612</v>
      </c>
      <c r="D6387" s="565">
        <v>38355</v>
      </c>
      <c r="E6387" s="565">
        <v>38411</v>
      </c>
      <c r="F6387" s="567"/>
      <c r="G6387" s="564" t="s">
        <v>13862</v>
      </c>
      <c r="H6387" s="564"/>
      <c r="I6387" s="564" t="s">
        <v>70</v>
      </c>
      <c r="J6387" s="564" t="s">
        <v>1069</v>
      </c>
      <c r="K6387" s="564" t="s">
        <v>1120</v>
      </c>
      <c r="L6387" s="564" t="s">
        <v>1390</v>
      </c>
      <c r="M6387" s="564" t="s">
        <v>1390</v>
      </c>
      <c r="N6387" s="564" t="s">
        <v>70</v>
      </c>
      <c r="O6387" s="564" t="s">
        <v>38</v>
      </c>
      <c r="P6387" s="23"/>
      <c r="Q6387" s="23"/>
      <c r="R6387" s="23"/>
      <c r="S6387" s="23"/>
      <c r="T6387" s="23"/>
      <c r="U6387" s="23"/>
      <c r="V6387" s="23"/>
      <c r="W6387" s="23"/>
      <c r="X6387" s="23"/>
      <c r="Y6387" s="23"/>
      <c r="Z6387" s="23"/>
    </row>
    <row r="6388" spans="1:26" ht="13">
      <c r="A6388" s="562" t="s">
        <v>13863</v>
      </c>
      <c r="B6388" s="563" t="s">
        <v>13864</v>
      </c>
      <c r="C6388" s="564" t="s">
        <v>1612</v>
      </c>
      <c r="D6388" s="565">
        <v>38180</v>
      </c>
      <c r="E6388" s="565">
        <v>38226</v>
      </c>
      <c r="F6388" s="566">
        <v>14000000</v>
      </c>
      <c r="G6388" s="564" t="s">
        <v>13865</v>
      </c>
      <c r="H6388" s="564"/>
      <c r="I6388" s="564" t="s">
        <v>1798</v>
      </c>
      <c r="J6388" s="564" t="s">
        <v>1069</v>
      </c>
      <c r="K6388" s="564" t="s">
        <v>1070</v>
      </c>
      <c r="L6388" s="564" t="s">
        <v>1390</v>
      </c>
      <c r="M6388" s="564" t="s">
        <v>1390</v>
      </c>
      <c r="N6388" s="564" t="s">
        <v>1073</v>
      </c>
      <c r="O6388" s="564" t="s">
        <v>38</v>
      </c>
      <c r="P6388" s="23"/>
      <c r="Q6388" s="23"/>
      <c r="R6388" s="23"/>
      <c r="S6388" s="23"/>
      <c r="T6388" s="23"/>
      <c r="U6388" s="23"/>
      <c r="V6388" s="23"/>
      <c r="W6388" s="23"/>
      <c r="X6388" s="23"/>
      <c r="Y6388" s="23"/>
      <c r="Z6388" s="23"/>
    </row>
    <row r="6389" spans="1:26" ht="13">
      <c r="A6389" s="562" t="s">
        <v>13866</v>
      </c>
      <c r="B6389" s="563" t="s">
        <v>13867</v>
      </c>
      <c r="C6389" s="564" t="s">
        <v>6860</v>
      </c>
      <c r="D6389" s="565">
        <v>38166</v>
      </c>
      <c r="E6389" s="565">
        <v>39082</v>
      </c>
      <c r="F6389" s="566">
        <v>4085000000</v>
      </c>
      <c r="G6389" s="564" t="s">
        <v>2168</v>
      </c>
      <c r="H6389" s="564"/>
      <c r="I6389" s="564" t="s">
        <v>13868</v>
      </c>
      <c r="J6389" s="564" t="s">
        <v>1069</v>
      </c>
      <c r="K6389" s="564" t="s">
        <v>1070</v>
      </c>
      <c r="L6389" s="564" t="s">
        <v>1390</v>
      </c>
      <c r="M6389" s="564" t="s">
        <v>1390</v>
      </c>
      <c r="N6389" s="564" t="s">
        <v>2543</v>
      </c>
      <c r="O6389" s="564" t="s">
        <v>38</v>
      </c>
      <c r="P6389" s="23"/>
      <c r="Q6389" s="23"/>
      <c r="R6389" s="23"/>
      <c r="S6389" s="23"/>
      <c r="T6389" s="23"/>
      <c r="U6389" s="23"/>
      <c r="V6389" s="23"/>
      <c r="W6389" s="23"/>
      <c r="X6389" s="23"/>
      <c r="Y6389" s="23"/>
      <c r="Z6389" s="23"/>
    </row>
    <row r="6390" spans="1:26" ht="13">
      <c r="A6390" s="562" t="s">
        <v>13869</v>
      </c>
      <c r="B6390" s="563" t="s">
        <v>13870</v>
      </c>
      <c r="C6390" s="564" t="s">
        <v>1612</v>
      </c>
      <c r="D6390" s="565">
        <v>38700</v>
      </c>
      <c r="E6390" s="565">
        <v>39172</v>
      </c>
      <c r="F6390" s="566">
        <v>85328778</v>
      </c>
      <c r="G6390" s="564" t="s">
        <v>2168</v>
      </c>
      <c r="H6390" s="564" t="s">
        <v>2168</v>
      </c>
      <c r="I6390" s="564" t="s">
        <v>13871</v>
      </c>
      <c r="J6390" s="564" t="s">
        <v>1069</v>
      </c>
      <c r="K6390" s="564" t="s">
        <v>1090</v>
      </c>
      <c r="L6390" s="564" t="s">
        <v>1071</v>
      </c>
      <c r="M6390" s="564" t="s">
        <v>1091</v>
      </c>
      <c r="N6390" s="564" t="s">
        <v>45</v>
      </c>
      <c r="O6390" s="564" t="s">
        <v>241</v>
      </c>
      <c r="P6390" s="23"/>
      <c r="Q6390" s="23"/>
      <c r="R6390" s="23"/>
      <c r="S6390" s="23"/>
      <c r="T6390" s="23"/>
      <c r="U6390" s="23"/>
      <c r="V6390" s="23"/>
      <c r="W6390" s="23"/>
      <c r="X6390" s="23"/>
      <c r="Y6390" s="23"/>
      <c r="Z6390" s="23"/>
    </row>
    <row r="6391" spans="1:26" ht="13">
      <c r="A6391" s="562" t="s">
        <v>13872</v>
      </c>
      <c r="B6391" s="563" t="s">
        <v>13873</v>
      </c>
      <c r="C6391" s="564" t="s">
        <v>6860</v>
      </c>
      <c r="D6391" s="565">
        <v>37859</v>
      </c>
      <c r="E6391" s="565">
        <v>39776</v>
      </c>
      <c r="F6391" s="566">
        <v>1581818182</v>
      </c>
      <c r="G6391" s="564" t="s">
        <v>2168</v>
      </c>
      <c r="H6391" s="564" t="s">
        <v>2168</v>
      </c>
      <c r="I6391" s="564" t="s">
        <v>13312</v>
      </c>
      <c r="J6391" s="564" t="s">
        <v>1069</v>
      </c>
      <c r="K6391" s="564" t="s">
        <v>1198</v>
      </c>
      <c r="L6391" s="564" t="s">
        <v>2098</v>
      </c>
      <c r="M6391" s="564" t="s">
        <v>2098</v>
      </c>
      <c r="N6391" s="564" t="s">
        <v>1368</v>
      </c>
      <c r="O6391" s="564" t="s">
        <v>2099</v>
      </c>
      <c r="P6391" s="23"/>
      <c r="Q6391" s="23"/>
      <c r="R6391" s="23"/>
      <c r="S6391" s="23"/>
      <c r="T6391" s="23"/>
      <c r="U6391" s="23"/>
      <c r="V6391" s="23"/>
      <c r="W6391" s="23"/>
      <c r="X6391" s="23"/>
      <c r="Y6391" s="23"/>
      <c r="Z6391" s="23"/>
    </row>
    <row r="6392" spans="1:26" ht="13">
      <c r="A6392" s="562" t="s">
        <v>13874</v>
      </c>
      <c r="B6392" s="563" t="s">
        <v>13875</v>
      </c>
      <c r="C6392" s="564" t="s">
        <v>2484</v>
      </c>
      <c r="D6392" s="565">
        <v>38351</v>
      </c>
      <c r="E6392" s="565">
        <v>39080</v>
      </c>
      <c r="F6392" s="566">
        <v>45000000</v>
      </c>
      <c r="G6392" s="564" t="s">
        <v>2464</v>
      </c>
      <c r="H6392" s="564" t="s">
        <v>13150</v>
      </c>
      <c r="I6392" s="564" t="s">
        <v>13876</v>
      </c>
      <c r="J6392" s="564" t="s">
        <v>1069</v>
      </c>
      <c r="K6392" s="564" t="s">
        <v>2466</v>
      </c>
      <c r="L6392" s="564" t="s">
        <v>2467</v>
      </c>
      <c r="M6392" s="564" t="s">
        <v>2466</v>
      </c>
      <c r="N6392" s="564" t="s">
        <v>1368</v>
      </c>
      <c r="O6392" s="564" t="s">
        <v>12077</v>
      </c>
      <c r="P6392" s="23"/>
      <c r="Q6392" s="23"/>
      <c r="R6392" s="23"/>
      <c r="S6392" s="23"/>
      <c r="T6392" s="23"/>
      <c r="U6392" s="23"/>
      <c r="V6392" s="23"/>
      <c r="W6392" s="23"/>
      <c r="X6392" s="23"/>
      <c r="Y6392" s="23"/>
      <c r="Z6392" s="23"/>
    </row>
    <row r="6393" spans="1:26" ht="13">
      <c r="A6393" s="562" t="s">
        <v>13877</v>
      </c>
      <c r="B6393" s="563" t="s">
        <v>13878</v>
      </c>
      <c r="C6393" s="564" t="s">
        <v>2484</v>
      </c>
      <c r="D6393" s="565">
        <v>38069</v>
      </c>
      <c r="E6393" s="565">
        <v>38366</v>
      </c>
      <c r="F6393" s="567"/>
      <c r="G6393" s="564" t="s">
        <v>12125</v>
      </c>
      <c r="H6393" s="564"/>
      <c r="I6393" s="564" t="s">
        <v>13813</v>
      </c>
      <c r="J6393" s="564" t="s">
        <v>1069</v>
      </c>
      <c r="K6393" s="564" t="s">
        <v>2466</v>
      </c>
      <c r="L6393" s="564" t="s">
        <v>2467</v>
      </c>
      <c r="M6393" s="564" t="s">
        <v>2466</v>
      </c>
      <c r="N6393" s="564" t="s">
        <v>2543</v>
      </c>
      <c r="O6393" s="564" t="s">
        <v>12077</v>
      </c>
      <c r="P6393" s="23"/>
      <c r="Q6393" s="23"/>
      <c r="R6393" s="23"/>
      <c r="S6393" s="23"/>
      <c r="T6393" s="23"/>
      <c r="U6393" s="23"/>
      <c r="V6393" s="23"/>
      <c r="W6393" s="23"/>
      <c r="X6393" s="23"/>
      <c r="Y6393" s="23"/>
      <c r="Z6393" s="23"/>
    </row>
    <row r="6394" spans="1:26" ht="13">
      <c r="A6394" s="562" t="s">
        <v>13879</v>
      </c>
      <c r="B6394" s="563" t="s">
        <v>13880</v>
      </c>
      <c r="C6394" s="564" t="s">
        <v>6860</v>
      </c>
      <c r="D6394" s="565">
        <v>37803</v>
      </c>
      <c r="E6394" s="565">
        <v>37803</v>
      </c>
      <c r="F6394" s="567"/>
      <c r="G6394" s="564" t="s">
        <v>1116</v>
      </c>
      <c r="H6394" s="564"/>
      <c r="I6394" s="564" t="s">
        <v>12462</v>
      </c>
      <c r="J6394" s="564" t="s">
        <v>1069</v>
      </c>
      <c r="K6394" s="564" t="s">
        <v>1209</v>
      </c>
      <c r="L6394" s="564" t="s">
        <v>1071</v>
      </c>
      <c r="M6394" s="564" t="s">
        <v>1124</v>
      </c>
      <c r="N6394" s="564" t="s">
        <v>1082</v>
      </c>
      <c r="O6394" s="564" t="s">
        <v>38</v>
      </c>
      <c r="P6394" s="23"/>
      <c r="Q6394" s="23"/>
      <c r="R6394" s="23"/>
      <c r="S6394" s="23"/>
      <c r="T6394" s="23"/>
      <c r="U6394" s="23"/>
      <c r="V6394" s="23"/>
      <c r="W6394" s="23"/>
      <c r="X6394" s="23"/>
      <c r="Y6394" s="23"/>
      <c r="Z6394" s="23"/>
    </row>
    <row r="6395" spans="1:26" ht="13">
      <c r="A6395" s="562" t="s">
        <v>13881</v>
      </c>
      <c r="B6395" s="563" t="s">
        <v>13882</v>
      </c>
      <c r="C6395" s="564" t="s">
        <v>6860</v>
      </c>
      <c r="D6395" s="565">
        <v>37693</v>
      </c>
      <c r="E6395" s="565">
        <v>40177</v>
      </c>
      <c r="F6395" s="566">
        <v>856929973</v>
      </c>
      <c r="G6395" s="564" t="s">
        <v>1116</v>
      </c>
      <c r="H6395" s="564" t="s">
        <v>1640</v>
      </c>
      <c r="I6395" s="564" t="s">
        <v>11578</v>
      </c>
      <c r="J6395" s="564" t="s">
        <v>1069</v>
      </c>
      <c r="K6395" s="564" t="s">
        <v>1209</v>
      </c>
      <c r="L6395" s="564" t="s">
        <v>1390</v>
      </c>
      <c r="M6395" s="564" t="s">
        <v>1390</v>
      </c>
      <c r="N6395" s="564" t="s">
        <v>2325</v>
      </c>
      <c r="O6395" s="564" t="s">
        <v>38</v>
      </c>
      <c r="P6395" s="23"/>
      <c r="Q6395" s="23"/>
      <c r="R6395" s="23"/>
      <c r="S6395" s="23"/>
      <c r="T6395" s="23"/>
      <c r="U6395" s="23"/>
      <c r="V6395" s="23"/>
      <c r="W6395" s="23"/>
      <c r="X6395" s="23"/>
      <c r="Y6395" s="23"/>
      <c r="Z6395" s="23"/>
    </row>
    <row r="6396" spans="1:26" ht="13">
      <c r="A6396" s="562" t="s">
        <v>13883</v>
      </c>
      <c r="B6396" s="563" t="s">
        <v>13884</v>
      </c>
      <c r="C6396" s="564" t="s">
        <v>6860</v>
      </c>
      <c r="D6396" s="565">
        <v>37557</v>
      </c>
      <c r="E6396" s="565">
        <v>39507</v>
      </c>
      <c r="F6396" s="567"/>
      <c r="G6396" s="564" t="s">
        <v>10596</v>
      </c>
      <c r="H6396" s="564" t="s">
        <v>10596</v>
      </c>
      <c r="I6396" s="564" t="s">
        <v>13885</v>
      </c>
      <c r="J6396" s="564" t="s">
        <v>1069</v>
      </c>
      <c r="K6396" s="564" t="s">
        <v>1209</v>
      </c>
      <c r="L6396" s="564" t="s">
        <v>1390</v>
      </c>
      <c r="M6396" s="564" t="s">
        <v>1390</v>
      </c>
      <c r="N6396" s="564" t="s">
        <v>1082</v>
      </c>
      <c r="O6396" s="564" t="s">
        <v>38</v>
      </c>
      <c r="P6396" s="23"/>
      <c r="Q6396" s="23"/>
      <c r="R6396" s="23"/>
      <c r="S6396" s="23"/>
      <c r="T6396" s="23"/>
      <c r="U6396" s="23"/>
      <c r="V6396" s="23"/>
      <c r="W6396" s="23"/>
      <c r="X6396" s="23"/>
      <c r="Y6396" s="23"/>
      <c r="Z6396" s="23"/>
    </row>
    <row r="6397" spans="1:26" ht="13">
      <c r="A6397" s="562" t="s">
        <v>13886</v>
      </c>
      <c r="B6397" s="563" t="s">
        <v>13887</v>
      </c>
      <c r="C6397" s="564" t="s">
        <v>6860</v>
      </c>
      <c r="D6397" s="565">
        <v>37343</v>
      </c>
      <c r="E6397" s="565">
        <v>39447</v>
      </c>
      <c r="F6397" s="567"/>
      <c r="G6397" s="564" t="s">
        <v>10596</v>
      </c>
      <c r="H6397" s="564" t="s">
        <v>10596</v>
      </c>
      <c r="I6397" s="564" t="s">
        <v>13885</v>
      </c>
      <c r="J6397" s="564" t="s">
        <v>1069</v>
      </c>
      <c r="K6397" s="564" t="s">
        <v>1209</v>
      </c>
      <c r="L6397" s="564" t="s">
        <v>1390</v>
      </c>
      <c r="M6397" s="564" t="s">
        <v>1390</v>
      </c>
      <c r="N6397" s="564" t="s">
        <v>1082</v>
      </c>
      <c r="O6397" s="564" t="s">
        <v>38</v>
      </c>
      <c r="P6397" s="23"/>
      <c r="Q6397" s="23"/>
      <c r="R6397" s="23"/>
      <c r="S6397" s="23"/>
      <c r="T6397" s="23"/>
      <c r="U6397" s="23"/>
      <c r="V6397" s="23"/>
      <c r="W6397" s="23"/>
      <c r="X6397" s="23"/>
      <c r="Y6397" s="23"/>
      <c r="Z6397" s="23"/>
    </row>
    <row r="6398" spans="1:26" ht="13">
      <c r="A6398" s="562" t="s">
        <v>13888</v>
      </c>
      <c r="B6398" s="563" t="s">
        <v>13889</v>
      </c>
      <c r="C6398" s="564" t="s">
        <v>2191</v>
      </c>
      <c r="D6398" s="565">
        <v>38384</v>
      </c>
      <c r="E6398" s="565">
        <v>38717</v>
      </c>
      <c r="F6398" s="567"/>
      <c r="G6398" s="564" t="s">
        <v>13775</v>
      </c>
      <c r="H6398" s="564"/>
      <c r="I6398" s="564" t="s">
        <v>13890</v>
      </c>
      <c r="J6398" s="564" t="s">
        <v>1069</v>
      </c>
      <c r="K6398" s="564" t="s">
        <v>1198</v>
      </c>
      <c r="L6398" s="564" t="s">
        <v>1071</v>
      </c>
      <c r="M6398" s="564" t="s">
        <v>1091</v>
      </c>
      <c r="N6398" s="564" t="s">
        <v>1368</v>
      </c>
      <c r="O6398" s="564" t="s">
        <v>241</v>
      </c>
      <c r="P6398" s="23"/>
      <c r="Q6398" s="23"/>
      <c r="R6398" s="23"/>
      <c r="S6398" s="23"/>
      <c r="T6398" s="23"/>
      <c r="U6398" s="23"/>
      <c r="V6398" s="23"/>
      <c r="W6398" s="23"/>
      <c r="X6398" s="23"/>
      <c r="Y6398" s="23"/>
      <c r="Z6398" s="23"/>
    </row>
    <row r="6399" spans="1:26" ht="13">
      <c r="A6399" s="562" t="s">
        <v>13891</v>
      </c>
      <c r="B6399" s="563" t="s">
        <v>13892</v>
      </c>
      <c r="C6399" s="564" t="s">
        <v>2322</v>
      </c>
      <c r="D6399" s="565">
        <v>45481</v>
      </c>
      <c r="E6399" s="565">
        <v>45772</v>
      </c>
      <c r="F6399" s="566">
        <v>405454545</v>
      </c>
      <c r="G6399" s="564" t="s">
        <v>13893</v>
      </c>
      <c r="H6399" s="564" t="s">
        <v>2323</v>
      </c>
      <c r="I6399" s="564" t="s">
        <v>4326</v>
      </c>
      <c r="J6399" s="564" t="s">
        <v>2379</v>
      </c>
      <c r="K6399" s="564" t="s">
        <v>1209</v>
      </c>
      <c r="L6399" s="564" t="s">
        <v>1390</v>
      </c>
      <c r="M6399" s="564" t="s">
        <v>1390</v>
      </c>
      <c r="N6399" s="564" t="s">
        <v>2325</v>
      </c>
      <c r="O6399" s="564" t="s">
        <v>13894</v>
      </c>
      <c r="P6399" s="23"/>
      <c r="Q6399" s="23"/>
      <c r="R6399" s="23"/>
      <c r="S6399" s="23"/>
      <c r="T6399" s="23"/>
      <c r="U6399" s="23"/>
      <c r="V6399" s="23"/>
      <c r="W6399" s="23"/>
      <c r="X6399" s="23"/>
      <c r="Y6399" s="23"/>
      <c r="Z6399" s="23"/>
    </row>
    <row r="6400" spans="1:26" ht="13">
      <c r="A6400" s="562" t="s">
        <v>13895</v>
      </c>
      <c r="B6400" s="563" t="s">
        <v>13896</v>
      </c>
      <c r="C6400" s="564" t="s">
        <v>1455</v>
      </c>
      <c r="D6400" s="565">
        <v>45488</v>
      </c>
      <c r="E6400" s="565">
        <v>45596</v>
      </c>
      <c r="F6400" s="566">
        <v>110000000</v>
      </c>
      <c r="G6400" s="564" t="s">
        <v>2549</v>
      </c>
      <c r="H6400" s="564" t="s">
        <v>1182</v>
      </c>
      <c r="I6400" s="564" t="s">
        <v>170</v>
      </c>
      <c r="J6400" s="564" t="s">
        <v>2379</v>
      </c>
      <c r="K6400" s="564" t="s">
        <v>1105</v>
      </c>
      <c r="L6400" s="564" t="s">
        <v>1390</v>
      </c>
      <c r="M6400" s="564" t="s">
        <v>1390</v>
      </c>
      <c r="N6400" s="564" t="s">
        <v>170</v>
      </c>
      <c r="O6400" s="564" t="s">
        <v>13894</v>
      </c>
      <c r="P6400" s="23"/>
      <c r="Q6400" s="23"/>
      <c r="R6400" s="23"/>
      <c r="S6400" s="23"/>
      <c r="T6400" s="23"/>
      <c r="U6400" s="23"/>
      <c r="V6400" s="23"/>
      <c r="W6400" s="23"/>
      <c r="X6400" s="23"/>
      <c r="Y6400" s="23"/>
      <c r="Z6400" s="23"/>
    </row>
    <row r="6401" spans="1:26" ht="13">
      <c r="A6401" s="562" t="s">
        <v>13897</v>
      </c>
      <c r="B6401" s="563" t="s">
        <v>13898</v>
      </c>
      <c r="C6401" s="564" t="s">
        <v>1455</v>
      </c>
      <c r="D6401" s="565">
        <v>45299</v>
      </c>
      <c r="E6401" s="565">
        <v>45450</v>
      </c>
      <c r="F6401" s="566">
        <v>280000000</v>
      </c>
      <c r="G6401" s="564" t="s">
        <v>1564</v>
      </c>
      <c r="H6401" s="564" t="s">
        <v>1182</v>
      </c>
      <c r="I6401" s="564" t="s">
        <v>170</v>
      </c>
      <c r="J6401" s="564" t="s">
        <v>1069</v>
      </c>
      <c r="K6401" s="564" t="s">
        <v>1105</v>
      </c>
      <c r="L6401" s="564" t="s">
        <v>1390</v>
      </c>
      <c r="M6401" s="564" t="s">
        <v>1390</v>
      </c>
      <c r="N6401" s="564" t="s">
        <v>170</v>
      </c>
      <c r="O6401" s="564" t="s">
        <v>13894</v>
      </c>
      <c r="P6401" s="23"/>
      <c r="Q6401" s="23"/>
      <c r="R6401" s="23"/>
      <c r="S6401" s="23"/>
      <c r="T6401" s="23"/>
      <c r="U6401" s="23"/>
      <c r="V6401" s="23"/>
      <c r="W6401" s="23"/>
      <c r="X6401" s="23"/>
      <c r="Y6401" s="23"/>
      <c r="Z6401" s="23"/>
    </row>
    <row r="6402" spans="1:26" ht="13">
      <c r="A6402" s="562" t="s">
        <v>13899</v>
      </c>
      <c r="B6402" s="563" t="s">
        <v>13900</v>
      </c>
      <c r="C6402" s="564" t="s">
        <v>1455</v>
      </c>
      <c r="D6402" s="565">
        <v>45236</v>
      </c>
      <c r="E6402" s="565">
        <v>45478</v>
      </c>
      <c r="F6402" s="566">
        <v>430000000</v>
      </c>
      <c r="G6402" s="564" t="s">
        <v>2549</v>
      </c>
      <c r="H6402" s="564" t="s">
        <v>1182</v>
      </c>
      <c r="I6402" s="564" t="s">
        <v>170</v>
      </c>
      <c r="J6402" s="564" t="s">
        <v>1069</v>
      </c>
      <c r="K6402" s="564" t="s">
        <v>1105</v>
      </c>
      <c r="L6402" s="564" t="s">
        <v>1390</v>
      </c>
      <c r="M6402" s="564" t="s">
        <v>1390</v>
      </c>
      <c r="N6402" s="564" t="s">
        <v>170</v>
      </c>
      <c r="O6402" s="564" t="s">
        <v>13894</v>
      </c>
      <c r="P6402" s="23"/>
      <c r="Q6402" s="23"/>
      <c r="R6402" s="23"/>
      <c r="S6402" s="23"/>
      <c r="T6402" s="23"/>
      <c r="U6402" s="23"/>
      <c r="V6402" s="23"/>
      <c r="W6402" s="23"/>
      <c r="X6402" s="23"/>
      <c r="Y6402" s="23"/>
      <c r="Z6402" s="23"/>
    </row>
    <row r="6403" spans="1:26" ht="13">
      <c r="A6403" s="562" t="s">
        <v>55</v>
      </c>
      <c r="B6403" s="563" t="s">
        <v>54</v>
      </c>
      <c r="C6403" s="564" t="s">
        <v>1186</v>
      </c>
      <c r="D6403" s="565">
        <v>45203</v>
      </c>
      <c r="E6403" s="565">
        <v>45539</v>
      </c>
      <c r="F6403" s="566">
        <v>1110500000</v>
      </c>
      <c r="G6403" s="564" t="s">
        <v>2411</v>
      </c>
      <c r="H6403" s="564" t="s">
        <v>349</v>
      </c>
      <c r="I6403" s="564" t="s">
        <v>45</v>
      </c>
      <c r="J6403" s="564" t="s">
        <v>1069</v>
      </c>
      <c r="K6403" s="564" t="s">
        <v>1090</v>
      </c>
      <c r="L6403" s="564" t="s">
        <v>1390</v>
      </c>
      <c r="M6403" s="564" t="s">
        <v>1390</v>
      </c>
      <c r="N6403" s="564" t="s">
        <v>45</v>
      </c>
      <c r="O6403" s="564" t="s">
        <v>13894</v>
      </c>
      <c r="P6403" s="23"/>
      <c r="Q6403" s="23"/>
      <c r="R6403" s="23"/>
      <c r="S6403" s="23"/>
      <c r="T6403" s="23"/>
      <c r="U6403" s="23"/>
      <c r="V6403" s="23"/>
      <c r="W6403" s="23"/>
      <c r="X6403" s="23"/>
      <c r="Y6403" s="23"/>
      <c r="Z6403" s="23"/>
    </row>
    <row r="6404" spans="1:26" ht="13">
      <c r="A6404" s="562" t="s">
        <v>13901</v>
      </c>
      <c r="B6404" s="563" t="s">
        <v>13902</v>
      </c>
      <c r="C6404" s="564" t="s">
        <v>1076</v>
      </c>
      <c r="D6404" s="565">
        <v>45215</v>
      </c>
      <c r="E6404" s="565">
        <v>46332</v>
      </c>
      <c r="F6404" s="566">
        <v>6693117242</v>
      </c>
      <c r="G6404" s="564" t="s">
        <v>1116</v>
      </c>
      <c r="H6404" s="564" t="s">
        <v>1123</v>
      </c>
      <c r="I6404" s="564" t="s">
        <v>13903</v>
      </c>
      <c r="J6404" s="564" t="s">
        <v>2379</v>
      </c>
      <c r="K6404" s="564" t="s">
        <v>2430</v>
      </c>
      <c r="L6404" s="564" t="s">
        <v>1071</v>
      </c>
      <c r="M6404" s="564" t="s">
        <v>1124</v>
      </c>
      <c r="N6404" s="564" t="s">
        <v>2325</v>
      </c>
      <c r="O6404" s="564" t="s">
        <v>13894</v>
      </c>
      <c r="P6404" s="23"/>
      <c r="Q6404" s="23"/>
      <c r="R6404" s="23"/>
      <c r="S6404" s="23"/>
      <c r="T6404" s="23"/>
      <c r="U6404" s="23"/>
      <c r="V6404" s="23"/>
      <c r="W6404" s="23"/>
      <c r="X6404" s="23"/>
      <c r="Y6404" s="23"/>
      <c r="Z6404" s="23"/>
    </row>
    <row r="6405" spans="1:26" ht="13">
      <c r="A6405" s="562" t="s">
        <v>13904</v>
      </c>
      <c r="B6405" s="563" t="s">
        <v>13905</v>
      </c>
      <c r="C6405" s="564" t="s">
        <v>1475</v>
      </c>
      <c r="D6405" s="565">
        <v>45170</v>
      </c>
      <c r="E6405" s="565">
        <v>46203</v>
      </c>
      <c r="F6405" s="566">
        <v>11845454545</v>
      </c>
      <c r="G6405" s="564" t="s">
        <v>10789</v>
      </c>
      <c r="H6405" s="564" t="s">
        <v>1123</v>
      </c>
      <c r="I6405" s="564" t="s">
        <v>10790</v>
      </c>
      <c r="J6405" s="564" t="s">
        <v>2379</v>
      </c>
      <c r="K6405" s="564" t="s">
        <v>1205</v>
      </c>
      <c r="L6405" s="564" t="s">
        <v>1071</v>
      </c>
      <c r="M6405" s="564" t="s">
        <v>1091</v>
      </c>
      <c r="N6405" s="564" t="s">
        <v>1368</v>
      </c>
      <c r="O6405" s="564" t="s">
        <v>13894</v>
      </c>
      <c r="P6405" s="23"/>
      <c r="Q6405" s="23"/>
      <c r="R6405" s="23"/>
      <c r="S6405" s="23"/>
      <c r="T6405" s="23"/>
      <c r="U6405" s="23"/>
      <c r="V6405" s="23"/>
      <c r="W6405" s="23"/>
      <c r="X6405" s="23"/>
      <c r="Y6405" s="23"/>
      <c r="Z6405" s="23"/>
    </row>
    <row r="6406" spans="1:26" ht="13">
      <c r="A6406" s="562" t="s">
        <v>13906</v>
      </c>
      <c r="B6406" s="563" t="s">
        <v>13907</v>
      </c>
      <c r="C6406" s="564" t="s">
        <v>1652</v>
      </c>
      <c r="D6406" s="565">
        <v>45155</v>
      </c>
      <c r="E6406" s="565">
        <v>45307</v>
      </c>
      <c r="F6406" s="566">
        <v>347610000</v>
      </c>
      <c r="G6406" s="564" t="s">
        <v>1725</v>
      </c>
      <c r="H6406" s="564" t="s">
        <v>297</v>
      </c>
      <c r="I6406" s="564" t="s">
        <v>70</v>
      </c>
      <c r="J6406" s="564" t="s">
        <v>1069</v>
      </c>
      <c r="K6406" s="564" t="s">
        <v>1120</v>
      </c>
      <c r="L6406" s="564" t="s">
        <v>1390</v>
      </c>
      <c r="M6406" s="564" t="s">
        <v>1390</v>
      </c>
      <c r="N6406" s="564" t="s">
        <v>70</v>
      </c>
      <c r="O6406" s="564" t="s">
        <v>13894</v>
      </c>
      <c r="P6406" s="23"/>
      <c r="Q6406" s="23"/>
      <c r="R6406" s="23"/>
      <c r="S6406" s="23"/>
      <c r="T6406" s="23"/>
      <c r="U6406" s="23"/>
      <c r="V6406" s="23"/>
      <c r="W6406" s="23"/>
      <c r="X6406" s="23"/>
      <c r="Y6406" s="23"/>
      <c r="Z6406" s="23"/>
    </row>
    <row r="6407" spans="1:26" ht="13">
      <c r="A6407" s="562" t="s">
        <v>13908</v>
      </c>
      <c r="B6407" s="563" t="s">
        <v>13909</v>
      </c>
      <c r="C6407" s="564" t="s">
        <v>1631</v>
      </c>
      <c r="D6407" s="565">
        <v>45131</v>
      </c>
      <c r="E6407" s="565">
        <v>45421</v>
      </c>
      <c r="F6407" s="566">
        <v>1630000000</v>
      </c>
      <c r="G6407" s="564" t="s">
        <v>11139</v>
      </c>
      <c r="H6407" s="564" t="s">
        <v>1128</v>
      </c>
      <c r="I6407" s="564" t="s">
        <v>64</v>
      </c>
      <c r="J6407" s="564" t="s">
        <v>1069</v>
      </c>
      <c r="K6407" s="564" t="s">
        <v>1090</v>
      </c>
      <c r="L6407" s="564" t="s">
        <v>1390</v>
      </c>
      <c r="M6407" s="564" t="s">
        <v>1390</v>
      </c>
      <c r="N6407" s="564" t="s">
        <v>64</v>
      </c>
      <c r="O6407" s="564" t="s">
        <v>13894</v>
      </c>
      <c r="P6407" s="23"/>
      <c r="Q6407" s="23"/>
      <c r="R6407" s="23"/>
      <c r="S6407" s="23"/>
      <c r="T6407" s="23"/>
      <c r="U6407" s="23"/>
      <c r="V6407" s="23"/>
      <c r="W6407" s="23"/>
      <c r="X6407" s="23"/>
      <c r="Y6407" s="23"/>
      <c r="Z6407" s="23"/>
    </row>
    <row r="6408" spans="1:26" ht="13">
      <c r="A6408" s="562" t="s">
        <v>13910</v>
      </c>
      <c r="B6408" s="563" t="s">
        <v>13911</v>
      </c>
      <c r="C6408" s="564" t="s">
        <v>2322</v>
      </c>
      <c r="D6408" s="565">
        <v>45064</v>
      </c>
      <c r="E6408" s="565">
        <v>45856</v>
      </c>
      <c r="F6408" s="566">
        <v>3862608195</v>
      </c>
      <c r="G6408" s="564" t="s">
        <v>10596</v>
      </c>
      <c r="H6408" s="564" t="s">
        <v>1640</v>
      </c>
      <c r="I6408" s="564" t="s">
        <v>4326</v>
      </c>
      <c r="J6408" s="564" t="s">
        <v>2379</v>
      </c>
      <c r="K6408" s="564" t="s">
        <v>1209</v>
      </c>
      <c r="L6408" s="564" t="s">
        <v>1390</v>
      </c>
      <c r="M6408" s="564" t="s">
        <v>1390</v>
      </c>
      <c r="N6408" s="564" t="s">
        <v>2325</v>
      </c>
      <c r="O6408" s="564" t="s">
        <v>13894</v>
      </c>
      <c r="P6408" s="23"/>
      <c r="Q6408" s="23"/>
      <c r="R6408" s="23"/>
      <c r="S6408" s="23"/>
      <c r="T6408" s="23"/>
      <c r="U6408" s="23"/>
      <c r="V6408" s="23"/>
      <c r="W6408" s="23"/>
      <c r="X6408" s="23"/>
      <c r="Y6408" s="23"/>
      <c r="Z6408" s="23"/>
    </row>
    <row r="6409" spans="1:26" ht="13">
      <c r="A6409" s="562" t="s">
        <v>13912</v>
      </c>
      <c r="B6409" s="563" t="s">
        <v>13913</v>
      </c>
      <c r="C6409" s="564" t="s">
        <v>2322</v>
      </c>
      <c r="D6409" s="565">
        <v>45043</v>
      </c>
      <c r="E6409" s="565">
        <v>45657</v>
      </c>
      <c r="F6409" s="566">
        <v>7143872727</v>
      </c>
      <c r="G6409" s="564" t="s">
        <v>13914</v>
      </c>
      <c r="H6409" s="564" t="s">
        <v>2323</v>
      </c>
      <c r="I6409" s="564" t="s">
        <v>13915</v>
      </c>
      <c r="J6409" s="564" t="s">
        <v>2379</v>
      </c>
      <c r="K6409" s="564" t="s">
        <v>1209</v>
      </c>
      <c r="L6409" s="564" t="s">
        <v>1390</v>
      </c>
      <c r="M6409" s="564" t="s">
        <v>1390</v>
      </c>
      <c r="N6409" s="564" t="s">
        <v>2439</v>
      </c>
      <c r="O6409" s="564" t="s">
        <v>13894</v>
      </c>
      <c r="P6409" s="23"/>
      <c r="Q6409" s="23"/>
      <c r="R6409" s="23"/>
      <c r="S6409" s="23"/>
      <c r="T6409" s="23"/>
      <c r="U6409" s="23"/>
      <c r="V6409" s="23"/>
      <c r="W6409" s="23"/>
      <c r="X6409" s="23"/>
      <c r="Y6409" s="23"/>
      <c r="Z6409" s="23"/>
    </row>
    <row r="6410" spans="1:26" ht="13">
      <c r="A6410" s="562" t="s">
        <v>13916</v>
      </c>
      <c r="B6410" s="563" t="s">
        <v>13917</v>
      </c>
      <c r="C6410" s="564" t="s">
        <v>1475</v>
      </c>
      <c r="D6410" s="565">
        <v>44984</v>
      </c>
      <c r="E6410" s="565">
        <v>45590</v>
      </c>
      <c r="F6410" s="566">
        <v>4230000000</v>
      </c>
      <c r="G6410" s="564" t="s">
        <v>1197</v>
      </c>
      <c r="H6410" s="564" t="s">
        <v>1123</v>
      </c>
      <c r="I6410" s="564" t="s">
        <v>13918</v>
      </c>
      <c r="J6410" s="564" t="s">
        <v>2365</v>
      </c>
      <c r="K6410" s="564" t="s">
        <v>1070</v>
      </c>
      <c r="L6410" s="564" t="s">
        <v>1390</v>
      </c>
      <c r="M6410" s="564" t="s">
        <v>1390</v>
      </c>
      <c r="N6410" s="564" t="s">
        <v>1082</v>
      </c>
      <c r="O6410" s="564" t="s">
        <v>13894</v>
      </c>
      <c r="P6410" s="23"/>
      <c r="Q6410" s="23"/>
      <c r="R6410" s="23"/>
      <c r="S6410" s="23"/>
      <c r="T6410" s="23"/>
      <c r="U6410" s="23"/>
      <c r="V6410" s="23"/>
      <c r="W6410" s="23"/>
      <c r="X6410" s="23"/>
      <c r="Y6410" s="23"/>
      <c r="Z6410" s="23"/>
    </row>
    <row r="6411" spans="1:26" ht="13">
      <c r="A6411" s="562" t="s">
        <v>13919</v>
      </c>
      <c r="B6411" s="563" t="s">
        <v>13920</v>
      </c>
      <c r="C6411" s="564" t="s">
        <v>2322</v>
      </c>
      <c r="D6411" s="565">
        <v>44914</v>
      </c>
      <c r="E6411" s="565">
        <v>45585</v>
      </c>
      <c r="F6411" s="566">
        <v>1570000000</v>
      </c>
      <c r="G6411" s="564" t="s">
        <v>2428</v>
      </c>
      <c r="H6411" s="564" t="s">
        <v>2428</v>
      </c>
      <c r="I6411" s="564" t="s">
        <v>13921</v>
      </c>
      <c r="J6411" s="564" t="s">
        <v>2379</v>
      </c>
      <c r="K6411" s="564" t="s">
        <v>1209</v>
      </c>
      <c r="L6411" s="564" t="s">
        <v>1390</v>
      </c>
      <c r="M6411" s="564" t="s">
        <v>1390</v>
      </c>
      <c r="N6411" s="564" t="s">
        <v>2439</v>
      </c>
      <c r="O6411" s="564" t="s">
        <v>13894</v>
      </c>
      <c r="P6411" s="23"/>
      <c r="Q6411" s="23"/>
      <c r="R6411" s="23"/>
      <c r="S6411" s="23"/>
      <c r="T6411" s="23"/>
      <c r="U6411" s="23"/>
      <c r="V6411" s="23"/>
      <c r="W6411" s="23"/>
      <c r="X6411" s="23"/>
      <c r="Y6411" s="23"/>
      <c r="Z6411" s="23"/>
    </row>
    <row r="6412" spans="1:26" ht="13">
      <c r="A6412" s="562" t="s">
        <v>13922</v>
      </c>
      <c r="B6412" s="563" t="s">
        <v>13923</v>
      </c>
      <c r="C6412" s="564" t="s">
        <v>1652</v>
      </c>
      <c r="D6412" s="565">
        <v>44835</v>
      </c>
      <c r="E6412" s="565">
        <v>44926</v>
      </c>
      <c r="F6412" s="566">
        <v>152000000</v>
      </c>
      <c r="G6412" s="564" t="s">
        <v>10697</v>
      </c>
      <c r="H6412" s="564" t="s">
        <v>1187</v>
      </c>
      <c r="I6412" s="564" t="s">
        <v>70</v>
      </c>
      <c r="J6412" s="564" t="s">
        <v>1069</v>
      </c>
      <c r="K6412" s="564" t="s">
        <v>1120</v>
      </c>
      <c r="L6412" s="564" t="s">
        <v>1390</v>
      </c>
      <c r="M6412" s="564" t="s">
        <v>1390</v>
      </c>
      <c r="N6412" s="564" t="s">
        <v>70</v>
      </c>
      <c r="O6412" s="564" t="s">
        <v>13894</v>
      </c>
      <c r="P6412" s="23"/>
      <c r="Q6412" s="23"/>
      <c r="R6412" s="23"/>
      <c r="S6412" s="23"/>
      <c r="T6412" s="23"/>
      <c r="U6412" s="23"/>
      <c r="V6412" s="23"/>
      <c r="W6412" s="23"/>
      <c r="X6412" s="23"/>
      <c r="Y6412" s="23"/>
      <c r="Z6412" s="23"/>
    </row>
    <row r="6413" spans="1:26" ht="13">
      <c r="A6413" s="562" t="s">
        <v>13924</v>
      </c>
      <c r="B6413" s="563" t="s">
        <v>13925</v>
      </c>
      <c r="C6413" s="564" t="s">
        <v>1475</v>
      </c>
      <c r="D6413" s="565">
        <v>44713</v>
      </c>
      <c r="E6413" s="565">
        <v>45808</v>
      </c>
      <c r="F6413" s="566">
        <v>543300000</v>
      </c>
      <c r="G6413" s="564" t="s">
        <v>10649</v>
      </c>
      <c r="H6413" s="564" t="s">
        <v>1123</v>
      </c>
      <c r="I6413" s="564" t="s">
        <v>1417</v>
      </c>
      <c r="J6413" s="564" t="s">
        <v>2379</v>
      </c>
      <c r="K6413" s="564" t="s">
        <v>1070</v>
      </c>
      <c r="L6413" s="564" t="s">
        <v>1071</v>
      </c>
      <c r="M6413" s="564" t="s">
        <v>1091</v>
      </c>
      <c r="N6413" s="564" t="s">
        <v>1082</v>
      </c>
      <c r="O6413" s="564" t="s">
        <v>13894</v>
      </c>
      <c r="P6413" s="23"/>
      <c r="Q6413" s="23"/>
      <c r="R6413" s="23"/>
      <c r="S6413" s="23"/>
      <c r="T6413" s="23"/>
      <c r="U6413" s="23"/>
      <c r="V6413" s="23"/>
      <c r="W6413" s="23"/>
      <c r="X6413" s="23"/>
      <c r="Y6413" s="23"/>
      <c r="Z6413" s="23"/>
    </row>
    <row r="6414" spans="1:26" ht="13">
      <c r="A6414" s="562" t="s">
        <v>13926</v>
      </c>
      <c r="B6414" s="563" t="s">
        <v>13927</v>
      </c>
      <c r="C6414" s="564" t="s">
        <v>1455</v>
      </c>
      <c r="D6414" s="565">
        <v>44641</v>
      </c>
      <c r="E6414" s="565">
        <v>44946</v>
      </c>
      <c r="F6414" s="566">
        <v>584259524</v>
      </c>
      <c r="G6414" s="564" t="s">
        <v>1999</v>
      </c>
      <c r="H6414" s="564" t="s">
        <v>1157</v>
      </c>
      <c r="I6414" s="564" t="s">
        <v>170</v>
      </c>
      <c r="J6414" s="564" t="s">
        <v>1069</v>
      </c>
      <c r="K6414" s="564" t="s">
        <v>1105</v>
      </c>
      <c r="L6414" s="564" t="s">
        <v>1390</v>
      </c>
      <c r="M6414" s="564" t="s">
        <v>1390</v>
      </c>
      <c r="N6414" s="564" t="s">
        <v>170</v>
      </c>
      <c r="O6414" s="564" t="s">
        <v>13894</v>
      </c>
      <c r="P6414" s="23"/>
      <c r="Q6414" s="23"/>
      <c r="R6414" s="23"/>
      <c r="S6414" s="23"/>
      <c r="T6414" s="23"/>
      <c r="U6414" s="23"/>
      <c r="V6414" s="23"/>
      <c r="W6414" s="23"/>
      <c r="X6414" s="23"/>
      <c r="Y6414" s="23"/>
      <c r="Z6414" s="23"/>
    </row>
    <row r="6415" spans="1:26" ht="13">
      <c r="A6415" s="562" t="s">
        <v>13928</v>
      </c>
      <c r="B6415" s="563" t="s">
        <v>13929</v>
      </c>
      <c r="C6415" s="564" t="s">
        <v>2322</v>
      </c>
      <c r="D6415" s="565">
        <v>44659</v>
      </c>
      <c r="E6415" s="565">
        <v>44865</v>
      </c>
      <c r="F6415" s="566">
        <v>1139000000</v>
      </c>
      <c r="G6415" s="564" t="s">
        <v>10596</v>
      </c>
      <c r="H6415" s="564" t="s">
        <v>1640</v>
      </c>
      <c r="I6415" s="564" t="s">
        <v>45</v>
      </c>
      <c r="J6415" s="564" t="s">
        <v>1069</v>
      </c>
      <c r="K6415" s="564" t="s">
        <v>1090</v>
      </c>
      <c r="L6415" s="564" t="s">
        <v>1390</v>
      </c>
      <c r="M6415" s="564" t="s">
        <v>1390</v>
      </c>
      <c r="N6415" s="564" t="s">
        <v>45</v>
      </c>
      <c r="O6415" s="564" t="s">
        <v>13894</v>
      </c>
      <c r="P6415" s="23"/>
      <c r="Q6415" s="23"/>
      <c r="R6415" s="23"/>
      <c r="S6415" s="23"/>
      <c r="T6415" s="23"/>
      <c r="U6415" s="23"/>
      <c r="V6415" s="23"/>
      <c r="W6415" s="23"/>
      <c r="X6415" s="23"/>
      <c r="Y6415" s="23"/>
      <c r="Z6415" s="23"/>
    </row>
    <row r="6416" spans="1:26" ht="13">
      <c r="A6416" s="562" t="s">
        <v>13930</v>
      </c>
      <c r="B6416" s="563" t="s">
        <v>13931</v>
      </c>
      <c r="C6416" s="564" t="s">
        <v>1652</v>
      </c>
      <c r="D6416" s="565">
        <v>44621</v>
      </c>
      <c r="E6416" s="565">
        <v>44804</v>
      </c>
      <c r="F6416" s="566">
        <v>372036000</v>
      </c>
      <c r="G6416" s="564" t="s">
        <v>10697</v>
      </c>
      <c r="H6416" s="564" t="s">
        <v>297</v>
      </c>
      <c r="I6416" s="564" t="s">
        <v>70</v>
      </c>
      <c r="J6416" s="564" t="s">
        <v>1069</v>
      </c>
      <c r="K6416" s="564" t="s">
        <v>1120</v>
      </c>
      <c r="L6416" s="564" t="s">
        <v>1390</v>
      </c>
      <c r="M6416" s="564" t="s">
        <v>1390</v>
      </c>
      <c r="N6416" s="564" t="s">
        <v>70</v>
      </c>
      <c r="O6416" s="564" t="s">
        <v>13894</v>
      </c>
      <c r="P6416" s="23"/>
      <c r="Q6416" s="23"/>
      <c r="R6416" s="23"/>
      <c r="S6416" s="23"/>
      <c r="T6416" s="23"/>
      <c r="U6416" s="23"/>
      <c r="V6416" s="23"/>
      <c r="W6416" s="23"/>
      <c r="X6416" s="23"/>
      <c r="Y6416" s="23"/>
      <c r="Z6416" s="23"/>
    </row>
    <row r="6417" spans="1:26" ht="13">
      <c r="A6417" s="562" t="s">
        <v>13932</v>
      </c>
      <c r="B6417" s="563" t="s">
        <v>13933</v>
      </c>
      <c r="C6417" s="564" t="s">
        <v>1475</v>
      </c>
      <c r="D6417" s="565">
        <v>44553</v>
      </c>
      <c r="E6417" s="565">
        <v>45351</v>
      </c>
      <c r="F6417" s="566">
        <v>2005000000</v>
      </c>
      <c r="G6417" s="564" t="s">
        <v>1729</v>
      </c>
      <c r="H6417" s="564" t="s">
        <v>1123</v>
      </c>
      <c r="I6417" s="564" t="s">
        <v>13918</v>
      </c>
      <c r="J6417" s="564" t="s">
        <v>1069</v>
      </c>
      <c r="K6417" s="564" t="s">
        <v>1070</v>
      </c>
      <c r="L6417" s="564" t="s">
        <v>1390</v>
      </c>
      <c r="M6417" s="564" t="s">
        <v>1390</v>
      </c>
      <c r="N6417" s="564" t="s">
        <v>1082</v>
      </c>
      <c r="O6417" s="564" t="s">
        <v>13894</v>
      </c>
      <c r="P6417" s="23"/>
      <c r="Q6417" s="23"/>
      <c r="R6417" s="23"/>
      <c r="S6417" s="23"/>
      <c r="T6417" s="23"/>
      <c r="U6417" s="23"/>
      <c r="V6417" s="23"/>
      <c r="W6417" s="23"/>
      <c r="X6417" s="23"/>
      <c r="Y6417" s="23"/>
      <c r="Z6417" s="23"/>
    </row>
    <row r="6418" spans="1:26" ht="13">
      <c r="A6418" s="562" t="s">
        <v>13934</v>
      </c>
      <c r="B6418" s="563" t="s">
        <v>13935</v>
      </c>
      <c r="C6418" s="564" t="s">
        <v>2322</v>
      </c>
      <c r="D6418" s="565">
        <v>44550</v>
      </c>
      <c r="E6418" s="565">
        <v>44895</v>
      </c>
      <c r="F6418" s="566">
        <v>770298354</v>
      </c>
      <c r="G6418" s="564" t="s">
        <v>13914</v>
      </c>
      <c r="H6418" s="564" t="s">
        <v>2428</v>
      </c>
      <c r="I6418" s="564" t="s">
        <v>13921</v>
      </c>
      <c r="J6418" s="564" t="s">
        <v>1069</v>
      </c>
      <c r="K6418" s="564" t="s">
        <v>1209</v>
      </c>
      <c r="L6418" s="564" t="s">
        <v>1390</v>
      </c>
      <c r="M6418" s="564" t="s">
        <v>1390</v>
      </c>
      <c r="N6418" s="564" t="s">
        <v>2439</v>
      </c>
      <c r="O6418" s="564" t="s">
        <v>13894</v>
      </c>
      <c r="P6418" s="23"/>
      <c r="Q6418" s="23"/>
      <c r="R6418" s="23"/>
      <c r="S6418" s="23"/>
      <c r="T6418" s="23"/>
      <c r="U6418" s="23"/>
      <c r="V6418" s="23"/>
      <c r="W6418" s="23"/>
      <c r="X6418" s="23"/>
      <c r="Y6418" s="23"/>
      <c r="Z6418" s="23"/>
    </row>
    <row r="6419" spans="1:26" ht="13">
      <c r="A6419" s="562" t="s">
        <v>13936</v>
      </c>
      <c r="B6419" s="563" t="s">
        <v>13937</v>
      </c>
      <c r="C6419" s="564" t="s">
        <v>1455</v>
      </c>
      <c r="D6419" s="565">
        <v>44455</v>
      </c>
      <c r="E6419" s="565">
        <v>44926</v>
      </c>
      <c r="F6419" s="566">
        <v>160000000</v>
      </c>
      <c r="G6419" s="564" t="s">
        <v>10823</v>
      </c>
      <c r="H6419" s="564" t="s">
        <v>4343</v>
      </c>
      <c r="I6419" s="564" t="s">
        <v>225</v>
      </c>
      <c r="J6419" s="564" t="s">
        <v>1079</v>
      </c>
      <c r="K6419" s="564" t="s">
        <v>1105</v>
      </c>
      <c r="L6419" s="564" t="s">
        <v>1390</v>
      </c>
      <c r="M6419" s="564" t="s">
        <v>1390</v>
      </c>
      <c r="N6419" s="564" t="s">
        <v>225</v>
      </c>
      <c r="O6419" s="564" t="s">
        <v>13894</v>
      </c>
      <c r="P6419" s="23"/>
      <c r="Q6419" s="23"/>
      <c r="R6419" s="23"/>
      <c r="S6419" s="23"/>
      <c r="T6419" s="23"/>
      <c r="U6419" s="23"/>
      <c r="V6419" s="23"/>
      <c r="W6419" s="23"/>
      <c r="X6419" s="23"/>
      <c r="Y6419" s="23"/>
      <c r="Z6419" s="23"/>
    </row>
    <row r="6420" spans="1:26" ht="13">
      <c r="A6420" s="562" t="s">
        <v>13938</v>
      </c>
      <c r="B6420" s="563" t="s">
        <v>13939</v>
      </c>
      <c r="C6420" s="564" t="s">
        <v>1455</v>
      </c>
      <c r="D6420" s="565">
        <v>44393</v>
      </c>
      <c r="E6420" s="565">
        <v>44592</v>
      </c>
      <c r="F6420" s="566">
        <v>170000000</v>
      </c>
      <c r="G6420" s="564" t="s">
        <v>13940</v>
      </c>
      <c r="H6420" s="564" t="s">
        <v>1157</v>
      </c>
      <c r="I6420" s="564" t="s">
        <v>170</v>
      </c>
      <c r="J6420" s="564" t="s">
        <v>1069</v>
      </c>
      <c r="K6420" s="564" t="s">
        <v>1105</v>
      </c>
      <c r="L6420" s="564" t="s">
        <v>1390</v>
      </c>
      <c r="M6420" s="564" t="s">
        <v>1390</v>
      </c>
      <c r="N6420" s="564" t="s">
        <v>170</v>
      </c>
      <c r="O6420" s="564" t="s">
        <v>13894</v>
      </c>
      <c r="P6420" s="23"/>
      <c r="Q6420" s="23"/>
      <c r="R6420" s="23"/>
      <c r="S6420" s="23"/>
      <c r="T6420" s="23"/>
      <c r="U6420" s="23"/>
      <c r="V6420" s="23"/>
      <c r="W6420" s="23"/>
      <c r="X6420" s="23"/>
      <c r="Y6420" s="23"/>
      <c r="Z6420" s="23"/>
    </row>
    <row r="6421" spans="1:26" ht="13">
      <c r="A6421" s="562" t="s">
        <v>13941</v>
      </c>
      <c r="B6421" s="563" t="s">
        <v>13942</v>
      </c>
      <c r="C6421" s="564" t="s">
        <v>2322</v>
      </c>
      <c r="D6421" s="565">
        <v>44390</v>
      </c>
      <c r="E6421" s="565">
        <v>44651</v>
      </c>
      <c r="F6421" s="566">
        <v>594640679</v>
      </c>
      <c r="G6421" s="564" t="s">
        <v>10602</v>
      </c>
      <c r="H6421" s="564" t="s">
        <v>1640</v>
      </c>
      <c r="I6421" s="564" t="s">
        <v>13242</v>
      </c>
      <c r="J6421" s="564" t="s">
        <v>1069</v>
      </c>
      <c r="K6421" s="564" t="s">
        <v>1209</v>
      </c>
      <c r="L6421" s="564" t="s">
        <v>1390</v>
      </c>
      <c r="M6421" s="564" t="s">
        <v>1390</v>
      </c>
      <c r="N6421" s="564" t="s">
        <v>2325</v>
      </c>
      <c r="O6421" s="564" t="s">
        <v>13894</v>
      </c>
      <c r="P6421" s="23"/>
      <c r="Q6421" s="23"/>
      <c r="R6421" s="23"/>
      <c r="S6421" s="23"/>
      <c r="T6421" s="23"/>
      <c r="U6421" s="23"/>
      <c r="V6421" s="23"/>
      <c r="W6421" s="23"/>
      <c r="X6421" s="23"/>
      <c r="Y6421" s="23"/>
      <c r="Z6421" s="23"/>
    </row>
    <row r="6422" spans="1:26" ht="13">
      <c r="A6422" s="562" t="s">
        <v>13943</v>
      </c>
      <c r="B6422" s="563" t="s">
        <v>13944</v>
      </c>
      <c r="C6422" s="564" t="s">
        <v>2322</v>
      </c>
      <c r="D6422" s="565">
        <v>44379</v>
      </c>
      <c r="E6422" s="565">
        <v>45626</v>
      </c>
      <c r="F6422" s="566">
        <v>4155597968</v>
      </c>
      <c r="G6422" s="564" t="s">
        <v>13945</v>
      </c>
      <c r="H6422" s="564" t="s">
        <v>1640</v>
      </c>
      <c r="I6422" s="564" t="s">
        <v>13242</v>
      </c>
      <c r="J6422" s="564" t="s">
        <v>13946</v>
      </c>
      <c r="K6422" s="564" t="s">
        <v>1209</v>
      </c>
      <c r="L6422" s="564" t="s">
        <v>1390</v>
      </c>
      <c r="M6422" s="564" t="s">
        <v>1390</v>
      </c>
      <c r="N6422" s="564" t="s">
        <v>2325</v>
      </c>
      <c r="O6422" s="564" t="s">
        <v>13894</v>
      </c>
      <c r="P6422" s="23"/>
      <c r="Q6422" s="23"/>
      <c r="R6422" s="23"/>
      <c r="S6422" s="23"/>
      <c r="T6422" s="23"/>
      <c r="U6422" s="23"/>
      <c r="V6422" s="23"/>
      <c r="W6422" s="23"/>
      <c r="X6422" s="23"/>
      <c r="Y6422" s="23"/>
      <c r="Z6422" s="23"/>
    </row>
    <row r="6423" spans="1:26" ht="13">
      <c r="A6423" s="562" t="s">
        <v>13947</v>
      </c>
      <c r="B6423" s="563" t="s">
        <v>13948</v>
      </c>
      <c r="C6423" s="564" t="s">
        <v>1475</v>
      </c>
      <c r="D6423" s="565">
        <v>44389</v>
      </c>
      <c r="E6423" s="565">
        <v>44603</v>
      </c>
      <c r="F6423" s="566">
        <v>317000000</v>
      </c>
      <c r="G6423" s="564" t="s">
        <v>2492</v>
      </c>
      <c r="H6423" s="564" t="s">
        <v>297</v>
      </c>
      <c r="I6423" s="564" t="s">
        <v>1247</v>
      </c>
      <c r="J6423" s="564" t="s">
        <v>1069</v>
      </c>
      <c r="K6423" s="564" t="s">
        <v>1070</v>
      </c>
      <c r="L6423" s="564" t="s">
        <v>1390</v>
      </c>
      <c r="M6423" s="564" t="s">
        <v>1390</v>
      </c>
      <c r="N6423" s="564" t="s">
        <v>1073</v>
      </c>
      <c r="O6423" s="564" t="s">
        <v>13894</v>
      </c>
      <c r="P6423" s="23"/>
      <c r="Q6423" s="23"/>
      <c r="R6423" s="23"/>
      <c r="S6423" s="23"/>
      <c r="T6423" s="23"/>
      <c r="U6423" s="23"/>
      <c r="V6423" s="23"/>
      <c r="W6423" s="23"/>
      <c r="X6423" s="23"/>
      <c r="Y6423" s="23"/>
      <c r="Z6423" s="23"/>
    </row>
    <row r="6424" spans="1:26" ht="13">
      <c r="A6424" s="562" t="s">
        <v>13949</v>
      </c>
      <c r="B6424" s="563" t="s">
        <v>13950</v>
      </c>
      <c r="C6424" s="564" t="s">
        <v>1455</v>
      </c>
      <c r="D6424" s="565">
        <v>44378</v>
      </c>
      <c r="E6424" s="565">
        <v>44620</v>
      </c>
      <c r="F6424" s="566">
        <v>649000000</v>
      </c>
      <c r="G6424" s="564" t="s">
        <v>11139</v>
      </c>
      <c r="H6424" s="564" t="s">
        <v>1157</v>
      </c>
      <c r="I6424" s="564" t="s">
        <v>170</v>
      </c>
      <c r="J6424" s="564" t="s">
        <v>1069</v>
      </c>
      <c r="K6424" s="564" t="s">
        <v>1105</v>
      </c>
      <c r="L6424" s="564" t="s">
        <v>1390</v>
      </c>
      <c r="M6424" s="564" t="s">
        <v>1390</v>
      </c>
      <c r="N6424" s="564" t="s">
        <v>170</v>
      </c>
      <c r="O6424" s="564" t="s">
        <v>13894</v>
      </c>
      <c r="P6424" s="23"/>
      <c r="Q6424" s="23"/>
      <c r="R6424" s="23"/>
      <c r="S6424" s="23"/>
      <c r="T6424" s="23"/>
      <c r="U6424" s="23"/>
      <c r="V6424" s="23"/>
      <c r="W6424" s="23"/>
      <c r="X6424" s="23"/>
      <c r="Y6424" s="23"/>
      <c r="Z6424" s="23"/>
    </row>
    <row r="6425" spans="1:26" ht="13">
      <c r="A6425" s="562" t="s">
        <v>13951</v>
      </c>
      <c r="B6425" s="563" t="s">
        <v>13952</v>
      </c>
      <c r="C6425" s="564" t="s">
        <v>1455</v>
      </c>
      <c r="D6425" s="565">
        <v>44350</v>
      </c>
      <c r="E6425" s="565">
        <v>44681</v>
      </c>
      <c r="F6425" s="566">
        <v>538000000</v>
      </c>
      <c r="G6425" s="564" t="s">
        <v>11328</v>
      </c>
      <c r="H6425" s="564" t="s">
        <v>1157</v>
      </c>
      <c r="I6425" s="564" t="s">
        <v>170</v>
      </c>
      <c r="J6425" s="564" t="s">
        <v>1069</v>
      </c>
      <c r="K6425" s="564" t="s">
        <v>1105</v>
      </c>
      <c r="L6425" s="564" t="s">
        <v>1390</v>
      </c>
      <c r="M6425" s="564" t="s">
        <v>1390</v>
      </c>
      <c r="N6425" s="564" t="s">
        <v>170</v>
      </c>
      <c r="O6425" s="564" t="s">
        <v>13894</v>
      </c>
      <c r="P6425" s="23"/>
      <c r="Q6425" s="23"/>
      <c r="R6425" s="23"/>
      <c r="S6425" s="23"/>
      <c r="T6425" s="23"/>
      <c r="U6425" s="23"/>
      <c r="V6425" s="23"/>
      <c r="W6425" s="23"/>
      <c r="X6425" s="23"/>
      <c r="Y6425" s="23"/>
      <c r="Z6425" s="23"/>
    </row>
    <row r="6426" spans="1:26" ht="13">
      <c r="A6426" s="562" t="s">
        <v>13953</v>
      </c>
      <c r="B6426" s="563" t="s">
        <v>13954</v>
      </c>
      <c r="C6426" s="564" t="s">
        <v>1370</v>
      </c>
      <c r="D6426" s="565">
        <v>44326</v>
      </c>
      <c r="E6426" s="565">
        <v>44712</v>
      </c>
      <c r="F6426" s="566">
        <v>1477000000</v>
      </c>
      <c r="G6426" s="564" t="s">
        <v>1564</v>
      </c>
      <c r="H6426" s="564" t="s">
        <v>1182</v>
      </c>
      <c r="I6426" s="564" t="s">
        <v>802</v>
      </c>
      <c r="J6426" s="564" t="s">
        <v>1069</v>
      </c>
      <c r="K6426" s="564" t="s">
        <v>1198</v>
      </c>
      <c r="L6426" s="564" t="s">
        <v>1390</v>
      </c>
      <c r="M6426" s="564" t="s">
        <v>1390</v>
      </c>
      <c r="N6426" s="564" t="s">
        <v>132</v>
      </c>
      <c r="O6426" s="564" t="s">
        <v>13894</v>
      </c>
      <c r="P6426" s="23"/>
      <c r="Q6426" s="23"/>
      <c r="R6426" s="23"/>
      <c r="S6426" s="23"/>
      <c r="T6426" s="23"/>
      <c r="U6426" s="23"/>
      <c r="V6426" s="23"/>
      <c r="W6426" s="23"/>
      <c r="X6426" s="23"/>
      <c r="Y6426" s="23"/>
      <c r="Z6426" s="23"/>
    </row>
    <row r="6427" spans="1:26" ht="13">
      <c r="A6427" s="562" t="s">
        <v>13955</v>
      </c>
      <c r="B6427" s="563" t="s">
        <v>13956</v>
      </c>
      <c r="C6427" s="564" t="s">
        <v>1475</v>
      </c>
      <c r="D6427" s="565">
        <v>44298</v>
      </c>
      <c r="E6427" s="565">
        <v>44607</v>
      </c>
      <c r="F6427" s="566">
        <v>8134140000</v>
      </c>
      <c r="G6427" s="564" t="s">
        <v>13957</v>
      </c>
      <c r="H6427" s="564" t="s">
        <v>4343</v>
      </c>
      <c r="I6427" s="564" t="s">
        <v>10748</v>
      </c>
      <c r="J6427" s="564" t="s">
        <v>1069</v>
      </c>
      <c r="K6427" s="564" t="s">
        <v>2878</v>
      </c>
      <c r="L6427" s="564" t="s">
        <v>1390</v>
      </c>
      <c r="M6427" s="564" t="s">
        <v>1390</v>
      </c>
      <c r="N6427" s="564" t="s">
        <v>2325</v>
      </c>
      <c r="O6427" s="564" t="s">
        <v>13894</v>
      </c>
      <c r="P6427" s="23"/>
      <c r="Q6427" s="23"/>
      <c r="R6427" s="23"/>
      <c r="S6427" s="23"/>
      <c r="T6427" s="23"/>
      <c r="U6427" s="23"/>
      <c r="V6427" s="23"/>
      <c r="W6427" s="23"/>
      <c r="X6427" s="23"/>
      <c r="Y6427" s="23"/>
      <c r="Z6427" s="23"/>
    </row>
    <row r="6428" spans="1:26" ht="13">
      <c r="A6428" s="562" t="s">
        <v>13958</v>
      </c>
      <c r="B6428" s="563" t="s">
        <v>13959</v>
      </c>
      <c r="C6428" s="564" t="s">
        <v>1455</v>
      </c>
      <c r="D6428" s="565">
        <v>44214</v>
      </c>
      <c r="E6428" s="565">
        <v>44425</v>
      </c>
      <c r="F6428" s="566">
        <v>260000000</v>
      </c>
      <c r="G6428" s="564" t="s">
        <v>1729</v>
      </c>
      <c r="H6428" s="564" t="s">
        <v>1157</v>
      </c>
      <c r="I6428" s="564" t="s">
        <v>170</v>
      </c>
      <c r="J6428" s="564" t="s">
        <v>1069</v>
      </c>
      <c r="K6428" s="564" t="s">
        <v>1105</v>
      </c>
      <c r="L6428" s="564" t="s">
        <v>1390</v>
      </c>
      <c r="M6428" s="564" t="s">
        <v>1390</v>
      </c>
      <c r="N6428" s="564" t="s">
        <v>170</v>
      </c>
      <c r="O6428" s="564" t="s">
        <v>13894</v>
      </c>
      <c r="P6428" s="23"/>
      <c r="Q6428" s="23"/>
      <c r="R6428" s="23"/>
      <c r="S6428" s="23"/>
      <c r="T6428" s="23"/>
      <c r="U6428" s="23"/>
      <c r="V6428" s="23"/>
      <c r="W6428" s="23"/>
      <c r="X6428" s="23"/>
      <c r="Y6428" s="23"/>
      <c r="Z6428" s="23"/>
    </row>
    <row r="6429" spans="1:26" ht="13">
      <c r="A6429" s="562" t="s">
        <v>13960</v>
      </c>
      <c r="B6429" s="563" t="s">
        <v>13961</v>
      </c>
      <c r="C6429" s="564" t="s">
        <v>2322</v>
      </c>
      <c r="D6429" s="565">
        <v>44181</v>
      </c>
      <c r="E6429" s="565">
        <v>45086</v>
      </c>
      <c r="F6429" s="566">
        <v>2263837137</v>
      </c>
      <c r="G6429" s="564" t="s">
        <v>2202</v>
      </c>
      <c r="H6429" s="564" t="s">
        <v>1640</v>
      </c>
      <c r="I6429" s="564" t="s">
        <v>11791</v>
      </c>
      <c r="J6429" s="564" t="s">
        <v>1069</v>
      </c>
      <c r="K6429" s="564" t="s">
        <v>1209</v>
      </c>
      <c r="L6429" s="564" t="s">
        <v>1390</v>
      </c>
      <c r="M6429" s="564" t="s">
        <v>1390</v>
      </c>
      <c r="N6429" s="564" t="s">
        <v>2439</v>
      </c>
      <c r="O6429" s="564" t="s">
        <v>13894</v>
      </c>
      <c r="P6429" s="23"/>
      <c r="Q6429" s="23"/>
      <c r="R6429" s="23"/>
      <c r="S6429" s="23"/>
      <c r="T6429" s="23"/>
      <c r="U6429" s="23"/>
      <c r="V6429" s="23"/>
      <c r="W6429" s="23"/>
      <c r="X6429" s="23"/>
      <c r="Y6429" s="23"/>
      <c r="Z6429" s="23"/>
    </row>
    <row r="6430" spans="1:26" ht="13">
      <c r="A6430" s="562" t="s">
        <v>13962</v>
      </c>
      <c r="B6430" s="563" t="s">
        <v>13963</v>
      </c>
      <c r="C6430" s="564" t="s">
        <v>1475</v>
      </c>
      <c r="D6430" s="565">
        <v>44175</v>
      </c>
      <c r="E6430" s="565">
        <v>44449</v>
      </c>
      <c r="F6430" s="566">
        <v>2367000000</v>
      </c>
      <c r="G6430" s="564" t="s">
        <v>10710</v>
      </c>
      <c r="H6430" s="564" t="s">
        <v>1912</v>
      </c>
      <c r="I6430" s="564" t="s">
        <v>10748</v>
      </c>
      <c r="J6430" s="564" t="s">
        <v>1069</v>
      </c>
      <c r="K6430" s="564" t="s">
        <v>2878</v>
      </c>
      <c r="L6430" s="564" t="s">
        <v>1390</v>
      </c>
      <c r="M6430" s="564" t="s">
        <v>1390</v>
      </c>
      <c r="N6430" s="564" t="s">
        <v>2325</v>
      </c>
      <c r="O6430" s="564" t="s">
        <v>13894</v>
      </c>
      <c r="P6430" s="23"/>
      <c r="Q6430" s="23"/>
      <c r="R6430" s="23"/>
      <c r="S6430" s="23"/>
      <c r="T6430" s="23"/>
      <c r="U6430" s="23"/>
      <c r="V6430" s="23"/>
      <c r="W6430" s="23"/>
      <c r="X6430" s="23"/>
      <c r="Y6430" s="23"/>
      <c r="Z6430" s="23"/>
    </row>
    <row r="6431" spans="1:26" ht="13">
      <c r="A6431" s="562" t="s">
        <v>13964</v>
      </c>
      <c r="B6431" s="563" t="s">
        <v>13965</v>
      </c>
      <c r="C6431" s="564" t="s">
        <v>353</v>
      </c>
      <c r="D6431" s="565">
        <v>44181</v>
      </c>
      <c r="E6431" s="565">
        <v>45535</v>
      </c>
      <c r="F6431" s="566">
        <v>2089000000</v>
      </c>
      <c r="G6431" s="564" t="s">
        <v>1405</v>
      </c>
      <c r="H6431" s="564" t="s">
        <v>1128</v>
      </c>
      <c r="I6431" s="564" t="s">
        <v>13966</v>
      </c>
      <c r="J6431" s="564" t="s">
        <v>1069</v>
      </c>
      <c r="K6431" s="564" t="s">
        <v>1209</v>
      </c>
      <c r="L6431" s="564" t="s">
        <v>1390</v>
      </c>
      <c r="M6431" s="564" t="s">
        <v>1390</v>
      </c>
      <c r="N6431" s="564" t="s">
        <v>1082</v>
      </c>
      <c r="O6431" s="564" t="s">
        <v>13894</v>
      </c>
      <c r="P6431" s="23"/>
      <c r="Q6431" s="23"/>
      <c r="R6431" s="23"/>
      <c r="S6431" s="23"/>
      <c r="T6431" s="23"/>
      <c r="U6431" s="23"/>
      <c r="V6431" s="23"/>
      <c r="W6431" s="23"/>
      <c r="X6431" s="23"/>
      <c r="Y6431" s="23"/>
      <c r="Z6431" s="23"/>
    </row>
    <row r="6432" spans="1:26" ht="13">
      <c r="A6432" s="562" t="s">
        <v>13967</v>
      </c>
      <c r="B6432" s="563" t="s">
        <v>13968</v>
      </c>
      <c r="C6432" s="564" t="s">
        <v>1475</v>
      </c>
      <c r="D6432" s="565">
        <v>44166</v>
      </c>
      <c r="E6432" s="565">
        <v>44530</v>
      </c>
      <c r="F6432" s="566">
        <v>815000004</v>
      </c>
      <c r="G6432" s="564" t="s">
        <v>10577</v>
      </c>
      <c r="H6432" s="564" t="s">
        <v>11012</v>
      </c>
      <c r="I6432" s="564" t="s">
        <v>13969</v>
      </c>
      <c r="J6432" s="564" t="s">
        <v>1069</v>
      </c>
      <c r="K6432" s="564" t="s">
        <v>1198</v>
      </c>
      <c r="L6432" s="564" t="s">
        <v>1071</v>
      </c>
      <c r="M6432" s="564" t="s">
        <v>1091</v>
      </c>
      <c r="N6432" s="564" t="s">
        <v>1368</v>
      </c>
      <c r="O6432" s="564" t="s">
        <v>13894</v>
      </c>
      <c r="P6432" s="23"/>
      <c r="Q6432" s="23"/>
      <c r="R6432" s="23"/>
      <c r="S6432" s="23"/>
      <c r="T6432" s="23"/>
      <c r="U6432" s="23"/>
      <c r="V6432" s="23"/>
      <c r="W6432" s="23"/>
      <c r="X6432" s="23"/>
      <c r="Y6432" s="23"/>
      <c r="Z6432" s="23"/>
    </row>
    <row r="6433" spans="1:26" ht="13">
      <c r="A6433" s="562" t="s">
        <v>13970</v>
      </c>
      <c r="B6433" s="563" t="s">
        <v>13971</v>
      </c>
      <c r="C6433" s="564" t="s">
        <v>2322</v>
      </c>
      <c r="D6433" s="565">
        <v>44160</v>
      </c>
      <c r="E6433" s="565">
        <v>45657</v>
      </c>
      <c r="F6433" s="566">
        <v>1932882966</v>
      </c>
      <c r="G6433" s="564" t="s">
        <v>5844</v>
      </c>
      <c r="H6433" s="564" t="s">
        <v>2428</v>
      </c>
      <c r="I6433" s="564" t="s">
        <v>4326</v>
      </c>
      <c r="J6433" s="564" t="s">
        <v>2365</v>
      </c>
      <c r="K6433" s="564" t="s">
        <v>1209</v>
      </c>
      <c r="L6433" s="564" t="s">
        <v>1390</v>
      </c>
      <c r="M6433" s="564" t="s">
        <v>1390</v>
      </c>
      <c r="N6433" s="564" t="s">
        <v>2325</v>
      </c>
      <c r="O6433" s="564" t="s">
        <v>13894</v>
      </c>
      <c r="P6433" s="23"/>
      <c r="Q6433" s="23"/>
      <c r="R6433" s="23"/>
      <c r="S6433" s="23"/>
      <c r="T6433" s="23"/>
      <c r="U6433" s="23"/>
      <c r="V6433" s="23"/>
      <c r="W6433" s="23"/>
      <c r="X6433" s="23"/>
      <c r="Y6433" s="23"/>
      <c r="Z6433" s="23"/>
    </row>
    <row r="6434" spans="1:26" ht="13">
      <c r="A6434" s="562" t="s">
        <v>13972</v>
      </c>
      <c r="B6434" s="563" t="s">
        <v>13973</v>
      </c>
      <c r="C6434" s="564" t="s">
        <v>1455</v>
      </c>
      <c r="D6434" s="565">
        <v>44105</v>
      </c>
      <c r="E6434" s="565">
        <v>44316</v>
      </c>
      <c r="F6434" s="566">
        <v>450000000</v>
      </c>
      <c r="G6434" s="564" t="s">
        <v>11139</v>
      </c>
      <c r="H6434" s="564" t="s">
        <v>1157</v>
      </c>
      <c r="I6434" s="564" t="s">
        <v>170</v>
      </c>
      <c r="J6434" s="564" t="s">
        <v>1069</v>
      </c>
      <c r="K6434" s="564" t="s">
        <v>1105</v>
      </c>
      <c r="L6434" s="564" t="s">
        <v>1390</v>
      </c>
      <c r="M6434" s="564" t="s">
        <v>1390</v>
      </c>
      <c r="N6434" s="564" t="s">
        <v>170</v>
      </c>
      <c r="O6434" s="564" t="s">
        <v>13894</v>
      </c>
      <c r="P6434" s="23"/>
      <c r="Q6434" s="23"/>
      <c r="R6434" s="23"/>
      <c r="S6434" s="23"/>
      <c r="T6434" s="23"/>
      <c r="U6434" s="23"/>
      <c r="V6434" s="23"/>
      <c r="W6434" s="23"/>
      <c r="X6434" s="23"/>
      <c r="Y6434" s="23"/>
      <c r="Z6434" s="23"/>
    </row>
    <row r="6435" spans="1:26" ht="13">
      <c r="A6435" s="562" t="s">
        <v>13974</v>
      </c>
      <c r="B6435" s="563" t="s">
        <v>13975</v>
      </c>
      <c r="C6435" s="564" t="s">
        <v>2322</v>
      </c>
      <c r="D6435" s="565">
        <v>44013</v>
      </c>
      <c r="E6435" s="565">
        <v>45450</v>
      </c>
      <c r="F6435" s="566">
        <v>561079503</v>
      </c>
      <c r="G6435" s="564" t="s">
        <v>13893</v>
      </c>
      <c r="H6435" s="564" t="s">
        <v>2428</v>
      </c>
      <c r="I6435" s="564" t="s">
        <v>13976</v>
      </c>
      <c r="J6435" s="564" t="s">
        <v>1069</v>
      </c>
      <c r="K6435" s="564" t="s">
        <v>1209</v>
      </c>
      <c r="L6435" s="564" t="s">
        <v>1390</v>
      </c>
      <c r="M6435" s="564" t="s">
        <v>1390</v>
      </c>
      <c r="N6435" s="564" t="s">
        <v>1082</v>
      </c>
      <c r="O6435" s="564" t="s">
        <v>13894</v>
      </c>
      <c r="P6435" s="23"/>
      <c r="Q6435" s="23"/>
      <c r="R6435" s="23"/>
      <c r="S6435" s="23"/>
      <c r="T6435" s="23"/>
      <c r="U6435" s="23"/>
      <c r="V6435" s="23"/>
      <c r="W6435" s="23"/>
      <c r="X6435" s="23"/>
      <c r="Y6435" s="23"/>
      <c r="Z6435" s="23"/>
    </row>
    <row r="6436" spans="1:26" ht="13">
      <c r="A6436" s="562" t="s">
        <v>13977</v>
      </c>
      <c r="B6436" s="563" t="s">
        <v>13978</v>
      </c>
      <c r="C6436" s="564" t="s">
        <v>1455</v>
      </c>
      <c r="D6436" s="565">
        <v>43998</v>
      </c>
      <c r="E6436" s="565">
        <v>44119</v>
      </c>
      <c r="F6436" s="566">
        <v>106000000</v>
      </c>
      <c r="G6436" s="564" t="s">
        <v>1729</v>
      </c>
      <c r="H6436" s="564" t="s">
        <v>1157</v>
      </c>
      <c r="I6436" s="564" t="s">
        <v>170</v>
      </c>
      <c r="J6436" s="564" t="s">
        <v>1069</v>
      </c>
      <c r="K6436" s="564" t="s">
        <v>1105</v>
      </c>
      <c r="L6436" s="564" t="s">
        <v>1390</v>
      </c>
      <c r="M6436" s="564" t="s">
        <v>1390</v>
      </c>
      <c r="N6436" s="564" t="s">
        <v>170</v>
      </c>
      <c r="O6436" s="564" t="s">
        <v>13894</v>
      </c>
      <c r="P6436" s="23"/>
      <c r="Q6436" s="23"/>
      <c r="R6436" s="23"/>
      <c r="S6436" s="23"/>
      <c r="T6436" s="23"/>
      <c r="U6436" s="23"/>
      <c r="V6436" s="23"/>
      <c r="W6436" s="23"/>
      <c r="X6436" s="23"/>
      <c r="Y6436" s="23"/>
      <c r="Z6436" s="23"/>
    </row>
    <row r="6437" spans="1:26" ht="13">
      <c r="A6437" s="562" t="s">
        <v>13979</v>
      </c>
      <c r="B6437" s="563" t="s">
        <v>13980</v>
      </c>
      <c r="C6437" s="564" t="s">
        <v>1455</v>
      </c>
      <c r="D6437" s="565">
        <v>43906</v>
      </c>
      <c r="E6437" s="565">
        <v>44074</v>
      </c>
      <c r="F6437" s="566">
        <v>139294650</v>
      </c>
      <c r="G6437" s="564" t="s">
        <v>11139</v>
      </c>
      <c r="H6437" s="564" t="s">
        <v>1157</v>
      </c>
      <c r="I6437" s="564" t="s">
        <v>170</v>
      </c>
      <c r="J6437" s="564" t="s">
        <v>1069</v>
      </c>
      <c r="K6437" s="564" t="s">
        <v>1105</v>
      </c>
      <c r="L6437" s="564" t="s">
        <v>1390</v>
      </c>
      <c r="M6437" s="564" t="s">
        <v>1390</v>
      </c>
      <c r="N6437" s="564" t="s">
        <v>170</v>
      </c>
      <c r="O6437" s="564" t="s">
        <v>13894</v>
      </c>
      <c r="P6437" s="23"/>
      <c r="Q6437" s="23"/>
      <c r="R6437" s="23"/>
      <c r="S6437" s="23"/>
      <c r="T6437" s="23"/>
      <c r="U6437" s="23"/>
      <c r="V6437" s="23"/>
      <c r="W6437" s="23"/>
      <c r="X6437" s="23"/>
      <c r="Y6437" s="23"/>
      <c r="Z6437" s="23"/>
    </row>
    <row r="6438" spans="1:26" ht="13">
      <c r="A6438" s="562" t="s">
        <v>13981</v>
      </c>
      <c r="B6438" s="563" t="s">
        <v>13982</v>
      </c>
      <c r="C6438" s="564" t="s">
        <v>1475</v>
      </c>
      <c r="D6438" s="565">
        <v>43922</v>
      </c>
      <c r="E6438" s="565">
        <v>44165</v>
      </c>
      <c r="F6438" s="566">
        <v>759090909</v>
      </c>
      <c r="G6438" s="564" t="s">
        <v>10577</v>
      </c>
      <c r="H6438" s="564" t="s">
        <v>11012</v>
      </c>
      <c r="I6438" s="564" t="s">
        <v>13969</v>
      </c>
      <c r="J6438" s="564" t="s">
        <v>1069</v>
      </c>
      <c r="K6438" s="564" t="s">
        <v>1198</v>
      </c>
      <c r="L6438" s="564" t="s">
        <v>1390</v>
      </c>
      <c r="M6438" s="564" t="s">
        <v>1390</v>
      </c>
      <c r="N6438" s="564" t="s">
        <v>1368</v>
      </c>
      <c r="O6438" s="564" t="s">
        <v>13894</v>
      </c>
      <c r="P6438" s="23"/>
      <c r="Q6438" s="23"/>
      <c r="R6438" s="23"/>
      <c r="S6438" s="23"/>
      <c r="T6438" s="23"/>
      <c r="U6438" s="23"/>
      <c r="V6438" s="23"/>
      <c r="W6438" s="23"/>
      <c r="X6438" s="23"/>
      <c r="Y6438" s="23"/>
      <c r="Z6438" s="23"/>
    </row>
    <row r="6439" spans="1:26" ht="13">
      <c r="A6439" s="562" t="s">
        <v>13983</v>
      </c>
      <c r="B6439" s="563" t="s">
        <v>13984</v>
      </c>
      <c r="C6439" s="564" t="s">
        <v>1652</v>
      </c>
      <c r="D6439" s="565">
        <v>43906</v>
      </c>
      <c r="E6439" s="565">
        <v>44027</v>
      </c>
      <c r="F6439" s="566">
        <v>239000000</v>
      </c>
      <c r="G6439" s="564" t="s">
        <v>2458</v>
      </c>
      <c r="H6439" s="564" t="s">
        <v>4261</v>
      </c>
      <c r="I6439" s="564" t="s">
        <v>70</v>
      </c>
      <c r="J6439" s="564" t="s">
        <v>1069</v>
      </c>
      <c r="K6439" s="564" t="s">
        <v>1120</v>
      </c>
      <c r="L6439" s="564" t="s">
        <v>1390</v>
      </c>
      <c r="M6439" s="564" t="s">
        <v>1390</v>
      </c>
      <c r="N6439" s="564" t="s">
        <v>70</v>
      </c>
      <c r="O6439" s="564" t="s">
        <v>13894</v>
      </c>
      <c r="P6439" s="23"/>
      <c r="Q6439" s="23"/>
      <c r="R6439" s="23"/>
      <c r="S6439" s="23"/>
      <c r="T6439" s="23"/>
      <c r="U6439" s="23"/>
      <c r="V6439" s="23"/>
      <c r="W6439" s="23"/>
      <c r="X6439" s="23"/>
      <c r="Y6439" s="23"/>
      <c r="Z6439" s="23"/>
    </row>
    <row r="6440" spans="1:26" ht="13">
      <c r="A6440" s="562" t="s">
        <v>13985</v>
      </c>
      <c r="B6440" s="563" t="s">
        <v>13986</v>
      </c>
      <c r="C6440" s="564" t="s">
        <v>1652</v>
      </c>
      <c r="D6440" s="565">
        <v>43906</v>
      </c>
      <c r="E6440" s="565">
        <v>44027</v>
      </c>
      <c r="F6440" s="566">
        <v>279000000</v>
      </c>
      <c r="G6440" s="564" t="s">
        <v>1505</v>
      </c>
      <c r="H6440" s="564" t="s">
        <v>4261</v>
      </c>
      <c r="I6440" s="564" t="s">
        <v>70</v>
      </c>
      <c r="J6440" s="564" t="s">
        <v>1069</v>
      </c>
      <c r="K6440" s="564" t="s">
        <v>1120</v>
      </c>
      <c r="L6440" s="564" t="s">
        <v>1390</v>
      </c>
      <c r="M6440" s="564" t="s">
        <v>1390</v>
      </c>
      <c r="N6440" s="564" t="s">
        <v>70</v>
      </c>
      <c r="O6440" s="564" t="s">
        <v>13894</v>
      </c>
      <c r="P6440" s="23"/>
      <c r="Q6440" s="23"/>
      <c r="R6440" s="23"/>
      <c r="S6440" s="23"/>
      <c r="T6440" s="23"/>
      <c r="U6440" s="23"/>
      <c r="V6440" s="23"/>
      <c r="W6440" s="23"/>
      <c r="X6440" s="23"/>
      <c r="Y6440" s="23"/>
      <c r="Z6440" s="23"/>
    </row>
    <row r="6441" spans="1:26" ht="13">
      <c r="A6441" s="562" t="s">
        <v>13987</v>
      </c>
      <c r="B6441" s="563" t="s">
        <v>13988</v>
      </c>
      <c r="C6441" s="564" t="s">
        <v>2322</v>
      </c>
      <c r="D6441" s="565">
        <v>43777</v>
      </c>
      <c r="E6441" s="565">
        <v>45291</v>
      </c>
      <c r="F6441" s="566">
        <v>1599512857</v>
      </c>
      <c r="G6441" s="564" t="s">
        <v>10719</v>
      </c>
      <c r="H6441" s="564" t="s">
        <v>1640</v>
      </c>
      <c r="I6441" s="564" t="s">
        <v>13242</v>
      </c>
      <c r="J6441" s="564" t="s">
        <v>1069</v>
      </c>
      <c r="K6441" s="564" t="s">
        <v>1209</v>
      </c>
      <c r="L6441" s="564" t="s">
        <v>1390</v>
      </c>
      <c r="M6441" s="564" t="s">
        <v>1390</v>
      </c>
      <c r="N6441" s="564" t="s">
        <v>2325</v>
      </c>
      <c r="O6441" s="564" t="s">
        <v>13894</v>
      </c>
      <c r="P6441" s="23"/>
      <c r="Q6441" s="23"/>
      <c r="R6441" s="23"/>
      <c r="S6441" s="23"/>
      <c r="T6441" s="23"/>
      <c r="U6441" s="23"/>
      <c r="V6441" s="23"/>
      <c r="W6441" s="23"/>
      <c r="X6441" s="23"/>
      <c r="Y6441" s="23"/>
      <c r="Z6441" s="23"/>
    </row>
    <row r="6442" spans="1:26" ht="13">
      <c r="A6442" s="562" t="s">
        <v>13989</v>
      </c>
      <c r="B6442" s="563" t="s">
        <v>13990</v>
      </c>
      <c r="C6442" s="564" t="s">
        <v>2322</v>
      </c>
      <c r="D6442" s="565">
        <v>43777</v>
      </c>
      <c r="E6442" s="565">
        <v>44561</v>
      </c>
      <c r="F6442" s="566">
        <v>1859184672</v>
      </c>
      <c r="G6442" s="564" t="s">
        <v>10826</v>
      </c>
      <c r="H6442" s="564" t="s">
        <v>4925</v>
      </c>
      <c r="I6442" s="564" t="s">
        <v>13242</v>
      </c>
      <c r="J6442" s="564" t="s">
        <v>1069</v>
      </c>
      <c r="K6442" s="564" t="s">
        <v>1209</v>
      </c>
      <c r="L6442" s="564" t="s">
        <v>1390</v>
      </c>
      <c r="M6442" s="564" t="s">
        <v>1390</v>
      </c>
      <c r="N6442" s="564" t="s">
        <v>2325</v>
      </c>
      <c r="O6442" s="564" t="s">
        <v>13894</v>
      </c>
      <c r="P6442" s="23"/>
      <c r="Q6442" s="23"/>
      <c r="R6442" s="23"/>
      <c r="S6442" s="23"/>
      <c r="T6442" s="23"/>
      <c r="U6442" s="23"/>
      <c r="V6442" s="23"/>
      <c r="W6442" s="23"/>
      <c r="X6442" s="23"/>
      <c r="Y6442" s="23"/>
      <c r="Z6442" s="23"/>
    </row>
    <row r="6443" spans="1:26" ht="13">
      <c r="A6443" s="562" t="s">
        <v>13991</v>
      </c>
      <c r="B6443" s="563" t="s">
        <v>13992</v>
      </c>
      <c r="C6443" s="564" t="s">
        <v>2322</v>
      </c>
      <c r="D6443" s="565">
        <v>43713</v>
      </c>
      <c r="E6443" s="565">
        <v>44427</v>
      </c>
      <c r="F6443" s="566">
        <v>1499670951</v>
      </c>
      <c r="G6443" s="564" t="s">
        <v>10596</v>
      </c>
      <c r="H6443" s="564" t="s">
        <v>1640</v>
      </c>
      <c r="I6443" s="564" t="s">
        <v>45</v>
      </c>
      <c r="J6443" s="564" t="s">
        <v>1069</v>
      </c>
      <c r="K6443" s="564" t="s">
        <v>1090</v>
      </c>
      <c r="L6443" s="564" t="s">
        <v>1390</v>
      </c>
      <c r="M6443" s="564" t="s">
        <v>1390</v>
      </c>
      <c r="N6443" s="564" t="s">
        <v>45</v>
      </c>
      <c r="O6443" s="564" t="s">
        <v>13894</v>
      </c>
      <c r="P6443" s="23"/>
      <c r="Q6443" s="23"/>
      <c r="R6443" s="23"/>
      <c r="S6443" s="23"/>
      <c r="T6443" s="23"/>
      <c r="U6443" s="23"/>
      <c r="V6443" s="23"/>
      <c r="W6443" s="23"/>
      <c r="X6443" s="23"/>
      <c r="Y6443" s="23"/>
      <c r="Z6443" s="23"/>
    </row>
    <row r="6444" spans="1:26" ht="13">
      <c r="A6444" s="562" t="s">
        <v>13993</v>
      </c>
      <c r="B6444" s="563" t="s">
        <v>13994</v>
      </c>
      <c r="C6444" s="564" t="s">
        <v>1475</v>
      </c>
      <c r="D6444" s="565">
        <v>43664</v>
      </c>
      <c r="E6444" s="565">
        <v>43878</v>
      </c>
      <c r="F6444" s="566">
        <v>1609977000</v>
      </c>
      <c r="G6444" s="564" t="s">
        <v>2405</v>
      </c>
      <c r="H6444" s="564" t="s">
        <v>1187</v>
      </c>
      <c r="I6444" s="564" t="s">
        <v>13995</v>
      </c>
      <c r="J6444" s="564" t="s">
        <v>1069</v>
      </c>
      <c r="K6444" s="564" t="s">
        <v>1070</v>
      </c>
      <c r="L6444" s="564" t="s">
        <v>1390</v>
      </c>
      <c r="M6444" s="564" t="s">
        <v>1390</v>
      </c>
      <c r="N6444" s="564" t="s">
        <v>1082</v>
      </c>
      <c r="O6444" s="564" t="s">
        <v>13894</v>
      </c>
      <c r="P6444" s="23"/>
      <c r="Q6444" s="23"/>
      <c r="R6444" s="23"/>
      <c r="S6444" s="23"/>
      <c r="T6444" s="23"/>
      <c r="U6444" s="23"/>
      <c r="V6444" s="23"/>
      <c r="W6444" s="23"/>
      <c r="X6444" s="23"/>
      <c r="Y6444" s="23"/>
      <c r="Z6444" s="23"/>
    </row>
    <row r="6445" spans="1:26" ht="13">
      <c r="A6445" s="562" t="s">
        <v>13996</v>
      </c>
      <c r="B6445" s="563" t="s">
        <v>13997</v>
      </c>
      <c r="C6445" s="564" t="s">
        <v>1455</v>
      </c>
      <c r="D6445" s="565">
        <v>43661</v>
      </c>
      <c r="E6445" s="565">
        <v>43813</v>
      </c>
      <c r="F6445" s="566">
        <v>279000000</v>
      </c>
      <c r="G6445" s="564" t="s">
        <v>13505</v>
      </c>
      <c r="H6445" s="564" t="s">
        <v>1157</v>
      </c>
      <c r="I6445" s="564" t="s">
        <v>170</v>
      </c>
      <c r="J6445" s="564" t="s">
        <v>1069</v>
      </c>
      <c r="K6445" s="564" t="s">
        <v>1105</v>
      </c>
      <c r="L6445" s="564" t="s">
        <v>1390</v>
      </c>
      <c r="M6445" s="564" t="s">
        <v>1390</v>
      </c>
      <c r="N6445" s="564" t="s">
        <v>170</v>
      </c>
      <c r="O6445" s="564" t="s">
        <v>13894</v>
      </c>
      <c r="P6445" s="23"/>
      <c r="Q6445" s="23"/>
      <c r="R6445" s="23"/>
      <c r="S6445" s="23"/>
      <c r="T6445" s="23"/>
      <c r="U6445" s="23"/>
      <c r="V6445" s="23"/>
      <c r="W6445" s="23"/>
      <c r="X6445" s="23"/>
      <c r="Y6445" s="23"/>
      <c r="Z6445" s="23"/>
    </row>
    <row r="6446" spans="1:26" ht="13">
      <c r="A6446" s="562" t="s">
        <v>13998</v>
      </c>
      <c r="B6446" s="563" t="s">
        <v>13999</v>
      </c>
      <c r="C6446" s="564" t="s">
        <v>1475</v>
      </c>
      <c r="D6446" s="565">
        <v>43600</v>
      </c>
      <c r="E6446" s="565">
        <v>43878</v>
      </c>
      <c r="F6446" s="566">
        <v>1350909091</v>
      </c>
      <c r="G6446" s="564" t="s">
        <v>13957</v>
      </c>
      <c r="H6446" s="564" t="s">
        <v>2876</v>
      </c>
      <c r="I6446" s="564" t="s">
        <v>10748</v>
      </c>
      <c r="J6446" s="564" t="s">
        <v>1069</v>
      </c>
      <c r="K6446" s="564" t="s">
        <v>2878</v>
      </c>
      <c r="L6446" s="564" t="s">
        <v>1390</v>
      </c>
      <c r="M6446" s="564" t="s">
        <v>1390</v>
      </c>
      <c r="N6446" s="564" t="s">
        <v>2325</v>
      </c>
      <c r="O6446" s="564" t="s">
        <v>2512</v>
      </c>
      <c r="P6446" s="23"/>
      <c r="Q6446" s="23"/>
      <c r="R6446" s="23"/>
      <c r="S6446" s="23"/>
      <c r="T6446" s="23"/>
      <c r="U6446" s="23"/>
      <c r="V6446" s="23"/>
      <c r="W6446" s="23"/>
      <c r="X6446" s="23"/>
      <c r="Y6446" s="23"/>
      <c r="Z6446" s="23"/>
    </row>
    <row r="6447" spans="1:26" ht="13">
      <c r="A6447" s="562" t="s">
        <v>14000</v>
      </c>
      <c r="B6447" s="563" t="s">
        <v>14001</v>
      </c>
      <c r="C6447" s="564" t="s">
        <v>1455</v>
      </c>
      <c r="D6447" s="565">
        <v>43601</v>
      </c>
      <c r="E6447" s="565">
        <v>43905</v>
      </c>
      <c r="F6447" s="566">
        <v>965000000</v>
      </c>
      <c r="G6447" s="564" t="s">
        <v>11139</v>
      </c>
      <c r="H6447" s="564" t="s">
        <v>1157</v>
      </c>
      <c r="I6447" s="564" t="s">
        <v>170</v>
      </c>
      <c r="J6447" s="564" t="s">
        <v>1069</v>
      </c>
      <c r="K6447" s="564" t="s">
        <v>1105</v>
      </c>
      <c r="L6447" s="564" t="s">
        <v>1390</v>
      </c>
      <c r="M6447" s="564" t="s">
        <v>1390</v>
      </c>
      <c r="N6447" s="564" t="s">
        <v>170</v>
      </c>
      <c r="O6447" s="564" t="s">
        <v>13894</v>
      </c>
      <c r="P6447" s="23"/>
      <c r="Q6447" s="23"/>
      <c r="R6447" s="23"/>
      <c r="S6447" s="23"/>
      <c r="T6447" s="23"/>
      <c r="U6447" s="23"/>
      <c r="V6447" s="23"/>
      <c r="W6447" s="23"/>
      <c r="X6447" s="23"/>
      <c r="Y6447" s="23"/>
      <c r="Z6447" s="23"/>
    </row>
    <row r="6448" spans="1:26" ht="13">
      <c r="A6448" s="562" t="s">
        <v>14002</v>
      </c>
      <c r="B6448" s="563" t="s">
        <v>14003</v>
      </c>
      <c r="C6448" s="564" t="s">
        <v>1652</v>
      </c>
      <c r="D6448" s="565">
        <v>43598</v>
      </c>
      <c r="E6448" s="565">
        <v>43811</v>
      </c>
      <c r="F6448" s="566">
        <v>229500000</v>
      </c>
      <c r="G6448" s="564" t="s">
        <v>1312</v>
      </c>
      <c r="H6448" s="564" t="s">
        <v>1941</v>
      </c>
      <c r="I6448" s="564" t="s">
        <v>70</v>
      </c>
      <c r="J6448" s="564" t="s">
        <v>1069</v>
      </c>
      <c r="K6448" s="564" t="s">
        <v>1120</v>
      </c>
      <c r="L6448" s="564" t="s">
        <v>1390</v>
      </c>
      <c r="M6448" s="564" t="s">
        <v>1390</v>
      </c>
      <c r="N6448" s="564" t="s">
        <v>70</v>
      </c>
      <c r="O6448" s="564" t="s">
        <v>13894</v>
      </c>
      <c r="P6448" s="23"/>
      <c r="Q6448" s="23"/>
      <c r="R6448" s="23"/>
      <c r="S6448" s="23"/>
      <c r="T6448" s="23"/>
      <c r="U6448" s="23"/>
      <c r="V6448" s="23"/>
      <c r="W6448" s="23"/>
      <c r="X6448" s="23"/>
      <c r="Y6448" s="23"/>
      <c r="Z6448" s="23"/>
    </row>
    <row r="6449" spans="1:26" ht="13">
      <c r="A6449" s="562" t="s">
        <v>14004</v>
      </c>
      <c r="B6449" s="563" t="s">
        <v>14005</v>
      </c>
      <c r="C6449" s="564" t="s">
        <v>1475</v>
      </c>
      <c r="D6449" s="565">
        <v>43560</v>
      </c>
      <c r="E6449" s="565">
        <v>43745</v>
      </c>
      <c r="F6449" s="566">
        <v>5249000000</v>
      </c>
      <c r="G6449" s="564" t="s">
        <v>2876</v>
      </c>
      <c r="H6449" s="564" t="s">
        <v>1912</v>
      </c>
      <c r="I6449" s="564" t="s">
        <v>10748</v>
      </c>
      <c r="J6449" s="564" t="s">
        <v>1069</v>
      </c>
      <c r="K6449" s="564" t="s">
        <v>2878</v>
      </c>
      <c r="L6449" s="564" t="s">
        <v>1390</v>
      </c>
      <c r="M6449" s="564" t="s">
        <v>1390</v>
      </c>
      <c r="N6449" s="564" t="s">
        <v>2325</v>
      </c>
      <c r="O6449" s="564" t="s">
        <v>13894</v>
      </c>
      <c r="P6449" s="23"/>
      <c r="Q6449" s="23"/>
      <c r="R6449" s="23"/>
      <c r="S6449" s="23"/>
      <c r="T6449" s="23"/>
      <c r="U6449" s="23"/>
      <c r="V6449" s="23"/>
      <c r="W6449" s="23"/>
      <c r="X6449" s="23"/>
      <c r="Y6449" s="23"/>
      <c r="Z6449" s="23"/>
    </row>
    <row r="6450" spans="1:26" ht="13">
      <c r="A6450" s="562" t="s">
        <v>14006</v>
      </c>
      <c r="B6450" s="563" t="s">
        <v>14007</v>
      </c>
      <c r="C6450" s="564" t="s">
        <v>1455</v>
      </c>
      <c r="D6450" s="565">
        <v>43578</v>
      </c>
      <c r="E6450" s="565">
        <v>43791</v>
      </c>
      <c r="F6450" s="566">
        <v>457600000</v>
      </c>
      <c r="G6450" s="564" t="s">
        <v>1729</v>
      </c>
      <c r="H6450" s="564" t="s">
        <v>1157</v>
      </c>
      <c r="I6450" s="564" t="s">
        <v>170</v>
      </c>
      <c r="J6450" s="564" t="s">
        <v>1069</v>
      </c>
      <c r="K6450" s="564" t="s">
        <v>1105</v>
      </c>
      <c r="L6450" s="564" t="s">
        <v>1390</v>
      </c>
      <c r="M6450" s="564" t="s">
        <v>1390</v>
      </c>
      <c r="N6450" s="564" t="s">
        <v>170</v>
      </c>
      <c r="O6450" s="564" t="s">
        <v>13894</v>
      </c>
      <c r="P6450" s="23"/>
      <c r="Q6450" s="23"/>
      <c r="R6450" s="23"/>
      <c r="S6450" s="23"/>
      <c r="T6450" s="23"/>
      <c r="U6450" s="23"/>
      <c r="V6450" s="23"/>
      <c r="W6450" s="23"/>
      <c r="X6450" s="23"/>
      <c r="Y6450" s="23"/>
      <c r="Z6450" s="23"/>
    </row>
    <row r="6451" spans="1:26" ht="13">
      <c r="A6451" s="562" t="s">
        <v>14008</v>
      </c>
      <c r="B6451" s="563" t="s">
        <v>14009</v>
      </c>
      <c r="C6451" s="564" t="s">
        <v>1455</v>
      </c>
      <c r="D6451" s="565">
        <v>43535</v>
      </c>
      <c r="E6451" s="565">
        <v>43708</v>
      </c>
      <c r="F6451" s="566">
        <v>550000000</v>
      </c>
      <c r="G6451" s="564" t="s">
        <v>10646</v>
      </c>
      <c r="H6451" s="564" t="s">
        <v>1157</v>
      </c>
      <c r="I6451" s="564" t="s">
        <v>170</v>
      </c>
      <c r="J6451" s="564" t="s">
        <v>1069</v>
      </c>
      <c r="K6451" s="564" t="s">
        <v>1105</v>
      </c>
      <c r="L6451" s="564" t="s">
        <v>1390</v>
      </c>
      <c r="M6451" s="564" t="s">
        <v>1390</v>
      </c>
      <c r="N6451" s="564" t="s">
        <v>170</v>
      </c>
      <c r="O6451" s="564" t="s">
        <v>13894</v>
      </c>
      <c r="P6451" s="23"/>
      <c r="Q6451" s="23"/>
      <c r="R6451" s="23"/>
      <c r="S6451" s="23"/>
      <c r="T6451" s="23"/>
      <c r="U6451" s="23"/>
      <c r="V6451" s="23"/>
      <c r="W6451" s="23"/>
      <c r="X6451" s="23"/>
      <c r="Y6451" s="23"/>
      <c r="Z6451" s="23"/>
    </row>
    <row r="6452" spans="1:26" ht="13">
      <c r="A6452" s="562" t="s">
        <v>14010</v>
      </c>
      <c r="B6452" s="563" t="s">
        <v>14011</v>
      </c>
      <c r="C6452" s="564" t="s">
        <v>2322</v>
      </c>
      <c r="D6452" s="565">
        <v>43411</v>
      </c>
      <c r="E6452" s="565">
        <v>44196</v>
      </c>
      <c r="F6452" s="566">
        <v>2825542819</v>
      </c>
      <c r="G6452" s="564" t="s">
        <v>13914</v>
      </c>
      <c r="H6452" s="564" t="s">
        <v>1640</v>
      </c>
      <c r="I6452" s="564" t="s">
        <v>11791</v>
      </c>
      <c r="J6452" s="564" t="s">
        <v>1069</v>
      </c>
      <c r="K6452" s="564" t="s">
        <v>1209</v>
      </c>
      <c r="L6452" s="564" t="s">
        <v>1390</v>
      </c>
      <c r="M6452" s="564" t="s">
        <v>1390</v>
      </c>
      <c r="N6452" s="564" t="s">
        <v>2439</v>
      </c>
      <c r="O6452" s="564" t="s">
        <v>13894</v>
      </c>
      <c r="P6452" s="23"/>
      <c r="Q6452" s="23"/>
      <c r="R6452" s="23"/>
      <c r="S6452" s="23"/>
      <c r="T6452" s="23"/>
      <c r="U6452" s="23"/>
      <c r="V6452" s="23"/>
      <c r="W6452" s="23"/>
      <c r="X6452" s="23"/>
      <c r="Y6452" s="23"/>
      <c r="Z6452" s="23"/>
    </row>
    <row r="6453" spans="1:26" ht="13">
      <c r="A6453" s="562" t="s">
        <v>14012</v>
      </c>
      <c r="B6453" s="563" t="s">
        <v>14013</v>
      </c>
      <c r="C6453" s="564" t="s">
        <v>1652</v>
      </c>
      <c r="D6453" s="565">
        <v>43346</v>
      </c>
      <c r="E6453" s="565">
        <v>43710</v>
      </c>
      <c r="F6453" s="566">
        <v>1122000000</v>
      </c>
      <c r="G6453" s="564" t="s">
        <v>2323</v>
      </c>
      <c r="H6453" s="564" t="s">
        <v>1187</v>
      </c>
      <c r="I6453" s="564" t="s">
        <v>1480</v>
      </c>
      <c r="J6453" s="564" t="s">
        <v>1069</v>
      </c>
      <c r="K6453" s="564" t="s">
        <v>1120</v>
      </c>
      <c r="L6453" s="564" t="s">
        <v>1390</v>
      </c>
      <c r="M6453" s="564" t="s">
        <v>1390</v>
      </c>
      <c r="N6453" s="564" t="s">
        <v>1082</v>
      </c>
      <c r="O6453" s="564" t="s">
        <v>13894</v>
      </c>
      <c r="P6453" s="23"/>
      <c r="Q6453" s="23"/>
      <c r="R6453" s="23"/>
      <c r="S6453" s="23"/>
      <c r="T6453" s="23"/>
      <c r="U6453" s="23"/>
      <c r="V6453" s="23"/>
      <c r="W6453" s="23"/>
      <c r="X6453" s="23"/>
      <c r="Y6453" s="23"/>
      <c r="Z6453" s="23"/>
    </row>
    <row r="6454" spans="1:26" ht="13">
      <c r="A6454" s="562" t="s">
        <v>14014</v>
      </c>
      <c r="B6454" s="563" t="s">
        <v>14015</v>
      </c>
      <c r="C6454" s="564" t="s">
        <v>1455</v>
      </c>
      <c r="D6454" s="565">
        <v>43344</v>
      </c>
      <c r="E6454" s="565">
        <v>43555</v>
      </c>
      <c r="F6454" s="566">
        <v>377000000</v>
      </c>
      <c r="G6454" s="564" t="s">
        <v>11139</v>
      </c>
      <c r="H6454" s="564" t="s">
        <v>1157</v>
      </c>
      <c r="I6454" s="564" t="s">
        <v>170</v>
      </c>
      <c r="J6454" s="564" t="s">
        <v>1069</v>
      </c>
      <c r="K6454" s="564" t="s">
        <v>1105</v>
      </c>
      <c r="L6454" s="564" t="s">
        <v>1390</v>
      </c>
      <c r="M6454" s="564" t="s">
        <v>1390</v>
      </c>
      <c r="N6454" s="564" t="s">
        <v>170</v>
      </c>
      <c r="O6454" s="564" t="s">
        <v>13894</v>
      </c>
      <c r="P6454" s="23"/>
      <c r="Q6454" s="23"/>
      <c r="R6454" s="23"/>
      <c r="S6454" s="23"/>
      <c r="T6454" s="23"/>
      <c r="U6454" s="23"/>
      <c r="V6454" s="23"/>
      <c r="W6454" s="23"/>
      <c r="X6454" s="23"/>
      <c r="Y6454" s="23"/>
      <c r="Z6454" s="23"/>
    </row>
    <row r="6455" spans="1:26" ht="13">
      <c r="A6455" s="562" t="s">
        <v>14016</v>
      </c>
      <c r="B6455" s="563" t="s">
        <v>14017</v>
      </c>
      <c r="C6455" s="564" t="s">
        <v>1551</v>
      </c>
      <c r="D6455" s="565">
        <v>43230</v>
      </c>
      <c r="E6455" s="565">
        <v>43443</v>
      </c>
      <c r="F6455" s="566">
        <v>703000000</v>
      </c>
      <c r="G6455" s="564" t="s">
        <v>11328</v>
      </c>
      <c r="H6455" s="564" t="s">
        <v>1157</v>
      </c>
      <c r="I6455" s="564" t="s">
        <v>170</v>
      </c>
      <c r="J6455" s="564" t="s">
        <v>1069</v>
      </c>
      <c r="K6455" s="564" t="s">
        <v>1105</v>
      </c>
      <c r="L6455" s="564" t="s">
        <v>1390</v>
      </c>
      <c r="M6455" s="564" t="s">
        <v>1390</v>
      </c>
      <c r="N6455" s="564" t="s">
        <v>170</v>
      </c>
      <c r="O6455" s="564" t="s">
        <v>13894</v>
      </c>
      <c r="P6455" s="23"/>
      <c r="Q6455" s="23"/>
      <c r="R6455" s="23"/>
      <c r="S6455" s="23"/>
      <c r="T6455" s="23"/>
      <c r="U6455" s="23"/>
      <c r="V6455" s="23"/>
      <c r="W6455" s="23"/>
      <c r="X6455" s="23"/>
      <c r="Y6455" s="23"/>
      <c r="Z6455" s="23"/>
    </row>
    <row r="6456" spans="1:26" ht="13">
      <c r="A6456" s="562" t="s">
        <v>14018</v>
      </c>
      <c r="B6456" s="563" t="s">
        <v>14019</v>
      </c>
      <c r="C6456" s="564" t="s">
        <v>1652</v>
      </c>
      <c r="D6456" s="565">
        <v>43234</v>
      </c>
      <c r="E6456" s="565">
        <v>43356</v>
      </c>
      <c r="F6456" s="566">
        <v>99000000</v>
      </c>
      <c r="G6456" s="564" t="s">
        <v>14020</v>
      </c>
      <c r="H6456" s="564" t="s">
        <v>1187</v>
      </c>
      <c r="I6456" s="564" t="s">
        <v>70</v>
      </c>
      <c r="J6456" s="564" t="s">
        <v>1069</v>
      </c>
      <c r="K6456" s="564" t="s">
        <v>1120</v>
      </c>
      <c r="L6456" s="564" t="s">
        <v>1390</v>
      </c>
      <c r="M6456" s="564" t="s">
        <v>1390</v>
      </c>
      <c r="N6456" s="564" t="s">
        <v>70</v>
      </c>
      <c r="O6456" s="564" t="s">
        <v>13894</v>
      </c>
      <c r="P6456" s="23"/>
      <c r="Q6456" s="23"/>
      <c r="R6456" s="23"/>
      <c r="S6456" s="23"/>
      <c r="T6456" s="23"/>
      <c r="U6456" s="23"/>
      <c r="V6456" s="23"/>
      <c r="W6456" s="23"/>
      <c r="X6456" s="23"/>
      <c r="Y6456" s="23"/>
      <c r="Z6456" s="23"/>
    </row>
    <row r="6457" spans="1:26" ht="13">
      <c r="A6457" s="562" t="s">
        <v>14021</v>
      </c>
      <c r="B6457" s="563" t="s">
        <v>14022</v>
      </c>
      <c r="C6457" s="564" t="s">
        <v>1388</v>
      </c>
      <c r="D6457" s="565">
        <v>43160</v>
      </c>
      <c r="E6457" s="565">
        <v>43555</v>
      </c>
      <c r="F6457" s="566">
        <v>484000000</v>
      </c>
      <c r="G6457" s="564" t="s">
        <v>10823</v>
      </c>
      <c r="H6457" s="564" t="s">
        <v>1128</v>
      </c>
      <c r="I6457" s="564" t="s">
        <v>45</v>
      </c>
      <c r="J6457" s="564" t="s">
        <v>1069</v>
      </c>
      <c r="K6457" s="564" t="s">
        <v>1090</v>
      </c>
      <c r="L6457" s="564" t="s">
        <v>1390</v>
      </c>
      <c r="M6457" s="564" t="s">
        <v>1390</v>
      </c>
      <c r="N6457" s="564" t="s">
        <v>45</v>
      </c>
      <c r="O6457" s="564" t="s">
        <v>13894</v>
      </c>
      <c r="P6457" s="23"/>
      <c r="Q6457" s="23"/>
      <c r="R6457" s="23"/>
      <c r="S6457" s="23"/>
      <c r="T6457" s="23"/>
      <c r="U6457" s="23"/>
      <c r="V6457" s="23"/>
      <c r="W6457" s="23"/>
      <c r="X6457" s="23"/>
      <c r="Y6457" s="23"/>
      <c r="Z6457" s="23"/>
    </row>
    <row r="6458" spans="1:26" ht="13">
      <c r="A6458" s="562" t="s">
        <v>14023</v>
      </c>
      <c r="B6458" s="563" t="s">
        <v>14024</v>
      </c>
      <c r="C6458" s="564" t="s">
        <v>1370</v>
      </c>
      <c r="D6458" s="565">
        <v>43191</v>
      </c>
      <c r="E6458" s="565">
        <v>43921</v>
      </c>
      <c r="F6458" s="566">
        <v>8135261091</v>
      </c>
      <c r="G6458" s="564" t="s">
        <v>1725</v>
      </c>
      <c r="H6458" s="564" t="s">
        <v>1623</v>
      </c>
      <c r="I6458" s="564" t="s">
        <v>7768</v>
      </c>
      <c r="J6458" s="564" t="s">
        <v>1069</v>
      </c>
      <c r="K6458" s="564" t="s">
        <v>1198</v>
      </c>
      <c r="L6458" s="564" t="s">
        <v>1390</v>
      </c>
      <c r="M6458" s="564" t="s">
        <v>1390</v>
      </c>
      <c r="N6458" s="564" t="s">
        <v>1073</v>
      </c>
      <c r="O6458" s="564" t="s">
        <v>13894</v>
      </c>
      <c r="P6458" s="23"/>
      <c r="Q6458" s="23"/>
      <c r="R6458" s="23"/>
      <c r="S6458" s="23"/>
      <c r="T6458" s="23"/>
      <c r="U6458" s="23"/>
      <c r="V6458" s="23"/>
      <c r="W6458" s="23"/>
      <c r="X6458" s="23"/>
      <c r="Y6458" s="23"/>
      <c r="Z6458" s="23"/>
    </row>
    <row r="6459" spans="1:26" ht="13">
      <c r="A6459" s="562" t="s">
        <v>14025</v>
      </c>
      <c r="B6459" s="563" t="s">
        <v>14026</v>
      </c>
      <c r="C6459" s="564" t="s">
        <v>2322</v>
      </c>
      <c r="D6459" s="565">
        <v>42948</v>
      </c>
      <c r="E6459" s="565">
        <v>43251</v>
      </c>
      <c r="F6459" s="566">
        <v>347000000</v>
      </c>
      <c r="G6459" s="564" t="s">
        <v>14027</v>
      </c>
      <c r="H6459" s="564" t="s">
        <v>1640</v>
      </c>
      <c r="I6459" s="564" t="s">
        <v>64</v>
      </c>
      <c r="J6459" s="564" t="s">
        <v>1069</v>
      </c>
      <c r="K6459" s="564" t="s">
        <v>1090</v>
      </c>
      <c r="L6459" s="564" t="s">
        <v>1390</v>
      </c>
      <c r="M6459" s="564" t="s">
        <v>1390</v>
      </c>
      <c r="N6459" s="564" t="s">
        <v>64</v>
      </c>
      <c r="O6459" s="564" t="s">
        <v>13894</v>
      </c>
      <c r="P6459" s="23"/>
      <c r="Q6459" s="23"/>
      <c r="R6459" s="23"/>
      <c r="S6459" s="23"/>
      <c r="T6459" s="23"/>
      <c r="U6459" s="23"/>
      <c r="V6459" s="23"/>
      <c r="W6459" s="23"/>
      <c r="X6459" s="23"/>
      <c r="Y6459" s="23"/>
      <c r="Z6459" s="23"/>
    </row>
    <row r="6460" spans="1:26" ht="13">
      <c r="A6460" s="562" t="s">
        <v>14028</v>
      </c>
      <c r="B6460" s="563" t="s">
        <v>14029</v>
      </c>
      <c r="C6460" s="564" t="s">
        <v>1551</v>
      </c>
      <c r="D6460" s="565">
        <v>42896</v>
      </c>
      <c r="E6460" s="565">
        <v>43220</v>
      </c>
      <c r="F6460" s="566">
        <v>776000000</v>
      </c>
      <c r="G6460" s="564" t="s">
        <v>11139</v>
      </c>
      <c r="H6460" s="564" t="s">
        <v>1157</v>
      </c>
      <c r="I6460" s="564" t="s">
        <v>170</v>
      </c>
      <c r="J6460" s="564" t="s">
        <v>1069</v>
      </c>
      <c r="K6460" s="564" t="s">
        <v>1105</v>
      </c>
      <c r="L6460" s="564" t="s">
        <v>1390</v>
      </c>
      <c r="M6460" s="564" t="s">
        <v>1390</v>
      </c>
      <c r="N6460" s="564" t="s">
        <v>170</v>
      </c>
      <c r="O6460" s="564" t="s">
        <v>13894</v>
      </c>
      <c r="P6460" s="23"/>
      <c r="Q6460" s="23"/>
      <c r="R6460" s="23"/>
      <c r="S6460" s="23"/>
      <c r="T6460" s="23"/>
      <c r="U6460" s="23"/>
      <c r="V6460" s="23"/>
      <c r="W6460" s="23"/>
      <c r="X6460" s="23"/>
      <c r="Y6460" s="23"/>
      <c r="Z6460" s="23"/>
    </row>
    <row r="6461" spans="1:26" ht="13">
      <c r="A6461" s="562" t="s">
        <v>14030</v>
      </c>
      <c r="B6461" s="563" t="s">
        <v>14031</v>
      </c>
      <c r="C6461" s="564" t="s">
        <v>2322</v>
      </c>
      <c r="D6461" s="565">
        <v>42863</v>
      </c>
      <c r="E6461" s="565">
        <v>43251</v>
      </c>
      <c r="F6461" s="566">
        <v>2240000000</v>
      </c>
      <c r="G6461" s="564" t="s">
        <v>1729</v>
      </c>
      <c r="H6461" s="564" t="s">
        <v>1640</v>
      </c>
      <c r="I6461" s="564" t="s">
        <v>64</v>
      </c>
      <c r="J6461" s="564" t="s">
        <v>1069</v>
      </c>
      <c r="K6461" s="564" t="s">
        <v>1090</v>
      </c>
      <c r="L6461" s="564" t="s">
        <v>1390</v>
      </c>
      <c r="M6461" s="564" t="s">
        <v>1390</v>
      </c>
      <c r="N6461" s="564" t="s">
        <v>64</v>
      </c>
      <c r="O6461" s="564" t="s">
        <v>13894</v>
      </c>
      <c r="P6461" s="23"/>
      <c r="Q6461" s="23"/>
      <c r="R6461" s="23"/>
      <c r="S6461" s="23"/>
      <c r="T6461" s="23"/>
      <c r="U6461" s="23"/>
      <c r="V6461" s="23"/>
      <c r="W6461" s="23"/>
      <c r="X6461" s="23"/>
      <c r="Y6461" s="23"/>
      <c r="Z6461" s="23"/>
    </row>
    <row r="6462" spans="1:26" ht="13">
      <c r="A6462" s="562" t="s">
        <v>14032</v>
      </c>
      <c r="B6462" s="563" t="s">
        <v>14033</v>
      </c>
      <c r="C6462" s="564" t="s">
        <v>1548</v>
      </c>
      <c r="D6462" s="565">
        <v>42863</v>
      </c>
      <c r="E6462" s="565">
        <v>43100</v>
      </c>
      <c r="F6462" s="566">
        <v>2684000000</v>
      </c>
      <c r="G6462" s="564" t="s">
        <v>13957</v>
      </c>
      <c r="H6462" s="564" t="s">
        <v>1564</v>
      </c>
      <c r="I6462" s="564" t="s">
        <v>11947</v>
      </c>
      <c r="J6462" s="564" t="s">
        <v>1069</v>
      </c>
      <c r="K6462" s="564" t="s">
        <v>1198</v>
      </c>
      <c r="L6462" s="564" t="s">
        <v>1390</v>
      </c>
      <c r="M6462" s="564" t="s">
        <v>1390</v>
      </c>
      <c r="N6462" s="564" t="s">
        <v>1368</v>
      </c>
      <c r="O6462" s="564" t="s">
        <v>13894</v>
      </c>
      <c r="P6462" s="23"/>
      <c r="Q6462" s="23"/>
      <c r="R6462" s="23"/>
      <c r="S6462" s="23"/>
      <c r="T6462" s="23"/>
      <c r="U6462" s="23"/>
      <c r="V6462" s="23"/>
      <c r="W6462" s="23"/>
      <c r="X6462" s="23"/>
      <c r="Y6462" s="23"/>
      <c r="Z6462" s="23"/>
    </row>
    <row r="6463" spans="1:26" ht="13">
      <c r="A6463" s="562" t="s">
        <v>14034</v>
      </c>
      <c r="B6463" s="563" t="s">
        <v>14035</v>
      </c>
      <c r="C6463" s="564" t="s">
        <v>1475</v>
      </c>
      <c r="D6463" s="565">
        <v>42856</v>
      </c>
      <c r="E6463" s="565">
        <v>43951</v>
      </c>
      <c r="F6463" s="566">
        <v>1679090909</v>
      </c>
      <c r="G6463" s="564" t="s">
        <v>10577</v>
      </c>
      <c r="H6463" s="564" t="s">
        <v>1564</v>
      </c>
      <c r="I6463" s="564" t="s">
        <v>9099</v>
      </c>
      <c r="J6463" s="564" t="s">
        <v>1069</v>
      </c>
      <c r="K6463" s="564" t="s">
        <v>1198</v>
      </c>
      <c r="L6463" s="564" t="s">
        <v>1390</v>
      </c>
      <c r="M6463" s="564" t="s">
        <v>1390</v>
      </c>
      <c r="N6463" s="564" t="s">
        <v>1368</v>
      </c>
      <c r="O6463" s="564" t="s">
        <v>13894</v>
      </c>
      <c r="P6463" s="23"/>
      <c r="Q6463" s="23"/>
      <c r="R6463" s="23"/>
      <c r="S6463" s="23"/>
      <c r="T6463" s="23"/>
      <c r="U6463" s="23"/>
      <c r="V6463" s="23"/>
      <c r="W6463" s="23"/>
      <c r="X6463" s="23"/>
      <c r="Y6463" s="23"/>
      <c r="Z6463" s="23"/>
    </row>
    <row r="6464" spans="1:26" ht="13">
      <c r="A6464" s="562" t="s">
        <v>14036</v>
      </c>
      <c r="B6464" s="563" t="s">
        <v>14037</v>
      </c>
      <c r="C6464" s="564" t="s">
        <v>2322</v>
      </c>
      <c r="D6464" s="565">
        <v>42719</v>
      </c>
      <c r="E6464" s="565">
        <v>42929</v>
      </c>
      <c r="F6464" s="566">
        <v>785600000</v>
      </c>
      <c r="G6464" s="564" t="s">
        <v>14038</v>
      </c>
      <c r="H6464" s="564" t="s">
        <v>4925</v>
      </c>
      <c r="I6464" s="564" t="s">
        <v>14039</v>
      </c>
      <c r="J6464" s="564" t="s">
        <v>1069</v>
      </c>
      <c r="K6464" s="564" t="s">
        <v>1205</v>
      </c>
      <c r="L6464" s="564" t="s">
        <v>1390</v>
      </c>
      <c r="M6464" s="564" t="s">
        <v>1390</v>
      </c>
      <c r="N6464" s="564" t="s">
        <v>1368</v>
      </c>
      <c r="O6464" s="564" t="s">
        <v>13894</v>
      </c>
      <c r="P6464" s="23"/>
      <c r="Q6464" s="23"/>
      <c r="R6464" s="23"/>
      <c r="S6464" s="23"/>
      <c r="T6464" s="23"/>
      <c r="U6464" s="23"/>
      <c r="V6464" s="23"/>
      <c r="W6464" s="23"/>
      <c r="X6464" s="23"/>
      <c r="Y6464" s="23"/>
      <c r="Z6464" s="23"/>
    </row>
    <row r="6465" spans="1:26" ht="13">
      <c r="A6465" s="562" t="s">
        <v>14040</v>
      </c>
      <c r="B6465" s="563" t="s">
        <v>14041</v>
      </c>
      <c r="C6465" s="564" t="s">
        <v>1475</v>
      </c>
      <c r="D6465" s="565">
        <v>42654</v>
      </c>
      <c r="E6465" s="565">
        <v>43799</v>
      </c>
      <c r="F6465" s="566">
        <v>4839090909</v>
      </c>
      <c r="G6465" s="564" t="s">
        <v>11012</v>
      </c>
      <c r="H6465" s="564" t="s">
        <v>11012</v>
      </c>
      <c r="I6465" s="564" t="s">
        <v>13969</v>
      </c>
      <c r="J6465" s="564" t="s">
        <v>1069</v>
      </c>
      <c r="K6465" s="564" t="s">
        <v>1198</v>
      </c>
      <c r="L6465" s="564" t="s">
        <v>1390</v>
      </c>
      <c r="M6465" s="564" t="s">
        <v>1390</v>
      </c>
      <c r="N6465" s="564" t="s">
        <v>1368</v>
      </c>
      <c r="O6465" s="564" t="s">
        <v>13894</v>
      </c>
      <c r="P6465" s="23"/>
      <c r="Q6465" s="23"/>
      <c r="R6465" s="23"/>
      <c r="S6465" s="23"/>
      <c r="T6465" s="23"/>
      <c r="U6465" s="23"/>
      <c r="V6465" s="23"/>
      <c r="W6465" s="23"/>
      <c r="X6465" s="23"/>
      <c r="Y6465" s="23"/>
      <c r="Z6465" s="23"/>
    </row>
    <row r="6466" spans="1:26" ht="13">
      <c r="A6466" s="562" t="s">
        <v>14042</v>
      </c>
      <c r="B6466" s="563" t="s">
        <v>14043</v>
      </c>
      <c r="C6466" s="564" t="s">
        <v>2437</v>
      </c>
      <c r="D6466" s="565">
        <v>42591</v>
      </c>
      <c r="E6466" s="565">
        <v>42774</v>
      </c>
      <c r="F6466" s="566">
        <v>450000000</v>
      </c>
      <c r="G6466" s="564" t="s">
        <v>11328</v>
      </c>
      <c r="H6466" s="564" t="s">
        <v>1157</v>
      </c>
      <c r="I6466" s="564" t="s">
        <v>170</v>
      </c>
      <c r="J6466" s="564" t="s">
        <v>1069</v>
      </c>
      <c r="K6466" s="564" t="s">
        <v>1105</v>
      </c>
      <c r="L6466" s="564" t="s">
        <v>1390</v>
      </c>
      <c r="M6466" s="564" t="s">
        <v>1390</v>
      </c>
      <c r="N6466" s="564" t="s">
        <v>170</v>
      </c>
      <c r="O6466" s="564" t="s">
        <v>13894</v>
      </c>
      <c r="P6466" s="23"/>
      <c r="Q6466" s="23"/>
      <c r="R6466" s="23"/>
      <c r="S6466" s="23"/>
      <c r="T6466" s="23"/>
      <c r="U6466" s="23"/>
      <c r="V6466" s="23"/>
      <c r="W6466" s="23"/>
      <c r="X6466" s="23"/>
      <c r="Y6466" s="23"/>
      <c r="Z6466" s="23"/>
    </row>
    <row r="6467" spans="1:26" ht="13">
      <c r="A6467" s="562" t="s">
        <v>14044</v>
      </c>
      <c r="B6467" s="563" t="s">
        <v>14045</v>
      </c>
      <c r="C6467" s="564" t="s">
        <v>1612</v>
      </c>
      <c r="D6467" s="565">
        <v>42558</v>
      </c>
      <c r="E6467" s="565">
        <v>42797</v>
      </c>
      <c r="F6467" s="566">
        <v>2836363636</v>
      </c>
      <c r="G6467" s="564" t="s">
        <v>13957</v>
      </c>
      <c r="H6467" s="564" t="s">
        <v>1564</v>
      </c>
      <c r="I6467" s="564" t="s">
        <v>11947</v>
      </c>
      <c r="J6467" s="564" t="s">
        <v>1069</v>
      </c>
      <c r="K6467" s="564" t="s">
        <v>1198</v>
      </c>
      <c r="L6467" s="564" t="s">
        <v>1390</v>
      </c>
      <c r="M6467" s="564" t="s">
        <v>1390</v>
      </c>
      <c r="N6467" s="564" t="s">
        <v>1368</v>
      </c>
      <c r="O6467" s="564" t="s">
        <v>13894</v>
      </c>
      <c r="P6467" s="23"/>
      <c r="Q6467" s="23"/>
      <c r="R6467" s="23"/>
      <c r="S6467" s="23"/>
      <c r="T6467" s="23"/>
      <c r="U6467" s="23"/>
      <c r="V6467" s="23"/>
      <c r="W6467" s="23"/>
      <c r="X6467" s="23"/>
      <c r="Y6467" s="23"/>
      <c r="Z6467" s="23"/>
    </row>
    <row r="6468" spans="1:26" ht="13">
      <c r="A6468" s="562" t="s">
        <v>14046</v>
      </c>
      <c r="B6468" s="563" t="s">
        <v>14047</v>
      </c>
      <c r="C6468" s="564" t="s">
        <v>1475</v>
      </c>
      <c r="D6468" s="565">
        <v>42583</v>
      </c>
      <c r="E6468" s="565">
        <v>43677</v>
      </c>
      <c r="F6468" s="566">
        <v>10552884000</v>
      </c>
      <c r="G6468" s="564" t="s">
        <v>2332</v>
      </c>
      <c r="H6468" s="564" t="s">
        <v>1187</v>
      </c>
      <c r="I6468" s="564" t="s">
        <v>13995</v>
      </c>
      <c r="J6468" s="564" t="s">
        <v>1069</v>
      </c>
      <c r="K6468" s="564" t="s">
        <v>1070</v>
      </c>
      <c r="L6468" s="564" t="s">
        <v>1071</v>
      </c>
      <c r="M6468" s="564" t="s">
        <v>1091</v>
      </c>
      <c r="N6468" s="564" t="s">
        <v>1082</v>
      </c>
      <c r="O6468" s="564" t="s">
        <v>13894</v>
      </c>
      <c r="P6468" s="23"/>
      <c r="Q6468" s="23"/>
      <c r="R6468" s="23"/>
      <c r="S6468" s="23"/>
      <c r="T6468" s="23"/>
      <c r="U6468" s="23"/>
      <c r="V6468" s="23"/>
      <c r="W6468" s="23"/>
      <c r="X6468" s="23"/>
      <c r="Y6468" s="23"/>
      <c r="Z6468" s="23"/>
    </row>
    <row r="6469" spans="1:26" ht="13">
      <c r="A6469" s="562" t="s">
        <v>14048</v>
      </c>
      <c r="B6469" s="563" t="s">
        <v>14049</v>
      </c>
      <c r="C6469" s="564" t="s">
        <v>2322</v>
      </c>
      <c r="D6469" s="565">
        <v>42500</v>
      </c>
      <c r="E6469" s="565">
        <v>42835</v>
      </c>
      <c r="F6469" s="566">
        <v>1398468182</v>
      </c>
      <c r="G6469" s="564" t="s">
        <v>10893</v>
      </c>
      <c r="H6469" s="564" t="s">
        <v>4925</v>
      </c>
      <c r="I6469" s="564" t="s">
        <v>4926</v>
      </c>
      <c r="J6469" s="564" t="s">
        <v>1069</v>
      </c>
      <c r="K6469" s="564" t="s">
        <v>1209</v>
      </c>
      <c r="L6469" s="564" t="s">
        <v>1390</v>
      </c>
      <c r="M6469" s="564" t="s">
        <v>1390</v>
      </c>
      <c r="N6469" s="564" t="s">
        <v>2439</v>
      </c>
      <c r="O6469" s="564" t="s">
        <v>13894</v>
      </c>
      <c r="P6469" s="23"/>
      <c r="Q6469" s="23"/>
      <c r="R6469" s="23"/>
      <c r="S6469" s="23"/>
      <c r="T6469" s="23"/>
      <c r="U6469" s="23"/>
      <c r="V6469" s="23"/>
      <c r="W6469" s="23"/>
      <c r="X6469" s="23"/>
      <c r="Y6469" s="23"/>
      <c r="Z6469" s="23"/>
    </row>
    <row r="6470" spans="1:26" ht="13">
      <c r="A6470" s="562" t="s">
        <v>14050</v>
      </c>
      <c r="B6470" s="563" t="s">
        <v>14051</v>
      </c>
      <c r="C6470" s="564" t="s">
        <v>3935</v>
      </c>
      <c r="D6470" s="565">
        <v>42354</v>
      </c>
      <c r="E6470" s="565">
        <v>42719</v>
      </c>
      <c r="F6470" s="566">
        <v>1523460000</v>
      </c>
      <c r="G6470" s="564" t="s">
        <v>2202</v>
      </c>
      <c r="H6470" s="564" t="s">
        <v>1640</v>
      </c>
      <c r="I6470" s="564" t="s">
        <v>2460</v>
      </c>
      <c r="J6470" s="564" t="s">
        <v>1069</v>
      </c>
      <c r="K6470" s="564" t="s">
        <v>1070</v>
      </c>
      <c r="L6470" s="564" t="s">
        <v>1390</v>
      </c>
      <c r="M6470" s="564" t="s">
        <v>1390</v>
      </c>
      <c r="N6470" s="564" t="s">
        <v>2439</v>
      </c>
      <c r="O6470" s="564" t="s">
        <v>13894</v>
      </c>
      <c r="P6470" s="23"/>
      <c r="Q6470" s="23"/>
      <c r="R6470" s="23"/>
      <c r="S6470" s="23"/>
      <c r="T6470" s="23"/>
      <c r="U6470" s="23"/>
      <c r="V6470" s="23"/>
      <c r="W6470" s="23"/>
      <c r="X6470" s="23"/>
      <c r="Y6470" s="23"/>
      <c r="Z6470" s="23"/>
    </row>
    <row r="6471" spans="1:26" ht="13">
      <c r="A6471" s="562" t="s">
        <v>14052</v>
      </c>
      <c r="B6471" s="563" t="s">
        <v>14053</v>
      </c>
      <c r="C6471" s="564" t="s">
        <v>1548</v>
      </c>
      <c r="D6471" s="565">
        <v>42339</v>
      </c>
      <c r="E6471" s="565">
        <v>43434</v>
      </c>
      <c r="F6471" s="566">
        <v>4090000909</v>
      </c>
      <c r="G6471" s="564" t="s">
        <v>10710</v>
      </c>
      <c r="H6471" s="564" t="s">
        <v>2459</v>
      </c>
      <c r="I6471" s="564" t="s">
        <v>14054</v>
      </c>
      <c r="J6471" s="564" t="s">
        <v>1069</v>
      </c>
      <c r="K6471" s="564" t="s">
        <v>1802</v>
      </c>
      <c r="L6471" s="564" t="s">
        <v>1071</v>
      </c>
      <c r="M6471" s="564" t="s">
        <v>1091</v>
      </c>
      <c r="N6471" s="564" t="s">
        <v>2325</v>
      </c>
      <c r="O6471" s="564" t="s">
        <v>13894</v>
      </c>
      <c r="P6471" s="23"/>
      <c r="Q6471" s="23"/>
      <c r="R6471" s="23"/>
      <c r="S6471" s="23"/>
      <c r="T6471" s="23"/>
      <c r="U6471" s="23"/>
      <c r="V6471" s="23"/>
      <c r="W6471" s="23"/>
      <c r="X6471" s="23"/>
      <c r="Y6471" s="23"/>
      <c r="Z6471" s="23"/>
    </row>
    <row r="6472" spans="1:26" ht="13">
      <c r="A6472" s="562" t="s">
        <v>14055</v>
      </c>
      <c r="B6472" s="563" t="s">
        <v>14056</v>
      </c>
      <c r="C6472" s="564" t="s">
        <v>2191</v>
      </c>
      <c r="D6472" s="565">
        <v>42317</v>
      </c>
      <c r="E6472" s="565">
        <v>42587</v>
      </c>
      <c r="F6472" s="566">
        <v>2954545455</v>
      </c>
      <c r="G6472" s="564" t="s">
        <v>13957</v>
      </c>
      <c r="H6472" s="564" t="s">
        <v>1564</v>
      </c>
      <c r="I6472" s="564" t="s">
        <v>11947</v>
      </c>
      <c r="J6472" s="564" t="s">
        <v>1069</v>
      </c>
      <c r="K6472" s="564" t="s">
        <v>1198</v>
      </c>
      <c r="L6472" s="564" t="s">
        <v>1390</v>
      </c>
      <c r="M6472" s="564" t="s">
        <v>1390</v>
      </c>
      <c r="N6472" s="564" t="s">
        <v>1368</v>
      </c>
      <c r="O6472" s="564" t="s">
        <v>13894</v>
      </c>
      <c r="P6472" s="23"/>
      <c r="Q6472" s="23"/>
      <c r="R6472" s="23"/>
      <c r="S6472" s="23"/>
      <c r="T6472" s="23"/>
      <c r="U6472" s="23"/>
      <c r="V6472" s="23"/>
      <c r="W6472" s="23"/>
      <c r="X6472" s="23"/>
      <c r="Y6472" s="23"/>
      <c r="Z6472" s="23"/>
    </row>
    <row r="6473" spans="1:26" ht="13">
      <c r="A6473" s="562" t="s">
        <v>14057</v>
      </c>
      <c r="B6473" s="563" t="s">
        <v>14058</v>
      </c>
      <c r="C6473" s="564" t="s">
        <v>1475</v>
      </c>
      <c r="D6473" s="565">
        <v>42312</v>
      </c>
      <c r="E6473" s="565">
        <v>43799</v>
      </c>
      <c r="F6473" s="566">
        <v>1585000000</v>
      </c>
      <c r="G6473" s="564" t="s">
        <v>2428</v>
      </c>
      <c r="H6473" s="564" t="s">
        <v>1025</v>
      </c>
      <c r="I6473" s="564" t="s">
        <v>14059</v>
      </c>
      <c r="J6473" s="564" t="s">
        <v>1069</v>
      </c>
      <c r="K6473" s="564" t="s">
        <v>2430</v>
      </c>
      <c r="L6473" s="564" t="s">
        <v>1390</v>
      </c>
      <c r="M6473" s="564" t="s">
        <v>1390</v>
      </c>
      <c r="N6473" s="564" t="s">
        <v>1082</v>
      </c>
      <c r="O6473" s="564" t="s">
        <v>13894</v>
      </c>
      <c r="P6473" s="23"/>
      <c r="Q6473" s="23"/>
      <c r="R6473" s="23"/>
      <c r="S6473" s="23"/>
      <c r="T6473" s="23"/>
      <c r="U6473" s="23"/>
      <c r="V6473" s="23"/>
      <c r="W6473" s="23"/>
      <c r="X6473" s="23"/>
      <c r="Y6473" s="23"/>
      <c r="Z6473" s="23"/>
    </row>
    <row r="6474" spans="1:26" ht="13">
      <c r="A6474" s="562" t="s">
        <v>14060</v>
      </c>
      <c r="B6474" s="563" t="s">
        <v>14061</v>
      </c>
      <c r="C6474" s="564" t="s">
        <v>1612</v>
      </c>
      <c r="D6474" s="565">
        <v>42186</v>
      </c>
      <c r="E6474" s="565">
        <v>42369</v>
      </c>
      <c r="F6474" s="566">
        <v>362000000</v>
      </c>
      <c r="G6474" s="564" t="s">
        <v>14020</v>
      </c>
      <c r="H6474" s="564" t="s">
        <v>1187</v>
      </c>
      <c r="I6474" s="564" t="s">
        <v>70</v>
      </c>
      <c r="J6474" s="564" t="s">
        <v>1069</v>
      </c>
      <c r="K6474" s="564" t="s">
        <v>1120</v>
      </c>
      <c r="L6474" s="564" t="s">
        <v>1390</v>
      </c>
      <c r="M6474" s="564" t="s">
        <v>1390</v>
      </c>
      <c r="N6474" s="564" t="s">
        <v>70</v>
      </c>
      <c r="O6474" s="564" t="s">
        <v>13894</v>
      </c>
      <c r="P6474" s="23"/>
      <c r="Q6474" s="23"/>
      <c r="R6474" s="23"/>
      <c r="S6474" s="23"/>
      <c r="T6474" s="23"/>
      <c r="U6474" s="23"/>
      <c r="V6474" s="23"/>
      <c r="W6474" s="23"/>
      <c r="X6474" s="23"/>
      <c r="Y6474" s="23"/>
      <c r="Z6474" s="23"/>
    </row>
    <row r="6475" spans="1:26" ht="13">
      <c r="A6475" s="562" t="s">
        <v>14062</v>
      </c>
      <c r="B6475" s="563" t="s">
        <v>14063</v>
      </c>
      <c r="C6475" s="564" t="s">
        <v>2322</v>
      </c>
      <c r="D6475" s="565">
        <v>42170</v>
      </c>
      <c r="E6475" s="565">
        <v>43359</v>
      </c>
      <c r="F6475" s="566">
        <v>555000000</v>
      </c>
      <c r="G6475" s="564" t="s">
        <v>11273</v>
      </c>
      <c r="H6475" s="564" t="s">
        <v>5465</v>
      </c>
      <c r="I6475" s="564" t="s">
        <v>14064</v>
      </c>
      <c r="J6475" s="564" t="s">
        <v>1069</v>
      </c>
      <c r="K6475" s="564" t="s">
        <v>1070</v>
      </c>
      <c r="L6475" s="564" t="s">
        <v>1390</v>
      </c>
      <c r="M6475" s="564" t="s">
        <v>1390</v>
      </c>
      <c r="N6475" s="564" t="s">
        <v>1082</v>
      </c>
      <c r="O6475" s="564" t="s">
        <v>13894</v>
      </c>
      <c r="P6475" s="23"/>
      <c r="Q6475" s="23"/>
      <c r="R6475" s="23"/>
      <c r="S6475" s="23"/>
      <c r="T6475" s="23"/>
      <c r="U6475" s="23"/>
      <c r="V6475" s="23"/>
      <c r="W6475" s="23"/>
      <c r="X6475" s="23"/>
      <c r="Y6475" s="23"/>
      <c r="Z6475" s="23"/>
    </row>
    <row r="6476" spans="1:26" ht="13">
      <c r="A6476" s="562" t="s">
        <v>14065</v>
      </c>
      <c r="B6476" s="563" t="s">
        <v>14066</v>
      </c>
      <c r="C6476" s="564" t="s">
        <v>1612</v>
      </c>
      <c r="D6476" s="565">
        <v>42125</v>
      </c>
      <c r="E6476" s="565">
        <v>42400</v>
      </c>
      <c r="F6476" s="566">
        <v>2000000000</v>
      </c>
      <c r="G6476" s="564" t="s">
        <v>1729</v>
      </c>
      <c r="H6476" s="564" t="s">
        <v>1640</v>
      </c>
      <c r="I6476" s="564" t="s">
        <v>64</v>
      </c>
      <c r="J6476" s="564" t="s">
        <v>1069</v>
      </c>
      <c r="K6476" s="564" t="s">
        <v>1090</v>
      </c>
      <c r="L6476" s="564" t="s">
        <v>1390</v>
      </c>
      <c r="M6476" s="564" t="s">
        <v>1390</v>
      </c>
      <c r="N6476" s="564" t="s">
        <v>64</v>
      </c>
      <c r="O6476" s="564" t="s">
        <v>13894</v>
      </c>
      <c r="P6476" s="23"/>
      <c r="Q6476" s="23"/>
      <c r="R6476" s="23"/>
      <c r="S6476" s="23"/>
      <c r="T6476" s="23"/>
      <c r="U6476" s="23"/>
      <c r="V6476" s="23"/>
      <c r="W6476" s="23"/>
      <c r="X6476" s="23"/>
      <c r="Y6476" s="23"/>
      <c r="Z6476" s="23"/>
    </row>
    <row r="6477" spans="1:26" ht="13">
      <c r="A6477" s="562" t="s">
        <v>14067</v>
      </c>
      <c r="B6477" s="563" t="s">
        <v>14068</v>
      </c>
      <c r="C6477" s="564" t="s">
        <v>1612</v>
      </c>
      <c r="D6477" s="565">
        <v>42117</v>
      </c>
      <c r="E6477" s="565">
        <v>42460</v>
      </c>
      <c r="F6477" s="566">
        <v>3113459000</v>
      </c>
      <c r="G6477" s="564" t="s">
        <v>1753</v>
      </c>
      <c r="H6477" s="564" t="s">
        <v>1636</v>
      </c>
      <c r="I6477" s="564" t="s">
        <v>1637</v>
      </c>
      <c r="J6477" s="564" t="s">
        <v>1069</v>
      </c>
      <c r="K6477" s="564" t="s">
        <v>1120</v>
      </c>
      <c r="L6477" s="564" t="s">
        <v>1390</v>
      </c>
      <c r="M6477" s="564" t="s">
        <v>1390</v>
      </c>
      <c r="N6477" s="564" t="s">
        <v>1073</v>
      </c>
      <c r="O6477" s="564" t="s">
        <v>13894</v>
      </c>
      <c r="P6477" s="23"/>
      <c r="Q6477" s="23"/>
      <c r="R6477" s="23"/>
      <c r="S6477" s="23"/>
      <c r="T6477" s="23"/>
      <c r="U6477" s="23"/>
      <c r="V6477" s="23"/>
      <c r="W6477" s="23"/>
      <c r="X6477" s="23"/>
      <c r="Y6477" s="23"/>
      <c r="Z6477" s="23"/>
    </row>
    <row r="6478" spans="1:26" ht="13">
      <c r="A6478" s="562" t="s">
        <v>14069</v>
      </c>
      <c r="B6478" s="563" t="s">
        <v>14070</v>
      </c>
      <c r="C6478" s="564" t="s">
        <v>1612</v>
      </c>
      <c r="D6478" s="565">
        <v>41977</v>
      </c>
      <c r="E6478" s="565">
        <v>42247</v>
      </c>
      <c r="F6478" s="566">
        <v>3441364636</v>
      </c>
      <c r="G6478" s="564" t="s">
        <v>13957</v>
      </c>
      <c r="H6478" s="564" t="s">
        <v>1564</v>
      </c>
      <c r="I6478" s="564" t="s">
        <v>11947</v>
      </c>
      <c r="J6478" s="564" t="s">
        <v>1069</v>
      </c>
      <c r="K6478" s="564" t="s">
        <v>1198</v>
      </c>
      <c r="L6478" s="564" t="s">
        <v>1390</v>
      </c>
      <c r="M6478" s="564" t="s">
        <v>1390</v>
      </c>
      <c r="N6478" s="564" t="s">
        <v>1368</v>
      </c>
      <c r="O6478" s="564" t="s">
        <v>13894</v>
      </c>
      <c r="P6478" s="23"/>
      <c r="Q6478" s="23"/>
      <c r="R6478" s="23"/>
      <c r="S6478" s="23"/>
      <c r="T6478" s="23"/>
      <c r="U6478" s="23"/>
      <c r="V6478" s="23"/>
      <c r="W6478" s="23"/>
      <c r="X6478" s="23"/>
      <c r="Y6478" s="23"/>
      <c r="Z6478" s="23"/>
    </row>
    <row r="6479" spans="1:26" ht="13">
      <c r="A6479" s="562" t="s">
        <v>14071</v>
      </c>
      <c r="B6479" s="563" t="s">
        <v>14072</v>
      </c>
      <c r="C6479" s="564" t="s">
        <v>2437</v>
      </c>
      <c r="D6479" s="565">
        <v>41789</v>
      </c>
      <c r="E6479" s="565">
        <v>42642</v>
      </c>
      <c r="F6479" s="566">
        <v>3535086082</v>
      </c>
      <c r="G6479" s="564" t="s">
        <v>1116</v>
      </c>
      <c r="H6479" s="564" t="s">
        <v>1116</v>
      </c>
      <c r="I6479" s="564" t="s">
        <v>14073</v>
      </c>
      <c r="J6479" s="564" t="s">
        <v>1069</v>
      </c>
      <c r="K6479" s="564" t="s">
        <v>2430</v>
      </c>
      <c r="L6479" s="564" t="s">
        <v>1071</v>
      </c>
      <c r="M6479" s="564" t="s">
        <v>1124</v>
      </c>
      <c r="N6479" s="564" t="s">
        <v>2325</v>
      </c>
      <c r="O6479" s="564" t="s">
        <v>13894</v>
      </c>
      <c r="P6479" s="23"/>
      <c r="Q6479" s="23"/>
      <c r="R6479" s="23"/>
      <c r="S6479" s="23"/>
      <c r="T6479" s="23"/>
      <c r="U6479" s="23"/>
      <c r="V6479" s="23"/>
      <c r="W6479" s="23"/>
      <c r="X6479" s="23"/>
      <c r="Y6479" s="23"/>
      <c r="Z6479" s="23"/>
    </row>
    <row r="6480" spans="1:26" ht="13">
      <c r="A6480" s="562" t="s">
        <v>14074</v>
      </c>
      <c r="B6480" s="563" t="s">
        <v>14035</v>
      </c>
      <c r="C6480" s="564" t="s">
        <v>1612</v>
      </c>
      <c r="D6480" s="565">
        <v>41760</v>
      </c>
      <c r="E6480" s="565">
        <v>42855</v>
      </c>
      <c r="F6480" s="566">
        <v>1445454545</v>
      </c>
      <c r="G6480" s="564" t="s">
        <v>10577</v>
      </c>
      <c r="H6480" s="564" t="s">
        <v>1564</v>
      </c>
      <c r="I6480" s="564" t="s">
        <v>9099</v>
      </c>
      <c r="J6480" s="564" t="s">
        <v>1069</v>
      </c>
      <c r="K6480" s="564" t="s">
        <v>1198</v>
      </c>
      <c r="L6480" s="564" t="s">
        <v>1390</v>
      </c>
      <c r="M6480" s="564" t="s">
        <v>1390</v>
      </c>
      <c r="N6480" s="564" t="s">
        <v>1368</v>
      </c>
      <c r="O6480" s="564" t="s">
        <v>13894</v>
      </c>
      <c r="P6480" s="23"/>
      <c r="Q6480" s="23"/>
      <c r="R6480" s="23"/>
      <c r="S6480" s="23"/>
      <c r="T6480" s="23"/>
      <c r="U6480" s="23"/>
      <c r="V6480" s="23"/>
      <c r="W6480" s="23"/>
      <c r="X6480" s="23"/>
      <c r="Y6480" s="23"/>
      <c r="Z6480" s="23"/>
    </row>
    <row r="6481" spans="1:26" ht="13">
      <c r="A6481" s="562" t="s">
        <v>14075</v>
      </c>
      <c r="B6481" s="563" t="s">
        <v>14076</v>
      </c>
      <c r="C6481" s="564" t="s">
        <v>2322</v>
      </c>
      <c r="D6481" s="565">
        <v>41673</v>
      </c>
      <c r="E6481" s="565">
        <v>42978</v>
      </c>
      <c r="F6481" s="566">
        <v>4769444190</v>
      </c>
      <c r="G6481" s="564" t="s">
        <v>10596</v>
      </c>
      <c r="H6481" s="564" t="s">
        <v>1640</v>
      </c>
      <c r="I6481" s="564" t="s">
        <v>4326</v>
      </c>
      <c r="J6481" s="564" t="s">
        <v>1069</v>
      </c>
      <c r="K6481" s="564" t="s">
        <v>1209</v>
      </c>
      <c r="L6481" s="564" t="s">
        <v>1390</v>
      </c>
      <c r="M6481" s="564" t="s">
        <v>1390</v>
      </c>
      <c r="N6481" s="564" t="s">
        <v>2325</v>
      </c>
      <c r="O6481" s="564" t="s">
        <v>13894</v>
      </c>
      <c r="P6481" s="23"/>
      <c r="Q6481" s="23"/>
      <c r="R6481" s="23"/>
      <c r="S6481" s="23"/>
      <c r="T6481" s="23"/>
      <c r="U6481" s="23"/>
      <c r="V6481" s="23"/>
      <c r="W6481" s="23"/>
      <c r="X6481" s="23"/>
      <c r="Y6481" s="23"/>
      <c r="Z6481" s="23"/>
    </row>
    <row r="6482" spans="1:26" ht="13">
      <c r="A6482" s="562" t="s">
        <v>14077</v>
      </c>
      <c r="B6482" s="563" t="s">
        <v>14078</v>
      </c>
      <c r="C6482" s="564" t="s">
        <v>2191</v>
      </c>
      <c r="D6482" s="565">
        <v>41668</v>
      </c>
      <c r="E6482" s="565">
        <v>41848</v>
      </c>
      <c r="F6482" s="566">
        <v>1584545000</v>
      </c>
      <c r="G6482" s="564" t="s">
        <v>1725</v>
      </c>
      <c r="H6482" s="564" t="s">
        <v>1564</v>
      </c>
      <c r="I6482" s="564" t="s">
        <v>11947</v>
      </c>
      <c r="J6482" s="564" t="s">
        <v>1069</v>
      </c>
      <c r="K6482" s="564" t="s">
        <v>1198</v>
      </c>
      <c r="L6482" s="564" t="s">
        <v>1390</v>
      </c>
      <c r="M6482" s="564" t="s">
        <v>1390</v>
      </c>
      <c r="N6482" s="564" t="s">
        <v>1368</v>
      </c>
      <c r="O6482" s="564" t="s">
        <v>13894</v>
      </c>
      <c r="P6482" s="23"/>
      <c r="Q6482" s="23"/>
      <c r="R6482" s="23"/>
      <c r="S6482" s="23"/>
      <c r="T6482" s="23"/>
      <c r="U6482" s="23"/>
      <c r="V6482" s="23"/>
      <c r="W6482" s="23"/>
      <c r="X6482" s="23"/>
      <c r="Y6482" s="23"/>
      <c r="Z6482" s="23"/>
    </row>
    <row r="6483" spans="1:26" ht="13">
      <c r="A6483" s="562" t="s">
        <v>14079</v>
      </c>
      <c r="B6483" s="563" t="s">
        <v>14080</v>
      </c>
      <c r="C6483" s="564" t="s">
        <v>1873</v>
      </c>
      <c r="D6483" s="565">
        <v>41439</v>
      </c>
      <c r="E6483" s="565">
        <v>41639</v>
      </c>
      <c r="F6483" s="567"/>
      <c r="G6483" s="564" t="s">
        <v>2508</v>
      </c>
      <c r="H6483" s="564" t="s">
        <v>1157</v>
      </c>
      <c r="I6483" s="564" t="s">
        <v>170</v>
      </c>
      <c r="J6483" s="564" t="s">
        <v>1069</v>
      </c>
      <c r="K6483" s="564" t="s">
        <v>1105</v>
      </c>
      <c r="L6483" s="564" t="s">
        <v>1390</v>
      </c>
      <c r="M6483" s="564" t="s">
        <v>1390</v>
      </c>
      <c r="N6483" s="564" t="s">
        <v>170</v>
      </c>
      <c r="O6483" s="564" t="s">
        <v>13894</v>
      </c>
      <c r="P6483" s="23"/>
      <c r="Q6483" s="23"/>
      <c r="R6483" s="23"/>
      <c r="S6483" s="23"/>
      <c r="T6483" s="23"/>
      <c r="U6483" s="23"/>
      <c r="V6483" s="23"/>
      <c r="W6483" s="23"/>
      <c r="X6483" s="23"/>
      <c r="Y6483" s="23"/>
      <c r="Z6483" s="23"/>
    </row>
    <row r="6484" spans="1:26" ht="13">
      <c r="A6484" s="562" t="s">
        <v>14081</v>
      </c>
      <c r="B6484" s="563" t="s">
        <v>14082</v>
      </c>
      <c r="C6484" s="564" t="s">
        <v>2191</v>
      </c>
      <c r="D6484" s="565">
        <v>41331</v>
      </c>
      <c r="E6484" s="565">
        <v>41571</v>
      </c>
      <c r="F6484" s="566">
        <v>775909000</v>
      </c>
      <c r="G6484" s="564" t="s">
        <v>11012</v>
      </c>
      <c r="H6484" s="564" t="s">
        <v>1564</v>
      </c>
      <c r="I6484" s="564" t="s">
        <v>11947</v>
      </c>
      <c r="J6484" s="564" t="s">
        <v>1069</v>
      </c>
      <c r="K6484" s="564" t="s">
        <v>1198</v>
      </c>
      <c r="L6484" s="564" t="s">
        <v>1390</v>
      </c>
      <c r="M6484" s="564" t="s">
        <v>1390</v>
      </c>
      <c r="N6484" s="564" t="s">
        <v>1368</v>
      </c>
      <c r="O6484" s="564" t="s">
        <v>13894</v>
      </c>
      <c r="P6484" s="23"/>
      <c r="Q6484" s="23"/>
      <c r="R6484" s="23"/>
      <c r="S6484" s="23"/>
      <c r="T6484" s="23"/>
      <c r="U6484" s="23"/>
      <c r="V6484" s="23"/>
      <c r="W6484" s="23"/>
      <c r="X6484" s="23"/>
      <c r="Y6484" s="23"/>
      <c r="Z6484" s="23"/>
    </row>
    <row r="6485" spans="1:26" ht="13">
      <c r="A6485" s="562" t="s">
        <v>14083</v>
      </c>
      <c r="B6485" s="563" t="s">
        <v>14084</v>
      </c>
      <c r="C6485" s="564" t="s">
        <v>2484</v>
      </c>
      <c r="D6485" s="565">
        <v>40981</v>
      </c>
      <c r="E6485" s="565">
        <v>41230</v>
      </c>
      <c r="F6485" s="566">
        <v>926827273</v>
      </c>
      <c r="G6485" s="564" t="s">
        <v>12124</v>
      </c>
      <c r="H6485" s="564" t="s">
        <v>12080</v>
      </c>
      <c r="I6485" s="564" t="s">
        <v>12081</v>
      </c>
      <c r="J6485" s="564" t="s">
        <v>1069</v>
      </c>
      <c r="K6485" s="564" t="s">
        <v>2466</v>
      </c>
      <c r="L6485" s="564" t="s">
        <v>2467</v>
      </c>
      <c r="M6485" s="564" t="s">
        <v>2466</v>
      </c>
      <c r="N6485" s="564" t="s">
        <v>2439</v>
      </c>
      <c r="O6485" s="564" t="s">
        <v>12077</v>
      </c>
      <c r="P6485" s="23"/>
      <c r="Q6485" s="23"/>
      <c r="R6485" s="23"/>
      <c r="S6485" s="23"/>
      <c r="T6485" s="23"/>
      <c r="U6485" s="23"/>
      <c r="V6485" s="23"/>
      <c r="W6485" s="23"/>
      <c r="X6485" s="23"/>
      <c r="Y6485" s="23"/>
      <c r="Z6485" s="23"/>
    </row>
    <row r="6486" spans="1:26" ht="13">
      <c r="A6486" s="562" t="s">
        <v>14085</v>
      </c>
      <c r="B6486" s="563" t="s">
        <v>14086</v>
      </c>
      <c r="C6486" s="564" t="s">
        <v>2484</v>
      </c>
      <c r="D6486" s="565">
        <v>40967</v>
      </c>
      <c r="E6486" s="565">
        <v>41267</v>
      </c>
      <c r="F6486" s="566">
        <v>629818182</v>
      </c>
      <c r="G6486" s="564" t="s">
        <v>14087</v>
      </c>
      <c r="H6486" s="564" t="s">
        <v>2546</v>
      </c>
      <c r="I6486" s="564" t="s">
        <v>2438</v>
      </c>
      <c r="J6486" s="564" t="s">
        <v>1069</v>
      </c>
      <c r="K6486" s="564" t="s">
        <v>2466</v>
      </c>
      <c r="L6486" s="564" t="s">
        <v>2467</v>
      </c>
      <c r="M6486" s="564" t="s">
        <v>2466</v>
      </c>
      <c r="N6486" s="564" t="s">
        <v>2439</v>
      </c>
      <c r="O6486" s="564" t="s">
        <v>12077</v>
      </c>
      <c r="P6486" s="23"/>
      <c r="Q6486" s="23"/>
      <c r="R6486" s="23"/>
      <c r="S6486" s="23"/>
      <c r="T6486" s="23"/>
      <c r="U6486" s="23"/>
      <c r="V6486" s="23"/>
      <c r="W6486" s="23"/>
      <c r="X6486" s="23"/>
      <c r="Y6486" s="23"/>
      <c r="Z6486" s="23"/>
    </row>
    <row r="6487" spans="1:26" ht="13">
      <c r="A6487" s="562" t="s">
        <v>14088</v>
      </c>
      <c r="B6487" s="563" t="s">
        <v>14089</v>
      </c>
      <c r="C6487" s="564" t="s">
        <v>2484</v>
      </c>
      <c r="D6487" s="565">
        <v>40962</v>
      </c>
      <c r="E6487" s="565">
        <v>41147</v>
      </c>
      <c r="F6487" s="567"/>
      <c r="G6487" s="564" t="s">
        <v>12124</v>
      </c>
      <c r="H6487" s="564" t="s">
        <v>12096</v>
      </c>
      <c r="I6487" s="564" t="s">
        <v>12297</v>
      </c>
      <c r="J6487" s="564" t="s">
        <v>1069</v>
      </c>
      <c r="K6487" s="564" t="s">
        <v>2466</v>
      </c>
      <c r="L6487" s="564" t="s">
        <v>2467</v>
      </c>
      <c r="M6487" s="564" t="s">
        <v>2466</v>
      </c>
      <c r="N6487" s="564" t="s">
        <v>2439</v>
      </c>
      <c r="O6487" s="564" t="s">
        <v>12077</v>
      </c>
      <c r="P6487" s="23"/>
      <c r="Q6487" s="23"/>
      <c r="R6487" s="23"/>
      <c r="S6487" s="23"/>
      <c r="T6487" s="23"/>
      <c r="U6487" s="23"/>
      <c r="V6487" s="23"/>
      <c r="W6487" s="23"/>
      <c r="X6487" s="23"/>
      <c r="Y6487" s="23"/>
      <c r="Z6487" s="23"/>
    </row>
    <row r="6488" spans="1:26" ht="13">
      <c r="A6488" s="562" t="s">
        <v>14090</v>
      </c>
      <c r="B6488" s="563" t="s">
        <v>14091</v>
      </c>
      <c r="C6488" s="564" t="s">
        <v>2191</v>
      </c>
      <c r="D6488" s="565">
        <v>41244</v>
      </c>
      <c r="E6488" s="565">
        <v>41973</v>
      </c>
      <c r="F6488" s="566">
        <v>15680175636</v>
      </c>
      <c r="G6488" s="564" t="s">
        <v>14092</v>
      </c>
      <c r="H6488" s="564" t="s">
        <v>1529</v>
      </c>
      <c r="I6488" s="564" t="s">
        <v>14093</v>
      </c>
      <c r="J6488" s="564" t="s">
        <v>1069</v>
      </c>
      <c r="K6488" s="564" t="s">
        <v>1802</v>
      </c>
      <c r="L6488" s="564" t="s">
        <v>1390</v>
      </c>
      <c r="M6488" s="564" t="s">
        <v>1390</v>
      </c>
      <c r="N6488" s="564" t="s">
        <v>1082</v>
      </c>
      <c r="O6488" s="564" t="s">
        <v>13894</v>
      </c>
      <c r="P6488" s="23"/>
      <c r="Q6488" s="23"/>
      <c r="R6488" s="23"/>
      <c r="S6488" s="23"/>
      <c r="T6488" s="23"/>
      <c r="U6488" s="23"/>
      <c r="V6488" s="23"/>
      <c r="W6488" s="23"/>
      <c r="X6488" s="23"/>
      <c r="Y6488" s="23"/>
      <c r="Z6488" s="23"/>
    </row>
    <row r="6489" spans="1:26" ht="13">
      <c r="A6489" s="562" t="s">
        <v>14094</v>
      </c>
      <c r="B6489" s="563" t="s">
        <v>14095</v>
      </c>
      <c r="C6489" s="564" t="s">
        <v>1612</v>
      </c>
      <c r="D6489" s="565">
        <v>41184</v>
      </c>
      <c r="E6489" s="565">
        <v>41820</v>
      </c>
      <c r="F6489" s="567"/>
      <c r="G6489" s="564" t="s">
        <v>1756</v>
      </c>
      <c r="H6489" s="564" t="s">
        <v>1640</v>
      </c>
      <c r="I6489" s="564" t="s">
        <v>45</v>
      </c>
      <c r="J6489" s="564" t="s">
        <v>1069</v>
      </c>
      <c r="K6489" s="564" t="s">
        <v>1090</v>
      </c>
      <c r="L6489" s="564" t="s">
        <v>1390</v>
      </c>
      <c r="M6489" s="564" t="s">
        <v>1390</v>
      </c>
      <c r="N6489" s="564" t="s">
        <v>45</v>
      </c>
      <c r="O6489" s="564" t="s">
        <v>13894</v>
      </c>
      <c r="P6489" s="23"/>
      <c r="Q6489" s="23"/>
      <c r="R6489" s="23"/>
      <c r="S6489" s="23"/>
      <c r="T6489" s="23"/>
      <c r="U6489" s="23"/>
      <c r="V6489" s="23"/>
      <c r="W6489" s="23"/>
      <c r="X6489" s="23"/>
      <c r="Y6489" s="23"/>
      <c r="Z6489" s="23"/>
    </row>
    <row r="6490" spans="1:26" ht="13">
      <c r="A6490" s="562" t="s">
        <v>14096</v>
      </c>
      <c r="B6490" s="563" t="s">
        <v>14097</v>
      </c>
      <c r="C6490" s="564" t="s">
        <v>1873</v>
      </c>
      <c r="D6490" s="565">
        <v>41137</v>
      </c>
      <c r="E6490" s="565">
        <v>41425</v>
      </c>
      <c r="F6490" s="567"/>
      <c r="G6490" s="564" t="s">
        <v>1753</v>
      </c>
      <c r="H6490" s="564" t="s">
        <v>1157</v>
      </c>
      <c r="I6490" s="564" t="s">
        <v>170</v>
      </c>
      <c r="J6490" s="564" t="s">
        <v>1069</v>
      </c>
      <c r="K6490" s="564" t="s">
        <v>1105</v>
      </c>
      <c r="L6490" s="564" t="s">
        <v>1390</v>
      </c>
      <c r="M6490" s="564" t="s">
        <v>1390</v>
      </c>
      <c r="N6490" s="564" t="s">
        <v>170</v>
      </c>
      <c r="O6490" s="564" t="s">
        <v>13894</v>
      </c>
      <c r="P6490" s="23"/>
      <c r="Q6490" s="23"/>
      <c r="R6490" s="23"/>
      <c r="S6490" s="23"/>
      <c r="T6490" s="23"/>
      <c r="U6490" s="23"/>
      <c r="V6490" s="23"/>
      <c r="W6490" s="23"/>
      <c r="X6490" s="23"/>
      <c r="Y6490" s="23"/>
      <c r="Z6490" s="23"/>
    </row>
    <row r="6491" spans="1:26" ht="13">
      <c r="A6491" s="562" t="s">
        <v>14098</v>
      </c>
      <c r="B6491" s="563" t="s">
        <v>14099</v>
      </c>
      <c r="C6491" s="564" t="s">
        <v>2191</v>
      </c>
      <c r="D6491" s="565">
        <v>41082</v>
      </c>
      <c r="E6491" s="565">
        <v>41638</v>
      </c>
      <c r="F6491" s="567"/>
      <c r="G6491" s="564" t="s">
        <v>12104</v>
      </c>
      <c r="H6491" s="564" t="s">
        <v>12120</v>
      </c>
      <c r="I6491" s="564" t="s">
        <v>13242</v>
      </c>
      <c r="J6491" s="564" t="s">
        <v>1069</v>
      </c>
      <c r="K6491" s="564" t="s">
        <v>2466</v>
      </c>
      <c r="L6491" s="564" t="s">
        <v>2467</v>
      </c>
      <c r="M6491" s="564" t="s">
        <v>2466</v>
      </c>
      <c r="N6491" s="564" t="s">
        <v>2325</v>
      </c>
      <c r="O6491" s="564" t="s">
        <v>12077</v>
      </c>
      <c r="P6491" s="23"/>
      <c r="Q6491" s="23"/>
      <c r="R6491" s="23"/>
      <c r="S6491" s="23"/>
      <c r="T6491" s="23"/>
      <c r="U6491" s="23"/>
      <c r="V6491" s="23"/>
      <c r="W6491" s="23"/>
      <c r="X6491" s="23"/>
      <c r="Y6491" s="23"/>
      <c r="Z6491" s="23"/>
    </row>
    <row r="6492" spans="1:26" ht="13">
      <c r="A6492" s="562" t="s">
        <v>14100</v>
      </c>
      <c r="B6492" s="563" t="s">
        <v>14101</v>
      </c>
      <c r="C6492" s="564" t="s">
        <v>2191</v>
      </c>
      <c r="D6492" s="565">
        <v>41073</v>
      </c>
      <c r="E6492" s="565">
        <v>41263</v>
      </c>
      <c r="F6492" s="566">
        <v>1520795455</v>
      </c>
      <c r="G6492" s="564" t="s">
        <v>2323</v>
      </c>
      <c r="H6492" s="564" t="s">
        <v>2459</v>
      </c>
      <c r="I6492" s="564" t="s">
        <v>12297</v>
      </c>
      <c r="J6492" s="564" t="s">
        <v>1069</v>
      </c>
      <c r="K6492" s="564" t="s">
        <v>1070</v>
      </c>
      <c r="L6492" s="564" t="s">
        <v>1390</v>
      </c>
      <c r="M6492" s="564" t="s">
        <v>1390</v>
      </c>
      <c r="N6492" s="564" t="s">
        <v>2439</v>
      </c>
      <c r="O6492" s="564" t="s">
        <v>2512</v>
      </c>
      <c r="P6492" s="23"/>
      <c r="Q6492" s="23"/>
      <c r="R6492" s="23"/>
      <c r="S6492" s="23"/>
      <c r="T6492" s="23"/>
      <c r="U6492" s="23"/>
      <c r="V6492" s="23"/>
      <c r="W6492" s="23"/>
      <c r="X6492" s="23"/>
      <c r="Y6492" s="23"/>
      <c r="Z6492" s="23"/>
    </row>
    <row r="6493" spans="1:26" ht="13">
      <c r="A6493" s="562" t="s">
        <v>14102</v>
      </c>
      <c r="B6493" s="563" t="s">
        <v>14103</v>
      </c>
      <c r="C6493" s="564" t="s">
        <v>2484</v>
      </c>
      <c r="D6493" s="565">
        <v>41068</v>
      </c>
      <c r="E6493" s="565">
        <v>41258</v>
      </c>
      <c r="F6493" s="566">
        <v>115909090</v>
      </c>
      <c r="G6493" s="564" t="s">
        <v>12124</v>
      </c>
      <c r="H6493" s="564" t="s">
        <v>12096</v>
      </c>
      <c r="I6493" s="564" t="s">
        <v>12297</v>
      </c>
      <c r="J6493" s="564" t="s">
        <v>1069</v>
      </c>
      <c r="K6493" s="564" t="s">
        <v>2466</v>
      </c>
      <c r="L6493" s="564" t="s">
        <v>2467</v>
      </c>
      <c r="M6493" s="564" t="s">
        <v>2466</v>
      </c>
      <c r="N6493" s="564" t="s">
        <v>2439</v>
      </c>
      <c r="O6493" s="564" t="s">
        <v>12077</v>
      </c>
      <c r="P6493" s="23"/>
      <c r="Q6493" s="23"/>
      <c r="R6493" s="23"/>
      <c r="S6493" s="23"/>
      <c r="T6493" s="23"/>
      <c r="U6493" s="23"/>
      <c r="V6493" s="23"/>
      <c r="W6493" s="23"/>
      <c r="X6493" s="23"/>
      <c r="Y6493" s="23"/>
      <c r="Z6493" s="23"/>
    </row>
    <row r="6494" spans="1:26" ht="13">
      <c r="A6494" s="562" t="s">
        <v>14104</v>
      </c>
      <c r="B6494" s="563" t="s">
        <v>14105</v>
      </c>
      <c r="C6494" s="564" t="s">
        <v>2191</v>
      </c>
      <c r="D6494" s="565">
        <v>41046</v>
      </c>
      <c r="E6494" s="565">
        <v>41256</v>
      </c>
      <c r="F6494" s="567"/>
      <c r="G6494" s="564" t="s">
        <v>2323</v>
      </c>
      <c r="H6494" s="564" t="s">
        <v>12096</v>
      </c>
      <c r="I6494" s="564" t="s">
        <v>12297</v>
      </c>
      <c r="J6494" s="564" t="s">
        <v>1069</v>
      </c>
      <c r="K6494" s="564" t="s">
        <v>1070</v>
      </c>
      <c r="L6494" s="564" t="s">
        <v>1390</v>
      </c>
      <c r="M6494" s="564" t="s">
        <v>1390</v>
      </c>
      <c r="N6494" s="564" t="s">
        <v>2439</v>
      </c>
      <c r="O6494" s="564" t="s">
        <v>2512</v>
      </c>
      <c r="P6494" s="23"/>
      <c r="Q6494" s="23"/>
      <c r="R6494" s="23"/>
      <c r="S6494" s="23"/>
      <c r="T6494" s="23"/>
      <c r="U6494" s="23"/>
      <c r="V6494" s="23"/>
      <c r="W6494" s="23"/>
      <c r="X6494" s="23"/>
      <c r="Y6494" s="23"/>
      <c r="Z6494" s="23"/>
    </row>
    <row r="6495" spans="1:26" ht="13">
      <c r="A6495" s="562" t="s">
        <v>14106</v>
      </c>
      <c r="B6495" s="563" t="s">
        <v>14107</v>
      </c>
      <c r="C6495" s="564" t="s">
        <v>2191</v>
      </c>
      <c r="D6495" s="565">
        <v>41025</v>
      </c>
      <c r="E6495" s="565">
        <v>41243</v>
      </c>
      <c r="F6495" s="567"/>
      <c r="G6495" s="564" t="s">
        <v>11587</v>
      </c>
      <c r="H6495" s="564" t="s">
        <v>12134</v>
      </c>
      <c r="I6495" s="564" t="s">
        <v>12054</v>
      </c>
      <c r="J6495" s="564" t="s">
        <v>1069</v>
      </c>
      <c r="K6495" s="564" t="s">
        <v>1070</v>
      </c>
      <c r="L6495" s="564" t="s">
        <v>1390</v>
      </c>
      <c r="M6495" s="564" t="s">
        <v>1390</v>
      </c>
      <c r="N6495" s="564" t="s">
        <v>2439</v>
      </c>
      <c r="O6495" s="564" t="s">
        <v>2512</v>
      </c>
      <c r="P6495" s="23"/>
      <c r="Q6495" s="23"/>
      <c r="R6495" s="23"/>
      <c r="S6495" s="23"/>
      <c r="T6495" s="23"/>
      <c r="U6495" s="23"/>
      <c r="V6495" s="23"/>
      <c r="W6495" s="23"/>
      <c r="X6495" s="23"/>
      <c r="Y6495" s="23"/>
      <c r="Z6495" s="23"/>
    </row>
    <row r="6496" spans="1:26" ht="13">
      <c r="A6496" s="562" t="s">
        <v>14108</v>
      </c>
      <c r="B6496" s="563" t="s">
        <v>14109</v>
      </c>
      <c r="C6496" s="564" t="s">
        <v>2484</v>
      </c>
      <c r="D6496" s="565">
        <v>41026</v>
      </c>
      <c r="E6496" s="565">
        <v>41266</v>
      </c>
      <c r="F6496" s="567"/>
      <c r="G6496" s="564" t="s">
        <v>12104</v>
      </c>
      <c r="H6496" s="564" t="s">
        <v>12096</v>
      </c>
      <c r="I6496" s="564" t="s">
        <v>12297</v>
      </c>
      <c r="J6496" s="564" t="s">
        <v>1069</v>
      </c>
      <c r="K6496" s="564" t="s">
        <v>2466</v>
      </c>
      <c r="L6496" s="564" t="s">
        <v>2467</v>
      </c>
      <c r="M6496" s="564" t="s">
        <v>2466</v>
      </c>
      <c r="N6496" s="564" t="s">
        <v>2439</v>
      </c>
      <c r="O6496" s="564" t="s">
        <v>12077</v>
      </c>
      <c r="P6496" s="23"/>
      <c r="Q6496" s="23"/>
      <c r="R6496" s="23"/>
      <c r="S6496" s="23"/>
      <c r="T6496" s="23"/>
      <c r="U6496" s="23"/>
      <c r="V6496" s="23"/>
      <c r="W6496" s="23"/>
      <c r="X6496" s="23"/>
      <c r="Y6496" s="23"/>
      <c r="Z6496" s="23"/>
    </row>
    <row r="6497" spans="1:26" ht="13">
      <c r="A6497" s="562" t="s">
        <v>14110</v>
      </c>
      <c r="B6497" s="563" t="s">
        <v>14111</v>
      </c>
      <c r="C6497" s="564" t="s">
        <v>2484</v>
      </c>
      <c r="D6497" s="565">
        <v>41025</v>
      </c>
      <c r="E6497" s="565">
        <v>41245</v>
      </c>
      <c r="F6497" s="566">
        <v>512727273</v>
      </c>
      <c r="G6497" s="564" t="s">
        <v>12133</v>
      </c>
      <c r="H6497" s="564" t="s">
        <v>12096</v>
      </c>
      <c r="I6497" s="564" t="s">
        <v>12297</v>
      </c>
      <c r="J6497" s="564" t="s">
        <v>1069</v>
      </c>
      <c r="K6497" s="564" t="s">
        <v>2466</v>
      </c>
      <c r="L6497" s="564" t="s">
        <v>2467</v>
      </c>
      <c r="M6497" s="564" t="s">
        <v>2466</v>
      </c>
      <c r="N6497" s="564" t="s">
        <v>2439</v>
      </c>
      <c r="O6497" s="564" t="s">
        <v>12077</v>
      </c>
      <c r="P6497" s="23"/>
      <c r="Q6497" s="23"/>
      <c r="R6497" s="23"/>
      <c r="S6497" s="23"/>
      <c r="T6497" s="23"/>
      <c r="U6497" s="23"/>
      <c r="V6497" s="23"/>
      <c r="W6497" s="23"/>
      <c r="X6497" s="23"/>
      <c r="Y6497" s="23"/>
      <c r="Z6497" s="23"/>
    </row>
    <row r="6498" spans="1:26" ht="13">
      <c r="A6498" s="562" t="s">
        <v>14112</v>
      </c>
      <c r="B6498" s="563" t="s">
        <v>14113</v>
      </c>
      <c r="C6498" s="564" t="s">
        <v>2191</v>
      </c>
      <c r="D6498" s="565">
        <v>41006</v>
      </c>
      <c r="E6498" s="565">
        <v>41370</v>
      </c>
      <c r="F6498" s="567"/>
      <c r="G6498" s="564" t="s">
        <v>2323</v>
      </c>
      <c r="H6498" s="564" t="s">
        <v>2459</v>
      </c>
      <c r="I6498" s="564" t="s">
        <v>12297</v>
      </c>
      <c r="J6498" s="564" t="s">
        <v>1069</v>
      </c>
      <c r="K6498" s="564" t="s">
        <v>1070</v>
      </c>
      <c r="L6498" s="564" t="s">
        <v>1390</v>
      </c>
      <c r="M6498" s="564" t="s">
        <v>1390</v>
      </c>
      <c r="N6498" s="564" t="s">
        <v>2439</v>
      </c>
      <c r="O6498" s="564" t="s">
        <v>2512</v>
      </c>
      <c r="P6498" s="23"/>
      <c r="Q6498" s="23"/>
      <c r="R6498" s="23"/>
      <c r="S6498" s="23"/>
      <c r="T6498" s="23"/>
      <c r="U6498" s="23"/>
      <c r="V6498" s="23"/>
      <c r="W6498" s="23"/>
      <c r="X6498" s="23"/>
      <c r="Y6498" s="23"/>
      <c r="Z6498" s="23"/>
    </row>
    <row r="6499" spans="1:26" ht="13">
      <c r="A6499" s="562" t="s">
        <v>14114</v>
      </c>
      <c r="B6499" s="563" t="s">
        <v>14115</v>
      </c>
      <c r="C6499" s="564" t="s">
        <v>2191</v>
      </c>
      <c r="D6499" s="565">
        <v>41002</v>
      </c>
      <c r="E6499" s="565">
        <v>41327</v>
      </c>
      <c r="F6499" s="567"/>
      <c r="G6499" s="564" t="s">
        <v>2555</v>
      </c>
      <c r="H6499" s="564" t="s">
        <v>12096</v>
      </c>
      <c r="I6499" s="564" t="s">
        <v>2542</v>
      </c>
      <c r="J6499" s="564" t="s">
        <v>1069</v>
      </c>
      <c r="K6499" s="564" t="s">
        <v>2466</v>
      </c>
      <c r="L6499" s="564" t="s">
        <v>2467</v>
      </c>
      <c r="M6499" s="564" t="s">
        <v>2466</v>
      </c>
      <c r="N6499" s="564" t="s">
        <v>2543</v>
      </c>
      <c r="O6499" s="564" t="s">
        <v>12077</v>
      </c>
      <c r="P6499" s="23"/>
      <c r="Q6499" s="23"/>
      <c r="R6499" s="23"/>
      <c r="S6499" s="23"/>
      <c r="T6499" s="23"/>
      <c r="U6499" s="23"/>
      <c r="V6499" s="23"/>
      <c r="W6499" s="23"/>
      <c r="X6499" s="23"/>
      <c r="Y6499" s="23"/>
      <c r="Z6499" s="23"/>
    </row>
    <row r="6500" spans="1:26" ht="13">
      <c r="A6500" s="562" t="s">
        <v>14116</v>
      </c>
      <c r="B6500" s="563" t="s">
        <v>14117</v>
      </c>
      <c r="C6500" s="564" t="s">
        <v>2484</v>
      </c>
      <c r="D6500" s="565">
        <v>40997</v>
      </c>
      <c r="E6500" s="565">
        <v>41146</v>
      </c>
      <c r="F6500" s="566">
        <v>144777636</v>
      </c>
      <c r="G6500" s="564" t="s">
        <v>12124</v>
      </c>
      <c r="H6500" s="564" t="s">
        <v>12120</v>
      </c>
      <c r="I6500" s="564" t="s">
        <v>14118</v>
      </c>
      <c r="J6500" s="564" t="s">
        <v>1069</v>
      </c>
      <c r="K6500" s="564" t="s">
        <v>2466</v>
      </c>
      <c r="L6500" s="564" t="s">
        <v>2467</v>
      </c>
      <c r="M6500" s="564" t="s">
        <v>2466</v>
      </c>
      <c r="N6500" s="564" t="s">
        <v>2543</v>
      </c>
      <c r="O6500" s="564" t="s">
        <v>12077</v>
      </c>
      <c r="P6500" s="23"/>
      <c r="Q6500" s="23"/>
      <c r="R6500" s="23"/>
      <c r="S6500" s="23"/>
      <c r="T6500" s="23"/>
      <c r="U6500" s="23"/>
      <c r="V6500" s="23"/>
      <c r="W6500" s="23"/>
      <c r="X6500" s="23"/>
      <c r="Y6500" s="23"/>
      <c r="Z6500" s="23"/>
    </row>
    <row r="6501" spans="1:26" ht="13">
      <c r="A6501" s="562" t="s">
        <v>14119</v>
      </c>
      <c r="B6501" s="563" t="s">
        <v>14120</v>
      </c>
      <c r="C6501" s="564" t="s">
        <v>2484</v>
      </c>
      <c r="D6501" s="565">
        <v>40994</v>
      </c>
      <c r="E6501" s="565">
        <v>41204</v>
      </c>
      <c r="F6501" s="567"/>
      <c r="G6501" s="564" t="s">
        <v>12133</v>
      </c>
      <c r="H6501" s="564" t="s">
        <v>12096</v>
      </c>
      <c r="I6501" s="564" t="s">
        <v>12297</v>
      </c>
      <c r="J6501" s="564" t="s">
        <v>1069</v>
      </c>
      <c r="K6501" s="564" t="s">
        <v>2466</v>
      </c>
      <c r="L6501" s="564" t="s">
        <v>2467</v>
      </c>
      <c r="M6501" s="564" t="s">
        <v>2466</v>
      </c>
      <c r="N6501" s="564" t="s">
        <v>2439</v>
      </c>
      <c r="O6501" s="564" t="s">
        <v>12077</v>
      </c>
      <c r="P6501" s="23"/>
      <c r="Q6501" s="23"/>
      <c r="R6501" s="23"/>
      <c r="S6501" s="23"/>
      <c r="T6501" s="23"/>
      <c r="U6501" s="23"/>
      <c r="V6501" s="23"/>
      <c r="W6501" s="23"/>
      <c r="X6501" s="23"/>
      <c r="Y6501" s="23"/>
      <c r="Z6501" s="23"/>
    </row>
    <row r="6502" spans="1:26" ht="13">
      <c r="A6502" s="562" t="s">
        <v>14121</v>
      </c>
      <c r="B6502" s="563" t="s">
        <v>14122</v>
      </c>
      <c r="C6502" s="564" t="s">
        <v>2484</v>
      </c>
      <c r="D6502" s="565">
        <v>40982</v>
      </c>
      <c r="E6502" s="565">
        <v>41163</v>
      </c>
      <c r="F6502" s="566">
        <v>492640909</v>
      </c>
      <c r="G6502" s="564" t="s">
        <v>12124</v>
      </c>
      <c r="H6502" s="564" t="s">
        <v>12096</v>
      </c>
      <c r="I6502" s="564" t="s">
        <v>13621</v>
      </c>
      <c r="J6502" s="564" t="s">
        <v>1069</v>
      </c>
      <c r="K6502" s="564" t="s">
        <v>2466</v>
      </c>
      <c r="L6502" s="564" t="s">
        <v>2467</v>
      </c>
      <c r="M6502" s="564" t="s">
        <v>2466</v>
      </c>
      <c r="N6502" s="564" t="s">
        <v>2543</v>
      </c>
      <c r="O6502" s="564" t="s">
        <v>12077</v>
      </c>
      <c r="P6502" s="23"/>
      <c r="Q6502" s="23"/>
      <c r="R6502" s="23"/>
      <c r="S6502" s="23"/>
      <c r="T6502" s="23"/>
      <c r="U6502" s="23"/>
      <c r="V6502" s="23"/>
      <c r="W6502" s="23"/>
      <c r="X6502" s="23"/>
      <c r="Y6502" s="23"/>
      <c r="Z6502" s="23"/>
    </row>
    <row r="6503" spans="1:26" ht="13">
      <c r="A6503" s="562" t="s">
        <v>14123</v>
      </c>
      <c r="B6503" s="563" t="s">
        <v>14124</v>
      </c>
      <c r="C6503" s="564" t="s">
        <v>1873</v>
      </c>
      <c r="D6503" s="565">
        <v>41091</v>
      </c>
      <c r="E6503" s="565">
        <v>42004</v>
      </c>
      <c r="F6503" s="566">
        <v>4880000000</v>
      </c>
      <c r="G6503" s="564" t="s">
        <v>1729</v>
      </c>
      <c r="H6503" s="564" t="s">
        <v>1157</v>
      </c>
      <c r="I6503" s="564" t="s">
        <v>170</v>
      </c>
      <c r="J6503" s="564" t="s">
        <v>1069</v>
      </c>
      <c r="K6503" s="564" t="s">
        <v>1105</v>
      </c>
      <c r="L6503" s="564" t="s">
        <v>1390</v>
      </c>
      <c r="M6503" s="564" t="s">
        <v>1390</v>
      </c>
      <c r="N6503" s="564" t="s">
        <v>170</v>
      </c>
      <c r="O6503" s="564" t="s">
        <v>13894</v>
      </c>
      <c r="P6503" s="23"/>
      <c r="Q6503" s="23"/>
      <c r="R6503" s="23"/>
      <c r="S6503" s="23"/>
      <c r="T6503" s="23"/>
      <c r="U6503" s="23"/>
      <c r="V6503" s="23"/>
      <c r="W6503" s="23"/>
      <c r="X6503" s="23"/>
      <c r="Y6503" s="23"/>
      <c r="Z6503" s="23"/>
    </row>
    <row r="6504" spans="1:26" ht="13">
      <c r="A6504" s="562" t="s">
        <v>14125</v>
      </c>
      <c r="B6504" s="563" t="s">
        <v>14126</v>
      </c>
      <c r="C6504" s="564" t="s">
        <v>1612</v>
      </c>
      <c r="D6504" s="565">
        <v>41214</v>
      </c>
      <c r="E6504" s="565">
        <v>41486</v>
      </c>
      <c r="F6504" s="566">
        <v>338000000</v>
      </c>
      <c r="G6504" s="564" t="s">
        <v>14020</v>
      </c>
      <c r="H6504" s="564" t="s">
        <v>1128</v>
      </c>
      <c r="I6504" s="564" t="s">
        <v>257</v>
      </c>
      <c r="J6504" s="564" t="s">
        <v>1069</v>
      </c>
      <c r="K6504" s="564" t="s">
        <v>1209</v>
      </c>
      <c r="L6504" s="564" t="s">
        <v>1390</v>
      </c>
      <c r="M6504" s="564" t="s">
        <v>1390</v>
      </c>
      <c r="N6504" s="564" t="s">
        <v>257</v>
      </c>
      <c r="O6504" s="564" t="s">
        <v>13894</v>
      </c>
      <c r="P6504" s="23"/>
      <c r="Q6504" s="23"/>
      <c r="R6504" s="23"/>
      <c r="S6504" s="23"/>
      <c r="T6504" s="23"/>
      <c r="U6504" s="23"/>
      <c r="V6504" s="23"/>
      <c r="W6504" s="23"/>
      <c r="X6504" s="23"/>
      <c r="Y6504" s="23"/>
      <c r="Z6504" s="23"/>
    </row>
    <row r="6505" spans="1:26" ht="13">
      <c r="A6505" s="562" t="s">
        <v>14127</v>
      </c>
      <c r="B6505" s="563" t="s">
        <v>14128</v>
      </c>
      <c r="C6505" s="564" t="s">
        <v>2191</v>
      </c>
      <c r="D6505" s="565">
        <v>40945</v>
      </c>
      <c r="E6505" s="565">
        <v>41125</v>
      </c>
      <c r="F6505" s="566">
        <v>652636364</v>
      </c>
      <c r="G6505" s="564" t="s">
        <v>1725</v>
      </c>
      <c r="H6505" s="564" t="s">
        <v>1145</v>
      </c>
      <c r="I6505" s="564" t="s">
        <v>11947</v>
      </c>
      <c r="J6505" s="564" t="s">
        <v>1069</v>
      </c>
      <c r="K6505" s="564" t="s">
        <v>1198</v>
      </c>
      <c r="L6505" s="564" t="s">
        <v>1390</v>
      </c>
      <c r="M6505" s="564" t="s">
        <v>1390</v>
      </c>
      <c r="N6505" s="564" t="s">
        <v>1368</v>
      </c>
      <c r="O6505" s="564" t="s">
        <v>13894</v>
      </c>
      <c r="P6505" s="23"/>
      <c r="Q6505" s="23"/>
      <c r="R6505" s="23"/>
      <c r="S6505" s="23"/>
      <c r="T6505" s="23"/>
      <c r="U6505" s="23"/>
      <c r="V6505" s="23"/>
      <c r="W6505" s="23"/>
      <c r="X6505" s="23"/>
      <c r="Y6505" s="23"/>
      <c r="Z6505" s="23"/>
    </row>
    <row r="6506" spans="1:26" ht="13">
      <c r="A6506" s="562" t="s">
        <v>14129</v>
      </c>
      <c r="B6506" s="563" t="s">
        <v>14130</v>
      </c>
      <c r="C6506" s="564" t="s">
        <v>14131</v>
      </c>
      <c r="D6506" s="565">
        <v>41617</v>
      </c>
      <c r="E6506" s="565">
        <v>41617</v>
      </c>
      <c r="F6506" s="567"/>
      <c r="G6506" s="564" t="s">
        <v>14132</v>
      </c>
      <c r="H6506" s="564" t="s">
        <v>2546</v>
      </c>
      <c r="I6506" s="564" t="s">
        <v>14133</v>
      </c>
      <c r="J6506" s="564" t="s">
        <v>1069</v>
      </c>
      <c r="K6506" s="564" t="s">
        <v>2466</v>
      </c>
      <c r="L6506" s="564" t="s">
        <v>2467</v>
      </c>
      <c r="M6506" s="564" t="s">
        <v>2466</v>
      </c>
      <c r="N6506" s="564" t="s">
        <v>2543</v>
      </c>
      <c r="O6506" s="564" t="s">
        <v>12077</v>
      </c>
      <c r="P6506" s="23"/>
      <c r="Q6506" s="23"/>
      <c r="R6506" s="23"/>
      <c r="S6506" s="23"/>
      <c r="T6506" s="23"/>
      <c r="U6506" s="23"/>
      <c r="V6506" s="23"/>
      <c r="W6506" s="23"/>
      <c r="X6506" s="23"/>
      <c r="Y6506" s="23"/>
      <c r="Z6506" s="23"/>
    </row>
    <row r="6507" spans="1:26" ht="13">
      <c r="A6507" s="562" t="s">
        <v>14134</v>
      </c>
      <c r="B6507" s="563" t="s">
        <v>14135</v>
      </c>
      <c r="C6507" s="564" t="s">
        <v>2484</v>
      </c>
      <c r="D6507" s="565">
        <v>40648</v>
      </c>
      <c r="E6507" s="565">
        <v>40807</v>
      </c>
      <c r="F6507" s="566">
        <v>159360818</v>
      </c>
      <c r="G6507" s="564" t="s">
        <v>12586</v>
      </c>
      <c r="H6507" s="564" t="s">
        <v>12096</v>
      </c>
      <c r="I6507" s="564" t="s">
        <v>12297</v>
      </c>
      <c r="J6507" s="564" t="s">
        <v>1069</v>
      </c>
      <c r="K6507" s="564" t="s">
        <v>2466</v>
      </c>
      <c r="L6507" s="564" t="s">
        <v>2467</v>
      </c>
      <c r="M6507" s="564" t="s">
        <v>2466</v>
      </c>
      <c r="N6507" s="564" t="s">
        <v>2439</v>
      </c>
      <c r="O6507" s="564" t="s">
        <v>12077</v>
      </c>
      <c r="P6507" s="23"/>
      <c r="Q6507" s="23"/>
      <c r="R6507" s="23"/>
      <c r="S6507" s="23"/>
      <c r="T6507" s="23"/>
      <c r="U6507" s="23"/>
      <c r="V6507" s="23"/>
      <c r="W6507" s="23"/>
      <c r="X6507" s="23"/>
      <c r="Y6507" s="23"/>
      <c r="Z6507" s="23"/>
    </row>
    <row r="6508" spans="1:26" ht="13">
      <c r="A6508" s="562" t="s">
        <v>14136</v>
      </c>
      <c r="B6508" s="563" t="s">
        <v>14137</v>
      </c>
      <c r="C6508" s="564" t="s">
        <v>2484</v>
      </c>
      <c r="D6508" s="565">
        <v>40633</v>
      </c>
      <c r="E6508" s="565">
        <v>40999</v>
      </c>
      <c r="F6508" s="566">
        <v>939960000</v>
      </c>
      <c r="G6508" s="564" t="s">
        <v>13134</v>
      </c>
      <c r="H6508" s="564" t="s">
        <v>2459</v>
      </c>
      <c r="I6508" s="564" t="s">
        <v>2542</v>
      </c>
      <c r="J6508" s="564" t="s">
        <v>1069</v>
      </c>
      <c r="K6508" s="564" t="s">
        <v>2466</v>
      </c>
      <c r="L6508" s="564" t="s">
        <v>2467</v>
      </c>
      <c r="M6508" s="564" t="s">
        <v>2466</v>
      </c>
      <c r="N6508" s="564" t="s">
        <v>2543</v>
      </c>
      <c r="O6508" s="564" t="s">
        <v>12077</v>
      </c>
      <c r="P6508" s="23"/>
      <c r="Q6508" s="23"/>
      <c r="R6508" s="23"/>
      <c r="S6508" s="23"/>
      <c r="T6508" s="23"/>
      <c r="U6508" s="23"/>
      <c r="V6508" s="23"/>
      <c r="W6508" s="23"/>
      <c r="X6508" s="23"/>
      <c r="Y6508" s="23"/>
      <c r="Z6508" s="23"/>
    </row>
    <row r="6509" spans="1:26" ht="13">
      <c r="A6509" s="562" t="s">
        <v>14138</v>
      </c>
      <c r="B6509" s="563" t="s">
        <v>14139</v>
      </c>
      <c r="C6509" s="564" t="s">
        <v>2484</v>
      </c>
      <c r="D6509" s="565">
        <v>40630</v>
      </c>
      <c r="E6509" s="565">
        <v>40900</v>
      </c>
      <c r="F6509" s="566">
        <v>320858182</v>
      </c>
      <c r="G6509" s="564" t="s">
        <v>14087</v>
      </c>
      <c r="H6509" s="564" t="s">
        <v>2546</v>
      </c>
      <c r="I6509" s="564" t="s">
        <v>2438</v>
      </c>
      <c r="J6509" s="564" t="s">
        <v>1069</v>
      </c>
      <c r="K6509" s="564" t="s">
        <v>2466</v>
      </c>
      <c r="L6509" s="564" t="s">
        <v>2467</v>
      </c>
      <c r="M6509" s="564" t="s">
        <v>2466</v>
      </c>
      <c r="N6509" s="564" t="s">
        <v>2439</v>
      </c>
      <c r="O6509" s="564" t="s">
        <v>12077</v>
      </c>
      <c r="P6509" s="23"/>
      <c r="Q6509" s="23"/>
      <c r="R6509" s="23"/>
      <c r="S6509" s="23"/>
      <c r="T6509" s="23"/>
      <c r="U6509" s="23"/>
      <c r="V6509" s="23"/>
      <c r="W6509" s="23"/>
      <c r="X6509" s="23"/>
      <c r="Y6509" s="23"/>
      <c r="Z6509" s="23"/>
    </row>
    <row r="6510" spans="1:26" ht="13">
      <c r="A6510" s="562" t="s">
        <v>14140</v>
      </c>
      <c r="B6510" s="563" t="s">
        <v>14141</v>
      </c>
      <c r="C6510" s="564" t="s">
        <v>2191</v>
      </c>
      <c r="D6510" s="565">
        <v>40624</v>
      </c>
      <c r="E6510" s="565">
        <v>42489</v>
      </c>
      <c r="F6510" s="566">
        <v>2264660000</v>
      </c>
      <c r="G6510" s="564" t="s">
        <v>2428</v>
      </c>
      <c r="H6510" s="564" t="s">
        <v>2323</v>
      </c>
      <c r="I6510" s="564" t="s">
        <v>14142</v>
      </c>
      <c r="J6510" s="564" t="s">
        <v>1069</v>
      </c>
      <c r="K6510" s="564" t="s">
        <v>2430</v>
      </c>
      <c r="L6510" s="564" t="s">
        <v>1390</v>
      </c>
      <c r="M6510" s="564" t="s">
        <v>1390</v>
      </c>
      <c r="N6510" s="564" t="s">
        <v>1082</v>
      </c>
      <c r="O6510" s="564" t="s">
        <v>13894</v>
      </c>
      <c r="P6510" s="23"/>
      <c r="Q6510" s="23"/>
      <c r="R6510" s="23"/>
      <c r="S6510" s="23"/>
      <c r="T6510" s="23"/>
      <c r="U6510" s="23"/>
      <c r="V6510" s="23"/>
      <c r="W6510" s="23"/>
      <c r="X6510" s="23"/>
      <c r="Y6510" s="23"/>
      <c r="Z6510" s="23"/>
    </row>
    <row r="6511" spans="1:26" ht="13">
      <c r="A6511" s="562" t="s">
        <v>14143</v>
      </c>
      <c r="B6511" s="563" t="s">
        <v>14144</v>
      </c>
      <c r="C6511" s="564" t="s">
        <v>2484</v>
      </c>
      <c r="D6511" s="565">
        <v>40612</v>
      </c>
      <c r="E6511" s="565">
        <v>40959</v>
      </c>
      <c r="F6511" s="566">
        <v>469000000</v>
      </c>
      <c r="G6511" s="564" t="s">
        <v>2518</v>
      </c>
      <c r="H6511" s="564" t="s">
        <v>12096</v>
      </c>
      <c r="I6511" s="564" t="s">
        <v>2542</v>
      </c>
      <c r="J6511" s="564" t="s">
        <v>1069</v>
      </c>
      <c r="K6511" s="564" t="s">
        <v>2466</v>
      </c>
      <c r="L6511" s="564" t="s">
        <v>2467</v>
      </c>
      <c r="M6511" s="564" t="s">
        <v>2466</v>
      </c>
      <c r="N6511" s="564" t="s">
        <v>2543</v>
      </c>
      <c r="O6511" s="564" t="s">
        <v>12077</v>
      </c>
      <c r="P6511" s="23"/>
      <c r="Q6511" s="23"/>
      <c r="R6511" s="23"/>
      <c r="S6511" s="23"/>
      <c r="T6511" s="23"/>
      <c r="U6511" s="23"/>
      <c r="V6511" s="23"/>
      <c r="W6511" s="23"/>
      <c r="X6511" s="23"/>
      <c r="Y6511" s="23"/>
      <c r="Z6511" s="23"/>
    </row>
    <row r="6512" spans="1:26" ht="13">
      <c r="A6512" s="562" t="s">
        <v>14145</v>
      </c>
      <c r="B6512" s="563" t="s">
        <v>14146</v>
      </c>
      <c r="C6512" s="564" t="s">
        <v>2484</v>
      </c>
      <c r="D6512" s="565">
        <v>40592</v>
      </c>
      <c r="E6512" s="565">
        <v>40791</v>
      </c>
      <c r="F6512" s="566">
        <v>147507273</v>
      </c>
      <c r="G6512" s="564" t="s">
        <v>12293</v>
      </c>
      <c r="H6512" s="564" t="s">
        <v>12365</v>
      </c>
      <c r="I6512" s="564" t="s">
        <v>12297</v>
      </c>
      <c r="J6512" s="564" t="s">
        <v>1069</v>
      </c>
      <c r="K6512" s="564" t="s">
        <v>2466</v>
      </c>
      <c r="L6512" s="564" t="s">
        <v>2467</v>
      </c>
      <c r="M6512" s="564" t="s">
        <v>2466</v>
      </c>
      <c r="N6512" s="564" t="s">
        <v>2439</v>
      </c>
      <c r="O6512" s="564" t="s">
        <v>12077</v>
      </c>
      <c r="P6512" s="23"/>
      <c r="Q6512" s="23"/>
      <c r="R6512" s="23"/>
      <c r="S6512" s="23"/>
      <c r="T6512" s="23"/>
      <c r="U6512" s="23"/>
      <c r="V6512" s="23"/>
      <c r="W6512" s="23"/>
      <c r="X6512" s="23"/>
      <c r="Y6512" s="23"/>
      <c r="Z6512" s="23"/>
    </row>
    <row r="6513" spans="1:26" ht="13">
      <c r="A6513" s="562" t="s">
        <v>14147</v>
      </c>
      <c r="B6513" s="563" t="s">
        <v>14148</v>
      </c>
      <c r="C6513" s="564" t="s">
        <v>2484</v>
      </c>
      <c r="D6513" s="565">
        <v>40604</v>
      </c>
      <c r="E6513" s="565">
        <v>40863</v>
      </c>
      <c r="F6513" s="566">
        <v>459854750</v>
      </c>
      <c r="G6513" s="564" t="s">
        <v>12293</v>
      </c>
      <c r="H6513" s="564" t="s">
        <v>12096</v>
      </c>
      <c r="I6513" s="564" t="s">
        <v>12297</v>
      </c>
      <c r="J6513" s="564" t="s">
        <v>1069</v>
      </c>
      <c r="K6513" s="564" t="s">
        <v>2466</v>
      </c>
      <c r="L6513" s="564" t="s">
        <v>2467</v>
      </c>
      <c r="M6513" s="564" t="s">
        <v>2466</v>
      </c>
      <c r="N6513" s="564" t="s">
        <v>2439</v>
      </c>
      <c r="O6513" s="564" t="s">
        <v>12077</v>
      </c>
      <c r="P6513" s="23"/>
      <c r="Q6513" s="23"/>
      <c r="R6513" s="23"/>
      <c r="S6513" s="23"/>
      <c r="T6513" s="23"/>
      <c r="U6513" s="23"/>
      <c r="V6513" s="23"/>
      <c r="W6513" s="23"/>
      <c r="X6513" s="23"/>
      <c r="Y6513" s="23"/>
      <c r="Z6513" s="23"/>
    </row>
    <row r="6514" spans="1:26" ht="13">
      <c r="A6514" s="562" t="s">
        <v>14149</v>
      </c>
      <c r="B6514" s="563" t="s">
        <v>14150</v>
      </c>
      <c r="C6514" s="564" t="s">
        <v>2484</v>
      </c>
      <c r="D6514" s="565">
        <v>40598</v>
      </c>
      <c r="E6514" s="565">
        <v>40847</v>
      </c>
      <c r="F6514" s="566">
        <v>898733636</v>
      </c>
      <c r="G6514" s="564" t="s">
        <v>12586</v>
      </c>
      <c r="H6514" s="564" t="s">
        <v>12586</v>
      </c>
      <c r="I6514" s="564" t="s">
        <v>12297</v>
      </c>
      <c r="J6514" s="564" t="s">
        <v>1069</v>
      </c>
      <c r="K6514" s="564" t="s">
        <v>2466</v>
      </c>
      <c r="L6514" s="564" t="s">
        <v>2467</v>
      </c>
      <c r="M6514" s="564" t="s">
        <v>2466</v>
      </c>
      <c r="N6514" s="564" t="s">
        <v>2439</v>
      </c>
      <c r="O6514" s="564" t="s">
        <v>12077</v>
      </c>
      <c r="P6514" s="23"/>
      <c r="Q6514" s="23"/>
      <c r="R6514" s="23"/>
      <c r="S6514" s="23"/>
      <c r="T6514" s="23"/>
      <c r="U6514" s="23"/>
      <c r="V6514" s="23"/>
      <c r="W6514" s="23"/>
      <c r="X6514" s="23"/>
      <c r="Y6514" s="23"/>
      <c r="Z6514" s="23"/>
    </row>
    <row r="6515" spans="1:26" ht="13">
      <c r="A6515" s="562" t="s">
        <v>14151</v>
      </c>
      <c r="B6515" s="563" t="s">
        <v>14152</v>
      </c>
      <c r="C6515" s="564" t="s">
        <v>2484</v>
      </c>
      <c r="D6515" s="565">
        <v>40598</v>
      </c>
      <c r="E6515" s="565">
        <v>40882</v>
      </c>
      <c r="F6515" s="566">
        <v>1650138545</v>
      </c>
      <c r="G6515" s="564" t="s">
        <v>12586</v>
      </c>
      <c r="H6515" s="564" t="s">
        <v>12096</v>
      </c>
      <c r="I6515" s="564" t="s">
        <v>12297</v>
      </c>
      <c r="J6515" s="564" t="s">
        <v>1069</v>
      </c>
      <c r="K6515" s="564" t="s">
        <v>2466</v>
      </c>
      <c r="L6515" s="564" t="s">
        <v>2467</v>
      </c>
      <c r="M6515" s="564" t="s">
        <v>2466</v>
      </c>
      <c r="N6515" s="564" t="s">
        <v>2439</v>
      </c>
      <c r="O6515" s="564" t="s">
        <v>12077</v>
      </c>
      <c r="P6515" s="23"/>
      <c r="Q6515" s="23"/>
      <c r="R6515" s="23"/>
      <c r="S6515" s="23"/>
      <c r="T6515" s="23"/>
      <c r="U6515" s="23"/>
      <c r="V6515" s="23"/>
      <c r="W6515" s="23"/>
      <c r="X6515" s="23"/>
      <c r="Y6515" s="23"/>
      <c r="Z6515" s="23"/>
    </row>
    <row r="6516" spans="1:26" ht="13">
      <c r="A6516" s="562" t="s">
        <v>14153</v>
      </c>
      <c r="B6516" s="563" t="s">
        <v>14154</v>
      </c>
      <c r="C6516" s="564" t="s">
        <v>2484</v>
      </c>
      <c r="D6516" s="565">
        <v>40905</v>
      </c>
      <c r="E6516" s="565">
        <v>41054</v>
      </c>
      <c r="F6516" s="566">
        <v>179582909</v>
      </c>
      <c r="G6516" s="564" t="s">
        <v>12104</v>
      </c>
      <c r="H6516" s="564" t="s">
        <v>12120</v>
      </c>
      <c r="I6516" s="564" t="s">
        <v>12963</v>
      </c>
      <c r="J6516" s="564" t="s">
        <v>1069</v>
      </c>
      <c r="K6516" s="564" t="s">
        <v>2466</v>
      </c>
      <c r="L6516" s="564" t="s">
        <v>2467</v>
      </c>
      <c r="M6516" s="564" t="s">
        <v>2466</v>
      </c>
      <c r="N6516" s="564" t="s">
        <v>2543</v>
      </c>
      <c r="O6516" s="564" t="s">
        <v>12077</v>
      </c>
      <c r="P6516" s="23"/>
      <c r="Q6516" s="23"/>
      <c r="R6516" s="23"/>
      <c r="S6516" s="23"/>
      <c r="T6516" s="23"/>
      <c r="U6516" s="23"/>
      <c r="V6516" s="23"/>
      <c r="W6516" s="23"/>
      <c r="X6516" s="23"/>
      <c r="Y6516" s="23"/>
      <c r="Z6516" s="23"/>
    </row>
    <row r="6517" spans="1:26" ht="13">
      <c r="A6517" s="562" t="s">
        <v>14155</v>
      </c>
      <c r="B6517" s="563" t="s">
        <v>14156</v>
      </c>
      <c r="C6517" s="564" t="s">
        <v>2484</v>
      </c>
      <c r="D6517" s="565">
        <v>40847</v>
      </c>
      <c r="E6517" s="565">
        <v>40968</v>
      </c>
      <c r="F6517" s="567"/>
      <c r="G6517" s="564" t="s">
        <v>12119</v>
      </c>
      <c r="H6517" s="564" t="s">
        <v>12125</v>
      </c>
      <c r="I6517" s="564" t="s">
        <v>14157</v>
      </c>
      <c r="J6517" s="564" t="s">
        <v>1069</v>
      </c>
      <c r="K6517" s="564" t="s">
        <v>2466</v>
      </c>
      <c r="L6517" s="564" t="s">
        <v>2467</v>
      </c>
      <c r="M6517" s="564" t="s">
        <v>2466</v>
      </c>
      <c r="N6517" s="564" t="s">
        <v>2543</v>
      </c>
      <c r="O6517" s="564" t="s">
        <v>12077</v>
      </c>
      <c r="P6517" s="23"/>
      <c r="Q6517" s="23"/>
      <c r="R6517" s="23"/>
      <c r="S6517" s="23"/>
      <c r="T6517" s="23"/>
      <c r="U6517" s="23"/>
      <c r="V6517" s="23"/>
      <c r="W6517" s="23"/>
      <c r="X6517" s="23"/>
      <c r="Y6517" s="23"/>
      <c r="Z6517" s="23"/>
    </row>
    <row r="6518" spans="1:26" ht="13">
      <c r="A6518" s="562" t="s">
        <v>14158</v>
      </c>
      <c r="B6518" s="563" t="s">
        <v>14159</v>
      </c>
      <c r="C6518" s="564" t="s">
        <v>2191</v>
      </c>
      <c r="D6518" s="565">
        <v>40809</v>
      </c>
      <c r="E6518" s="565">
        <v>41569</v>
      </c>
      <c r="F6518" s="566">
        <v>1781124560</v>
      </c>
      <c r="G6518" s="564" t="s">
        <v>2434</v>
      </c>
      <c r="H6518" s="564" t="s">
        <v>2459</v>
      </c>
      <c r="I6518" s="564" t="s">
        <v>2460</v>
      </c>
      <c r="J6518" s="564" t="s">
        <v>1069</v>
      </c>
      <c r="K6518" s="564" t="s">
        <v>1070</v>
      </c>
      <c r="L6518" s="564" t="s">
        <v>1390</v>
      </c>
      <c r="M6518" s="564" t="s">
        <v>1390</v>
      </c>
      <c r="N6518" s="564" t="s">
        <v>2325</v>
      </c>
      <c r="O6518" s="564" t="s">
        <v>2512</v>
      </c>
      <c r="P6518" s="23"/>
      <c r="Q6518" s="23"/>
      <c r="R6518" s="23"/>
      <c r="S6518" s="23"/>
      <c r="T6518" s="23"/>
      <c r="U6518" s="23"/>
      <c r="V6518" s="23"/>
      <c r="W6518" s="23"/>
      <c r="X6518" s="23"/>
      <c r="Y6518" s="23"/>
      <c r="Z6518" s="23"/>
    </row>
    <row r="6519" spans="1:26" ht="13">
      <c r="A6519" s="562" t="s">
        <v>14160</v>
      </c>
      <c r="B6519" s="563" t="s">
        <v>14161</v>
      </c>
      <c r="C6519" s="564" t="s">
        <v>2484</v>
      </c>
      <c r="D6519" s="565">
        <v>40771</v>
      </c>
      <c r="E6519" s="565">
        <v>41070</v>
      </c>
      <c r="F6519" s="566">
        <v>307891100</v>
      </c>
      <c r="G6519" s="564" t="s">
        <v>12133</v>
      </c>
      <c r="H6519" s="564" t="s">
        <v>12125</v>
      </c>
      <c r="I6519" s="564" t="s">
        <v>12297</v>
      </c>
      <c r="J6519" s="564" t="s">
        <v>1069</v>
      </c>
      <c r="K6519" s="564" t="s">
        <v>2466</v>
      </c>
      <c r="L6519" s="564" t="s">
        <v>2467</v>
      </c>
      <c r="M6519" s="564" t="s">
        <v>2466</v>
      </c>
      <c r="N6519" s="564" t="s">
        <v>2439</v>
      </c>
      <c r="O6519" s="564" t="s">
        <v>12077</v>
      </c>
      <c r="P6519" s="23"/>
      <c r="Q6519" s="23"/>
      <c r="R6519" s="23"/>
      <c r="S6519" s="23"/>
      <c r="T6519" s="23"/>
      <c r="U6519" s="23"/>
      <c r="V6519" s="23"/>
      <c r="W6519" s="23"/>
      <c r="X6519" s="23"/>
      <c r="Y6519" s="23"/>
      <c r="Z6519" s="23"/>
    </row>
    <row r="6520" spans="1:26" ht="13">
      <c r="A6520" s="562" t="s">
        <v>14162</v>
      </c>
      <c r="B6520" s="563" t="s">
        <v>14163</v>
      </c>
      <c r="C6520" s="564" t="s">
        <v>2191</v>
      </c>
      <c r="D6520" s="565">
        <v>40760</v>
      </c>
      <c r="E6520" s="565">
        <v>41675</v>
      </c>
      <c r="F6520" s="566">
        <v>1045792607</v>
      </c>
      <c r="G6520" s="564" t="s">
        <v>12104</v>
      </c>
      <c r="H6520" s="564" t="s">
        <v>2546</v>
      </c>
      <c r="I6520" s="564" t="s">
        <v>14164</v>
      </c>
      <c r="J6520" s="564" t="s">
        <v>1069</v>
      </c>
      <c r="K6520" s="564" t="s">
        <v>1070</v>
      </c>
      <c r="L6520" s="564" t="s">
        <v>1390</v>
      </c>
      <c r="M6520" s="564" t="s">
        <v>1390</v>
      </c>
      <c r="N6520" s="564" t="s">
        <v>2543</v>
      </c>
      <c r="O6520" s="564" t="s">
        <v>2512</v>
      </c>
      <c r="P6520" s="23"/>
      <c r="Q6520" s="23"/>
      <c r="R6520" s="23"/>
      <c r="S6520" s="23"/>
      <c r="T6520" s="23"/>
      <c r="U6520" s="23"/>
      <c r="V6520" s="23"/>
      <c r="W6520" s="23"/>
      <c r="X6520" s="23"/>
      <c r="Y6520" s="23"/>
      <c r="Z6520" s="23"/>
    </row>
    <row r="6521" spans="1:26" ht="13">
      <c r="A6521" s="562" t="s">
        <v>14165</v>
      </c>
      <c r="B6521" s="563" t="s">
        <v>14166</v>
      </c>
      <c r="C6521" s="564" t="s">
        <v>2484</v>
      </c>
      <c r="D6521" s="565">
        <v>40752</v>
      </c>
      <c r="E6521" s="565">
        <v>41639</v>
      </c>
      <c r="F6521" s="566">
        <v>2704545455</v>
      </c>
      <c r="G6521" s="564" t="s">
        <v>13466</v>
      </c>
      <c r="H6521" s="564" t="s">
        <v>2546</v>
      </c>
      <c r="I6521" s="564" t="s">
        <v>14167</v>
      </c>
      <c r="J6521" s="564" t="s">
        <v>1069</v>
      </c>
      <c r="K6521" s="564" t="s">
        <v>2466</v>
      </c>
      <c r="L6521" s="564" t="s">
        <v>2467</v>
      </c>
      <c r="M6521" s="564" t="s">
        <v>2466</v>
      </c>
      <c r="N6521" s="564" t="s">
        <v>2543</v>
      </c>
      <c r="O6521" s="564" t="s">
        <v>12077</v>
      </c>
      <c r="P6521" s="23"/>
      <c r="Q6521" s="23"/>
      <c r="R6521" s="23"/>
      <c r="S6521" s="23"/>
      <c r="T6521" s="23"/>
      <c r="U6521" s="23"/>
      <c r="V6521" s="23"/>
      <c r="W6521" s="23"/>
      <c r="X6521" s="23"/>
      <c r="Y6521" s="23"/>
      <c r="Z6521" s="23"/>
    </row>
    <row r="6522" spans="1:26" ht="13">
      <c r="A6522" s="562" t="s">
        <v>14168</v>
      </c>
      <c r="B6522" s="563" t="s">
        <v>14169</v>
      </c>
      <c r="C6522" s="564" t="s">
        <v>2484</v>
      </c>
      <c r="D6522" s="565">
        <v>40655</v>
      </c>
      <c r="E6522" s="565">
        <v>40877</v>
      </c>
      <c r="F6522" s="566">
        <v>356536364</v>
      </c>
      <c r="G6522" s="564" t="s">
        <v>12124</v>
      </c>
      <c r="H6522" s="564" t="s">
        <v>12096</v>
      </c>
      <c r="I6522" s="564" t="s">
        <v>12081</v>
      </c>
      <c r="J6522" s="564" t="s">
        <v>1069</v>
      </c>
      <c r="K6522" s="564" t="s">
        <v>2466</v>
      </c>
      <c r="L6522" s="564" t="s">
        <v>2467</v>
      </c>
      <c r="M6522" s="564" t="s">
        <v>2466</v>
      </c>
      <c r="N6522" s="564" t="s">
        <v>2439</v>
      </c>
      <c r="O6522" s="564" t="s">
        <v>12077</v>
      </c>
      <c r="P6522" s="23"/>
      <c r="Q6522" s="23"/>
      <c r="R6522" s="23"/>
      <c r="S6522" s="23"/>
      <c r="T6522" s="23"/>
      <c r="U6522" s="23"/>
      <c r="V6522" s="23"/>
      <c r="W6522" s="23"/>
      <c r="X6522" s="23"/>
      <c r="Y6522" s="23"/>
      <c r="Z6522" s="23"/>
    </row>
    <row r="6523" spans="1:26" ht="13">
      <c r="A6523" s="562" t="s">
        <v>14170</v>
      </c>
      <c r="B6523" s="563" t="s">
        <v>14171</v>
      </c>
      <c r="C6523" s="564" t="s">
        <v>2484</v>
      </c>
      <c r="D6523" s="565">
        <v>40718</v>
      </c>
      <c r="E6523" s="565">
        <v>40939</v>
      </c>
      <c r="F6523" s="566">
        <v>175000000</v>
      </c>
      <c r="G6523" s="564" t="s">
        <v>2555</v>
      </c>
      <c r="H6523" s="564" t="s">
        <v>12096</v>
      </c>
      <c r="I6523" s="564" t="s">
        <v>2542</v>
      </c>
      <c r="J6523" s="564" t="s">
        <v>1069</v>
      </c>
      <c r="K6523" s="564" t="s">
        <v>2466</v>
      </c>
      <c r="L6523" s="564" t="s">
        <v>2467</v>
      </c>
      <c r="M6523" s="564" t="s">
        <v>2466</v>
      </c>
      <c r="N6523" s="564" t="s">
        <v>2543</v>
      </c>
      <c r="O6523" s="564" t="s">
        <v>12077</v>
      </c>
      <c r="P6523" s="23"/>
      <c r="Q6523" s="23"/>
      <c r="R6523" s="23"/>
      <c r="S6523" s="23"/>
      <c r="T6523" s="23"/>
      <c r="U6523" s="23"/>
      <c r="V6523" s="23"/>
      <c r="W6523" s="23"/>
      <c r="X6523" s="23"/>
      <c r="Y6523" s="23"/>
      <c r="Z6523" s="23"/>
    </row>
    <row r="6524" spans="1:26" ht="13">
      <c r="A6524" s="562" t="s">
        <v>14172</v>
      </c>
      <c r="B6524" s="563" t="s">
        <v>14130</v>
      </c>
      <c r="C6524" s="564" t="s">
        <v>2484</v>
      </c>
      <c r="D6524" s="565">
        <v>40717</v>
      </c>
      <c r="E6524" s="565">
        <v>41617</v>
      </c>
      <c r="F6524" s="566">
        <v>1187727273</v>
      </c>
      <c r="G6524" s="564" t="s">
        <v>14132</v>
      </c>
      <c r="H6524" s="564" t="s">
        <v>2546</v>
      </c>
      <c r="I6524" s="564" t="s">
        <v>14133</v>
      </c>
      <c r="J6524" s="564" t="s">
        <v>1069</v>
      </c>
      <c r="K6524" s="564" t="s">
        <v>2466</v>
      </c>
      <c r="L6524" s="564" t="s">
        <v>2467</v>
      </c>
      <c r="M6524" s="564" t="s">
        <v>2466</v>
      </c>
      <c r="N6524" s="564" t="s">
        <v>2543</v>
      </c>
      <c r="O6524" s="564" t="s">
        <v>12077</v>
      </c>
      <c r="P6524" s="23"/>
      <c r="Q6524" s="23"/>
      <c r="R6524" s="23"/>
      <c r="S6524" s="23"/>
      <c r="T6524" s="23"/>
      <c r="U6524" s="23"/>
      <c r="V6524" s="23"/>
      <c r="W6524" s="23"/>
      <c r="X6524" s="23"/>
      <c r="Y6524" s="23"/>
      <c r="Z6524" s="23"/>
    </row>
    <row r="6525" spans="1:26" ht="13">
      <c r="A6525" s="562" t="s">
        <v>14173</v>
      </c>
      <c r="B6525" s="563" t="s">
        <v>14174</v>
      </c>
      <c r="C6525" s="564" t="s">
        <v>2484</v>
      </c>
      <c r="D6525" s="565">
        <v>40716</v>
      </c>
      <c r="E6525" s="565">
        <v>41639</v>
      </c>
      <c r="F6525" s="566">
        <v>882104545</v>
      </c>
      <c r="G6525" s="564" t="s">
        <v>14132</v>
      </c>
      <c r="H6525" s="564" t="s">
        <v>12120</v>
      </c>
      <c r="I6525" s="564" t="s">
        <v>14175</v>
      </c>
      <c r="J6525" s="564" t="s">
        <v>1069</v>
      </c>
      <c r="K6525" s="564" t="s">
        <v>2466</v>
      </c>
      <c r="L6525" s="564" t="s">
        <v>2467</v>
      </c>
      <c r="M6525" s="564" t="s">
        <v>2466</v>
      </c>
      <c r="N6525" s="564" t="s">
        <v>2543</v>
      </c>
      <c r="O6525" s="564" t="s">
        <v>12077</v>
      </c>
      <c r="P6525" s="23"/>
      <c r="Q6525" s="23"/>
      <c r="R6525" s="23"/>
      <c r="S6525" s="23"/>
      <c r="T6525" s="23"/>
      <c r="U6525" s="23"/>
      <c r="V6525" s="23"/>
      <c r="W6525" s="23"/>
      <c r="X6525" s="23"/>
      <c r="Y6525" s="23"/>
      <c r="Z6525" s="23"/>
    </row>
    <row r="6526" spans="1:26" ht="13">
      <c r="A6526" s="562" t="s">
        <v>14176</v>
      </c>
      <c r="B6526" s="563" t="s">
        <v>14177</v>
      </c>
      <c r="C6526" s="564" t="s">
        <v>2484</v>
      </c>
      <c r="D6526" s="565">
        <v>40690</v>
      </c>
      <c r="E6526" s="565">
        <v>40869</v>
      </c>
      <c r="F6526" s="566">
        <v>204977985</v>
      </c>
      <c r="G6526" s="564" t="s">
        <v>12133</v>
      </c>
      <c r="H6526" s="564" t="s">
        <v>12120</v>
      </c>
      <c r="I6526" s="564" t="s">
        <v>14178</v>
      </c>
      <c r="J6526" s="564" t="s">
        <v>1069</v>
      </c>
      <c r="K6526" s="564" t="s">
        <v>2466</v>
      </c>
      <c r="L6526" s="564" t="s">
        <v>2467</v>
      </c>
      <c r="M6526" s="564" t="s">
        <v>2466</v>
      </c>
      <c r="N6526" s="564" t="s">
        <v>2325</v>
      </c>
      <c r="O6526" s="564" t="s">
        <v>12077</v>
      </c>
      <c r="P6526" s="23"/>
      <c r="Q6526" s="23"/>
      <c r="R6526" s="23"/>
      <c r="S6526" s="23"/>
      <c r="T6526" s="23"/>
      <c r="U6526" s="23"/>
      <c r="V6526" s="23"/>
      <c r="W6526" s="23"/>
      <c r="X6526" s="23"/>
      <c r="Y6526" s="23"/>
      <c r="Z6526" s="23"/>
    </row>
    <row r="6527" spans="1:26" ht="13">
      <c r="A6527" s="562" t="s">
        <v>14179</v>
      </c>
      <c r="B6527" s="563" t="s">
        <v>14180</v>
      </c>
      <c r="C6527" s="564" t="s">
        <v>2191</v>
      </c>
      <c r="D6527" s="565">
        <v>40659</v>
      </c>
      <c r="E6527" s="565">
        <v>40893</v>
      </c>
      <c r="F6527" s="566">
        <v>490200000</v>
      </c>
      <c r="G6527" s="564" t="s">
        <v>12268</v>
      </c>
      <c r="H6527" s="564" t="s">
        <v>2459</v>
      </c>
      <c r="I6527" s="564" t="s">
        <v>12297</v>
      </c>
      <c r="J6527" s="564" t="s">
        <v>1069</v>
      </c>
      <c r="K6527" s="564" t="s">
        <v>2466</v>
      </c>
      <c r="L6527" s="564" t="s">
        <v>2467</v>
      </c>
      <c r="M6527" s="564" t="s">
        <v>2466</v>
      </c>
      <c r="N6527" s="564" t="s">
        <v>2439</v>
      </c>
      <c r="O6527" s="564" t="s">
        <v>12077</v>
      </c>
      <c r="P6527" s="23"/>
      <c r="Q6527" s="23"/>
      <c r="R6527" s="23"/>
      <c r="S6527" s="23"/>
      <c r="T6527" s="23"/>
      <c r="U6527" s="23"/>
      <c r="V6527" s="23"/>
      <c r="W6527" s="23"/>
      <c r="X6527" s="23"/>
      <c r="Y6527" s="23"/>
      <c r="Z6527" s="23"/>
    </row>
    <row r="6528" spans="1:26" ht="13">
      <c r="A6528" s="562" t="s">
        <v>14181</v>
      </c>
      <c r="B6528" s="563" t="s">
        <v>14182</v>
      </c>
      <c r="C6528" s="564" t="s">
        <v>2484</v>
      </c>
      <c r="D6528" s="565">
        <v>40658</v>
      </c>
      <c r="E6528" s="565">
        <v>40999</v>
      </c>
      <c r="F6528" s="566">
        <v>171818182</v>
      </c>
      <c r="G6528" s="564" t="s">
        <v>14183</v>
      </c>
      <c r="H6528" s="564" t="s">
        <v>12134</v>
      </c>
      <c r="I6528" s="564" t="s">
        <v>12804</v>
      </c>
      <c r="J6528" s="564" t="s">
        <v>1069</v>
      </c>
      <c r="K6528" s="564" t="s">
        <v>2466</v>
      </c>
      <c r="L6528" s="564" t="s">
        <v>2467</v>
      </c>
      <c r="M6528" s="564" t="s">
        <v>2466</v>
      </c>
      <c r="N6528" s="564" t="s">
        <v>2325</v>
      </c>
      <c r="O6528" s="564" t="s">
        <v>12077</v>
      </c>
      <c r="P6528" s="23"/>
      <c r="Q6528" s="23"/>
      <c r="R6528" s="23"/>
      <c r="S6528" s="23"/>
      <c r="T6528" s="23"/>
      <c r="U6528" s="23"/>
      <c r="V6528" s="23"/>
      <c r="W6528" s="23"/>
      <c r="X6528" s="23"/>
      <c r="Y6528" s="23"/>
      <c r="Z6528" s="23"/>
    </row>
    <row r="6529" spans="1:26" ht="13">
      <c r="A6529" s="562" t="s">
        <v>14184</v>
      </c>
      <c r="B6529" s="563" t="s">
        <v>14185</v>
      </c>
      <c r="C6529" s="564" t="s">
        <v>2484</v>
      </c>
      <c r="D6529" s="565">
        <v>40655</v>
      </c>
      <c r="E6529" s="565">
        <v>40877</v>
      </c>
      <c r="F6529" s="566">
        <v>679900000</v>
      </c>
      <c r="G6529" s="564" t="s">
        <v>12080</v>
      </c>
      <c r="H6529" s="564" t="s">
        <v>12096</v>
      </c>
      <c r="I6529" s="564" t="s">
        <v>12081</v>
      </c>
      <c r="J6529" s="564" t="s">
        <v>1069</v>
      </c>
      <c r="K6529" s="564" t="s">
        <v>2466</v>
      </c>
      <c r="L6529" s="564" t="s">
        <v>2467</v>
      </c>
      <c r="M6529" s="564" t="s">
        <v>2466</v>
      </c>
      <c r="N6529" s="564" t="s">
        <v>2439</v>
      </c>
      <c r="O6529" s="564" t="s">
        <v>12077</v>
      </c>
      <c r="P6529" s="23"/>
      <c r="Q6529" s="23"/>
      <c r="R6529" s="23"/>
      <c r="S6529" s="23"/>
      <c r="T6529" s="23"/>
      <c r="U6529" s="23"/>
      <c r="V6529" s="23"/>
      <c r="W6529" s="23"/>
      <c r="X6529" s="23"/>
      <c r="Y6529" s="23"/>
      <c r="Z6529" s="23"/>
    </row>
    <row r="6530" spans="1:26" ht="13">
      <c r="A6530" s="562" t="s">
        <v>14186</v>
      </c>
      <c r="B6530" s="563" t="s">
        <v>14187</v>
      </c>
      <c r="C6530" s="564" t="s">
        <v>2191</v>
      </c>
      <c r="D6530" s="565">
        <v>40878</v>
      </c>
      <c r="E6530" s="565">
        <v>41090</v>
      </c>
      <c r="F6530" s="567"/>
      <c r="G6530" s="564" t="s">
        <v>1933</v>
      </c>
      <c r="H6530" s="564" t="s">
        <v>1145</v>
      </c>
      <c r="I6530" s="564" t="s">
        <v>14188</v>
      </c>
      <c r="J6530" s="564" t="s">
        <v>1069</v>
      </c>
      <c r="K6530" s="564" t="s">
        <v>1205</v>
      </c>
      <c r="L6530" s="564" t="s">
        <v>1390</v>
      </c>
      <c r="M6530" s="564" t="s">
        <v>1390</v>
      </c>
      <c r="N6530" s="564" t="s">
        <v>1073</v>
      </c>
      <c r="O6530" s="564" t="s">
        <v>13894</v>
      </c>
      <c r="P6530" s="23"/>
      <c r="Q6530" s="23"/>
      <c r="R6530" s="23"/>
      <c r="S6530" s="23"/>
      <c r="T6530" s="23"/>
      <c r="U6530" s="23"/>
      <c r="V6530" s="23"/>
      <c r="W6530" s="23"/>
      <c r="X6530" s="23"/>
      <c r="Y6530" s="23"/>
      <c r="Z6530" s="23"/>
    </row>
    <row r="6531" spans="1:26" ht="13">
      <c r="A6531" s="562" t="s">
        <v>14189</v>
      </c>
      <c r="B6531" s="563" t="s">
        <v>14190</v>
      </c>
      <c r="C6531" s="564" t="s">
        <v>2191</v>
      </c>
      <c r="D6531" s="565">
        <v>40903</v>
      </c>
      <c r="E6531" s="565">
        <v>41152</v>
      </c>
      <c r="F6531" s="566">
        <v>2060563636</v>
      </c>
      <c r="G6531" s="564" t="s">
        <v>13069</v>
      </c>
      <c r="H6531" s="564" t="s">
        <v>1187</v>
      </c>
      <c r="I6531" s="564" t="s">
        <v>14191</v>
      </c>
      <c r="J6531" s="564" t="s">
        <v>1069</v>
      </c>
      <c r="K6531" s="564" t="s">
        <v>1198</v>
      </c>
      <c r="L6531" s="564" t="s">
        <v>1390</v>
      </c>
      <c r="M6531" s="564" t="s">
        <v>1390</v>
      </c>
      <c r="N6531" s="564" t="s">
        <v>1368</v>
      </c>
      <c r="O6531" s="564" t="s">
        <v>13894</v>
      </c>
      <c r="P6531" s="23"/>
      <c r="Q6531" s="23"/>
      <c r="R6531" s="23"/>
      <c r="S6531" s="23"/>
      <c r="T6531" s="23"/>
      <c r="U6531" s="23"/>
      <c r="V6531" s="23"/>
      <c r="W6531" s="23"/>
      <c r="X6531" s="23"/>
      <c r="Y6531" s="23"/>
      <c r="Z6531" s="23"/>
    </row>
    <row r="6532" spans="1:26" ht="13">
      <c r="A6532" s="562" t="s">
        <v>14192</v>
      </c>
      <c r="B6532" s="563" t="s">
        <v>14193</v>
      </c>
      <c r="C6532" s="564" t="s">
        <v>1612</v>
      </c>
      <c r="D6532" s="565">
        <v>40878</v>
      </c>
      <c r="E6532" s="565">
        <v>41639</v>
      </c>
      <c r="F6532" s="566">
        <v>390000000</v>
      </c>
      <c r="G6532" s="564" t="s">
        <v>2153</v>
      </c>
      <c r="H6532" s="564" t="s">
        <v>1640</v>
      </c>
      <c r="I6532" s="564" t="s">
        <v>45</v>
      </c>
      <c r="J6532" s="564" t="s">
        <v>1069</v>
      </c>
      <c r="K6532" s="564" t="s">
        <v>1090</v>
      </c>
      <c r="L6532" s="564" t="s">
        <v>1390</v>
      </c>
      <c r="M6532" s="564" t="s">
        <v>1390</v>
      </c>
      <c r="N6532" s="564" t="s">
        <v>45</v>
      </c>
      <c r="O6532" s="564" t="s">
        <v>13894</v>
      </c>
      <c r="P6532" s="23"/>
      <c r="Q6532" s="23"/>
      <c r="R6532" s="23"/>
      <c r="S6532" s="23"/>
      <c r="T6532" s="23"/>
      <c r="U6532" s="23"/>
      <c r="V6532" s="23"/>
      <c r="W6532" s="23"/>
      <c r="X6532" s="23"/>
      <c r="Y6532" s="23"/>
      <c r="Z6532" s="23"/>
    </row>
    <row r="6533" spans="1:26" ht="13">
      <c r="A6533" s="562" t="s">
        <v>14194</v>
      </c>
      <c r="B6533" s="563" t="s">
        <v>14195</v>
      </c>
      <c r="C6533" s="564" t="s">
        <v>2191</v>
      </c>
      <c r="D6533" s="565">
        <v>40781</v>
      </c>
      <c r="E6533" s="565">
        <v>41230</v>
      </c>
      <c r="F6533" s="566">
        <v>950785200</v>
      </c>
      <c r="G6533" s="564" t="s">
        <v>14020</v>
      </c>
      <c r="H6533" s="564" t="s">
        <v>1187</v>
      </c>
      <c r="I6533" s="564" t="s">
        <v>14196</v>
      </c>
      <c r="J6533" s="564" t="s">
        <v>1069</v>
      </c>
      <c r="K6533" s="564" t="s">
        <v>1070</v>
      </c>
      <c r="L6533" s="564" t="s">
        <v>1390</v>
      </c>
      <c r="M6533" s="564" t="s">
        <v>1390</v>
      </c>
      <c r="N6533" s="564" t="s">
        <v>2439</v>
      </c>
      <c r="O6533" s="564" t="s">
        <v>13894</v>
      </c>
      <c r="P6533" s="23"/>
      <c r="Q6533" s="23"/>
      <c r="R6533" s="23"/>
      <c r="S6533" s="23"/>
      <c r="T6533" s="23"/>
      <c r="U6533" s="23"/>
      <c r="V6533" s="23"/>
      <c r="W6533" s="23"/>
      <c r="X6533" s="23"/>
      <c r="Y6533" s="23"/>
      <c r="Z6533" s="23"/>
    </row>
    <row r="6534" spans="1:26" ht="13">
      <c r="A6534" s="562" t="s">
        <v>14197</v>
      </c>
      <c r="B6534" s="563" t="s">
        <v>14198</v>
      </c>
      <c r="C6534" s="564" t="s">
        <v>2191</v>
      </c>
      <c r="D6534" s="565">
        <v>40780</v>
      </c>
      <c r="E6534" s="565">
        <v>40901</v>
      </c>
      <c r="F6534" s="566">
        <v>268545455</v>
      </c>
      <c r="G6534" s="564" t="s">
        <v>1725</v>
      </c>
      <c r="H6534" s="564" t="s">
        <v>1187</v>
      </c>
      <c r="I6534" s="564" t="s">
        <v>8591</v>
      </c>
      <c r="J6534" s="564" t="s">
        <v>1069</v>
      </c>
      <c r="K6534" s="564" t="s">
        <v>1198</v>
      </c>
      <c r="L6534" s="564" t="s">
        <v>1390</v>
      </c>
      <c r="M6534" s="564" t="s">
        <v>1390</v>
      </c>
      <c r="N6534" s="564" t="s">
        <v>1368</v>
      </c>
      <c r="O6534" s="564" t="s">
        <v>13894</v>
      </c>
      <c r="P6534" s="23"/>
      <c r="Q6534" s="23"/>
      <c r="R6534" s="23"/>
      <c r="S6534" s="23"/>
      <c r="T6534" s="23"/>
      <c r="U6534" s="23"/>
      <c r="V6534" s="23"/>
      <c r="W6534" s="23"/>
      <c r="X6534" s="23"/>
      <c r="Y6534" s="23"/>
      <c r="Z6534" s="23"/>
    </row>
    <row r="6535" spans="1:26" ht="13">
      <c r="A6535" s="562" t="s">
        <v>14199</v>
      </c>
      <c r="B6535" s="563" t="s">
        <v>14200</v>
      </c>
      <c r="C6535" s="564" t="s">
        <v>2191</v>
      </c>
      <c r="D6535" s="565">
        <v>40714</v>
      </c>
      <c r="E6535" s="565">
        <v>40908</v>
      </c>
      <c r="F6535" s="566">
        <v>5341500000</v>
      </c>
      <c r="G6535" s="564" t="s">
        <v>11469</v>
      </c>
      <c r="H6535" s="564" t="s">
        <v>8532</v>
      </c>
      <c r="I6535" s="564" t="s">
        <v>14201</v>
      </c>
      <c r="J6535" s="564" t="s">
        <v>1069</v>
      </c>
      <c r="K6535" s="564" t="s">
        <v>2878</v>
      </c>
      <c r="L6535" s="564" t="s">
        <v>1390</v>
      </c>
      <c r="M6535" s="564" t="s">
        <v>1390</v>
      </c>
      <c r="N6535" s="564" t="s">
        <v>1082</v>
      </c>
      <c r="O6535" s="564" t="s">
        <v>13894</v>
      </c>
      <c r="P6535" s="23"/>
      <c r="Q6535" s="23"/>
      <c r="R6535" s="23"/>
      <c r="S6535" s="23"/>
      <c r="T6535" s="23"/>
      <c r="U6535" s="23"/>
      <c r="V6535" s="23"/>
      <c r="W6535" s="23"/>
      <c r="X6535" s="23"/>
      <c r="Y6535" s="23"/>
      <c r="Z6535" s="23"/>
    </row>
    <row r="6536" spans="1:26" ht="13">
      <c r="A6536" s="562" t="s">
        <v>14202</v>
      </c>
      <c r="B6536" s="563" t="s">
        <v>14203</v>
      </c>
      <c r="C6536" s="564" t="s">
        <v>6860</v>
      </c>
      <c r="D6536" s="565">
        <v>40674</v>
      </c>
      <c r="E6536" s="565">
        <v>40978</v>
      </c>
      <c r="F6536" s="566">
        <v>1563058000</v>
      </c>
      <c r="G6536" s="564" t="s">
        <v>2458</v>
      </c>
      <c r="H6536" s="564" t="s">
        <v>1128</v>
      </c>
      <c r="I6536" s="564" t="s">
        <v>14204</v>
      </c>
      <c r="J6536" s="564" t="s">
        <v>1069</v>
      </c>
      <c r="K6536" s="564" t="s">
        <v>1070</v>
      </c>
      <c r="L6536" s="564" t="s">
        <v>1390</v>
      </c>
      <c r="M6536" s="564" t="s">
        <v>1390</v>
      </c>
      <c r="N6536" s="564" t="s">
        <v>1082</v>
      </c>
      <c r="O6536" s="564" t="s">
        <v>13894</v>
      </c>
      <c r="P6536" s="23"/>
      <c r="Q6536" s="23"/>
      <c r="R6536" s="23"/>
      <c r="S6536" s="23"/>
      <c r="T6536" s="23"/>
      <c r="U6536" s="23"/>
      <c r="V6536" s="23"/>
      <c r="W6536" s="23"/>
      <c r="X6536" s="23"/>
      <c r="Y6536" s="23"/>
      <c r="Z6536" s="23"/>
    </row>
    <row r="6537" spans="1:26" ht="13">
      <c r="A6537" s="562" t="s">
        <v>14205</v>
      </c>
      <c r="B6537" s="563" t="s">
        <v>14206</v>
      </c>
      <c r="C6537" s="564" t="s">
        <v>1612</v>
      </c>
      <c r="D6537" s="565">
        <v>40651</v>
      </c>
      <c r="E6537" s="565">
        <v>40803</v>
      </c>
      <c r="F6537" s="566">
        <v>400000000</v>
      </c>
      <c r="G6537" s="564" t="s">
        <v>1753</v>
      </c>
      <c r="H6537" s="564" t="s">
        <v>1128</v>
      </c>
      <c r="I6537" s="564" t="s">
        <v>2073</v>
      </c>
      <c r="J6537" s="564" t="s">
        <v>1069</v>
      </c>
      <c r="K6537" s="564" t="s">
        <v>1105</v>
      </c>
      <c r="L6537" s="564" t="s">
        <v>1390</v>
      </c>
      <c r="M6537" s="564" t="s">
        <v>1390</v>
      </c>
      <c r="N6537" s="564" t="s">
        <v>225</v>
      </c>
      <c r="O6537" s="564" t="s">
        <v>13894</v>
      </c>
      <c r="P6537" s="23"/>
      <c r="Q6537" s="23"/>
      <c r="R6537" s="23"/>
      <c r="S6537" s="23"/>
      <c r="T6537" s="23"/>
      <c r="U6537" s="23"/>
      <c r="V6537" s="23"/>
      <c r="W6537" s="23"/>
      <c r="X6537" s="23"/>
      <c r="Y6537" s="23"/>
      <c r="Z6537" s="23"/>
    </row>
    <row r="6538" spans="1:26" ht="13">
      <c r="A6538" s="562" t="s">
        <v>14207</v>
      </c>
      <c r="B6538" s="563" t="s">
        <v>1864</v>
      </c>
      <c r="C6538" s="564" t="s">
        <v>1204</v>
      </c>
      <c r="D6538" s="565">
        <v>40664</v>
      </c>
      <c r="E6538" s="565">
        <v>42490</v>
      </c>
      <c r="F6538" s="567"/>
      <c r="G6538" s="564" t="s">
        <v>754</v>
      </c>
      <c r="H6538" s="564" t="s">
        <v>1123</v>
      </c>
      <c r="I6538" s="564" t="s">
        <v>141</v>
      </c>
      <c r="J6538" s="564" t="s">
        <v>1069</v>
      </c>
      <c r="K6538" s="564" t="s">
        <v>1205</v>
      </c>
      <c r="L6538" s="564" t="s">
        <v>1189</v>
      </c>
      <c r="M6538" s="564" t="s">
        <v>1206</v>
      </c>
      <c r="N6538" s="564" t="s">
        <v>1073</v>
      </c>
      <c r="O6538" s="564" t="s">
        <v>1207</v>
      </c>
      <c r="P6538" s="23"/>
      <c r="Q6538" s="23"/>
      <c r="R6538" s="23"/>
      <c r="S6538" s="23"/>
      <c r="T6538" s="23"/>
      <c r="U6538" s="23"/>
      <c r="V6538" s="23"/>
      <c r="W6538" s="23"/>
      <c r="X6538" s="23"/>
      <c r="Y6538" s="23"/>
      <c r="Z6538" s="23"/>
    </row>
    <row r="6539" spans="1:26" ht="13">
      <c r="A6539" s="562" t="s">
        <v>14208</v>
      </c>
      <c r="B6539" s="563" t="s">
        <v>14209</v>
      </c>
      <c r="C6539" s="564" t="s">
        <v>2484</v>
      </c>
      <c r="D6539" s="565">
        <v>40283</v>
      </c>
      <c r="E6539" s="565">
        <v>41378</v>
      </c>
      <c r="F6539" s="566">
        <v>944090909</v>
      </c>
      <c r="G6539" s="564" t="s">
        <v>14087</v>
      </c>
      <c r="H6539" s="564" t="s">
        <v>12096</v>
      </c>
      <c r="I6539" s="564" t="s">
        <v>13443</v>
      </c>
      <c r="J6539" s="564" t="s">
        <v>1069</v>
      </c>
      <c r="K6539" s="564" t="s">
        <v>2466</v>
      </c>
      <c r="L6539" s="564" t="s">
        <v>2467</v>
      </c>
      <c r="M6539" s="564" t="s">
        <v>2466</v>
      </c>
      <c r="N6539" s="564" t="s">
        <v>2543</v>
      </c>
      <c r="O6539" s="564" t="s">
        <v>12077</v>
      </c>
      <c r="P6539" s="23"/>
      <c r="Q6539" s="23"/>
      <c r="R6539" s="23"/>
      <c r="S6539" s="23"/>
      <c r="T6539" s="23"/>
      <c r="U6539" s="23"/>
      <c r="V6539" s="23"/>
      <c r="W6539" s="23"/>
      <c r="X6539" s="23"/>
      <c r="Y6539" s="23"/>
      <c r="Z6539" s="23"/>
    </row>
    <row r="6540" spans="1:26" ht="13">
      <c r="A6540" s="562" t="s">
        <v>14210</v>
      </c>
      <c r="B6540" s="563" t="s">
        <v>14211</v>
      </c>
      <c r="C6540" s="564" t="s">
        <v>2484</v>
      </c>
      <c r="D6540" s="565">
        <v>40308</v>
      </c>
      <c r="E6540" s="565">
        <v>40517</v>
      </c>
      <c r="F6540" s="566">
        <v>406945455</v>
      </c>
      <c r="G6540" s="564" t="s">
        <v>12592</v>
      </c>
      <c r="H6540" s="564" t="s">
        <v>12365</v>
      </c>
      <c r="I6540" s="564" t="s">
        <v>12297</v>
      </c>
      <c r="J6540" s="564" t="s">
        <v>1069</v>
      </c>
      <c r="K6540" s="564" t="s">
        <v>2466</v>
      </c>
      <c r="L6540" s="564" t="s">
        <v>2467</v>
      </c>
      <c r="M6540" s="564" t="s">
        <v>2466</v>
      </c>
      <c r="N6540" s="564" t="s">
        <v>2439</v>
      </c>
      <c r="O6540" s="564" t="s">
        <v>12077</v>
      </c>
      <c r="P6540" s="23"/>
      <c r="Q6540" s="23"/>
      <c r="R6540" s="23"/>
      <c r="S6540" s="23"/>
      <c r="T6540" s="23"/>
      <c r="U6540" s="23"/>
      <c r="V6540" s="23"/>
      <c r="W6540" s="23"/>
      <c r="X6540" s="23"/>
      <c r="Y6540" s="23"/>
      <c r="Z6540" s="23"/>
    </row>
    <row r="6541" spans="1:26" ht="13">
      <c r="A6541" s="562" t="s">
        <v>14212</v>
      </c>
      <c r="B6541" s="563" t="s">
        <v>14213</v>
      </c>
      <c r="C6541" s="564" t="s">
        <v>2484</v>
      </c>
      <c r="D6541" s="565">
        <v>40262</v>
      </c>
      <c r="E6541" s="565">
        <v>40543</v>
      </c>
      <c r="F6541" s="566">
        <v>391900000</v>
      </c>
      <c r="G6541" s="564" t="s">
        <v>14087</v>
      </c>
      <c r="H6541" s="564" t="s">
        <v>12640</v>
      </c>
      <c r="I6541" s="564" t="s">
        <v>2438</v>
      </c>
      <c r="J6541" s="564" t="s">
        <v>1069</v>
      </c>
      <c r="K6541" s="564" t="s">
        <v>2466</v>
      </c>
      <c r="L6541" s="564" t="s">
        <v>2467</v>
      </c>
      <c r="M6541" s="564" t="s">
        <v>2466</v>
      </c>
      <c r="N6541" s="564" t="s">
        <v>2439</v>
      </c>
      <c r="O6541" s="564" t="s">
        <v>12077</v>
      </c>
      <c r="P6541" s="23"/>
      <c r="Q6541" s="23"/>
      <c r="R6541" s="23"/>
      <c r="S6541" s="23"/>
      <c r="T6541" s="23"/>
      <c r="U6541" s="23"/>
      <c r="V6541" s="23"/>
      <c r="W6541" s="23"/>
      <c r="X6541" s="23"/>
      <c r="Y6541" s="23"/>
      <c r="Z6541" s="23"/>
    </row>
    <row r="6542" spans="1:26" ht="13">
      <c r="A6542" s="562" t="s">
        <v>14214</v>
      </c>
      <c r="B6542" s="563" t="s">
        <v>14215</v>
      </c>
      <c r="C6542" s="564" t="s">
        <v>2484</v>
      </c>
      <c r="D6542" s="565">
        <v>40262</v>
      </c>
      <c r="E6542" s="565">
        <v>40502</v>
      </c>
      <c r="F6542" s="566">
        <v>526268788</v>
      </c>
      <c r="G6542" s="564" t="s">
        <v>12080</v>
      </c>
      <c r="H6542" s="564" t="s">
        <v>12096</v>
      </c>
      <c r="I6542" s="564" t="s">
        <v>12081</v>
      </c>
      <c r="J6542" s="564" t="s">
        <v>1069</v>
      </c>
      <c r="K6542" s="564" t="s">
        <v>2466</v>
      </c>
      <c r="L6542" s="564" t="s">
        <v>2467</v>
      </c>
      <c r="M6542" s="564" t="s">
        <v>2466</v>
      </c>
      <c r="N6542" s="564" t="s">
        <v>2439</v>
      </c>
      <c r="O6542" s="564" t="s">
        <v>12077</v>
      </c>
      <c r="P6542" s="23"/>
      <c r="Q6542" s="23"/>
      <c r="R6542" s="23"/>
      <c r="S6542" s="23"/>
      <c r="T6542" s="23"/>
      <c r="U6542" s="23"/>
      <c r="V6542" s="23"/>
      <c r="W6542" s="23"/>
      <c r="X6542" s="23"/>
      <c r="Y6542" s="23"/>
      <c r="Z6542" s="23"/>
    </row>
    <row r="6543" spans="1:26" ht="13">
      <c r="A6543" s="562" t="s">
        <v>14216</v>
      </c>
      <c r="B6543" s="563" t="s">
        <v>14217</v>
      </c>
      <c r="C6543" s="564" t="s">
        <v>2484</v>
      </c>
      <c r="D6543" s="565">
        <v>40242</v>
      </c>
      <c r="E6543" s="565">
        <v>40595</v>
      </c>
      <c r="F6543" s="566">
        <v>443004545</v>
      </c>
      <c r="G6543" s="564" t="s">
        <v>2555</v>
      </c>
      <c r="H6543" s="564" t="s">
        <v>12096</v>
      </c>
      <c r="I6543" s="564" t="s">
        <v>2542</v>
      </c>
      <c r="J6543" s="564" t="s">
        <v>1069</v>
      </c>
      <c r="K6543" s="564" t="s">
        <v>2466</v>
      </c>
      <c r="L6543" s="564" t="s">
        <v>2467</v>
      </c>
      <c r="M6543" s="564" t="s">
        <v>2466</v>
      </c>
      <c r="N6543" s="564" t="s">
        <v>2543</v>
      </c>
      <c r="O6543" s="564" t="s">
        <v>12077</v>
      </c>
      <c r="P6543" s="23"/>
      <c r="Q6543" s="23"/>
      <c r="R6543" s="23"/>
      <c r="S6543" s="23"/>
      <c r="T6543" s="23"/>
      <c r="U6543" s="23"/>
      <c r="V6543" s="23"/>
      <c r="W6543" s="23"/>
      <c r="X6543" s="23"/>
      <c r="Y6543" s="23"/>
      <c r="Z6543" s="23"/>
    </row>
    <row r="6544" spans="1:26" ht="13">
      <c r="A6544" s="562" t="s">
        <v>14218</v>
      </c>
      <c r="B6544" s="563" t="s">
        <v>14219</v>
      </c>
      <c r="C6544" s="564" t="s">
        <v>2484</v>
      </c>
      <c r="D6544" s="565">
        <v>40246</v>
      </c>
      <c r="E6544" s="565">
        <v>40633</v>
      </c>
      <c r="F6544" s="566">
        <v>886909091</v>
      </c>
      <c r="G6544" s="564" t="s">
        <v>13134</v>
      </c>
      <c r="H6544" s="564" t="s">
        <v>12096</v>
      </c>
      <c r="I6544" s="564" t="s">
        <v>14220</v>
      </c>
      <c r="J6544" s="564" t="s">
        <v>1069</v>
      </c>
      <c r="K6544" s="564" t="s">
        <v>2466</v>
      </c>
      <c r="L6544" s="564" t="s">
        <v>2467</v>
      </c>
      <c r="M6544" s="564" t="s">
        <v>2466</v>
      </c>
      <c r="N6544" s="564" t="s">
        <v>2543</v>
      </c>
      <c r="O6544" s="564" t="s">
        <v>12077</v>
      </c>
      <c r="P6544" s="23"/>
      <c r="Q6544" s="23"/>
      <c r="R6544" s="23"/>
      <c r="S6544" s="23"/>
      <c r="T6544" s="23"/>
      <c r="U6544" s="23"/>
      <c r="V6544" s="23"/>
      <c r="W6544" s="23"/>
      <c r="X6544" s="23"/>
      <c r="Y6544" s="23"/>
      <c r="Z6544" s="23"/>
    </row>
    <row r="6545" spans="1:26" ht="13">
      <c r="A6545" s="562" t="s">
        <v>14221</v>
      </c>
      <c r="B6545" s="563" t="s">
        <v>14222</v>
      </c>
      <c r="C6545" s="564" t="s">
        <v>2484</v>
      </c>
      <c r="D6545" s="565">
        <v>40228</v>
      </c>
      <c r="E6545" s="565">
        <v>40437</v>
      </c>
      <c r="F6545" s="566">
        <v>189722255</v>
      </c>
      <c r="G6545" s="564" t="s">
        <v>12586</v>
      </c>
      <c r="H6545" s="564" t="s">
        <v>12365</v>
      </c>
      <c r="I6545" s="564" t="s">
        <v>12297</v>
      </c>
      <c r="J6545" s="564" t="s">
        <v>1069</v>
      </c>
      <c r="K6545" s="564" t="s">
        <v>2466</v>
      </c>
      <c r="L6545" s="564" t="s">
        <v>2467</v>
      </c>
      <c r="M6545" s="564" t="s">
        <v>2466</v>
      </c>
      <c r="N6545" s="564" t="s">
        <v>2439</v>
      </c>
      <c r="O6545" s="564" t="s">
        <v>12077</v>
      </c>
      <c r="P6545" s="23"/>
      <c r="Q6545" s="23"/>
      <c r="R6545" s="23"/>
      <c r="S6545" s="23"/>
      <c r="T6545" s="23"/>
      <c r="U6545" s="23"/>
      <c r="V6545" s="23"/>
      <c r="W6545" s="23"/>
      <c r="X6545" s="23"/>
      <c r="Y6545" s="23"/>
      <c r="Z6545" s="23"/>
    </row>
    <row r="6546" spans="1:26" ht="13">
      <c r="A6546" s="562" t="s">
        <v>14223</v>
      </c>
      <c r="B6546" s="563" t="s">
        <v>14224</v>
      </c>
      <c r="C6546" s="564" t="s">
        <v>2484</v>
      </c>
      <c r="D6546" s="565">
        <v>40228</v>
      </c>
      <c r="E6546" s="565">
        <v>40447</v>
      </c>
      <c r="F6546" s="566">
        <v>478876636</v>
      </c>
      <c r="G6546" s="564" t="s">
        <v>12586</v>
      </c>
      <c r="H6546" s="564" t="s">
        <v>12365</v>
      </c>
      <c r="I6546" s="564" t="s">
        <v>12297</v>
      </c>
      <c r="J6546" s="564" t="s">
        <v>1069</v>
      </c>
      <c r="K6546" s="564" t="s">
        <v>2466</v>
      </c>
      <c r="L6546" s="564" t="s">
        <v>2467</v>
      </c>
      <c r="M6546" s="564" t="s">
        <v>2466</v>
      </c>
      <c r="N6546" s="564" t="s">
        <v>2439</v>
      </c>
      <c r="O6546" s="564" t="s">
        <v>12077</v>
      </c>
      <c r="P6546" s="23"/>
      <c r="Q6546" s="23"/>
      <c r="R6546" s="23"/>
      <c r="S6546" s="23"/>
      <c r="T6546" s="23"/>
      <c r="U6546" s="23"/>
      <c r="V6546" s="23"/>
      <c r="W6546" s="23"/>
      <c r="X6546" s="23"/>
      <c r="Y6546" s="23"/>
      <c r="Z6546" s="23"/>
    </row>
    <row r="6547" spans="1:26" ht="13">
      <c r="A6547" s="562" t="s">
        <v>14225</v>
      </c>
      <c r="B6547" s="563" t="s">
        <v>14226</v>
      </c>
      <c r="C6547" s="564" t="s">
        <v>2484</v>
      </c>
      <c r="D6547" s="565">
        <v>40211</v>
      </c>
      <c r="E6547" s="565">
        <v>40480</v>
      </c>
      <c r="F6547" s="566">
        <v>1140359909</v>
      </c>
      <c r="G6547" s="564" t="s">
        <v>12293</v>
      </c>
      <c r="H6547" s="564" t="s">
        <v>2546</v>
      </c>
      <c r="I6547" s="564" t="s">
        <v>12297</v>
      </c>
      <c r="J6547" s="564" t="s">
        <v>1069</v>
      </c>
      <c r="K6547" s="564" t="s">
        <v>2466</v>
      </c>
      <c r="L6547" s="564" t="s">
        <v>2467</v>
      </c>
      <c r="M6547" s="564" t="s">
        <v>2466</v>
      </c>
      <c r="N6547" s="564" t="s">
        <v>2439</v>
      </c>
      <c r="O6547" s="564" t="s">
        <v>12077</v>
      </c>
      <c r="P6547" s="23"/>
      <c r="Q6547" s="23"/>
      <c r="R6547" s="23"/>
      <c r="S6547" s="23"/>
      <c r="T6547" s="23"/>
      <c r="U6547" s="23"/>
      <c r="V6547" s="23"/>
      <c r="W6547" s="23"/>
      <c r="X6547" s="23"/>
      <c r="Y6547" s="23"/>
      <c r="Z6547" s="23"/>
    </row>
    <row r="6548" spans="1:26" ht="13">
      <c r="A6548" s="562" t="s">
        <v>14227</v>
      </c>
      <c r="B6548" s="563" t="s">
        <v>14159</v>
      </c>
      <c r="C6548" s="564" t="s">
        <v>2191</v>
      </c>
      <c r="D6548" s="565">
        <v>41355</v>
      </c>
      <c r="E6548" s="565">
        <v>41355</v>
      </c>
      <c r="F6548" s="567"/>
      <c r="G6548" s="564" t="s">
        <v>2434</v>
      </c>
      <c r="H6548" s="564" t="s">
        <v>2459</v>
      </c>
      <c r="I6548" s="564" t="s">
        <v>2460</v>
      </c>
      <c r="J6548" s="564" t="s">
        <v>1069</v>
      </c>
      <c r="K6548" s="564" t="s">
        <v>2466</v>
      </c>
      <c r="L6548" s="564" t="s">
        <v>2467</v>
      </c>
      <c r="M6548" s="564" t="s">
        <v>2466</v>
      </c>
      <c r="N6548" s="564" t="s">
        <v>2325</v>
      </c>
      <c r="O6548" s="564" t="s">
        <v>12077</v>
      </c>
      <c r="P6548" s="23"/>
      <c r="Q6548" s="23"/>
      <c r="R6548" s="23"/>
      <c r="S6548" s="23"/>
      <c r="T6548" s="23"/>
      <c r="U6548" s="23"/>
      <c r="V6548" s="23"/>
      <c r="W6548" s="23"/>
      <c r="X6548" s="23"/>
      <c r="Y6548" s="23"/>
      <c r="Z6548" s="23"/>
    </row>
    <row r="6549" spans="1:26" ht="13">
      <c r="A6549" s="562" t="s">
        <v>14228</v>
      </c>
      <c r="B6549" s="563" t="s">
        <v>14229</v>
      </c>
      <c r="C6549" s="564" t="s">
        <v>2484</v>
      </c>
      <c r="D6549" s="565">
        <v>40423</v>
      </c>
      <c r="E6549" s="565">
        <v>40552</v>
      </c>
      <c r="F6549" s="566">
        <v>410282909</v>
      </c>
      <c r="G6549" s="564" t="s">
        <v>12293</v>
      </c>
      <c r="H6549" s="564" t="s">
        <v>2519</v>
      </c>
      <c r="I6549" s="564" t="s">
        <v>12297</v>
      </c>
      <c r="J6549" s="564" t="s">
        <v>1069</v>
      </c>
      <c r="K6549" s="564" t="s">
        <v>2466</v>
      </c>
      <c r="L6549" s="564" t="s">
        <v>2467</v>
      </c>
      <c r="M6549" s="564" t="s">
        <v>2466</v>
      </c>
      <c r="N6549" s="564" t="s">
        <v>2439</v>
      </c>
      <c r="O6549" s="564" t="s">
        <v>12077</v>
      </c>
      <c r="P6549" s="23"/>
      <c r="Q6549" s="23"/>
      <c r="R6549" s="23"/>
      <c r="S6549" s="23"/>
      <c r="T6549" s="23"/>
      <c r="U6549" s="23"/>
      <c r="V6549" s="23"/>
      <c r="W6549" s="23"/>
      <c r="X6549" s="23"/>
      <c r="Y6549" s="23"/>
      <c r="Z6549" s="23"/>
    </row>
    <row r="6550" spans="1:26" ht="13">
      <c r="A6550" s="562" t="s">
        <v>14230</v>
      </c>
      <c r="B6550" s="563" t="s">
        <v>14231</v>
      </c>
      <c r="C6550" s="564" t="s">
        <v>2484</v>
      </c>
      <c r="D6550" s="565">
        <v>40406</v>
      </c>
      <c r="E6550" s="565">
        <v>40705</v>
      </c>
      <c r="F6550" s="566">
        <v>403318182</v>
      </c>
      <c r="G6550" s="564" t="s">
        <v>12586</v>
      </c>
      <c r="H6550" s="564" t="s">
        <v>2519</v>
      </c>
      <c r="I6550" s="564" t="s">
        <v>12297</v>
      </c>
      <c r="J6550" s="564" t="s">
        <v>1069</v>
      </c>
      <c r="K6550" s="564" t="s">
        <v>2466</v>
      </c>
      <c r="L6550" s="564" t="s">
        <v>2467</v>
      </c>
      <c r="M6550" s="564" t="s">
        <v>2466</v>
      </c>
      <c r="N6550" s="564" t="s">
        <v>2439</v>
      </c>
      <c r="O6550" s="564" t="s">
        <v>12077</v>
      </c>
      <c r="P6550" s="23"/>
      <c r="Q6550" s="23"/>
      <c r="R6550" s="23"/>
      <c r="S6550" s="23"/>
      <c r="T6550" s="23"/>
      <c r="U6550" s="23"/>
      <c r="V6550" s="23"/>
      <c r="W6550" s="23"/>
      <c r="X6550" s="23"/>
      <c r="Y6550" s="23"/>
      <c r="Z6550" s="23"/>
    </row>
    <row r="6551" spans="1:26" ht="13">
      <c r="A6551" s="562" t="s">
        <v>14232</v>
      </c>
      <c r="B6551" s="563" t="s">
        <v>14233</v>
      </c>
      <c r="C6551" s="564" t="s">
        <v>2484</v>
      </c>
      <c r="D6551" s="565">
        <v>40354</v>
      </c>
      <c r="E6551" s="565">
        <v>40503</v>
      </c>
      <c r="F6551" s="566">
        <v>88170136</v>
      </c>
      <c r="G6551" s="564" t="s">
        <v>12080</v>
      </c>
      <c r="H6551" s="564" t="s">
        <v>12365</v>
      </c>
      <c r="I6551" s="564" t="s">
        <v>12081</v>
      </c>
      <c r="J6551" s="564" t="s">
        <v>1069</v>
      </c>
      <c r="K6551" s="564" t="s">
        <v>2466</v>
      </c>
      <c r="L6551" s="564" t="s">
        <v>2467</v>
      </c>
      <c r="M6551" s="564" t="s">
        <v>2466</v>
      </c>
      <c r="N6551" s="564" t="s">
        <v>2439</v>
      </c>
      <c r="O6551" s="564" t="s">
        <v>12077</v>
      </c>
      <c r="P6551" s="23"/>
      <c r="Q6551" s="23"/>
      <c r="R6551" s="23"/>
      <c r="S6551" s="23"/>
      <c r="T6551" s="23"/>
      <c r="U6551" s="23"/>
      <c r="V6551" s="23"/>
      <c r="W6551" s="23"/>
      <c r="X6551" s="23"/>
      <c r="Y6551" s="23"/>
      <c r="Z6551" s="23"/>
    </row>
    <row r="6552" spans="1:26" ht="13">
      <c r="A6552" s="562" t="s">
        <v>14234</v>
      </c>
      <c r="B6552" s="563" t="s">
        <v>14235</v>
      </c>
      <c r="C6552" s="564" t="s">
        <v>2484</v>
      </c>
      <c r="D6552" s="565">
        <v>40351</v>
      </c>
      <c r="E6552" s="565">
        <v>40480</v>
      </c>
      <c r="F6552" s="566">
        <v>163000000</v>
      </c>
      <c r="G6552" s="564" t="s">
        <v>14183</v>
      </c>
      <c r="H6552" s="564" t="s">
        <v>12134</v>
      </c>
      <c r="I6552" s="564" t="s">
        <v>12804</v>
      </c>
      <c r="J6552" s="564" t="s">
        <v>1069</v>
      </c>
      <c r="K6552" s="564" t="s">
        <v>2466</v>
      </c>
      <c r="L6552" s="564" t="s">
        <v>2467</v>
      </c>
      <c r="M6552" s="564" t="s">
        <v>2466</v>
      </c>
      <c r="N6552" s="564" t="s">
        <v>2325</v>
      </c>
      <c r="O6552" s="564" t="s">
        <v>12077</v>
      </c>
      <c r="P6552" s="23"/>
      <c r="Q6552" s="23"/>
      <c r="R6552" s="23"/>
      <c r="S6552" s="23"/>
      <c r="T6552" s="23"/>
      <c r="U6552" s="23"/>
      <c r="V6552" s="23"/>
      <c r="W6552" s="23"/>
      <c r="X6552" s="23"/>
      <c r="Y6552" s="23"/>
      <c r="Z6552" s="23"/>
    </row>
    <row r="6553" spans="1:26" ht="13">
      <c r="A6553" s="562" t="s">
        <v>14236</v>
      </c>
      <c r="B6553" s="563" t="s">
        <v>14237</v>
      </c>
      <c r="C6553" s="564" t="s">
        <v>2484</v>
      </c>
      <c r="D6553" s="565">
        <v>40345</v>
      </c>
      <c r="E6553" s="565">
        <v>40555</v>
      </c>
      <c r="F6553" s="566">
        <v>102272727</v>
      </c>
      <c r="G6553" s="564" t="s">
        <v>12293</v>
      </c>
      <c r="H6553" s="564" t="s">
        <v>12096</v>
      </c>
      <c r="I6553" s="564" t="s">
        <v>14238</v>
      </c>
      <c r="J6553" s="564" t="s">
        <v>1069</v>
      </c>
      <c r="K6553" s="564" t="s">
        <v>2466</v>
      </c>
      <c r="L6553" s="564" t="s">
        <v>2467</v>
      </c>
      <c r="M6553" s="564" t="s">
        <v>2466</v>
      </c>
      <c r="N6553" s="564" t="s">
        <v>2439</v>
      </c>
      <c r="O6553" s="564" t="s">
        <v>12077</v>
      </c>
      <c r="P6553" s="23"/>
      <c r="Q6553" s="23"/>
      <c r="R6553" s="23"/>
      <c r="S6553" s="23"/>
      <c r="T6553" s="23"/>
      <c r="U6553" s="23"/>
      <c r="V6553" s="23"/>
      <c r="W6553" s="23"/>
      <c r="X6553" s="23"/>
      <c r="Y6553" s="23"/>
      <c r="Z6553" s="23"/>
    </row>
    <row r="6554" spans="1:26" ht="13">
      <c r="A6554" s="562" t="s">
        <v>14239</v>
      </c>
      <c r="B6554" s="563" t="s">
        <v>14240</v>
      </c>
      <c r="C6554" s="564" t="s">
        <v>2484</v>
      </c>
      <c r="D6554" s="565">
        <v>40302</v>
      </c>
      <c r="E6554" s="565">
        <v>40511</v>
      </c>
      <c r="F6554" s="566">
        <v>736204545</v>
      </c>
      <c r="G6554" s="564" t="s">
        <v>12293</v>
      </c>
      <c r="H6554" s="564" t="s">
        <v>2546</v>
      </c>
      <c r="I6554" s="564" t="s">
        <v>12297</v>
      </c>
      <c r="J6554" s="564" t="s">
        <v>1069</v>
      </c>
      <c r="K6554" s="564" t="s">
        <v>2466</v>
      </c>
      <c r="L6554" s="564" t="s">
        <v>2467</v>
      </c>
      <c r="M6554" s="564" t="s">
        <v>2466</v>
      </c>
      <c r="N6554" s="564" t="s">
        <v>2439</v>
      </c>
      <c r="O6554" s="564" t="s">
        <v>12077</v>
      </c>
      <c r="P6554" s="23"/>
      <c r="Q6554" s="23"/>
      <c r="R6554" s="23"/>
      <c r="S6554" s="23"/>
      <c r="T6554" s="23"/>
      <c r="U6554" s="23"/>
      <c r="V6554" s="23"/>
      <c r="W6554" s="23"/>
      <c r="X6554" s="23"/>
      <c r="Y6554" s="23"/>
      <c r="Z6554" s="23"/>
    </row>
    <row r="6555" spans="1:26" ht="13">
      <c r="A6555" s="562" t="s">
        <v>14241</v>
      </c>
      <c r="B6555" s="563" t="s">
        <v>14242</v>
      </c>
      <c r="C6555" s="564" t="s">
        <v>2191</v>
      </c>
      <c r="D6555" s="565">
        <v>40504</v>
      </c>
      <c r="E6555" s="565">
        <v>40684</v>
      </c>
      <c r="F6555" s="566">
        <v>3031838638</v>
      </c>
      <c r="G6555" s="564" t="s">
        <v>1784</v>
      </c>
      <c r="H6555" s="564" t="s">
        <v>1145</v>
      </c>
      <c r="I6555" s="564" t="s">
        <v>14243</v>
      </c>
      <c r="J6555" s="564" t="s">
        <v>1069</v>
      </c>
      <c r="K6555" s="564" t="s">
        <v>1198</v>
      </c>
      <c r="L6555" s="564" t="s">
        <v>1390</v>
      </c>
      <c r="M6555" s="564" t="s">
        <v>1390</v>
      </c>
      <c r="N6555" s="564" t="s">
        <v>1368</v>
      </c>
      <c r="O6555" s="564" t="s">
        <v>13894</v>
      </c>
      <c r="P6555" s="23"/>
      <c r="Q6555" s="23"/>
      <c r="R6555" s="23"/>
      <c r="S6555" s="23"/>
      <c r="T6555" s="23"/>
      <c r="U6555" s="23"/>
      <c r="V6555" s="23"/>
      <c r="W6555" s="23"/>
      <c r="X6555" s="23"/>
      <c r="Y6555" s="23"/>
      <c r="Z6555" s="23"/>
    </row>
    <row r="6556" spans="1:26" ht="13">
      <c r="A6556" s="562" t="s">
        <v>14244</v>
      </c>
      <c r="B6556" s="563" t="s">
        <v>14245</v>
      </c>
      <c r="C6556" s="564" t="s">
        <v>2191</v>
      </c>
      <c r="D6556" s="565">
        <v>40504</v>
      </c>
      <c r="E6556" s="565">
        <v>40684</v>
      </c>
      <c r="F6556" s="566">
        <v>3091934089</v>
      </c>
      <c r="G6556" s="564" t="s">
        <v>1067</v>
      </c>
      <c r="H6556" s="564" t="s">
        <v>1145</v>
      </c>
      <c r="I6556" s="564" t="s">
        <v>14246</v>
      </c>
      <c r="J6556" s="564" t="s">
        <v>1069</v>
      </c>
      <c r="K6556" s="564" t="s">
        <v>1198</v>
      </c>
      <c r="L6556" s="564" t="s">
        <v>1390</v>
      </c>
      <c r="M6556" s="564" t="s">
        <v>1390</v>
      </c>
      <c r="N6556" s="564" t="s">
        <v>1368</v>
      </c>
      <c r="O6556" s="564" t="s">
        <v>13894</v>
      </c>
      <c r="P6556" s="23"/>
      <c r="Q6556" s="23"/>
      <c r="R6556" s="23"/>
      <c r="S6556" s="23"/>
      <c r="T6556" s="23"/>
      <c r="U6556" s="23"/>
      <c r="V6556" s="23"/>
      <c r="W6556" s="23"/>
      <c r="X6556" s="23"/>
      <c r="Y6556" s="23"/>
      <c r="Z6556" s="23"/>
    </row>
    <row r="6557" spans="1:26" ht="13">
      <c r="A6557" s="562" t="s">
        <v>14247</v>
      </c>
      <c r="B6557" s="563" t="s">
        <v>14248</v>
      </c>
      <c r="C6557" s="564" t="s">
        <v>6860</v>
      </c>
      <c r="D6557" s="565">
        <v>40350</v>
      </c>
      <c r="E6557" s="565">
        <v>40694</v>
      </c>
      <c r="F6557" s="566">
        <v>1141375000</v>
      </c>
      <c r="G6557" s="564" t="s">
        <v>2508</v>
      </c>
      <c r="H6557" s="564" t="s">
        <v>1128</v>
      </c>
      <c r="I6557" s="564" t="s">
        <v>14249</v>
      </c>
      <c r="J6557" s="564" t="s">
        <v>1069</v>
      </c>
      <c r="K6557" s="564" t="s">
        <v>1205</v>
      </c>
      <c r="L6557" s="564" t="s">
        <v>1390</v>
      </c>
      <c r="M6557" s="564" t="s">
        <v>1390</v>
      </c>
      <c r="N6557" s="564" t="s">
        <v>1082</v>
      </c>
      <c r="O6557" s="564" t="s">
        <v>13894</v>
      </c>
      <c r="P6557" s="23"/>
      <c r="Q6557" s="23"/>
      <c r="R6557" s="23"/>
      <c r="S6557" s="23"/>
      <c r="T6557" s="23"/>
      <c r="U6557" s="23"/>
      <c r="V6557" s="23"/>
      <c r="W6557" s="23"/>
      <c r="X6557" s="23"/>
      <c r="Y6557" s="23"/>
      <c r="Z6557" s="23"/>
    </row>
    <row r="6558" spans="1:26" ht="13">
      <c r="A6558" s="562" t="s">
        <v>14250</v>
      </c>
      <c r="B6558" s="563" t="s">
        <v>14251</v>
      </c>
      <c r="C6558" s="564" t="s">
        <v>2191</v>
      </c>
      <c r="D6558" s="565">
        <v>40393</v>
      </c>
      <c r="E6558" s="565">
        <v>40492</v>
      </c>
      <c r="F6558" s="566">
        <v>99960000</v>
      </c>
      <c r="G6558" s="564" t="s">
        <v>1623</v>
      </c>
      <c r="H6558" s="564" t="s">
        <v>1145</v>
      </c>
      <c r="I6558" s="564" t="s">
        <v>14252</v>
      </c>
      <c r="J6558" s="564" t="s">
        <v>1069</v>
      </c>
      <c r="K6558" s="564" t="s">
        <v>1198</v>
      </c>
      <c r="L6558" s="564" t="s">
        <v>1390</v>
      </c>
      <c r="M6558" s="564" t="s">
        <v>1390</v>
      </c>
      <c r="N6558" s="564" t="s">
        <v>1368</v>
      </c>
      <c r="O6558" s="564" t="s">
        <v>13894</v>
      </c>
      <c r="P6558" s="23"/>
      <c r="Q6558" s="23"/>
      <c r="R6558" s="23"/>
      <c r="S6558" s="23"/>
      <c r="T6558" s="23"/>
      <c r="U6558" s="23"/>
      <c r="V6558" s="23"/>
      <c r="W6558" s="23"/>
      <c r="X6558" s="23"/>
      <c r="Y6558" s="23"/>
      <c r="Z6558" s="23"/>
    </row>
    <row r="6559" spans="1:26" ht="13">
      <c r="A6559" s="562" t="s">
        <v>14253</v>
      </c>
      <c r="B6559" s="563" t="s">
        <v>14254</v>
      </c>
      <c r="C6559" s="564" t="s">
        <v>2191</v>
      </c>
      <c r="D6559" s="565">
        <v>40336</v>
      </c>
      <c r="E6559" s="565">
        <v>40816</v>
      </c>
      <c r="F6559" s="566">
        <v>332000000</v>
      </c>
      <c r="G6559" s="564" t="s">
        <v>2202</v>
      </c>
      <c r="H6559" s="564" t="s">
        <v>1145</v>
      </c>
      <c r="I6559" s="564" t="s">
        <v>14255</v>
      </c>
      <c r="J6559" s="564" t="s">
        <v>1069</v>
      </c>
      <c r="K6559" s="564" t="s">
        <v>1198</v>
      </c>
      <c r="L6559" s="564" t="s">
        <v>1390</v>
      </c>
      <c r="M6559" s="564" t="s">
        <v>1390</v>
      </c>
      <c r="N6559" s="564" t="s">
        <v>1082</v>
      </c>
      <c r="O6559" s="564" t="s">
        <v>13894</v>
      </c>
      <c r="P6559" s="23"/>
      <c r="Q6559" s="23"/>
      <c r="R6559" s="23"/>
      <c r="S6559" s="23"/>
      <c r="T6559" s="23"/>
      <c r="U6559" s="23"/>
      <c r="V6559" s="23"/>
      <c r="W6559" s="23"/>
      <c r="X6559" s="23"/>
      <c r="Y6559" s="23"/>
      <c r="Z6559" s="23"/>
    </row>
    <row r="6560" spans="1:26" ht="13">
      <c r="A6560" s="562" t="s">
        <v>14256</v>
      </c>
      <c r="B6560" s="563" t="s">
        <v>14257</v>
      </c>
      <c r="C6560" s="564" t="s">
        <v>1475</v>
      </c>
      <c r="D6560" s="565">
        <v>43647</v>
      </c>
      <c r="E6560" s="565">
        <v>44712</v>
      </c>
      <c r="F6560" s="566">
        <v>508024000</v>
      </c>
      <c r="G6560" s="564" t="s">
        <v>10789</v>
      </c>
      <c r="H6560" s="564" t="s">
        <v>1123</v>
      </c>
      <c r="I6560" s="564" t="s">
        <v>11869</v>
      </c>
      <c r="J6560" s="564" t="s">
        <v>1069</v>
      </c>
      <c r="K6560" s="564" t="s">
        <v>1070</v>
      </c>
      <c r="L6560" s="564" t="s">
        <v>1071</v>
      </c>
      <c r="M6560" s="564" t="s">
        <v>1091</v>
      </c>
      <c r="N6560" s="564" t="s">
        <v>1082</v>
      </c>
      <c r="O6560" s="564" t="s">
        <v>13894</v>
      </c>
      <c r="P6560" s="23"/>
      <c r="Q6560" s="23"/>
      <c r="R6560" s="23"/>
      <c r="S6560" s="23"/>
      <c r="T6560" s="23"/>
      <c r="U6560" s="23"/>
      <c r="V6560" s="23"/>
      <c r="W6560" s="23"/>
      <c r="X6560" s="23"/>
      <c r="Y6560" s="23"/>
      <c r="Z6560" s="23"/>
    </row>
    <row r="6561" spans="1:26" ht="13">
      <c r="A6561" s="562" t="s">
        <v>14258</v>
      </c>
      <c r="B6561" s="563" t="s">
        <v>14259</v>
      </c>
      <c r="C6561" s="564" t="s">
        <v>6860</v>
      </c>
      <c r="D6561" s="565">
        <v>40299</v>
      </c>
      <c r="E6561" s="565">
        <v>40574</v>
      </c>
      <c r="F6561" s="566">
        <v>680000000</v>
      </c>
      <c r="G6561" s="564" t="s">
        <v>14020</v>
      </c>
      <c r="H6561" s="564" t="s">
        <v>1128</v>
      </c>
      <c r="I6561" s="564" t="s">
        <v>12672</v>
      </c>
      <c r="J6561" s="564" t="s">
        <v>1069</v>
      </c>
      <c r="K6561" s="564" t="s">
        <v>1070</v>
      </c>
      <c r="L6561" s="564" t="s">
        <v>1390</v>
      </c>
      <c r="M6561" s="564" t="s">
        <v>1390</v>
      </c>
      <c r="N6561" s="564" t="s">
        <v>1082</v>
      </c>
      <c r="O6561" s="564" t="s">
        <v>13894</v>
      </c>
      <c r="P6561" s="23"/>
      <c r="Q6561" s="23"/>
      <c r="R6561" s="23"/>
      <c r="S6561" s="23"/>
      <c r="T6561" s="23"/>
      <c r="U6561" s="23"/>
      <c r="V6561" s="23"/>
      <c r="W6561" s="23"/>
      <c r="X6561" s="23"/>
      <c r="Y6561" s="23"/>
      <c r="Z6561" s="23"/>
    </row>
    <row r="6562" spans="1:26" ht="13">
      <c r="A6562" s="562" t="s">
        <v>14260</v>
      </c>
      <c r="B6562" s="563" t="s">
        <v>14261</v>
      </c>
      <c r="C6562" s="564" t="s">
        <v>6860</v>
      </c>
      <c r="D6562" s="565">
        <v>40235</v>
      </c>
      <c r="E6562" s="565">
        <v>40908</v>
      </c>
      <c r="F6562" s="566">
        <v>1241100000</v>
      </c>
      <c r="G6562" s="564" t="s">
        <v>10823</v>
      </c>
      <c r="H6562" s="564" t="s">
        <v>1640</v>
      </c>
      <c r="I6562" s="564" t="s">
        <v>4326</v>
      </c>
      <c r="J6562" s="564" t="s">
        <v>1069</v>
      </c>
      <c r="K6562" s="564" t="s">
        <v>1209</v>
      </c>
      <c r="L6562" s="564" t="s">
        <v>1390</v>
      </c>
      <c r="M6562" s="564" t="s">
        <v>1390</v>
      </c>
      <c r="N6562" s="564" t="s">
        <v>2325</v>
      </c>
      <c r="O6562" s="564" t="s">
        <v>13894</v>
      </c>
      <c r="P6562" s="23"/>
      <c r="Q6562" s="23"/>
      <c r="R6562" s="23"/>
      <c r="S6562" s="23"/>
      <c r="T6562" s="23"/>
      <c r="U6562" s="23"/>
      <c r="V6562" s="23"/>
      <c r="W6562" s="23"/>
      <c r="X6562" s="23"/>
      <c r="Y6562" s="23"/>
      <c r="Z6562" s="23"/>
    </row>
    <row r="6563" spans="1:26" ht="13">
      <c r="A6563" s="562" t="s">
        <v>14262</v>
      </c>
      <c r="B6563" s="563" t="s">
        <v>14263</v>
      </c>
      <c r="C6563" s="564" t="s">
        <v>2484</v>
      </c>
      <c r="D6563" s="565">
        <v>40217</v>
      </c>
      <c r="E6563" s="565">
        <v>40463</v>
      </c>
      <c r="F6563" s="566">
        <v>639257273</v>
      </c>
      <c r="G6563" s="564" t="s">
        <v>12586</v>
      </c>
      <c r="H6563" s="564" t="s">
        <v>12365</v>
      </c>
      <c r="I6563" s="564" t="s">
        <v>12297</v>
      </c>
      <c r="J6563" s="564" t="s">
        <v>1069</v>
      </c>
      <c r="K6563" s="564" t="s">
        <v>2466</v>
      </c>
      <c r="L6563" s="564" t="s">
        <v>2467</v>
      </c>
      <c r="M6563" s="564" t="s">
        <v>2466</v>
      </c>
      <c r="N6563" s="564" t="s">
        <v>2439</v>
      </c>
      <c r="O6563" s="564" t="s">
        <v>12077</v>
      </c>
      <c r="P6563" s="23"/>
      <c r="Q6563" s="23"/>
      <c r="R6563" s="23"/>
      <c r="S6563" s="23"/>
      <c r="T6563" s="23"/>
      <c r="U6563" s="23"/>
      <c r="V6563" s="23"/>
      <c r="W6563" s="23"/>
      <c r="X6563" s="23"/>
      <c r="Y6563" s="23"/>
      <c r="Z6563" s="23"/>
    </row>
    <row r="6564" spans="1:26" ht="13">
      <c r="A6564" s="562" t="s">
        <v>14264</v>
      </c>
      <c r="B6564" s="563" t="s">
        <v>14265</v>
      </c>
      <c r="C6564" s="564" t="s">
        <v>2191</v>
      </c>
      <c r="D6564" s="565">
        <v>40210</v>
      </c>
      <c r="E6564" s="565">
        <v>40939</v>
      </c>
      <c r="F6564" s="566">
        <v>1381818192</v>
      </c>
      <c r="G6564" s="564" t="s">
        <v>10577</v>
      </c>
      <c r="H6564" s="564" t="s">
        <v>1145</v>
      </c>
      <c r="I6564" s="564" t="s">
        <v>14266</v>
      </c>
      <c r="J6564" s="564" t="s">
        <v>1069</v>
      </c>
      <c r="K6564" s="564" t="s">
        <v>1198</v>
      </c>
      <c r="L6564" s="564" t="s">
        <v>1071</v>
      </c>
      <c r="M6564" s="564" t="s">
        <v>1091</v>
      </c>
      <c r="N6564" s="564" t="s">
        <v>1368</v>
      </c>
      <c r="O6564" s="564" t="s">
        <v>241</v>
      </c>
      <c r="P6564" s="23"/>
      <c r="Q6564" s="23"/>
      <c r="R6564" s="23"/>
      <c r="S6564" s="23"/>
      <c r="T6564" s="23"/>
      <c r="U6564" s="23"/>
      <c r="V6564" s="23"/>
      <c r="W6564" s="23"/>
      <c r="X6564" s="23"/>
      <c r="Y6564" s="23"/>
      <c r="Z6564" s="23"/>
    </row>
    <row r="6565" spans="1:26" ht="13">
      <c r="A6565" s="562" t="s">
        <v>14267</v>
      </c>
      <c r="B6565" s="563" t="s">
        <v>14268</v>
      </c>
      <c r="C6565" s="564" t="s">
        <v>2484</v>
      </c>
      <c r="D6565" s="565">
        <v>39864</v>
      </c>
      <c r="E6565" s="565">
        <v>40084</v>
      </c>
      <c r="F6565" s="566">
        <v>539990636</v>
      </c>
      <c r="G6565" s="564" t="s">
        <v>12586</v>
      </c>
      <c r="H6565" s="564" t="s">
        <v>2541</v>
      </c>
      <c r="I6565" s="564" t="s">
        <v>12297</v>
      </c>
      <c r="J6565" s="564" t="s">
        <v>1069</v>
      </c>
      <c r="K6565" s="564" t="s">
        <v>2466</v>
      </c>
      <c r="L6565" s="564" t="s">
        <v>2467</v>
      </c>
      <c r="M6565" s="564" t="s">
        <v>2466</v>
      </c>
      <c r="N6565" s="564" t="s">
        <v>2439</v>
      </c>
      <c r="O6565" s="564" t="s">
        <v>12077</v>
      </c>
      <c r="P6565" s="23"/>
      <c r="Q6565" s="23"/>
      <c r="R6565" s="23"/>
      <c r="S6565" s="23"/>
      <c r="T6565" s="23"/>
      <c r="U6565" s="23"/>
      <c r="V6565" s="23"/>
      <c r="W6565" s="23"/>
      <c r="X6565" s="23"/>
      <c r="Y6565" s="23"/>
      <c r="Z6565" s="23"/>
    </row>
    <row r="6566" spans="1:26" ht="13">
      <c r="A6566" s="562" t="s">
        <v>14269</v>
      </c>
      <c r="B6566" s="563" t="s">
        <v>14270</v>
      </c>
      <c r="C6566" s="564" t="s">
        <v>2484</v>
      </c>
      <c r="D6566" s="565">
        <v>39848</v>
      </c>
      <c r="E6566" s="565">
        <v>40138</v>
      </c>
      <c r="F6566" s="566">
        <v>995797455</v>
      </c>
      <c r="G6566" s="564" t="s">
        <v>12586</v>
      </c>
      <c r="H6566" s="564" t="s">
        <v>2541</v>
      </c>
      <c r="I6566" s="564" t="s">
        <v>12297</v>
      </c>
      <c r="J6566" s="564" t="s">
        <v>1069</v>
      </c>
      <c r="K6566" s="564" t="s">
        <v>2466</v>
      </c>
      <c r="L6566" s="564" t="s">
        <v>2467</v>
      </c>
      <c r="M6566" s="564" t="s">
        <v>2466</v>
      </c>
      <c r="N6566" s="564" t="s">
        <v>2439</v>
      </c>
      <c r="O6566" s="564" t="s">
        <v>12077</v>
      </c>
      <c r="P6566" s="23"/>
      <c r="Q6566" s="23"/>
      <c r="R6566" s="23"/>
      <c r="S6566" s="23"/>
      <c r="T6566" s="23"/>
      <c r="U6566" s="23"/>
      <c r="V6566" s="23"/>
      <c r="W6566" s="23"/>
      <c r="X6566" s="23"/>
      <c r="Y6566" s="23"/>
      <c r="Z6566" s="23"/>
    </row>
    <row r="6567" spans="1:26" ht="13">
      <c r="A6567" s="562" t="s">
        <v>14271</v>
      </c>
      <c r="B6567" s="563" t="s">
        <v>14272</v>
      </c>
      <c r="C6567" s="564" t="s">
        <v>2484</v>
      </c>
      <c r="D6567" s="565">
        <v>39842</v>
      </c>
      <c r="E6567" s="565">
        <v>40592</v>
      </c>
      <c r="F6567" s="566">
        <v>546400000</v>
      </c>
      <c r="G6567" s="564" t="s">
        <v>2555</v>
      </c>
      <c r="H6567" s="564" t="s">
        <v>12640</v>
      </c>
      <c r="I6567" s="564" t="s">
        <v>12099</v>
      </c>
      <c r="J6567" s="564" t="s">
        <v>1069</v>
      </c>
      <c r="K6567" s="564" t="s">
        <v>2466</v>
      </c>
      <c r="L6567" s="564" t="s">
        <v>2467</v>
      </c>
      <c r="M6567" s="564" t="s">
        <v>2466</v>
      </c>
      <c r="N6567" s="564" t="s">
        <v>2543</v>
      </c>
      <c r="O6567" s="564" t="s">
        <v>12077</v>
      </c>
      <c r="P6567" s="23"/>
      <c r="Q6567" s="23"/>
      <c r="R6567" s="23"/>
      <c r="S6567" s="23"/>
      <c r="T6567" s="23"/>
      <c r="U6567" s="23"/>
      <c r="V6567" s="23"/>
      <c r="W6567" s="23"/>
      <c r="X6567" s="23"/>
      <c r="Y6567" s="23"/>
      <c r="Z6567" s="23"/>
    </row>
    <row r="6568" spans="1:26" ht="13">
      <c r="A6568" s="562" t="s">
        <v>14273</v>
      </c>
      <c r="B6568" s="563" t="s">
        <v>14274</v>
      </c>
      <c r="C6568" s="564" t="s">
        <v>2484</v>
      </c>
      <c r="D6568" s="565">
        <v>39832</v>
      </c>
      <c r="E6568" s="565">
        <v>40633</v>
      </c>
      <c r="F6568" s="566">
        <v>444545455</v>
      </c>
      <c r="G6568" s="564" t="s">
        <v>12268</v>
      </c>
      <c r="H6568" s="564" t="s">
        <v>12120</v>
      </c>
      <c r="I6568" s="564" t="s">
        <v>14275</v>
      </c>
      <c r="J6568" s="564" t="s">
        <v>1069</v>
      </c>
      <c r="K6568" s="564" t="s">
        <v>2466</v>
      </c>
      <c r="L6568" s="564" t="s">
        <v>2467</v>
      </c>
      <c r="M6568" s="564" t="s">
        <v>2466</v>
      </c>
      <c r="N6568" s="564" t="s">
        <v>2543</v>
      </c>
      <c r="O6568" s="564" t="s">
        <v>12077</v>
      </c>
      <c r="P6568" s="23"/>
      <c r="Q6568" s="23"/>
      <c r="R6568" s="23"/>
      <c r="S6568" s="23"/>
      <c r="T6568" s="23"/>
      <c r="U6568" s="23"/>
      <c r="V6568" s="23"/>
      <c r="W6568" s="23"/>
      <c r="X6568" s="23"/>
      <c r="Y6568" s="23"/>
      <c r="Z6568" s="23"/>
    </row>
    <row r="6569" spans="1:26" ht="13">
      <c r="A6569" s="562" t="s">
        <v>14276</v>
      </c>
      <c r="B6569" s="563" t="s">
        <v>14277</v>
      </c>
      <c r="C6569" s="564" t="s">
        <v>2484</v>
      </c>
      <c r="D6569" s="565">
        <v>40176</v>
      </c>
      <c r="E6569" s="565">
        <v>40415</v>
      </c>
      <c r="F6569" s="566">
        <v>208727273</v>
      </c>
      <c r="G6569" s="564" t="s">
        <v>2323</v>
      </c>
      <c r="H6569" s="564" t="s">
        <v>12134</v>
      </c>
      <c r="I6569" s="564" t="s">
        <v>12297</v>
      </c>
      <c r="J6569" s="564" t="s">
        <v>1069</v>
      </c>
      <c r="K6569" s="564" t="s">
        <v>2466</v>
      </c>
      <c r="L6569" s="564" t="s">
        <v>2467</v>
      </c>
      <c r="M6569" s="564" t="s">
        <v>2466</v>
      </c>
      <c r="N6569" s="564" t="s">
        <v>2439</v>
      </c>
      <c r="O6569" s="564" t="s">
        <v>12077</v>
      </c>
      <c r="P6569" s="23"/>
      <c r="Q6569" s="23"/>
      <c r="R6569" s="23"/>
      <c r="S6569" s="23"/>
      <c r="T6569" s="23"/>
      <c r="U6569" s="23"/>
      <c r="V6569" s="23"/>
      <c r="W6569" s="23"/>
      <c r="X6569" s="23"/>
      <c r="Y6569" s="23"/>
      <c r="Z6569" s="23"/>
    </row>
    <row r="6570" spans="1:26" ht="13">
      <c r="A6570" s="562" t="s">
        <v>14278</v>
      </c>
      <c r="B6570" s="563" t="s">
        <v>14279</v>
      </c>
      <c r="C6570" s="564" t="s">
        <v>2484</v>
      </c>
      <c r="D6570" s="565">
        <v>40143</v>
      </c>
      <c r="E6570" s="565">
        <v>40359</v>
      </c>
      <c r="F6570" s="566">
        <v>886363637</v>
      </c>
      <c r="G6570" s="564" t="s">
        <v>12084</v>
      </c>
      <c r="H6570" s="564" t="s">
        <v>12125</v>
      </c>
      <c r="I6570" s="564" t="s">
        <v>12138</v>
      </c>
      <c r="J6570" s="564" t="s">
        <v>1069</v>
      </c>
      <c r="K6570" s="564" t="s">
        <v>2466</v>
      </c>
      <c r="L6570" s="564" t="s">
        <v>2467</v>
      </c>
      <c r="M6570" s="564" t="s">
        <v>2466</v>
      </c>
      <c r="N6570" s="564" t="s">
        <v>2543</v>
      </c>
      <c r="O6570" s="564" t="s">
        <v>12077</v>
      </c>
      <c r="P6570" s="23"/>
      <c r="Q6570" s="23"/>
      <c r="R6570" s="23"/>
      <c r="S6570" s="23"/>
      <c r="T6570" s="23"/>
      <c r="U6570" s="23"/>
      <c r="V6570" s="23"/>
      <c r="W6570" s="23"/>
      <c r="X6570" s="23"/>
      <c r="Y6570" s="23"/>
      <c r="Z6570" s="23"/>
    </row>
    <row r="6571" spans="1:26" ht="13">
      <c r="A6571" s="562" t="s">
        <v>14280</v>
      </c>
      <c r="B6571" s="563" t="s">
        <v>14281</v>
      </c>
      <c r="C6571" s="564" t="s">
        <v>2484</v>
      </c>
      <c r="D6571" s="565">
        <v>40112</v>
      </c>
      <c r="E6571" s="565">
        <v>40292</v>
      </c>
      <c r="F6571" s="566">
        <v>948750000</v>
      </c>
      <c r="G6571" s="564" t="s">
        <v>12133</v>
      </c>
      <c r="H6571" s="564" t="s">
        <v>12120</v>
      </c>
      <c r="I6571" s="564" t="s">
        <v>14282</v>
      </c>
      <c r="J6571" s="564" t="s">
        <v>1069</v>
      </c>
      <c r="K6571" s="564" t="s">
        <v>2466</v>
      </c>
      <c r="L6571" s="564" t="s">
        <v>2467</v>
      </c>
      <c r="M6571" s="564" t="s">
        <v>2466</v>
      </c>
      <c r="N6571" s="564" t="s">
        <v>2543</v>
      </c>
      <c r="O6571" s="564" t="s">
        <v>12077</v>
      </c>
      <c r="P6571" s="23"/>
      <c r="Q6571" s="23"/>
      <c r="R6571" s="23"/>
      <c r="S6571" s="23"/>
      <c r="T6571" s="23"/>
      <c r="U6571" s="23"/>
      <c r="V6571" s="23"/>
      <c r="W6571" s="23"/>
      <c r="X6571" s="23"/>
      <c r="Y6571" s="23"/>
      <c r="Z6571" s="23"/>
    </row>
    <row r="6572" spans="1:26" ht="13">
      <c r="A6572" s="562" t="s">
        <v>14283</v>
      </c>
      <c r="B6572" s="563" t="s">
        <v>14284</v>
      </c>
      <c r="C6572" s="564" t="s">
        <v>2484</v>
      </c>
      <c r="D6572" s="565">
        <v>40093</v>
      </c>
      <c r="E6572" s="565">
        <v>40213</v>
      </c>
      <c r="F6572" s="566">
        <v>319163636</v>
      </c>
      <c r="G6572" s="564" t="s">
        <v>12124</v>
      </c>
      <c r="H6572" s="564" t="s">
        <v>12096</v>
      </c>
      <c r="I6572" s="564" t="s">
        <v>13621</v>
      </c>
      <c r="J6572" s="564" t="s">
        <v>1069</v>
      </c>
      <c r="K6572" s="564" t="s">
        <v>2466</v>
      </c>
      <c r="L6572" s="564" t="s">
        <v>2467</v>
      </c>
      <c r="M6572" s="564" t="s">
        <v>2466</v>
      </c>
      <c r="N6572" s="564" t="s">
        <v>2543</v>
      </c>
      <c r="O6572" s="564" t="s">
        <v>12077</v>
      </c>
      <c r="P6572" s="23"/>
      <c r="Q6572" s="23"/>
      <c r="R6572" s="23"/>
      <c r="S6572" s="23"/>
      <c r="T6572" s="23"/>
      <c r="U6572" s="23"/>
      <c r="V6572" s="23"/>
      <c r="W6572" s="23"/>
      <c r="X6572" s="23"/>
      <c r="Y6572" s="23"/>
      <c r="Z6572" s="23"/>
    </row>
    <row r="6573" spans="1:26" ht="13">
      <c r="A6573" s="562" t="s">
        <v>14285</v>
      </c>
      <c r="B6573" s="563" t="s">
        <v>14286</v>
      </c>
      <c r="C6573" s="564" t="s">
        <v>2484</v>
      </c>
      <c r="D6573" s="565">
        <v>40085</v>
      </c>
      <c r="E6573" s="565">
        <v>40264</v>
      </c>
      <c r="F6573" s="566">
        <v>1276363636</v>
      </c>
      <c r="G6573" s="564" t="s">
        <v>12080</v>
      </c>
      <c r="H6573" s="564" t="s">
        <v>2459</v>
      </c>
      <c r="I6573" s="564" t="s">
        <v>13167</v>
      </c>
      <c r="J6573" s="564" t="s">
        <v>1069</v>
      </c>
      <c r="K6573" s="564" t="s">
        <v>2466</v>
      </c>
      <c r="L6573" s="564" t="s">
        <v>2467</v>
      </c>
      <c r="M6573" s="564" t="s">
        <v>2466</v>
      </c>
      <c r="N6573" s="564" t="s">
        <v>2543</v>
      </c>
      <c r="O6573" s="564" t="s">
        <v>12077</v>
      </c>
      <c r="P6573" s="23"/>
      <c r="Q6573" s="23"/>
      <c r="R6573" s="23"/>
      <c r="S6573" s="23"/>
      <c r="T6573" s="23"/>
      <c r="U6573" s="23"/>
      <c r="V6573" s="23"/>
      <c r="W6573" s="23"/>
      <c r="X6573" s="23"/>
      <c r="Y6573" s="23"/>
      <c r="Z6573" s="23"/>
    </row>
    <row r="6574" spans="1:26" ht="13">
      <c r="A6574" s="562" t="s">
        <v>14287</v>
      </c>
      <c r="B6574" s="563" t="s">
        <v>14288</v>
      </c>
      <c r="C6574" s="564" t="s">
        <v>2484</v>
      </c>
      <c r="D6574" s="565">
        <v>40037</v>
      </c>
      <c r="E6574" s="565">
        <v>40336</v>
      </c>
      <c r="F6574" s="566">
        <v>336363636</v>
      </c>
      <c r="G6574" s="564" t="s">
        <v>12084</v>
      </c>
      <c r="H6574" s="564" t="s">
        <v>12096</v>
      </c>
      <c r="I6574" s="564" t="s">
        <v>12297</v>
      </c>
      <c r="J6574" s="564" t="s">
        <v>1069</v>
      </c>
      <c r="K6574" s="564" t="s">
        <v>2466</v>
      </c>
      <c r="L6574" s="564" t="s">
        <v>2467</v>
      </c>
      <c r="M6574" s="564" t="s">
        <v>2466</v>
      </c>
      <c r="N6574" s="564" t="s">
        <v>2439</v>
      </c>
      <c r="O6574" s="564" t="s">
        <v>12077</v>
      </c>
      <c r="P6574" s="23"/>
      <c r="Q6574" s="23"/>
      <c r="R6574" s="23"/>
      <c r="S6574" s="23"/>
      <c r="T6574" s="23"/>
      <c r="U6574" s="23"/>
      <c r="V6574" s="23"/>
      <c r="W6574" s="23"/>
      <c r="X6574" s="23"/>
      <c r="Y6574" s="23"/>
      <c r="Z6574" s="23"/>
    </row>
    <row r="6575" spans="1:26" ht="13">
      <c r="A6575" s="562" t="s">
        <v>14289</v>
      </c>
      <c r="B6575" s="563" t="s">
        <v>14290</v>
      </c>
      <c r="C6575" s="564" t="s">
        <v>2484</v>
      </c>
      <c r="D6575" s="565">
        <v>40030</v>
      </c>
      <c r="E6575" s="565">
        <v>40329</v>
      </c>
      <c r="F6575" s="566">
        <v>1627152000</v>
      </c>
      <c r="G6575" s="564" t="s">
        <v>2346</v>
      </c>
      <c r="H6575" s="564" t="s">
        <v>12640</v>
      </c>
      <c r="I6575" s="564" t="s">
        <v>12091</v>
      </c>
      <c r="J6575" s="564" t="s">
        <v>1069</v>
      </c>
      <c r="K6575" s="564" t="s">
        <v>2466</v>
      </c>
      <c r="L6575" s="564" t="s">
        <v>2467</v>
      </c>
      <c r="M6575" s="564" t="s">
        <v>2466</v>
      </c>
      <c r="N6575" s="564" t="s">
        <v>2325</v>
      </c>
      <c r="O6575" s="564" t="s">
        <v>12077</v>
      </c>
      <c r="P6575" s="23"/>
      <c r="Q6575" s="23"/>
      <c r="R6575" s="23"/>
      <c r="S6575" s="23"/>
      <c r="T6575" s="23"/>
      <c r="U6575" s="23"/>
      <c r="V6575" s="23"/>
      <c r="W6575" s="23"/>
      <c r="X6575" s="23"/>
      <c r="Y6575" s="23"/>
      <c r="Z6575" s="23"/>
    </row>
    <row r="6576" spans="1:26" ht="13">
      <c r="A6576" s="562" t="s">
        <v>14291</v>
      </c>
      <c r="B6576" s="563" t="s">
        <v>14292</v>
      </c>
      <c r="C6576" s="564" t="s">
        <v>2484</v>
      </c>
      <c r="D6576" s="565">
        <v>40018</v>
      </c>
      <c r="E6576" s="565">
        <v>40257</v>
      </c>
      <c r="F6576" s="566">
        <v>343636364</v>
      </c>
      <c r="G6576" s="564" t="s">
        <v>2519</v>
      </c>
      <c r="H6576" s="564" t="s">
        <v>2519</v>
      </c>
      <c r="I6576" s="564" t="s">
        <v>12297</v>
      </c>
      <c r="J6576" s="564" t="s">
        <v>1069</v>
      </c>
      <c r="K6576" s="564" t="s">
        <v>2466</v>
      </c>
      <c r="L6576" s="564" t="s">
        <v>2467</v>
      </c>
      <c r="M6576" s="564" t="s">
        <v>2466</v>
      </c>
      <c r="N6576" s="564" t="s">
        <v>2439</v>
      </c>
      <c r="O6576" s="564" t="s">
        <v>12077</v>
      </c>
      <c r="P6576" s="23"/>
      <c r="Q6576" s="23"/>
      <c r="R6576" s="23"/>
      <c r="S6576" s="23"/>
      <c r="T6576" s="23"/>
      <c r="U6576" s="23"/>
      <c r="V6576" s="23"/>
      <c r="W6576" s="23"/>
      <c r="X6576" s="23"/>
      <c r="Y6576" s="23"/>
      <c r="Z6576" s="23"/>
    </row>
    <row r="6577" spans="1:26" ht="13">
      <c r="A6577" s="562" t="s">
        <v>14293</v>
      </c>
      <c r="B6577" s="563" t="s">
        <v>14294</v>
      </c>
      <c r="C6577" s="564" t="s">
        <v>2484</v>
      </c>
      <c r="D6577" s="565">
        <v>39983</v>
      </c>
      <c r="E6577" s="565">
        <v>40193</v>
      </c>
      <c r="F6577" s="566">
        <v>316363636</v>
      </c>
      <c r="G6577" s="564" t="s">
        <v>12080</v>
      </c>
      <c r="H6577" s="564" t="s">
        <v>2541</v>
      </c>
      <c r="I6577" s="564" t="s">
        <v>9792</v>
      </c>
      <c r="J6577" s="564" t="s">
        <v>1069</v>
      </c>
      <c r="K6577" s="564" t="s">
        <v>2466</v>
      </c>
      <c r="L6577" s="564" t="s">
        <v>2467</v>
      </c>
      <c r="M6577" s="564" t="s">
        <v>2466</v>
      </c>
      <c r="N6577" s="564" t="s">
        <v>2543</v>
      </c>
      <c r="O6577" s="564" t="s">
        <v>12077</v>
      </c>
      <c r="P6577" s="23"/>
      <c r="Q6577" s="23"/>
      <c r="R6577" s="23"/>
      <c r="S6577" s="23"/>
      <c r="T6577" s="23"/>
      <c r="U6577" s="23"/>
      <c r="V6577" s="23"/>
      <c r="W6577" s="23"/>
      <c r="X6577" s="23"/>
      <c r="Y6577" s="23"/>
      <c r="Z6577" s="23"/>
    </row>
    <row r="6578" spans="1:26" ht="13">
      <c r="A6578" s="562" t="s">
        <v>14295</v>
      </c>
      <c r="B6578" s="563" t="s">
        <v>14296</v>
      </c>
      <c r="C6578" s="564" t="s">
        <v>2484</v>
      </c>
      <c r="D6578" s="565">
        <v>39981</v>
      </c>
      <c r="E6578" s="565">
        <v>40219</v>
      </c>
      <c r="F6578" s="566">
        <v>186454545</v>
      </c>
      <c r="G6578" s="564" t="s">
        <v>12293</v>
      </c>
      <c r="H6578" s="564" t="s">
        <v>12096</v>
      </c>
      <c r="I6578" s="564" t="s">
        <v>14297</v>
      </c>
      <c r="J6578" s="564" t="s">
        <v>1069</v>
      </c>
      <c r="K6578" s="564" t="s">
        <v>2466</v>
      </c>
      <c r="L6578" s="564" t="s">
        <v>2467</v>
      </c>
      <c r="M6578" s="564" t="s">
        <v>2466</v>
      </c>
      <c r="N6578" s="564" t="s">
        <v>2543</v>
      </c>
      <c r="O6578" s="564" t="s">
        <v>12077</v>
      </c>
      <c r="P6578" s="23"/>
      <c r="Q6578" s="23"/>
      <c r="R6578" s="23"/>
      <c r="S6578" s="23"/>
      <c r="T6578" s="23"/>
      <c r="U6578" s="23"/>
      <c r="V6578" s="23"/>
      <c r="W6578" s="23"/>
      <c r="X6578" s="23"/>
      <c r="Y6578" s="23"/>
      <c r="Z6578" s="23"/>
    </row>
    <row r="6579" spans="1:26" ht="13">
      <c r="A6579" s="562" t="s">
        <v>14298</v>
      </c>
      <c r="B6579" s="563" t="s">
        <v>14299</v>
      </c>
      <c r="C6579" s="564" t="s">
        <v>2484</v>
      </c>
      <c r="D6579" s="565">
        <v>39966</v>
      </c>
      <c r="E6579" s="565">
        <v>40415</v>
      </c>
      <c r="F6579" s="566">
        <v>515896115</v>
      </c>
      <c r="G6579" s="564" t="s">
        <v>12124</v>
      </c>
      <c r="H6579" s="564" t="s">
        <v>12365</v>
      </c>
      <c r="I6579" s="564" t="s">
        <v>12091</v>
      </c>
      <c r="J6579" s="564" t="s">
        <v>1069</v>
      </c>
      <c r="K6579" s="564" t="s">
        <v>2466</v>
      </c>
      <c r="L6579" s="564" t="s">
        <v>2467</v>
      </c>
      <c r="M6579" s="564" t="s">
        <v>2466</v>
      </c>
      <c r="N6579" s="564" t="s">
        <v>2325</v>
      </c>
      <c r="O6579" s="564" t="s">
        <v>12077</v>
      </c>
      <c r="P6579" s="23"/>
      <c r="Q6579" s="23"/>
      <c r="R6579" s="23"/>
      <c r="S6579" s="23"/>
      <c r="T6579" s="23"/>
      <c r="U6579" s="23"/>
      <c r="V6579" s="23"/>
      <c r="W6579" s="23"/>
      <c r="X6579" s="23"/>
      <c r="Y6579" s="23"/>
      <c r="Z6579" s="23"/>
    </row>
    <row r="6580" spans="1:26" ht="13">
      <c r="A6580" s="562" t="s">
        <v>14300</v>
      </c>
      <c r="B6580" s="563" t="s">
        <v>14301</v>
      </c>
      <c r="C6580" s="564" t="s">
        <v>2484</v>
      </c>
      <c r="D6580" s="565">
        <v>39940</v>
      </c>
      <c r="E6580" s="565">
        <v>40147</v>
      </c>
      <c r="F6580" s="566">
        <v>393872727</v>
      </c>
      <c r="G6580" s="564" t="s">
        <v>2464</v>
      </c>
      <c r="H6580" s="564" t="s">
        <v>2541</v>
      </c>
      <c r="I6580" s="564" t="s">
        <v>4326</v>
      </c>
      <c r="J6580" s="564" t="s">
        <v>1069</v>
      </c>
      <c r="K6580" s="564" t="s">
        <v>2466</v>
      </c>
      <c r="L6580" s="564" t="s">
        <v>2467</v>
      </c>
      <c r="M6580" s="564" t="s">
        <v>2466</v>
      </c>
      <c r="N6580" s="564" t="s">
        <v>2325</v>
      </c>
      <c r="O6580" s="564" t="s">
        <v>12077</v>
      </c>
      <c r="P6580" s="23"/>
      <c r="Q6580" s="23"/>
      <c r="R6580" s="23"/>
      <c r="S6580" s="23"/>
      <c r="T6580" s="23"/>
      <c r="U6580" s="23"/>
      <c r="V6580" s="23"/>
      <c r="W6580" s="23"/>
      <c r="X6580" s="23"/>
      <c r="Y6580" s="23"/>
      <c r="Z6580" s="23"/>
    </row>
    <row r="6581" spans="1:26" ht="13">
      <c r="A6581" s="562" t="s">
        <v>14302</v>
      </c>
      <c r="B6581" s="563" t="s">
        <v>14303</v>
      </c>
      <c r="C6581" s="564" t="s">
        <v>2484</v>
      </c>
      <c r="D6581" s="565">
        <v>39946</v>
      </c>
      <c r="E6581" s="565">
        <v>40486</v>
      </c>
      <c r="F6581" s="566">
        <v>349772727</v>
      </c>
      <c r="G6581" s="564" t="s">
        <v>12075</v>
      </c>
      <c r="H6581" s="564" t="s">
        <v>12640</v>
      </c>
      <c r="I6581" s="564" t="s">
        <v>14304</v>
      </c>
      <c r="J6581" s="564" t="s">
        <v>1069</v>
      </c>
      <c r="K6581" s="564" t="s">
        <v>2466</v>
      </c>
      <c r="L6581" s="564" t="s">
        <v>2467</v>
      </c>
      <c r="M6581" s="564" t="s">
        <v>2466</v>
      </c>
      <c r="N6581" s="564" t="s">
        <v>2543</v>
      </c>
      <c r="O6581" s="564" t="s">
        <v>12077</v>
      </c>
      <c r="P6581" s="23"/>
      <c r="Q6581" s="23"/>
      <c r="R6581" s="23"/>
      <c r="S6581" s="23"/>
      <c r="T6581" s="23"/>
      <c r="U6581" s="23"/>
      <c r="V6581" s="23"/>
      <c r="W6581" s="23"/>
      <c r="X6581" s="23"/>
      <c r="Y6581" s="23"/>
      <c r="Z6581" s="23"/>
    </row>
    <row r="6582" spans="1:26" ht="13">
      <c r="A6582" s="562" t="s">
        <v>14305</v>
      </c>
      <c r="B6582" s="563" t="s">
        <v>14306</v>
      </c>
      <c r="C6582" s="564" t="s">
        <v>2484</v>
      </c>
      <c r="D6582" s="565">
        <v>39934</v>
      </c>
      <c r="E6582" s="565">
        <v>40633</v>
      </c>
      <c r="F6582" s="566">
        <v>887272727</v>
      </c>
      <c r="G6582" s="564" t="s">
        <v>13466</v>
      </c>
      <c r="H6582" s="564" t="s">
        <v>12640</v>
      </c>
      <c r="I6582" s="564" t="s">
        <v>14307</v>
      </c>
      <c r="J6582" s="564" t="s">
        <v>1069</v>
      </c>
      <c r="K6582" s="564" t="s">
        <v>2466</v>
      </c>
      <c r="L6582" s="564" t="s">
        <v>2467</v>
      </c>
      <c r="M6582" s="564" t="s">
        <v>2466</v>
      </c>
      <c r="N6582" s="564" t="s">
        <v>2543</v>
      </c>
      <c r="O6582" s="564" t="s">
        <v>12077</v>
      </c>
      <c r="P6582" s="23"/>
      <c r="Q6582" s="23"/>
      <c r="R6582" s="23"/>
      <c r="S6582" s="23"/>
      <c r="T6582" s="23"/>
      <c r="U6582" s="23"/>
      <c r="V6582" s="23"/>
      <c r="W6582" s="23"/>
      <c r="X6582" s="23"/>
      <c r="Y6582" s="23"/>
      <c r="Z6582" s="23"/>
    </row>
    <row r="6583" spans="1:26" ht="13">
      <c r="A6583" s="562" t="s">
        <v>14308</v>
      </c>
      <c r="B6583" s="563" t="s">
        <v>14309</v>
      </c>
      <c r="C6583" s="564" t="s">
        <v>2484</v>
      </c>
      <c r="D6583" s="565">
        <v>39917</v>
      </c>
      <c r="E6583" s="565">
        <v>40217</v>
      </c>
      <c r="F6583" s="566">
        <v>359090909</v>
      </c>
      <c r="G6583" s="564" t="s">
        <v>12075</v>
      </c>
      <c r="H6583" s="564" t="s">
        <v>12640</v>
      </c>
      <c r="I6583" s="564" t="s">
        <v>2438</v>
      </c>
      <c r="J6583" s="564" t="s">
        <v>1069</v>
      </c>
      <c r="K6583" s="564" t="s">
        <v>2466</v>
      </c>
      <c r="L6583" s="564" t="s">
        <v>2467</v>
      </c>
      <c r="M6583" s="564" t="s">
        <v>2466</v>
      </c>
      <c r="N6583" s="564" t="s">
        <v>2439</v>
      </c>
      <c r="O6583" s="564" t="s">
        <v>12077</v>
      </c>
      <c r="P6583" s="23"/>
      <c r="Q6583" s="23"/>
      <c r="R6583" s="23"/>
      <c r="S6583" s="23"/>
      <c r="T6583" s="23"/>
      <c r="U6583" s="23"/>
      <c r="V6583" s="23"/>
      <c r="W6583" s="23"/>
      <c r="X6583" s="23"/>
      <c r="Y6583" s="23"/>
      <c r="Z6583" s="23"/>
    </row>
    <row r="6584" spans="1:26" ht="13">
      <c r="A6584" s="562" t="s">
        <v>14310</v>
      </c>
      <c r="B6584" s="563" t="s">
        <v>14311</v>
      </c>
      <c r="C6584" s="564" t="s">
        <v>2484</v>
      </c>
      <c r="D6584" s="565">
        <v>39916</v>
      </c>
      <c r="E6584" s="565">
        <v>40170</v>
      </c>
      <c r="F6584" s="566">
        <v>493354681</v>
      </c>
      <c r="G6584" s="564" t="s">
        <v>12592</v>
      </c>
      <c r="H6584" s="564" t="s">
        <v>12096</v>
      </c>
      <c r="I6584" s="564" t="s">
        <v>14312</v>
      </c>
      <c r="J6584" s="564" t="s">
        <v>1069</v>
      </c>
      <c r="K6584" s="564" t="s">
        <v>2466</v>
      </c>
      <c r="L6584" s="564" t="s">
        <v>2467</v>
      </c>
      <c r="M6584" s="564" t="s">
        <v>2466</v>
      </c>
      <c r="N6584" s="564" t="s">
        <v>2543</v>
      </c>
      <c r="O6584" s="564" t="s">
        <v>12077</v>
      </c>
      <c r="P6584" s="23"/>
      <c r="Q6584" s="23"/>
      <c r="R6584" s="23"/>
      <c r="S6584" s="23"/>
      <c r="T6584" s="23"/>
      <c r="U6584" s="23"/>
      <c r="V6584" s="23"/>
      <c r="W6584" s="23"/>
      <c r="X6584" s="23"/>
      <c r="Y6584" s="23"/>
      <c r="Z6584" s="23"/>
    </row>
    <row r="6585" spans="1:26" ht="13">
      <c r="A6585" s="562" t="s">
        <v>14313</v>
      </c>
      <c r="B6585" s="563" t="s">
        <v>14314</v>
      </c>
      <c r="C6585" s="564" t="s">
        <v>2484</v>
      </c>
      <c r="D6585" s="565">
        <v>39912</v>
      </c>
      <c r="E6585" s="565">
        <v>40091</v>
      </c>
      <c r="F6585" s="566">
        <v>296590909</v>
      </c>
      <c r="G6585" s="564" t="s">
        <v>12364</v>
      </c>
      <c r="H6585" s="564" t="s">
        <v>2541</v>
      </c>
      <c r="I6585" s="564" t="s">
        <v>14315</v>
      </c>
      <c r="J6585" s="564" t="s">
        <v>1069</v>
      </c>
      <c r="K6585" s="564" t="s">
        <v>2466</v>
      </c>
      <c r="L6585" s="564" t="s">
        <v>2467</v>
      </c>
      <c r="M6585" s="564" t="s">
        <v>2466</v>
      </c>
      <c r="N6585" s="564" t="s">
        <v>2325</v>
      </c>
      <c r="O6585" s="564" t="s">
        <v>12077</v>
      </c>
      <c r="P6585" s="23"/>
      <c r="Q6585" s="23"/>
      <c r="R6585" s="23"/>
      <c r="S6585" s="23"/>
      <c r="T6585" s="23"/>
      <c r="U6585" s="23"/>
      <c r="V6585" s="23"/>
      <c r="W6585" s="23"/>
      <c r="X6585" s="23"/>
      <c r="Y6585" s="23"/>
      <c r="Z6585" s="23"/>
    </row>
    <row r="6586" spans="1:26" ht="13">
      <c r="A6586" s="562" t="s">
        <v>14316</v>
      </c>
      <c r="B6586" s="563" t="s">
        <v>14317</v>
      </c>
      <c r="C6586" s="564" t="s">
        <v>2484</v>
      </c>
      <c r="D6586" s="565">
        <v>39909</v>
      </c>
      <c r="E6586" s="565">
        <v>40178</v>
      </c>
      <c r="F6586" s="566">
        <v>733854545</v>
      </c>
      <c r="G6586" s="564" t="s">
        <v>13134</v>
      </c>
      <c r="H6586" s="564" t="s">
        <v>12096</v>
      </c>
      <c r="I6586" s="564" t="s">
        <v>14318</v>
      </c>
      <c r="J6586" s="564" t="s">
        <v>1069</v>
      </c>
      <c r="K6586" s="564" t="s">
        <v>2466</v>
      </c>
      <c r="L6586" s="564" t="s">
        <v>2467</v>
      </c>
      <c r="M6586" s="564" t="s">
        <v>2466</v>
      </c>
      <c r="N6586" s="564" t="s">
        <v>2543</v>
      </c>
      <c r="O6586" s="564" t="s">
        <v>12077</v>
      </c>
      <c r="P6586" s="23"/>
      <c r="Q6586" s="23"/>
      <c r="R6586" s="23"/>
      <c r="S6586" s="23"/>
      <c r="T6586" s="23"/>
      <c r="U6586" s="23"/>
      <c r="V6586" s="23"/>
      <c r="W6586" s="23"/>
      <c r="X6586" s="23"/>
      <c r="Y6586" s="23"/>
      <c r="Z6586" s="23"/>
    </row>
    <row r="6587" spans="1:26" ht="13">
      <c r="A6587" s="562" t="s">
        <v>14319</v>
      </c>
      <c r="B6587" s="563" t="s">
        <v>14320</v>
      </c>
      <c r="C6587" s="564" t="s">
        <v>2484</v>
      </c>
      <c r="D6587" s="565">
        <v>39897</v>
      </c>
      <c r="E6587" s="565">
        <v>40284</v>
      </c>
      <c r="F6587" s="566">
        <v>238966637</v>
      </c>
      <c r="G6587" s="564" t="s">
        <v>12129</v>
      </c>
      <c r="H6587" s="564" t="s">
        <v>12125</v>
      </c>
      <c r="I6587" s="564" t="s">
        <v>14321</v>
      </c>
      <c r="J6587" s="564" t="s">
        <v>1069</v>
      </c>
      <c r="K6587" s="564" t="s">
        <v>2466</v>
      </c>
      <c r="L6587" s="564" t="s">
        <v>2467</v>
      </c>
      <c r="M6587" s="564" t="s">
        <v>2466</v>
      </c>
      <c r="N6587" s="564" t="s">
        <v>2543</v>
      </c>
      <c r="O6587" s="564" t="s">
        <v>12077</v>
      </c>
      <c r="P6587" s="23"/>
      <c r="Q6587" s="23"/>
      <c r="R6587" s="23"/>
      <c r="S6587" s="23"/>
      <c r="T6587" s="23"/>
      <c r="U6587" s="23"/>
      <c r="V6587" s="23"/>
      <c r="W6587" s="23"/>
      <c r="X6587" s="23"/>
      <c r="Y6587" s="23"/>
      <c r="Z6587" s="23"/>
    </row>
    <row r="6588" spans="1:26" ht="13">
      <c r="A6588" s="562" t="s">
        <v>14322</v>
      </c>
      <c r="B6588" s="563" t="s">
        <v>14323</v>
      </c>
      <c r="C6588" s="564" t="s">
        <v>2484</v>
      </c>
      <c r="D6588" s="565">
        <v>39895</v>
      </c>
      <c r="E6588" s="565">
        <v>40135</v>
      </c>
      <c r="F6588" s="566">
        <v>636122455</v>
      </c>
      <c r="G6588" s="564" t="s">
        <v>12293</v>
      </c>
      <c r="H6588" s="564" t="s">
        <v>2541</v>
      </c>
      <c r="I6588" s="564" t="s">
        <v>12297</v>
      </c>
      <c r="J6588" s="564" t="s">
        <v>1069</v>
      </c>
      <c r="K6588" s="564" t="s">
        <v>2466</v>
      </c>
      <c r="L6588" s="564" t="s">
        <v>2467</v>
      </c>
      <c r="M6588" s="564" t="s">
        <v>2466</v>
      </c>
      <c r="N6588" s="564" t="s">
        <v>2439</v>
      </c>
      <c r="O6588" s="564" t="s">
        <v>12077</v>
      </c>
      <c r="P6588" s="23"/>
      <c r="Q6588" s="23"/>
      <c r="R6588" s="23"/>
      <c r="S6588" s="23"/>
      <c r="T6588" s="23"/>
      <c r="U6588" s="23"/>
      <c r="V6588" s="23"/>
      <c r="W6588" s="23"/>
      <c r="X6588" s="23"/>
      <c r="Y6588" s="23"/>
      <c r="Z6588" s="23"/>
    </row>
    <row r="6589" spans="1:26" ht="13">
      <c r="A6589" s="562" t="s">
        <v>14324</v>
      </c>
      <c r="B6589" s="563" t="s">
        <v>14325</v>
      </c>
      <c r="C6589" s="564" t="s">
        <v>2484</v>
      </c>
      <c r="D6589" s="565">
        <v>39895</v>
      </c>
      <c r="E6589" s="565">
        <v>40229</v>
      </c>
      <c r="F6589" s="566">
        <v>245454545</v>
      </c>
      <c r="G6589" s="564" t="s">
        <v>2555</v>
      </c>
      <c r="H6589" s="564" t="s">
        <v>2323</v>
      </c>
      <c r="I6589" s="564" t="s">
        <v>2542</v>
      </c>
      <c r="J6589" s="564" t="s">
        <v>1069</v>
      </c>
      <c r="K6589" s="564" t="s">
        <v>2466</v>
      </c>
      <c r="L6589" s="564" t="s">
        <v>2467</v>
      </c>
      <c r="M6589" s="564" t="s">
        <v>2466</v>
      </c>
      <c r="N6589" s="564" t="s">
        <v>2543</v>
      </c>
      <c r="O6589" s="564" t="s">
        <v>12077</v>
      </c>
      <c r="P6589" s="23"/>
      <c r="Q6589" s="23"/>
      <c r="R6589" s="23"/>
      <c r="S6589" s="23"/>
      <c r="T6589" s="23"/>
      <c r="U6589" s="23"/>
      <c r="V6589" s="23"/>
      <c r="W6589" s="23"/>
      <c r="X6589" s="23"/>
      <c r="Y6589" s="23"/>
      <c r="Z6589" s="23"/>
    </row>
    <row r="6590" spans="1:26" ht="13">
      <c r="A6590" s="562" t="s">
        <v>14326</v>
      </c>
      <c r="B6590" s="563" t="s">
        <v>14327</v>
      </c>
      <c r="C6590" s="564" t="s">
        <v>2484</v>
      </c>
      <c r="D6590" s="565">
        <v>39885</v>
      </c>
      <c r="E6590" s="565">
        <v>40056</v>
      </c>
      <c r="F6590" s="566">
        <v>813126698</v>
      </c>
      <c r="G6590" s="564" t="s">
        <v>12133</v>
      </c>
      <c r="H6590" s="564" t="s">
        <v>12640</v>
      </c>
      <c r="I6590" s="564" t="s">
        <v>13131</v>
      </c>
      <c r="J6590" s="564" t="s">
        <v>1069</v>
      </c>
      <c r="K6590" s="564" t="s">
        <v>2466</v>
      </c>
      <c r="L6590" s="564" t="s">
        <v>2467</v>
      </c>
      <c r="M6590" s="564" t="s">
        <v>2466</v>
      </c>
      <c r="N6590" s="564" t="s">
        <v>1082</v>
      </c>
      <c r="O6590" s="564" t="s">
        <v>12077</v>
      </c>
      <c r="P6590" s="23"/>
      <c r="Q6590" s="23"/>
      <c r="R6590" s="23"/>
      <c r="S6590" s="23"/>
      <c r="T6590" s="23"/>
      <c r="U6590" s="23"/>
      <c r="V6590" s="23"/>
      <c r="W6590" s="23"/>
      <c r="X6590" s="23"/>
      <c r="Y6590" s="23"/>
      <c r="Z6590" s="23"/>
    </row>
    <row r="6591" spans="1:26" ht="13">
      <c r="A6591" s="562" t="s">
        <v>14328</v>
      </c>
      <c r="B6591" s="563" t="s">
        <v>14329</v>
      </c>
      <c r="C6591" s="564" t="s">
        <v>2484</v>
      </c>
      <c r="D6591" s="565">
        <v>39890</v>
      </c>
      <c r="E6591" s="565">
        <v>40120</v>
      </c>
      <c r="F6591" s="566">
        <v>885354668</v>
      </c>
      <c r="G6591" s="564" t="s">
        <v>12586</v>
      </c>
      <c r="H6591" s="564" t="s">
        <v>12096</v>
      </c>
      <c r="I6591" s="564" t="s">
        <v>12297</v>
      </c>
      <c r="J6591" s="564" t="s">
        <v>1069</v>
      </c>
      <c r="K6591" s="564" t="s">
        <v>2466</v>
      </c>
      <c r="L6591" s="564" t="s">
        <v>2467</v>
      </c>
      <c r="M6591" s="564" t="s">
        <v>2466</v>
      </c>
      <c r="N6591" s="564" t="s">
        <v>2439</v>
      </c>
      <c r="O6591" s="564" t="s">
        <v>12077</v>
      </c>
      <c r="P6591" s="23"/>
      <c r="Q6591" s="23"/>
      <c r="R6591" s="23"/>
      <c r="S6591" s="23"/>
      <c r="T6591" s="23"/>
      <c r="U6591" s="23"/>
      <c r="V6591" s="23"/>
      <c r="W6591" s="23"/>
      <c r="X6591" s="23"/>
      <c r="Y6591" s="23"/>
      <c r="Z6591" s="23"/>
    </row>
    <row r="6592" spans="1:26" ht="13">
      <c r="A6592" s="562" t="s">
        <v>14330</v>
      </c>
      <c r="B6592" s="563" t="s">
        <v>14331</v>
      </c>
      <c r="C6592" s="564" t="s">
        <v>2484</v>
      </c>
      <c r="D6592" s="565">
        <v>39869</v>
      </c>
      <c r="E6592" s="565">
        <v>40141</v>
      </c>
      <c r="F6592" s="566">
        <v>110090909</v>
      </c>
      <c r="G6592" s="564" t="s">
        <v>12080</v>
      </c>
      <c r="H6592" s="564" t="s">
        <v>12096</v>
      </c>
      <c r="I6592" s="564" t="s">
        <v>12121</v>
      </c>
      <c r="J6592" s="564" t="s">
        <v>1069</v>
      </c>
      <c r="K6592" s="564" t="s">
        <v>2466</v>
      </c>
      <c r="L6592" s="564" t="s">
        <v>2467</v>
      </c>
      <c r="M6592" s="564" t="s">
        <v>2466</v>
      </c>
      <c r="N6592" s="564" t="s">
        <v>2543</v>
      </c>
      <c r="O6592" s="564" t="s">
        <v>12077</v>
      </c>
      <c r="P6592" s="23"/>
      <c r="Q6592" s="23"/>
      <c r="R6592" s="23"/>
      <c r="S6592" s="23"/>
      <c r="T6592" s="23"/>
      <c r="U6592" s="23"/>
      <c r="V6592" s="23"/>
      <c r="W6592" s="23"/>
      <c r="X6592" s="23"/>
      <c r="Y6592" s="23"/>
      <c r="Z6592" s="23"/>
    </row>
    <row r="6593" spans="1:26" ht="13">
      <c r="A6593" s="562" t="s">
        <v>14332</v>
      </c>
      <c r="B6593" s="563" t="s">
        <v>14333</v>
      </c>
      <c r="C6593" s="564" t="s">
        <v>2484</v>
      </c>
      <c r="D6593" s="565">
        <v>39864</v>
      </c>
      <c r="E6593" s="565">
        <v>40094</v>
      </c>
      <c r="F6593" s="566">
        <v>231286236</v>
      </c>
      <c r="G6593" s="564" t="s">
        <v>12586</v>
      </c>
      <c r="H6593" s="564" t="s">
        <v>12096</v>
      </c>
      <c r="I6593" s="564" t="s">
        <v>12297</v>
      </c>
      <c r="J6593" s="564" t="s">
        <v>1069</v>
      </c>
      <c r="K6593" s="564" t="s">
        <v>2466</v>
      </c>
      <c r="L6593" s="564" t="s">
        <v>2467</v>
      </c>
      <c r="M6593" s="564" t="s">
        <v>2466</v>
      </c>
      <c r="N6593" s="564" t="s">
        <v>2439</v>
      </c>
      <c r="O6593" s="564" t="s">
        <v>12077</v>
      </c>
      <c r="P6593" s="23"/>
      <c r="Q6593" s="23"/>
      <c r="R6593" s="23"/>
      <c r="S6593" s="23"/>
      <c r="T6593" s="23"/>
      <c r="U6593" s="23"/>
      <c r="V6593" s="23"/>
      <c r="W6593" s="23"/>
      <c r="X6593" s="23"/>
      <c r="Y6593" s="23"/>
      <c r="Z6593" s="23"/>
    </row>
    <row r="6594" spans="1:26" ht="13">
      <c r="A6594" s="562" t="s">
        <v>14334</v>
      </c>
      <c r="B6594" s="563" t="s">
        <v>14335</v>
      </c>
      <c r="C6594" s="564" t="s">
        <v>6860</v>
      </c>
      <c r="D6594" s="565">
        <v>40046</v>
      </c>
      <c r="E6594" s="565">
        <v>40161</v>
      </c>
      <c r="F6594" s="566">
        <v>812000000</v>
      </c>
      <c r="G6594" s="564" t="s">
        <v>2370</v>
      </c>
      <c r="H6594" s="564" t="s">
        <v>1640</v>
      </c>
      <c r="I6594" s="564" t="s">
        <v>14336</v>
      </c>
      <c r="J6594" s="564" t="s">
        <v>1069</v>
      </c>
      <c r="K6594" s="564" t="s">
        <v>1209</v>
      </c>
      <c r="L6594" s="564" t="s">
        <v>1390</v>
      </c>
      <c r="M6594" s="564" t="s">
        <v>1390</v>
      </c>
      <c r="N6594" s="564" t="s">
        <v>1082</v>
      </c>
      <c r="O6594" s="564" t="s">
        <v>13894</v>
      </c>
      <c r="P6594" s="23"/>
      <c r="Q6594" s="23"/>
      <c r="R6594" s="23"/>
      <c r="S6594" s="23"/>
      <c r="T6594" s="23"/>
      <c r="U6594" s="23"/>
      <c r="V6594" s="23"/>
      <c r="W6594" s="23"/>
      <c r="X6594" s="23"/>
      <c r="Y6594" s="23"/>
      <c r="Z6594" s="23"/>
    </row>
    <row r="6595" spans="1:26" ht="13">
      <c r="A6595" s="562" t="s">
        <v>14337</v>
      </c>
      <c r="B6595" s="563" t="s">
        <v>14338</v>
      </c>
      <c r="C6595" s="564" t="s">
        <v>2191</v>
      </c>
      <c r="D6595" s="565">
        <v>39988</v>
      </c>
      <c r="E6595" s="565">
        <v>40127</v>
      </c>
      <c r="F6595" s="566">
        <v>336000000</v>
      </c>
      <c r="G6595" s="564" t="s">
        <v>2378</v>
      </c>
      <c r="H6595" s="564" t="s">
        <v>1145</v>
      </c>
      <c r="I6595" s="564" t="s">
        <v>9792</v>
      </c>
      <c r="J6595" s="564" t="s">
        <v>1069</v>
      </c>
      <c r="K6595" s="564" t="s">
        <v>1198</v>
      </c>
      <c r="L6595" s="564" t="s">
        <v>1390</v>
      </c>
      <c r="M6595" s="564" t="s">
        <v>1390</v>
      </c>
      <c r="N6595" s="564" t="s">
        <v>2543</v>
      </c>
      <c r="O6595" s="564" t="s">
        <v>13894</v>
      </c>
      <c r="P6595" s="23"/>
      <c r="Q6595" s="23"/>
      <c r="R6595" s="23"/>
      <c r="S6595" s="23"/>
      <c r="T6595" s="23"/>
      <c r="U6595" s="23"/>
      <c r="V6595" s="23"/>
      <c r="W6595" s="23"/>
      <c r="X6595" s="23"/>
      <c r="Y6595" s="23"/>
      <c r="Z6595" s="23"/>
    </row>
    <row r="6596" spans="1:26" ht="13">
      <c r="A6596" s="562" t="s">
        <v>14339</v>
      </c>
      <c r="B6596" s="563" t="s">
        <v>14340</v>
      </c>
      <c r="C6596" s="564" t="s">
        <v>2191</v>
      </c>
      <c r="D6596" s="565">
        <v>39963</v>
      </c>
      <c r="E6596" s="565">
        <v>40388</v>
      </c>
      <c r="F6596" s="566">
        <v>2100000000</v>
      </c>
      <c r="G6596" s="564" t="s">
        <v>13069</v>
      </c>
      <c r="H6596" s="564" t="s">
        <v>1145</v>
      </c>
      <c r="I6596" s="564" t="s">
        <v>14341</v>
      </c>
      <c r="J6596" s="564" t="s">
        <v>1069</v>
      </c>
      <c r="K6596" s="564" t="s">
        <v>1070</v>
      </c>
      <c r="L6596" s="564" t="s">
        <v>1390</v>
      </c>
      <c r="M6596" s="564" t="s">
        <v>1390</v>
      </c>
      <c r="N6596" s="564" t="s">
        <v>1082</v>
      </c>
      <c r="O6596" s="564" t="s">
        <v>13894</v>
      </c>
      <c r="P6596" s="23"/>
      <c r="Q6596" s="23"/>
      <c r="R6596" s="23"/>
      <c r="S6596" s="23"/>
      <c r="T6596" s="23"/>
      <c r="U6596" s="23"/>
      <c r="V6596" s="23"/>
      <c r="W6596" s="23"/>
      <c r="X6596" s="23"/>
      <c r="Y6596" s="23"/>
      <c r="Z6596" s="23"/>
    </row>
    <row r="6597" spans="1:26" ht="13">
      <c r="A6597" s="562" t="s">
        <v>14342</v>
      </c>
      <c r="B6597" s="563" t="s">
        <v>14343</v>
      </c>
      <c r="C6597" s="564" t="s">
        <v>2191</v>
      </c>
      <c r="D6597" s="565">
        <v>39848</v>
      </c>
      <c r="E6597" s="565">
        <v>40147</v>
      </c>
      <c r="F6597" s="566">
        <v>360000000</v>
      </c>
      <c r="G6597" s="564" t="s">
        <v>2561</v>
      </c>
      <c r="H6597" s="564" t="s">
        <v>1187</v>
      </c>
      <c r="I6597" s="564" t="s">
        <v>14344</v>
      </c>
      <c r="J6597" s="564" t="s">
        <v>1069</v>
      </c>
      <c r="K6597" s="564" t="s">
        <v>1070</v>
      </c>
      <c r="L6597" s="564" t="s">
        <v>1390</v>
      </c>
      <c r="M6597" s="564" t="s">
        <v>1390</v>
      </c>
      <c r="N6597" s="564" t="s">
        <v>1082</v>
      </c>
      <c r="O6597" s="564" t="s">
        <v>13894</v>
      </c>
      <c r="P6597" s="23"/>
      <c r="Q6597" s="23"/>
      <c r="R6597" s="23"/>
      <c r="S6597" s="23"/>
      <c r="T6597" s="23"/>
      <c r="U6597" s="23"/>
      <c r="V6597" s="23"/>
      <c r="W6597" s="23"/>
      <c r="X6597" s="23"/>
      <c r="Y6597" s="23"/>
      <c r="Z6597" s="23"/>
    </row>
    <row r="6598" spans="1:26" ht="13">
      <c r="A6598" s="562" t="s">
        <v>14345</v>
      </c>
      <c r="B6598" s="563" t="s">
        <v>14346</v>
      </c>
      <c r="C6598" s="564" t="s">
        <v>2406</v>
      </c>
      <c r="D6598" s="565">
        <v>39753</v>
      </c>
      <c r="E6598" s="565">
        <v>39994</v>
      </c>
      <c r="F6598" s="566">
        <v>693724065</v>
      </c>
      <c r="G6598" s="564" t="s">
        <v>754</v>
      </c>
      <c r="H6598" s="564" t="s">
        <v>1640</v>
      </c>
      <c r="I6598" s="564" t="s">
        <v>7259</v>
      </c>
      <c r="J6598" s="564" t="s">
        <v>1069</v>
      </c>
      <c r="K6598" s="564" t="s">
        <v>1070</v>
      </c>
      <c r="L6598" s="564" t="s">
        <v>1390</v>
      </c>
      <c r="M6598" s="564" t="s">
        <v>1390</v>
      </c>
      <c r="N6598" s="564" t="s">
        <v>1082</v>
      </c>
      <c r="O6598" s="564" t="s">
        <v>2512</v>
      </c>
      <c r="P6598" s="23"/>
      <c r="Q6598" s="23"/>
      <c r="R6598" s="23"/>
      <c r="S6598" s="23"/>
      <c r="T6598" s="23"/>
      <c r="U6598" s="23"/>
      <c r="V6598" s="23"/>
      <c r="W6598" s="23"/>
      <c r="X6598" s="23"/>
      <c r="Y6598" s="23"/>
      <c r="Z6598" s="23"/>
    </row>
    <row r="6599" spans="1:26" ht="13">
      <c r="A6599" s="562" t="s">
        <v>14347</v>
      </c>
      <c r="B6599" s="563" t="s">
        <v>14348</v>
      </c>
      <c r="C6599" s="564" t="s">
        <v>2484</v>
      </c>
      <c r="D6599" s="565">
        <v>39533</v>
      </c>
      <c r="E6599" s="565">
        <v>39983</v>
      </c>
      <c r="F6599" s="566">
        <v>475272727</v>
      </c>
      <c r="G6599" s="564" t="s">
        <v>12080</v>
      </c>
      <c r="H6599" s="564" t="s">
        <v>12096</v>
      </c>
      <c r="I6599" s="564" t="s">
        <v>13436</v>
      </c>
      <c r="J6599" s="564" t="s">
        <v>1069</v>
      </c>
      <c r="K6599" s="564" t="s">
        <v>2466</v>
      </c>
      <c r="L6599" s="564" t="s">
        <v>2467</v>
      </c>
      <c r="M6599" s="564" t="s">
        <v>2466</v>
      </c>
      <c r="N6599" s="564" t="s">
        <v>2543</v>
      </c>
      <c r="O6599" s="564" t="s">
        <v>12077</v>
      </c>
      <c r="P6599" s="23"/>
      <c r="Q6599" s="23"/>
      <c r="R6599" s="23"/>
      <c r="S6599" s="23"/>
      <c r="T6599" s="23"/>
      <c r="U6599" s="23"/>
      <c r="V6599" s="23"/>
      <c r="W6599" s="23"/>
      <c r="X6599" s="23"/>
      <c r="Y6599" s="23"/>
      <c r="Z6599" s="23"/>
    </row>
    <row r="6600" spans="1:26" ht="13">
      <c r="A6600" s="562" t="s">
        <v>14349</v>
      </c>
      <c r="B6600" s="563" t="s">
        <v>14350</v>
      </c>
      <c r="C6600" s="564" t="s">
        <v>2484</v>
      </c>
      <c r="D6600" s="565">
        <v>39525</v>
      </c>
      <c r="E6600" s="565">
        <v>39795</v>
      </c>
      <c r="F6600" s="566">
        <v>572727273</v>
      </c>
      <c r="G6600" s="564" t="s">
        <v>13379</v>
      </c>
      <c r="H6600" s="564" t="s">
        <v>12096</v>
      </c>
      <c r="I6600" s="564" t="s">
        <v>12297</v>
      </c>
      <c r="J6600" s="564" t="s">
        <v>1069</v>
      </c>
      <c r="K6600" s="564" t="s">
        <v>2466</v>
      </c>
      <c r="L6600" s="564" t="s">
        <v>2467</v>
      </c>
      <c r="M6600" s="564" t="s">
        <v>2466</v>
      </c>
      <c r="N6600" s="564" t="s">
        <v>2439</v>
      </c>
      <c r="O6600" s="564" t="s">
        <v>12077</v>
      </c>
      <c r="P6600" s="23"/>
      <c r="Q6600" s="23"/>
      <c r="R6600" s="23"/>
      <c r="S6600" s="23"/>
      <c r="T6600" s="23"/>
      <c r="U6600" s="23"/>
      <c r="V6600" s="23"/>
      <c r="W6600" s="23"/>
      <c r="X6600" s="23"/>
      <c r="Y6600" s="23"/>
      <c r="Z6600" s="23"/>
    </row>
    <row r="6601" spans="1:26" ht="13">
      <c r="A6601" s="562" t="s">
        <v>14351</v>
      </c>
      <c r="B6601" s="563" t="s">
        <v>14352</v>
      </c>
      <c r="C6601" s="564" t="s">
        <v>2484</v>
      </c>
      <c r="D6601" s="565">
        <v>39531</v>
      </c>
      <c r="E6601" s="565">
        <v>39796</v>
      </c>
      <c r="F6601" s="566">
        <v>522355909</v>
      </c>
      <c r="G6601" s="564" t="s">
        <v>12586</v>
      </c>
      <c r="H6601" s="564" t="s">
        <v>12096</v>
      </c>
      <c r="I6601" s="564" t="s">
        <v>12297</v>
      </c>
      <c r="J6601" s="564" t="s">
        <v>1069</v>
      </c>
      <c r="K6601" s="564" t="s">
        <v>2466</v>
      </c>
      <c r="L6601" s="564" t="s">
        <v>2467</v>
      </c>
      <c r="M6601" s="564" t="s">
        <v>2466</v>
      </c>
      <c r="N6601" s="564" t="s">
        <v>2439</v>
      </c>
      <c r="O6601" s="564" t="s">
        <v>12077</v>
      </c>
      <c r="P6601" s="23"/>
      <c r="Q6601" s="23"/>
      <c r="R6601" s="23"/>
      <c r="S6601" s="23"/>
      <c r="T6601" s="23"/>
      <c r="U6601" s="23"/>
      <c r="V6601" s="23"/>
      <c r="W6601" s="23"/>
      <c r="X6601" s="23"/>
      <c r="Y6601" s="23"/>
      <c r="Z6601" s="23"/>
    </row>
    <row r="6602" spans="1:26" ht="13">
      <c r="A6602" s="562" t="s">
        <v>14353</v>
      </c>
      <c r="B6602" s="563" t="s">
        <v>14354</v>
      </c>
      <c r="C6602" s="564" t="s">
        <v>2484</v>
      </c>
      <c r="D6602" s="565">
        <v>39519</v>
      </c>
      <c r="E6602" s="565">
        <v>39789</v>
      </c>
      <c r="F6602" s="566">
        <v>269674037</v>
      </c>
      <c r="G6602" s="564" t="s">
        <v>12586</v>
      </c>
      <c r="H6602" s="564" t="s">
        <v>2541</v>
      </c>
      <c r="I6602" s="564" t="s">
        <v>12297</v>
      </c>
      <c r="J6602" s="564" t="s">
        <v>1069</v>
      </c>
      <c r="K6602" s="564" t="s">
        <v>2466</v>
      </c>
      <c r="L6602" s="564" t="s">
        <v>2467</v>
      </c>
      <c r="M6602" s="564" t="s">
        <v>2466</v>
      </c>
      <c r="N6602" s="564" t="s">
        <v>2439</v>
      </c>
      <c r="O6602" s="564" t="s">
        <v>12077</v>
      </c>
      <c r="P6602" s="23"/>
      <c r="Q6602" s="23"/>
      <c r="R6602" s="23"/>
      <c r="S6602" s="23"/>
      <c r="T6602" s="23"/>
      <c r="U6602" s="23"/>
      <c r="V6602" s="23"/>
      <c r="W6602" s="23"/>
      <c r="X6602" s="23"/>
      <c r="Y6602" s="23"/>
      <c r="Z6602" s="23"/>
    </row>
    <row r="6603" spans="1:26" ht="13">
      <c r="A6603" s="562" t="s">
        <v>14355</v>
      </c>
      <c r="B6603" s="563" t="s">
        <v>14356</v>
      </c>
      <c r="C6603" s="564" t="s">
        <v>2484</v>
      </c>
      <c r="D6603" s="565">
        <v>39507</v>
      </c>
      <c r="E6603" s="565">
        <v>39777</v>
      </c>
      <c r="F6603" s="566">
        <v>832932818</v>
      </c>
      <c r="G6603" s="564" t="s">
        <v>12293</v>
      </c>
      <c r="H6603" s="564" t="s">
        <v>2541</v>
      </c>
      <c r="I6603" s="564" t="s">
        <v>12297</v>
      </c>
      <c r="J6603" s="564" t="s">
        <v>1069</v>
      </c>
      <c r="K6603" s="564" t="s">
        <v>2466</v>
      </c>
      <c r="L6603" s="564" t="s">
        <v>2467</v>
      </c>
      <c r="M6603" s="564" t="s">
        <v>2466</v>
      </c>
      <c r="N6603" s="564" t="s">
        <v>2439</v>
      </c>
      <c r="O6603" s="564" t="s">
        <v>12077</v>
      </c>
      <c r="P6603" s="23"/>
      <c r="Q6603" s="23"/>
      <c r="R6603" s="23"/>
      <c r="S6603" s="23"/>
      <c r="T6603" s="23"/>
      <c r="U6603" s="23"/>
      <c r="V6603" s="23"/>
      <c r="W6603" s="23"/>
      <c r="X6603" s="23"/>
      <c r="Y6603" s="23"/>
      <c r="Z6603" s="23"/>
    </row>
    <row r="6604" spans="1:26" ht="13">
      <c r="A6604" s="562" t="s">
        <v>14357</v>
      </c>
      <c r="B6604" s="563" t="s">
        <v>14358</v>
      </c>
      <c r="C6604" s="564" t="s">
        <v>2484</v>
      </c>
      <c r="D6604" s="565">
        <v>39503</v>
      </c>
      <c r="E6604" s="565">
        <v>39763</v>
      </c>
      <c r="F6604" s="566">
        <v>231663273</v>
      </c>
      <c r="G6604" s="564" t="s">
        <v>12293</v>
      </c>
      <c r="H6604" s="564" t="s">
        <v>2541</v>
      </c>
      <c r="I6604" s="564" t="s">
        <v>12297</v>
      </c>
      <c r="J6604" s="564" t="s">
        <v>1069</v>
      </c>
      <c r="K6604" s="564" t="s">
        <v>2466</v>
      </c>
      <c r="L6604" s="564" t="s">
        <v>2467</v>
      </c>
      <c r="M6604" s="564" t="s">
        <v>2466</v>
      </c>
      <c r="N6604" s="564" t="s">
        <v>2439</v>
      </c>
      <c r="O6604" s="564" t="s">
        <v>12077</v>
      </c>
      <c r="P6604" s="23"/>
      <c r="Q6604" s="23"/>
      <c r="R6604" s="23"/>
      <c r="S6604" s="23"/>
      <c r="T6604" s="23"/>
      <c r="U6604" s="23"/>
      <c r="V6604" s="23"/>
      <c r="W6604" s="23"/>
      <c r="X6604" s="23"/>
      <c r="Y6604" s="23"/>
      <c r="Z6604" s="23"/>
    </row>
    <row r="6605" spans="1:26" ht="13">
      <c r="A6605" s="562" t="s">
        <v>14359</v>
      </c>
      <c r="B6605" s="563" t="s">
        <v>14360</v>
      </c>
      <c r="C6605" s="564" t="s">
        <v>2484</v>
      </c>
      <c r="D6605" s="565">
        <v>39499</v>
      </c>
      <c r="E6605" s="565">
        <v>39689</v>
      </c>
      <c r="F6605" s="566">
        <v>355619455</v>
      </c>
      <c r="G6605" s="564" t="s">
        <v>12293</v>
      </c>
      <c r="H6605" s="564" t="s">
        <v>2541</v>
      </c>
      <c r="I6605" s="564" t="s">
        <v>12297</v>
      </c>
      <c r="J6605" s="564" t="s">
        <v>1069</v>
      </c>
      <c r="K6605" s="564" t="s">
        <v>2466</v>
      </c>
      <c r="L6605" s="564" t="s">
        <v>2467</v>
      </c>
      <c r="M6605" s="564" t="s">
        <v>2466</v>
      </c>
      <c r="N6605" s="564" t="s">
        <v>2439</v>
      </c>
      <c r="O6605" s="564" t="s">
        <v>12077</v>
      </c>
      <c r="P6605" s="23"/>
      <c r="Q6605" s="23"/>
      <c r="R6605" s="23"/>
      <c r="S6605" s="23"/>
      <c r="T6605" s="23"/>
      <c r="U6605" s="23"/>
      <c r="V6605" s="23"/>
      <c r="W6605" s="23"/>
      <c r="X6605" s="23"/>
      <c r="Y6605" s="23"/>
      <c r="Z6605" s="23"/>
    </row>
    <row r="6606" spans="1:26" ht="13">
      <c r="A6606" s="562" t="s">
        <v>14361</v>
      </c>
      <c r="B6606" s="563" t="s">
        <v>14362</v>
      </c>
      <c r="C6606" s="564" t="s">
        <v>2484</v>
      </c>
      <c r="D6606" s="565">
        <v>39804</v>
      </c>
      <c r="E6606" s="565">
        <v>40014</v>
      </c>
      <c r="F6606" s="566">
        <v>213223636</v>
      </c>
      <c r="G6606" s="564" t="s">
        <v>12586</v>
      </c>
      <c r="H6606" s="564" t="s">
        <v>2541</v>
      </c>
      <c r="I6606" s="564" t="s">
        <v>12297</v>
      </c>
      <c r="J6606" s="564" t="s">
        <v>1069</v>
      </c>
      <c r="K6606" s="564" t="s">
        <v>2466</v>
      </c>
      <c r="L6606" s="564" t="s">
        <v>2467</v>
      </c>
      <c r="M6606" s="564" t="s">
        <v>2466</v>
      </c>
      <c r="N6606" s="564" t="s">
        <v>2439</v>
      </c>
      <c r="O6606" s="564" t="s">
        <v>12077</v>
      </c>
      <c r="P6606" s="23"/>
      <c r="Q6606" s="23"/>
      <c r="R6606" s="23"/>
      <c r="S6606" s="23"/>
      <c r="T6606" s="23"/>
      <c r="U6606" s="23"/>
      <c r="V6606" s="23"/>
      <c r="W6606" s="23"/>
      <c r="X6606" s="23"/>
      <c r="Y6606" s="23"/>
      <c r="Z6606" s="23"/>
    </row>
    <row r="6607" spans="1:26" ht="13">
      <c r="A6607" s="562" t="s">
        <v>14363</v>
      </c>
      <c r="B6607" s="563" t="s">
        <v>14364</v>
      </c>
      <c r="C6607" s="564" t="s">
        <v>2484</v>
      </c>
      <c r="D6607" s="565">
        <v>39776</v>
      </c>
      <c r="E6607" s="565">
        <v>40136</v>
      </c>
      <c r="F6607" s="566">
        <v>459463636</v>
      </c>
      <c r="G6607" s="564" t="s">
        <v>14087</v>
      </c>
      <c r="H6607" s="564" t="s">
        <v>2541</v>
      </c>
      <c r="I6607" s="564" t="s">
        <v>2438</v>
      </c>
      <c r="J6607" s="564" t="s">
        <v>1069</v>
      </c>
      <c r="K6607" s="564" t="s">
        <v>2466</v>
      </c>
      <c r="L6607" s="564" t="s">
        <v>2467</v>
      </c>
      <c r="M6607" s="564" t="s">
        <v>2466</v>
      </c>
      <c r="N6607" s="564" t="s">
        <v>2439</v>
      </c>
      <c r="O6607" s="564" t="s">
        <v>12077</v>
      </c>
      <c r="P6607" s="23"/>
      <c r="Q6607" s="23"/>
      <c r="R6607" s="23"/>
      <c r="S6607" s="23"/>
      <c r="T6607" s="23"/>
      <c r="U6607" s="23"/>
      <c r="V6607" s="23"/>
      <c r="W6607" s="23"/>
      <c r="X6607" s="23"/>
      <c r="Y6607" s="23"/>
      <c r="Z6607" s="23"/>
    </row>
    <row r="6608" spans="1:26" ht="13">
      <c r="A6608" s="562" t="s">
        <v>14365</v>
      </c>
      <c r="B6608" s="563" t="s">
        <v>14366</v>
      </c>
      <c r="C6608" s="564" t="s">
        <v>2484</v>
      </c>
      <c r="D6608" s="565">
        <v>39779</v>
      </c>
      <c r="E6608" s="565">
        <v>40020</v>
      </c>
      <c r="F6608" s="566">
        <v>412143636</v>
      </c>
      <c r="G6608" s="564" t="s">
        <v>12124</v>
      </c>
      <c r="H6608" s="564" t="s">
        <v>12365</v>
      </c>
      <c r="I6608" s="564" t="s">
        <v>14367</v>
      </c>
      <c r="J6608" s="564" t="s">
        <v>1069</v>
      </c>
      <c r="K6608" s="564" t="s">
        <v>2466</v>
      </c>
      <c r="L6608" s="564" t="s">
        <v>2467</v>
      </c>
      <c r="M6608" s="564" t="s">
        <v>2466</v>
      </c>
      <c r="N6608" s="564" t="s">
        <v>2325</v>
      </c>
      <c r="O6608" s="564" t="s">
        <v>12077</v>
      </c>
      <c r="P6608" s="23"/>
      <c r="Q6608" s="23"/>
      <c r="R6608" s="23"/>
      <c r="S6608" s="23"/>
      <c r="T6608" s="23"/>
      <c r="U6608" s="23"/>
      <c r="V6608" s="23"/>
      <c r="W6608" s="23"/>
      <c r="X6608" s="23"/>
      <c r="Y6608" s="23"/>
      <c r="Z6608" s="23"/>
    </row>
    <row r="6609" spans="1:26" ht="13">
      <c r="A6609" s="562" t="s">
        <v>14368</v>
      </c>
      <c r="B6609" s="563" t="s">
        <v>14369</v>
      </c>
      <c r="C6609" s="564" t="s">
        <v>2484</v>
      </c>
      <c r="D6609" s="565">
        <v>39741</v>
      </c>
      <c r="E6609" s="565">
        <v>40836</v>
      </c>
      <c r="F6609" s="566">
        <v>990752727</v>
      </c>
      <c r="G6609" s="564" t="s">
        <v>12075</v>
      </c>
      <c r="H6609" s="564" t="s">
        <v>12096</v>
      </c>
      <c r="I6609" s="564" t="s">
        <v>14370</v>
      </c>
      <c r="J6609" s="564" t="s">
        <v>1069</v>
      </c>
      <c r="K6609" s="564" t="s">
        <v>2466</v>
      </c>
      <c r="L6609" s="564" t="s">
        <v>2467</v>
      </c>
      <c r="M6609" s="564" t="s">
        <v>2466</v>
      </c>
      <c r="N6609" s="564" t="s">
        <v>2543</v>
      </c>
      <c r="O6609" s="564" t="s">
        <v>12077</v>
      </c>
      <c r="P6609" s="23"/>
      <c r="Q6609" s="23"/>
      <c r="R6609" s="23"/>
      <c r="S6609" s="23"/>
      <c r="T6609" s="23"/>
      <c r="U6609" s="23"/>
      <c r="V6609" s="23"/>
      <c r="W6609" s="23"/>
      <c r="X6609" s="23"/>
      <c r="Y6609" s="23"/>
      <c r="Z6609" s="23"/>
    </row>
    <row r="6610" spans="1:26" ht="13">
      <c r="A6610" s="562" t="s">
        <v>14371</v>
      </c>
      <c r="B6610" s="563" t="s">
        <v>14372</v>
      </c>
      <c r="C6610" s="564" t="s">
        <v>2484</v>
      </c>
      <c r="D6610" s="565">
        <v>39731</v>
      </c>
      <c r="E6610" s="565">
        <v>39911</v>
      </c>
      <c r="F6610" s="566">
        <v>363636364</v>
      </c>
      <c r="G6610" s="564" t="s">
        <v>13134</v>
      </c>
      <c r="H6610" s="564" t="s">
        <v>12096</v>
      </c>
      <c r="I6610" s="564" t="s">
        <v>14220</v>
      </c>
      <c r="J6610" s="564" t="s">
        <v>1069</v>
      </c>
      <c r="K6610" s="564" t="s">
        <v>2466</v>
      </c>
      <c r="L6610" s="564" t="s">
        <v>2467</v>
      </c>
      <c r="M6610" s="564" t="s">
        <v>2466</v>
      </c>
      <c r="N6610" s="564" t="s">
        <v>2543</v>
      </c>
      <c r="O6610" s="564" t="s">
        <v>12077</v>
      </c>
      <c r="P6610" s="23"/>
      <c r="Q6610" s="23"/>
      <c r="R6610" s="23"/>
      <c r="S6610" s="23"/>
      <c r="T6610" s="23"/>
      <c r="U6610" s="23"/>
      <c r="V6610" s="23"/>
      <c r="W6610" s="23"/>
      <c r="X6610" s="23"/>
      <c r="Y6610" s="23"/>
      <c r="Z6610" s="23"/>
    </row>
    <row r="6611" spans="1:26" ht="13">
      <c r="A6611" s="562" t="s">
        <v>14373</v>
      </c>
      <c r="B6611" s="563" t="s">
        <v>14374</v>
      </c>
      <c r="C6611" s="564" t="s">
        <v>2484</v>
      </c>
      <c r="D6611" s="565">
        <v>39717</v>
      </c>
      <c r="E6611" s="565">
        <v>39867</v>
      </c>
      <c r="F6611" s="566">
        <v>88320000</v>
      </c>
      <c r="G6611" s="564" t="s">
        <v>12268</v>
      </c>
      <c r="H6611" s="564" t="s">
        <v>2519</v>
      </c>
      <c r="I6611" s="564" t="s">
        <v>12297</v>
      </c>
      <c r="J6611" s="564" t="s">
        <v>1069</v>
      </c>
      <c r="K6611" s="564" t="s">
        <v>2466</v>
      </c>
      <c r="L6611" s="564" t="s">
        <v>2467</v>
      </c>
      <c r="M6611" s="564" t="s">
        <v>2466</v>
      </c>
      <c r="N6611" s="564" t="s">
        <v>2439</v>
      </c>
      <c r="O6611" s="564" t="s">
        <v>12077</v>
      </c>
      <c r="P6611" s="23"/>
      <c r="Q6611" s="23"/>
      <c r="R6611" s="23"/>
      <c r="S6611" s="23"/>
      <c r="T6611" s="23"/>
      <c r="U6611" s="23"/>
      <c r="V6611" s="23"/>
      <c r="W6611" s="23"/>
      <c r="X6611" s="23"/>
      <c r="Y6611" s="23"/>
      <c r="Z6611" s="23"/>
    </row>
    <row r="6612" spans="1:26" ht="13">
      <c r="A6612" s="562" t="s">
        <v>14375</v>
      </c>
      <c r="B6612" s="563" t="s">
        <v>14376</v>
      </c>
      <c r="C6612" s="564" t="s">
        <v>2484</v>
      </c>
      <c r="D6612" s="565">
        <v>39700</v>
      </c>
      <c r="E6612" s="565">
        <v>40002</v>
      </c>
      <c r="F6612" s="566">
        <v>114919273</v>
      </c>
      <c r="G6612" s="564" t="s">
        <v>12080</v>
      </c>
      <c r="H6612" s="564" t="s">
        <v>2459</v>
      </c>
      <c r="I6612" s="564" t="s">
        <v>14377</v>
      </c>
      <c r="J6612" s="564" t="s">
        <v>1069</v>
      </c>
      <c r="K6612" s="564" t="s">
        <v>2466</v>
      </c>
      <c r="L6612" s="564" t="s">
        <v>2467</v>
      </c>
      <c r="M6612" s="564" t="s">
        <v>2466</v>
      </c>
      <c r="N6612" s="564" t="s">
        <v>2543</v>
      </c>
      <c r="O6612" s="564" t="s">
        <v>12077</v>
      </c>
      <c r="P6612" s="23"/>
      <c r="Q6612" s="23"/>
      <c r="R6612" s="23"/>
      <c r="S6612" s="23"/>
      <c r="T6612" s="23"/>
      <c r="U6612" s="23"/>
      <c r="V6612" s="23"/>
      <c r="W6612" s="23"/>
      <c r="X6612" s="23"/>
      <c r="Y6612" s="23"/>
      <c r="Z6612" s="23"/>
    </row>
    <row r="6613" spans="1:26" ht="13">
      <c r="A6613" s="562" t="s">
        <v>14378</v>
      </c>
      <c r="B6613" s="563" t="s">
        <v>14379</v>
      </c>
      <c r="C6613" s="564" t="s">
        <v>2484</v>
      </c>
      <c r="D6613" s="565">
        <v>39700</v>
      </c>
      <c r="E6613" s="565">
        <v>39970</v>
      </c>
      <c r="F6613" s="566">
        <v>783783455</v>
      </c>
      <c r="G6613" s="564" t="s">
        <v>12134</v>
      </c>
      <c r="H6613" s="564" t="s">
        <v>2546</v>
      </c>
      <c r="I6613" s="564" t="s">
        <v>13595</v>
      </c>
      <c r="J6613" s="564" t="s">
        <v>1069</v>
      </c>
      <c r="K6613" s="564" t="s">
        <v>2466</v>
      </c>
      <c r="L6613" s="564" t="s">
        <v>2467</v>
      </c>
      <c r="M6613" s="564" t="s">
        <v>2466</v>
      </c>
      <c r="N6613" s="564" t="s">
        <v>2543</v>
      </c>
      <c r="O6613" s="564" t="s">
        <v>12077</v>
      </c>
      <c r="P6613" s="23"/>
      <c r="Q6613" s="23"/>
      <c r="R6613" s="23"/>
      <c r="S6613" s="23"/>
      <c r="T6613" s="23"/>
      <c r="U6613" s="23"/>
      <c r="V6613" s="23"/>
      <c r="W6613" s="23"/>
      <c r="X6613" s="23"/>
      <c r="Y6613" s="23"/>
      <c r="Z6613" s="23"/>
    </row>
    <row r="6614" spans="1:26" ht="13">
      <c r="A6614" s="562" t="s">
        <v>14380</v>
      </c>
      <c r="B6614" s="563" t="s">
        <v>14381</v>
      </c>
      <c r="C6614" s="564" t="s">
        <v>2484</v>
      </c>
      <c r="D6614" s="565">
        <v>39665</v>
      </c>
      <c r="E6614" s="565">
        <v>39795</v>
      </c>
      <c r="F6614" s="566">
        <v>192451144</v>
      </c>
      <c r="G6614" s="564" t="s">
        <v>12293</v>
      </c>
      <c r="H6614" s="564" t="s">
        <v>2541</v>
      </c>
      <c r="I6614" s="564" t="s">
        <v>12297</v>
      </c>
      <c r="J6614" s="564" t="s">
        <v>1069</v>
      </c>
      <c r="K6614" s="564" t="s">
        <v>2466</v>
      </c>
      <c r="L6614" s="564" t="s">
        <v>2467</v>
      </c>
      <c r="M6614" s="564" t="s">
        <v>2466</v>
      </c>
      <c r="N6614" s="564" t="s">
        <v>2439</v>
      </c>
      <c r="O6614" s="564" t="s">
        <v>12077</v>
      </c>
      <c r="P6614" s="23"/>
      <c r="Q6614" s="23"/>
      <c r="R6614" s="23"/>
      <c r="S6614" s="23"/>
      <c r="T6614" s="23"/>
      <c r="U6614" s="23"/>
      <c r="V6614" s="23"/>
      <c r="W6614" s="23"/>
      <c r="X6614" s="23"/>
      <c r="Y6614" s="23"/>
      <c r="Z6614" s="23"/>
    </row>
    <row r="6615" spans="1:26" ht="13">
      <c r="A6615" s="562" t="s">
        <v>14382</v>
      </c>
      <c r="B6615" s="563" t="s">
        <v>14383</v>
      </c>
      <c r="C6615" s="564" t="s">
        <v>2484</v>
      </c>
      <c r="D6615" s="565">
        <v>39660</v>
      </c>
      <c r="E6615" s="565">
        <v>40739</v>
      </c>
      <c r="F6615" s="566">
        <v>1496509091</v>
      </c>
      <c r="G6615" s="564" t="s">
        <v>12119</v>
      </c>
      <c r="H6615" s="564" t="s">
        <v>12120</v>
      </c>
      <c r="I6615" s="564" t="s">
        <v>14384</v>
      </c>
      <c r="J6615" s="564" t="s">
        <v>1069</v>
      </c>
      <c r="K6615" s="564" t="s">
        <v>2466</v>
      </c>
      <c r="L6615" s="564" t="s">
        <v>2467</v>
      </c>
      <c r="M6615" s="564" t="s">
        <v>2466</v>
      </c>
      <c r="N6615" s="564" t="s">
        <v>2543</v>
      </c>
      <c r="O6615" s="564" t="s">
        <v>12077</v>
      </c>
      <c r="P6615" s="23"/>
      <c r="Q6615" s="23"/>
      <c r="R6615" s="23"/>
      <c r="S6615" s="23"/>
      <c r="T6615" s="23"/>
      <c r="U6615" s="23"/>
      <c r="V6615" s="23"/>
      <c r="W6615" s="23"/>
      <c r="X6615" s="23"/>
      <c r="Y6615" s="23"/>
      <c r="Z6615" s="23"/>
    </row>
    <row r="6616" spans="1:26" ht="13">
      <c r="A6616" s="562" t="s">
        <v>14385</v>
      </c>
      <c r="B6616" s="563" t="s">
        <v>14386</v>
      </c>
      <c r="C6616" s="564" t="s">
        <v>2484</v>
      </c>
      <c r="D6616" s="565">
        <v>39787</v>
      </c>
      <c r="E6616" s="565">
        <v>40209</v>
      </c>
      <c r="F6616" s="566">
        <v>1341818182</v>
      </c>
      <c r="G6616" s="564" t="s">
        <v>2434</v>
      </c>
      <c r="H6616" s="564" t="s">
        <v>2541</v>
      </c>
      <c r="I6616" s="564" t="s">
        <v>14387</v>
      </c>
      <c r="J6616" s="564" t="s">
        <v>1069</v>
      </c>
      <c r="K6616" s="564" t="s">
        <v>2466</v>
      </c>
      <c r="L6616" s="564" t="s">
        <v>2467</v>
      </c>
      <c r="M6616" s="564" t="s">
        <v>2466</v>
      </c>
      <c r="N6616" s="564" t="s">
        <v>1082</v>
      </c>
      <c r="O6616" s="564" t="s">
        <v>12077</v>
      </c>
      <c r="P6616" s="23"/>
      <c r="Q6616" s="23"/>
      <c r="R6616" s="23"/>
      <c r="S6616" s="23"/>
      <c r="T6616" s="23"/>
      <c r="U6616" s="23"/>
      <c r="V6616" s="23"/>
      <c r="W6616" s="23"/>
      <c r="X6616" s="23"/>
      <c r="Y6616" s="23"/>
      <c r="Z6616" s="23"/>
    </row>
    <row r="6617" spans="1:26" ht="13">
      <c r="A6617" s="562" t="s">
        <v>14388</v>
      </c>
      <c r="B6617" s="563" t="s">
        <v>14389</v>
      </c>
      <c r="C6617" s="564" t="s">
        <v>2484</v>
      </c>
      <c r="D6617" s="565">
        <v>39644</v>
      </c>
      <c r="E6617" s="565">
        <v>40008</v>
      </c>
      <c r="F6617" s="566">
        <v>314618182</v>
      </c>
      <c r="G6617" s="564" t="s">
        <v>12129</v>
      </c>
      <c r="H6617" s="564" t="s">
        <v>2459</v>
      </c>
      <c r="I6617" s="564" t="s">
        <v>12361</v>
      </c>
      <c r="J6617" s="564" t="s">
        <v>1069</v>
      </c>
      <c r="K6617" s="564" t="s">
        <v>2466</v>
      </c>
      <c r="L6617" s="564" t="s">
        <v>2467</v>
      </c>
      <c r="M6617" s="564" t="s">
        <v>2466</v>
      </c>
      <c r="N6617" s="564" t="s">
        <v>2543</v>
      </c>
      <c r="O6617" s="564" t="s">
        <v>12077</v>
      </c>
      <c r="P6617" s="23"/>
      <c r="Q6617" s="23"/>
      <c r="R6617" s="23"/>
      <c r="S6617" s="23"/>
      <c r="T6617" s="23"/>
      <c r="U6617" s="23"/>
      <c r="V6617" s="23"/>
      <c r="W6617" s="23"/>
      <c r="X6617" s="23"/>
      <c r="Y6617" s="23"/>
      <c r="Z6617" s="23"/>
    </row>
    <row r="6618" spans="1:26" ht="13">
      <c r="A6618" s="562" t="s">
        <v>14390</v>
      </c>
      <c r="B6618" s="563" t="s">
        <v>14391</v>
      </c>
      <c r="C6618" s="564" t="s">
        <v>2484</v>
      </c>
      <c r="D6618" s="565">
        <v>39643</v>
      </c>
      <c r="E6618" s="565">
        <v>39850</v>
      </c>
      <c r="F6618" s="566">
        <v>434571363</v>
      </c>
      <c r="G6618" s="564" t="s">
        <v>12133</v>
      </c>
      <c r="H6618" s="564" t="s">
        <v>2541</v>
      </c>
      <c r="I6618" s="564" t="s">
        <v>12130</v>
      </c>
      <c r="J6618" s="564" t="s">
        <v>1069</v>
      </c>
      <c r="K6618" s="564" t="s">
        <v>2466</v>
      </c>
      <c r="L6618" s="564" t="s">
        <v>2467</v>
      </c>
      <c r="M6618" s="564" t="s">
        <v>2466</v>
      </c>
      <c r="N6618" s="564" t="s">
        <v>2543</v>
      </c>
      <c r="O6618" s="564" t="s">
        <v>12077</v>
      </c>
      <c r="P6618" s="23"/>
      <c r="Q6618" s="23"/>
      <c r="R6618" s="23"/>
      <c r="S6618" s="23"/>
      <c r="T6618" s="23"/>
      <c r="U6618" s="23"/>
      <c r="V6618" s="23"/>
      <c r="W6618" s="23"/>
      <c r="X6618" s="23"/>
      <c r="Y6618" s="23"/>
      <c r="Z6618" s="23"/>
    </row>
    <row r="6619" spans="1:26" ht="13">
      <c r="A6619" s="562" t="s">
        <v>14392</v>
      </c>
      <c r="B6619" s="563" t="s">
        <v>14393</v>
      </c>
      <c r="C6619" s="564" t="s">
        <v>2484</v>
      </c>
      <c r="D6619" s="565">
        <v>39633</v>
      </c>
      <c r="E6619" s="565">
        <v>39813</v>
      </c>
      <c r="F6619" s="566">
        <v>95454545</v>
      </c>
      <c r="G6619" s="564" t="s">
        <v>12080</v>
      </c>
      <c r="H6619" s="564" t="s">
        <v>12096</v>
      </c>
      <c r="I6619" s="564" t="s">
        <v>14297</v>
      </c>
      <c r="J6619" s="564" t="s">
        <v>1069</v>
      </c>
      <c r="K6619" s="564" t="s">
        <v>2466</v>
      </c>
      <c r="L6619" s="564" t="s">
        <v>2467</v>
      </c>
      <c r="M6619" s="564" t="s">
        <v>2466</v>
      </c>
      <c r="N6619" s="564" t="s">
        <v>2543</v>
      </c>
      <c r="O6619" s="564" t="s">
        <v>12077</v>
      </c>
      <c r="P6619" s="23"/>
      <c r="Q6619" s="23"/>
      <c r="R6619" s="23"/>
      <c r="S6619" s="23"/>
      <c r="T6619" s="23"/>
      <c r="U6619" s="23"/>
      <c r="V6619" s="23"/>
      <c r="W6619" s="23"/>
      <c r="X6619" s="23"/>
      <c r="Y6619" s="23"/>
      <c r="Z6619" s="23"/>
    </row>
    <row r="6620" spans="1:26" ht="13">
      <c r="A6620" s="562" t="s">
        <v>14394</v>
      </c>
      <c r="B6620" s="563" t="s">
        <v>14395</v>
      </c>
      <c r="C6620" s="564" t="s">
        <v>2484</v>
      </c>
      <c r="D6620" s="565">
        <v>39629</v>
      </c>
      <c r="E6620" s="565">
        <v>39869</v>
      </c>
      <c r="F6620" s="566">
        <v>422577273</v>
      </c>
      <c r="G6620" s="564" t="s">
        <v>14396</v>
      </c>
      <c r="H6620" s="564" t="s">
        <v>12096</v>
      </c>
      <c r="I6620" s="564" t="s">
        <v>12297</v>
      </c>
      <c r="J6620" s="564" t="s">
        <v>1069</v>
      </c>
      <c r="K6620" s="564" t="s">
        <v>2466</v>
      </c>
      <c r="L6620" s="564" t="s">
        <v>2467</v>
      </c>
      <c r="M6620" s="564" t="s">
        <v>2466</v>
      </c>
      <c r="N6620" s="564" t="s">
        <v>2439</v>
      </c>
      <c r="O6620" s="564" t="s">
        <v>12077</v>
      </c>
      <c r="P6620" s="23"/>
      <c r="Q6620" s="23"/>
      <c r="R6620" s="23"/>
      <c r="S6620" s="23"/>
      <c r="T6620" s="23"/>
      <c r="U6620" s="23"/>
      <c r="V6620" s="23"/>
      <c r="W6620" s="23"/>
      <c r="X6620" s="23"/>
      <c r="Y6620" s="23"/>
      <c r="Z6620" s="23"/>
    </row>
    <row r="6621" spans="1:26" ht="13">
      <c r="A6621" s="562" t="s">
        <v>14397</v>
      </c>
      <c r="B6621" s="563" t="s">
        <v>14398</v>
      </c>
      <c r="C6621" s="564" t="s">
        <v>2484</v>
      </c>
      <c r="D6621" s="565">
        <v>39622</v>
      </c>
      <c r="E6621" s="565">
        <v>40161</v>
      </c>
      <c r="F6621" s="566">
        <v>953263637</v>
      </c>
      <c r="G6621" s="564" t="s">
        <v>12075</v>
      </c>
      <c r="H6621" s="564" t="s">
        <v>12120</v>
      </c>
      <c r="I6621" s="564" t="s">
        <v>14275</v>
      </c>
      <c r="J6621" s="564" t="s">
        <v>1069</v>
      </c>
      <c r="K6621" s="564" t="s">
        <v>2466</v>
      </c>
      <c r="L6621" s="564" t="s">
        <v>2467</v>
      </c>
      <c r="M6621" s="564" t="s">
        <v>2466</v>
      </c>
      <c r="N6621" s="564" t="s">
        <v>2543</v>
      </c>
      <c r="O6621" s="564" t="s">
        <v>12077</v>
      </c>
      <c r="P6621" s="23"/>
      <c r="Q6621" s="23"/>
      <c r="R6621" s="23"/>
      <c r="S6621" s="23"/>
      <c r="T6621" s="23"/>
      <c r="U6621" s="23"/>
      <c r="V6621" s="23"/>
      <c r="W6621" s="23"/>
      <c r="X6621" s="23"/>
      <c r="Y6621" s="23"/>
      <c r="Z6621" s="23"/>
    </row>
    <row r="6622" spans="1:26" ht="13">
      <c r="A6622" s="562" t="s">
        <v>14399</v>
      </c>
      <c r="B6622" s="563" t="s">
        <v>14400</v>
      </c>
      <c r="C6622" s="564" t="s">
        <v>2484</v>
      </c>
      <c r="D6622" s="565">
        <v>39609</v>
      </c>
      <c r="E6622" s="565">
        <v>39859</v>
      </c>
      <c r="F6622" s="566">
        <v>238000000</v>
      </c>
      <c r="G6622" s="564" t="s">
        <v>2555</v>
      </c>
      <c r="H6622" s="564" t="s">
        <v>2323</v>
      </c>
      <c r="I6622" s="564" t="s">
        <v>2542</v>
      </c>
      <c r="J6622" s="564" t="s">
        <v>1069</v>
      </c>
      <c r="K6622" s="564" t="s">
        <v>2466</v>
      </c>
      <c r="L6622" s="564" t="s">
        <v>2467</v>
      </c>
      <c r="M6622" s="564" t="s">
        <v>2466</v>
      </c>
      <c r="N6622" s="564" t="s">
        <v>2543</v>
      </c>
      <c r="O6622" s="564" t="s">
        <v>12077</v>
      </c>
      <c r="P6622" s="23"/>
      <c r="Q6622" s="23"/>
      <c r="R6622" s="23"/>
      <c r="S6622" s="23"/>
      <c r="T6622" s="23"/>
      <c r="U6622" s="23"/>
      <c r="V6622" s="23"/>
      <c r="W6622" s="23"/>
      <c r="X6622" s="23"/>
      <c r="Y6622" s="23"/>
      <c r="Z6622" s="23"/>
    </row>
    <row r="6623" spans="1:26" ht="13">
      <c r="A6623" s="562" t="s">
        <v>14401</v>
      </c>
      <c r="B6623" s="563" t="s">
        <v>14402</v>
      </c>
      <c r="C6623" s="564" t="s">
        <v>2484</v>
      </c>
      <c r="D6623" s="565">
        <v>39609</v>
      </c>
      <c r="E6623" s="565">
        <v>39785</v>
      </c>
      <c r="F6623" s="566">
        <v>249419651</v>
      </c>
      <c r="G6623" s="564" t="s">
        <v>2464</v>
      </c>
      <c r="H6623" s="564" t="s">
        <v>2541</v>
      </c>
      <c r="I6623" s="564" t="s">
        <v>13242</v>
      </c>
      <c r="J6623" s="564" t="s">
        <v>1069</v>
      </c>
      <c r="K6623" s="564" t="s">
        <v>2466</v>
      </c>
      <c r="L6623" s="564" t="s">
        <v>2467</v>
      </c>
      <c r="M6623" s="564" t="s">
        <v>2466</v>
      </c>
      <c r="N6623" s="564" t="s">
        <v>2325</v>
      </c>
      <c r="O6623" s="564" t="s">
        <v>12077</v>
      </c>
      <c r="P6623" s="23"/>
      <c r="Q6623" s="23"/>
      <c r="R6623" s="23"/>
      <c r="S6623" s="23"/>
      <c r="T6623" s="23"/>
      <c r="U6623" s="23"/>
      <c r="V6623" s="23"/>
      <c r="W6623" s="23"/>
      <c r="X6623" s="23"/>
      <c r="Y6623" s="23"/>
      <c r="Z6623" s="23"/>
    </row>
    <row r="6624" spans="1:26" ht="13">
      <c r="A6624" s="562" t="s">
        <v>14403</v>
      </c>
      <c r="B6624" s="563" t="s">
        <v>14404</v>
      </c>
      <c r="C6624" s="564" t="s">
        <v>2484</v>
      </c>
      <c r="D6624" s="565">
        <v>39519</v>
      </c>
      <c r="E6624" s="565">
        <v>39789</v>
      </c>
      <c r="F6624" s="566">
        <v>266818182</v>
      </c>
      <c r="G6624" s="564" t="s">
        <v>12586</v>
      </c>
      <c r="H6624" s="564" t="s">
        <v>12096</v>
      </c>
      <c r="I6624" s="564" t="s">
        <v>12105</v>
      </c>
      <c r="J6624" s="564" t="s">
        <v>1069</v>
      </c>
      <c r="K6624" s="564" t="s">
        <v>2466</v>
      </c>
      <c r="L6624" s="564" t="s">
        <v>2467</v>
      </c>
      <c r="M6624" s="564" t="s">
        <v>2466</v>
      </c>
      <c r="N6624" s="564" t="s">
        <v>1082</v>
      </c>
      <c r="O6624" s="564" t="s">
        <v>12077</v>
      </c>
      <c r="P6624" s="23"/>
      <c r="Q6624" s="23"/>
      <c r="R6624" s="23"/>
      <c r="S6624" s="23"/>
      <c r="T6624" s="23"/>
      <c r="U6624" s="23"/>
      <c r="V6624" s="23"/>
      <c r="W6624" s="23"/>
      <c r="X6624" s="23"/>
      <c r="Y6624" s="23"/>
      <c r="Z6624" s="23"/>
    </row>
    <row r="6625" spans="1:26" ht="13">
      <c r="A6625" s="562" t="s">
        <v>14405</v>
      </c>
      <c r="B6625" s="563" t="s">
        <v>14406</v>
      </c>
      <c r="C6625" s="564" t="s">
        <v>2484</v>
      </c>
      <c r="D6625" s="565">
        <v>39575</v>
      </c>
      <c r="E6625" s="565">
        <v>39852</v>
      </c>
      <c r="F6625" s="566">
        <v>456545454</v>
      </c>
      <c r="G6625" s="564" t="s">
        <v>12075</v>
      </c>
      <c r="H6625" s="564" t="s">
        <v>12120</v>
      </c>
      <c r="I6625" s="564" t="s">
        <v>14282</v>
      </c>
      <c r="J6625" s="564" t="s">
        <v>1069</v>
      </c>
      <c r="K6625" s="564" t="s">
        <v>2466</v>
      </c>
      <c r="L6625" s="564" t="s">
        <v>2467</v>
      </c>
      <c r="M6625" s="564" t="s">
        <v>2466</v>
      </c>
      <c r="N6625" s="564" t="s">
        <v>2543</v>
      </c>
      <c r="O6625" s="564" t="s">
        <v>12077</v>
      </c>
      <c r="P6625" s="23"/>
      <c r="Q6625" s="23"/>
      <c r="R6625" s="23"/>
      <c r="S6625" s="23"/>
      <c r="T6625" s="23"/>
      <c r="U6625" s="23"/>
      <c r="V6625" s="23"/>
      <c r="W6625" s="23"/>
      <c r="X6625" s="23"/>
      <c r="Y6625" s="23"/>
      <c r="Z6625" s="23"/>
    </row>
    <row r="6626" spans="1:26" ht="13">
      <c r="A6626" s="562" t="s">
        <v>14407</v>
      </c>
      <c r="B6626" s="563" t="s">
        <v>14408</v>
      </c>
      <c r="C6626" s="564" t="s">
        <v>2484</v>
      </c>
      <c r="D6626" s="565">
        <v>39559</v>
      </c>
      <c r="E6626" s="565">
        <v>39738</v>
      </c>
      <c r="F6626" s="566">
        <v>288645341</v>
      </c>
      <c r="G6626" s="564" t="s">
        <v>12364</v>
      </c>
      <c r="H6626" s="564" t="s">
        <v>12096</v>
      </c>
      <c r="I6626" s="564" t="s">
        <v>12081</v>
      </c>
      <c r="J6626" s="564" t="s">
        <v>1069</v>
      </c>
      <c r="K6626" s="564" t="s">
        <v>2466</v>
      </c>
      <c r="L6626" s="564" t="s">
        <v>2467</v>
      </c>
      <c r="M6626" s="564" t="s">
        <v>2466</v>
      </c>
      <c r="N6626" s="564" t="s">
        <v>2439</v>
      </c>
      <c r="O6626" s="564" t="s">
        <v>12077</v>
      </c>
      <c r="P6626" s="23"/>
      <c r="Q6626" s="23"/>
      <c r="R6626" s="23"/>
      <c r="S6626" s="23"/>
      <c r="T6626" s="23"/>
      <c r="U6626" s="23"/>
      <c r="V6626" s="23"/>
      <c r="W6626" s="23"/>
      <c r="X6626" s="23"/>
      <c r="Y6626" s="23"/>
      <c r="Z6626" s="23"/>
    </row>
    <row r="6627" spans="1:26" ht="13">
      <c r="A6627" s="562" t="s">
        <v>14409</v>
      </c>
      <c r="B6627" s="563" t="s">
        <v>14410</v>
      </c>
      <c r="C6627" s="564" t="s">
        <v>2484</v>
      </c>
      <c r="D6627" s="565">
        <v>39534</v>
      </c>
      <c r="E6627" s="565">
        <v>40628</v>
      </c>
      <c r="F6627" s="566">
        <v>1662793637</v>
      </c>
      <c r="G6627" s="564" t="s">
        <v>12084</v>
      </c>
      <c r="H6627" s="564" t="s">
        <v>12096</v>
      </c>
      <c r="I6627" s="564" t="s">
        <v>14411</v>
      </c>
      <c r="J6627" s="564" t="s">
        <v>1069</v>
      </c>
      <c r="K6627" s="564" t="s">
        <v>2466</v>
      </c>
      <c r="L6627" s="564" t="s">
        <v>2467</v>
      </c>
      <c r="M6627" s="564" t="s">
        <v>2466</v>
      </c>
      <c r="N6627" s="564" t="s">
        <v>2543</v>
      </c>
      <c r="O6627" s="564" t="s">
        <v>12077</v>
      </c>
      <c r="P6627" s="23"/>
      <c r="Q6627" s="23"/>
      <c r="R6627" s="23"/>
      <c r="S6627" s="23"/>
      <c r="T6627" s="23"/>
      <c r="U6627" s="23"/>
      <c r="V6627" s="23"/>
      <c r="W6627" s="23"/>
      <c r="X6627" s="23"/>
      <c r="Y6627" s="23"/>
      <c r="Z6627" s="23"/>
    </row>
    <row r="6628" spans="1:26" ht="13">
      <c r="A6628" s="562" t="s">
        <v>14412</v>
      </c>
      <c r="B6628" s="563" t="s">
        <v>14413</v>
      </c>
      <c r="C6628" s="564" t="s">
        <v>2191</v>
      </c>
      <c r="D6628" s="565">
        <v>39811</v>
      </c>
      <c r="E6628" s="565">
        <v>40056</v>
      </c>
      <c r="F6628" s="566">
        <v>385000000</v>
      </c>
      <c r="G6628" s="564" t="s">
        <v>1753</v>
      </c>
      <c r="H6628" s="564" t="s">
        <v>1187</v>
      </c>
      <c r="I6628" s="564" t="s">
        <v>14414</v>
      </c>
      <c r="J6628" s="564" t="s">
        <v>1069</v>
      </c>
      <c r="K6628" s="564" t="s">
        <v>1070</v>
      </c>
      <c r="L6628" s="564" t="s">
        <v>1390</v>
      </c>
      <c r="M6628" s="564" t="s">
        <v>1390</v>
      </c>
      <c r="N6628" s="564" t="s">
        <v>1082</v>
      </c>
      <c r="O6628" s="564" t="s">
        <v>13894</v>
      </c>
      <c r="P6628" s="23"/>
      <c r="Q6628" s="23"/>
      <c r="R6628" s="23"/>
      <c r="S6628" s="23"/>
      <c r="T6628" s="23"/>
      <c r="U6628" s="23"/>
      <c r="V6628" s="23"/>
      <c r="W6628" s="23"/>
      <c r="X6628" s="23"/>
      <c r="Y6628" s="23"/>
      <c r="Z6628" s="23"/>
    </row>
    <row r="6629" spans="1:26" ht="13">
      <c r="A6629" s="562" t="s">
        <v>14415</v>
      </c>
      <c r="B6629" s="563" t="s">
        <v>14416</v>
      </c>
      <c r="C6629" s="564" t="s">
        <v>2191</v>
      </c>
      <c r="D6629" s="565">
        <v>39783</v>
      </c>
      <c r="E6629" s="565">
        <v>39903</v>
      </c>
      <c r="F6629" s="566">
        <v>145450000</v>
      </c>
      <c r="G6629" s="564" t="s">
        <v>13069</v>
      </c>
      <c r="H6629" s="564" t="s">
        <v>1145</v>
      </c>
      <c r="I6629" s="564" t="s">
        <v>14417</v>
      </c>
      <c r="J6629" s="564" t="s">
        <v>1069</v>
      </c>
      <c r="K6629" s="564" t="s">
        <v>1802</v>
      </c>
      <c r="L6629" s="564" t="s">
        <v>1390</v>
      </c>
      <c r="M6629" s="564" t="s">
        <v>1390</v>
      </c>
      <c r="N6629" s="564" t="s">
        <v>1082</v>
      </c>
      <c r="O6629" s="564" t="s">
        <v>13894</v>
      </c>
      <c r="P6629" s="23"/>
      <c r="Q6629" s="23"/>
      <c r="R6629" s="23"/>
      <c r="S6629" s="23"/>
      <c r="T6629" s="23"/>
      <c r="U6629" s="23"/>
      <c r="V6629" s="23"/>
      <c r="W6629" s="23"/>
      <c r="X6629" s="23"/>
      <c r="Y6629" s="23"/>
      <c r="Z6629" s="23"/>
    </row>
    <row r="6630" spans="1:26" ht="13">
      <c r="A6630" s="562" t="s">
        <v>14418</v>
      </c>
      <c r="B6630" s="563" t="s">
        <v>14419</v>
      </c>
      <c r="C6630" s="564" t="s">
        <v>2191</v>
      </c>
      <c r="D6630" s="565">
        <v>39722</v>
      </c>
      <c r="E6630" s="565">
        <v>39903</v>
      </c>
      <c r="F6630" s="566">
        <v>63000000</v>
      </c>
      <c r="G6630" s="564" t="s">
        <v>13505</v>
      </c>
      <c r="H6630" s="564" t="s">
        <v>11225</v>
      </c>
      <c r="I6630" s="564" t="s">
        <v>13506</v>
      </c>
      <c r="J6630" s="564" t="s">
        <v>1069</v>
      </c>
      <c r="K6630" s="564" t="s">
        <v>1120</v>
      </c>
      <c r="L6630" s="564" t="s">
        <v>1071</v>
      </c>
      <c r="M6630" s="564" t="s">
        <v>1091</v>
      </c>
      <c r="N6630" s="564" t="s">
        <v>1082</v>
      </c>
      <c r="O6630" s="564" t="s">
        <v>241</v>
      </c>
      <c r="P6630" s="23"/>
      <c r="Q6630" s="23"/>
      <c r="R6630" s="23"/>
      <c r="S6630" s="23"/>
      <c r="T6630" s="23"/>
      <c r="U6630" s="23"/>
      <c r="V6630" s="23"/>
      <c r="W6630" s="23"/>
      <c r="X6630" s="23"/>
      <c r="Y6630" s="23"/>
      <c r="Z6630" s="23"/>
    </row>
    <row r="6631" spans="1:26" ht="13">
      <c r="A6631" s="562" t="s">
        <v>14420</v>
      </c>
      <c r="B6631" s="563" t="s">
        <v>14421</v>
      </c>
      <c r="C6631" s="564" t="s">
        <v>2191</v>
      </c>
      <c r="D6631" s="565">
        <v>39721</v>
      </c>
      <c r="E6631" s="565">
        <v>39872</v>
      </c>
      <c r="F6631" s="566">
        <v>585181818</v>
      </c>
      <c r="G6631" s="564" t="s">
        <v>2370</v>
      </c>
      <c r="H6631" s="564" t="s">
        <v>1145</v>
      </c>
      <c r="I6631" s="564" t="s">
        <v>2013</v>
      </c>
      <c r="J6631" s="564" t="s">
        <v>1069</v>
      </c>
      <c r="K6631" s="564" t="s">
        <v>1070</v>
      </c>
      <c r="L6631" s="564" t="s">
        <v>1390</v>
      </c>
      <c r="M6631" s="564" t="s">
        <v>1390</v>
      </c>
      <c r="N6631" s="564" t="s">
        <v>2325</v>
      </c>
      <c r="O6631" s="564" t="s">
        <v>13894</v>
      </c>
      <c r="P6631" s="23"/>
      <c r="Q6631" s="23"/>
      <c r="R6631" s="23"/>
      <c r="S6631" s="23"/>
      <c r="T6631" s="23"/>
      <c r="U6631" s="23"/>
      <c r="V6631" s="23"/>
      <c r="W6631" s="23"/>
      <c r="X6631" s="23"/>
      <c r="Y6631" s="23"/>
      <c r="Z6631" s="23"/>
    </row>
    <row r="6632" spans="1:26" ht="13">
      <c r="A6632" s="562" t="s">
        <v>14422</v>
      </c>
      <c r="B6632" s="563" t="s">
        <v>14423</v>
      </c>
      <c r="C6632" s="564" t="s">
        <v>6860</v>
      </c>
      <c r="D6632" s="565">
        <v>39639</v>
      </c>
      <c r="E6632" s="565">
        <v>39801</v>
      </c>
      <c r="F6632" s="566">
        <v>1209090909</v>
      </c>
      <c r="G6632" s="564" t="s">
        <v>2346</v>
      </c>
      <c r="H6632" s="564" t="s">
        <v>2168</v>
      </c>
      <c r="I6632" s="564" t="s">
        <v>13915</v>
      </c>
      <c r="J6632" s="564" t="s">
        <v>1069</v>
      </c>
      <c r="K6632" s="564" t="s">
        <v>1209</v>
      </c>
      <c r="L6632" s="564" t="s">
        <v>1390</v>
      </c>
      <c r="M6632" s="564" t="s">
        <v>1390</v>
      </c>
      <c r="N6632" s="564" t="s">
        <v>2439</v>
      </c>
      <c r="O6632" s="564" t="s">
        <v>13894</v>
      </c>
      <c r="P6632" s="23"/>
      <c r="Q6632" s="23"/>
      <c r="R6632" s="23"/>
      <c r="S6632" s="23"/>
      <c r="T6632" s="23"/>
      <c r="U6632" s="23"/>
      <c r="V6632" s="23"/>
      <c r="W6632" s="23"/>
      <c r="X6632" s="23"/>
      <c r="Y6632" s="23"/>
      <c r="Z6632" s="23"/>
    </row>
    <row r="6633" spans="1:26" ht="13">
      <c r="A6633" s="562" t="s">
        <v>14424</v>
      </c>
      <c r="B6633" s="563" t="s">
        <v>14425</v>
      </c>
      <c r="C6633" s="564" t="s">
        <v>1612</v>
      </c>
      <c r="D6633" s="565">
        <v>39630</v>
      </c>
      <c r="E6633" s="565">
        <v>39964</v>
      </c>
      <c r="F6633" s="566">
        <v>1120000000</v>
      </c>
      <c r="G6633" s="564" t="s">
        <v>1729</v>
      </c>
      <c r="H6633" s="564" t="s">
        <v>1128</v>
      </c>
      <c r="I6633" s="564" t="s">
        <v>14426</v>
      </c>
      <c r="J6633" s="564" t="s">
        <v>1069</v>
      </c>
      <c r="K6633" s="564" t="s">
        <v>1090</v>
      </c>
      <c r="L6633" s="564" t="s">
        <v>1390</v>
      </c>
      <c r="M6633" s="564" t="s">
        <v>1390</v>
      </c>
      <c r="N6633" s="564" t="s">
        <v>45</v>
      </c>
      <c r="O6633" s="564" t="s">
        <v>13894</v>
      </c>
      <c r="P6633" s="23"/>
      <c r="Q6633" s="23"/>
      <c r="R6633" s="23"/>
      <c r="S6633" s="23"/>
      <c r="T6633" s="23"/>
      <c r="U6633" s="23"/>
      <c r="V6633" s="23"/>
      <c r="W6633" s="23"/>
      <c r="X6633" s="23"/>
      <c r="Y6633" s="23"/>
      <c r="Z6633" s="23"/>
    </row>
    <row r="6634" spans="1:26" ht="13">
      <c r="A6634" s="562" t="s">
        <v>14427</v>
      </c>
      <c r="B6634" s="563" t="s">
        <v>14428</v>
      </c>
      <c r="C6634" s="564" t="s">
        <v>2191</v>
      </c>
      <c r="D6634" s="565">
        <v>39575</v>
      </c>
      <c r="E6634" s="565">
        <v>39813</v>
      </c>
      <c r="F6634" s="566">
        <v>1538181818</v>
      </c>
      <c r="G6634" s="564" t="s">
        <v>1725</v>
      </c>
      <c r="H6634" s="564" t="s">
        <v>1145</v>
      </c>
      <c r="I6634" s="564" t="s">
        <v>13070</v>
      </c>
      <c r="J6634" s="564" t="s">
        <v>1069</v>
      </c>
      <c r="K6634" s="564" t="s">
        <v>1070</v>
      </c>
      <c r="L6634" s="564" t="s">
        <v>1390</v>
      </c>
      <c r="M6634" s="564" t="s">
        <v>1390</v>
      </c>
      <c r="N6634" s="564" t="s">
        <v>1082</v>
      </c>
      <c r="O6634" s="564" t="s">
        <v>13894</v>
      </c>
      <c r="P6634" s="23"/>
      <c r="Q6634" s="23"/>
      <c r="R6634" s="23"/>
      <c r="S6634" s="23"/>
      <c r="T6634" s="23"/>
      <c r="U6634" s="23"/>
      <c r="V6634" s="23"/>
      <c r="W6634" s="23"/>
      <c r="X6634" s="23"/>
      <c r="Y6634" s="23"/>
      <c r="Z6634" s="23"/>
    </row>
    <row r="6635" spans="1:26" ht="13">
      <c r="A6635" s="562" t="s">
        <v>14429</v>
      </c>
      <c r="B6635" s="563" t="s">
        <v>14430</v>
      </c>
      <c r="C6635" s="564" t="s">
        <v>2406</v>
      </c>
      <c r="D6635" s="565">
        <v>39230</v>
      </c>
      <c r="E6635" s="565">
        <v>39325</v>
      </c>
      <c r="F6635" s="566">
        <v>178000000</v>
      </c>
      <c r="G6635" s="564" t="s">
        <v>14431</v>
      </c>
      <c r="H6635" s="564" t="s">
        <v>1856</v>
      </c>
      <c r="I6635" s="564" t="s">
        <v>14432</v>
      </c>
      <c r="J6635" s="564" t="s">
        <v>1069</v>
      </c>
      <c r="K6635" s="564" t="s">
        <v>1070</v>
      </c>
      <c r="L6635" s="564" t="s">
        <v>1390</v>
      </c>
      <c r="M6635" s="564" t="s">
        <v>1390</v>
      </c>
      <c r="N6635" s="564" t="s">
        <v>1368</v>
      </c>
      <c r="O6635" s="564" t="s">
        <v>2512</v>
      </c>
      <c r="P6635" s="23"/>
      <c r="Q6635" s="23"/>
      <c r="R6635" s="23"/>
      <c r="S6635" s="23"/>
      <c r="T6635" s="23"/>
      <c r="U6635" s="23"/>
      <c r="V6635" s="23"/>
      <c r="W6635" s="23"/>
      <c r="X6635" s="23"/>
      <c r="Y6635" s="23"/>
      <c r="Z6635" s="23"/>
    </row>
    <row r="6636" spans="1:26" ht="13">
      <c r="A6636" s="562" t="s">
        <v>14433</v>
      </c>
      <c r="B6636" s="563" t="s">
        <v>14434</v>
      </c>
      <c r="C6636" s="564" t="s">
        <v>2484</v>
      </c>
      <c r="D6636" s="565">
        <v>39237</v>
      </c>
      <c r="E6636" s="565">
        <v>39813</v>
      </c>
      <c r="F6636" s="566">
        <v>401090909</v>
      </c>
      <c r="G6636" s="564" t="s">
        <v>13134</v>
      </c>
      <c r="H6636" s="564" t="s">
        <v>12096</v>
      </c>
      <c r="I6636" s="564" t="s">
        <v>14318</v>
      </c>
      <c r="J6636" s="564" t="s">
        <v>1069</v>
      </c>
      <c r="K6636" s="564" t="s">
        <v>2466</v>
      </c>
      <c r="L6636" s="564" t="s">
        <v>2467</v>
      </c>
      <c r="M6636" s="564" t="s">
        <v>2466</v>
      </c>
      <c r="N6636" s="564" t="s">
        <v>2543</v>
      </c>
      <c r="O6636" s="564" t="s">
        <v>12077</v>
      </c>
      <c r="P6636" s="23"/>
      <c r="Q6636" s="23"/>
      <c r="R6636" s="23"/>
      <c r="S6636" s="23"/>
      <c r="T6636" s="23"/>
      <c r="U6636" s="23"/>
      <c r="V6636" s="23"/>
      <c r="W6636" s="23"/>
      <c r="X6636" s="23"/>
      <c r="Y6636" s="23"/>
      <c r="Z6636" s="23"/>
    </row>
    <row r="6637" spans="1:26" ht="13">
      <c r="A6637" s="562" t="s">
        <v>14435</v>
      </c>
      <c r="B6637" s="563" t="s">
        <v>14436</v>
      </c>
      <c r="C6637" s="564" t="s">
        <v>2484</v>
      </c>
      <c r="D6637" s="565">
        <v>39136</v>
      </c>
      <c r="E6637" s="565">
        <v>40961</v>
      </c>
      <c r="F6637" s="566">
        <v>1924709091</v>
      </c>
      <c r="G6637" s="564" t="s">
        <v>12075</v>
      </c>
      <c r="H6637" s="564" t="s">
        <v>12125</v>
      </c>
      <c r="I6637" s="564" t="s">
        <v>14437</v>
      </c>
      <c r="J6637" s="564" t="s">
        <v>1069</v>
      </c>
      <c r="K6637" s="564" t="s">
        <v>2466</v>
      </c>
      <c r="L6637" s="564" t="s">
        <v>2467</v>
      </c>
      <c r="M6637" s="564" t="s">
        <v>2466</v>
      </c>
      <c r="N6637" s="564" t="s">
        <v>2543</v>
      </c>
      <c r="O6637" s="564" t="s">
        <v>12077</v>
      </c>
      <c r="P6637" s="23"/>
      <c r="Q6637" s="23"/>
      <c r="R6637" s="23"/>
      <c r="S6637" s="23"/>
      <c r="T6637" s="23"/>
      <c r="U6637" s="23"/>
      <c r="V6637" s="23"/>
      <c r="W6637" s="23"/>
      <c r="X6637" s="23"/>
      <c r="Y6637" s="23"/>
      <c r="Z6637" s="23"/>
    </row>
    <row r="6638" spans="1:26" ht="13">
      <c r="A6638" s="562" t="s">
        <v>14438</v>
      </c>
      <c r="B6638" s="563" t="s">
        <v>14439</v>
      </c>
      <c r="C6638" s="564" t="s">
        <v>2484</v>
      </c>
      <c r="D6638" s="565">
        <v>39170</v>
      </c>
      <c r="E6638" s="565">
        <v>39386</v>
      </c>
      <c r="F6638" s="566">
        <v>350000000</v>
      </c>
      <c r="G6638" s="564" t="s">
        <v>2519</v>
      </c>
      <c r="H6638" s="564" t="s">
        <v>2519</v>
      </c>
      <c r="I6638" s="564" t="s">
        <v>14440</v>
      </c>
      <c r="J6638" s="564" t="s">
        <v>1069</v>
      </c>
      <c r="K6638" s="564" t="s">
        <v>2466</v>
      </c>
      <c r="L6638" s="564" t="s">
        <v>2467</v>
      </c>
      <c r="M6638" s="564" t="s">
        <v>2466</v>
      </c>
      <c r="N6638" s="564" t="s">
        <v>1082</v>
      </c>
      <c r="O6638" s="564" t="s">
        <v>12077</v>
      </c>
      <c r="P6638" s="23"/>
      <c r="Q6638" s="23"/>
      <c r="R6638" s="23"/>
      <c r="S6638" s="23"/>
      <c r="T6638" s="23"/>
      <c r="U6638" s="23"/>
      <c r="V6638" s="23"/>
      <c r="W6638" s="23"/>
      <c r="X6638" s="23"/>
      <c r="Y6638" s="23"/>
      <c r="Z6638" s="23"/>
    </row>
    <row r="6639" spans="1:26" ht="13">
      <c r="A6639" s="562" t="s">
        <v>14441</v>
      </c>
      <c r="B6639" s="563" t="s">
        <v>14442</v>
      </c>
      <c r="C6639" s="564" t="s">
        <v>2484</v>
      </c>
      <c r="D6639" s="565">
        <v>39227</v>
      </c>
      <c r="E6639" s="565">
        <v>39366</v>
      </c>
      <c r="F6639" s="566">
        <v>442104091</v>
      </c>
      <c r="G6639" s="564" t="s">
        <v>2485</v>
      </c>
      <c r="H6639" s="564" t="s">
        <v>2541</v>
      </c>
      <c r="I6639" s="564" t="s">
        <v>2438</v>
      </c>
      <c r="J6639" s="564" t="s">
        <v>1069</v>
      </c>
      <c r="K6639" s="564" t="s">
        <v>2466</v>
      </c>
      <c r="L6639" s="564" t="s">
        <v>2467</v>
      </c>
      <c r="M6639" s="564" t="s">
        <v>2466</v>
      </c>
      <c r="N6639" s="564" t="s">
        <v>2439</v>
      </c>
      <c r="O6639" s="564" t="s">
        <v>12077</v>
      </c>
      <c r="P6639" s="23"/>
      <c r="Q6639" s="23"/>
      <c r="R6639" s="23"/>
      <c r="S6639" s="23"/>
      <c r="T6639" s="23"/>
      <c r="U6639" s="23"/>
      <c r="V6639" s="23"/>
      <c r="W6639" s="23"/>
      <c r="X6639" s="23"/>
      <c r="Y6639" s="23"/>
      <c r="Z6639" s="23"/>
    </row>
    <row r="6640" spans="1:26" ht="13">
      <c r="A6640" s="562" t="s">
        <v>14443</v>
      </c>
      <c r="B6640" s="563" t="s">
        <v>14444</v>
      </c>
      <c r="C6640" s="564" t="s">
        <v>2484</v>
      </c>
      <c r="D6640" s="565">
        <v>39220</v>
      </c>
      <c r="E6640" s="565">
        <v>39436</v>
      </c>
      <c r="F6640" s="566">
        <v>156136364</v>
      </c>
      <c r="G6640" s="564" t="s">
        <v>12124</v>
      </c>
      <c r="H6640" s="564" t="s">
        <v>2519</v>
      </c>
      <c r="I6640" s="564" t="s">
        <v>2542</v>
      </c>
      <c r="J6640" s="564" t="s">
        <v>1069</v>
      </c>
      <c r="K6640" s="564" t="s">
        <v>2466</v>
      </c>
      <c r="L6640" s="564" t="s">
        <v>2467</v>
      </c>
      <c r="M6640" s="564" t="s">
        <v>2466</v>
      </c>
      <c r="N6640" s="564" t="s">
        <v>2543</v>
      </c>
      <c r="O6640" s="564" t="s">
        <v>12077</v>
      </c>
      <c r="P6640" s="23"/>
      <c r="Q6640" s="23"/>
      <c r="R6640" s="23"/>
      <c r="S6640" s="23"/>
      <c r="T6640" s="23"/>
      <c r="U6640" s="23"/>
      <c r="V6640" s="23"/>
      <c r="W6640" s="23"/>
      <c r="X6640" s="23"/>
      <c r="Y6640" s="23"/>
      <c r="Z6640" s="23"/>
    </row>
    <row r="6641" spans="1:26" ht="13">
      <c r="A6641" s="562" t="s">
        <v>14445</v>
      </c>
      <c r="B6641" s="563" t="s">
        <v>14446</v>
      </c>
      <c r="C6641" s="564" t="s">
        <v>2484</v>
      </c>
      <c r="D6641" s="565">
        <v>39143</v>
      </c>
      <c r="E6641" s="565">
        <v>39415</v>
      </c>
      <c r="F6641" s="566">
        <v>1027738427</v>
      </c>
      <c r="G6641" s="564" t="s">
        <v>13339</v>
      </c>
      <c r="H6641" s="564" t="s">
        <v>2541</v>
      </c>
      <c r="I6641" s="564" t="s">
        <v>12297</v>
      </c>
      <c r="J6641" s="564" t="s">
        <v>1069</v>
      </c>
      <c r="K6641" s="564" t="s">
        <v>2466</v>
      </c>
      <c r="L6641" s="564" t="s">
        <v>2467</v>
      </c>
      <c r="M6641" s="564" t="s">
        <v>2466</v>
      </c>
      <c r="N6641" s="564" t="s">
        <v>2439</v>
      </c>
      <c r="O6641" s="564" t="s">
        <v>12077</v>
      </c>
      <c r="P6641" s="23"/>
      <c r="Q6641" s="23"/>
      <c r="R6641" s="23"/>
      <c r="S6641" s="23"/>
      <c r="T6641" s="23"/>
      <c r="U6641" s="23"/>
      <c r="V6641" s="23"/>
      <c r="W6641" s="23"/>
      <c r="X6641" s="23"/>
      <c r="Y6641" s="23"/>
      <c r="Z6641" s="23"/>
    </row>
    <row r="6642" spans="1:26" ht="13">
      <c r="A6642" s="562" t="s">
        <v>14447</v>
      </c>
      <c r="B6642" s="563" t="s">
        <v>14448</v>
      </c>
      <c r="C6642" s="564" t="s">
        <v>2484</v>
      </c>
      <c r="D6642" s="565">
        <v>39143</v>
      </c>
      <c r="E6642" s="565">
        <v>39421</v>
      </c>
      <c r="F6642" s="566">
        <v>1014233855</v>
      </c>
      <c r="G6642" s="564" t="s">
        <v>13339</v>
      </c>
      <c r="H6642" s="564" t="s">
        <v>2541</v>
      </c>
      <c r="I6642" s="564" t="s">
        <v>12297</v>
      </c>
      <c r="J6642" s="564" t="s">
        <v>1069</v>
      </c>
      <c r="K6642" s="564" t="s">
        <v>2466</v>
      </c>
      <c r="L6642" s="564" t="s">
        <v>2467</v>
      </c>
      <c r="M6642" s="564" t="s">
        <v>2466</v>
      </c>
      <c r="N6642" s="564" t="s">
        <v>2439</v>
      </c>
      <c r="O6642" s="564" t="s">
        <v>12077</v>
      </c>
      <c r="P6642" s="23"/>
      <c r="Q6642" s="23"/>
      <c r="R6642" s="23"/>
      <c r="S6642" s="23"/>
      <c r="T6642" s="23"/>
      <c r="U6642" s="23"/>
      <c r="V6642" s="23"/>
      <c r="W6642" s="23"/>
      <c r="X6642" s="23"/>
      <c r="Y6642" s="23"/>
      <c r="Z6642" s="23"/>
    </row>
    <row r="6643" spans="1:26" ht="13">
      <c r="A6643" s="562" t="s">
        <v>14449</v>
      </c>
      <c r="B6643" s="563" t="s">
        <v>14450</v>
      </c>
      <c r="C6643" s="564" t="s">
        <v>2484</v>
      </c>
      <c r="D6643" s="565">
        <v>39155</v>
      </c>
      <c r="E6643" s="565">
        <v>39404</v>
      </c>
      <c r="F6643" s="566">
        <v>487800000</v>
      </c>
      <c r="G6643" s="564" t="s">
        <v>13339</v>
      </c>
      <c r="H6643" s="564" t="s">
        <v>2541</v>
      </c>
      <c r="I6643" s="564" t="s">
        <v>12297</v>
      </c>
      <c r="J6643" s="564" t="s">
        <v>1069</v>
      </c>
      <c r="K6643" s="564" t="s">
        <v>2466</v>
      </c>
      <c r="L6643" s="564" t="s">
        <v>2467</v>
      </c>
      <c r="M6643" s="564" t="s">
        <v>2466</v>
      </c>
      <c r="N6643" s="564" t="s">
        <v>2439</v>
      </c>
      <c r="O6643" s="564" t="s">
        <v>12077</v>
      </c>
      <c r="P6643" s="23"/>
      <c r="Q6643" s="23"/>
      <c r="R6643" s="23"/>
      <c r="S6643" s="23"/>
      <c r="T6643" s="23"/>
      <c r="U6643" s="23"/>
      <c r="V6643" s="23"/>
      <c r="W6643" s="23"/>
      <c r="X6643" s="23"/>
      <c r="Y6643" s="23"/>
      <c r="Z6643" s="23"/>
    </row>
    <row r="6644" spans="1:26" ht="13">
      <c r="A6644" s="562" t="s">
        <v>14451</v>
      </c>
      <c r="B6644" s="563" t="s">
        <v>14452</v>
      </c>
      <c r="C6644" s="564" t="s">
        <v>2484</v>
      </c>
      <c r="D6644" s="565">
        <v>39436</v>
      </c>
      <c r="E6644" s="565">
        <v>39801</v>
      </c>
      <c r="F6644" s="566">
        <v>399572727</v>
      </c>
      <c r="G6644" s="564" t="s">
        <v>12124</v>
      </c>
      <c r="H6644" s="564" t="s">
        <v>2459</v>
      </c>
      <c r="I6644" s="564" t="s">
        <v>13164</v>
      </c>
      <c r="J6644" s="564" t="s">
        <v>1069</v>
      </c>
      <c r="K6644" s="564" t="s">
        <v>2466</v>
      </c>
      <c r="L6644" s="564" t="s">
        <v>2467</v>
      </c>
      <c r="M6644" s="564" t="s">
        <v>2466</v>
      </c>
      <c r="N6644" s="564" t="s">
        <v>2543</v>
      </c>
      <c r="O6644" s="564" t="s">
        <v>12077</v>
      </c>
      <c r="P6644" s="23"/>
      <c r="Q6644" s="23"/>
      <c r="R6644" s="23"/>
      <c r="S6644" s="23"/>
      <c r="T6644" s="23"/>
      <c r="U6644" s="23"/>
      <c r="V6644" s="23"/>
      <c r="W6644" s="23"/>
      <c r="X6644" s="23"/>
      <c r="Y6644" s="23"/>
      <c r="Z6644" s="23"/>
    </row>
    <row r="6645" spans="1:26" ht="13">
      <c r="A6645" s="562" t="s">
        <v>14453</v>
      </c>
      <c r="B6645" s="563" t="s">
        <v>14454</v>
      </c>
      <c r="C6645" s="564" t="s">
        <v>2484</v>
      </c>
      <c r="D6645" s="565">
        <v>39405</v>
      </c>
      <c r="E6645" s="565">
        <v>39770</v>
      </c>
      <c r="F6645" s="566">
        <v>354545455</v>
      </c>
      <c r="G6645" s="564" t="s">
        <v>2464</v>
      </c>
      <c r="H6645" s="564" t="s">
        <v>2541</v>
      </c>
      <c r="I6645" s="564" t="s">
        <v>13855</v>
      </c>
      <c r="J6645" s="564" t="s">
        <v>1069</v>
      </c>
      <c r="K6645" s="564" t="s">
        <v>2466</v>
      </c>
      <c r="L6645" s="564" t="s">
        <v>2467</v>
      </c>
      <c r="M6645" s="564" t="s">
        <v>2466</v>
      </c>
      <c r="N6645" s="564" t="s">
        <v>2543</v>
      </c>
      <c r="O6645" s="564" t="s">
        <v>12077</v>
      </c>
      <c r="P6645" s="23"/>
      <c r="Q6645" s="23"/>
      <c r="R6645" s="23"/>
      <c r="S6645" s="23"/>
      <c r="T6645" s="23"/>
      <c r="U6645" s="23"/>
      <c r="V6645" s="23"/>
      <c r="W6645" s="23"/>
      <c r="X6645" s="23"/>
      <c r="Y6645" s="23"/>
      <c r="Z6645" s="23"/>
    </row>
    <row r="6646" spans="1:26" ht="13">
      <c r="A6646" s="562" t="s">
        <v>14455</v>
      </c>
      <c r="B6646" s="563" t="s">
        <v>14456</v>
      </c>
      <c r="C6646" s="564" t="s">
        <v>2484</v>
      </c>
      <c r="D6646" s="565">
        <v>39407</v>
      </c>
      <c r="E6646" s="565">
        <v>40501</v>
      </c>
      <c r="F6646" s="566">
        <v>1939477273</v>
      </c>
      <c r="G6646" s="564" t="s">
        <v>12104</v>
      </c>
      <c r="H6646" s="564" t="s">
        <v>12125</v>
      </c>
      <c r="I6646" s="564" t="s">
        <v>14321</v>
      </c>
      <c r="J6646" s="564" t="s">
        <v>1069</v>
      </c>
      <c r="K6646" s="564" t="s">
        <v>2466</v>
      </c>
      <c r="L6646" s="564" t="s">
        <v>2467</v>
      </c>
      <c r="M6646" s="564" t="s">
        <v>2466</v>
      </c>
      <c r="N6646" s="564" t="s">
        <v>2543</v>
      </c>
      <c r="O6646" s="564" t="s">
        <v>12077</v>
      </c>
      <c r="P6646" s="23"/>
      <c r="Q6646" s="23"/>
      <c r="R6646" s="23"/>
      <c r="S6646" s="23"/>
      <c r="T6646" s="23"/>
      <c r="U6646" s="23"/>
      <c r="V6646" s="23"/>
      <c r="W6646" s="23"/>
      <c r="X6646" s="23"/>
      <c r="Y6646" s="23"/>
      <c r="Z6646" s="23"/>
    </row>
    <row r="6647" spans="1:26" ht="13">
      <c r="A6647" s="562" t="s">
        <v>14457</v>
      </c>
      <c r="B6647" s="563" t="s">
        <v>14458</v>
      </c>
      <c r="C6647" s="564" t="s">
        <v>2484</v>
      </c>
      <c r="D6647" s="565">
        <v>39374</v>
      </c>
      <c r="E6647" s="565">
        <v>39494</v>
      </c>
      <c r="F6647" s="566">
        <v>432437636</v>
      </c>
      <c r="G6647" s="564" t="s">
        <v>12586</v>
      </c>
      <c r="H6647" s="564" t="s">
        <v>12096</v>
      </c>
      <c r="I6647" s="564" t="s">
        <v>13621</v>
      </c>
      <c r="J6647" s="564" t="s">
        <v>1069</v>
      </c>
      <c r="K6647" s="564" t="s">
        <v>2466</v>
      </c>
      <c r="L6647" s="564" t="s">
        <v>2467</v>
      </c>
      <c r="M6647" s="564" t="s">
        <v>2466</v>
      </c>
      <c r="N6647" s="564" t="s">
        <v>2543</v>
      </c>
      <c r="O6647" s="564" t="s">
        <v>12077</v>
      </c>
      <c r="P6647" s="23"/>
      <c r="Q6647" s="23"/>
      <c r="R6647" s="23"/>
      <c r="S6647" s="23"/>
      <c r="T6647" s="23"/>
      <c r="U6647" s="23"/>
      <c r="V6647" s="23"/>
      <c r="W6647" s="23"/>
      <c r="X6647" s="23"/>
      <c r="Y6647" s="23"/>
      <c r="Z6647" s="23"/>
    </row>
    <row r="6648" spans="1:26" ht="13">
      <c r="A6648" s="562" t="s">
        <v>14459</v>
      </c>
      <c r="B6648" s="563" t="s">
        <v>14460</v>
      </c>
      <c r="C6648" s="564" t="s">
        <v>2484</v>
      </c>
      <c r="D6648" s="565">
        <v>39364</v>
      </c>
      <c r="E6648" s="565">
        <v>40563</v>
      </c>
      <c r="F6648" s="566">
        <v>1399609091</v>
      </c>
      <c r="G6648" s="564" t="s">
        <v>12075</v>
      </c>
      <c r="H6648" s="564" t="s">
        <v>12125</v>
      </c>
      <c r="I6648" s="564" t="s">
        <v>14461</v>
      </c>
      <c r="J6648" s="564" t="s">
        <v>1069</v>
      </c>
      <c r="K6648" s="564" t="s">
        <v>2466</v>
      </c>
      <c r="L6648" s="564" t="s">
        <v>2467</v>
      </c>
      <c r="M6648" s="564" t="s">
        <v>2466</v>
      </c>
      <c r="N6648" s="564" t="s">
        <v>2543</v>
      </c>
      <c r="O6648" s="564" t="s">
        <v>12077</v>
      </c>
      <c r="P6648" s="23"/>
      <c r="Q6648" s="23"/>
      <c r="R6648" s="23"/>
      <c r="S6648" s="23"/>
      <c r="T6648" s="23"/>
      <c r="U6648" s="23"/>
      <c r="V6648" s="23"/>
      <c r="W6648" s="23"/>
      <c r="X6648" s="23"/>
      <c r="Y6648" s="23"/>
      <c r="Z6648" s="23"/>
    </row>
    <row r="6649" spans="1:26" ht="13">
      <c r="A6649" s="562" t="s">
        <v>14462</v>
      </c>
      <c r="B6649" s="563" t="s">
        <v>14463</v>
      </c>
      <c r="C6649" s="564" t="s">
        <v>2484</v>
      </c>
      <c r="D6649" s="565">
        <v>39377</v>
      </c>
      <c r="E6649" s="565">
        <v>39526</v>
      </c>
      <c r="F6649" s="566">
        <v>52248182</v>
      </c>
      <c r="G6649" s="564" t="s">
        <v>2518</v>
      </c>
      <c r="H6649" s="564" t="s">
        <v>2546</v>
      </c>
      <c r="I6649" s="564" t="s">
        <v>14464</v>
      </c>
      <c r="J6649" s="564" t="s">
        <v>1069</v>
      </c>
      <c r="K6649" s="564" t="s">
        <v>2466</v>
      </c>
      <c r="L6649" s="564" t="s">
        <v>2467</v>
      </c>
      <c r="M6649" s="564" t="s">
        <v>2466</v>
      </c>
      <c r="N6649" s="564" t="s">
        <v>2543</v>
      </c>
      <c r="O6649" s="564" t="s">
        <v>12077</v>
      </c>
      <c r="P6649" s="23"/>
      <c r="Q6649" s="23"/>
      <c r="R6649" s="23"/>
      <c r="S6649" s="23"/>
      <c r="T6649" s="23"/>
      <c r="U6649" s="23"/>
      <c r="V6649" s="23"/>
      <c r="W6649" s="23"/>
      <c r="X6649" s="23"/>
      <c r="Y6649" s="23"/>
      <c r="Z6649" s="23"/>
    </row>
    <row r="6650" spans="1:26" ht="13">
      <c r="A6650" s="562" t="s">
        <v>14465</v>
      </c>
      <c r="B6650" s="563" t="s">
        <v>14466</v>
      </c>
      <c r="C6650" s="564" t="s">
        <v>2484</v>
      </c>
      <c r="D6650" s="565">
        <v>39365</v>
      </c>
      <c r="E6650" s="565">
        <v>39516</v>
      </c>
      <c r="F6650" s="566">
        <v>73500000</v>
      </c>
      <c r="G6650" s="564" t="s">
        <v>13379</v>
      </c>
      <c r="H6650" s="564" t="s">
        <v>12096</v>
      </c>
      <c r="I6650" s="564" t="s">
        <v>2515</v>
      </c>
      <c r="J6650" s="564" t="s">
        <v>1069</v>
      </c>
      <c r="K6650" s="564" t="s">
        <v>2466</v>
      </c>
      <c r="L6650" s="564" t="s">
        <v>2467</v>
      </c>
      <c r="M6650" s="564" t="s">
        <v>2466</v>
      </c>
      <c r="N6650" s="564" t="s">
        <v>2325</v>
      </c>
      <c r="O6650" s="564" t="s">
        <v>12077</v>
      </c>
      <c r="P6650" s="23"/>
      <c r="Q6650" s="23"/>
      <c r="R6650" s="23"/>
      <c r="S6650" s="23"/>
      <c r="T6650" s="23"/>
      <c r="U6650" s="23"/>
      <c r="V6650" s="23"/>
      <c r="W6650" s="23"/>
      <c r="X6650" s="23"/>
      <c r="Y6650" s="23"/>
      <c r="Z6650" s="23"/>
    </row>
    <row r="6651" spans="1:26" ht="13">
      <c r="A6651" s="562" t="s">
        <v>14467</v>
      </c>
      <c r="B6651" s="563" t="s">
        <v>14468</v>
      </c>
      <c r="C6651" s="564" t="s">
        <v>2484</v>
      </c>
      <c r="D6651" s="565">
        <v>39353</v>
      </c>
      <c r="E6651" s="565">
        <v>40312</v>
      </c>
      <c r="F6651" s="566">
        <v>1990181818</v>
      </c>
      <c r="G6651" s="564" t="s">
        <v>14469</v>
      </c>
      <c r="H6651" s="564" t="s">
        <v>12120</v>
      </c>
      <c r="I6651" s="564" t="s">
        <v>14470</v>
      </c>
      <c r="J6651" s="564" t="s">
        <v>1069</v>
      </c>
      <c r="K6651" s="564" t="s">
        <v>2466</v>
      </c>
      <c r="L6651" s="564" t="s">
        <v>2467</v>
      </c>
      <c r="M6651" s="564" t="s">
        <v>2466</v>
      </c>
      <c r="N6651" s="564" t="s">
        <v>2543</v>
      </c>
      <c r="O6651" s="564" t="s">
        <v>12077</v>
      </c>
      <c r="P6651" s="23"/>
      <c r="Q6651" s="23"/>
      <c r="R6651" s="23"/>
      <c r="S6651" s="23"/>
      <c r="T6651" s="23"/>
      <c r="U6651" s="23"/>
      <c r="V6651" s="23"/>
      <c r="W6651" s="23"/>
      <c r="X6651" s="23"/>
      <c r="Y6651" s="23"/>
      <c r="Z6651" s="23"/>
    </row>
    <row r="6652" spans="1:26" ht="13">
      <c r="A6652" s="562" t="s">
        <v>14471</v>
      </c>
      <c r="B6652" s="563" t="s">
        <v>14472</v>
      </c>
      <c r="C6652" s="564" t="s">
        <v>2484</v>
      </c>
      <c r="D6652" s="565">
        <v>39339</v>
      </c>
      <c r="E6652" s="565">
        <v>39460</v>
      </c>
      <c r="F6652" s="566">
        <v>116072727</v>
      </c>
      <c r="G6652" s="564" t="s">
        <v>12129</v>
      </c>
      <c r="H6652" s="564" t="s">
        <v>2459</v>
      </c>
      <c r="I6652" s="564" t="s">
        <v>12361</v>
      </c>
      <c r="J6652" s="564" t="s">
        <v>1069</v>
      </c>
      <c r="K6652" s="564" t="s">
        <v>2466</v>
      </c>
      <c r="L6652" s="564" t="s">
        <v>2467</v>
      </c>
      <c r="M6652" s="564" t="s">
        <v>2466</v>
      </c>
      <c r="N6652" s="564" t="s">
        <v>2543</v>
      </c>
      <c r="O6652" s="564" t="s">
        <v>12077</v>
      </c>
      <c r="P6652" s="23"/>
      <c r="Q6652" s="23"/>
      <c r="R6652" s="23"/>
      <c r="S6652" s="23"/>
      <c r="T6652" s="23"/>
      <c r="U6652" s="23"/>
      <c r="V6652" s="23"/>
      <c r="W6652" s="23"/>
      <c r="X6652" s="23"/>
      <c r="Y6652" s="23"/>
      <c r="Z6652" s="23"/>
    </row>
    <row r="6653" spans="1:26" ht="13">
      <c r="A6653" s="562" t="s">
        <v>14473</v>
      </c>
      <c r="B6653" s="563" t="s">
        <v>14474</v>
      </c>
      <c r="C6653" s="564" t="s">
        <v>2484</v>
      </c>
      <c r="D6653" s="565">
        <v>39325</v>
      </c>
      <c r="E6653" s="565">
        <v>39511</v>
      </c>
      <c r="F6653" s="566">
        <v>280000000</v>
      </c>
      <c r="G6653" s="564" t="s">
        <v>12124</v>
      </c>
      <c r="H6653" s="564" t="s">
        <v>2459</v>
      </c>
      <c r="I6653" s="564" t="s">
        <v>14475</v>
      </c>
      <c r="J6653" s="564" t="s">
        <v>1069</v>
      </c>
      <c r="K6653" s="564" t="s">
        <v>2466</v>
      </c>
      <c r="L6653" s="564" t="s">
        <v>2467</v>
      </c>
      <c r="M6653" s="564" t="s">
        <v>2466</v>
      </c>
      <c r="N6653" s="564" t="s">
        <v>2543</v>
      </c>
      <c r="O6653" s="564" t="s">
        <v>12077</v>
      </c>
      <c r="P6653" s="23"/>
      <c r="Q6653" s="23"/>
      <c r="R6653" s="23"/>
      <c r="S6653" s="23"/>
      <c r="T6653" s="23"/>
      <c r="U6653" s="23"/>
      <c r="V6653" s="23"/>
      <c r="W6653" s="23"/>
      <c r="X6653" s="23"/>
      <c r="Y6653" s="23"/>
      <c r="Z6653" s="23"/>
    </row>
    <row r="6654" spans="1:26" ht="13">
      <c r="A6654" s="562" t="s">
        <v>14476</v>
      </c>
      <c r="B6654" s="563" t="s">
        <v>14477</v>
      </c>
      <c r="C6654" s="564" t="s">
        <v>2484</v>
      </c>
      <c r="D6654" s="565">
        <v>39323</v>
      </c>
      <c r="E6654" s="565">
        <v>39503</v>
      </c>
      <c r="F6654" s="566">
        <v>196363636</v>
      </c>
      <c r="G6654" s="564" t="s">
        <v>12337</v>
      </c>
      <c r="H6654" s="564" t="s">
        <v>13382</v>
      </c>
      <c r="I6654" s="564" t="s">
        <v>14478</v>
      </c>
      <c r="J6654" s="564" t="s">
        <v>1069</v>
      </c>
      <c r="K6654" s="564" t="s">
        <v>2466</v>
      </c>
      <c r="L6654" s="564" t="s">
        <v>2467</v>
      </c>
      <c r="M6654" s="564" t="s">
        <v>2466</v>
      </c>
      <c r="N6654" s="564" t="s">
        <v>2543</v>
      </c>
      <c r="O6654" s="564" t="s">
        <v>12077</v>
      </c>
      <c r="P6654" s="23"/>
      <c r="Q6654" s="23"/>
      <c r="R6654" s="23"/>
      <c r="S6654" s="23"/>
      <c r="T6654" s="23"/>
      <c r="U6654" s="23"/>
      <c r="V6654" s="23"/>
      <c r="W6654" s="23"/>
      <c r="X6654" s="23"/>
      <c r="Y6654" s="23"/>
      <c r="Z6654" s="23"/>
    </row>
    <row r="6655" spans="1:26" ht="13">
      <c r="A6655" s="562" t="s">
        <v>14479</v>
      </c>
      <c r="B6655" s="563" t="s">
        <v>14480</v>
      </c>
      <c r="C6655" s="564" t="s">
        <v>2484</v>
      </c>
      <c r="D6655" s="565">
        <v>39325</v>
      </c>
      <c r="E6655" s="565">
        <v>39690</v>
      </c>
      <c r="F6655" s="566">
        <v>364827273</v>
      </c>
      <c r="G6655" s="564" t="s">
        <v>12129</v>
      </c>
      <c r="H6655" s="564" t="s">
        <v>2459</v>
      </c>
      <c r="I6655" s="564" t="s">
        <v>12361</v>
      </c>
      <c r="J6655" s="564" t="s">
        <v>1069</v>
      </c>
      <c r="K6655" s="564" t="s">
        <v>2466</v>
      </c>
      <c r="L6655" s="564" t="s">
        <v>2467</v>
      </c>
      <c r="M6655" s="564" t="s">
        <v>2466</v>
      </c>
      <c r="N6655" s="564" t="s">
        <v>2543</v>
      </c>
      <c r="O6655" s="564" t="s">
        <v>12077</v>
      </c>
      <c r="P6655" s="23"/>
      <c r="Q6655" s="23"/>
      <c r="R6655" s="23"/>
      <c r="S6655" s="23"/>
      <c r="T6655" s="23"/>
      <c r="U6655" s="23"/>
      <c r="V6655" s="23"/>
      <c r="W6655" s="23"/>
      <c r="X6655" s="23"/>
      <c r="Y6655" s="23"/>
      <c r="Z6655" s="23"/>
    </row>
    <row r="6656" spans="1:26" ht="13">
      <c r="A6656" s="562" t="s">
        <v>14481</v>
      </c>
      <c r="B6656" s="563" t="s">
        <v>14482</v>
      </c>
      <c r="C6656" s="564" t="s">
        <v>2484</v>
      </c>
      <c r="D6656" s="565">
        <v>39267</v>
      </c>
      <c r="E6656" s="565">
        <v>39724</v>
      </c>
      <c r="F6656" s="566">
        <v>174545454</v>
      </c>
      <c r="G6656" s="564" t="s">
        <v>12268</v>
      </c>
      <c r="H6656" s="564" t="s">
        <v>12096</v>
      </c>
      <c r="I6656" s="564" t="s">
        <v>13621</v>
      </c>
      <c r="J6656" s="564" t="s">
        <v>1069</v>
      </c>
      <c r="K6656" s="564" t="s">
        <v>2466</v>
      </c>
      <c r="L6656" s="564" t="s">
        <v>2467</v>
      </c>
      <c r="M6656" s="564" t="s">
        <v>2466</v>
      </c>
      <c r="N6656" s="564" t="s">
        <v>2543</v>
      </c>
      <c r="O6656" s="564" t="s">
        <v>12077</v>
      </c>
      <c r="P6656" s="23"/>
      <c r="Q6656" s="23"/>
      <c r="R6656" s="23"/>
      <c r="S6656" s="23"/>
      <c r="T6656" s="23"/>
      <c r="U6656" s="23"/>
      <c r="V6656" s="23"/>
      <c r="W6656" s="23"/>
      <c r="X6656" s="23"/>
      <c r="Y6656" s="23"/>
      <c r="Z6656" s="23"/>
    </row>
    <row r="6657" spans="1:26" ht="13">
      <c r="A6657" s="562" t="s">
        <v>14483</v>
      </c>
      <c r="B6657" s="563" t="s">
        <v>14484</v>
      </c>
      <c r="C6657" s="564" t="s">
        <v>2484</v>
      </c>
      <c r="D6657" s="565">
        <v>39279</v>
      </c>
      <c r="E6657" s="565">
        <v>39518</v>
      </c>
      <c r="F6657" s="566">
        <v>80000000</v>
      </c>
      <c r="G6657" s="564" t="s">
        <v>2323</v>
      </c>
      <c r="H6657" s="564" t="s">
        <v>12120</v>
      </c>
      <c r="I6657" s="564" t="s">
        <v>12319</v>
      </c>
      <c r="J6657" s="564" t="s">
        <v>1069</v>
      </c>
      <c r="K6657" s="564" t="s">
        <v>2466</v>
      </c>
      <c r="L6657" s="564" t="s">
        <v>2467</v>
      </c>
      <c r="M6657" s="564" t="s">
        <v>2466</v>
      </c>
      <c r="N6657" s="564" t="s">
        <v>2439</v>
      </c>
      <c r="O6657" s="564" t="s">
        <v>12077</v>
      </c>
      <c r="P6657" s="23"/>
      <c r="Q6657" s="23"/>
      <c r="R6657" s="23"/>
      <c r="S6657" s="23"/>
      <c r="T6657" s="23"/>
      <c r="U6657" s="23"/>
      <c r="V6657" s="23"/>
      <c r="W6657" s="23"/>
      <c r="X6657" s="23"/>
      <c r="Y6657" s="23"/>
      <c r="Z6657" s="23"/>
    </row>
    <row r="6658" spans="1:26" ht="13">
      <c r="A6658" s="562" t="s">
        <v>14485</v>
      </c>
      <c r="B6658" s="563" t="s">
        <v>14486</v>
      </c>
      <c r="C6658" s="564" t="s">
        <v>2484</v>
      </c>
      <c r="D6658" s="565">
        <v>39325</v>
      </c>
      <c r="E6658" s="565">
        <v>40337</v>
      </c>
      <c r="F6658" s="566">
        <v>2170000000</v>
      </c>
      <c r="G6658" s="564" t="s">
        <v>14487</v>
      </c>
      <c r="H6658" s="564" t="s">
        <v>12120</v>
      </c>
      <c r="I6658" s="564" t="s">
        <v>14488</v>
      </c>
      <c r="J6658" s="564" t="s">
        <v>1069</v>
      </c>
      <c r="K6658" s="564" t="s">
        <v>2466</v>
      </c>
      <c r="L6658" s="564" t="s">
        <v>2467</v>
      </c>
      <c r="M6658" s="564" t="s">
        <v>2466</v>
      </c>
      <c r="N6658" s="564" t="s">
        <v>2543</v>
      </c>
      <c r="O6658" s="564" t="s">
        <v>12077</v>
      </c>
      <c r="P6658" s="23"/>
      <c r="Q6658" s="23"/>
      <c r="R6658" s="23"/>
      <c r="S6658" s="23"/>
      <c r="T6658" s="23"/>
      <c r="U6658" s="23"/>
      <c r="V6658" s="23"/>
      <c r="W6658" s="23"/>
      <c r="X6658" s="23"/>
      <c r="Y6658" s="23"/>
      <c r="Z6658" s="23"/>
    </row>
    <row r="6659" spans="1:26" ht="13">
      <c r="A6659" s="562" t="s">
        <v>14489</v>
      </c>
      <c r="B6659" s="563" t="s">
        <v>14490</v>
      </c>
      <c r="C6659" s="564" t="s">
        <v>2484</v>
      </c>
      <c r="D6659" s="565">
        <v>39300</v>
      </c>
      <c r="E6659" s="565">
        <v>40760</v>
      </c>
      <c r="F6659" s="566">
        <v>1818063636</v>
      </c>
      <c r="G6659" s="564" t="s">
        <v>14087</v>
      </c>
      <c r="H6659" s="564" t="s">
        <v>12096</v>
      </c>
      <c r="I6659" s="564" t="s">
        <v>9792</v>
      </c>
      <c r="J6659" s="564" t="s">
        <v>1069</v>
      </c>
      <c r="K6659" s="564" t="s">
        <v>2466</v>
      </c>
      <c r="L6659" s="564" t="s">
        <v>2467</v>
      </c>
      <c r="M6659" s="564" t="s">
        <v>2466</v>
      </c>
      <c r="N6659" s="564" t="s">
        <v>2543</v>
      </c>
      <c r="O6659" s="564" t="s">
        <v>12077</v>
      </c>
      <c r="P6659" s="23"/>
      <c r="Q6659" s="23"/>
      <c r="R6659" s="23"/>
      <c r="S6659" s="23"/>
      <c r="T6659" s="23"/>
      <c r="U6659" s="23"/>
      <c r="V6659" s="23"/>
      <c r="W6659" s="23"/>
      <c r="X6659" s="23"/>
      <c r="Y6659" s="23"/>
      <c r="Z6659" s="23"/>
    </row>
    <row r="6660" spans="1:26" ht="13">
      <c r="A6660" s="562" t="s">
        <v>14491</v>
      </c>
      <c r="B6660" s="563" t="s">
        <v>14492</v>
      </c>
      <c r="C6660" s="564" t="s">
        <v>2484</v>
      </c>
      <c r="D6660" s="565">
        <v>39300</v>
      </c>
      <c r="E6660" s="565">
        <v>39540</v>
      </c>
      <c r="F6660" s="566">
        <v>647945455</v>
      </c>
      <c r="G6660" s="564" t="s">
        <v>2536</v>
      </c>
      <c r="H6660" s="564" t="s">
        <v>12096</v>
      </c>
      <c r="I6660" s="564" t="s">
        <v>12297</v>
      </c>
      <c r="J6660" s="564" t="s">
        <v>1069</v>
      </c>
      <c r="K6660" s="564" t="s">
        <v>2466</v>
      </c>
      <c r="L6660" s="564" t="s">
        <v>2467</v>
      </c>
      <c r="M6660" s="564" t="s">
        <v>2466</v>
      </c>
      <c r="N6660" s="564" t="s">
        <v>2439</v>
      </c>
      <c r="O6660" s="564" t="s">
        <v>12077</v>
      </c>
      <c r="P6660" s="23"/>
      <c r="Q6660" s="23"/>
      <c r="R6660" s="23"/>
      <c r="S6660" s="23"/>
      <c r="T6660" s="23"/>
      <c r="U6660" s="23"/>
      <c r="V6660" s="23"/>
      <c r="W6660" s="23"/>
      <c r="X6660" s="23"/>
      <c r="Y6660" s="23"/>
      <c r="Z6660" s="23"/>
    </row>
    <row r="6661" spans="1:26" ht="13">
      <c r="A6661" s="562" t="s">
        <v>14493</v>
      </c>
      <c r="B6661" s="563" t="s">
        <v>14494</v>
      </c>
      <c r="C6661" s="564" t="s">
        <v>2484</v>
      </c>
      <c r="D6661" s="565">
        <v>39288</v>
      </c>
      <c r="E6661" s="565">
        <v>39498</v>
      </c>
      <c r="F6661" s="566">
        <v>333272727</v>
      </c>
      <c r="G6661" s="564" t="s">
        <v>12592</v>
      </c>
      <c r="H6661" s="564" t="s">
        <v>13382</v>
      </c>
      <c r="I6661" s="564" t="s">
        <v>2542</v>
      </c>
      <c r="J6661" s="564" t="s">
        <v>1069</v>
      </c>
      <c r="K6661" s="564" t="s">
        <v>2466</v>
      </c>
      <c r="L6661" s="564" t="s">
        <v>2467</v>
      </c>
      <c r="M6661" s="564" t="s">
        <v>2466</v>
      </c>
      <c r="N6661" s="564" t="s">
        <v>2543</v>
      </c>
      <c r="O6661" s="564" t="s">
        <v>12077</v>
      </c>
      <c r="P6661" s="23"/>
      <c r="Q6661" s="23"/>
      <c r="R6661" s="23"/>
      <c r="S6661" s="23"/>
      <c r="T6661" s="23"/>
      <c r="U6661" s="23"/>
      <c r="V6661" s="23"/>
      <c r="W6661" s="23"/>
      <c r="X6661" s="23"/>
      <c r="Y6661" s="23"/>
      <c r="Z6661" s="23"/>
    </row>
    <row r="6662" spans="1:26" ht="13">
      <c r="A6662" s="562" t="s">
        <v>14495</v>
      </c>
      <c r="B6662" s="563" t="s">
        <v>14496</v>
      </c>
      <c r="C6662" s="564" t="s">
        <v>2484</v>
      </c>
      <c r="D6662" s="565">
        <v>39274</v>
      </c>
      <c r="E6662" s="565">
        <v>39453</v>
      </c>
      <c r="F6662" s="566">
        <v>198681818</v>
      </c>
      <c r="G6662" s="564" t="s">
        <v>2540</v>
      </c>
      <c r="H6662" s="564" t="s">
        <v>2541</v>
      </c>
      <c r="I6662" s="564" t="s">
        <v>12130</v>
      </c>
      <c r="J6662" s="564" t="s">
        <v>1069</v>
      </c>
      <c r="K6662" s="564" t="s">
        <v>2466</v>
      </c>
      <c r="L6662" s="564" t="s">
        <v>2467</v>
      </c>
      <c r="M6662" s="564" t="s">
        <v>2466</v>
      </c>
      <c r="N6662" s="564" t="s">
        <v>2543</v>
      </c>
      <c r="O6662" s="564" t="s">
        <v>12077</v>
      </c>
      <c r="P6662" s="23"/>
      <c r="Q6662" s="23"/>
      <c r="R6662" s="23"/>
      <c r="S6662" s="23"/>
      <c r="T6662" s="23"/>
      <c r="U6662" s="23"/>
      <c r="V6662" s="23"/>
      <c r="W6662" s="23"/>
      <c r="X6662" s="23"/>
      <c r="Y6662" s="23"/>
      <c r="Z6662" s="23"/>
    </row>
    <row r="6663" spans="1:26" ht="13">
      <c r="A6663" s="562" t="s">
        <v>14497</v>
      </c>
      <c r="B6663" s="563" t="s">
        <v>14498</v>
      </c>
      <c r="C6663" s="564" t="s">
        <v>2484</v>
      </c>
      <c r="D6663" s="565">
        <v>39273</v>
      </c>
      <c r="E6663" s="565">
        <v>39483</v>
      </c>
      <c r="F6663" s="566">
        <v>351612727</v>
      </c>
      <c r="G6663" s="564" t="s">
        <v>12075</v>
      </c>
      <c r="H6663" s="564" t="s">
        <v>12120</v>
      </c>
      <c r="I6663" s="564" t="s">
        <v>14282</v>
      </c>
      <c r="J6663" s="564" t="s">
        <v>1069</v>
      </c>
      <c r="K6663" s="564" t="s">
        <v>2466</v>
      </c>
      <c r="L6663" s="564" t="s">
        <v>2467</v>
      </c>
      <c r="M6663" s="564" t="s">
        <v>2466</v>
      </c>
      <c r="N6663" s="564" t="s">
        <v>2543</v>
      </c>
      <c r="O6663" s="564" t="s">
        <v>12077</v>
      </c>
      <c r="P6663" s="23"/>
      <c r="Q6663" s="23"/>
      <c r="R6663" s="23"/>
      <c r="S6663" s="23"/>
      <c r="T6663" s="23"/>
      <c r="U6663" s="23"/>
      <c r="V6663" s="23"/>
      <c r="W6663" s="23"/>
      <c r="X6663" s="23"/>
      <c r="Y6663" s="23"/>
      <c r="Z6663" s="23"/>
    </row>
    <row r="6664" spans="1:26" ht="13">
      <c r="A6664" s="562" t="s">
        <v>14499</v>
      </c>
      <c r="B6664" s="563" t="s">
        <v>14500</v>
      </c>
      <c r="C6664" s="564" t="s">
        <v>2484</v>
      </c>
      <c r="D6664" s="565">
        <v>39260</v>
      </c>
      <c r="E6664" s="565">
        <v>39473</v>
      </c>
      <c r="F6664" s="566">
        <v>108181818</v>
      </c>
      <c r="G6664" s="564" t="s">
        <v>12124</v>
      </c>
      <c r="H6664" s="564" t="s">
        <v>12125</v>
      </c>
      <c r="I6664" s="564" t="s">
        <v>12147</v>
      </c>
      <c r="J6664" s="564" t="s">
        <v>1069</v>
      </c>
      <c r="K6664" s="564" t="s">
        <v>2466</v>
      </c>
      <c r="L6664" s="564" t="s">
        <v>2467</v>
      </c>
      <c r="M6664" s="564" t="s">
        <v>2466</v>
      </c>
      <c r="N6664" s="564" t="s">
        <v>2543</v>
      </c>
      <c r="O6664" s="564" t="s">
        <v>12077</v>
      </c>
      <c r="P6664" s="23"/>
      <c r="Q6664" s="23"/>
      <c r="R6664" s="23"/>
      <c r="S6664" s="23"/>
      <c r="T6664" s="23"/>
      <c r="U6664" s="23"/>
      <c r="V6664" s="23"/>
      <c r="W6664" s="23"/>
      <c r="X6664" s="23"/>
      <c r="Y6664" s="23"/>
      <c r="Z6664" s="23"/>
    </row>
    <row r="6665" spans="1:26" ht="13">
      <c r="A6665" s="562" t="s">
        <v>14501</v>
      </c>
      <c r="B6665" s="563" t="s">
        <v>14502</v>
      </c>
      <c r="C6665" s="564" t="s">
        <v>2484</v>
      </c>
      <c r="D6665" s="565">
        <v>39255</v>
      </c>
      <c r="E6665" s="565">
        <v>39434</v>
      </c>
      <c r="F6665" s="566">
        <v>47600000</v>
      </c>
      <c r="G6665" s="564" t="s">
        <v>12268</v>
      </c>
      <c r="H6665" s="564" t="s">
        <v>13382</v>
      </c>
      <c r="I6665" s="564" t="s">
        <v>12334</v>
      </c>
      <c r="J6665" s="564" t="s">
        <v>1069</v>
      </c>
      <c r="K6665" s="564" t="s">
        <v>2466</v>
      </c>
      <c r="L6665" s="564" t="s">
        <v>2467</v>
      </c>
      <c r="M6665" s="564" t="s">
        <v>2466</v>
      </c>
      <c r="N6665" s="564" t="s">
        <v>2439</v>
      </c>
      <c r="O6665" s="564" t="s">
        <v>12077</v>
      </c>
      <c r="P6665" s="23"/>
      <c r="Q6665" s="23"/>
      <c r="R6665" s="23"/>
      <c r="S6665" s="23"/>
      <c r="T6665" s="23"/>
      <c r="U6665" s="23"/>
      <c r="V6665" s="23"/>
      <c r="W6665" s="23"/>
      <c r="X6665" s="23"/>
      <c r="Y6665" s="23"/>
      <c r="Z6665" s="23"/>
    </row>
    <row r="6666" spans="1:26" ht="13">
      <c r="A6666" s="562" t="s">
        <v>14503</v>
      </c>
      <c r="B6666" s="563" t="s">
        <v>14504</v>
      </c>
      <c r="C6666" s="564" t="s">
        <v>2484</v>
      </c>
      <c r="D6666" s="565">
        <v>39258</v>
      </c>
      <c r="E6666" s="565">
        <v>39623</v>
      </c>
      <c r="F6666" s="566">
        <v>453880001</v>
      </c>
      <c r="G6666" s="564" t="s">
        <v>12133</v>
      </c>
      <c r="H6666" s="564" t="s">
        <v>2541</v>
      </c>
      <c r="I6666" s="564" t="s">
        <v>12130</v>
      </c>
      <c r="J6666" s="564" t="s">
        <v>1069</v>
      </c>
      <c r="K6666" s="564" t="s">
        <v>2466</v>
      </c>
      <c r="L6666" s="564" t="s">
        <v>2467</v>
      </c>
      <c r="M6666" s="564" t="s">
        <v>2466</v>
      </c>
      <c r="N6666" s="564" t="s">
        <v>2543</v>
      </c>
      <c r="O6666" s="564" t="s">
        <v>12077</v>
      </c>
      <c r="P6666" s="23"/>
      <c r="Q6666" s="23"/>
      <c r="R6666" s="23"/>
      <c r="S6666" s="23"/>
      <c r="T6666" s="23"/>
      <c r="U6666" s="23"/>
      <c r="V6666" s="23"/>
      <c r="W6666" s="23"/>
      <c r="X6666" s="23"/>
      <c r="Y6666" s="23"/>
      <c r="Z6666" s="23"/>
    </row>
    <row r="6667" spans="1:26" ht="13">
      <c r="A6667" s="562" t="s">
        <v>14505</v>
      </c>
      <c r="B6667" s="563" t="s">
        <v>14506</v>
      </c>
      <c r="C6667" s="564" t="s">
        <v>2484</v>
      </c>
      <c r="D6667" s="565">
        <v>39253</v>
      </c>
      <c r="E6667" s="565">
        <v>39393</v>
      </c>
      <c r="F6667" s="566">
        <v>202800000</v>
      </c>
      <c r="G6667" s="564" t="s">
        <v>2464</v>
      </c>
      <c r="H6667" s="564" t="s">
        <v>2541</v>
      </c>
      <c r="I6667" s="564" t="s">
        <v>12297</v>
      </c>
      <c r="J6667" s="564" t="s">
        <v>1069</v>
      </c>
      <c r="K6667" s="564" t="s">
        <v>2466</v>
      </c>
      <c r="L6667" s="564" t="s">
        <v>2467</v>
      </c>
      <c r="M6667" s="564" t="s">
        <v>2466</v>
      </c>
      <c r="N6667" s="564" t="s">
        <v>2439</v>
      </c>
      <c r="O6667" s="564" t="s">
        <v>12077</v>
      </c>
      <c r="P6667" s="23"/>
      <c r="Q6667" s="23"/>
      <c r="R6667" s="23"/>
      <c r="S6667" s="23"/>
      <c r="T6667" s="23"/>
      <c r="U6667" s="23"/>
      <c r="V6667" s="23"/>
      <c r="W6667" s="23"/>
      <c r="X6667" s="23"/>
      <c r="Y6667" s="23"/>
      <c r="Z6667" s="23"/>
    </row>
    <row r="6668" spans="1:26" ht="13">
      <c r="A6668" s="562" t="s">
        <v>14507</v>
      </c>
      <c r="B6668" s="563" t="s">
        <v>14508</v>
      </c>
      <c r="C6668" s="564" t="s">
        <v>2484</v>
      </c>
      <c r="D6668" s="565">
        <v>39219</v>
      </c>
      <c r="E6668" s="565">
        <v>39613</v>
      </c>
      <c r="F6668" s="566">
        <v>455782727</v>
      </c>
      <c r="G6668" s="564" t="s">
        <v>14509</v>
      </c>
      <c r="H6668" s="564" t="s">
        <v>13150</v>
      </c>
      <c r="I6668" s="564" t="s">
        <v>14510</v>
      </c>
      <c r="J6668" s="564" t="s">
        <v>1069</v>
      </c>
      <c r="K6668" s="564" t="s">
        <v>2466</v>
      </c>
      <c r="L6668" s="564" t="s">
        <v>2467</v>
      </c>
      <c r="M6668" s="564" t="s">
        <v>2466</v>
      </c>
      <c r="N6668" s="564" t="s">
        <v>2543</v>
      </c>
      <c r="O6668" s="564" t="s">
        <v>12077</v>
      </c>
      <c r="P6668" s="23"/>
      <c r="Q6668" s="23"/>
      <c r="R6668" s="23"/>
      <c r="S6668" s="23"/>
      <c r="T6668" s="23"/>
      <c r="U6668" s="23"/>
      <c r="V6668" s="23"/>
      <c r="W6668" s="23"/>
      <c r="X6668" s="23"/>
      <c r="Y6668" s="23"/>
      <c r="Z6668" s="23"/>
    </row>
    <row r="6669" spans="1:26" ht="13">
      <c r="A6669" s="562" t="s">
        <v>14511</v>
      </c>
      <c r="B6669" s="563" t="s">
        <v>14512</v>
      </c>
      <c r="C6669" s="564" t="s">
        <v>1612</v>
      </c>
      <c r="D6669" s="565">
        <v>39370</v>
      </c>
      <c r="E6669" s="565">
        <v>39521</v>
      </c>
      <c r="F6669" s="566">
        <v>300000000</v>
      </c>
      <c r="G6669" s="564" t="s">
        <v>2378</v>
      </c>
      <c r="H6669" s="564" t="s">
        <v>1128</v>
      </c>
      <c r="I6669" s="564" t="s">
        <v>12251</v>
      </c>
      <c r="J6669" s="564" t="s">
        <v>1069</v>
      </c>
      <c r="K6669" s="564" t="s">
        <v>1090</v>
      </c>
      <c r="L6669" s="564" t="s">
        <v>1390</v>
      </c>
      <c r="M6669" s="564" t="s">
        <v>1390</v>
      </c>
      <c r="N6669" s="564" t="s">
        <v>1073</v>
      </c>
      <c r="O6669" s="564" t="s">
        <v>13894</v>
      </c>
      <c r="P6669" s="23"/>
      <c r="Q6669" s="23"/>
      <c r="R6669" s="23"/>
      <c r="S6669" s="23"/>
      <c r="T6669" s="23"/>
      <c r="U6669" s="23"/>
      <c r="V6669" s="23"/>
      <c r="W6669" s="23"/>
      <c r="X6669" s="23"/>
      <c r="Y6669" s="23"/>
      <c r="Z6669" s="23"/>
    </row>
    <row r="6670" spans="1:26" ht="13">
      <c r="A6670" s="562" t="s">
        <v>14513</v>
      </c>
      <c r="B6670" s="563" t="s">
        <v>14514</v>
      </c>
      <c r="C6670" s="564" t="s">
        <v>2484</v>
      </c>
      <c r="D6670" s="565">
        <v>39220</v>
      </c>
      <c r="E6670" s="565">
        <v>39460</v>
      </c>
      <c r="F6670" s="566">
        <v>220909091</v>
      </c>
      <c r="G6670" s="564" t="s">
        <v>12124</v>
      </c>
      <c r="H6670" s="564" t="s">
        <v>2459</v>
      </c>
      <c r="I6670" s="564" t="s">
        <v>13167</v>
      </c>
      <c r="J6670" s="564" t="s">
        <v>1069</v>
      </c>
      <c r="K6670" s="564" t="s">
        <v>2466</v>
      </c>
      <c r="L6670" s="564" t="s">
        <v>2467</v>
      </c>
      <c r="M6670" s="564" t="s">
        <v>2466</v>
      </c>
      <c r="N6670" s="564" t="s">
        <v>2543</v>
      </c>
      <c r="O6670" s="564" t="s">
        <v>12077</v>
      </c>
      <c r="P6670" s="23"/>
      <c r="Q6670" s="23"/>
      <c r="R6670" s="23"/>
      <c r="S6670" s="23"/>
      <c r="T6670" s="23"/>
      <c r="U6670" s="23"/>
      <c r="V6670" s="23"/>
      <c r="W6670" s="23"/>
      <c r="X6670" s="23"/>
      <c r="Y6670" s="23"/>
      <c r="Z6670" s="23"/>
    </row>
    <row r="6671" spans="1:26" ht="13">
      <c r="A6671" s="562" t="s">
        <v>14515</v>
      </c>
      <c r="B6671" s="563" t="s">
        <v>14516</v>
      </c>
      <c r="C6671" s="564" t="s">
        <v>6860</v>
      </c>
      <c r="D6671" s="565">
        <v>39275</v>
      </c>
      <c r="E6671" s="565">
        <v>39386</v>
      </c>
      <c r="F6671" s="566">
        <v>1800000000</v>
      </c>
      <c r="G6671" s="564" t="s">
        <v>1729</v>
      </c>
      <c r="H6671" s="564" t="s">
        <v>1128</v>
      </c>
      <c r="I6671" s="564" t="s">
        <v>13509</v>
      </c>
      <c r="J6671" s="564" t="s">
        <v>1069</v>
      </c>
      <c r="K6671" s="564" t="s">
        <v>1198</v>
      </c>
      <c r="L6671" s="564" t="s">
        <v>1390</v>
      </c>
      <c r="M6671" s="564" t="s">
        <v>1390</v>
      </c>
      <c r="N6671" s="564" t="s">
        <v>1368</v>
      </c>
      <c r="O6671" s="564" t="s">
        <v>13894</v>
      </c>
      <c r="P6671" s="23"/>
      <c r="Q6671" s="23"/>
      <c r="R6671" s="23"/>
      <c r="S6671" s="23"/>
      <c r="T6671" s="23"/>
      <c r="U6671" s="23"/>
      <c r="V6671" s="23"/>
      <c r="W6671" s="23"/>
      <c r="X6671" s="23"/>
      <c r="Y6671" s="23"/>
      <c r="Z6671" s="23"/>
    </row>
    <row r="6672" spans="1:26" ht="13">
      <c r="A6672" s="562" t="s">
        <v>14517</v>
      </c>
      <c r="B6672" s="563" t="s">
        <v>14518</v>
      </c>
      <c r="C6672" s="564" t="s">
        <v>1612</v>
      </c>
      <c r="D6672" s="565">
        <v>39233</v>
      </c>
      <c r="E6672" s="565">
        <v>39478</v>
      </c>
      <c r="F6672" s="566">
        <v>1286000000</v>
      </c>
      <c r="G6672" s="564" t="s">
        <v>10596</v>
      </c>
      <c r="H6672" s="564" t="s">
        <v>10596</v>
      </c>
      <c r="I6672" s="564" t="s">
        <v>14426</v>
      </c>
      <c r="J6672" s="564" t="s">
        <v>1069</v>
      </c>
      <c r="K6672" s="564" t="s">
        <v>1090</v>
      </c>
      <c r="L6672" s="564" t="s">
        <v>1390</v>
      </c>
      <c r="M6672" s="564" t="s">
        <v>1390</v>
      </c>
      <c r="N6672" s="564" t="s">
        <v>45</v>
      </c>
      <c r="O6672" s="564" t="s">
        <v>13894</v>
      </c>
      <c r="P6672" s="23"/>
      <c r="Q6672" s="23"/>
      <c r="R6672" s="23"/>
      <c r="S6672" s="23"/>
      <c r="T6672" s="23"/>
      <c r="U6672" s="23"/>
      <c r="V6672" s="23"/>
      <c r="W6672" s="23"/>
      <c r="X6672" s="23"/>
      <c r="Y6672" s="23"/>
      <c r="Z6672" s="23"/>
    </row>
    <row r="6673" spans="1:26" ht="13">
      <c r="A6673" s="562" t="s">
        <v>14519</v>
      </c>
      <c r="B6673" s="563" t="s">
        <v>14520</v>
      </c>
      <c r="C6673" s="564" t="s">
        <v>2191</v>
      </c>
      <c r="D6673" s="565">
        <v>39237</v>
      </c>
      <c r="E6673" s="565">
        <v>39447</v>
      </c>
      <c r="F6673" s="566">
        <v>17500000</v>
      </c>
      <c r="G6673" s="564" t="s">
        <v>1145</v>
      </c>
      <c r="H6673" s="564" t="s">
        <v>11225</v>
      </c>
      <c r="I6673" s="564" t="s">
        <v>14521</v>
      </c>
      <c r="J6673" s="564" t="s">
        <v>1069</v>
      </c>
      <c r="K6673" s="564" t="s">
        <v>1070</v>
      </c>
      <c r="L6673" s="564" t="s">
        <v>1071</v>
      </c>
      <c r="M6673" s="564" t="s">
        <v>1091</v>
      </c>
      <c r="N6673" s="564" t="s">
        <v>2439</v>
      </c>
      <c r="O6673" s="564" t="s">
        <v>241</v>
      </c>
      <c r="P6673" s="23"/>
      <c r="Q6673" s="23"/>
      <c r="R6673" s="23"/>
      <c r="S6673" s="23"/>
      <c r="T6673" s="23"/>
      <c r="U6673" s="23"/>
      <c r="V6673" s="23"/>
      <c r="W6673" s="23"/>
      <c r="X6673" s="23"/>
      <c r="Y6673" s="23"/>
      <c r="Z6673" s="23"/>
    </row>
    <row r="6674" spans="1:26" ht="13">
      <c r="A6674" s="562" t="s">
        <v>14522</v>
      </c>
      <c r="B6674" s="563" t="s">
        <v>14523</v>
      </c>
      <c r="C6674" s="564" t="s">
        <v>2191</v>
      </c>
      <c r="D6674" s="565">
        <v>39204</v>
      </c>
      <c r="E6674" s="565">
        <v>39356</v>
      </c>
      <c r="F6674" s="566">
        <v>316450000</v>
      </c>
      <c r="G6674" s="564" t="s">
        <v>1145</v>
      </c>
      <c r="H6674" s="564" t="s">
        <v>1187</v>
      </c>
      <c r="I6674" s="564" t="s">
        <v>14524</v>
      </c>
      <c r="J6674" s="564" t="s">
        <v>1069</v>
      </c>
      <c r="K6674" s="564" t="s">
        <v>1070</v>
      </c>
      <c r="L6674" s="564" t="s">
        <v>1390</v>
      </c>
      <c r="M6674" s="564" t="s">
        <v>1390</v>
      </c>
      <c r="N6674" s="564" t="s">
        <v>1082</v>
      </c>
      <c r="O6674" s="564" t="s">
        <v>13894</v>
      </c>
      <c r="P6674" s="23"/>
      <c r="Q6674" s="23"/>
      <c r="R6674" s="23"/>
      <c r="S6674" s="23"/>
      <c r="T6674" s="23"/>
      <c r="U6674" s="23"/>
      <c r="V6674" s="23"/>
      <c r="W6674" s="23"/>
      <c r="X6674" s="23"/>
      <c r="Y6674" s="23"/>
      <c r="Z6674" s="23"/>
    </row>
    <row r="6675" spans="1:26" ht="13">
      <c r="A6675" s="562" t="s">
        <v>14525</v>
      </c>
      <c r="B6675" s="563" t="s">
        <v>14526</v>
      </c>
      <c r="C6675" s="564" t="s">
        <v>1612</v>
      </c>
      <c r="D6675" s="565">
        <v>39097</v>
      </c>
      <c r="E6675" s="565">
        <v>39461</v>
      </c>
      <c r="F6675" s="566">
        <v>267000000</v>
      </c>
      <c r="G6675" s="564" t="s">
        <v>2370</v>
      </c>
      <c r="H6675" s="564" t="s">
        <v>1128</v>
      </c>
      <c r="I6675" s="564" t="s">
        <v>14426</v>
      </c>
      <c r="J6675" s="564" t="s">
        <v>1069</v>
      </c>
      <c r="K6675" s="564" t="s">
        <v>1090</v>
      </c>
      <c r="L6675" s="564" t="s">
        <v>1390</v>
      </c>
      <c r="M6675" s="564" t="s">
        <v>1390</v>
      </c>
      <c r="N6675" s="564" t="s">
        <v>45</v>
      </c>
      <c r="O6675" s="564" t="s">
        <v>13894</v>
      </c>
      <c r="P6675" s="23"/>
      <c r="Q6675" s="23"/>
      <c r="R6675" s="23"/>
      <c r="S6675" s="23"/>
      <c r="T6675" s="23"/>
      <c r="U6675" s="23"/>
      <c r="V6675" s="23"/>
      <c r="W6675" s="23"/>
      <c r="X6675" s="23"/>
      <c r="Y6675" s="23"/>
      <c r="Z6675" s="23"/>
    </row>
    <row r="6676" spans="1:26" ht="13">
      <c r="A6676" s="562" t="s">
        <v>14527</v>
      </c>
      <c r="B6676" s="563" t="s">
        <v>14528</v>
      </c>
      <c r="C6676" s="564" t="s">
        <v>1873</v>
      </c>
      <c r="D6676" s="565">
        <v>39084</v>
      </c>
      <c r="E6676" s="565">
        <v>39294</v>
      </c>
      <c r="F6676" s="566">
        <v>479000000</v>
      </c>
      <c r="G6676" s="564" t="s">
        <v>1729</v>
      </c>
      <c r="H6676" s="564" t="s">
        <v>1128</v>
      </c>
      <c r="I6676" s="564" t="s">
        <v>14529</v>
      </c>
      <c r="J6676" s="564" t="s">
        <v>1069</v>
      </c>
      <c r="K6676" s="564" t="s">
        <v>1105</v>
      </c>
      <c r="L6676" s="564" t="s">
        <v>1390</v>
      </c>
      <c r="M6676" s="564" t="s">
        <v>1390</v>
      </c>
      <c r="N6676" s="564" t="s">
        <v>170</v>
      </c>
      <c r="O6676" s="564" t="s">
        <v>13894</v>
      </c>
      <c r="P6676" s="23"/>
      <c r="Q6676" s="23"/>
      <c r="R6676" s="23"/>
      <c r="S6676" s="23"/>
      <c r="T6676" s="23"/>
      <c r="U6676" s="23"/>
      <c r="V6676" s="23"/>
      <c r="W6676" s="23"/>
      <c r="X6676" s="23"/>
      <c r="Y6676" s="23"/>
      <c r="Z6676" s="23"/>
    </row>
    <row r="6677" spans="1:26" ht="13">
      <c r="A6677" s="562" t="s">
        <v>14530</v>
      </c>
      <c r="B6677" s="563" t="s">
        <v>14531</v>
      </c>
      <c r="C6677" s="564" t="s">
        <v>2191</v>
      </c>
      <c r="D6677" s="565">
        <v>39086</v>
      </c>
      <c r="E6677" s="565">
        <v>39326</v>
      </c>
      <c r="F6677" s="566">
        <v>224320000</v>
      </c>
      <c r="G6677" s="564" t="s">
        <v>2508</v>
      </c>
      <c r="H6677" s="564"/>
      <c r="I6677" s="564" t="s">
        <v>14532</v>
      </c>
      <c r="J6677" s="564" t="s">
        <v>1069</v>
      </c>
      <c r="K6677" s="564" t="s">
        <v>1070</v>
      </c>
      <c r="L6677" s="564" t="s">
        <v>1390</v>
      </c>
      <c r="M6677" s="564" t="s">
        <v>1390</v>
      </c>
      <c r="N6677" s="564" t="s">
        <v>2325</v>
      </c>
      <c r="O6677" s="564" t="s">
        <v>13894</v>
      </c>
      <c r="P6677" s="23"/>
      <c r="Q6677" s="23"/>
      <c r="R6677" s="23"/>
      <c r="S6677" s="23"/>
      <c r="T6677" s="23"/>
      <c r="U6677" s="23"/>
      <c r="V6677" s="23"/>
      <c r="W6677" s="23"/>
      <c r="X6677" s="23"/>
      <c r="Y6677" s="23"/>
      <c r="Z6677" s="23"/>
    </row>
    <row r="6678" spans="1:26" ht="13">
      <c r="A6678" s="562" t="s">
        <v>14533</v>
      </c>
      <c r="B6678" s="563" t="s">
        <v>14534</v>
      </c>
      <c r="C6678" s="564" t="s">
        <v>2484</v>
      </c>
      <c r="D6678" s="565">
        <v>38827</v>
      </c>
      <c r="E6678" s="565">
        <v>39076</v>
      </c>
      <c r="F6678" s="566">
        <v>563458495</v>
      </c>
      <c r="G6678" s="564" t="s">
        <v>13391</v>
      </c>
      <c r="H6678" s="564"/>
      <c r="I6678" s="564" t="s">
        <v>12297</v>
      </c>
      <c r="J6678" s="564" t="s">
        <v>1069</v>
      </c>
      <c r="K6678" s="564" t="s">
        <v>2466</v>
      </c>
      <c r="L6678" s="564" t="s">
        <v>2467</v>
      </c>
      <c r="M6678" s="564" t="s">
        <v>2466</v>
      </c>
      <c r="N6678" s="564" t="s">
        <v>2439</v>
      </c>
      <c r="O6678" s="564" t="s">
        <v>12077</v>
      </c>
      <c r="P6678" s="23"/>
      <c r="Q6678" s="23"/>
      <c r="R6678" s="23"/>
      <c r="S6678" s="23"/>
      <c r="T6678" s="23"/>
      <c r="U6678" s="23"/>
      <c r="V6678" s="23"/>
      <c r="W6678" s="23"/>
      <c r="X6678" s="23"/>
      <c r="Y6678" s="23"/>
      <c r="Z6678" s="23"/>
    </row>
    <row r="6679" spans="1:26" ht="13">
      <c r="A6679" s="562" t="s">
        <v>14535</v>
      </c>
      <c r="B6679" s="563" t="s">
        <v>14536</v>
      </c>
      <c r="C6679" s="564" t="s">
        <v>2484</v>
      </c>
      <c r="D6679" s="565">
        <v>39065</v>
      </c>
      <c r="E6679" s="565">
        <v>40186</v>
      </c>
      <c r="F6679" s="566">
        <v>2013286973</v>
      </c>
      <c r="G6679" s="564" t="s">
        <v>14537</v>
      </c>
      <c r="H6679" s="564"/>
      <c r="I6679" s="564" t="s">
        <v>14538</v>
      </c>
      <c r="J6679" s="564" t="s">
        <v>1069</v>
      </c>
      <c r="K6679" s="564" t="s">
        <v>2466</v>
      </c>
      <c r="L6679" s="564" t="s">
        <v>2467</v>
      </c>
      <c r="M6679" s="564" t="s">
        <v>2466</v>
      </c>
      <c r="N6679" s="564" t="s">
        <v>2543</v>
      </c>
      <c r="O6679" s="564" t="s">
        <v>12077</v>
      </c>
      <c r="P6679" s="23"/>
      <c r="Q6679" s="23"/>
      <c r="R6679" s="23"/>
      <c r="S6679" s="23"/>
      <c r="T6679" s="23"/>
      <c r="U6679" s="23"/>
      <c r="V6679" s="23"/>
      <c r="W6679" s="23"/>
      <c r="X6679" s="23"/>
      <c r="Y6679" s="23"/>
      <c r="Z6679" s="23"/>
    </row>
    <row r="6680" spans="1:26" ht="13">
      <c r="A6680" s="562" t="s">
        <v>14539</v>
      </c>
      <c r="B6680" s="563" t="s">
        <v>14540</v>
      </c>
      <c r="C6680" s="564" t="s">
        <v>2484</v>
      </c>
      <c r="D6680" s="565">
        <v>38980</v>
      </c>
      <c r="E6680" s="565">
        <v>39189</v>
      </c>
      <c r="F6680" s="566">
        <v>546818182</v>
      </c>
      <c r="G6680" s="564" t="s">
        <v>14541</v>
      </c>
      <c r="H6680" s="564"/>
      <c r="I6680" s="564" t="s">
        <v>2438</v>
      </c>
      <c r="J6680" s="564" t="s">
        <v>1069</v>
      </c>
      <c r="K6680" s="564" t="s">
        <v>2466</v>
      </c>
      <c r="L6680" s="564" t="s">
        <v>2467</v>
      </c>
      <c r="M6680" s="564" t="s">
        <v>2466</v>
      </c>
      <c r="N6680" s="564" t="s">
        <v>2439</v>
      </c>
      <c r="O6680" s="564" t="s">
        <v>12077</v>
      </c>
      <c r="P6680" s="23"/>
      <c r="Q6680" s="23"/>
      <c r="R6680" s="23"/>
      <c r="S6680" s="23"/>
      <c r="T6680" s="23"/>
      <c r="U6680" s="23"/>
      <c r="V6680" s="23"/>
      <c r="W6680" s="23"/>
      <c r="X6680" s="23"/>
      <c r="Y6680" s="23"/>
      <c r="Z6680" s="23"/>
    </row>
    <row r="6681" spans="1:26" ht="13">
      <c r="A6681" s="562" t="s">
        <v>14542</v>
      </c>
      <c r="B6681" s="563" t="s">
        <v>14543</v>
      </c>
      <c r="C6681" s="564" t="s">
        <v>2484</v>
      </c>
      <c r="D6681" s="565">
        <v>38980</v>
      </c>
      <c r="E6681" s="565">
        <v>39159</v>
      </c>
      <c r="F6681" s="566">
        <v>744011855</v>
      </c>
      <c r="G6681" s="564" t="s">
        <v>2464</v>
      </c>
      <c r="H6681" s="564" t="s">
        <v>2541</v>
      </c>
      <c r="I6681" s="564" t="s">
        <v>2438</v>
      </c>
      <c r="J6681" s="564" t="s">
        <v>1069</v>
      </c>
      <c r="K6681" s="564" t="s">
        <v>2466</v>
      </c>
      <c r="L6681" s="564" t="s">
        <v>2467</v>
      </c>
      <c r="M6681" s="564" t="s">
        <v>2466</v>
      </c>
      <c r="N6681" s="564" t="s">
        <v>2439</v>
      </c>
      <c r="O6681" s="564" t="s">
        <v>12077</v>
      </c>
      <c r="P6681" s="23"/>
      <c r="Q6681" s="23"/>
      <c r="R6681" s="23"/>
      <c r="S6681" s="23"/>
      <c r="T6681" s="23"/>
      <c r="U6681" s="23"/>
      <c r="V6681" s="23"/>
      <c r="W6681" s="23"/>
      <c r="X6681" s="23"/>
      <c r="Y6681" s="23"/>
      <c r="Z6681" s="23"/>
    </row>
    <row r="6682" spans="1:26" ht="13">
      <c r="A6682" s="562" t="s">
        <v>14544</v>
      </c>
      <c r="B6682" s="563" t="s">
        <v>14545</v>
      </c>
      <c r="C6682" s="564" t="s">
        <v>2484</v>
      </c>
      <c r="D6682" s="565">
        <v>38946</v>
      </c>
      <c r="E6682" s="565">
        <v>39838</v>
      </c>
      <c r="F6682" s="566">
        <v>865375188</v>
      </c>
      <c r="G6682" s="564" t="s">
        <v>12084</v>
      </c>
      <c r="H6682" s="564" t="s">
        <v>2546</v>
      </c>
      <c r="I6682" s="564" t="s">
        <v>14546</v>
      </c>
      <c r="J6682" s="564" t="s">
        <v>1069</v>
      </c>
      <c r="K6682" s="564" t="s">
        <v>2466</v>
      </c>
      <c r="L6682" s="564" t="s">
        <v>2467</v>
      </c>
      <c r="M6682" s="564" t="s">
        <v>2466</v>
      </c>
      <c r="N6682" s="564" t="s">
        <v>2543</v>
      </c>
      <c r="O6682" s="564" t="s">
        <v>12077</v>
      </c>
      <c r="P6682" s="23"/>
      <c r="Q6682" s="23"/>
      <c r="R6682" s="23"/>
      <c r="S6682" s="23"/>
      <c r="T6682" s="23"/>
      <c r="U6682" s="23"/>
      <c r="V6682" s="23"/>
      <c r="W6682" s="23"/>
      <c r="X6682" s="23"/>
      <c r="Y6682" s="23"/>
      <c r="Z6682" s="23"/>
    </row>
    <row r="6683" spans="1:26" ht="13">
      <c r="A6683" s="562" t="s">
        <v>14547</v>
      </c>
      <c r="B6683" s="563" t="s">
        <v>14548</v>
      </c>
      <c r="C6683" s="564" t="s">
        <v>2484</v>
      </c>
      <c r="D6683" s="565">
        <v>38940</v>
      </c>
      <c r="E6683" s="565">
        <v>39079</v>
      </c>
      <c r="F6683" s="566">
        <v>559088355</v>
      </c>
      <c r="G6683" s="564" t="s">
        <v>2485</v>
      </c>
      <c r="H6683" s="564"/>
      <c r="I6683" s="564" t="s">
        <v>12297</v>
      </c>
      <c r="J6683" s="564" t="s">
        <v>1069</v>
      </c>
      <c r="K6683" s="564" t="s">
        <v>2466</v>
      </c>
      <c r="L6683" s="564" t="s">
        <v>2467</v>
      </c>
      <c r="M6683" s="564" t="s">
        <v>2466</v>
      </c>
      <c r="N6683" s="564" t="s">
        <v>2439</v>
      </c>
      <c r="O6683" s="564" t="s">
        <v>12077</v>
      </c>
      <c r="P6683" s="23"/>
      <c r="Q6683" s="23"/>
      <c r="R6683" s="23"/>
      <c r="S6683" s="23"/>
      <c r="T6683" s="23"/>
      <c r="U6683" s="23"/>
      <c r="V6683" s="23"/>
      <c r="W6683" s="23"/>
      <c r="X6683" s="23"/>
      <c r="Y6683" s="23"/>
      <c r="Z6683" s="23"/>
    </row>
    <row r="6684" spans="1:26" ht="13">
      <c r="A6684" s="562" t="s">
        <v>14549</v>
      </c>
      <c r="B6684" s="563" t="s">
        <v>14550</v>
      </c>
      <c r="C6684" s="564" t="s">
        <v>2484</v>
      </c>
      <c r="D6684" s="565">
        <v>38869</v>
      </c>
      <c r="E6684" s="565">
        <v>38961</v>
      </c>
      <c r="F6684" s="566">
        <v>165571364</v>
      </c>
      <c r="G6684" s="564" t="s">
        <v>12124</v>
      </c>
      <c r="H6684" s="564"/>
      <c r="I6684" s="564" t="s">
        <v>12823</v>
      </c>
      <c r="J6684" s="564" t="s">
        <v>1069</v>
      </c>
      <c r="K6684" s="564" t="s">
        <v>2466</v>
      </c>
      <c r="L6684" s="564" t="s">
        <v>2467</v>
      </c>
      <c r="M6684" s="564" t="s">
        <v>2466</v>
      </c>
      <c r="N6684" s="564" t="s">
        <v>1082</v>
      </c>
      <c r="O6684" s="564" t="s">
        <v>12077</v>
      </c>
      <c r="P6684" s="23"/>
      <c r="Q6684" s="23"/>
      <c r="R6684" s="23"/>
      <c r="S6684" s="23"/>
      <c r="T6684" s="23"/>
      <c r="U6684" s="23"/>
      <c r="V6684" s="23"/>
      <c r="W6684" s="23"/>
      <c r="X6684" s="23"/>
      <c r="Y6684" s="23"/>
      <c r="Z6684" s="23"/>
    </row>
    <row r="6685" spans="1:26" ht="13">
      <c r="A6685" s="562" t="s">
        <v>14551</v>
      </c>
      <c r="B6685" s="563" t="s">
        <v>14552</v>
      </c>
      <c r="C6685" s="564" t="s">
        <v>2484</v>
      </c>
      <c r="D6685" s="565">
        <v>38855</v>
      </c>
      <c r="E6685" s="565">
        <v>38975</v>
      </c>
      <c r="F6685" s="566">
        <v>802772727</v>
      </c>
      <c r="G6685" s="564" t="s">
        <v>12124</v>
      </c>
      <c r="H6685" s="564"/>
      <c r="I6685" s="564" t="s">
        <v>12099</v>
      </c>
      <c r="J6685" s="564" t="s">
        <v>1069</v>
      </c>
      <c r="K6685" s="564" t="s">
        <v>2466</v>
      </c>
      <c r="L6685" s="564" t="s">
        <v>2467</v>
      </c>
      <c r="M6685" s="564" t="s">
        <v>2466</v>
      </c>
      <c r="N6685" s="564" t="s">
        <v>2543</v>
      </c>
      <c r="O6685" s="564" t="s">
        <v>12077</v>
      </c>
      <c r="P6685" s="23"/>
      <c r="Q6685" s="23"/>
      <c r="R6685" s="23"/>
      <c r="S6685" s="23"/>
      <c r="T6685" s="23"/>
      <c r="U6685" s="23"/>
      <c r="V6685" s="23"/>
      <c r="W6685" s="23"/>
      <c r="X6685" s="23"/>
      <c r="Y6685" s="23"/>
      <c r="Z6685" s="23"/>
    </row>
    <row r="6686" spans="1:26" ht="13">
      <c r="A6686" s="562" t="s">
        <v>14553</v>
      </c>
      <c r="B6686" s="563" t="s">
        <v>14554</v>
      </c>
      <c r="C6686" s="564" t="s">
        <v>2484</v>
      </c>
      <c r="D6686" s="565">
        <v>38847</v>
      </c>
      <c r="E6686" s="565">
        <v>38966</v>
      </c>
      <c r="F6686" s="566">
        <v>152792545</v>
      </c>
      <c r="G6686" s="564" t="s">
        <v>13339</v>
      </c>
      <c r="H6686" s="564"/>
      <c r="I6686" s="564" t="s">
        <v>12116</v>
      </c>
      <c r="J6686" s="564" t="s">
        <v>1069</v>
      </c>
      <c r="K6686" s="564" t="s">
        <v>2466</v>
      </c>
      <c r="L6686" s="564" t="s">
        <v>2467</v>
      </c>
      <c r="M6686" s="564" t="s">
        <v>2466</v>
      </c>
      <c r="N6686" s="564" t="s">
        <v>2325</v>
      </c>
      <c r="O6686" s="564" t="s">
        <v>12077</v>
      </c>
      <c r="P6686" s="23"/>
      <c r="Q6686" s="23"/>
      <c r="R6686" s="23"/>
      <c r="S6686" s="23"/>
      <c r="T6686" s="23"/>
      <c r="U6686" s="23"/>
      <c r="V6686" s="23"/>
      <c r="W6686" s="23"/>
      <c r="X6686" s="23"/>
      <c r="Y6686" s="23"/>
      <c r="Z6686" s="23"/>
    </row>
    <row r="6687" spans="1:26" ht="13">
      <c r="A6687" s="562" t="s">
        <v>14555</v>
      </c>
      <c r="B6687" s="563" t="s">
        <v>14556</v>
      </c>
      <c r="C6687" s="564" t="s">
        <v>2484</v>
      </c>
      <c r="D6687" s="565">
        <v>38839</v>
      </c>
      <c r="E6687" s="565">
        <v>39016</v>
      </c>
      <c r="F6687" s="566">
        <v>197763636</v>
      </c>
      <c r="G6687" s="564" t="s">
        <v>13391</v>
      </c>
      <c r="H6687" s="564"/>
      <c r="I6687" s="564" t="s">
        <v>12269</v>
      </c>
      <c r="J6687" s="564" t="s">
        <v>1069</v>
      </c>
      <c r="K6687" s="564" t="s">
        <v>2466</v>
      </c>
      <c r="L6687" s="564" t="s">
        <v>2467</v>
      </c>
      <c r="M6687" s="564" t="s">
        <v>2466</v>
      </c>
      <c r="N6687" s="564" t="s">
        <v>1082</v>
      </c>
      <c r="O6687" s="564" t="s">
        <v>12077</v>
      </c>
      <c r="P6687" s="23"/>
      <c r="Q6687" s="23"/>
      <c r="R6687" s="23"/>
      <c r="S6687" s="23"/>
      <c r="T6687" s="23"/>
      <c r="U6687" s="23"/>
      <c r="V6687" s="23"/>
      <c r="W6687" s="23"/>
      <c r="X6687" s="23"/>
      <c r="Y6687" s="23"/>
      <c r="Z6687" s="23"/>
    </row>
    <row r="6688" spans="1:26" ht="13">
      <c r="A6688" s="562" t="s">
        <v>14557</v>
      </c>
      <c r="B6688" s="563" t="s">
        <v>14558</v>
      </c>
      <c r="C6688" s="564" t="s">
        <v>2484</v>
      </c>
      <c r="D6688" s="565">
        <v>38838</v>
      </c>
      <c r="E6688" s="565">
        <v>39057</v>
      </c>
      <c r="F6688" s="566">
        <v>233184091</v>
      </c>
      <c r="G6688" s="564" t="s">
        <v>13391</v>
      </c>
      <c r="H6688" s="564"/>
      <c r="I6688" s="564" t="s">
        <v>12297</v>
      </c>
      <c r="J6688" s="564" t="s">
        <v>1069</v>
      </c>
      <c r="K6688" s="564" t="s">
        <v>2466</v>
      </c>
      <c r="L6688" s="564" t="s">
        <v>2467</v>
      </c>
      <c r="M6688" s="564" t="s">
        <v>2466</v>
      </c>
      <c r="N6688" s="564" t="s">
        <v>2439</v>
      </c>
      <c r="O6688" s="564" t="s">
        <v>12077</v>
      </c>
      <c r="P6688" s="23"/>
      <c r="Q6688" s="23"/>
      <c r="R6688" s="23"/>
      <c r="S6688" s="23"/>
      <c r="T6688" s="23"/>
      <c r="U6688" s="23"/>
      <c r="V6688" s="23"/>
      <c r="W6688" s="23"/>
      <c r="X6688" s="23"/>
      <c r="Y6688" s="23"/>
      <c r="Z6688" s="23"/>
    </row>
    <row r="6689" spans="1:26" ht="13">
      <c r="A6689" s="562" t="s">
        <v>14559</v>
      </c>
      <c r="B6689" s="563" t="s">
        <v>14560</v>
      </c>
      <c r="C6689" s="564" t="s">
        <v>2191</v>
      </c>
      <c r="D6689" s="565">
        <v>39076</v>
      </c>
      <c r="E6689" s="565">
        <v>39447</v>
      </c>
      <c r="F6689" s="566">
        <v>1886590909</v>
      </c>
      <c r="G6689" s="564" t="s">
        <v>2346</v>
      </c>
      <c r="H6689" s="564" t="s">
        <v>1187</v>
      </c>
      <c r="I6689" s="564" t="s">
        <v>7507</v>
      </c>
      <c r="J6689" s="564" t="s">
        <v>1069</v>
      </c>
      <c r="K6689" s="564" t="s">
        <v>1070</v>
      </c>
      <c r="L6689" s="564" t="s">
        <v>1071</v>
      </c>
      <c r="M6689" s="564" t="s">
        <v>1091</v>
      </c>
      <c r="N6689" s="564" t="s">
        <v>2439</v>
      </c>
      <c r="O6689" s="564" t="s">
        <v>241</v>
      </c>
      <c r="P6689" s="23"/>
      <c r="Q6689" s="23"/>
      <c r="R6689" s="23"/>
      <c r="S6689" s="23"/>
      <c r="T6689" s="23"/>
      <c r="U6689" s="23"/>
      <c r="V6689" s="23"/>
      <c r="W6689" s="23"/>
      <c r="X6689" s="23"/>
      <c r="Y6689" s="23"/>
      <c r="Z6689" s="23"/>
    </row>
    <row r="6690" spans="1:26" ht="13">
      <c r="A6690" s="562" t="s">
        <v>14561</v>
      </c>
      <c r="B6690" s="563" t="s">
        <v>14562</v>
      </c>
      <c r="C6690" s="564" t="s">
        <v>2191</v>
      </c>
      <c r="D6690" s="565">
        <v>38939</v>
      </c>
      <c r="E6690" s="565">
        <v>39303</v>
      </c>
      <c r="F6690" s="566">
        <v>1560000000</v>
      </c>
      <c r="G6690" s="564" t="s">
        <v>2458</v>
      </c>
      <c r="H6690" s="564" t="s">
        <v>11225</v>
      </c>
      <c r="I6690" s="564" t="s">
        <v>13506</v>
      </c>
      <c r="J6690" s="564" t="s">
        <v>1069</v>
      </c>
      <c r="K6690" s="564" t="s">
        <v>1120</v>
      </c>
      <c r="L6690" s="564" t="s">
        <v>1390</v>
      </c>
      <c r="M6690" s="564" t="s">
        <v>1390</v>
      </c>
      <c r="N6690" s="564" t="s">
        <v>1082</v>
      </c>
      <c r="O6690" s="564" t="s">
        <v>13894</v>
      </c>
      <c r="P6690" s="23"/>
      <c r="Q6690" s="23"/>
      <c r="R6690" s="23"/>
      <c r="S6690" s="23"/>
      <c r="T6690" s="23"/>
      <c r="U6690" s="23"/>
      <c r="V6690" s="23"/>
      <c r="W6690" s="23"/>
      <c r="X6690" s="23"/>
      <c r="Y6690" s="23"/>
      <c r="Z6690" s="23"/>
    </row>
    <row r="6691" spans="1:26" ht="13">
      <c r="A6691" s="562" t="s">
        <v>14563</v>
      </c>
      <c r="B6691" s="563" t="s">
        <v>14564</v>
      </c>
      <c r="C6691" s="564" t="s">
        <v>1873</v>
      </c>
      <c r="D6691" s="565">
        <v>38901</v>
      </c>
      <c r="E6691" s="565">
        <v>39054</v>
      </c>
      <c r="F6691" s="566">
        <v>145052275</v>
      </c>
      <c r="G6691" s="564" t="s">
        <v>13797</v>
      </c>
      <c r="H6691" s="564" t="s">
        <v>8532</v>
      </c>
      <c r="I6691" s="564" t="s">
        <v>14529</v>
      </c>
      <c r="J6691" s="564" t="s">
        <v>1069</v>
      </c>
      <c r="K6691" s="564" t="s">
        <v>1105</v>
      </c>
      <c r="L6691" s="564" t="s">
        <v>1390</v>
      </c>
      <c r="M6691" s="564" t="s">
        <v>1390</v>
      </c>
      <c r="N6691" s="564" t="s">
        <v>170</v>
      </c>
      <c r="O6691" s="564" t="s">
        <v>13894</v>
      </c>
      <c r="P6691" s="23"/>
      <c r="Q6691" s="23"/>
      <c r="R6691" s="23"/>
      <c r="S6691" s="23"/>
      <c r="T6691" s="23"/>
      <c r="U6691" s="23"/>
      <c r="V6691" s="23"/>
      <c r="W6691" s="23"/>
      <c r="X6691" s="23"/>
      <c r="Y6691" s="23"/>
      <c r="Z6691" s="23"/>
    </row>
    <row r="6692" spans="1:26" ht="13">
      <c r="A6692" s="562" t="s">
        <v>14565</v>
      </c>
      <c r="B6692" s="563" t="s">
        <v>14566</v>
      </c>
      <c r="C6692" s="564" t="s">
        <v>6860</v>
      </c>
      <c r="D6692" s="565">
        <v>38884</v>
      </c>
      <c r="E6692" s="565">
        <v>39066</v>
      </c>
      <c r="F6692" s="566">
        <v>94409545</v>
      </c>
      <c r="G6692" s="564" t="s">
        <v>14567</v>
      </c>
      <c r="H6692" s="564"/>
      <c r="I6692" s="564" t="s">
        <v>4326</v>
      </c>
      <c r="J6692" s="564" t="s">
        <v>1069</v>
      </c>
      <c r="K6692" s="564" t="s">
        <v>1209</v>
      </c>
      <c r="L6692" s="564" t="s">
        <v>1390</v>
      </c>
      <c r="M6692" s="564" t="s">
        <v>1390</v>
      </c>
      <c r="N6692" s="564" t="s">
        <v>2325</v>
      </c>
      <c r="O6692" s="564" t="s">
        <v>13894</v>
      </c>
      <c r="P6692" s="23"/>
      <c r="Q6692" s="23"/>
      <c r="R6692" s="23"/>
      <c r="S6692" s="23"/>
      <c r="T6692" s="23"/>
      <c r="U6692" s="23"/>
      <c r="V6692" s="23"/>
      <c r="W6692" s="23"/>
      <c r="X6692" s="23"/>
      <c r="Y6692" s="23"/>
      <c r="Z6692" s="23"/>
    </row>
    <row r="6693" spans="1:26" ht="13">
      <c r="A6693" s="562" t="s">
        <v>14568</v>
      </c>
      <c r="B6693" s="563" t="s">
        <v>14569</v>
      </c>
      <c r="C6693" s="564" t="s">
        <v>1873</v>
      </c>
      <c r="D6693" s="565">
        <v>38831</v>
      </c>
      <c r="E6693" s="565">
        <v>38919</v>
      </c>
      <c r="F6693" s="567"/>
      <c r="G6693" s="564" t="s">
        <v>2346</v>
      </c>
      <c r="H6693" s="564"/>
      <c r="I6693" s="564" t="s">
        <v>14529</v>
      </c>
      <c r="J6693" s="564" t="s">
        <v>1069</v>
      </c>
      <c r="K6693" s="564" t="s">
        <v>1105</v>
      </c>
      <c r="L6693" s="564" t="s">
        <v>1390</v>
      </c>
      <c r="M6693" s="564" t="s">
        <v>1390</v>
      </c>
      <c r="N6693" s="564" t="s">
        <v>170</v>
      </c>
      <c r="O6693" s="564" t="s">
        <v>13894</v>
      </c>
      <c r="P6693" s="23"/>
      <c r="Q6693" s="23"/>
      <c r="R6693" s="23"/>
      <c r="S6693" s="23"/>
      <c r="T6693" s="23"/>
      <c r="U6693" s="23"/>
      <c r="V6693" s="23"/>
      <c r="W6693" s="23"/>
      <c r="X6693" s="23"/>
      <c r="Y6693" s="23"/>
      <c r="Z6693" s="23"/>
    </row>
    <row r="6694" spans="1:26" ht="13">
      <c r="A6694" s="562" t="s">
        <v>14570</v>
      </c>
      <c r="B6694" s="563" t="s">
        <v>14571</v>
      </c>
      <c r="C6694" s="564" t="s">
        <v>2484</v>
      </c>
      <c r="D6694" s="565">
        <v>38443</v>
      </c>
      <c r="E6694" s="565">
        <v>39592</v>
      </c>
      <c r="F6694" s="566">
        <v>433909091</v>
      </c>
      <c r="G6694" s="564" t="s">
        <v>2555</v>
      </c>
      <c r="H6694" s="564" t="s">
        <v>2323</v>
      </c>
      <c r="I6694" s="564" t="s">
        <v>14572</v>
      </c>
      <c r="J6694" s="564" t="s">
        <v>1069</v>
      </c>
      <c r="K6694" s="564" t="s">
        <v>2466</v>
      </c>
      <c r="L6694" s="564" t="s">
        <v>2467</v>
      </c>
      <c r="M6694" s="564" t="s">
        <v>2466</v>
      </c>
      <c r="N6694" s="564" t="s">
        <v>2543</v>
      </c>
      <c r="O6694" s="564" t="s">
        <v>12077</v>
      </c>
      <c r="P6694" s="23"/>
      <c r="Q6694" s="23"/>
      <c r="R6694" s="23"/>
      <c r="S6694" s="23"/>
      <c r="T6694" s="23"/>
      <c r="U6694" s="23"/>
      <c r="V6694" s="23"/>
      <c r="W6694" s="23"/>
      <c r="X6694" s="23"/>
      <c r="Y6694" s="23"/>
      <c r="Z6694" s="23"/>
    </row>
    <row r="6695" spans="1:26" ht="13">
      <c r="A6695" s="562" t="s">
        <v>14573</v>
      </c>
      <c r="B6695" s="563" t="s">
        <v>14574</v>
      </c>
      <c r="C6695" s="564" t="s">
        <v>2191</v>
      </c>
      <c r="D6695" s="565">
        <v>38556</v>
      </c>
      <c r="E6695" s="565">
        <v>39233</v>
      </c>
      <c r="F6695" s="566">
        <v>995000000</v>
      </c>
      <c r="G6695" s="564" t="s">
        <v>1123</v>
      </c>
      <c r="H6695" s="564"/>
      <c r="I6695" s="564" t="s">
        <v>7439</v>
      </c>
      <c r="J6695" s="564" t="s">
        <v>1069</v>
      </c>
      <c r="K6695" s="564" t="s">
        <v>1209</v>
      </c>
      <c r="L6695" s="564" t="s">
        <v>1071</v>
      </c>
      <c r="M6695" s="564" t="s">
        <v>1124</v>
      </c>
      <c r="N6695" s="564" t="s">
        <v>1082</v>
      </c>
      <c r="O6695" s="564" t="s">
        <v>13894</v>
      </c>
      <c r="P6695" s="23"/>
      <c r="Q6695" s="23"/>
      <c r="R6695" s="23"/>
      <c r="S6695" s="23"/>
      <c r="T6695" s="23"/>
      <c r="U6695" s="23"/>
      <c r="V6695" s="23"/>
      <c r="W6695" s="23"/>
      <c r="X6695" s="23"/>
      <c r="Y6695" s="23"/>
      <c r="Z6695" s="23"/>
    </row>
    <row r="6696" spans="1:26" ht="13">
      <c r="A6696" s="562" t="s">
        <v>14575</v>
      </c>
      <c r="B6696" s="563" t="s">
        <v>14576</v>
      </c>
      <c r="C6696" s="564" t="s">
        <v>2484</v>
      </c>
      <c r="D6696" s="565">
        <v>38729</v>
      </c>
      <c r="E6696" s="565">
        <v>39916</v>
      </c>
      <c r="F6696" s="566">
        <v>4915514164</v>
      </c>
      <c r="G6696" s="564" t="s">
        <v>12124</v>
      </c>
      <c r="H6696" s="564"/>
      <c r="I6696" s="564" t="s">
        <v>9792</v>
      </c>
      <c r="J6696" s="564" t="s">
        <v>1069</v>
      </c>
      <c r="K6696" s="564" t="s">
        <v>2466</v>
      </c>
      <c r="L6696" s="564" t="s">
        <v>2467</v>
      </c>
      <c r="M6696" s="564" t="s">
        <v>2466</v>
      </c>
      <c r="N6696" s="564" t="s">
        <v>2543</v>
      </c>
      <c r="O6696" s="564" t="s">
        <v>12077</v>
      </c>
      <c r="P6696" s="23"/>
      <c r="Q6696" s="23"/>
      <c r="R6696" s="23"/>
      <c r="S6696" s="23"/>
      <c r="T6696" s="23"/>
      <c r="U6696" s="23"/>
      <c r="V6696" s="23"/>
      <c r="W6696" s="23"/>
      <c r="X6696" s="23"/>
      <c r="Y6696" s="23"/>
      <c r="Z6696" s="23"/>
    </row>
    <row r="6697" spans="1:26" ht="13">
      <c r="A6697" s="562" t="s">
        <v>14577</v>
      </c>
      <c r="B6697" s="563" t="s">
        <v>14578</v>
      </c>
      <c r="C6697" s="564" t="s">
        <v>2484</v>
      </c>
      <c r="D6697" s="565">
        <v>38887</v>
      </c>
      <c r="E6697" s="565">
        <v>39426</v>
      </c>
      <c r="F6697" s="566">
        <v>1107272727</v>
      </c>
      <c r="G6697" s="564" t="s">
        <v>12133</v>
      </c>
      <c r="H6697" s="564"/>
      <c r="I6697" s="564" t="s">
        <v>12130</v>
      </c>
      <c r="J6697" s="564" t="s">
        <v>1069</v>
      </c>
      <c r="K6697" s="564" t="s">
        <v>2466</v>
      </c>
      <c r="L6697" s="564" t="s">
        <v>2467</v>
      </c>
      <c r="M6697" s="564" t="s">
        <v>2466</v>
      </c>
      <c r="N6697" s="564" t="s">
        <v>2543</v>
      </c>
      <c r="O6697" s="564" t="s">
        <v>12077</v>
      </c>
      <c r="P6697" s="23"/>
      <c r="Q6697" s="23"/>
      <c r="R6697" s="23"/>
      <c r="S6697" s="23"/>
      <c r="T6697" s="23"/>
      <c r="U6697" s="23"/>
      <c r="V6697" s="23"/>
      <c r="W6697" s="23"/>
      <c r="X6697" s="23"/>
      <c r="Y6697" s="23"/>
      <c r="Z6697" s="23"/>
    </row>
    <row r="6698" spans="1:26" ht="13">
      <c r="A6698" s="562" t="s">
        <v>14579</v>
      </c>
      <c r="B6698" s="563" t="s">
        <v>14580</v>
      </c>
      <c r="C6698" s="564" t="s">
        <v>2191</v>
      </c>
      <c r="D6698" s="565">
        <v>38714</v>
      </c>
      <c r="E6698" s="565">
        <v>38834</v>
      </c>
      <c r="F6698" s="567"/>
      <c r="G6698" s="564" t="s">
        <v>1145</v>
      </c>
      <c r="H6698" s="564"/>
      <c r="I6698" s="564" t="s">
        <v>14521</v>
      </c>
      <c r="J6698" s="564" t="s">
        <v>1069</v>
      </c>
      <c r="K6698" s="564" t="s">
        <v>1070</v>
      </c>
      <c r="L6698" s="564" t="s">
        <v>1390</v>
      </c>
      <c r="M6698" s="564" t="s">
        <v>1390</v>
      </c>
      <c r="N6698" s="564" t="s">
        <v>2439</v>
      </c>
      <c r="O6698" s="564" t="s">
        <v>13894</v>
      </c>
      <c r="P6698" s="23"/>
      <c r="Q6698" s="23"/>
      <c r="R6698" s="23"/>
      <c r="S6698" s="23"/>
      <c r="T6698" s="23"/>
      <c r="U6698" s="23"/>
      <c r="V6698" s="23"/>
      <c r="W6698" s="23"/>
      <c r="X6698" s="23"/>
      <c r="Y6698" s="23"/>
      <c r="Z6698" s="23"/>
    </row>
    <row r="6699" spans="1:26" ht="13">
      <c r="A6699" s="562" t="s">
        <v>14581</v>
      </c>
      <c r="B6699" s="563" t="s">
        <v>14582</v>
      </c>
      <c r="C6699" s="564" t="s">
        <v>2484</v>
      </c>
      <c r="D6699" s="565">
        <v>39058</v>
      </c>
      <c r="E6699" s="565">
        <v>39629</v>
      </c>
      <c r="F6699" s="566">
        <v>1260000000</v>
      </c>
      <c r="G6699" s="564" t="s">
        <v>12119</v>
      </c>
      <c r="H6699" s="564" t="s">
        <v>2459</v>
      </c>
      <c r="I6699" s="564" t="s">
        <v>2013</v>
      </c>
      <c r="J6699" s="564" t="s">
        <v>1069</v>
      </c>
      <c r="K6699" s="564" t="s">
        <v>2466</v>
      </c>
      <c r="L6699" s="564" t="s">
        <v>2467</v>
      </c>
      <c r="M6699" s="564" t="s">
        <v>2466</v>
      </c>
      <c r="N6699" s="564" t="s">
        <v>1082</v>
      </c>
      <c r="O6699" s="564" t="s">
        <v>12077</v>
      </c>
      <c r="P6699" s="23"/>
      <c r="Q6699" s="23"/>
      <c r="R6699" s="23"/>
      <c r="S6699" s="23"/>
      <c r="T6699" s="23"/>
      <c r="U6699" s="23"/>
      <c r="V6699" s="23"/>
      <c r="W6699" s="23"/>
      <c r="X6699" s="23"/>
      <c r="Y6699" s="23"/>
      <c r="Z6699" s="23"/>
    </row>
    <row r="6700" spans="1:26" ht="13">
      <c r="A6700" s="562" t="s">
        <v>14583</v>
      </c>
      <c r="B6700" s="563" t="s">
        <v>14584</v>
      </c>
      <c r="C6700" s="564" t="s">
        <v>2484</v>
      </c>
      <c r="D6700" s="565">
        <v>38834</v>
      </c>
      <c r="E6700" s="565">
        <v>39051</v>
      </c>
      <c r="F6700" s="566">
        <v>326545455</v>
      </c>
      <c r="G6700" s="564" t="s">
        <v>2519</v>
      </c>
      <c r="H6700" s="564"/>
      <c r="I6700" s="564" t="s">
        <v>14440</v>
      </c>
      <c r="J6700" s="564" t="s">
        <v>1069</v>
      </c>
      <c r="K6700" s="564" t="s">
        <v>2466</v>
      </c>
      <c r="L6700" s="564" t="s">
        <v>2467</v>
      </c>
      <c r="M6700" s="564" t="s">
        <v>2466</v>
      </c>
      <c r="N6700" s="564" t="s">
        <v>1082</v>
      </c>
      <c r="O6700" s="564" t="s">
        <v>12077</v>
      </c>
      <c r="P6700" s="23"/>
      <c r="Q6700" s="23"/>
      <c r="R6700" s="23"/>
      <c r="S6700" s="23"/>
      <c r="T6700" s="23"/>
      <c r="U6700" s="23"/>
      <c r="V6700" s="23"/>
      <c r="W6700" s="23"/>
      <c r="X6700" s="23"/>
      <c r="Y6700" s="23"/>
      <c r="Z6700" s="23"/>
    </row>
    <row r="6701" spans="1:26" ht="13">
      <c r="A6701" s="562" t="s">
        <v>14585</v>
      </c>
      <c r="B6701" s="563" t="s">
        <v>14586</v>
      </c>
      <c r="C6701" s="564" t="s">
        <v>2484</v>
      </c>
      <c r="D6701" s="565">
        <v>38827</v>
      </c>
      <c r="E6701" s="565">
        <v>39740</v>
      </c>
      <c r="F6701" s="566">
        <v>1632631818</v>
      </c>
      <c r="G6701" s="564" t="s">
        <v>2503</v>
      </c>
      <c r="H6701" s="564"/>
      <c r="I6701" s="564" t="s">
        <v>14304</v>
      </c>
      <c r="J6701" s="564" t="s">
        <v>1069</v>
      </c>
      <c r="K6701" s="564" t="s">
        <v>2466</v>
      </c>
      <c r="L6701" s="564" t="s">
        <v>2467</v>
      </c>
      <c r="M6701" s="564" t="s">
        <v>2466</v>
      </c>
      <c r="N6701" s="564" t="s">
        <v>2543</v>
      </c>
      <c r="O6701" s="564" t="s">
        <v>12077</v>
      </c>
      <c r="P6701" s="23"/>
      <c r="Q6701" s="23"/>
      <c r="R6701" s="23"/>
      <c r="S6701" s="23"/>
      <c r="T6701" s="23"/>
      <c r="U6701" s="23"/>
      <c r="V6701" s="23"/>
      <c r="W6701" s="23"/>
      <c r="X6701" s="23"/>
      <c r="Y6701" s="23"/>
      <c r="Z6701" s="23"/>
    </row>
    <row r="6702" spans="1:26" ht="13">
      <c r="A6702" s="562" t="s">
        <v>14587</v>
      </c>
      <c r="B6702" s="563" t="s">
        <v>14588</v>
      </c>
      <c r="C6702" s="564" t="s">
        <v>2484</v>
      </c>
      <c r="D6702" s="565">
        <v>38713</v>
      </c>
      <c r="E6702" s="565">
        <v>38892</v>
      </c>
      <c r="F6702" s="567"/>
      <c r="G6702" s="564" t="s">
        <v>13339</v>
      </c>
      <c r="H6702" s="564"/>
      <c r="I6702" s="564" t="s">
        <v>13417</v>
      </c>
      <c r="J6702" s="564" t="s">
        <v>1069</v>
      </c>
      <c r="K6702" s="564" t="s">
        <v>2466</v>
      </c>
      <c r="L6702" s="564" t="s">
        <v>2467</v>
      </c>
      <c r="M6702" s="564" t="s">
        <v>2466</v>
      </c>
      <c r="N6702" s="564" t="s">
        <v>2543</v>
      </c>
      <c r="O6702" s="564" t="s">
        <v>12077</v>
      </c>
      <c r="P6702" s="23"/>
      <c r="Q6702" s="23"/>
      <c r="R6702" s="23"/>
      <c r="S6702" s="23"/>
      <c r="T6702" s="23"/>
      <c r="U6702" s="23"/>
      <c r="V6702" s="23"/>
      <c r="W6702" s="23"/>
      <c r="X6702" s="23"/>
      <c r="Y6702" s="23"/>
      <c r="Z6702" s="23"/>
    </row>
    <row r="6703" spans="1:26" ht="13">
      <c r="A6703" s="562" t="s">
        <v>14589</v>
      </c>
      <c r="B6703" s="563" t="s">
        <v>14590</v>
      </c>
      <c r="C6703" s="564" t="s">
        <v>6860</v>
      </c>
      <c r="D6703" s="565">
        <v>38730</v>
      </c>
      <c r="E6703" s="565">
        <v>39232</v>
      </c>
      <c r="F6703" s="566">
        <v>1160000000</v>
      </c>
      <c r="G6703" s="564" t="s">
        <v>10823</v>
      </c>
      <c r="H6703" s="564"/>
      <c r="I6703" s="564" t="s">
        <v>13525</v>
      </c>
      <c r="J6703" s="564" t="s">
        <v>1069</v>
      </c>
      <c r="K6703" s="564" t="s">
        <v>1209</v>
      </c>
      <c r="L6703" s="564" t="s">
        <v>1390</v>
      </c>
      <c r="M6703" s="564" t="s">
        <v>1390</v>
      </c>
      <c r="N6703" s="564" t="s">
        <v>1082</v>
      </c>
      <c r="O6703" s="564" t="s">
        <v>13894</v>
      </c>
      <c r="P6703" s="23"/>
      <c r="Q6703" s="23"/>
      <c r="R6703" s="23"/>
      <c r="S6703" s="23"/>
      <c r="T6703" s="23"/>
      <c r="U6703" s="23"/>
      <c r="V6703" s="23"/>
      <c r="W6703" s="23"/>
      <c r="X6703" s="23"/>
      <c r="Y6703" s="23"/>
      <c r="Z6703" s="23"/>
    </row>
    <row r="6704" spans="1:26" ht="13">
      <c r="A6704" s="562" t="s">
        <v>14591</v>
      </c>
      <c r="B6704" s="563" t="s">
        <v>14592</v>
      </c>
      <c r="C6704" s="564" t="s">
        <v>2484</v>
      </c>
      <c r="D6704" s="565">
        <v>38701</v>
      </c>
      <c r="E6704" s="565">
        <v>38972</v>
      </c>
      <c r="F6704" s="566">
        <v>756000000</v>
      </c>
      <c r="G6704" s="564" t="s">
        <v>2485</v>
      </c>
      <c r="H6704" s="564"/>
      <c r="I6704" s="564" t="s">
        <v>12297</v>
      </c>
      <c r="J6704" s="564" t="s">
        <v>1069</v>
      </c>
      <c r="K6704" s="564" t="s">
        <v>2466</v>
      </c>
      <c r="L6704" s="564" t="s">
        <v>2467</v>
      </c>
      <c r="M6704" s="564" t="s">
        <v>2466</v>
      </c>
      <c r="N6704" s="564" t="s">
        <v>2439</v>
      </c>
      <c r="O6704" s="564" t="s">
        <v>12077</v>
      </c>
      <c r="P6704" s="23"/>
      <c r="Q6704" s="23"/>
      <c r="R6704" s="23"/>
      <c r="S6704" s="23"/>
      <c r="T6704" s="23"/>
      <c r="U6704" s="23"/>
      <c r="V6704" s="23"/>
      <c r="W6704" s="23"/>
      <c r="X6704" s="23"/>
      <c r="Y6704" s="23"/>
      <c r="Z6704" s="23"/>
    </row>
    <row r="6705" spans="1:26" ht="13">
      <c r="A6705" s="562" t="s">
        <v>14593</v>
      </c>
      <c r="B6705" s="563" t="s">
        <v>14594</v>
      </c>
      <c r="C6705" s="564" t="s">
        <v>2484</v>
      </c>
      <c r="D6705" s="565">
        <v>38533</v>
      </c>
      <c r="E6705" s="565">
        <v>38897</v>
      </c>
      <c r="F6705" s="567"/>
      <c r="G6705" s="564" t="s">
        <v>2536</v>
      </c>
      <c r="H6705" s="564"/>
      <c r="I6705" s="564" t="s">
        <v>12116</v>
      </c>
      <c r="J6705" s="564" t="s">
        <v>1069</v>
      </c>
      <c r="K6705" s="564" t="s">
        <v>2466</v>
      </c>
      <c r="L6705" s="564" t="s">
        <v>2467</v>
      </c>
      <c r="M6705" s="564" t="s">
        <v>2466</v>
      </c>
      <c r="N6705" s="564" t="s">
        <v>2325</v>
      </c>
      <c r="O6705" s="564" t="s">
        <v>12077</v>
      </c>
      <c r="P6705" s="23"/>
      <c r="Q6705" s="23"/>
      <c r="R6705" s="23"/>
      <c r="S6705" s="23"/>
      <c r="T6705" s="23"/>
      <c r="U6705" s="23"/>
      <c r="V6705" s="23"/>
      <c r="W6705" s="23"/>
      <c r="X6705" s="23"/>
      <c r="Y6705" s="23"/>
      <c r="Z6705" s="23"/>
    </row>
    <row r="6706" spans="1:26" ht="13">
      <c r="A6706" s="562" t="s">
        <v>14595</v>
      </c>
      <c r="B6706" s="563" t="s">
        <v>14596</v>
      </c>
      <c r="C6706" s="564" t="s">
        <v>2191</v>
      </c>
      <c r="D6706" s="565">
        <v>38629</v>
      </c>
      <c r="E6706" s="565">
        <v>38810</v>
      </c>
      <c r="F6706" s="567"/>
      <c r="G6706" s="564" t="s">
        <v>2346</v>
      </c>
      <c r="H6706" s="564"/>
      <c r="I6706" s="564" t="s">
        <v>14597</v>
      </c>
      <c r="J6706" s="564" t="s">
        <v>1069</v>
      </c>
      <c r="K6706" s="564" t="s">
        <v>1070</v>
      </c>
      <c r="L6706" s="564" t="s">
        <v>1390</v>
      </c>
      <c r="M6706" s="564" t="s">
        <v>1390</v>
      </c>
      <c r="N6706" s="564" t="s">
        <v>2439</v>
      </c>
      <c r="O6706" s="564" t="s">
        <v>13894</v>
      </c>
      <c r="P6706" s="23"/>
      <c r="Q6706" s="23"/>
      <c r="R6706" s="23"/>
      <c r="S6706" s="23"/>
      <c r="T6706" s="23"/>
      <c r="U6706" s="23"/>
      <c r="V6706" s="23"/>
      <c r="W6706" s="23"/>
      <c r="X6706" s="23"/>
      <c r="Y6706" s="23"/>
      <c r="Z6706" s="23"/>
    </row>
    <row r="6707" spans="1:26" ht="13">
      <c r="A6707" s="562" t="s">
        <v>14598</v>
      </c>
      <c r="B6707" s="563" t="s">
        <v>14599</v>
      </c>
      <c r="C6707" s="564" t="s">
        <v>2191</v>
      </c>
      <c r="D6707" s="565">
        <v>38621</v>
      </c>
      <c r="E6707" s="565">
        <v>39233</v>
      </c>
      <c r="F6707" s="567"/>
      <c r="G6707" s="564" t="s">
        <v>1123</v>
      </c>
      <c r="H6707" s="564"/>
      <c r="I6707" s="564" t="s">
        <v>7439</v>
      </c>
      <c r="J6707" s="564" t="s">
        <v>1069</v>
      </c>
      <c r="K6707" s="564" t="s">
        <v>2430</v>
      </c>
      <c r="L6707" s="564" t="s">
        <v>1390</v>
      </c>
      <c r="M6707" s="564" t="s">
        <v>1390</v>
      </c>
      <c r="N6707" s="564" t="s">
        <v>1082</v>
      </c>
      <c r="O6707" s="564" t="s">
        <v>13894</v>
      </c>
      <c r="P6707" s="23"/>
      <c r="Q6707" s="23"/>
      <c r="R6707" s="23"/>
      <c r="S6707" s="23"/>
      <c r="T6707" s="23"/>
      <c r="U6707" s="23"/>
      <c r="V6707" s="23"/>
      <c r="W6707" s="23"/>
      <c r="X6707" s="23"/>
      <c r="Y6707" s="23"/>
      <c r="Z6707" s="23"/>
    </row>
    <row r="6708" spans="1:26" ht="13">
      <c r="A6708" s="562" t="s">
        <v>14600</v>
      </c>
      <c r="B6708" s="563" t="s">
        <v>14601</v>
      </c>
      <c r="C6708" s="564" t="s">
        <v>2484</v>
      </c>
      <c r="D6708" s="565">
        <v>38548</v>
      </c>
      <c r="E6708" s="565">
        <v>39813</v>
      </c>
      <c r="F6708" s="566">
        <v>1576218709</v>
      </c>
      <c r="G6708" s="564" t="s">
        <v>13466</v>
      </c>
      <c r="H6708" s="564"/>
      <c r="I6708" s="564" t="s">
        <v>14307</v>
      </c>
      <c r="J6708" s="564" t="s">
        <v>1069</v>
      </c>
      <c r="K6708" s="564" t="s">
        <v>2466</v>
      </c>
      <c r="L6708" s="564" t="s">
        <v>2467</v>
      </c>
      <c r="M6708" s="564" t="s">
        <v>2466</v>
      </c>
      <c r="N6708" s="564" t="s">
        <v>2543</v>
      </c>
      <c r="O6708" s="564" t="s">
        <v>12077</v>
      </c>
      <c r="P6708" s="23"/>
      <c r="Q6708" s="23"/>
      <c r="R6708" s="23"/>
      <c r="S6708" s="23"/>
      <c r="T6708" s="23"/>
      <c r="U6708" s="23"/>
      <c r="V6708" s="23"/>
      <c r="W6708" s="23"/>
      <c r="X6708" s="23"/>
      <c r="Y6708" s="23"/>
      <c r="Z6708" s="23"/>
    </row>
    <row r="6709" spans="1:26" ht="13">
      <c r="A6709" s="562" t="s">
        <v>14602</v>
      </c>
      <c r="B6709" s="563" t="s">
        <v>14603</v>
      </c>
      <c r="C6709" s="564" t="s">
        <v>2484</v>
      </c>
      <c r="D6709" s="565">
        <v>38603</v>
      </c>
      <c r="E6709" s="565">
        <v>38722</v>
      </c>
      <c r="F6709" s="567"/>
      <c r="G6709" s="564" t="s">
        <v>13339</v>
      </c>
      <c r="H6709" s="564"/>
      <c r="I6709" s="564" t="s">
        <v>13621</v>
      </c>
      <c r="J6709" s="564" t="s">
        <v>1069</v>
      </c>
      <c r="K6709" s="564" t="s">
        <v>2466</v>
      </c>
      <c r="L6709" s="564" t="s">
        <v>2467</v>
      </c>
      <c r="M6709" s="564" t="s">
        <v>2466</v>
      </c>
      <c r="N6709" s="564" t="s">
        <v>2543</v>
      </c>
      <c r="O6709" s="564" t="s">
        <v>12077</v>
      </c>
      <c r="P6709" s="23"/>
      <c r="Q6709" s="23"/>
      <c r="R6709" s="23"/>
      <c r="S6709" s="23"/>
      <c r="T6709" s="23"/>
      <c r="U6709" s="23"/>
      <c r="V6709" s="23"/>
      <c r="W6709" s="23"/>
      <c r="X6709" s="23"/>
      <c r="Y6709" s="23"/>
      <c r="Z6709" s="23"/>
    </row>
    <row r="6710" spans="1:26" ht="13">
      <c r="A6710" s="562" t="s">
        <v>14604</v>
      </c>
      <c r="B6710" s="563" t="s">
        <v>14605</v>
      </c>
      <c r="C6710" s="564" t="s">
        <v>2191</v>
      </c>
      <c r="D6710" s="565">
        <v>38572</v>
      </c>
      <c r="E6710" s="565">
        <v>38762</v>
      </c>
      <c r="F6710" s="567"/>
      <c r="G6710" s="564" t="s">
        <v>2508</v>
      </c>
      <c r="H6710" s="564"/>
      <c r="I6710" s="564" t="s">
        <v>14606</v>
      </c>
      <c r="J6710" s="564" t="s">
        <v>1069</v>
      </c>
      <c r="K6710" s="564" t="s">
        <v>1070</v>
      </c>
      <c r="L6710" s="564" t="s">
        <v>1390</v>
      </c>
      <c r="M6710" s="564" t="s">
        <v>1390</v>
      </c>
      <c r="N6710" s="564" t="s">
        <v>2325</v>
      </c>
      <c r="O6710" s="564" t="s">
        <v>13894</v>
      </c>
      <c r="P6710" s="23"/>
      <c r="Q6710" s="23"/>
      <c r="R6710" s="23"/>
      <c r="S6710" s="23"/>
      <c r="T6710" s="23"/>
      <c r="U6710" s="23"/>
      <c r="V6710" s="23"/>
      <c r="W6710" s="23"/>
      <c r="X6710" s="23"/>
      <c r="Y6710" s="23"/>
      <c r="Z6710" s="23"/>
    </row>
    <row r="6711" spans="1:26" ht="13">
      <c r="A6711" s="562" t="s">
        <v>14607</v>
      </c>
      <c r="B6711" s="563" t="s">
        <v>14608</v>
      </c>
      <c r="C6711" s="564" t="s">
        <v>2191</v>
      </c>
      <c r="D6711" s="565">
        <v>38565</v>
      </c>
      <c r="E6711" s="565">
        <v>38715</v>
      </c>
      <c r="F6711" s="567"/>
      <c r="G6711" s="564" t="s">
        <v>2458</v>
      </c>
      <c r="H6711" s="564"/>
      <c r="I6711" s="564" t="s">
        <v>14609</v>
      </c>
      <c r="J6711" s="564" t="s">
        <v>1069</v>
      </c>
      <c r="K6711" s="564" t="s">
        <v>1070</v>
      </c>
      <c r="L6711" s="564" t="s">
        <v>1390</v>
      </c>
      <c r="M6711" s="564" t="s">
        <v>1390</v>
      </c>
      <c r="N6711" s="564" t="s">
        <v>1082</v>
      </c>
      <c r="O6711" s="564" t="s">
        <v>13894</v>
      </c>
      <c r="P6711" s="23"/>
      <c r="Q6711" s="23"/>
      <c r="R6711" s="23"/>
      <c r="S6711" s="23"/>
      <c r="T6711" s="23"/>
      <c r="U6711" s="23"/>
      <c r="V6711" s="23"/>
      <c r="W6711" s="23"/>
      <c r="X6711" s="23"/>
      <c r="Y6711" s="23"/>
      <c r="Z6711" s="23"/>
    </row>
    <row r="6712" spans="1:26" ht="13">
      <c r="A6712" s="562" t="s">
        <v>14610</v>
      </c>
      <c r="B6712" s="563" t="s">
        <v>14611</v>
      </c>
      <c r="C6712" s="564" t="s">
        <v>2191</v>
      </c>
      <c r="D6712" s="565">
        <v>38569</v>
      </c>
      <c r="E6712" s="565">
        <v>38716</v>
      </c>
      <c r="F6712" s="567"/>
      <c r="G6712" s="564" t="s">
        <v>2370</v>
      </c>
      <c r="H6712" s="564"/>
      <c r="I6712" s="564" t="s">
        <v>14612</v>
      </c>
      <c r="J6712" s="564" t="s">
        <v>1069</v>
      </c>
      <c r="K6712" s="564" t="s">
        <v>1070</v>
      </c>
      <c r="L6712" s="564" t="s">
        <v>1071</v>
      </c>
      <c r="M6712" s="564" t="s">
        <v>1091</v>
      </c>
      <c r="N6712" s="564" t="s">
        <v>1082</v>
      </c>
      <c r="O6712" s="564" t="s">
        <v>241</v>
      </c>
      <c r="P6712" s="23"/>
      <c r="Q6712" s="23"/>
      <c r="R6712" s="23"/>
      <c r="S6712" s="23"/>
      <c r="T6712" s="23"/>
      <c r="U6712" s="23"/>
      <c r="V6712" s="23"/>
      <c r="W6712" s="23"/>
      <c r="X6712" s="23"/>
      <c r="Y6712" s="23"/>
      <c r="Z6712" s="23"/>
    </row>
    <row r="6713" spans="1:26" ht="13">
      <c r="A6713" s="562" t="s">
        <v>14613</v>
      </c>
      <c r="B6713" s="563" t="s">
        <v>14614</v>
      </c>
      <c r="C6713" s="564" t="s">
        <v>2191</v>
      </c>
      <c r="D6713" s="565">
        <v>38541</v>
      </c>
      <c r="E6713" s="565">
        <v>38717</v>
      </c>
      <c r="F6713" s="567"/>
      <c r="G6713" s="564" t="s">
        <v>1725</v>
      </c>
      <c r="H6713" s="564"/>
      <c r="I6713" s="564" t="s">
        <v>14612</v>
      </c>
      <c r="J6713" s="564" t="s">
        <v>1069</v>
      </c>
      <c r="K6713" s="564" t="s">
        <v>1070</v>
      </c>
      <c r="L6713" s="564" t="s">
        <v>1390</v>
      </c>
      <c r="M6713" s="564" t="s">
        <v>1390</v>
      </c>
      <c r="N6713" s="564" t="s">
        <v>1082</v>
      </c>
      <c r="O6713" s="564" t="s">
        <v>13894</v>
      </c>
      <c r="P6713" s="23"/>
      <c r="Q6713" s="23"/>
      <c r="R6713" s="23"/>
      <c r="S6713" s="23"/>
      <c r="T6713" s="23"/>
      <c r="U6713" s="23"/>
      <c r="V6713" s="23"/>
      <c r="W6713" s="23"/>
      <c r="X6713" s="23"/>
      <c r="Y6713" s="23"/>
      <c r="Z6713" s="23"/>
    </row>
    <row r="6714" spans="1:26" ht="13">
      <c r="A6714" s="562" t="s">
        <v>14615</v>
      </c>
      <c r="B6714" s="563" t="s">
        <v>14616</v>
      </c>
      <c r="C6714" s="564" t="s">
        <v>2484</v>
      </c>
      <c r="D6714" s="565">
        <v>38512</v>
      </c>
      <c r="E6714" s="565">
        <v>38751</v>
      </c>
      <c r="F6714" s="566">
        <v>382136364</v>
      </c>
      <c r="G6714" s="564" t="s">
        <v>12075</v>
      </c>
      <c r="H6714" s="564"/>
      <c r="I6714" s="564" t="s">
        <v>14282</v>
      </c>
      <c r="J6714" s="564" t="s">
        <v>1069</v>
      </c>
      <c r="K6714" s="564" t="s">
        <v>2466</v>
      </c>
      <c r="L6714" s="564" t="s">
        <v>2467</v>
      </c>
      <c r="M6714" s="564" t="s">
        <v>2466</v>
      </c>
      <c r="N6714" s="564" t="s">
        <v>2543</v>
      </c>
      <c r="O6714" s="564" t="s">
        <v>12077</v>
      </c>
      <c r="P6714" s="23"/>
      <c r="Q6714" s="23"/>
      <c r="R6714" s="23"/>
      <c r="S6714" s="23"/>
      <c r="T6714" s="23"/>
      <c r="U6714" s="23"/>
      <c r="V6714" s="23"/>
      <c r="W6714" s="23"/>
      <c r="X6714" s="23"/>
      <c r="Y6714" s="23"/>
      <c r="Z6714" s="23"/>
    </row>
    <row r="6715" spans="1:26" ht="13">
      <c r="A6715" s="562" t="s">
        <v>14617</v>
      </c>
      <c r="B6715" s="563" t="s">
        <v>14618</v>
      </c>
      <c r="C6715" s="564" t="s">
        <v>2484</v>
      </c>
      <c r="D6715" s="565">
        <v>38657</v>
      </c>
      <c r="E6715" s="565">
        <v>40542</v>
      </c>
      <c r="F6715" s="566">
        <v>2862629018</v>
      </c>
      <c r="G6715" s="564" t="s">
        <v>2434</v>
      </c>
      <c r="H6715" s="564" t="s">
        <v>12125</v>
      </c>
      <c r="I6715" s="564" t="s">
        <v>12144</v>
      </c>
      <c r="J6715" s="564" t="s">
        <v>1069</v>
      </c>
      <c r="K6715" s="564" t="s">
        <v>2466</v>
      </c>
      <c r="L6715" s="564" t="s">
        <v>2467</v>
      </c>
      <c r="M6715" s="564" t="s">
        <v>2466</v>
      </c>
      <c r="N6715" s="564" t="s">
        <v>2543</v>
      </c>
      <c r="O6715" s="564" t="s">
        <v>12077</v>
      </c>
      <c r="P6715" s="23"/>
      <c r="Q6715" s="23"/>
      <c r="R6715" s="23"/>
      <c r="S6715" s="23"/>
      <c r="T6715" s="23"/>
      <c r="U6715" s="23"/>
      <c r="V6715" s="23"/>
      <c r="W6715" s="23"/>
      <c r="X6715" s="23"/>
      <c r="Y6715" s="23"/>
      <c r="Z6715" s="23"/>
    </row>
    <row r="6716" spans="1:26" ht="13">
      <c r="A6716" s="562" t="s">
        <v>14619</v>
      </c>
      <c r="B6716" s="563" t="s">
        <v>14620</v>
      </c>
      <c r="C6716" s="564" t="s">
        <v>2484</v>
      </c>
      <c r="D6716" s="565">
        <v>38581</v>
      </c>
      <c r="E6716" s="565">
        <v>38820</v>
      </c>
      <c r="F6716" s="567"/>
      <c r="G6716" s="564" t="s">
        <v>13379</v>
      </c>
      <c r="H6716" s="564"/>
      <c r="I6716" s="564" t="s">
        <v>2438</v>
      </c>
      <c r="J6716" s="564" t="s">
        <v>1069</v>
      </c>
      <c r="K6716" s="564" t="s">
        <v>2466</v>
      </c>
      <c r="L6716" s="564" t="s">
        <v>2467</v>
      </c>
      <c r="M6716" s="564" t="s">
        <v>2466</v>
      </c>
      <c r="N6716" s="564" t="s">
        <v>2439</v>
      </c>
      <c r="O6716" s="564" t="s">
        <v>12077</v>
      </c>
      <c r="P6716" s="23"/>
      <c r="Q6716" s="23"/>
      <c r="R6716" s="23"/>
      <c r="S6716" s="23"/>
      <c r="T6716" s="23"/>
      <c r="U6716" s="23"/>
      <c r="V6716" s="23"/>
      <c r="W6716" s="23"/>
      <c r="X6716" s="23"/>
      <c r="Y6716" s="23"/>
      <c r="Z6716" s="23"/>
    </row>
    <row r="6717" spans="1:26" ht="13">
      <c r="A6717" s="562" t="s">
        <v>14621</v>
      </c>
      <c r="B6717" s="563" t="s">
        <v>14622</v>
      </c>
      <c r="C6717" s="564" t="s">
        <v>2484</v>
      </c>
      <c r="D6717" s="565">
        <v>38540</v>
      </c>
      <c r="E6717" s="565">
        <v>39752</v>
      </c>
      <c r="F6717" s="566">
        <v>1923882273</v>
      </c>
      <c r="G6717" s="564" t="s">
        <v>14623</v>
      </c>
      <c r="H6717" s="564"/>
      <c r="I6717" s="564" t="s">
        <v>13417</v>
      </c>
      <c r="J6717" s="564" t="s">
        <v>1069</v>
      </c>
      <c r="K6717" s="564" t="s">
        <v>2466</v>
      </c>
      <c r="L6717" s="564" t="s">
        <v>2467</v>
      </c>
      <c r="M6717" s="564" t="s">
        <v>2466</v>
      </c>
      <c r="N6717" s="564" t="s">
        <v>2543</v>
      </c>
      <c r="O6717" s="564" t="s">
        <v>12077</v>
      </c>
      <c r="P6717" s="23"/>
      <c r="Q6717" s="23"/>
      <c r="R6717" s="23"/>
      <c r="S6717" s="23"/>
      <c r="T6717" s="23"/>
      <c r="U6717" s="23"/>
      <c r="V6717" s="23"/>
      <c r="W6717" s="23"/>
      <c r="X6717" s="23"/>
      <c r="Y6717" s="23"/>
      <c r="Z6717" s="23"/>
    </row>
    <row r="6718" spans="1:26" ht="13">
      <c r="A6718" s="562" t="s">
        <v>14624</v>
      </c>
      <c r="B6718" s="563" t="s">
        <v>14625</v>
      </c>
      <c r="C6718" s="564" t="s">
        <v>2484</v>
      </c>
      <c r="D6718" s="565">
        <v>38540</v>
      </c>
      <c r="E6718" s="565">
        <v>39165</v>
      </c>
      <c r="F6718" s="566">
        <v>371879236</v>
      </c>
      <c r="G6718" s="564" t="s">
        <v>12337</v>
      </c>
      <c r="H6718" s="564" t="s">
        <v>13382</v>
      </c>
      <c r="I6718" s="564" t="s">
        <v>2542</v>
      </c>
      <c r="J6718" s="564" t="s">
        <v>1069</v>
      </c>
      <c r="K6718" s="564" t="s">
        <v>2466</v>
      </c>
      <c r="L6718" s="564" t="s">
        <v>2467</v>
      </c>
      <c r="M6718" s="564" t="s">
        <v>2466</v>
      </c>
      <c r="N6718" s="564" t="s">
        <v>2543</v>
      </c>
      <c r="O6718" s="564" t="s">
        <v>12077</v>
      </c>
      <c r="P6718" s="23"/>
      <c r="Q6718" s="23"/>
      <c r="R6718" s="23"/>
      <c r="S6718" s="23"/>
      <c r="T6718" s="23"/>
      <c r="U6718" s="23"/>
      <c r="V6718" s="23"/>
      <c r="W6718" s="23"/>
      <c r="X6718" s="23"/>
      <c r="Y6718" s="23"/>
      <c r="Z6718" s="23"/>
    </row>
    <row r="6719" spans="1:26" ht="13">
      <c r="A6719" s="562" t="s">
        <v>14626</v>
      </c>
      <c r="B6719" s="563" t="s">
        <v>14627</v>
      </c>
      <c r="C6719" s="564" t="s">
        <v>2484</v>
      </c>
      <c r="D6719" s="565">
        <v>38482</v>
      </c>
      <c r="E6719" s="565">
        <v>39211</v>
      </c>
      <c r="F6719" s="566">
        <v>552832727</v>
      </c>
      <c r="G6719" s="564" t="s">
        <v>12124</v>
      </c>
      <c r="H6719" s="564"/>
      <c r="I6719" s="564" t="s">
        <v>14628</v>
      </c>
      <c r="J6719" s="564" t="s">
        <v>1069</v>
      </c>
      <c r="K6719" s="564" t="s">
        <v>2466</v>
      </c>
      <c r="L6719" s="564" t="s">
        <v>2467</v>
      </c>
      <c r="M6719" s="564" t="s">
        <v>2466</v>
      </c>
      <c r="N6719" s="564" t="s">
        <v>2543</v>
      </c>
      <c r="O6719" s="564" t="s">
        <v>12077</v>
      </c>
      <c r="P6719" s="23"/>
      <c r="Q6719" s="23"/>
      <c r="R6719" s="23"/>
      <c r="S6719" s="23"/>
      <c r="T6719" s="23"/>
      <c r="U6719" s="23"/>
      <c r="V6719" s="23"/>
      <c r="W6719" s="23"/>
      <c r="X6719" s="23"/>
      <c r="Y6719" s="23"/>
      <c r="Z6719" s="23"/>
    </row>
    <row r="6720" spans="1:26" ht="13">
      <c r="A6720" s="562" t="s">
        <v>14629</v>
      </c>
      <c r="B6720" s="563" t="s">
        <v>14630</v>
      </c>
      <c r="C6720" s="564" t="s">
        <v>2484</v>
      </c>
      <c r="D6720" s="565">
        <v>38485</v>
      </c>
      <c r="E6720" s="565">
        <v>38664</v>
      </c>
      <c r="F6720" s="567"/>
      <c r="G6720" s="564" t="s">
        <v>2502</v>
      </c>
      <c r="H6720" s="564"/>
      <c r="I6720" s="564" t="s">
        <v>13600</v>
      </c>
      <c r="J6720" s="564" t="s">
        <v>1069</v>
      </c>
      <c r="K6720" s="564" t="s">
        <v>2466</v>
      </c>
      <c r="L6720" s="564" t="s">
        <v>2467</v>
      </c>
      <c r="M6720" s="564" t="s">
        <v>2466</v>
      </c>
      <c r="N6720" s="564" t="s">
        <v>1082</v>
      </c>
      <c r="O6720" s="564" t="s">
        <v>12077</v>
      </c>
      <c r="P6720" s="23"/>
      <c r="Q6720" s="23"/>
      <c r="R6720" s="23"/>
      <c r="S6720" s="23"/>
      <c r="T6720" s="23"/>
      <c r="U6720" s="23"/>
      <c r="V6720" s="23"/>
      <c r="W6720" s="23"/>
      <c r="X6720" s="23"/>
      <c r="Y6720" s="23"/>
      <c r="Z6720" s="23"/>
    </row>
    <row r="6721" spans="1:26" ht="13">
      <c r="A6721" s="562" t="s">
        <v>14631</v>
      </c>
      <c r="B6721" s="563" t="s">
        <v>14632</v>
      </c>
      <c r="C6721" s="564" t="s">
        <v>2484</v>
      </c>
      <c r="D6721" s="565">
        <v>38463</v>
      </c>
      <c r="E6721" s="565">
        <v>38672</v>
      </c>
      <c r="F6721" s="567"/>
      <c r="G6721" s="564" t="s">
        <v>2464</v>
      </c>
      <c r="H6721" s="564"/>
      <c r="I6721" s="564" t="s">
        <v>12081</v>
      </c>
      <c r="J6721" s="564" t="s">
        <v>1069</v>
      </c>
      <c r="K6721" s="564" t="s">
        <v>2466</v>
      </c>
      <c r="L6721" s="564" t="s">
        <v>2467</v>
      </c>
      <c r="M6721" s="564" t="s">
        <v>2466</v>
      </c>
      <c r="N6721" s="564" t="s">
        <v>2439</v>
      </c>
      <c r="O6721" s="564" t="s">
        <v>12077</v>
      </c>
      <c r="P6721" s="23"/>
      <c r="Q6721" s="23"/>
      <c r="R6721" s="23"/>
      <c r="S6721" s="23"/>
      <c r="T6721" s="23"/>
      <c r="U6721" s="23"/>
      <c r="V6721" s="23"/>
      <c r="W6721" s="23"/>
      <c r="X6721" s="23"/>
      <c r="Y6721" s="23"/>
      <c r="Z6721" s="23"/>
    </row>
    <row r="6722" spans="1:26" ht="13">
      <c r="A6722" s="562" t="s">
        <v>14633</v>
      </c>
      <c r="B6722" s="563" t="s">
        <v>14634</v>
      </c>
      <c r="C6722" s="564" t="s">
        <v>2484</v>
      </c>
      <c r="D6722" s="565">
        <v>38443</v>
      </c>
      <c r="E6722" s="565">
        <v>38776</v>
      </c>
      <c r="F6722" s="567"/>
      <c r="G6722" s="564" t="s">
        <v>2323</v>
      </c>
      <c r="H6722" s="564"/>
      <c r="I6722" s="564" t="s">
        <v>14572</v>
      </c>
      <c r="J6722" s="564" t="s">
        <v>1069</v>
      </c>
      <c r="K6722" s="564" t="s">
        <v>2466</v>
      </c>
      <c r="L6722" s="564" t="s">
        <v>2467</v>
      </c>
      <c r="M6722" s="564" t="s">
        <v>2466</v>
      </c>
      <c r="N6722" s="564" t="s">
        <v>2543</v>
      </c>
      <c r="O6722" s="564" t="s">
        <v>12077</v>
      </c>
      <c r="P6722" s="23"/>
      <c r="Q6722" s="23"/>
      <c r="R6722" s="23"/>
      <c r="S6722" s="23"/>
      <c r="T6722" s="23"/>
      <c r="U6722" s="23"/>
      <c r="V6722" s="23"/>
      <c r="W6722" s="23"/>
      <c r="X6722" s="23"/>
      <c r="Y6722" s="23"/>
      <c r="Z6722" s="23"/>
    </row>
    <row r="6723" spans="1:26" ht="13">
      <c r="A6723" s="562" t="s">
        <v>14635</v>
      </c>
      <c r="B6723" s="563" t="s">
        <v>14636</v>
      </c>
      <c r="C6723" s="564" t="s">
        <v>2484</v>
      </c>
      <c r="D6723" s="565">
        <v>38436</v>
      </c>
      <c r="E6723" s="565">
        <v>38686</v>
      </c>
      <c r="F6723" s="567"/>
      <c r="G6723" s="564" t="s">
        <v>2519</v>
      </c>
      <c r="H6723" s="564"/>
      <c r="I6723" s="564" t="s">
        <v>12297</v>
      </c>
      <c r="J6723" s="564" t="s">
        <v>1069</v>
      </c>
      <c r="K6723" s="564" t="s">
        <v>2466</v>
      </c>
      <c r="L6723" s="564" t="s">
        <v>2467</v>
      </c>
      <c r="M6723" s="564" t="s">
        <v>2466</v>
      </c>
      <c r="N6723" s="564" t="s">
        <v>2439</v>
      </c>
      <c r="O6723" s="564" t="s">
        <v>12077</v>
      </c>
      <c r="P6723" s="23"/>
      <c r="Q6723" s="23"/>
      <c r="R6723" s="23"/>
      <c r="S6723" s="23"/>
      <c r="T6723" s="23"/>
      <c r="U6723" s="23"/>
      <c r="V6723" s="23"/>
      <c r="W6723" s="23"/>
      <c r="X6723" s="23"/>
      <c r="Y6723" s="23"/>
      <c r="Z6723" s="23"/>
    </row>
    <row r="6724" spans="1:26" ht="13">
      <c r="A6724" s="562" t="s">
        <v>14637</v>
      </c>
      <c r="B6724" s="563" t="s">
        <v>14638</v>
      </c>
      <c r="C6724" s="564" t="s">
        <v>2484</v>
      </c>
      <c r="D6724" s="565">
        <v>38708</v>
      </c>
      <c r="E6724" s="565">
        <v>39803</v>
      </c>
      <c r="F6724" s="566">
        <v>2757554545</v>
      </c>
      <c r="G6724" s="564" t="s">
        <v>14509</v>
      </c>
      <c r="H6724" s="564"/>
      <c r="I6724" s="564" t="s">
        <v>14639</v>
      </c>
      <c r="J6724" s="564" t="s">
        <v>1069</v>
      </c>
      <c r="K6724" s="564" t="s">
        <v>2466</v>
      </c>
      <c r="L6724" s="564" t="s">
        <v>2467</v>
      </c>
      <c r="M6724" s="564" t="s">
        <v>2466</v>
      </c>
      <c r="N6724" s="564" t="s">
        <v>2543</v>
      </c>
      <c r="O6724" s="564" t="s">
        <v>12077</v>
      </c>
      <c r="P6724" s="23"/>
      <c r="Q6724" s="23"/>
      <c r="R6724" s="23"/>
      <c r="S6724" s="23"/>
      <c r="T6724" s="23"/>
      <c r="U6724" s="23"/>
      <c r="V6724" s="23"/>
      <c r="W6724" s="23"/>
      <c r="X6724" s="23"/>
      <c r="Y6724" s="23"/>
      <c r="Z6724" s="23"/>
    </row>
    <row r="6725" spans="1:26" ht="13">
      <c r="A6725" s="562" t="s">
        <v>14640</v>
      </c>
      <c r="B6725" s="563" t="s">
        <v>14641</v>
      </c>
      <c r="C6725" s="564" t="s">
        <v>2484</v>
      </c>
      <c r="D6725" s="565">
        <v>38420</v>
      </c>
      <c r="E6725" s="565">
        <v>38669</v>
      </c>
      <c r="F6725" s="567"/>
      <c r="G6725" s="564" t="s">
        <v>14642</v>
      </c>
      <c r="H6725" s="564"/>
      <c r="I6725" s="564" t="s">
        <v>12297</v>
      </c>
      <c r="J6725" s="564" t="s">
        <v>1069</v>
      </c>
      <c r="K6725" s="564" t="s">
        <v>2466</v>
      </c>
      <c r="L6725" s="564" t="s">
        <v>2467</v>
      </c>
      <c r="M6725" s="564" t="s">
        <v>2466</v>
      </c>
      <c r="N6725" s="564" t="s">
        <v>2439</v>
      </c>
      <c r="O6725" s="564" t="s">
        <v>12077</v>
      </c>
      <c r="P6725" s="23"/>
      <c r="Q6725" s="23"/>
      <c r="R6725" s="23"/>
      <c r="S6725" s="23"/>
      <c r="T6725" s="23"/>
      <c r="U6725" s="23"/>
      <c r="V6725" s="23"/>
      <c r="W6725" s="23"/>
      <c r="X6725" s="23"/>
      <c r="Y6725" s="23"/>
      <c r="Z6725" s="23"/>
    </row>
    <row r="6726" spans="1:26" ht="13">
      <c r="A6726" s="562" t="s">
        <v>14643</v>
      </c>
      <c r="B6726" s="563" t="s">
        <v>14644</v>
      </c>
      <c r="C6726" s="564" t="s">
        <v>2484</v>
      </c>
      <c r="D6726" s="565">
        <v>38534</v>
      </c>
      <c r="E6726" s="565">
        <v>38929</v>
      </c>
      <c r="F6726" s="566">
        <v>471818182</v>
      </c>
      <c r="G6726" s="564" t="s">
        <v>13134</v>
      </c>
      <c r="H6726" s="564"/>
      <c r="I6726" s="564" t="s">
        <v>2542</v>
      </c>
      <c r="J6726" s="564" t="s">
        <v>1069</v>
      </c>
      <c r="K6726" s="564" t="s">
        <v>2466</v>
      </c>
      <c r="L6726" s="564" t="s">
        <v>2467</v>
      </c>
      <c r="M6726" s="564" t="s">
        <v>2466</v>
      </c>
      <c r="N6726" s="564" t="s">
        <v>2543</v>
      </c>
      <c r="O6726" s="564" t="s">
        <v>12077</v>
      </c>
      <c r="P6726" s="23"/>
      <c r="Q6726" s="23"/>
      <c r="R6726" s="23"/>
      <c r="S6726" s="23"/>
      <c r="T6726" s="23"/>
      <c r="U6726" s="23"/>
      <c r="V6726" s="23"/>
      <c r="W6726" s="23"/>
      <c r="X6726" s="23"/>
      <c r="Y6726" s="23"/>
      <c r="Z6726" s="23"/>
    </row>
    <row r="6727" spans="1:26" ht="13">
      <c r="A6727" s="562" t="s">
        <v>14645</v>
      </c>
      <c r="B6727" s="563" t="s">
        <v>14646</v>
      </c>
      <c r="C6727" s="564" t="s">
        <v>2484</v>
      </c>
      <c r="D6727" s="565">
        <v>38418</v>
      </c>
      <c r="E6727" s="565">
        <v>38723</v>
      </c>
      <c r="F6727" s="567"/>
      <c r="G6727" s="564" t="s">
        <v>14487</v>
      </c>
      <c r="H6727" s="564"/>
      <c r="I6727" s="564" t="s">
        <v>12147</v>
      </c>
      <c r="J6727" s="564" t="s">
        <v>1069</v>
      </c>
      <c r="K6727" s="564" t="s">
        <v>2466</v>
      </c>
      <c r="L6727" s="564" t="s">
        <v>2467</v>
      </c>
      <c r="M6727" s="564" t="s">
        <v>2466</v>
      </c>
      <c r="N6727" s="564" t="s">
        <v>2543</v>
      </c>
      <c r="O6727" s="564" t="s">
        <v>12077</v>
      </c>
      <c r="P6727" s="23"/>
      <c r="Q6727" s="23"/>
      <c r="R6727" s="23"/>
      <c r="S6727" s="23"/>
      <c r="T6727" s="23"/>
      <c r="U6727" s="23"/>
      <c r="V6727" s="23"/>
      <c r="W6727" s="23"/>
      <c r="X6727" s="23"/>
      <c r="Y6727" s="23"/>
      <c r="Z6727" s="23"/>
    </row>
    <row r="6728" spans="1:26" ht="13">
      <c r="A6728" s="562" t="s">
        <v>14647</v>
      </c>
      <c r="B6728" s="563" t="s">
        <v>14648</v>
      </c>
      <c r="C6728" s="564" t="s">
        <v>2484</v>
      </c>
      <c r="D6728" s="565">
        <v>38358</v>
      </c>
      <c r="E6728" s="565">
        <v>38812</v>
      </c>
      <c r="F6728" s="566">
        <v>197077000</v>
      </c>
      <c r="G6728" s="564" t="s">
        <v>13339</v>
      </c>
      <c r="H6728" s="564"/>
      <c r="I6728" s="564" t="s">
        <v>14649</v>
      </c>
      <c r="J6728" s="564" t="s">
        <v>1069</v>
      </c>
      <c r="K6728" s="564" t="s">
        <v>2466</v>
      </c>
      <c r="L6728" s="564" t="s">
        <v>2467</v>
      </c>
      <c r="M6728" s="564" t="s">
        <v>2466</v>
      </c>
      <c r="N6728" s="564" t="s">
        <v>2543</v>
      </c>
      <c r="O6728" s="564" t="s">
        <v>12077</v>
      </c>
      <c r="P6728" s="23"/>
      <c r="Q6728" s="23"/>
      <c r="R6728" s="23"/>
      <c r="S6728" s="23"/>
      <c r="T6728" s="23"/>
      <c r="U6728" s="23"/>
      <c r="V6728" s="23"/>
      <c r="W6728" s="23"/>
      <c r="X6728" s="23"/>
      <c r="Y6728" s="23"/>
      <c r="Z6728" s="23"/>
    </row>
    <row r="6729" spans="1:26" ht="13">
      <c r="A6729" s="562" t="s">
        <v>14650</v>
      </c>
      <c r="B6729" s="563" t="s">
        <v>14651</v>
      </c>
      <c r="C6729" s="564" t="s">
        <v>2484</v>
      </c>
      <c r="D6729" s="565">
        <v>38349</v>
      </c>
      <c r="E6729" s="565">
        <v>40478</v>
      </c>
      <c r="F6729" s="566">
        <v>2229309245</v>
      </c>
      <c r="G6729" s="564" t="s">
        <v>14132</v>
      </c>
      <c r="H6729" s="564" t="s">
        <v>12096</v>
      </c>
      <c r="I6729" s="564" t="s">
        <v>13217</v>
      </c>
      <c r="J6729" s="564" t="s">
        <v>1069</v>
      </c>
      <c r="K6729" s="564" t="s">
        <v>2466</v>
      </c>
      <c r="L6729" s="564" t="s">
        <v>2467</v>
      </c>
      <c r="M6729" s="564" t="s">
        <v>2466</v>
      </c>
      <c r="N6729" s="564" t="s">
        <v>2543</v>
      </c>
      <c r="O6729" s="564" t="s">
        <v>12077</v>
      </c>
      <c r="P6729" s="23"/>
      <c r="Q6729" s="23"/>
      <c r="R6729" s="23"/>
      <c r="S6729" s="23"/>
      <c r="T6729" s="23"/>
      <c r="U6729" s="23"/>
      <c r="V6729" s="23"/>
      <c r="W6729" s="23"/>
      <c r="X6729" s="23"/>
      <c r="Y6729" s="23"/>
      <c r="Z6729" s="23"/>
    </row>
    <row r="6730" spans="1:26" ht="13">
      <c r="A6730" s="562" t="s">
        <v>14652</v>
      </c>
      <c r="B6730" s="563" t="s">
        <v>14653</v>
      </c>
      <c r="C6730" s="564" t="s">
        <v>2484</v>
      </c>
      <c r="D6730" s="565">
        <v>38261</v>
      </c>
      <c r="E6730" s="565">
        <v>39737</v>
      </c>
      <c r="F6730" s="566">
        <v>3282847273</v>
      </c>
      <c r="G6730" s="564" t="s">
        <v>12129</v>
      </c>
      <c r="H6730" s="564"/>
      <c r="I6730" s="564" t="s">
        <v>13111</v>
      </c>
      <c r="J6730" s="564" t="s">
        <v>1069</v>
      </c>
      <c r="K6730" s="564" t="s">
        <v>2466</v>
      </c>
      <c r="L6730" s="564" t="s">
        <v>2467</v>
      </c>
      <c r="M6730" s="564" t="s">
        <v>2466</v>
      </c>
      <c r="N6730" s="564" t="s">
        <v>2543</v>
      </c>
      <c r="O6730" s="564" t="s">
        <v>12077</v>
      </c>
      <c r="P6730" s="23"/>
      <c r="Q6730" s="23"/>
      <c r="R6730" s="23"/>
      <c r="S6730" s="23"/>
      <c r="T6730" s="23"/>
      <c r="U6730" s="23"/>
      <c r="V6730" s="23"/>
      <c r="W6730" s="23"/>
      <c r="X6730" s="23"/>
      <c r="Y6730" s="23"/>
      <c r="Z6730" s="23"/>
    </row>
    <row r="6731" spans="1:26" ht="13">
      <c r="A6731" s="562" t="s">
        <v>14654</v>
      </c>
      <c r="B6731" s="563" t="s">
        <v>14655</v>
      </c>
      <c r="C6731" s="564" t="s">
        <v>2191</v>
      </c>
      <c r="D6731" s="565">
        <v>38343</v>
      </c>
      <c r="E6731" s="565">
        <v>38525</v>
      </c>
      <c r="F6731" s="567"/>
      <c r="G6731" s="564" t="s">
        <v>13865</v>
      </c>
      <c r="H6731" s="564"/>
      <c r="I6731" s="564" t="s">
        <v>14656</v>
      </c>
      <c r="J6731" s="564" t="s">
        <v>1069</v>
      </c>
      <c r="K6731" s="564" t="s">
        <v>1070</v>
      </c>
      <c r="L6731" s="564" t="s">
        <v>1390</v>
      </c>
      <c r="M6731" s="564" t="s">
        <v>1390</v>
      </c>
      <c r="N6731" s="564" t="s">
        <v>2439</v>
      </c>
      <c r="O6731" s="564" t="s">
        <v>13894</v>
      </c>
      <c r="P6731" s="23"/>
      <c r="Q6731" s="23"/>
      <c r="R6731" s="23"/>
      <c r="S6731" s="23"/>
      <c r="T6731" s="23"/>
      <c r="U6731" s="23"/>
      <c r="V6731" s="23"/>
      <c r="W6731" s="23"/>
      <c r="X6731" s="23"/>
      <c r="Y6731" s="23"/>
      <c r="Z6731" s="23"/>
    </row>
    <row r="6732" spans="1:26" ht="13">
      <c r="A6732" s="562" t="s">
        <v>14657</v>
      </c>
      <c r="B6732" s="563" t="s">
        <v>14658</v>
      </c>
      <c r="C6732" s="564" t="s">
        <v>2484</v>
      </c>
      <c r="D6732" s="565">
        <v>38337</v>
      </c>
      <c r="E6732" s="565">
        <v>38579</v>
      </c>
      <c r="F6732" s="567"/>
      <c r="G6732" s="564" t="s">
        <v>2485</v>
      </c>
      <c r="H6732" s="564"/>
      <c r="I6732" s="564" t="s">
        <v>12297</v>
      </c>
      <c r="J6732" s="564" t="s">
        <v>1069</v>
      </c>
      <c r="K6732" s="564" t="s">
        <v>2466</v>
      </c>
      <c r="L6732" s="564" t="s">
        <v>2467</v>
      </c>
      <c r="M6732" s="564" t="s">
        <v>2466</v>
      </c>
      <c r="N6732" s="564" t="s">
        <v>2439</v>
      </c>
      <c r="O6732" s="564" t="s">
        <v>12077</v>
      </c>
      <c r="P6732" s="23"/>
      <c r="Q6732" s="23"/>
      <c r="R6732" s="23"/>
      <c r="S6732" s="23"/>
      <c r="T6732" s="23"/>
      <c r="U6732" s="23"/>
      <c r="V6732" s="23"/>
      <c r="W6732" s="23"/>
      <c r="X6732" s="23"/>
      <c r="Y6732" s="23"/>
      <c r="Z6732" s="23"/>
    </row>
    <row r="6733" spans="1:26" ht="13">
      <c r="A6733" s="562" t="s">
        <v>14659</v>
      </c>
      <c r="B6733" s="563" t="s">
        <v>14660</v>
      </c>
      <c r="C6733" s="564" t="s">
        <v>1612</v>
      </c>
      <c r="D6733" s="565">
        <v>38355</v>
      </c>
      <c r="E6733" s="565">
        <v>38990</v>
      </c>
      <c r="F6733" s="566">
        <v>1340000000</v>
      </c>
      <c r="G6733" s="564" t="s">
        <v>14027</v>
      </c>
      <c r="H6733" s="564" t="s">
        <v>11225</v>
      </c>
      <c r="I6733" s="564" t="s">
        <v>14661</v>
      </c>
      <c r="J6733" s="564" t="s">
        <v>1069</v>
      </c>
      <c r="K6733" s="564" t="s">
        <v>1209</v>
      </c>
      <c r="L6733" s="564" t="s">
        <v>1390</v>
      </c>
      <c r="M6733" s="564" t="s">
        <v>1390</v>
      </c>
      <c r="N6733" s="564" t="s">
        <v>257</v>
      </c>
      <c r="O6733" s="564" t="s">
        <v>13894</v>
      </c>
      <c r="P6733" s="23"/>
      <c r="Q6733" s="23"/>
      <c r="R6733" s="23"/>
      <c r="S6733" s="23"/>
      <c r="T6733" s="23"/>
      <c r="U6733" s="23"/>
      <c r="V6733" s="23"/>
      <c r="W6733" s="23"/>
      <c r="X6733" s="23"/>
      <c r="Y6733" s="23"/>
      <c r="Z6733" s="23"/>
    </row>
    <row r="6734" spans="1:26" ht="13">
      <c r="A6734" s="562" t="s">
        <v>14662</v>
      </c>
      <c r="B6734" s="563" t="s">
        <v>14663</v>
      </c>
      <c r="C6734" s="564" t="s">
        <v>2484</v>
      </c>
      <c r="D6734" s="565">
        <v>38132</v>
      </c>
      <c r="E6734" s="565">
        <v>38491</v>
      </c>
      <c r="F6734" s="567"/>
      <c r="G6734" s="564" t="s">
        <v>14623</v>
      </c>
      <c r="H6734" s="564"/>
      <c r="I6734" s="564" t="s">
        <v>12091</v>
      </c>
      <c r="J6734" s="564" t="s">
        <v>1069</v>
      </c>
      <c r="K6734" s="564" t="s">
        <v>2466</v>
      </c>
      <c r="L6734" s="564" t="s">
        <v>2467</v>
      </c>
      <c r="M6734" s="564" t="s">
        <v>2466</v>
      </c>
      <c r="N6734" s="564" t="s">
        <v>2325</v>
      </c>
      <c r="O6734" s="564" t="s">
        <v>12077</v>
      </c>
      <c r="P6734" s="23"/>
      <c r="Q6734" s="23"/>
      <c r="R6734" s="23"/>
      <c r="S6734" s="23"/>
      <c r="T6734" s="23"/>
      <c r="U6734" s="23"/>
      <c r="V6734" s="23"/>
      <c r="W6734" s="23"/>
      <c r="X6734" s="23"/>
      <c r="Y6734" s="23"/>
      <c r="Z6734" s="23"/>
    </row>
    <row r="6735" spans="1:26" ht="13">
      <c r="A6735" s="562" t="s">
        <v>14664</v>
      </c>
      <c r="B6735" s="563" t="s">
        <v>14665</v>
      </c>
      <c r="C6735" s="564" t="s">
        <v>2484</v>
      </c>
      <c r="D6735" s="565">
        <v>38224</v>
      </c>
      <c r="E6735" s="565">
        <v>38343</v>
      </c>
      <c r="F6735" s="567"/>
      <c r="G6735" s="564"/>
      <c r="H6735" s="564"/>
      <c r="I6735" s="564" t="s">
        <v>14666</v>
      </c>
      <c r="J6735" s="564" t="s">
        <v>1069</v>
      </c>
      <c r="K6735" s="564" t="s">
        <v>2466</v>
      </c>
      <c r="L6735" s="564" t="s">
        <v>2467</v>
      </c>
      <c r="M6735" s="564" t="s">
        <v>2466</v>
      </c>
      <c r="N6735" s="564" t="s">
        <v>2439</v>
      </c>
      <c r="O6735" s="564" t="s">
        <v>12077</v>
      </c>
      <c r="P6735" s="23"/>
      <c r="Q6735" s="23"/>
      <c r="R6735" s="23"/>
      <c r="S6735" s="23"/>
      <c r="T6735" s="23"/>
      <c r="U6735" s="23"/>
      <c r="V6735" s="23"/>
      <c r="W6735" s="23"/>
      <c r="X6735" s="23"/>
      <c r="Y6735" s="23"/>
      <c r="Z6735" s="23"/>
    </row>
    <row r="6736" spans="1:26" ht="13">
      <c r="A6736" s="562" t="s">
        <v>14667</v>
      </c>
      <c r="B6736" s="563" t="s">
        <v>14668</v>
      </c>
      <c r="C6736" s="564" t="s">
        <v>2484</v>
      </c>
      <c r="D6736" s="565">
        <v>38191</v>
      </c>
      <c r="E6736" s="565">
        <v>38340</v>
      </c>
      <c r="F6736" s="567"/>
      <c r="G6736" s="564" t="s">
        <v>13339</v>
      </c>
      <c r="H6736" s="564"/>
      <c r="I6736" s="564" t="s">
        <v>12297</v>
      </c>
      <c r="J6736" s="564" t="s">
        <v>1069</v>
      </c>
      <c r="K6736" s="564" t="s">
        <v>2466</v>
      </c>
      <c r="L6736" s="564" t="s">
        <v>2467</v>
      </c>
      <c r="M6736" s="564" t="s">
        <v>2466</v>
      </c>
      <c r="N6736" s="564" t="s">
        <v>2439</v>
      </c>
      <c r="O6736" s="564" t="s">
        <v>12077</v>
      </c>
      <c r="P6736" s="23"/>
      <c r="Q6736" s="23"/>
      <c r="R6736" s="23"/>
      <c r="S6736" s="23"/>
      <c r="T6736" s="23"/>
      <c r="U6736" s="23"/>
      <c r="V6736" s="23"/>
      <c r="W6736" s="23"/>
      <c r="X6736" s="23"/>
      <c r="Y6736" s="23"/>
      <c r="Z6736" s="23"/>
    </row>
    <row r="6737" spans="1:26" ht="13">
      <c r="A6737" s="562" t="s">
        <v>14669</v>
      </c>
      <c r="B6737" s="563" t="s">
        <v>14670</v>
      </c>
      <c r="C6737" s="564" t="s">
        <v>2484</v>
      </c>
      <c r="D6737" s="565">
        <v>38152</v>
      </c>
      <c r="E6737" s="565">
        <v>39612</v>
      </c>
      <c r="F6737" s="566">
        <v>3268440000</v>
      </c>
      <c r="G6737" s="564" t="s">
        <v>12134</v>
      </c>
      <c r="H6737" s="564"/>
      <c r="I6737" s="564" t="s">
        <v>14671</v>
      </c>
      <c r="J6737" s="564" t="s">
        <v>1069</v>
      </c>
      <c r="K6737" s="564" t="s">
        <v>2466</v>
      </c>
      <c r="L6737" s="564" t="s">
        <v>2467</v>
      </c>
      <c r="M6737" s="564" t="s">
        <v>2466</v>
      </c>
      <c r="N6737" s="564" t="s">
        <v>2543</v>
      </c>
      <c r="O6737" s="564" t="s">
        <v>12077</v>
      </c>
      <c r="P6737" s="23"/>
      <c r="Q6737" s="23"/>
      <c r="R6737" s="23"/>
      <c r="S6737" s="23"/>
      <c r="T6737" s="23"/>
      <c r="U6737" s="23"/>
      <c r="V6737" s="23"/>
      <c r="W6737" s="23"/>
      <c r="X6737" s="23"/>
      <c r="Y6737" s="23"/>
      <c r="Z6737" s="23"/>
    </row>
    <row r="6738" spans="1:26" ht="13">
      <c r="A6738" s="562" t="s">
        <v>14672</v>
      </c>
      <c r="B6738" s="563" t="s">
        <v>14673</v>
      </c>
      <c r="C6738" s="564" t="s">
        <v>2484</v>
      </c>
      <c r="D6738" s="565">
        <v>38091</v>
      </c>
      <c r="E6738" s="565">
        <v>40178</v>
      </c>
      <c r="F6738" s="566">
        <v>1543057421</v>
      </c>
      <c r="G6738" s="564" t="s">
        <v>12124</v>
      </c>
      <c r="H6738" s="564"/>
      <c r="I6738" s="564" t="s">
        <v>14133</v>
      </c>
      <c r="J6738" s="564" t="s">
        <v>1069</v>
      </c>
      <c r="K6738" s="564" t="s">
        <v>2466</v>
      </c>
      <c r="L6738" s="564" t="s">
        <v>2467</v>
      </c>
      <c r="M6738" s="564" t="s">
        <v>2466</v>
      </c>
      <c r="N6738" s="564" t="s">
        <v>2543</v>
      </c>
      <c r="O6738" s="564" t="s">
        <v>12077</v>
      </c>
      <c r="P6738" s="23"/>
      <c r="Q6738" s="23"/>
      <c r="R6738" s="23"/>
      <c r="S6738" s="23"/>
      <c r="T6738" s="23"/>
      <c r="U6738" s="23"/>
      <c r="V6738" s="23"/>
      <c r="W6738" s="23"/>
      <c r="X6738" s="23"/>
      <c r="Y6738" s="23"/>
      <c r="Z6738" s="23"/>
    </row>
    <row r="6739" spans="1:26" ht="13">
      <c r="A6739" s="562" t="s">
        <v>14674</v>
      </c>
      <c r="B6739" s="563" t="s">
        <v>14675</v>
      </c>
      <c r="C6739" s="564" t="s">
        <v>2484</v>
      </c>
      <c r="D6739" s="565">
        <v>38084</v>
      </c>
      <c r="E6739" s="565">
        <v>38323</v>
      </c>
      <c r="F6739" s="567"/>
      <c r="G6739" s="564" t="s">
        <v>14487</v>
      </c>
      <c r="H6739" s="564"/>
      <c r="I6739" s="564" t="s">
        <v>12147</v>
      </c>
      <c r="J6739" s="564" t="s">
        <v>1069</v>
      </c>
      <c r="K6739" s="564" t="s">
        <v>2466</v>
      </c>
      <c r="L6739" s="564" t="s">
        <v>2467</v>
      </c>
      <c r="M6739" s="564" t="s">
        <v>2466</v>
      </c>
      <c r="N6739" s="564" t="s">
        <v>2543</v>
      </c>
      <c r="O6739" s="564" t="s">
        <v>12077</v>
      </c>
      <c r="P6739" s="23"/>
      <c r="Q6739" s="23"/>
      <c r="R6739" s="23"/>
      <c r="S6739" s="23"/>
      <c r="T6739" s="23"/>
      <c r="U6739" s="23"/>
      <c r="V6739" s="23"/>
      <c r="W6739" s="23"/>
      <c r="X6739" s="23"/>
      <c r="Y6739" s="23"/>
      <c r="Z6739" s="23"/>
    </row>
    <row r="6740" spans="1:26" ht="13">
      <c r="A6740" s="562" t="s">
        <v>14676</v>
      </c>
      <c r="B6740" s="563" t="s">
        <v>14677</v>
      </c>
      <c r="C6740" s="564" t="s">
        <v>2484</v>
      </c>
      <c r="D6740" s="565">
        <v>38153</v>
      </c>
      <c r="E6740" s="565">
        <v>39492</v>
      </c>
      <c r="F6740" s="566">
        <v>1718496591</v>
      </c>
      <c r="G6740" s="564" t="s">
        <v>12104</v>
      </c>
      <c r="H6740" s="564" t="s">
        <v>2541</v>
      </c>
      <c r="I6740" s="564" t="s">
        <v>14678</v>
      </c>
      <c r="J6740" s="564" t="s">
        <v>1069</v>
      </c>
      <c r="K6740" s="564" t="s">
        <v>2466</v>
      </c>
      <c r="L6740" s="564" t="s">
        <v>2467</v>
      </c>
      <c r="M6740" s="564" t="s">
        <v>2466</v>
      </c>
      <c r="N6740" s="564" t="s">
        <v>2543</v>
      </c>
      <c r="O6740" s="564" t="s">
        <v>12077</v>
      </c>
      <c r="P6740" s="23"/>
      <c r="Q6740" s="23"/>
      <c r="R6740" s="23"/>
      <c r="S6740" s="23"/>
      <c r="T6740" s="23"/>
      <c r="U6740" s="23"/>
      <c r="V6740" s="23"/>
      <c r="W6740" s="23"/>
      <c r="X6740" s="23"/>
      <c r="Y6740" s="23"/>
      <c r="Z6740" s="23"/>
    </row>
    <row r="6741" spans="1:26" ht="13">
      <c r="A6741" s="562" t="s">
        <v>14679</v>
      </c>
      <c r="B6741" s="563" t="s">
        <v>14680</v>
      </c>
      <c r="C6741" s="564" t="s">
        <v>2484</v>
      </c>
      <c r="D6741" s="565">
        <v>38169</v>
      </c>
      <c r="E6741" s="565">
        <v>38352</v>
      </c>
      <c r="F6741" s="567"/>
      <c r="G6741" s="564" t="s">
        <v>2502</v>
      </c>
      <c r="H6741" s="564"/>
      <c r="I6741" s="564" t="s">
        <v>13600</v>
      </c>
      <c r="J6741" s="564" t="s">
        <v>1069</v>
      </c>
      <c r="K6741" s="564" t="s">
        <v>2466</v>
      </c>
      <c r="L6741" s="564" t="s">
        <v>2467</v>
      </c>
      <c r="M6741" s="564" t="s">
        <v>2466</v>
      </c>
      <c r="N6741" s="564" t="s">
        <v>1082</v>
      </c>
      <c r="O6741" s="564" t="s">
        <v>12077</v>
      </c>
      <c r="P6741" s="23"/>
      <c r="Q6741" s="23"/>
      <c r="R6741" s="23"/>
      <c r="S6741" s="23"/>
      <c r="T6741" s="23"/>
      <c r="U6741" s="23"/>
      <c r="V6741" s="23"/>
      <c r="W6741" s="23"/>
      <c r="X6741" s="23"/>
      <c r="Y6741" s="23"/>
      <c r="Z6741" s="23"/>
    </row>
    <row r="6742" spans="1:26" ht="13">
      <c r="A6742" s="562" t="s">
        <v>14681</v>
      </c>
      <c r="B6742" s="563" t="s">
        <v>14682</v>
      </c>
      <c r="C6742" s="564" t="s">
        <v>2484</v>
      </c>
      <c r="D6742" s="565">
        <v>38271</v>
      </c>
      <c r="E6742" s="565">
        <v>38462</v>
      </c>
      <c r="F6742" s="567"/>
      <c r="G6742" s="564" t="s">
        <v>12124</v>
      </c>
      <c r="H6742" s="564"/>
      <c r="I6742" s="564" t="s">
        <v>14683</v>
      </c>
      <c r="J6742" s="564" t="s">
        <v>1069</v>
      </c>
      <c r="K6742" s="564" t="s">
        <v>2466</v>
      </c>
      <c r="L6742" s="564" t="s">
        <v>2467</v>
      </c>
      <c r="M6742" s="564" t="s">
        <v>2466</v>
      </c>
      <c r="N6742" s="564" t="s">
        <v>2325</v>
      </c>
      <c r="O6742" s="564" t="s">
        <v>12077</v>
      </c>
      <c r="P6742" s="23"/>
      <c r="Q6742" s="23"/>
      <c r="R6742" s="23"/>
      <c r="S6742" s="23"/>
      <c r="T6742" s="23"/>
      <c r="U6742" s="23"/>
      <c r="V6742" s="23"/>
      <c r="W6742" s="23"/>
      <c r="X6742" s="23"/>
      <c r="Y6742" s="23"/>
      <c r="Z6742" s="23"/>
    </row>
    <row r="6743" spans="1:26" ht="13">
      <c r="A6743" s="562" t="s">
        <v>14684</v>
      </c>
      <c r="B6743" s="563" t="s">
        <v>14685</v>
      </c>
      <c r="C6743" s="564" t="s">
        <v>2484</v>
      </c>
      <c r="D6743" s="565">
        <v>38239</v>
      </c>
      <c r="E6743" s="565">
        <v>39410</v>
      </c>
      <c r="F6743" s="566">
        <v>3853454545</v>
      </c>
      <c r="G6743" s="564" t="s">
        <v>14087</v>
      </c>
      <c r="H6743" s="564" t="s">
        <v>12096</v>
      </c>
      <c r="I6743" s="564" t="s">
        <v>9792</v>
      </c>
      <c r="J6743" s="564" t="s">
        <v>1069</v>
      </c>
      <c r="K6743" s="564" t="s">
        <v>2466</v>
      </c>
      <c r="L6743" s="564" t="s">
        <v>2467</v>
      </c>
      <c r="M6743" s="564" t="s">
        <v>2466</v>
      </c>
      <c r="N6743" s="564" t="s">
        <v>2543</v>
      </c>
      <c r="O6743" s="564" t="s">
        <v>12077</v>
      </c>
      <c r="P6743" s="23"/>
      <c r="Q6743" s="23"/>
      <c r="R6743" s="23"/>
      <c r="S6743" s="23"/>
      <c r="T6743" s="23"/>
      <c r="U6743" s="23"/>
      <c r="V6743" s="23"/>
      <c r="W6743" s="23"/>
      <c r="X6743" s="23"/>
      <c r="Y6743" s="23"/>
      <c r="Z6743" s="23"/>
    </row>
    <row r="6744" spans="1:26" ht="13">
      <c r="A6744" s="562" t="s">
        <v>14686</v>
      </c>
      <c r="B6744" s="563" t="s">
        <v>14687</v>
      </c>
      <c r="C6744" s="564" t="s">
        <v>2484</v>
      </c>
      <c r="D6744" s="565">
        <v>38121</v>
      </c>
      <c r="E6744" s="565">
        <v>38360</v>
      </c>
      <c r="F6744" s="567"/>
      <c r="G6744" s="564" t="s">
        <v>12075</v>
      </c>
      <c r="H6744" s="564"/>
      <c r="I6744" s="564" t="s">
        <v>14282</v>
      </c>
      <c r="J6744" s="564" t="s">
        <v>1069</v>
      </c>
      <c r="K6744" s="564" t="s">
        <v>2466</v>
      </c>
      <c r="L6744" s="564" t="s">
        <v>2467</v>
      </c>
      <c r="M6744" s="564" t="s">
        <v>2466</v>
      </c>
      <c r="N6744" s="564" t="s">
        <v>2543</v>
      </c>
      <c r="O6744" s="564" t="s">
        <v>12077</v>
      </c>
      <c r="P6744" s="23"/>
      <c r="Q6744" s="23"/>
      <c r="R6744" s="23"/>
      <c r="S6744" s="23"/>
      <c r="T6744" s="23"/>
      <c r="U6744" s="23"/>
      <c r="V6744" s="23"/>
      <c r="W6744" s="23"/>
      <c r="X6744" s="23"/>
      <c r="Y6744" s="23"/>
      <c r="Z6744" s="23"/>
    </row>
    <row r="6745" spans="1:26" ht="13">
      <c r="A6745" s="562" t="s">
        <v>14688</v>
      </c>
      <c r="B6745" s="563" t="s">
        <v>14689</v>
      </c>
      <c r="C6745" s="564" t="s">
        <v>2191</v>
      </c>
      <c r="D6745" s="565">
        <v>38169</v>
      </c>
      <c r="E6745" s="565">
        <v>38503</v>
      </c>
      <c r="F6745" s="566">
        <v>1737500000</v>
      </c>
      <c r="G6745" s="564" t="s">
        <v>1753</v>
      </c>
      <c r="H6745" s="564"/>
      <c r="I6745" s="564" t="s">
        <v>14690</v>
      </c>
      <c r="J6745" s="564" t="s">
        <v>1069</v>
      </c>
      <c r="K6745" s="564" t="s">
        <v>1070</v>
      </c>
      <c r="L6745" s="564" t="s">
        <v>1390</v>
      </c>
      <c r="M6745" s="564" t="s">
        <v>1390</v>
      </c>
      <c r="N6745" s="564" t="s">
        <v>1082</v>
      </c>
      <c r="O6745" s="564" t="s">
        <v>13894</v>
      </c>
      <c r="P6745" s="23"/>
      <c r="Q6745" s="23"/>
      <c r="R6745" s="23"/>
      <c r="S6745" s="23"/>
      <c r="T6745" s="23"/>
      <c r="U6745" s="23"/>
      <c r="V6745" s="23"/>
      <c r="W6745" s="23"/>
      <c r="X6745" s="23"/>
      <c r="Y6745" s="23"/>
      <c r="Z6745" s="23"/>
    </row>
    <row r="6746" spans="1:26" ht="13">
      <c r="A6746" s="562" t="s">
        <v>14691</v>
      </c>
      <c r="B6746" s="563" t="s">
        <v>14692</v>
      </c>
      <c r="C6746" s="564" t="s">
        <v>2484</v>
      </c>
      <c r="D6746" s="565">
        <v>38309</v>
      </c>
      <c r="E6746" s="565">
        <v>39122</v>
      </c>
      <c r="F6746" s="566">
        <v>516031091</v>
      </c>
      <c r="G6746" s="564" t="s">
        <v>12124</v>
      </c>
      <c r="H6746" s="564"/>
      <c r="I6746" s="564" t="s">
        <v>14693</v>
      </c>
      <c r="J6746" s="564" t="s">
        <v>1069</v>
      </c>
      <c r="K6746" s="564" t="s">
        <v>2466</v>
      </c>
      <c r="L6746" s="564" t="s">
        <v>2467</v>
      </c>
      <c r="M6746" s="564" t="s">
        <v>2466</v>
      </c>
      <c r="N6746" s="564" t="s">
        <v>2543</v>
      </c>
      <c r="O6746" s="564" t="s">
        <v>12077</v>
      </c>
      <c r="P6746" s="23"/>
      <c r="Q6746" s="23"/>
      <c r="R6746" s="23"/>
      <c r="S6746" s="23"/>
      <c r="T6746" s="23"/>
      <c r="U6746" s="23"/>
      <c r="V6746" s="23"/>
      <c r="W6746" s="23"/>
      <c r="X6746" s="23"/>
      <c r="Y6746" s="23"/>
      <c r="Z6746" s="23"/>
    </row>
    <row r="6747" spans="1:26" ht="13">
      <c r="A6747" s="562" t="s">
        <v>14694</v>
      </c>
      <c r="B6747" s="563" t="s">
        <v>14695</v>
      </c>
      <c r="C6747" s="564" t="s">
        <v>2484</v>
      </c>
      <c r="D6747" s="565">
        <v>38070</v>
      </c>
      <c r="E6747" s="565">
        <v>39245</v>
      </c>
      <c r="F6747" s="566">
        <v>879854545</v>
      </c>
      <c r="G6747" s="564" t="s">
        <v>12124</v>
      </c>
      <c r="H6747" s="564"/>
      <c r="I6747" s="564" t="s">
        <v>14696</v>
      </c>
      <c r="J6747" s="564" t="s">
        <v>1069</v>
      </c>
      <c r="K6747" s="564" t="s">
        <v>2466</v>
      </c>
      <c r="L6747" s="564" t="s">
        <v>2467</v>
      </c>
      <c r="M6747" s="564" t="s">
        <v>2466</v>
      </c>
      <c r="N6747" s="564" t="s">
        <v>2543</v>
      </c>
      <c r="O6747" s="564" t="s">
        <v>12077</v>
      </c>
      <c r="P6747" s="23"/>
      <c r="Q6747" s="23"/>
      <c r="R6747" s="23"/>
      <c r="S6747" s="23"/>
      <c r="T6747" s="23"/>
      <c r="U6747" s="23"/>
      <c r="V6747" s="23"/>
      <c r="W6747" s="23"/>
      <c r="X6747" s="23"/>
      <c r="Y6747" s="23"/>
      <c r="Z6747" s="23"/>
    </row>
    <row r="6748" spans="1:26" ht="13">
      <c r="A6748" s="562" t="s">
        <v>14697</v>
      </c>
      <c r="B6748" s="563" t="s">
        <v>14698</v>
      </c>
      <c r="C6748" s="564" t="s">
        <v>2191</v>
      </c>
      <c r="D6748" s="565">
        <v>38178</v>
      </c>
      <c r="E6748" s="565">
        <v>38533</v>
      </c>
      <c r="F6748" s="567"/>
      <c r="G6748" s="564" t="s">
        <v>2458</v>
      </c>
      <c r="H6748" s="564"/>
      <c r="I6748" s="564" t="s">
        <v>14699</v>
      </c>
      <c r="J6748" s="564" t="s">
        <v>1069</v>
      </c>
      <c r="K6748" s="564" t="s">
        <v>1070</v>
      </c>
      <c r="L6748" s="564" t="s">
        <v>1071</v>
      </c>
      <c r="M6748" s="564" t="s">
        <v>1124</v>
      </c>
      <c r="N6748" s="564" t="s">
        <v>1082</v>
      </c>
      <c r="O6748" s="564" t="s">
        <v>13894</v>
      </c>
      <c r="P6748" s="23"/>
      <c r="Q6748" s="23"/>
      <c r="R6748" s="23"/>
      <c r="S6748" s="23"/>
      <c r="T6748" s="23"/>
      <c r="U6748" s="23"/>
      <c r="V6748" s="23"/>
      <c r="W6748" s="23"/>
      <c r="X6748" s="23"/>
      <c r="Y6748" s="23"/>
      <c r="Z6748" s="23"/>
    </row>
    <row r="6749" spans="1:26" ht="13">
      <c r="A6749" s="562" t="s">
        <v>14700</v>
      </c>
      <c r="B6749" s="563" t="s">
        <v>14701</v>
      </c>
      <c r="C6749" s="564" t="s">
        <v>2484</v>
      </c>
      <c r="D6749" s="565">
        <v>38078</v>
      </c>
      <c r="E6749" s="565">
        <v>38383</v>
      </c>
      <c r="F6749" s="566">
        <v>740659091</v>
      </c>
      <c r="G6749" s="564" t="s">
        <v>14702</v>
      </c>
      <c r="H6749" s="564"/>
      <c r="I6749" s="564" t="s">
        <v>14703</v>
      </c>
      <c r="J6749" s="564" t="s">
        <v>1069</v>
      </c>
      <c r="K6749" s="564" t="s">
        <v>2466</v>
      </c>
      <c r="L6749" s="564" t="s">
        <v>2467</v>
      </c>
      <c r="M6749" s="564" t="s">
        <v>2466</v>
      </c>
      <c r="N6749" s="564" t="s">
        <v>2543</v>
      </c>
      <c r="O6749" s="564" t="s">
        <v>12077</v>
      </c>
      <c r="P6749" s="23"/>
      <c r="Q6749" s="23"/>
      <c r="R6749" s="23"/>
      <c r="S6749" s="23"/>
      <c r="T6749" s="23"/>
      <c r="U6749" s="23"/>
      <c r="V6749" s="23"/>
      <c r="W6749" s="23"/>
      <c r="X6749" s="23"/>
      <c r="Y6749" s="23"/>
      <c r="Z6749" s="23"/>
    </row>
    <row r="6750" spans="1:26" ht="13">
      <c r="A6750" s="562" t="s">
        <v>14704</v>
      </c>
      <c r="B6750" s="563" t="s">
        <v>14705</v>
      </c>
      <c r="C6750" s="564" t="s">
        <v>2484</v>
      </c>
      <c r="D6750" s="565">
        <v>38156</v>
      </c>
      <c r="E6750" s="565">
        <v>38401</v>
      </c>
      <c r="F6750" s="567"/>
      <c r="G6750" s="564" t="s">
        <v>14706</v>
      </c>
      <c r="H6750" s="564"/>
      <c r="I6750" s="564" t="s">
        <v>14572</v>
      </c>
      <c r="J6750" s="564" t="s">
        <v>1069</v>
      </c>
      <c r="K6750" s="564" t="s">
        <v>2466</v>
      </c>
      <c r="L6750" s="564" t="s">
        <v>2467</v>
      </c>
      <c r="M6750" s="564" t="s">
        <v>2466</v>
      </c>
      <c r="N6750" s="564" t="s">
        <v>2543</v>
      </c>
      <c r="O6750" s="564" t="s">
        <v>12077</v>
      </c>
      <c r="P6750" s="23"/>
      <c r="Q6750" s="23"/>
      <c r="R6750" s="23"/>
      <c r="S6750" s="23"/>
      <c r="T6750" s="23"/>
      <c r="U6750" s="23"/>
      <c r="V6750" s="23"/>
      <c r="W6750" s="23"/>
      <c r="X6750" s="23"/>
      <c r="Y6750" s="23"/>
      <c r="Z6750" s="23"/>
    </row>
    <row r="6751" spans="1:26" ht="13">
      <c r="A6751" s="562" t="s">
        <v>14707</v>
      </c>
      <c r="B6751" s="563" t="s">
        <v>14708</v>
      </c>
      <c r="C6751" s="564" t="s">
        <v>1612</v>
      </c>
      <c r="D6751" s="565">
        <v>38139</v>
      </c>
      <c r="E6751" s="565">
        <v>38352</v>
      </c>
      <c r="F6751" s="567"/>
      <c r="G6751" s="564" t="s">
        <v>14709</v>
      </c>
      <c r="H6751" s="564"/>
      <c r="I6751" s="564" t="s">
        <v>14710</v>
      </c>
      <c r="J6751" s="564" t="s">
        <v>1069</v>
      </c>
      <c r="K6751" s="564" t="s">
        <v>1120</v>
      </c>
      <c r="L6751" s="564" t="s">
        <v>1390</v>
      </c>
      <c r="M6751" s="564" t="s">
        <v>1390</v>
      </c>
      <c r="N6751" s="564" t="s">
        <v>70</v>
      </c>
      <c r="O6751" s="564" t="s">
        <v>13894</v>
      </c>
      <c r="P6751" s="23"/>
      <c r="Q6751" s="23"/>
      <c r="R6751" s="23"/>
      <c r="S6751" s="23"/>
      <c r="T6751" s="23"/>
      <c r="U6751" s="23"/>
      <c r="V6751" s="23"/>
      <c r="W6751" s="23"/>
      <c r="X6751" s="23"/>
      <c r="Y6751" s="23"/>
      <c r="Z6751" s="23"/>
    </row>
    <row r="6752" spans="1:26" ht="13">
      <c r="A6752" s="562" t="s">
        <v>14711</v>
      </c>
      <c r="B6752" s="563" t="s">
        <v>14712</v>
      </c>
      <c r="C6752" s="564" t="s">
        <v>2191</v>
      </c>
      <c r="D6752" s="565">
        <v>38198</v>
      </c>
      <c r="E6752" s="565">
        <v>38501</v>
      </c>
      <c r="F6752" s="567"/>
      <c r="G6752" s="564" t="s">
        <v>1145</v>
      </c>
      <c r="H6752" s="564"/>
      <c r="I6752" s="564" t="s">
        <v>14521</v>
      </c>
      <c r="J6752" s="564" t="s">
        <v>1069</v>
      </c>
      <c r="K6752" s="564" t="s">
        <v>1070</v>
      </c>
      <c r="L6752" s="564" t="s">
        <v>1390</v>
      </c>
      <c r="M6752" s="564" t="s">
        <v>1390</v>
      </c>
      <c r="N6752" s="564" t="s">
        <v>2439</v>
      </c>
      <c r="O6752" s="564" t="s">
        <v>13894</v>
      </c>
      <c r="P6752" s="23"/>
      <c r="Q6752" s="23"/>
      <c r="R6752" s="23"/>
      <c r="S6752" s="23"/>
      <c r="T6752" s="23"/>
      <c r="U6752" s="23"/>
      <c r="V6752" s="23"/>
      <c r="W6752" s="23"/>
      <c r="X6752" s="23"/>
      <c r="Y6752" s="23"/>
      <c r="Z6752" s="23"/>
    </row>
    <row r="6753" spans="1:26" ht="13">
      <c r="A6753" s="562" t="s">
        <v>14713</v>
      </c>
      <c r="B6753" s="563" t="s">
        <v>14714</v>
      </c>
      <c r="C6753" s="564" t="s">
        <v>2191</v>
      </c>
      <c r="D6753" s="565">
        <v>38337</v>
      </c>
      <c r="E6753" s="565">
        <v>38458</v>
      </c>
      <c r="F6753" s="567"/>
      <c r="G6753" s="564" t="s">
        <v>14715</v>
      </c>
      <c r="H6753" s="564"/>
      <c r="I6753" s="564" t="s">
        <v>14716</v>
      </c>
      <c r="J6753" s="564" t="s">
        <v>1069</v>
      </c>
      <c r="K6753" s="564" t="s">
        <v>1070</v>
      </c>
      <c r="L6753" s="564" t="s">
        <v>1390</v>
      </c>
      <c r="M6753" s="564" t="s">
        <v>1390</v>
      </c>
      <c r="N6753" s="564" t="s">
        <v>2439</v>
      </c>
      <c r="O6753" s="564" t="s">
        <v>13894</v>
      </c>
      <c r="P6753" s="23"/>
      <c r="Q6753" s="23"/>
      <c r="R6753" s="23"/>
      <c r="S6753" s="23"/>
      <c r="T6753" s="23"/>
      <c r="U6753" s="23"/>
      <c r="V6753" s="23"/>
      <c r="W6753" s="23"/>
      <c r="X6753" s="23"/>
      <c r="Y6753" s="23"/>
      <c r="Z6753" s="23"/>
    </row>
    <row r="6754" spans="1:26" ht="13">
      <c r="A6754" s="562" t="s">
        <v>14717</v>
      </c>
      <c r="B6754" s="563" t="s">
        <v>14718</v>
      </c>
      <c r="C6754" s="564" t="s">
        <v>2484</v>
      </c>
      <c r="D6754" s="565">
        <v>38078</v>
      </c>
      <c r="E6754" s="565">
        <v>38352</v>
      </c>
      <c r="F6754" s="567"/>
      <c r="G6754" s="564" t="s">
        <v>2485</v>
      </c>
      <c r="H6754" s="564"/>
      <c r="I6754" s="564" t="s">
        <v>2311</v>
      </c>
      <c r="J6754" s="564" t="s">
        <v>1069</v>
      </c>
      <c r="K6754" s="564" t="s">
        <v>2466</v>
      </c>
      <c r="L6754" s="564" t="s">
        <v>2467</v>
      </c>
      <c r="M6754" s="564" t="s">
        <v>2466</v>
      </c>
      <c r="N6754" s="564" t="s">
        <v>1073</v>
      </c>
      <c r="O6754" s="564" t="s">
        <v>12077</v>
      </c>
      <c r="P6754" s="23"/>
      <c r="Q6754" s="23"/>
      <c r="R6754" s="23"/>
      <c r="S6754" s="23"/>
      <c r="T6754" s="23"/>
      <c r="U6754" s="23"/>
      <c r="V6754" s="23"/>
      <c r="W6754" s="23"/>
      <c r="X6754" s="23"/>
      <c r="Y6754" s="23"/>
      <c r="Z6754" s="23"/>
    </row>
    <row r="6755" spans="1:26" ht="13">
      <c r="A6755" s="562" t="s">
        <v>14719</v>
      </c>
      <c r="B6755" s="563" t="s">
        <v>14720</v>
      </c>
      <c r="C6755" s="564" t="s">
        <v>2484</v>
      </c>
      <c r="D6755" s="565">
        <v>38096</v>
      </c>
      <c r="E6755" s="565">
        <v>38321</v>
      </c>
      <c r="F6755" s="567"/>
      <c r="G6755" s="564" t="s">
        <v>2519</v>
      </c>
      <c r="H6755" s="564"/>
      <c r="I6755" s="564" t="s">
        <v>12297</v>
      </c>
      <c r="J6755" s="564" t="s">
        <v>1069</v>
      </c>
      <c r="K6755" s="564" t="s">
        <v>2466</v>
      </c>
      <c r="L6755" s="564" t="s">
        <v>2467</v>
      </c>
      <c r="M6755" s="564" t="s">
        <v>2466</v>
      </c>
      <c r="N6755" s="564" t="s">
        <v>2439</v>
      </c>
      <c r="O6755" s="564" t="s">
        <v>12077</v>
      </c>
      <c r="P6755" s="23"/>
      <c r="Q6755" s="23"/>
      <c r="R6755" s="23"/>
      <c r="S6755" s="23"/>
      <c r="T6755" s="23"/>
      <c r="U6755" s="23"/>
      <c r="V6755" s="23"/>
      <c r="W6755" s="23"/>
      <c r="X6755" s="23"/>
      <c r="Y6755" s="23"/>
      <c r="Z6755" s="23"/>
    </row>
    <row r="6756" spans="1:26" ht="13">
      <c r="A6756" s="562" t="s">
        <v>14721</v>
      </c>
      <c r="B6756" s="563" t="s">
        <v>14722</v>
      </c>
      <c r="C6756" s="564" t="s">
        <v>2484</v>
      </c>
      <c r="D6756" s="565">
        <v>38037</v>
      </c>
      <c r="E6756" s="565">
        <v>38646</v>
      </c>
      <c r="F6756" s="566">
        <v>1069681818</v>
      </c>
      <c r="G6756" s="564" t="s">
        <v>12124</v>
      </c>
      <c r="H6756" s="564" t="s">
        <v>2168</v>
      </c>
      <c r="I6756" s="564" t="s">
        <v>14723</v>
      </c>
      <c r="J6756" s="564" t="s">
        <v>1069</v>
      </c>
      <c r="K6756" s="564" t="s">
        <v>2466</v>
      </c>
      <c r="L6756" s="564" t="s">
        <v>2467</v>
      </c>
      <c r="M6756" s="564" t="s">
        <v>2466</v>
      </c>
      <c r="N6756" s="564" t="s">
        <v>2543</v>
      </c>
      <c r="O6756" s="564" t="s">
        <v>12077</v>
      </c>
      <c r="P6756" s="23"/>
      <c r="Q6756" s="23"/>
      <c r="R6756" s="23"/>
      <c r="S6756" s="23"/>
      <c r="T6756" s="23"/>
      <c r="U6756" s="23"/>
      <c r="V6756" s="23"/>
      <c r="W6756" s="23"/>
      <c r="X6756" s="23"/>
      <c r="Y6756" s="23"/>
      <c r="Z6756" s="23"/>
    </row>
    <row r="6757" spans="1:26" ht="13">
      <c r="A6757" s="562" t="s">
        <v>14724</v>
      </c>
      <c r="B6757" s="563" t="s">
        <v>14725</v>
      </c>
      <c r="C6757" s="564" t="s">
        <v>2484</v>
      </c>
      <c r="D6757" s="565">
        <v>37681</v>
      </c>
      <c r="E6757" s="565">
        <v>38775</v>
      </c>
      <c r="F6757" s="566">
        <v>640200000</v>
      </c>
      <c r="G6757" s="564" t="s">
        <v>12075</v>
      </c>
      <c r="H6757" s="564"/>
      <c r="I6757" s="564" t="s">
        <v>4326</v>
      </c>
      <c r="J6757" s="564" t="s">
        <v>1069</v>
      </c>
      <c r="K6757" s="564" t="s">
        <v>2466</v>
      </c>
      <c r="L6757" s="564" t="s">
        <v>2467</v>
      </c>
      <c r="M6757" s="564" t="s">
        <v>2466</v>
      </c>
      <c r="N6757" s="564" t="s">
        <v>2325</v>
      </c>
      <c r="O6757" s="564" t="s">
        <v>12077</v>
      </c>
      <c r="P6757" s="23"/>
      <c r="Q6757" s="23"/>
      <c r="R6757" s="23"/>
      <c r="S6757" s="23"/>
      <c r="T6757" s="23"/>
      <c r="U6757" s="23"/>
      <c r="V6757" s="23"/>
      <c r="W6757" s="23"/>
      <c r="X6757" s="23"/>
      <c r="Y6757" s="23"/>
      <c r="Z6757" s="23"/>
    </row>
    <row r="6758" spans="1:26" ht="13">
      <c r="A6758" s="562" t="s">
        <v>14726</v>
      </c>
      <c r="B6758" s="563" t="s">
        <v>14727</v>
      </c>
      <c r="C6758" s="564" t="s">
        <v>2484</v>
      </c>
      <c r="D6758" s="565">
        <v>37925</v>
      </c>
      <c r="E6758" s="565">
        <v>38291</v>
      </c>
      <c r="F6758" s="567"/>
      <c r="G6758" s="564" t="s">
        <v>2536</v>
      </c>
      <c r="H6758" s="564"/>
      <c r="I6758" s="564" t="s">
        <v>14572</v>
      </c>
      <c r="J6758" s="564" t="s">
        <v>1069</v>
      </c>
      <c r="K6758" s="564" t="s">
        <v>2466</v>
      </c>
      <c r="L6758" s="564" t="s">
        <v>2467</v>
      </c>
      <c r="M6758" s="564" t="s">
        <v>2466</v>
      </c>
      <c r="N6758" s="564" t="s">
        <v>2543</v>
      </c>
      <c r="O6758" s="564" t="s">
        <v>12077</v>
      </c>
      <c r="P6758" s="23"/>
      <c r="Q6758" s="23"/>
      <c r="R6758" s="23"/>
      <c r="S6758" s="23"/>
      <c r="T6758" s="23"/>
      <c r="U6758" s="23"/>
      <c r="V6758" s="23"/>
      <c r="W6758" s="23"/>
      <c r="X6758" s="23"/>
      <c r="Y6758" s="23"/>
      <c r="Z6758" s="23"/>
    </row>
    <row r="6759" spans="1:26" ht="13">
      <c r="A6759" s="562" t="s">
        <v>14728</v>
      </c>
      <c r="B6759" s="563" t="s">
        <v>14729</v>
      </c>
      <c r="C6759" s="564" t="s">
        <v>2191</v>
      </c>
      <c r="D6759" s="565">
        <v>37917</v>
      </c>
      <c r="E6759" s="565">
        <v>37978</v>
      </c>
      <c r="F6759" s="567"/>
      <c r="G6759" s="564" t="s">
        <v>12766</v>
      </c>
      <c r="H6759" s="564"/>
      <c r="I6759" s="564" t="s">
        <v>14730</v>
      </c>
      <c r="J6759" s="564" t="s">
        <v>1069</v>
      </c>
      <c r="K6759" s="564" t="s">
        <v>1120</v>
      </c>
      <c r="L6759" s="564" t="s">
        <v>1390</v>
      </c>
      <c r="M6759" s="564" t="s">
        <v>1390</v>
      </c>
      <c r="N6759" s="564" t="s">
        <v>2543</v>
      </c>
      <c r="O6759" s="564" t="s">
        <v>13894</v>
      </c>
      <c r="P6759" s="23"/>
      <c r="Q6759" s="23"/>
      <c r="R6759" s="23"/>
      <c r="S6759" s="23"/>
      <c r="T6759" s="23"/>
      <c r="U6759" s="23"/>
      <c r="V6759" s="23"/>
      <c r="W6759" s="23"/>
      <c r="X6759" s="23"/>
      <c r="Y6759" s="23"/>
      <c r="Z6759" s="23"/>
    </row>
    <row r="6760" spans="1:26" ht="13">
      <c r="A6760" s="562" t="s">
        <v>14731</v>
      </c>
      <c r="B6760" s="563" t="s">
        <v>14732</v>
      </c>
      <c r="C6760" s="564" t="s">
        <v>2484</v>
      </c>
      <c r="D6760" s="565">
        <v>37956</v>
      </c>
      <c r="E6760" s="565">
        <v>38321</v>
      </c>
      <c r="F6760" s="567"/>
      <c r="G6760" s="564" t="s">
        <v>13134</v>
      </c>
      <c r="H6760" s="564"/>
      <c r="I6760" s="564" t="s">
        <v>12121</v>
      </c>
      <c r="J6760" s="564" t="s">
        <v>1069</v>
      </c>
      <c r="K6760" s="564" t="s">
        <v>2466</v>
      </c>
      <c r="L6760" s="564" t="s">
        <v>2467</v>
      </c>
      <c r="M6760" s="564" t="s">
        <v>2466</v>
      </c>
      <c r="N6760" s="564" t="s">
        <v>2543</v>
      </c>
      <c r="O6760" s="564" t="s">
        <v>12077</v>
      </c>
      <c r="P6760" s="23"/>
      <c r="Q6760" s="23"/>
      <c r="R6760" s="23"/>
      <c r="S6760" s="23"/>
      <c r="T6760" s="23"/>
      <c r="U6760" s="23"/>
      <c r="V6760" s="23"/>
      <c r="W6760" s="23"/>
      <c r="X6760" s="23"/>
      <c r="Y6760" s="23"/>
      <c r="Z6760" s="23"/>
    </row>
    <row r="6761" spans="1:26" ht="13">
      <c r="A6761" s="562" t="s">
        <v>14733</v>
      </c>
      <c r="B6761" s="563" t="s">
        <v>14734</v>
      </c>
      <c r="C6761" s="564" t="s">
        <v>2484</v>
      </c>
      <c r="D6761" s="565">
        <v>37978</v>
      </c>
      <c r="E6761" s="565">
        <v>38282</v>
      </c>
      <c r="F6761" s="567"/>
      <c r="G6761" s="564" t="s">
        <v>1498</v>
      </c>
      <c r="H6761" s="564"/>
      <c r="I6761" s="564" t="s">
        <v>13842</v>
      </c>
      <c r="J6761" s="564" t="s">
        <v>1069</v>
      </c>
      <c r="K6761" s="564" t="s">
        <v>2466</v>
      </c>
      <c r="L6761" s="564" t="s">
        <v>2467</v>
      </c>
      <c r="M6761" s="564" t="s">
        <v>2466</v>
      </c>
      <c r="N6761" s="564" t="s">
        <v>1082</v>
      </c>
      <c r="O6761" s="564" t="s">
        <v>12077</v>
      </c>
      <c r="P6761" s="23"/>
      <c r="Q6761" s="23"/>
      <c r="R6761" s="23"/>
      <c r="S6761" s="23"/>
      <c r="T6761" s="23"/>
      <c r="U6761" s="23"/>
      <c r="V6761" s="23"/>
      <c r="W6761" s="23"/>
      <c r="X6761" s="23"/>
      <c r="Y6761" s="23"/>
      <c r="Z6761" s="23"/>
    </row>
    <row r="6762" spans="1:26" ht="13">
      <c r="A6762" s="562" t="s">
        <v>14735</v>
      </c>
      <c r="B6762" s="563" t="s">
        <v>14736</v>
      </c>
      <c r="C6762" s="564" t="s">
        <v>2484</v>
      </c>
      <c r="D6762" s="565">
        <v>37975</v>
      </c>
      <c r="E6762" s="565">
        <v>39772</v>
      </c>
      <c r="F6762" s="566">
        <v>6196061987</v>
      </c>
      <c r="G6762" s="564" t="s">
        <v>12592</v>
      </c>
      <c r="H6762" s="564" t="s">
        <v>12125</v>
      </c>
      <c r="I6762" s="564" t="s">
        <v>14737</v>
      </c>
      <c r="J6762" s="564" t="s">
        <v>1069</v>
      </c>
      <c r="K6762" s="564" t="s">
        <v>2466</v>
      </c>
      <c r="L6762" s="564" t="s">
        <v>2467</v>
      </c>
      <c r="M6762" s="564" t="s">
        <v>2466</v>
      </c>
      <c r="N6762" s="564" t="s">
        <v>2543</v>
      </c>
      <c r="O6762" s="564" t="s">
        <v>12077</v>
      </c>
      <c r="P6762" s="23"/>
      <c r="Q6762" s="23"/>
      <c r="R6762" s="23"/>
      <c r="S6762" s="23"/>
      <c r="T6762" s="23"/>
      <c r="U6762" s="23"/>
      <c r="V6762" s="23"/>
      <c r="W6762" s="23"/>
      <c r="X6762" s="23"/>
      <c r="Y6762" s="23"/>
      <c r="Z6762" s="23"/>
    </row>
    <row r="6763" spans="1:26" ht="13">
      <c r="A6763" s="562" t="s">
        <v>14738</v>
      </c>
      <c r="B6763" s="563" t="s">
        <v>14739</v>
      </c>
      <c r="C6763" s="564" t="s">
        <v>2484</v>
      </c>
      <c r="D6763" s="565">
        <v>37981</v>
      </c>
      <c r="E6763" s="565">
        <v>38533</v>
      </c>
      <c r="F6763" s="567"/>
      <c r="G6763" s="564" t="s">
        <v>12075</v>
      </c>
      <c r="H6763" s="564"/>
      <c r="I6763" s="564" t="s">
        <v>14737</v>
      </c>
      <c r="J6763" s="564" t="s">
        <v>1069</v>
      </c>
      <c r="K6763" s="564" t="s">
        <v>2466</v>
      </c>
      <c r="L6763" s="564" t="s">
        <v>2467</v>
      </c>
      <c r="M6763" s="564" t="s">
        <v>2466</v>
      </c>
      <c r="N6763" s="564" t="s">
        <v>2543</v>
      </c>
      <c r="O6763" s="564" t="s">
        <v>12077</v>
      </c>
      <c r="P6763" s="23"/>
      <c r="Q6763" s="23"/>
      <c r="R6763" s="23"/>
      <c r="S6763" s="23"/>
      <c r="T6763" s="23"/>
      <c r="U6763" s="23"/>
      <c r="V6763" s="23"/>
      <c r="W6763" s="23"/>
      <c r="X6763" s="23"/>
      <c r="Y6763" s="23"/>
      <c r="Z6763" s="23"/>
    </row>
    <row r="6764" spans="1:26" ht="13">
      <c r="A6764" s="562" t="s">
        <v>14740</v>
      </c>
      <c r="B6764" s="563" t="s">
        <v>14741</v>
      </c>
      <c r="C6764" s="564" t="s">
        <v>2484</v>
      </c>
      <c r="D6764" s="565">
        <v>37803</v>
      </c>
      <c r="E6764" s="565">
        <v>38302</v>
      </c>
      <c r="F6764" s="567"/>
      <c r="G6764" s="564" t="s">
        <v>14623</v>
      </c>
      <c r="H6764" s="564"/>
      <c r="I6764" s="564" t="s">
        <v>12091</v>
      </c>
      <c r="J6764" s="564" t="s">
        <v>1069</v>
      </c>
      <c r="K6764" s="564" t="s">
        <v>2466</v>
      </c>
      <c r="L6764" s="564" t="s">
        <v>2467</v>
      </c>
      <c r="M6764" s="564" t="s">
        <v>2466</v>
      </c>
      <c r="N6764" s="564" t="s">
        <v>2325</v>
      </c>
      <c r="O6764" s="564" t="s">
        <v>12077</v>
      </c>
      <c r="P6764" s="23"/>
      <c r="Q6764" s="23"/>
      <c r="R6764" s="23"/>
      <c r="S6764" s="23"/>
      <c r="T6764" s="23"/>
      <c r="U6764" s="23"/>
      <c r="V6764" s="23"/>
      <c r="W6764" s="23"/>
      <c r="X6764" s="23"/>
      <c r="Y6764" s="23"/>
      <c r="Z6764" s="23"/>
    </row>
    <row r="6765" spans="1:26" ht="13">
      <c r="A6765" s="562" t="s">
        <v>14742</v>
      </c>
      <c r="B6765" s="563" t="s">
        <v>14743</v>
      </c>
      <c r="C6765" s="564" t="s">
        <v>2484</v>
      </c>
      <c r="D6765" s="565">
        <v>37685</v>
      </c>
      <c r="E6765" s="565">
        <v>38616</v>
      </c>
      <c r="F6765" s="567"/>
      <c r="G6765" s="564" t="s">
        <v>12084</v>
      </c>
      <c r="H6765" s="564"/>
      <c r="I6765" s="564" t="s">
        <v>12916</v>
      </c>
      <c r="J6765" s="564" t="s">
        <v>1069</v>
      </c>
      <c r="K6765" s="564" t="s">
        <v>2466</v>
      </c>
      <c r="L6765" s="564" t="s">
        <v>2467</v>
      </c>
      <c r="M6765" s="564" t="s">
        <v>2466</v>
      </c>
      <c r="N6765" s="564" t="s">
        <v>2543</v>
      </c>
      <c r="O6765" s="564" t="s">
        <v>12077</v>
      </c>
      <c r="P6765" s="23"/>
      <c r="Q6765" s="23"/>
      <c r="R6765" s="23"/>
      <c r="S6765" s="23"/>
      <c r="T6765" s="23"/>
      <c r="U6765" s="23"/>
      <c r="V6765" s="23"/>
      <c r="W6765" s="23"/>
      <c r="X6765" s="23"/>
      <c r="Y6765" s="23"/>
      <c r="Z6765" s="23"/>
    </row>
    <row r="6766" spans="1:26" ht="13">
      <c r="A6766" s="562" t="s">
        <v>14744</v>
      </c>
      <c r="B6766" s="563" t="s">
        <v>14745</v>
      </c>
      <c r="C6766" s="564" t="s">
        <v>2191</v>
      </c>
      <c r="D6766" s="565">
        <v>37623</v>
      </c>
      <c r="E6766" s="565">
        <v>37864</v>
      </c>
      <c r="F6766" s="567"/>
      <c r="G6766" s="564" t="s">
        <v>13069</v>
      </c>
      <c r="H6766" s="564"/>
      <c r="I6766" s="564" t="s">
        <v>14746</v>
      </c>
      <c r="J6766" s="564" t="s">
        <v>1069</v>
      </c>
      <c r="K6766" s="564" t="s">
        <v>1070</v>
      </c>
      <c r="L6766" s="564" t="s">
        <v>1390</v>
      </c>
      <c r="M6766" s="564" t="s">
        <v>1390</v>
      </c>
      <c r="N6766" s="564" t="s">
        <v>1082</v>
      </c>
      <c r="O6766" s="564" t="s">
        <v>13894</v>
      </c>
      <c r="P6766" s="23"/>
      <c r="Q6766" s="23"/>
      <c r="R6766" s="23"/>
      <c r="S6766" s="23"/>
      <c r="T6766" s="23"/>
      <c r="U6766" s="23"/>
      <c r="V6766" s="23"/>
      <c r="W6766" s="23"/>
      <c r="X6766" s="23"/>
      <c r="Y6766" s="23"/>
      <c r="Z6766" s="23"/>
    </row>
    <row r="6767" spans="1:26" ht="13">
      <c r="A6767" s="562" t="s">
        <v>14747</v>
      </c>
      <c r="B6767" s="563" t="s">
        <v>14748</v>
      </c>
      <c r="C6767" s="564" t="s">
        <v>2191</v>
      </c>
      <c r="D6767" s="565">
        <v>37623</v>
      </c>
      <c r="E6767" s="565">
        <v>37986</v>
      </c>
      <c r="F6767" s="567"/>
      <c r="G6767" s="564" t="s">
        <v>1725</v>
      </c>
      <c r="H6767" s="564"/>
      <c r="I6767" s="564" t="s">
        <v>14749</v>
      </c>
      <c r="J6767" s="564" t="s">
        <v>1069</v>
      </c>
      <c r="K6767" s="564" t="s">
        <v>1070</v>
      </c>
      <c r="L6767" s="564" t="s">
        <v>1390</v>
      </c>
      <c r="M6767" s="564" t="s">
        <v>1390</v>
      </c>
      <c r="N6767" s="564" t="s">
        <v>1082</v>
      </c>
      <c r="O6767" s="564" t="s">
        <v>13894</v>
      </c>
      <c r="P6767" s="23"/>
      <c r="Q6767" s="23"/>
      <c r="R6767" s="23"/>
      <c r="S6767" s="23"/>
      <c r="T6767" s="23"/>
      <c r="U6767" s="23"/>
      <c r="V6767" s="23"/>
      <c r="W6767" s="23"/>
      <c r="X6767" s="23"/>
      <c r="Y6767" s="23"/>
      <c r="Z6767" s="23"/>
    </row>
    <row r="6768" spans="1:26" ht="13">
      <c r="A6768" s="562" t="s">
        <v>14750</v>
      </c>
      <c r="B6768" s="563" t="s">
        <v>14751</v>
      </c>
      <c r="C6768" s="564" t="s">
        <v>2484</v>
      </c>
      <c r="D6768" s="565">
        <v>37552</v>
      </c>
      <c r="E6768" s="565">
        <v>38525</v>
      </c>
      <c r="F6768" s="567"/>
      <c r="G6768" s="564" t="s">
        <v>14752</v>
      </c>
      <c r="H6768" s="564"/>
      <c r="I6768" s="564" t="s">
        <v>12857</v>
      </c>
      <c r="J6768" s="564" t="s">
        <v>1069</v>
      </c>
      <c r="K6768" s="564" t="s">
        <v>2466</v>
      </c>
      <c r="L6768" s="564" t="s">
        <v>2467</v>
      </c>
      <c r="M6768" s="564" t="s">
        <v>2466</v>
      </c>
      <c r="N6768" s="564" t="s">
        <v>2439</v>
      </c>
      <c r="O6768" s="564" t="s">
        <v>12077</v>
      </c>
      <c r="P6768" s="23"/>
      <c r="Q6768" s="23"/>
      <c r="R6768" s="23"/>
      <c r="S6768" s="23"/>
      <c r="T6768" s="23"/>
      <c r="U6768" s="23"/>
      <c r="V6768" s="23"/>
      <c r="W6768" s="23"/>
      <c r="X6768" s="23"/>
      <c r="Y6768" s="23"/>
      <c r="Z6768" s="23"/>
    </row>
    <row r="6769" spans="1:26" ht="13">
      <c r="A6769" s="562" t="s">
        <v>14753</v>
      </c>
      <c r="B6769" s="563" t="s">
        <v>14754</v>
      </c>
      <c r="C6769" s="564" t="s">
        <v>2484</v>
      </c>
      <c r="D6769" s="565">
        <v>37551</v>
      </c>
      <c r="E6769" s="565">
        <v>38281</v>
      </c>
      <c r="F6769" s="567"/>
      <c r="G6769" s="564" t="s">
        <v>14509</v>
      </c>
      <c r="H6769" s="564"/>
      <c r="I6769" s="564" t="s">
        <v>12876</v>
      </c>
      <c r="J6769" s="564" t="s">
        <v>1069</v>
      </c>
      <c r="K6769" s="564" t="s">
        <v>2466</v>
      </c>
      <c r="L6769" s="564" t="s">
        <v>2467</v>
      </c>
      <c r="M6769" s="564" t="s">
        <v>2466</v>
      </c>
      <c r="N6769" s="564" t="s">
        <v>2543</v>
      </c>
      <c r="O6769" s="564" t="s">
        <v>12077</v>
      </c>
      <c r="P6769" s="23"/>
      <c r="Q6769" s="23"/>
      <c r="R6769" s="23"/>
      <c r="S6769" s="23"/>
      <c r="T6769" s="23"/>
      <c r="U6769" s="23"/>
      <c r="V6769" s="23"/>
      <c r="W6769" s="23"/>
      <c r="X6769" s="23"/>
      <c r="Y6769" s="23"/>
      <c r="Z6769" s="23"/>
    </row>
    <row r="6770" spans="1:26" ht="13">
      <c r="A6770" s="562" t="s">
        <v>14755</v>
      </c>
      <c r="B6770" s="563" t="s">
        <v>14756</v>
      </c>
      <c r="C6770" s="564" t="s">
        <v>2484</v>
      </c>
      <c r="D6770" s="565">
        <v>37572</v>
      </c>
      <c r="E6770" s="565">
        <v>38940</v>
      </c>
      <c r="F6770" s="566">
        <v>4139535471</v>
      </c>
      <c r="G6770" s="564" t="s">
        <v>14537</v>
      </c>
      <c r="H6770" s="564"/>
      <c r="I6770" s="564" t="s">
        <v>14377</v>
      </c>
      <c r="J6770" s="564" t="s">
        <v>1069</v>
      </c>
      <c r="K6770" s="564" t="s">
        <v>2466</v>
      </c>
      <c r="L6770" s="564" t="s">
        <v>2467</v>
      </c>
      <c r="M6770" s="564" t="s">
        <v>2466</v>
      </c>
      <c r="N6770" s="564" t="s">
        <v>2543</v>
      </c>
      <c r="O6770" s="564" t="s">
        <v>12077</v>
      </c>
      <c r="P6770" s="23"/>
      <c r="Q6770" s="23"/>
      <c r="R6770" s="23"/>
      <c r="S6770" s="23"/>
      <c r="T6770" s="23"/>
      <c r="U6770" s="23"/>
      <c r="V6770" s="23"/>
      <c r="W6770" s="23"/>
      <c r="X6770" s="23"/>
      <c r="Y6770" s="23"/>
      <c r="Z6770" s="23"/>
    </row>
    <row r="6771" spans="1:26" ht="13">
      <c r="A6771" s="562" t="s">
        <v>14757</v>
      </c>
      <c r="B6771" s="563" t="s">
        <v>14758</v>
      </c>
      <c r="C6771" s="564" t="s">
        <v>2191</v>
      </c>
      <c r="D6771" s="565">
        <v>37469</v>
      </c>
      <c r="E6771" s="565">
        <v>39082</v>
      </c>
      <c r="F6771" s="567"/>
      <c r="G6771" s="564" t="s">
        <v>2492</v>
      </c>
      <c r="H6771" s="564"/>
      <c r="I6771" s="564" t="s">
        <v>13045</v>
      </c>
      <c r="J6771" s="564" t="s">
        <v>1069</v>
      </c>
      <c r="K6771" s="564" t="s">
        <v>1070</v>
      </c>
      <c r="L6771" s="564" t="s">
        <v>1071</v>
      </c>
      <c r="M6771" s="564" t="s">
        <v>1091</v>
      </c>
      <c r="N6771" s="564" t="s">
        <v>2439</v>
      </c>
      <c r="O6771" s="564" t="s">
        <v>241</v>
      </c>
      <c r="P6771" s="23"/>
      <c r="Q6771" s="23"/>
      <c r="R6771" s="23"/>
      <c r="S6771" s="23"/>
      <c r="T6771" s="23"/>
      <c r="U6771" s="23"/>
      <c r="V6771" s="23"/>
      <c r="W6771" s="23"/>
      <c r="X6771" s="23"/>
      <c r="Y6771" s="23"/>
      <c r="Z6771" s="23"/>
    </row>
    <row r="6772" spans="1:26" ht="13">
      <c r="A6772" s="562" t="s">
        <v>14759</v>
      </c>
      <c r="B6772" s="563" t="s">
        <v>14760</v>
      </c>
      <c r="C6772" s="564" t="s">
        <v>2484</v>
      </c>
      <c r="D6772" s="565">
        <v>37363</v>
      </c>
      <c r="E6772" s="565">
        <v>38082</v>
      </c>
      <c r="F6772" s="567"/>
      <c r="G6772" s="564" t="s">
        <v>14623</v>
      </c>
      <c r="H6772" s="564"/>
      <c r="I6772" s="564" t="s">
        <v>12091</v>
      </c>
      <c r="J6772" s="564" t="s">
        <v>1069</v>
      </c>
      <c r="K6772" s="564" t="s">
        <v>2466</v>
      </c>
      <c r="L6772" s="564" t="s">
        <v>2467</v>
      </c>
      <c r="M6772" s="564" t="s">
        <v>2466</v>
      </c>
      <c r="N6772" s="564" t="s">
        <v>2325</v>
      </c>
      <c r="O6772" s="564" t="s">
        <v>12077</v>
      </c>
      <c r="P6772" s="23"/>
      <c r="Q6772" s="23"/>
      <c r="R6772" s="23"/>
      <c r="S6772" s="23"/>
      <c r="T6772" s="23"/>
      <c r="U6772" s="23"/>
      <c r="V6772" s="23"/>
      <c r="W6772" s="23"/>
      <c r="X6772" s="23"/>
      <c r="Y6772" s="23"/>
      <c r="Z6772" s="23"/>
    </row>
    <row r="6773" spans="1:26" ht="13">
      <c r="A6773" s="562" t="s">
        <v>14761</v>
      </c>
      <c r="B6773" s="563" t="s">
        <v>14163</v>
      </c>
      <c r="C6773" s="564" t="s">
        <v>2484</v>
      </c>
      <c r="D6773" s="565">
        <v>40882</v>
      </c>
      <c r="E6773" s="565">
        <v>41978</v>
      </c>
      <c r="F6773" s="567"/>
      <c r="G6773" s="564" t="s">
        <v>12104</v>
      </c>
      <c r="H6773" s="564" t="s">
        <v>2546</v>
      </c>
      <c r="I6773" s="564" t="s">
        <v>14164</v>
      </c>
      <c r="J6773" s="564" t="s">
        <v>1069</v>
      </c>
      <c r="K6773" s="564" t="s">
        <v>2466</v>
      </c>
      <c r="L6773" s="564" t="s">
        <v>2467</v>
      </c>
      <c r="M6773" s="564" t="s">
        <v>2466</v>
      </c>
      <c r="N6773" s="564" t="s">
        <v>2543</v>
      </c>
      <c r="O6773" s="564" t="s">
        <v>12077</v>
      </c>
      <c r="P6773" s="23"/>
      <c r="Q6773" s="23"/>
      <c r="R6773" s="23"/>
      <c r="S6773" s="23"/>
      <c r="T6773" s="23"/>
      <c r="U6773" s="23"/>
      <c r="V6773" s="23"/>
      <c r="W6773" s="23"/>
      <c r="X6773" s="23"/>
      <c r="Y6773" s="23"/>
      <c r="Z6773" s="23"/>
    </row>
  </sheetData>
  <mergeCells count="1">
    <mergeCell ref="A1:B1"/>
  </mergeCells>
  <phoneticPr fontId="179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"/>
  <sheetViews>
    <sheetView workbookViewId="0"/>
  </sheetViews>
  <sheetFormatPr baseColWidth="10" defaultColWidth="12.5" defaultRowHeight="15.75" customHeight="1"/>
  <sheetData/>
  <phoneticPr fontId="179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1C232"/>
    <outlinePr summaryBelow="0" summaryRight="0"/>
  </sheetPr>
  <dimension ref="A1:AF1009"/>
  <sheetViews>
    <sheetView workbookViewId="0">
      <pane ySplit="3" topLeftCell="A4" activePane="bottomLeft" state="frozen"/>
      <selection pane="bottomLeft" activeCell="B5" sqref="B5"/>
    </sheetView>
  </sheetViews>
  <sheetFormatPr baseColWidth="10" defaultColWidth="12.5" defaultRowHeight="15.75" customHeight="1"/>
  <cols>
    <col min="1" max="1" width="10.5" customWidth="1"/>
    <col min="2" max="2" width="15.1640625" customWidth="1"/>
    <col min="3" max="3" width="11.83203125" customWidth="1"/>
    <col min="4" max="5" width="7.6640625" customWidth="1"/>
    <col min="6" max="6" width="16.33203125" customWidth="1"/>
    <col min="7" max="7" width="5.5" customWidth="1"/>
    <col min="8" max="8" width="14.83203125" customWidth="1"/>
    <col min="9" max="9" width="39.5" customWidth="1"/>
    <col min="11" max="12" width="12.5" hidden="1"/>
    <col min="15" max="15" width="16.83203125" customWidth="1"/>
  </cols>
  <sheetData>
    <row r="1" spans="1:32" ht="26">
      <c r="A1" s="568" t="s">
        <v>14762</v>
      </c>
      <c r="B1" s="2"/>
      <c r="C1" s="2"/>
      <c r="D1" s="2"/>
      <c r="E1" s="2"/>
      <c r="F1" s="569"/>
      <c r="G1" s="2"/>
      <c r="H1" s="570">
        <v>511911</v>
      </c>
      <c r="I1" s="571" t="s">
        <v>14763</v>
      </c>
      <c r="J1" s="366"/>
      <c r="K1" s="2"/>
      <c r="L1" s="2"/>
      <c r="M1" s="2"/>
      <c r="N1" s="2"/>
      <c r="O1" s="23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2" ht="6" customHeight="1">
      <c r="A2" s="70"/>
      <c r="B2" s="70"/>
      <c r="C2" s="70"/>
      <c r="D2" s="70"/>
      <c r="E2" s="70"/>
      <c r="F2" s="572"/>
      <c r="G2" s="70"/>
      <c r="H2" s="70"/>
      <c r="I2" s="70"/>
      <c r="J2" s="359"/>
      <c r="K2" s="70"/>
      <c r="L2" s="70"/>
      <c r="M2" s="70"/>
      <c r="N2" s="70"/>
      <c r="O2" s="417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</row>
    <row r="3" spans="1:32" ht="14">
      <c r="A3" s="573" t="s">
        <v>8</v>
      </c>
      <c r="B3" s="574" t="s">
        <v>14764</v>
      </c>
      <c r="C3" s="574" t="s">
        <v>358</v>
      </c>
      <c r="D3" s="574" t="s">
        <v>14765</v>
      </c>
      <c r="E3" s="575" t="s">
        <v>14766</v>
      </c>
      <c r="F3" s="576" t="s">
        <v>359</v>
      </c>
      <c r="G3" s="577" t="s">
        <v>14767</v>
      </c>
      <c r="H3" s="578" t="s">
        <v>14768</v>
      </c>
      <c r="I3" s="574" t="s">
        <v>14769</v>
      </c>
      <c r="J3" s="579" t="s">
        <v>361</v>
      </c>
      <c r="K3" s="574" t="s">
        <v>14</v>
      </c>
      <c r="L3" s="574" t="s">
        <v>15</v>
      </c>
      <c r="M3" s="574" t="s">
        <v>14</v>
      </c>
      <c r="N3" s="574" t="s">
        <v>15</v>
      </c>
      <c r="O3" s="580" t="s">
        <v>14770</v>
      </c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</row>
    <row r="4" spans="1:32" ht="30">
      <c r="A4" s="1057" t="s">
        <v>29</v>
      </c>
      <c r="B4" s="581" t="s">
        <v>14771</v>
      </c>
      <c r="C4" s="581" t="s">
        <v>14772</v>
      </c>
      <c r="D4" s="581" t="s">
        <v>32</v>
      </c>
      <c r="E4" s="582" t="s">
        <v>33</v>
      </c>
      <c r="F4" s="583"/>
      <c r="G4" s="584" t="s">
        <v>311</v>
      </c>
      <c r="H4" s="585" t="s">
        <v>14773</v>
      </c>
      <c r="I4" s="586" t="s">
        <v>14774</v>
      </c>
      <c r="J4" s="587">
        <v>3285000</v>
      </c>
      <c r="K4" s="588">
        <v>45061</v>
      </c>
      <c r="L4" s="588">
        <v>45518</v>
      </c>
      <c r="M4" s="588">
        <v>45061</v>
      </c>
      <c r="N4" s="589">
        <v>45518</v>
      </c>
      <c r="O4" s="1166" t="str">
        <f>'(AR)항공사업팀'!K4</f>
        <v>ART241130이수임1334</v>
      </c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</row>
    <row r="5" spans="1:32" ht="15">
      <c r="A5" s="1051"/>
      <c r="B5" s="36" t="s">
        <v>14771</v>
      </c>
      <c r="C5" s="590" t="s">
        <v>14775</v>
      </c>
      <c r="D5" s="36" t="s">
        <v>14776</v>
      </c>
      <c r="E5" s="591" t="s">
        <v>1191</v>
      </c>
      <c r="F5" s="592"/>
      <c r="G5" s="593" t="s">
        <v>311</v>
      </c>
      <c r="H5" s="594" t="s">
        <v>14773</v>
      </c>
      <c r="I5" s="595" t="s">
        <v>14777</v>
      </c>
      <c r="J5" s="38">
        <v>15000000</v>
      </c>
      <c r="K5" s="82">
        <v>45292</v>
      </c>
      <c r="L5" s="82">
        <v>45657</v>
      </c>
      <c r="M5" s="82">
        <v>45292</v>
      </c>
      <c r="N5" s="82">
        <v>45657</v>
      </c>
      <c r="O5" s="1052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</row>
    <row r="6" spans="1:32" ht="15">
      <c r="A6" s="1052"/>
      <c r="B6" s="596" t="s">
        <v>14771</v>
      </c>
      <c r="C6" s="596" t="s">
        <v>14778</v>
      </c>
      <c r="D6" s="597"/>
      <c r="E6" s="598" t="s">
        <v>33</v>
      </c>
      <c r="F6" s="599"/>
      <c r="G6" s="600"/>
      <c r="H6" s="601"/>
      <c r="I6" s="595" t="s">
        <v>14779</v>
      </c>
      <c r="J6" s="461"/>
      <c r="K6" s="602"/>
      <c r="L6" s="602"/>
      <c r="M6" s="82"/>
      <c r="N6" s="82"/>
      <c r="O6" s="603" t="str">
        <f>'(AR)항공사업팀'!K6</f>
        <v>ART241130이수임1340</v>
      </c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</row>
    <row r="7" spans="1:32" ht="30">
      <c r="A7" s="36" t="s">
        <v>40</v>
      </c>
      <c r="B7" s="36" t="s">
        <v>14780</v>
      </c>
      <c r="C7" s="36" t="s">
        <v>14780</v>
      </c>
      <c r="D7" s="148"/>
      <c r="E7" s="591" t="s">
        <v>44</v>
      </c>
      <c r="F7" s="604"/>
      <c r="G7" s="605"/>
      <c r="H7" s="606"/>
      <c r="I7" s="595" t="s">
        <v>1185</v>
      </c>
      <c r="J7" s="461"/>
      <c r="K7" s="36" t="s">
        <v>14780</v>
      </c>
      <c r="L7" s="36" t="s">
        <v>14780</v>
      </c>
      <c r="M7" s="82">
        <v>44944</v>
      </c>
      <c r="N7" s="82">
        <v>46812</v>
      </c>
      <c r="O7" s="10" t="str">
        <f>'(AR)항공사업팀'!K9</f>
        <v>ART241125이수임1611</v>
      </c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</row>
    <row r="8" spans="1:32" ht="15">
      <c r="A8" s="1057" t="s">
        <v>45</v>
      </c>
      <c r="B8" s="36" t="s">
        <v>14771</v>
      </c>
      <c r="C8" s="590" t="s">
        <v>14781</v>
      </c>
      <c r="D8" s="36" t="s">
        <v>32</v>
      </c>
      <c r="E8" s="1160" t="s">
        <v>48</v>
      </c>
      <c r="F8" s="592"/>
      <c r="G8" s="593" t="s">
        <v>307</v>
      </c>
      <c r="H8" s="594" t="s">
        <v>14782</v>
      </c>
      <c r="I8" s="1167" t="s">
        <v>14783</v>
      </c>
      <c r="J8" s="608">
        <v>15000000</v>
      </c>
      <c r="K8" s="82">
        <v>45292</v>
      </c>
      <c r="L8" s="82">
        <v>45657</v>
      </c>
      <c r="M8" s="609">
        <v>45292</v>
      </c>
      <c r="N8" s="609">
        <v>45657</v>
      </c>
      <c r="O8" s="1166" t="str">
        <f>'(AR)항공사업팀'!K10</f>
        <v>ART241130이수임1428</v>
      </c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</row>
    <row r="9" spans="1:32" ht="15">
      <c r="A9" s="1051"/>
      <c r="B9" s="36" t="s">
        <v>14784</v>
      </c>
      <c r="C9" s="590" t="s">
        <v>14785</v>
      </c>
      <c r="D9" s="36" t="s">
        <v>32</v>
      </c>
      <c r="E9" s="1143"/>
      <c r="F9" s="592"/>
      <c r="G9" s="593" t="s">
        <v>307</v>
      </c>
      <c r="H9" s="594" t="s">
        <v>14782</v>
      </c>
      <c r="I9" s="1095"/>
      <c r="J9" s="608">
        <v>7500000</v>
      </c>
      <c r="K9" s="82">
        <v>45292</v>
      </c>
      <c r="L9" s="82">
        <v>45657</v>
      </c>
      <c r="M9" s="610">
        <v>45292</v>
      </c>
      <c r="N9" s="610">
        <v>45657</v>
      </c>
      <c r="O9" s="1051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</row>
    <row r="10" spans="1:32" ht="15">
      <c r="A10" s="1051"/>
      <c r="B10" s="36" t="s">
        <v>14786</v>
      </c>
      <c r="C10" s="590" t="s">
        <v>14787</v>
      </c>
      <c r="D10" s="36" t="s">
        <v>32</v>
      </c>
      <c r="E10" s="1082"/>
      <c r="F10" s="592"/>
      <c r="G10" s="593" t="s">
        <v>307</v>
      </c>
      <c r="H10" s="594" t="s">
        <v>14782</v>
      </c>
      <c r="I10" s="1096"/>
      <c r="J10" s="608">
        <v>37200000</v>
      </c>
      <c r="K10" s="82">
        <v>45292</v>
      </c>
      <c r="L10" s="82">
        <v>45657</v>
      </c>
      <c r="M10" s="611">
        <v>45292</v>
      </c>
      <c r="N10" s="611">
        <v>45657</v>
      </c>
      <c r="O10" s="1051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</row>
    <row r="11" spans="1:32" ht="15">
      <c r="A11" s="1051"/>
      <c r="B11" s="36" t="s">
        <v>14771</v>
      </c>
      <c r="C11" s="612" t="s">
        <v>14788</v>
      </c>
      <c r="D11" s="36" t="s">
        <v>14776</v>
      </c>
      <c r="E11" s="1160" t="s">
        <v>49</v>
      </c>
      <c r="F11" s="592"/>
      <c r="G11" s="593" t="s">
        <v>307</v>
      </c>
      <c r="H11" s="594" t="s">
        <v>14782</v>
      </c>
      <c r="I11" s="1167" t="s">
        <v>14789</v>
      </c>
      <c r="J11" s="613">
        <v>30000000</v>
      </c>
      <c r="K11" s="82">
        <v>45292</v>
      </c>
      <c r="L11" s="82">
        <v>45657</v>
      </c>
      <c r="M11" s="609">
        <v>45292</v>
      </c>
      <c r="N11" s="609">
        <v>45657</v>
      </c>
      <c r="O11" s="1051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</row>
    <row r="12" spans="1:32" ht="15">
      <c r="A12" s="1051"/>
      <c r="B12" s="36" t="s">
        <v>14790</v>
      </c>
      <c r="C12" s="36" t="s">
        <v>14791</v>
      </c>
      <c r="D12" s="36" t="s">
        <v>14776</v>
      </c>
      <c r="E12" s="1143"/>
      <c r="F12" s="592"/>
      <c r="G12" s="593" t="s">
        <v>307</v>
      </c>
      <c r="H12" s="594" t="s">
        <v>14782</v>
      </c>
      <c r="I12" s="1095"/>
      <c r="J12" s="608">
        <v>7300000</v>
      </c>
      <c r="K12" s="82">
        <v>45231</v>
      </c>
      <c r="L12" s="82">
        <v>45657</v>
      </c>
      <c r="M12" s="610">
        <v>45231</v>
      </c>
      <c r="N12" s="610">
        <v>45657</v>
      </c>
      <c r="O12" s="1051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</row>
    <row r="13" spans="1:32" ht="15">
      <c r="A13" s="1051"/>
      <c r="B13" s="36" t="s">
        <v>14786</v>
      </c>
      <c r="C13" s="590" t="s">
        <v>14792</v>
      </c>
      <c r="D13" s="36" t="s">
        <v>14776</v>
      </c>
      <c r="E13" s="1082"/>
      <c r="F13" s="592"/>
      <c r="G13" s="593" t="s">
        <v>307</v>
      </c>
      <c r="H13" s="594" t="s">
        <v>14782</v>
      </c>
      <c r="I13" s="1096"/>
      <c r="J13" s="608">
        <v>14600000</v>
      </c>
      <c r="K13" s="82">
        <v>45292</v>
      </c>
      <c r="L13" s="82">
        <v>45657</v>
      </c>
      <c r="M13" s="611">
        <v>45292</v>
      </c>
      <c r="N13" s="611">
        <v>45657</v>
      </c>
      <c r="O13" s="1052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</row>
    <row r="14" spans="1:32" ht="15">
      <c r="A14" s="1051"/>
      <c r="B14" s="36" t="s">
        <v>14771</v>
      </c>
      <c r="C14" s="590" t="s">
        <v>14793</v>
      </c>
      <c r="D14" s="36" t="s">
        <v>32</v>
      </c>
      <c r="E14" s="1160" t="s">
        <v>48</v>
      </c>
      <c r="F14" s="592"/>
      <c r="G14" s="593" t="s">
        <v>311</v>
      </c>
      <c r="H14" s="594" t="s">
        <v>14773</v>
      </c>
      <c r="I14" s="1167" t="s">
        <v>14794</v>
      </c>
      <c r="J14" s="608">
        <v>7500000</v>
      </c>
      <c r="K14" s="82">
        <v>45292</v>
      </c>
      <c r="L14" s="82">
        <v>45657</v>
      </c>
      <c r="M14" s="609">
        <v>45292</v>
      </c>
      <c r="N14" s="609">
        <v>45657</v>
      </c>
      <c r="O14" s="1166" t="str">
        <f>'(AR)항공사업팀'!K12</f>
        <v>ART241130이수임1435</v>
      </c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</row>
    <row r="15" spans="1:32" ht="15">
      <c r="A15" s="1051"/>
      <c r="B15" s="36" t="s">
        <v>14784</v>
      </c>
      <c r="C15" s="590" t="s">
        <v>14795</v>
      </c>
      <c r="D15" s="36" t="s">
        <v>32</v>
      </c>
      <c r="E15" s="1143"/>
      <c r="F15" s="592"/>
      <c r="G15" s="593" t="s">
        <v>311</v>
      </c>
      <c r="H15" s="594" t="s">
        <v>14773</v>
      </c>
      <c r="I15" s="1095"/>
      <c r="J15" s="608">
        <v>15000000</v>
      </c>
      <c r="K15" s="82">
        <v>45292</v>
      </c>
      <c r="L15" s="82">
        <v>45657</v>
      </c>
      <c r="M15" s="610">
        <v>45292</v>
      </c>
      <c r="N15" s="610">
        <v>45657</v>
      </c>
      <c r="O15" s="1051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</row>
    <row r="16" spans="1:32" ht="15">
      <c r="A16" s="1051"/>
      <c r="B16" s="36" t="s">
        <v>14796</v>
      </c>
      <c r="C16" s="612" t="s">
        <v>14797</v>
      </c>
      <c r="D16" s="36" t="s">
        <v>32</v>
      </c>
      <c r="E16" s="1143"/>
      <c r="F16" s="592"/>
      <c r="G16" s="593" t="s">
        <v>311</v>
      </c>
      <c r="H16" s="594" t="s">
        <v>14773</v>
      </c>
      <c r="I16" s="1095"/>
      <c r="J16" s="608">
        <v>6500000</v>
      </c>
      <c r="K16" s="82">
        <v>45292</v>
      </c>
      <c r="L16" s="82">
        <v>45657</v>
      </c>
      <c r="M16" s="610">
        <v>45292</v>
      </c>
      <c r="N16" s="610">
        <v>45657</v>
      </c>
      <c r="O16" s="1051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</row>
    <row r="17" spans="1:32" ht="14" hidden="1">
      <c r="A17" s="1051"/>
      <c r="B17" s="86" t="s">
        <v>14798</v>
      </c>
      <c r="C17" s="86" t="s">
        <v>14799</v>
      </c>
      <c r="D17" s="614"/>
      <c r="E17" s="1143"/>
      <c r="F17" s="615"/>
      <c r="G17" s="616"/>
      <c r="H17" s="617"/>
      <c r="I17" s="1095"/>
      <c r="J17" s="124"/>
      <c r="K17" s="89">
        <v>45292</v>
      </c>
      <c r="L17" s="89">
        <v>45351</v>
      </c>
      <c r="M17" s="618">
        <v>45292</v>
      </c>
      <c r="N17" s="618">
        <v>45351</v>
      </c>
      <c r="O17" s="1051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</row>
    <row r="18" spans="1:32" ht="15" hidden="1">
      <c r="A18" s="1051"/>
      <c r="B18" s="86" t="s">
        <v>14800</v>
      </c>
      <c r="C18" s="86" t="s">
        <v>14801</v>
      </c>
      <c r="D18" s="86" t="s">
        <v>32</v>
      </c>
      <c r="E18" s="1082"/>
      <c r="F18" s="619"/>
      <c r="G18" s="620" t="s">
        <v>311</v>
      </c>
      <c r="H18" s="621" t="s">
        <v>14773</v>
      </c>
      <c r="I18" s="1096"/>
      <c r="J18" s="622">
        <v>7000000</v>
      </c>
      <c r="K18" s="89">
        <v>45383</v>
      </c>
      <c r="L18" s="89">
        <v>45504</v>
      </c>
      <c r="M18" s="623">
        <v>45383</v>
      </c>
      <c r="N18" s="623">
        <v>45504</v>
      </c>
      <c r="O18" s="1052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</row>
    <row r="19" spans="1:32" ht="15">
      <c r="A19" s="1051"/>
      <c r="B19" s="36" t="s">
        <v>14802</v>
      </c>
      <c r="C19" s="36" t="s">
        <v>14803</v>
      </c>
      <c r="D19" s="36" t="s">
        <v>32</v>
      </c>
      <c r="E19" s="624"/>
      <c r="F19" s="592"/>
      <c r="G19" s="593" t="s">
        <v>311</v>
      </c>
      <c r="H19" s="594" t="s">
        <v>14773</v>
      </c>
      <c r="I19" s="595" t="s">
        <v>14804</v>
      </c>
      <c r="J19" s="608">
        <v>9000000</v>
      </c>
      <c r="K19" s="82">
        <v>45345</v>
      </c>
      <c r="L19" s="82">
        <v>45648</v>
      </c>
      <c r="M19" s="625">
        <v>45345</v>
      </c>
      <c r="N19" s="625">
        <v>45648</v>
      </c>
      <c r="O19" s="411" t="str">
        <f>'(AR)항공사업팀'!K13</f>
        <v>ART241123이수임1718</v>
      </c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</row>
    <row r="20" spans="1:32" ht="15">
      <c r="A20" s="1051"/>
      <c r="B20" s="581" t="s">
        <v>14805</v>
      </c>
      <c r="C20" s="581" t="s">
        <v>14806</v>
      </c>
      <c r="D20" s="626"/>
      <c r="E20" s="1169" t="s">
        <v>55</v>
      </c>
      <c r="F20" s="627"/>
      <c r="G20" s="628"/>
      <c r="H20" s="585" t="s">
        <v>14773</v>
      </c>
      <c r="I20" s="1162" t="s">
        <v>54</v>
      </c>
      <c r="J20" s="629">
        <v>27800000</v>
      </c>
      <c r="K20" s="588">
        <v>45203</v>
      </c>
      <c r="L20" s="588">
        <v>45507</v>
      </c>
      <c r="M20" s="630">
        <v>45203</v>
      </c>
      <c r="N20" s="631">
        <v>45507</v>
      </c>
      <c r="O20" s="1168" t="str">
        <f>'(AR)항공사업팀'!K14</f>
        <v>ART240904이수임1325</v>
      </c>
      <c r="P20" s="632"/>
      <c r="Q20" s="632"/>
      <c r="R20" s="632"/>
      <c r="S20" s="632"/>
      <c r="T20" s="632"/>
      <c r="U20" s="632"/>
      <c r="V20" s="632"/>
      <c r="W20" s="632"/>
      <c r="X20" s="632"/>
      <c r="Y20" s="632"/>
      <c r="Z20" s="632"/>
      <c r="AA20" s="632"/>
      <c r="AB20" s="632"/>
      <c r="AC20" s="632"/>
      <c r="AD20" s="632"/>
      <c r="AE20" s="632"/>
      <c r="AF20" s="632"/>
    </row>
    <row r="21" spans="1:32" ht="15">
      <c r="A21" s="1051"/>
      <c r="B21" s="633" t="s">
        <v>14807</v>
      </c>
      <c r="C21" s="633" t="s">
        <v>14808</v>
      </c>
      <c r="D21" s="634"/>
      <c r="E21" s="1143"/>
      <c r="F21" s="635"/>
      <c r="G21" s="636"/>
      <c r="H21" s="637" t="s">
        <v>14773</v>
      </c>
      <c r="I21" s="1095"/>
      <c r="J21" s="638">
        <v>16200000</v>
      </c>
      <c r="K21" s="639">
        <v>45203</v>
      </c>
      <c r="L21" s="639">
        <v>45538</v>
      </c>
      <c r="M21" s="640">
        <v>45203</v>
      </c>
      <c r="N21" s="641">
        <v>45538</v>
      </c>
      <c r="O21" s="1051"/>
      <c r="P21" s="642"/>
      <c r="Q21" s="642"/>
      <c r="R21" s="642"/>
      <c r="S21" s="642"/>
      <c r="T21" s="642"/>
      <c r="U21" s="642"/>
      <c r="V21" s="642"/>
      <c r="W21" s="642"/>
      <c r="X21" s="642"/>
      <c r="Y21" s="642"/>
      <c r="Z21" s="642"/>
      <c r="AA21" s="642"/>
      <c r="AB21" s="642"/>
      <c r="AC21" s="642"/>
      <c r="AD21" s="642"/>
      <c r="AE21" s="642"/>
      <c r="AF21" s="642"/>
    </row>
    <row r="22" spans="1:32" ht="14">
      <c r="A22" s="1051"/>
      <c r="B22" s="119" t="s">
        <v>14807</v>
      </c>
      <c r="C22" s="119" t="s">
        <v>14809</v>
      </c>
      <c r="D22" s="643"/>
      <c r="E22" s="1143"/>
      <c r="F22" s="644"/>
      <c r="G22" s="645"/>
      <c r="H22" s="646"/>
      <c r="I22" s="1095"/>
      <c r="J22" s="123"/>
      <c r="K22" s="120">
        <v>45264</v>
      </c>
      <c r="L22" s="120">
        <v>45354</v>
      </c>
      <c r="M22" s="647">
        <v>45264</v>
      </c>
      <c r="N22" s="648">
        <v>45354</v>
      </c>
      <c r="O22" s="1051"/>
      <c r="P22" s="632"/>
      <c r="Q22" s="632"/>
      <c r="R22" s="632"/>
      <c r="S22" s="632"/>
      <c r="T22" s="632"/>
      <c r="U22" s="632"/>
      <c r="V22" s="632"/>
      <c r="W22" s="632"/>
      <c r="X22" s="632"/>
      <c r="Y22" s="632"/>
      <c r="Z22" s="632"/>
      <c r="AA22" s="632"/>
      <c r="AB22" s="632"/>
      <c r="AC22" s="632"/>
      <c r="AD22" s="632"/>
      <c r="AE22" s="632"/>
      <c r="AF22" s="632"/>
    </row>
    <row r="23" spans="1:32" ht="15">
      <c r="A23" s="1051"/>
      <c r="B23" s="581" t="s">
        <v>14807</v>
      </c>
      <c r="C23" s="581" t="s">
        <v>14810</v>
      </c>
      <c r="D23" s="626"/>
      <c r="E23" s="1143"/>
      <c r="F23" s="649"/>
      <c r="G23" s="628"/>
      <c r="H23" s="585" t="s">
        <v>14773</v>
      </c>
      <c r="I23" s="1095"/>
      <c r="J23" s="650">
        <v>9600000</v>
      </c>
      <c r="K23" s="588">
        <v>45355</v>
      </c>
      <c r="L23" s="588">
        <v>45507</v>
      </c>
      <c r="M23" s="651">
        <v>45355</v>
      </c>
      <c r="N23" s="652">
        <v>45507</v>
      </c>
      <c r="O23" s="1051"/>
      <c r="P23" s="653" t="s">
        <v>14811</v>
      </c>
      <c r="Q23" s="632"/>
      <c r="R23" s="632"/>
      <c r="S23" s="632"/>
      <c r="T23" s="632"/>
      <c r="U23" s="632"/>
      <c r="V23" s="632"/>
      <c r="W23" s="632"/>
      <c r="X23" s="632"/>
      <c r="Y23" s="632"/>
      <c r="Z23" s="632"/>
      <c r="AA23" s="632"/>
      <c r="AB23" s="632"/>
      <c r="AC23" s="632"/>
      <c r="AD23" s="632"/>
      <c r="AE23" s="632"/>
      <c r="AF23" s="632"/>
    </row>
    <row r="24" spans="1:32" ht="15">
      <c r="A24" s="1051"/>
      <c r="B24" s="581" t="s">
        <v>14812</v>
      </c>
      <c r="C24" s="581" t="s">
        <v>14813</v>
      </c>
      <c r="D24" s="626"/>
      <c r="E24" s="1082"/>
      <c r="F24" s="583"/>
      <c r="G24" s="628"/>
      <c r="H24" s="585" t="s">
        <v>14773</v>
      </c>
      <c r="I24" s="1096"/>
      <c r="J24" s="654">
        <v>9596780</v>
      </c>
      <c r="K24" s="120">
        <v>45267</v>
      </c>
      <c r="L24" s="120">
        <v>45480</v>
      </c>
      <c r="M24" s="655">
        <v>45267</v>
      </c>
      <c r="N24" s="656">
        <v>45480</v>
      </c>
      <c r="O24" s="1052"/>
      <c r="P24" s="632"/>
      <c r="Q24" s="632"/>
      <c r="R24" s="632"/>
      <c r="S24" s="632"/>
      <c r="T24" s="632"/>
      <c r="U24" s="632"/>
      <c r="V24" s="632"/>
      <c r="W24" s="632"/>
      <c r="X24" s="632"/>
      <c r="Y24" s="632"/>
      <c r="Z24" s="632"/>
      <c r="AA24" s="632"/>
      <c r="AB24" s="632"/>
      <c r="AC24" s="632"/>
      <c r="AD24" s="632"/>
      <c r="AE24" s="632"/>
      <c r="AF24" s="632"/>
    </row>
    <row r="25" spans="1:32" ht="15">
      <c r="A25" s="1051"/>
      <c r="B25" s="1170" t="s">
        <v>14814</v>
      </c>
      <c r="C25" s="1170" t="s">
        <v>14815</v>
      </c>
      <c r="D25" s="626"/>
      <c r="E25" s="1161" t="s">
        <v>57</v>
      </c>
      <c r="F25" s="657"/>
      <c r="G25" s="636"/>
      <c r="H25" s="585" t="s">
        <v>14773</v>
      </c>
      <c r="I25" s="1163" t="s">
        <v>56</v>
      </c>
      <c r="J25" s="659">
        <v>36777000</v>
      </c>
      <c r="K25" s="1164">
        <v>44866</v>
      </c>
      <c r="L25" s="1164">
        <v>45535</v>
      </c>
      <c r="M25" s="1158">
        <v>44866</v>
      </c>
      <c r="N25" s="1159">
        <v>45535</v>
      </c>
      <c r="O25" s="1165"/>
      <c r="P25" s="660">
        <v>3541500</v>
      </c>
      <c r="Q25" s="642"/>
      <c r="R25" s="642"/>
      <c r="S25" s="642"/>
      <c r="T25" s="642"/>
      <c r="U25" s="642"/>
      <c r="V25" s="642"/>
      <c r="W25" s="642"/>
      <c r="X25" s="642"/>
      <c r="Y25" s="642"/>
      <c r="Z25" s="642"/>
      <c r="AA25" s="642"/>
      <c r="AB25" s="642"/>
      <c r="AC25" s="642"/>
      <c r="AD25" s="642"/>
      <c r="AE25" s="642"/>
      <c r="AF25" s="642"/>
    </row>
    <row r="26" spans="1:32" ht="15">
      <c r="A26" s="1051"/>
      <c r="B26" s="1052"/>
      <c r="C26" s="1052"/>
      <c r="D26" s="626"/>
      <c r="E26" s="1143"/>
      <c r="F26" s="657"/>
      <c r="G26" s="636"/>
      <c r="H26" s="585" t="s">
        <v>14773</v>
      </c>
      <c r="I26" s="1095"/>
      <c r="J26" s="659">
        <v>36777000</v>
      </c>
      <c r="K26" s="1052"/>
      <c r="L26" s="1052"/>
      <c r="M26" s="1051"/>
      <c r="N26" s="1051"/>
      <c r="O26" s="1052"/>
      <c r="P26" s="660">
        <v>36777000</v>
      </c>
      <c r="Q26" s="642"/>
      <c r="R26" s="642"/>
      <c r="S26" s="642"/>
      <c r="T26" s="642"/>
      <c r="U26" s="642"/>
      <c r="V26" s="642"/>
      <c r="W26" s="642"/>
      <c r="X26" s="642"/>
      <c r="Y26" s="642"/>
      <c r="Z26" s="642"/>
      <c r="AA26" s="642"/>
      <c r="AB26" s="642"/>
      <c r="AC26" s="642"/>
      <c r="AD26" s="642"/>
      <c r="AE26" s="642"/>
      <c r="AF26" s="642"/>
    </row>
    <row r="27" spans="1:32" ht="14">
      <c r="A27" s="1051"/>
      <c r="B27" s="119" t="s">
        <v>14807</v>
      </c>
      <c r="C27" s="119" t="s">
        <v>14816</v>
      </c>
      <c r="D27" s="643"/>
      <c r="E27" s="1082"/>
      <c r="F27" s="644"/>
      <c r="G27" s="645"/>
      <c r="H27" s="646"/>
      <c r="I27" s="1096"/>
      <c r="J27" s="123"/>
      <c r="K27" s="120">
        <v>44958</v>
      </c>
      <c r="L27" s="120">
        <v>45412</v>
      </c>
      <c r="M27" s="1052"/>
      <c r="N27" s="1052"/>
      <c r="O27" s="661"/>
      <c r="P27" s="662">
        <v>33235500</v>
      </c>
      <c r="Q27" s="632"/>
      <c r="R27" s="632"/>
      <c r="S27" s="632"/>
      <c r="T27" s="632"/>
      <c r="U27" s="632"/>
      <c r="V27" s="632"/>
      <c r="W27" s="632"/>
      <c r="X27" s="632"/>
      <c r="Y27" s="632"/>
      <c r="Z27" s="632"/>
      <c r="AA27" s="632"/>
      <c r="AB27" s="632"/>
      <c r="AC27" s="632"/>
      <c r="AD27" s="632"/>
      <c r="AE27" s="632"/>
      <c r="AF27" s="632"/>
    </row>
    <row r="28" spans="1:32" ht="15">
      <c r="A28" s="1051"/>
      <c r="B28" s="128" t="s">
        <v>14814</v>
      </c>
      <c r="C28" s="128" t="s">
        <v>14815</v>
      </c>
      <c r="D28" s="663"/>
      <c r="E28" s="1161" t="s">
        <v>59</v>
      </c>
      <c r="F28" s="664"/>
      <c r="G28" s="665"/>
      <c r="H28" s="666" t="s">
        <v>14773</v>
      </c>
      <c r="I28" s="1163" t="s">
        <v>58</v>
      </c>
      <c r="J28" s="667"/>
      <c r="K28" s="668">
        <v>44866</v>
      </c>
      <c r="L28" s="668">
        <v>45535</v>
      </c>
      <c r="M28" s="1164">
        <v>44866</v>
      </c>
      <c r="N28" s="1164">
        <v>45535</v>
      </c>
      <c r="O28" s="20" t="str">
        <f>'(AR)항공사업팀'!K15</f>
        <v>ART240830이수임1005</v>
      </c>
      <c r="P28" s="642"/>
      <c r="Q28" s="642"/>
      <c r="R28" s="642"/>
      <c r="S28" s="642"/>
      <c r="T28" s="642"/>
      <c r="U28" s="642"/>
      <c r="V28" s="642"/>
      <c r="W28" s="642"/>
      <c r="X28" s="642"/>
      <c r="Y28" s="642"/>
      <c r="Z28" s="642"/>
      <c r="AA28" s="642"/>
      <c r="AB28" s="642"/>
      <c r="AC28" s="642"/>
      <c r="AD28" s="642"/>
      <c r="AE28" s="642"/>
      <c r="AF28" s="642"/>
    </row>
    <row r="29" spans="1:32" ht="14">
      <c r="A29" s="1051"/>
      <c r="B29" s="128" t="s">
        <v>14807</v>
      </c>
      <c r="C29" s="128" t="s">
        <v>14816</v>
      </c>
      <c r="D29" s="663"/>
      <c r="E29" s="1082"/>
      <c r="F29" s="664"/>
      <c r="G29" s="665"/>
      <c r="H29" s="669"/>
      <c r="I29" s="1096"/>
      <c r="J29" s="667"/>
      <c r="K29" s="668">
        <v>44958</v>
      </c>
      <c r="L29" s="668">
        <v>45412</v>
      </c>
      <c r="M29" s="1052"/>
      <c r="N29" s="1052"/>
      <c r="O29" s="20"/>
      <c r="P29" s="642"/>
      <c r="Q29" s="642"/>
      <c r="R29" s="642"/>
      <c r="S29" s="642"/>
      <c r="T29" s="642"/>
      <c r="U29" s="642"/>
      <c r="V29" s="642"/>
      <c r="W29" s="642"/>
      <c r="X29" s="642"/>
      <c r="Y29" s="642"/>
      <c r="Z29" s="642"/>
      <c r="AA29" s="642"/>
      <c r="AB29" s="642"/>
      <c r="AC29" s="642"/>
      <c r="AD29" s="642"/>
      <c r="AE29" s="642"/>
      <c r="AF29" s="642"/>
    </row>
    <row r="30" spans="1:32" ht="30">
      <c r="A30" s="1051"/>
      <c r="B30" s="128" t="s">
        <v>14780</v>
      </c>
      <c r="C30" s="128" t="s">
        <v>14780</v>
      </c>
      <c r="D30" s="670"/>
      <c r="E30" s="671" t="s">
        <v>61</v>
      </c>
      <c r="F30" s="672"/>
      <c r="G30" s="665"/>
      <c r="H30" s="666" t="s">
        <v>14773</v>
      </c>
      <c r="I30" s="673" t="s">
        <v>60</v>
      </c>
      <c r="J30" s="667"/>
      <c r="K30" s="128" t="s">
        <v>14780</v>
      </c>
      <c r="L30" s="128" t="s">
        <v>14780</v>
      </c>
      <c r="M30" s="668">
        <v>45383</v>
      </c>
      <c r="N30" s="668">
        <v>45596</v>
      </c>
      <c r="O30" s="20"/>
      <c r="P30" s="642"/>
      <c r="Q30" s="642"/>
      <c r="R30" s="642"/>
      <c r="S30" s="642"/>
      <c r="T30" s="642"/>
      <c r="U30" s="642"/>
      <c r="V30" s="642"/>
      <c r="W30" s="642"/>
      <c r="X30" s="642"/>
      <c r="Y30" s="642"/>
      <c r="Z30" s="642"/>
      <c r="AA30" s="642"/>
      <c r="AB30" s="642"/>
      <c r="AC30" s="642"/>
      <c r="AD30" s="642"/>
      <c r="AE30" s="642"/>
      <c r="AF30" s="642"/>
    </row>
    <row r="31" spans="1:32" ht="30">
      <c r="A31" s="1052"/>
      <c r="B31" s="128" t="s">
        <v>14780</v>
      </c>
      <c r="C31" s="128" t="s">
        <v>14780</v>
      </c>
      <c r="D31" s="670"/>
      <c r="E31" s="671" t="s">
        <v>63</v>
      </c>
      <c r="F31" s="672"/>
      <c r="G31" s="665"/>
      <c r="H31" s="666" t="s">
        <v>14773</v>
      </c>
      <c r="I31" s="658" t="s">
        <v>62</v>
      </c>
      <c r="J31" s="667"/>
      <c r="K31" s="128" t="s">
        <v>14780</v>
      </c>
      <c r="L31" s="128" t="s">
        <v>14780</v>
      </c>
      <c r="M31" s="668">
        <v>45383</v>
      </c>
      <c r="N31" s="668">
        <v>45596</v>
      </c>
      <c r="O31" s="20"/>
      <c r="P31" s="642"/>
      <c r="Q31" s="642"/>
      <c r="R31" s="642"/>
      <c r="S31" s="642"/>
      <c r="T31" s="642"/>
      <c r="U31" s="642"/>
      <c r="V31" s="642"/>
      <c r="W31" s="642"/>
      <c r="X31" s="642"/>
      <c r="Y31" s="642"/>
      <c r="Z31" s="642"/>
      <c r="AA31" s="642"/>
      <c r="AB31" s="642"/>
      <c r="AC31" s="642"/>
      <c r="AD31" s="642"/>
      <c r="AE31" s="642"/>
      <c r="AF31" s="642"/>
    </row>
    <row r="32" spans="1:32" ht="15">
      <c r="A32" s="1057" t="s">
        <v>64</v>
      </c>
      <c r="B32" s="36" t="s">
        <v>14784</v>
      </c>
      <c r="C32" s="590" t="s">
        <v>14817</v>
      </c>
      <c r="D32" s="36" t="s">
        <v>67</v>
      </c>
      <c r="E32" s="1160" t="s">
        <v>68</v>
      </c>
      <c r="F32" s="592"/>
      <c r="G32" s="593" t="s">
        <v>328</v>
      </c>
      <c r="H32" s="594" t="s">
        <v>14818</v>
      </c>
      <c r="I32" s="607" t="s">
        <v>14819</v>
      </c>
      <c r="J32" s="674">
        <v>22500000</v>
      </c>
      <c r="K32" s="82">
        <v>45292</v>
      </c>
      <c r="L32" s="82">
        <v>45657</v>
      </c>
      <c r="M32" s="609">
        <v>45292</v>
      </c>
      <c r="N32" s="609">
        <v>45657</v>
      </c>
      <c r="O32" s="1166" t="str">
        <f>'(AR)항공사업팀'!K19</f>
        <v>ART241130이수임1554</v>
      </c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</row>
    <row r="33" spans="1:32" ht="15">
      <c r="A33" s="1051"/>
      <c r="B33" s="36" t="s">
        <v>14771</v>
      </c>
      <c r="C33" s="590" t="s">
        <v>14820</v>
      </c>
      <c r="D33" s="36" t="s">
        <v>67</v>
      </c>
      <c r="E33" s="1143"/>
      <c r="F33" s="592"/>
      <c r="G33" s="593" t="s">
        <v>328</v>
      </c>
      <c r="H33" s="594" t="s">
        <v>14818</v>
      </c>
      <c r="I33" s="675" t="s">
        <v>14819</v>
      </c>
      <c r="J33" s="674">
        <v>7500000</v>
      </c>
      <c r="K33" s="82">
        <v>45292</v>
      </c>
      <c r="L33" s="82">
        <v>45657</v>
      </c>
      <c r="M33" s="609">
        <v>45292</v>
      </c>
      <c r="N33" s="609">
        <v>45657</v>
      </c>
      <c r="O33" s="1052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</row>
    <row r="34" spans="1:32" ht="15">
      <c r="A34" s="1051"/>
      <c r="B34" s="36" t="s">
        <v>14771</v>
      </c>
      <c r="C34" s="590" t="s">
        <v>14821</v>
      </c>
      <c r="D34" s="36" t="s">
        <v>67</v>
      </c>
      <c r="E34" s="1082"/>
      <c r="F34" s="592"/>
      <c r="G34" s="593" t="s">
        <v>328</v>
      </c>
      <c r="H34" s="594" t="s">
        <v>14818</v>
      </c>
      <c r="I34" s="676" t="s">
        <v>14822</v>
      </c>
      <c r="J34" s="674">
        <v>7500000</v>
      </c>
      <c r="K34" s="82">
        <v>45062</v>
      </c>
      <c r="L34" s="82">
        <v>45889</v>
      </c>
      <c r="M34" s="609">
        <v>45292</v>
      </c>
      <c r="N34" s="609">
        <v>45657</v>
      </c>
      <c r="O34" s="677" t="str">
        <f>'(AR)항공사업팀'!K20</f>
        <v>ART241130이수임1735</v>
      </c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</row>
    <row r="35" spans="1:32" ht="15">
      <c r="A35" s="1052"/>
      <c r="B35" s="36" t="s">
        <v>14780</v>
      </c>
      <c r="C35" s="36" t="s">
        <v>14780</v>
      </c>
      <c r="D35" s="148"/>
      <c r="E35" s="591" t="s">
        <v>68</v>
      </c>
      <c r="F35" s="678"/>
      <c r="G35" s="679"/>
      <c r="H35" s="680"/>
      <c r="I35" s="676" t="s">
        <v>14823</v>
      </c>
      <c r="J35" s="461"/>
      <c r="K35" s="36" t="s">
        <v>14780</v>
      </c>
      <c r="L35" s="36" t="s">
        <v>14780</v>
      </c>
      <c r="M35" s="82">
        <v>45292</v>
      </c>
      <c r="N35" s="82">
        <v>45657</v>
      </c>
      <c r="O35" s="11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</row>
    <row r="36" spans="1:32" ht="14">
      <c r="A36" s="2"/>
      <c r="B36" s="2"/>
      <c r="C36" s="2"/>
      <c r="D36" s="2"/>
      <c r="E36" s="2"/>
      <c r="F36" s="569"/>
      <c r="G36" s="2"/>
      <c r="H36" s="2"/>
      <c r="I36" s="2"/>
      <c r="J36" s="366"/>
      <c r="K36" s="2"/>
      <c r="L36" s="2"/>
      <c r="M36" s="2"/>
      <c r="N36" s="2"/>
      <c r="O36" s="23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</row>
    <row r="37" spans="1:32" ht="14">
      <c r="A37" s="2"/>
      <c r="B37" s="2"/>
      <c r="C37" s="2"/>
      <c r="D37" s="2"/>
      <c r="E37" s="2"/>
      <c r="F37" s="569"/>
      <c r="G37" s="2"/>
      <c r="H37" s="2"/>
      <c r="I37" s="2"/>
      <c r="J37" s="366"/>
      <c r="K37" s="2"/>
      <c r="L37" s="2"/>
      <c r="M37" s="2"/>
      <c r="N37" s="2"/>
      <c r="O37" s="23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</row>
    <row r="38" spans="1:32" ht="14">
      <c r="A38" s="2"/>
      <c r="B38" s="2"/>
      <c r="C38" s="2"/>
      <c r="D38" s="2"/>
      <c r="E38" s="2"/>
      <c r="F38" s="569"/>
      <c r="G38" s="2"/>
      <c r="H38" s="2"/>
      <c r="I38" s="2"/>
      <c r="J38" s="366"/>
      <c r="K38" s="2"/>
      <c r="L38" s="2"/>
      <c r="M38" s="2"/>
      <c r="N38" s="2"/>
      <c r="O38" s="23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</row>
    <row r="39" spans="1:32" ht="14">
      <c r="A39" s="2"/>
      <c r="B39" s="2"/>
      <c r="C39" s="2"/>
      <c r="D39" s="2"/>
      <c r="E39" s="2"/>
      <c r="F39" s="569"/>
      <c r="G39" s="2"/>
      <c r="H39" s="2"/>
      <c r="I39" s="2"/>
      <c r="J39" s="366"/>
      <c r="K39" s="2"/>
      <c r="L39" s="2"/>
      <c r="M39" s="2"/>
      <c r="N39" s="2"/>
      <c r="O39" s="23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</row>
    <row r="40" spans="1:32" ht="14">
      <c r="A40" s="2"/>
      <c r="B40" s="2"/>
      <c r="C40" s="2"/>
      <c r="D40" s="2"/>
      <c r="E40" s="2"/>
      <c r="F40" s="569"/>
      <c r="G40" s="2"/>
      <c r="H40" s="2"/>
      <c r="I40" s="2"/>
      <c r="J40" s="366"/>
      <c r="K40" s="2"/>
      <c r="L40" s="2"/>
      <c r="M40" s="2"/>
      <c r="N40" s="2"/>
      <c r="O40" s="23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</row>
    <row r="41" spans="1:32" ht="14">
      <c r="A41" s="2"/>
      <c r="B41" s="2"/>
      <c r="C41" s="2"/>
      <c r="D41" s="2"/>
      <c r="E41" s="2"/>
      <c r="F41" s="569"/>
      <c r="G41" s="2"/>
      <c r="H41" s="2"/>
      <c r="I41" s="2"/>
      <c r="J41" s="366"/>
      <c r="K41" s="2"/>
      <c r="L41" s="2"/>
      <c r="M41" s="2"/>
      <c r="N41" s="2"/>
      <c r="O41" s="23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</row>
    <row r="42" spans="1:32" ht="14">
      <c r="A42" s="2"/>
      <c r="B42" s="2"/>
      <c r="C42" s="2"/>
      <c r="D42" s="2"/>
      <c r="E42" s="2"/>
      <c r="F42" s="569"/>
      <c r="G42" s="2"/>
      <c r="H42" s="2"/>
      <c r="I42" s="2"/>
      <c r="J42" s="366"/>
      <c r="K42" s="2"/>
      <c r="L42" s="2"/>
      <c r="M42" s="2"/>
      <c r="N42" s="2"/>
      <c r="O42" s="23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</row>
    <row r="43" spans="1:32" ht="14">
      <c r="A43" s="2"/>
      <c r="B43" s="2"/>
      <c r="C43" s="2"/>
      <c r="D43" s="2"/>
      <c r="E43" s="2"/>
      <c r="F43" s="569"/>
      <c r="G43" s="2"/>
      <c r="H43" s="2"/>
      <c r="I43" s="2"/>
      <c r="J43" s="366"/>
      <c r="K43" s="2"/>
      <c r="L43" s="2"/>
      <c r="M43" s="2"/>
      <c r="N43" s="2"/>
      <c r="O43" s="23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</row>
    <row r="44" spans="1:32" ht="14">
      <c r="A44" s="2"/>
      <c r="B44" s="2"/>
      <c r="C44" s="2"/>
      <c r="D44" s="2"/>
      <c r="E44" s="2"/>
      <c r="F44" s="569"/>
      <c r="G44" s="2"/>
      <c r="H44" s="2"/>
      <c r="I44" s="2"/>
      <c r="J44" s="366"/>
      <c r="K44" s="2"/>
      <c r="L44" s="2"/>
      <c r="M44" s="2"/>
      <c r="N44" s="2"/>
      <c r="O44" s="23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</row>
    <row r="45" spans="1:32" ht="14">
      <c r="A45" s="2"/>
      <c r="B45" s="2"/>
      <c r="C45" s="2"/>
      <c r="D45" s="2"/>
      <c r="E45" s="2"/>
      <c r="F45" s="569"/>
      <c r="G45" s="2"/>
      <c r="H45" s="2"/>
      <c r="I45" s="2"/>
      <c r="J45" s="366"/>
      <c r="K45" s="2"/>
      <c r="L45" s="2"/>
      <c r="M45" s="2"/>
      <c r="N45" s="2"/>
      <c r="O45" s="23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 spans="1:32" ht="14">
      <c r="A46" s="2"/>
      <c r="B46" s="2"/>
      <c r="C46" s="2"/>
      <c r="D46" s="2"/>
      <c r="E46" s="2"/>
      <c r="F46" s="569"/>
      <c r="G46" s="2"/>
      <c r="H46" s="2"/>
      <c r="I46" s="2"/>
      <c r="J46" s="366"/>
      <c r="K46" s="2"/>
      <c r="L46" s="2"/>
      <c r="M46" s="2"/>
      <c r="N46" s="2"/>
      <c r="O46" s="23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</row>
    <row r="47" spans="1:32" ht="14">
      <c r="A47" s="2"/>
      <c r="B47" s="2"/>
      <c r="C47" s="2"/>
      <c r="D47" s="2"/>
      <c r="E47" s="2"/>
      <c r="F47" s="569"/>
      <c r="G47" s="2"/>
      <c r="H47" s="2"/>
      <c r="I47" s="2"/>
      <c r="J47" s="366"/>
      <c r="K47" s="2"/>
      <c r="L47" s="2"/>
      <c r="M47" s="2"/>
      <c r="N47" s="2"/>
      <c r="O47" s="23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 spans="1:32" ht="14">
      <c r="A48" s="2"/>
      <c r="B48" s="2"/>
      <c r="C48" s="2"/>
      <c r="D48" s="2"/>
      <c r="E48" s="2"/>
      <c r="F48" s="569"/>
      <c r="G48" s="2"/>
      <c r="H48" s="2"/>
      <c r="I48" s="2"/>
      <c r="J48" s="366"/>
      <c r="K48" s="2"/>
      <c r="L48" s="2"/>
      <c r="M48" s="2"/>
      <c r="N48" s="2"/>
      <c r="O48" s="23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</row>
    <row r="49" spans="1:32" ht="14">
      <c r="A49" s="2"/>
      <c r="B49" s="2"/>
      <c r="C49" s="2"/>
      <c r="D49" s="2"/>
      <c r="E49" s="2"/>
      <c r="F49" s="569"/>
      <c r="G49" s="2"/>
      <c r="H49" s="2"/>
      <c r="I49" s="2"/>
      <c r="J49" s="366"/>
      <c r="K49" s="2"/>
      <c r="L49" s="2"/>
      <c r="M49" s="2"/>
      <c r="N49" s="2"/>
      <c r="O49" s="23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spans="1:32" ht="14">
      <c r="A50" s="2"/>
      <c r="B50" s="2"/>
      <c r="C50" s="2"/>
      <c r="D50" s="2"/>
      <c r="E50" s="2"/>
      <c r="F50" s="569"/>
      <c r="G50" s="2"/>
      <c r="H50" s="2"/>
      <c r="I50" s="2"/>
      <c r="J50" s="366"/>
      <c r="K50" s="2"/>
      <c r="L50" s="2"/>
      <c r="M50" s="2"/>
      <c r="N50" s="2"/>
      <c r="O50" s="23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</row>
    <row r="51" spans="1:32" ht="14">
      <c r="A51" s="2"/>
      <c r="B51" s="2"/>
      <c r="C51" s="2"/>
      <c r="D51" s="2"/>
      <c r="E51" s="2"/>
      <c r="F51" s="569"/>
      <c r="G51" s="2"/>
      <c r="H51" s="2"/>
      <c r="I51" s="2"/>
      <c r="J51" s="366"/>
      <c r="K51" s="2"/>
      <c r="L51" s="2"/>
      <c r="M51" s="2"/>
      <c r="N51" s="2"/>
      <c r="O51" s="23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</row>
    <row r="52" spans="1:32" ht="14">
      <c r="A52" s="2"/>
      <c r="B52" s="2"/>
      <c r="C52" s="2"/>
      <c r="D52" s="2"/>
      <c r="E52" s="2"/>
      <c r="F52" s="569"/>
      <c r="G52" s="2"/>
      <c r="H52" s="2"/>
      <c r="I52" s="2"/>
      <c r="J52" s="366"/>
      <c r="K52" s="2"/>
      <c r="L52" s="2"/>
      <c r="M52" s="2"/>
      <c r="N52" s="2"/>
      <c r="O52" s="23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</row>
    <row r="53" spans="1:32" ht="14">
      <c r="A53" s="2"/>
      <c r="B53" s="2"/>
      <c r="C53" s="2"/>
      <c r="D53" s="2"/>
      <c r="E53" s="2"/>
      <c r="F53" s="569"/>
      <c r="G53" s="2"/>
      <c r="H53" s="2"/>
      <c r="I53" s="2"/>
      <c r="J53" s="366"/>
      <c r="K53" s="2"/>
      <c r="L53" s="2"/>
      <c r="M53" s="2"/>
      <c r="N53" s="2"/>
      <c r="O53" s="23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</row>
    <row r="54" spans="1:32" ht="14">
      <c r="A54" s="2"/>
      <c r="B54" s="2"/>
      <c r="C54" s="2"/>
      <c r="D54" s="2"/>
      <c r="E54" s="2"/>
      <c r="F54" s="569"/>
      <c r="G54" s="2"/>
      <c r="H54" s="2"/>
      <c r="I54" s="2"/>
      <c r="J54" s="366"/>
      <c r="K54" s="2"/>
      <c r="L54" s="2"/>
      <c r="M54" s="2"/>
      <c r="N54" s="2"/>
      <c r="O54" s="23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spans="1:32" ht="14">
      <c r="A55" s="2"/>
      <c r="B55" s="2"/>
      <c r="C55" s="2"/>
      <c r="D55" s="2"/>
      <c r="E55" s="2"/>
      <c r="F55" s="569"/>
      <c r="G55" s="2"/>
      <c r="H55" s="2"/>
      <c r="I55" s="2"/>
      <c r="J55" s="366"/>
      <c r="K55" s="2"/>
      <c r="L55" s="2"/>
      <c r="M55" s="2"/>
      <c r="N55" s="2"/>
      <c r="O55" s="23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</row>
    <row r="56" spans="1:32" ht="14">
      <c r="A56" s="2"/>
      <c r="B56" s="2"/>
      <c r="C56" s="2"/>
      <c r="D56" s="2"/>
      <c r="E56" s="2"/>
      <c r="F56" s="569"/>
      <c r="G56" s="2"/>
      <c r="H56" s="2"/>
      <c r="I56" s="2"/>
      <c r="J56" s="366"/>
      <c r="K56" s="2"/>
      <c r="L56" s="2"/>
      <c r="M56" s="2"/>
      <c r="N56" s="2"/>
      <c r="O56" s="23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</row>
    <row r="57" spans="1:32" ht="14">
      <c r="A57" s="2"/>
      <c r="B57" s="2"/>
      <c r="C57" s="2"/>
      <c r="D57" s="2"/>
      <c r="E57" s="2"/>
      <c r="F57" s="569"/>
      <c r="G57" s="2"/>
      <c r="H57" s="2"/>
      <c r="I57" s="2"/>
      <c r="J57" s="366"/>
      <c r="K57" s="2"/>
      <c r="L57" s="2"/>
      <c r="M57" s="2"/>
      <c r="N57" s="2"/>
      <c r="O57" s="23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 spans="1:32" ht="14">
      <c r="A58" s="2"/>
      <c r="B58" s="2"/>
      <c r="C58" s="2"/>
      <c r="D58" s="2"/>
      <c r="E58" s="2"/>
      <c r="F58" s="569"/>
      <c r="G58" s="2"/>
      <c r="H58" s="2"/>
      <c r="I58" s="2"/>
      <c r="J58" s="366"/>
      <c r="K58" s="2"/>
      <c r="L58" s="2"/>
      <c r="M58" s="2"/>
      <c r="N58" s="2"/>
      <c r="O58" s="23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</row>
    <row r="59" spans="1:32" ht="14">
      <c r="A59" s="2"/>
      <c r="B59" s="2"/>
      <c r="C59" s="2"/>
      <c r="D59" s="2"/>
      <c r="E59" s="2"/>
      <c r="F59" s="569"/>
      <c r="G59" s="2"/>
      <c r="H59" s="2"/>
      <c r="I59" s="2"/>
      <c r="J59" s="366"/>
      <c r="K59" s="2"/>
      <c r="L59" s="2"/>
      <c r="M59" s="2"/>
      <c r="N59" s="2"/>
      <c r="O59" s="23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</row>
    <row r="60" spans="1:32" ht="14">
      <c r="A60" s="2"/>
      <c r="B60" s="2"/>
      <c r="C60" s="2"/>
      <c r="D60" s="2"/>
      <c r="E60" s="2"/>
      <c r="F60" s="569"/>
      <c r="G60" s="2"/>
      <c r="H60" s="2"/>
      <c r="I60" s="2"/>
      <c r="J60" s="366"/>
      <c r="K60" s="2"/>
      <c r="L60" s="2"/>
      <c r="M60" s="2"/>
      <c r="N60" s="2"/>
      <c r="O60" s="23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</row>
    <row r="61" spans="1:32" ht="14">
      <c r="A61" s="2"/>
      <c r="B61" s="2"/>
      <c r="C61" s="2"/>
      <c r="D61" s="2"/>
      <c r="E61" s="2"/>
      <c r="F61" s="569"/>
      <c r="G61" s="2"/>
      <c r="H61" s="2"/>
      <c r="I61" s="2"/>
      <c r="J61" s="366"/>
      <c r="K61" s="2"/>
      <c r="L61" s="2"/>
      <c r="M61" s="2"/>
      <c r="N61" s="2"/>
      <c r="O61" s="23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</row>
    <row r="62" spans="1:32" ht="14">
      <c r="A62" s="2"/>
      <c r="B62" s="2"/>
      <c r="C62" s="2"/>
      <c r="D62" s="2"/>
      <c r="E62" s="2"/>
      <c r="F62" s="569"/>
      <c r="G62" s="2"/>
      <c r="H62" s="2"/>
      <c r="I62" s="2"/>
      <c r="J62" s="366"/>
      <c r="K62" s="2"/>
      <c r="L62" s="2"/>
      <c r="M62" s="2"/>
      <c r="N62" s="2"/>
      <c r="O62" s="23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</row>
    <row r="63" spans="1:32" ht="14">
      <c r="A63" s="2"/>
      <c r="B63" s="2"/>
      <c r="C63" s="2"/>
      <c r="D63" s="2"/>
      <c r="E63" s="2"/>
      <c r="F63" s="569"/>
      <c r="G63" s="2"/>
      <c r="H63" s="2"/>
      <c r="I63" s="2"/>
      <c r="J63" s="366"/>
      <c r="K63" s="2"/>
      <c r="L63" s="2"/>
      <c r="M63" s="2"/>
      <c r="N63" s="2"/>
      <c r="O63" s="23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</row>
    <row r="64" spans="1:32" ht="14">
      <c r="A64" s="2"/>
      <c r="B64" s="2"/>
      <c r="C64" s="2"/>
      <c r="D64" s="2"/>
      <c r="E64" s="2"/>
      <c r="F64" s="569"/>
      <c r="G64" s="2"/>
      <c r="H64" s="2"/>
      <c r="I64" s="2"/>
      <c r="J64" s="366"/>
      <c r="K64" s="2"/>
      <c r="L64" s="2"/>
      <c r="M64" s="2"/>
      <c r="N64" s="2"/>
      <c r="O64" s="23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</row>
    <row r="65" spans="1:32" ht="14">
      <c r="A65" s="2"/>
      <c r="B65" s="2"/>
      <c r="C65" s="2"/>
      <c r="D65" s="2"/>
      <c r="E65" s="2"/>
      <c r="F65" s="569"/>
      <c r="G65" s="2"/>
      <c r="H65" s="2"/>
      <c r="I65" s="2"/>
      <c r="J65" s="366"/>
      <c r="K65" s="2"/>
      <c r="L65" s="2"/>
      <c r="M65" s="2"/>
      <c r="N65" s="2"/>
      <c r="O65" s="23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</row>
    <row r="66" spans="1:32" ht="14">
      <c r="A66" s="2"/>
      <c r="B66" s="2"/>
      <c r="C66" s="2"/>
      <c r="D66" s="2"/>
      <c r="E66" s="2"/>
      <c r="F66" s="569"/>
      <c r="G66" s="2"/>
      <c r="H66" s="2"/>
      <c r="I66" s="2"/>
      <c r="J66" s="366"/>
      <c r="K66" s="2"/>
      <c r="L66" s="2"/>
      <c r="M66" s="2"/>
      <c r="N66" s="2"/>
      <c r="O66" s="23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</row>
    <row r="67" spans="1:32" ht="14">
      <c r="A67" s="2"/>
      <c r="B67" s="2"/>
      <c r="C67" s="2"/>
      <c r="D67" s="2"/>
      <c r="E67" s="2"/>
      <c r="F67" s="569"/>
      <c r="G67" s="2"/>
      <c r="H67" s="2"/>
      <c r="I67" s="2"/>
      <c r="J67" s="366"/>
      <c r="K67" s="2"/>
      <c r="L67" s="2"/>
      <c r="M67" s="2"/>
      <c r="N67" s="2"/>
      <c r="O67" s="23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</row>
    <row r="68" spans="1:32" ht="14">
      <c r="A68" s="2"/>
      <c r="B68" s="2"/>
      <c r="C68" s="2"/>
      <c r="D68" s="2"/>
      <c r="E68" s="2"/>
      <c r="F68" s="569"/>
      <c r="G68" s="2"/>
      <c r="H68" s="2"/>
      <c r="I68" s="2"/>
      <c r="J68" s="366"/>
      <c r="K68" s="2"/>
      <c r="L68" s="2"/>
      <c r="M68" s="2"/>
      <c r="N68" s="2"/>
      <c r="O68" s="23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</row>
    <row r="69" spans="1:32" ht="14">
      <c r="A69" s="2"/>
      <c r="B69" s="2"/>
      <c r="C69" s="2"/>
      <c r="D69" s="2"/>
      <c r="E69" s="2"/>
      <c r="F69" s="569"/>
      <c r="G69" s="2"/>
      <c r="H69" s="2"/>
      <c r="I69" s="2"/>
      <c r="J69" s="366"/>
      <c r="K69" s="2"/>
      <c r="L69" s="2"/>
      <c r="M69" s="2"/>
      <c r="N69" s="2"/>
      <c r="O69" s="23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</row>
    <row r="70" spans="1:32" ht="14">
      <c r="A70" s="2"/>
      <c r="B70" s="2"/>
      <c r="C70" s="2"/>
      <c r="D70" s="2"/>
      <c r="E70" s="2"/>
      <c r="F70" s="569"/>
      <c r="G70" s="2"/>
      <c r="H70" s="2"/>
      <c r="I70" s="2"/>
      <c r="J70" s="366"/>
      <c r="K70" s="2"/>
      <c r="L70" s="2"/>
      <c r="M70" s="2"/>
      <c r="N70" s="2"/>
      <c r="O70" s="23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</row>
    <row r="71" spans="1:32" ht="14">
      <c r="A71" s="2"/>
      <c r="B71" s="2"/>
      <c r="C71" s="2"/>
      <c r="D71" s="2"/>
      <c r="E71" s="2"/>
      <c r="F71" s="569"/>
      <c r="G71" s="2"/>
      <c r="H71" s="2"/>
      <c r="I71" s="2"/>
      <c r="J71" s="366"/>
      <c r="K71" s="2"/>
      <c r="L71" s="2"/>
      <c r="M71" s="2"/>
      <c r="N71" s="2"/>
      <c r="O71" s="23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</row>
    <row r="72" spans="1:32" ht="14">
      <c r="A72" s="2"/>
      <c r="B72" s="2"/>
      <c r="C72" s="2"/>
      <c r="D72" s="2"/>
      <c r="E72" s="2"/>
      <c r="F72" s="569"/>
      <c r="G72" s="2"/>
      <c r="H72" s="2"/>
      <c r="I72" s="2"/>
      <c r="J72" s="366"/>
      <c r="K72" s="2"/>
      <c r="L72" s="2"/>
      <c r="M72" s="2"/>
      <c r="N72" s="2"/>
      <c r="O72" s="23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</row>
    <row r="73" spans="1:32" ht="14">
      <c r="A73" s="2"/>
      <c r="B73" s="2"/>
      <c r="C73" s="2"/>
      <c r="D73" s="2"/>
      <c r="E73" s="2"/>
      <c r="F73" s="569"/>
      <c r="G73" s="2"/>
      <c r="H73" s="2"/>
      <c r="I73" s="2"/>
      <c r="J73" s="366"/>
      <c r="K73" s="2"/>
      <c r="L73" s="2"/>
      <c r="M73" s="2"/>
      <c r="N73" s="2"/>
      <c r="O73" s="23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</row>
    <row r="74" spans="1:32" ht="14">
      <c r="A74" s="2"/>
      <c r="B74" s="2"/>
      <c r="C74" s="2"/>
      <c r="D74" s="2"/>
      <c r="E74" s="2"/>
      <c r="F74" s="569"/>
      <c r="G74" s="2"/>
      <c r="H74" s="2"/>
      <c r="I74" s="2"/>
      <c r="J74" s="366"/>
      <c r="K74" s="2"/>
      <c r="L74" s="2"/>
      <c r="M74" s="2"/>
      <c r="N74" s="2"/>
      <c r="O74" s="23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</row>
    <row r="75" spans="1:32" ht="14">
      <c r="A75" s="2"/>
      <c r="B75" s="2"/>
      <c r="C75" s="2"/>
      <c r="D75" s="2"/>
      <c r="E75" s="2"/>
      <c r="F75" s="569"/>
      <c r="G75" s="2"/>
      <c r="H75" s="2"/>
      <c r="I75" s="2"/>
      <c r="J75" s="366"/>
      <c r="K75" s="2"/>
      <c r="L75" s="2"/>
      <c r="M75" s="2"/>
      <c r="N75" s="2"/>
      <c r="O75" s="23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</row>
    <row r="76" spans="1:32" ht="14">
      <c r="A76" s="2"/>
      <c r="B76" s="2"/>
      <c r="C76" s="2"/>
      <c r="D76" s="2"/>
      <c r="E76" s="2"/>
      <c r="F76" s="569"/>
      <c r="G76" s="2"/>
      <c r="H76" s="2"/>
      <c r="I76" s="2"/>
      <c r="J76" s="366"/>
      <c r="K76" s="2"/>
      <c r="L76" s="2"/>
      <c r="M76" s="2"/>
      <c r="N76" s="2"/>
      <c r="O76" s="23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 spans="1:32" ht="14">
      <c r="A77" s="2"/>
      <c r="B77" s="2"/>
      <c r="C77" s="2"/>
      <c r="D77" s="2"/>
      <c r="E77" s="2"/>
      <c r="F77" s="569"/>
      <c r="G77" s="2"/>
      <c r="H77" s="2"/>
      <c r="I77" s="2"/>
      <c r="J77" s="366"/>
      <c r="K77" s="2"/>
      <c r="L77" s="2"/>
      <c r="M77" s="2"/>
      <c r="N77" s="2"/>
      <c r="O77" s="23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</row>
    <row r="78" spans="1:32" ht="14">
      <c r="A78" s="2"/>
      <c r="B78" s="2"/>
      <c r="C78" s="2"/>
      <c r="D78" s="2"/>
      <c r="E78" s="2"/>
      <c r="F78" s="569"/>
      <c r="G78" s="2"/>
      <c r="H78" s="2"/>
      <c r="I78" s="2"/>
      <c r="J78" s="366"/>
      <c r="K78" s="2"/>
      <c r="L78" s="2"/>
      <c r="M78" s="2"/>
      <c r="N78" s="2"/>
      <c r="O78" s="23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</row>
    <row r="79" spans="1:32" ht="14">
      <c r="A79" s="2"/>
      <c r="B79" s="2"/>
      <c r="C79" s="2"/>
      <c r="D79" s="2"/>
      <c r="E79" s="2"/>
      <c r="F79" s="569"/>
      <c r="G79" s="2"/>
      <c r="H79" s="2"/>
      <c r="I79" s="2"/>
      <c r="J79" s="366"/>
      <c r="K79" s="2"/>
      <c r="L79" s="2"/>
      <c r="M79" s="2"/>
      <c r="N79" s="2"/>
      <c r="O79" s="23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</row>
    <row r="80" spans="1:32" ht="14">
      <c r="A80" s="2"/>
      <c r="B80" s="2"/>
      <c r="C80" s="2"/>
      <c r="D80" s="2"/>
      <c r="E80" s="2"/>
      <c r="F80" s="569"/>
      <c r="G80" s="2"/>
      <c r="H80" s="2"/>
      <c r="I80" s="2"/>
      <c r="J80" s="366"/>
      <c r="K80" s="2"/>
      <c r="L80" s="2"/>
      <c r="M80" s="2"/>
      <c r="N80" s="2"/>
      <c r="O80" s="23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</row>
    <row r="81" spans="1:32" ht="14">
      <c r="A81" s="2"/>
      <c r="B81" s="2"/>
      <c r="C81" s="2"/>
      <c r="D81" s="2"/>
      <c r="E81" s="2"/>
      <c r="F81" s="569"/>
      <c r="G81" s="2"/>
      <c r="H81" s="2"/>
      <c r="I81" s="2"/>
      <c r="J81" s="366"/>
      <c r="K81" s="2"/>
      <c r="L81" s="2"/>
      <c r="M81" s="2"/>
      <c r="N81" s="2"/>
      <c r="O81" s="23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</row>
    <row r="82" spans="1:32" ht="14">
      <c r="A82" s="2"/>
      <c r="B82" s="2"/>
      <c r="C82" s="2"/>
      <c r="D82" s="2"/>
      <c r="E82" s="2"/>
      <c r="F82" s="569"/>
      <c r="G82" s="2"/>
      <c r="H82" s="2"/>
      <c r="I82" s="2"/>
      <c r="J82" s="366"/>
      <c r="K82" s="2"/>
      <c r="L82" s="2"/>
      <c r="M82" s="2"/>
      <c r="N82" s="2"/>
      <c r="O82" s="23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</row>
    <row r="83" spans="1:32" ht="14">
      <c r="A83" s="2"/>
      <c r="B83" s="2"/>
      <c r="C83" s="2"/>
      <c r="D83" s="2"/>
      <c r="E83" s="2"/>
      <c r="F83" s="569"/>
      <c r="G83" s="2"/>
      <c r="H83" s="2"/>
      <c r="I83" s="2"/>
      <c r="J83" s="366"/>
      <c r="K83" s="2"/>
      <c r="L83" s="2"/>
      <c r="M83" s="2"/>
      <c r="N83" s="2"/>
      <c r="O83" s="23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</row>
    <row r="84" spans="1:32" ht="14">
      <c r="A84" s="2"/>
      <c r="B84" s="2"/>
      <c r="C84" s="2"/>
      <c r="D84" s="2"/>
      <c r="E84" s="2"/>
      <c r="F84" s="569"/>
      <c r="G84" s="2"/>
      <c r="H84" s="2"/>
      <c r="I84" s="2"/>
      <c r="J84" s="366"/>
      <c r="K84" s="2"/>
      <c r="L84" s="2"/>
      <c r="M84" s="2"/>
      <c r="N84" s="2"/>
      <c r="O84" s="23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</row>
    <row r="85" spans="1:32" ht="14">
      <c r="A85" s="2"/>
      <c r="B85" s="2"/>
      <c r="C85" s="2"/>
      <c r="D85" s="2"/>
      <c r="E85" s="2"/>
      <c r="F85" s="569"/>
      <c r="G85" s="2"/>
      <c r="H85" s="2"/>
      <c r="I85" s="2"/>
      <c r="J85" s="366"/>
      <c r="K85" s="2"/>
      <c r="L85" s="2"/>
      <c r="M85" s="2"/>
      <c r="N85" s="2"/>
      <c r="O85" s="23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</row>
    <row r="86" spans="1:32" ht="14">
      <c r="A86" s="2"/>
      <c r="B86" s="2"/>
      <c r="C86" s="2"/>
      <c r="D86" s="2"/>
      <c r="E86" s="2"/>
      <c r="F86" s="569"/>
      <c r="G86" s="2"/>
      <c r="H86" s="2"/>
      <c r="I86" s="2"/>
      <c r="J86" s="366"/>
      <c r="K86" s="2"/>
      <c r="L86" s="2"/>
      <c r="M86" s="2"/>
      <c r="N86" s="2"/>
      <c r="O86" s="23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</row>
    <row r="87" spans="1:32" ht="14">
      <c r="A87" s="2"/>
      <c r="B87" s="2"/>
      <c r="C87" s="2"/>
      <c r="D87" s="2"/>
      <c r="E87" s="2"/>
      <c r="F87" s="569"/>
      <c r="G87" s="2"/>
      <c r="H87" s="2"/>
      <c r="I87" s="2"/>
      <c r="J87" s="366"/>
      <c r="K87" s="2"/>
      <c r="L87" s="2"/>
      <c r="M87" s="2"/>
      <c r="N87" s="2"/>
      <c r="O87" s="23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 spans="1:32" ht="14">
      <c r="A88" s="2"/>
      <c r="B88" s="2"/>
      <c r="C88" s="2"/>
      <c r="D88" s="2"/>
      <c r="E88" s="2"/>
      <c r="F88" s="569"/>
      <c r="G88" s="2"/>
      <c r="H88" s="2"/>
      <c r="I88" s="2"/>
      <c r="J88" s="366"/>
      <c r="K88" s="2"/>
      <c r="L88" s="2"/>
      <c r="M88" s="2"/>
      <c r="N88" s="2"/>
      <c r="O88" s="23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 spans="1:32" ht="14">
      <c r="A89" s="2"/>
      <c r="B89" s="2"/>
      <c r="C89" s="2"/>
      <c r="D89" s="2"/>
      <c r="E89" s="2"/>
      <c r="F89" s="569"/>
      <c r="G89" s="2"/>
      <c r="H89" s="2"/>
      <c r="I89" s="2"/>
      <c r="J89" s="366"/>
      <c r="K89" s="2"/>
      <c r="L89" s="2"/>
      <c r="M89" s="2"/>
      <c r="N89" s="2"/>
      <c r="O89" s="23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 spans="1:32" ht="14">
      <c r="A90" s="2"/>
      <c r="B90" s="2"/>
      <c r="C90" s="2"/>
      <c r="D90" s="2"/>
      <c r="E90" s="2"/>
      <c r="F90" s="569"/>
      <c r="G90" s="2"/>
      <c r="H90" s="2"/>
      <c r="I90" s="2"/>
      <c r="J90" s="366"/>
      <c r="K90" s="2"/>
      <c r="L90" s="2"/>
      <c r="M90" s="2"/>
      <c r="N90" s="2"/>
      <c r="O90" s="23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 spans="1:32" ht="14">
      <c r="A91" s="2"/>
      <c r="B91" s="2"/>
      <c r="C91" s="2"/>
      <c r="D91" s="2"/>
      <c r="E91" s="2"/>
      <c r="F91" s="569"/>
      <c r="G91" s="2"/>
      <c r="H91" s="2"/>
      <c r="I91" s="2"/>
      <c r="J91" s="366"/>
      <c r="K91" s="2"/>
      <c r="L91" s="2"/>
      <c r="M91" s="2"/>
      <c r="N91" s="2"/>
      <c r="O91" s="23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 spans="1:32" ht="14">
      <c r="A92" s="2"/>
      <c r="B92" s="2"/>
      <c r="C92" s="2"/>
      <c r="D92" s="2"/>
      <c r="E92" s="2"/>
      <c r="F92" s="569"/>
      <c r="G92" s="2"/>
      <c r="H92" s="2"/>
      <c r="I92" s="2"/>
      <c r="J92" s="366"/>
      <c r="K92" s="2"/>
      <c r="L92" s="2"/>
      <c r="M92" s="2"/>
      <c r="N92" s="2"/>
      <c r="O92" s="23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</row>
    <row r="93" spans="1:32" ht="14">
      <c r="A93" s="2"/>
      <c r="B93" s="2"/>
      <c r="C93" s="2"/>
      <c r="D93" s="2"/>
      <c r="E93" s="2"/>
      <c r="F93" s="569"/>
      <c r="G93" s="2"/>
      <c r="H93" s="2"/>
      <c r="I93" s="2"/>
      <c r="J93" s="366"/>
      <c r="K93" s="2"/>
      <c r="L93" s="2"/>
      <c r="M93" s="2"/>
      <c r="N93" s="2"/>
      <c r="O93" s="23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 spans="1:32" ht="14">
      <c r="A94" s="2"/>
      <c r="B94" s="2"/>
      <c r="C94" s="2"/>
      <c r="D94" s="2"/>
      <c r="E94" s="2"/>
      <c r="F94" s="569"/>
      <c r="G94" s="2"/>
      <c r="H94" s="2"/>
      <c r="I94" s="2"/>
      <c r="J94" s="366"/>
      <c r="K94" s="2"/>
      <c r="L94" s="2"/>
      <c r="M94" s="2"/>
      <c r="N94" s="2"/>
      <c r="O94" s="23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</row>
    <row r="95" spans="1:32" ht="14">
      <c r="A95" s="2"/>
      <c r="B95" s="2"/>
      <c r="C95" s="2"/>
      <c r="D95" s="2"/>
      <c r="E95" s="2"/>
      <c r="F95" s="569"/>
      <c r="G95" s="2"/>
      <c r="H95" s="2"/>
      <c r="I95" s="2"/>
      <c r="J95" s="366"/>
      <c r="K95" s="2"/>
      <c r="L95" s="2"/>
      <c r="M95" s="2"/>
      <c r="N95" s="2"/>
      <c r="O95" s="23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 spans="1:32" ht="14">
      <c r="A96" s="2"/>
      <c r="B96" s="2"/>
      <c r="C96" s="2"/>
      <c r="D96" s="2"/>
      <c r="E96" s="2"/>
      <c r="F96" s="569"/>
      <c r="G96" s="2"/>
      <c r="H96" s="2"/>
      <c r="I96" s="2"/>
      <c r="J96" s="366"/>
      <c r="K96" s="2"/>
      <c r="L96" s="2"/>
      <c r="M96" s="2"/>
      <c r="N96" s="2"/>
      <c r="O96" s="23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</row>
    <row r="97" spans="1:32" ht="14">
      <c r="A97" s="2"/>
      <c r="B97" s="2"/>
      <c r="C97" s="2"/>
      <c r="D97" s="2"/>
      <c r="E97" s="2"/>
      <c r="F97" s="569"/>
      <c r="G97" s="2"/>
      <c r="H97" s="2"/>
      <c r="I97" s="2"/>
      <c r="J97" s="366"/>
      <c r="K97" s="2"/>
      <c r="L97" s="2"/>
      <c r="M97" s="2"/>
      <c r="N97" s="2"/>
      <c r="O97" s="23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 spans="1:32" ht="14">
      <c r="A98" s="2"/>
      <c r="B98" s="2"/>
      <c r="C98" s="2"/>
      <c r="D98" s="2"/>
      <c r="E98" s="2"/>
      <c r="F98" s="569"/>
      <c r="G98" s="2"/>
      <c r="H98" s="2"/>
      <c r="I98" s="2"/>
      <c r="J98" s="366"/>
      <c r="K98" s="2"/>
      <c r="L98" s="2"/>
      <c r="M98" s="2"/>
      <c r="N98" s="2"/>
      <c r="O98" s="23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 spans="1:32" ht="14">
      <c r="A99" s="2"/>
      <c r="B99" s="2"/>
      <c r="C99" s="2"/>
      <c r="D99" s="2"/>
      <c r="E99" s="2"/>
      <c r="F99" s="569"/>
      <c r="G99" s="2"/>
      <c r="H99" s="2"/>
      <c r="I99" s="2"/>
      <c r="J99" s="366"/>
      <c r="K99" s="2"/>
      <c r="L99" s="2"/>
      <c r="M99" s="2"/>
      <c r="N99" s="2"/>
      <c r="O99" s="23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 spans="1:32" ht="14">
      <c r="A100" s="2"/>
      <c r="B100" s="2"/>
      <c r="C100" s="2"/>
      <c r="D100" s="2"/>
      <c r="E100" s="2"/>
      <c r="F100" s="569"/>
      <c r="G100" s="2"/>
      <c r="H100" s="2"/>
      <c r="I100" s="2"/>
      <c r="J100" s="366"/>
      <c r="K100" s="2"/>
      <c r="L100" s="2"/>
      <c r="M100" s="2"/>
      <c r="N100" s="2"/>
      <c r="O100" s="23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 spans="1:32" ht="14">
      <c r="A101" s="2"/>
      <c r="B101" s="2"/>
      <c r="C101" s="2"/>
      <c r="D101" s="2"/>
      <c r="E101" s="2"/>
      <c r="F101" s="569"/>
      <c r="G101" s="2"/>
      <c r="H101" s="2"/>
      <c r="I101" s="2"/>
      <c r="J101" s="366"/>
      <c r="K101" s="2"/>
      <c r="L101" s="2"/>
      <c r="M101" s="2"/>
      <c r="N101" s="2"/>
      <c r="O101" s="23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 spans="1:32" ht="14">
      <c r="A102" s="2"/>
      <c r="B102" s="2"/>
      <c r="C102" s="2"/>
      <c r="D102" s="2"/>
      <c r="E102" s="2"/>
      <c r="F102" s="569"/>
      <c r="G102" s="2"/>
      <c r="H102" s="2"/>
      <c r="I102" s="2"/>
      <c r="J102" s="366"/>
      <c r="K102" s="2"/>
      <c r="L102" s="2"/>
      <c r="M102" s="2"/>
      <c r="N102" s="2"/>
      <c r="O102" s="23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 spans="1:32" ht="14">
      <c r="A103" s="2"/>
      <c r="B103" s="2"/>
      <c r="C103" s="2"/>
      <c r="D103" s="2"/>
      <c r="E103" s="2"/>
      <c r="F103" s="569"/>
      <c r="G103" s="2"/>
      <c r="H103" s="2"/>
      <c r="I103" s="2"/>
      <c r="J103" s="366"/>
      <c r="K103" s="2"/>
      <c r="L103" s="2"/>
      <c r="M103" s="2"/>
      <c r="N103" s="2"/>
      <c r="O103" s="23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</row>
    <row r="104" spans="1:32" ht="14">
      <c r="A104" s="2"/>
      <c r="B104" s="2"/>
      <c r="C104" s="2"/>
      <c r="D104" s="2"/>
      <c r="E104" s="2"/>
      <c r="F104" s="569"/>
      <c r="G104" s="2"/>
      <c r="H104" s="2"/>
      <c r="I104" s="2"/>
      <c r="J104" s="366"/>
      <c r="K104" s="2"/>
      <c r="L104" s="2"/>
      <c r="M104" s="2"/>
      <c r="N104" s="2"/>
      <c r="O104" s="23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</row>
    <row r="105" spans="1:32" ht="14">
      <c r="A105" s="2"/>
      <c r="B105" s="2"/>
      <c r="C105" s="2"/>
      <c r="D105" s="2"/>
      <c r="E105" s="2"/>
      <c r="F105" s="569"/>
      <c r="G105" s="2"/>
      <c r="H105" s="2"/>
      <c r="I105" s="2"/>
      <c r="J105" s="366"/>
      <c r="K105" s="2"/>
      <c r="L105" s="2"/>
      <c r="M105" s="2"/>
      <c r="N105" s="2"/>
      <c r="O105" s="23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</row>
    <row r="106" spans="1:32" ht="14">
      <c r="A106" s="2"/>
      <c r="B106" s="2"/>
      <c r="C106" s="2"/>
      <c r="D106" s="2"/>
      <c r="E106" s="2"/>
      <c r="F106" s="569"/>
      <c r="G106" s="2"/>
      <c r="H106" s="2"/>
      <c r="I106" s="2"/>
      <c r="J106" s="366"/>
      <c r="K106" s="2"/>
      <c r="L106" s="2"/>
      <c r="M106" s="2"/>
      <c r="N106" s="2"/>
      <c r="O106" s="23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</row>
    <row r="107" spans="1:32" ht="14">
      <c r="A107" s="2"/>
      <c r="B107" s="2"/>
      <c r="C107" s="2"/>
      <c r="D107" s="2"/>
      <c r="E107" s="2"/>
      <c r="F107" s="569"/>
      <c r="G107" s="2"/>
      <c r="H107" s="2"/>
      <c r="I107" s="2"/>
      <c r="J107" s="366"/>
      <c r="K107" s="2"/>
      <c r="L107" s="2"/>
      <c r="M107" s="2"/>
      <c r="N107" s="2"/>
      <c r="O107" s="23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</row>
    <row r="108" spans="1:32" ht="14">
      <c r="A108" s="2"/>
      <c r="B108" s="2"/>
      <c r="C108" s="2"/>
      <c r="D108" s="2"/>
      <c r="E108" s="2"/>
      <c r="F108" s="569"/>
      <c r="G108" s="2"/>
      <c r="H108" s="2"/>
      <c r="I108" s="2"/>
      <c r="J108" s="366"/>
      <c r="K108" s="2"/>
      <c r="L108" s="2"/>
      <c r="M108" s="2"/>
      <c r="N108" s="2"/>
      <c r="O108" s="23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</row>
    <row r="109" spans="1:32" ht="14">
      <c r="A109" s="2"/>
      <c r="B109" s="2"/>
      <c r="C109" s="2"/>
      <c r="D109" s="2"/>
      <c r="E109" s="2"/>
      <c r="F109" s="569"/>
      <c r="G109" s="2"/>
      <c r="H109" s="2"/>
      <c r="I109" s="2"/>
      <c r="J109" s="366"/>
      <c r="K109" s="2"/>
      <c r="L109" s="2"/>
      <c r="M109" s="2"/>
      <c r="N109" s="2"/>
      <c r="O109" s="23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</row>
    <row r="110" spans="1:32" ht="14">
      <c r="A110" s="2"/>
      <c r="B110" s="2"/>
      <c r="C110" s="2"/>
      <c r="D110" s="2"/>
      <c r="E110" s="2"/>
      <c r="F110" s="569"/>
      <c r="G110" s="2"/>
      <c r="H110" s="2"/>
      <c r="I110" s="2"/>
      <c r="J110" s="366"/>
      <c r="K110" s="2"/>
      <c r="L110" s="2"/>
      <c r="M110" s="2"/>
      <c r="N110" s="2"/>
      <c r="O110" s="23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</row>
    <row r="111" spans="1:32" ht="14">
      <c r="A111" s="2"/>
      <c r="B111" s="2"/>
      <c r="C111" s="2"/>
      <c r="D111" s="2"/>
      <c r="E111" s="2"/>
      <c r="F111" s="569"/>
      <c r="G111" s="2"/>
      <c r="H111" s="2"/>
      <c r="I111" s="2"/>
      <c r="J111" s="366"/>
      <c r="K111" s="2"/>
      <c r="L111" s="2"/>
      <c r="M111" s="2"/>
      <c r="N111" s="2"/>
      <c r="O111" s="23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</row>
    <row r="112" spans="1:32" ht="14">
      <c r="A112" s="2"/>
      <c r="B112" s="2"/>
      <c r="C112" s="2"/>
      <c r="D112" s="2"/>
      <c r="E112" s="2"/>
      <c r="F112" s="569"/>
      <c r="G112" s="2"/>
      <c r="H112" s="2"/>
      <c r="I112" s="2"/>
      <c r="J112" s="366"/>
      <c r="K112" s="2"/>
      <c r="L112" s="2"/>
      <c r="M112" s="2"/>
      <c r="N112" s="2"/>
      <c r="O112" s="23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</row>
    <row r="113" spans="1:32" ht="14">
      <c r="A113" s="2"/>
      <c r="B113" s="2"/>
      <c r="C113" s="2"/>
      <c r="D113" s="2"/>
      <c r="E113" s="2"/>
      <c r="F113" s="569"/>
      <c r="G113" s="2"/>
      <c r="H113" s="2"/>
      <c r="I113" s="2"/>
      <c r="J113" s="366"/>
      <c r="K113" s="2"/>
      <c r="L113" s="2"/>
      <c r="M113" s="2"/>
      <c r="N113" s="2"/>
      <c r="O113" s="23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</row>
    <row r="114" spans="1:32" ht="14">
      <c r="A114" s="2"/>
      <c r="B114" s="2"/>
      <c r="C114" s="2"/>
      <c r="D114" s="2"/>
      <c r="E114" s="2"/>
      <c r="F114" s="569"/>
      <c r="G114" s="2"/>
      <c r="H114" s="2"/>
      <c r="I114" s="2"/>
      <c r="J114" s="366"/>
      <c r="K114" s="2"/>
      <c r="L114" s="2"/>
      <c r="M114" s="2"/>
      <c r="N114" s="2"/>
      <c r="O114" s="23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</row>
    <row r="115" spans="1:32" ht="14">
      <c r="A115" s="2"/>
      <c r="B115" s="2"/>
      <c r="C115" s="2"/>
      <c r="D115" s="2"/>
      <c r="E115" s="2"/>
      <c r="F115" s="569"/>
      <c r="G115" s="2"/>
      <c r="H115" s="2"/>
      <c r="I115" s="2"/>
      <c r="J115" s="366"/>
      <c r="K115" s="2"/>
      <c r="L115" s="2"/>
      <c r="M115" s="2"/>
      <c r="N115" s="2"/>
      <c r="O115" s="23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</row>
    <row r="116" spans="1:32" ht="14">
      <c r="A116" s="2"/>
      <c r="B116" s="2"/>
      <c r="C116" s="2"/>
      <c r="D116" s="2"/>
      <c r="E116" s="2"/>
      <c r="F116" s="569"/>
      <c r="G116" s="2"/>
      <c r="H116" s="2"/>
      <c r="I116" s="2"/>
      <c r="J116" s="366"/>
      <c r="K116" s="2"/>
      <c r="L116" s="2"/>
      <c r="M116" s="2"/>
      <c r="N116" s="2"/>
      <c r="O116" s="23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</row>
    <row r="117" spans="1:32" ht="14">
      <c r="A117" s="2"/>
      <c r="B117" s="2"/>
      <c r="C117" s="2"/>
      <c r="D117" s="2"/>
      <c r="E117" s="2"/>
      <c r="F117" s="569"/>
      <c r="G117" s="2"/>
      <c r="H117" s="2"/>
      <c r="I117" s="2"/>
      <c r="J117" s="366"/>
      <c r="K117" s="2"/>
      <c r="L117" s="2"/>
      <c r="M117" s="2"/>
      <c r="N117" s="2"/>
      <c r="O117" s="23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</row>
    <row r="118" spans="1:32" ht="14">
      <c r="A118" s="2"/>
      <c r="B118" s="2"/>
      <c r="C118" s="2"/>
      <c r="D118" s="2"/>
      <c r="E118" s="2"/>
      <c r="F118" s="569"/>
      <c r="G118" s="2"/>
      <c r="H118" s="2"/>
      <c r="I118" s="2"/>
      <c r="J118" s="366"/>
      <c r="K118" s="2"/>
      <c r="L118" s="2"/>
      <c r="M118" s="2"/>
      <c r="N118" s="2"/>
      <c r="O118" s="23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</row>
    <row r="119" spans="1:32" ht="14">
      <c r="A119" s="2"/>
      <c r="B119" s="2"/>
      <c r="C119" s="2"/>
      <c r="D119" s="2"/>
      <c r="E119" s="2"/>
      <c r="F119" s="569"/>
      <c r="G119" s="2"/>
      <c r="H119" s="2"/>
      <c r="I119" s="2"/>
      <c r="J119" s="366"/>
      <c r="K119" s="2"/>
      <c r="L119" s="2"/>
      <c r="M119" s="2"/>
      <c r="N119" s="2"/>
      <c r="O119" s="23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</row>
    <row r="120" spans="1:32" ht="14">
      <c r="A120" s="2"/>
      <c r="B120" s="2"/>
      <c r="C120" s="2"/>
      <c r="D120" s="2"/>
      <c r="E120" s="2"/>
      <c r="F120" s="569"/>
      <c r="G120" s="2"/>
      <c r="H120" s="2"/>
      <c r="I120" s="2"/>
      <c r="J120" s="366"/>
      <c r="K120" s="2"/>
      <c r="L120" s="2"/>
      <c r="M120" s="2"/>
      <c r="N120" s="2"/>
      <c r="O120" s="23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</row>
    <row r="121" spans="1:32" ht="14">
      <c r="A121" s="2"/>
      <c r="B121" s="2"/>
      <c r="C121" s="2"/>
      <c r="D121" s="2"/>
      <c r="E121" s="2"/>
      <c r="F121" s="569"/>
      <c r="G121" s="2"/>
      <c r="H121" s="2"/>
      <c r="I121" s="2"/>
      <c r="J121" s="366"/>
      <c r="K121" s="2"/>
      <c r="L121" s="2"/>
      <c r="M121" s="2"/>
      <c r="N121" s="2"/>
      <c r="O121" s="23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</row>
    <row r="122" spans="1:32" ht="14">
      <c r="A122" s="2"/>
      <c r="B122" s="2"/>
      <c r="C122" s="2"/>
      <c r="D122" s="2"/>
      <c r="E122" s="2"/>
      <c r="F122" s="569"/>
      <c r="G122" s="2"/>
      <c r="H122" s="2"/>
      <c r="I122" s="2"/>
      <c r="J122" s="366"/>
      <c r="K122" s="2"/>
      <c r="L122" s="2"/>
      <c r="M122" s="2"/>
      <c r="N122" s="2"/>
      <c r="O122" s="23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</row>
    <row r="123" spans="1:32" ht="14">
      <c r="A123" s="2"/>
      <c r="B123" s="2"/>
      <c r="C123" s="2"/>
      <c r="D123" s="2"/>
      <c r="E123" s="2"/>
      <c r="F123" s="569"/>
      <c r="G123" s="2"/>
      <c r="H123" s="2"/>
      <c r="I123" s="2"/>
      <c r="J123" s="366"/>
      <c r="K123" s="2"/>
      <c r="L123" s="2"/>
      <c r="M123" s="2"/>
      <c r="N123" s="2"/>
      <c r="O123" s="23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</row>
    <row r="124" spans="1:32" ht="14">
      <c r="A124" s="2"/>
      <c r="B124" s="2"/>
      <c r="C124" s="2"/>
      <c r="D124" s="2"/>
      <c r="E124" s="2"/>
      <c r="F124" s="569"/>
      <c r="G124" s="2"/>
      <c r="H124" s="2"/>
      <c r="I124" s="2"/>
      <c r="J124" s="366"/>
      <c r="K124" s="2"/>
      <c r="L124" s="2"/>
      <c r="M124" s="2"/>
      <c r="N124" s="2"/>
      <c r="O124" s="23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</row>
    <row r="125" spans="1:32" ht="14">
      <c r="A125" s="2"/>
      <c r="B125" s="2"/>
      <c r="C125" s="2"/>
      <c r="D125" s="2"/>
      <c r="E125" s="2"/>
      <c r="F125" s="569"/>
      <c r="G125" s="2"/>
      <c r="H125" s="2"/>
      <c r="I125" s="2"/>
      <c r="J125" s="366"/>
      <c r="K125" s="2"/>
      <c r="L125" s="2"/>
      <c r="M125" s="2"/>
      <c r="N125" s="2"/>
      <c r="O125" s="23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 spans="1:32" ht="14">
      <c r="A126" s="2"/>
      <c r="B126" s="2"/>
      <c r="C126" s="2"/>
      <c r="D126" s="2"/>
      <c r="E126" s="2"/>
      <c r="F126" s="569"/>
      <c r="G126" s="2"/>
      <c r="H126" s="2"/>
      <c r="I126" s="2"/>
      <c r="J126" s="366"/>
      <c r="K126" s="2"/>
      <c r="L126" s="2"/>
      <c r="M126" s="2"/>
      <c r="N126" s="2"/>
      <c r="O126" s="23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</row>
    <row r="127" spans="1:32" ht="14">
      <c r="A127" s="2"/>
      <c r="B127" s="2"/>
      <c r="C127" s="2"/>
      <c r="D127" s="2"/>
      <c r="E127" s="2"/>
      <c r="F127" s="569"/>
      <c r="G127" s="2"/>
      <c r="H127" s="2"/>
      <c r="I127" s="2"/>
      <c r="J127" s="366"/>
      <c r="K127" s="2"/>
      <c r="L127" s="2"/>
      <c r="M127" s="2"/>
      <c r="N127" s="2"/>
      <c r="O127" s="23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</row>
    <row r="128" spans="1:32" ht="14">
      <c r="A128" s="2"/>
      <c r="B128" s="2"/>
      <c r="C128" s="2"/>
      <c r="D128" s="2"/>
      <c r="E128" s="2"/>
      <c r="F128" s="569"/>
      <c r="G128" s="2"/>
      <c r="H128" s="2"/>
      <c r="I128" s="2"/>
      <c r="J128" s="366"/>
      <c r="K128" s="2"/>
      <c r="L128" s="2"/>
      <c r="M128" s="2"/>
      <c r="N128" s="2"/>
      <c r="O128" s="23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</row>
    <row r="129" spans="1:32" ht="14">
      <c r="A129" s="2"/>
      <c r="B129" s="2"/>
      <c r="C129" s="2"/>
      <c r="D129" s="2"/>
      <c r="E129" s="2"/>
      <c r="F129" s="569"/>
      <c r="G129" s="2"/>
      <c r="H129" s="2"/>
      <c r="I129" s="2"/>
      <c r="J129" s="366"/>
      <c r="K129" s="2"/>
      <c r="L129" s="2"/>
      <c r="M129" s="2"/>
      <c r="N129" s="2"/>
      <c r="O129" s="23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</row>
    <row r="130" spans="1:32" ht="14">
      <c r="A130" s="2"/>
      <c r="B130" s="2"/>
      <c r="C130" s="2"/>
      <c r="D130" s="2"/>
      <c r="E130" s="2"/>
      <c r="F130" s="569"/>
      <c r="G130" s="2"/>
      <c r="H130" s="2"/>
      <c r="I130" s="2"/>
      <c r="J130" s="366"/>
      <c r="K130" s="2"/>
      <c r="L130" s="2"/>
      <c r="M130" s="2"/>
      <c r="N130" s="2"/>
      <c r="O130" s="23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</row>
    <row r="131" spans="1:32" ht="14">
      <c r="A131" s="2"/>
      <c r="B131" s="2"/>
      <c r="C131" s="2"/>
      <c r="D131" s="2"/>
      <c r="E131" s="2"/>
      <c r="F131" s="569"/>
      <c r="G131" s="2"/>
      <c r="H131" s="2"/>
      <c r="I131" s="2"/>
      <c r="J131" s="366"/>
      <c r="K131" s="2"/>
      <c r="L131" s="2"/>
      <c r="M131" s="2"/>
      <c r="N131" s="2"/>
      <c r="O131" s="23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</row>
    <row r="132" spans="1:32" ht="14">
      <c r="A132" s="2"/>
      <c r="B132" s="2"/>
      <c r="C132" s="2"/>
      <c r="D132" s="2"/>
      <c r="E132" s="2"/>
      <c r="F132" s="569"/>
      <c r="G132" s="2"/>
      <c r="H132" s="2"/>
      <c r="I132" s="2"/>
      <c r="J132" s="366"/>
      <c r="K132" s="2"/>
      <c r="L132" s="2"/>
      <c r="M132" s="2"/>
      <c r="N132" s="2"/>
      <c r="O132" s="23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</row>
    <row r="133" spans="1:32" ht="14">
      <c r="A133" s="2"/>
      <c r="B133" s="2"/>
      <c r="C133" s="2"/>
      <c r="D133" s="2"/>
      <c r="E133" s="2"/>
      <c r="F133" s="569"/>
      <c r="G133" s="2"/>
      <c r="H133" s="2"/>
      <c r="I133" s="2"/>
      <c r="J133" s="366"/>
      <c r="K133" s="2"/>
      <c r="L133" s="2"/>
      <c r="M133" s="2"/>
      <c r="N133" s="2"/>
      <c r="O133" s="23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</row>
    <row r="134" spans="1:32" ht="14">
      <c r="A134" s="2"/>
      <c r="B134" s="2"/>
      <c r="C134" s="2"/>
      <c r="D134" s="2"/>
      <c r="E134" s="2"/>
      <c r="F134" s="569"/>
      <c r="G134" s="2"/>
      <c r="H134" s="2"/>
      <c r="I134" s="2"/>
      <c r="J134" s="366"/>
      <c r="K134" s="2"/>
      <c r="L134" s="2"/>
      <c r="M134" s="2"/>
      <c r="N134" s="2"/>
      <c r="O134" s="23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</row>
    <row r="135" spans="1:32" ht="14">
      <c r="A135" s="2"/>
      <c r="B135" s="2"/>
      <c r="C135" s="2"/>
      <c r="D135" s="2"/>
      <c r="E135" s="2"/>
      <c r="F135" s="569"/>
      <c r="G135" s="2"/>
      <c r="H135" s="2"/>
      <c r="I135" s="2"/>
      <c r="J135" s="366"/>
      <c r="K135" s="2"/>
      <c r="L135" s="2"/>
      <c r="M135" s="2"/>
      <c r="N135" s="2"/>
      <c r="O135" s="23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</row>
    <row r="136" spans="1:32" ht="14">
      <c r="A136" s="2"/>
      <c r="B136" s="2"/>
      <c r="C136" s="2"/>
      <c r="D136" s="2"/>
      <c r="E136" s="2"/>
      <c r="F136" s="569"/>
      <c r="G136" s="2"/>
      <c r="H136" s="2"/>
      <c r="I136" s="2"/>
      <c r="J136" s="366"/>
      <c r="K136" s="2"/>
      <c r="L136" s="2"/>
      <c r="M136" s="2"/>
      <c r="N136" s="2"/>
      <c r="O136" s="23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</row>
    <row r="137" spans="1:32" ht="14">
      <c r="A137" s="2"/>
      <c r="B137" s="2"/>
      <c r="C137" s="2"/>
      <c r="D137" s="2"/>
      <c r="E137" s="2"/>
      <c r="F137" s="569"/>
      <c r="G137" s="2"/>
      <c r="H137" s="2"/>
      <c r="I137" s="2"/>
      <c r="J137" s="366"/>
      <c r="K137" s="2"/>
      <c r="L137" s="2"/>
      <c r="M137" s="2"/>
      <c r="N137" s="2"/>
      <c r="O137" s="23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</row>
    <row r="138" spans="1:32" ht="14">
      <c r="A138" s="2"/>
      <c r="B138" s="2"/>
      <c r="C138" s="2"/>
      <c r="D138" s="2"/>
      <c r="E138" s="2"/>
      <c r="F138" s="569"/>
      <c r="G138" s="2"/>
      <c r="H138" s="2"/>
      <c r="I138" s="2"/>
      <c r="J138" s="366"/>
      <c r="K138" s="2"/>
      <c r="L138" s="2"/>
      <c r="M138" s="2"/>
      <c r="N138" s="2"/>
      <c r="O138" s="23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</row>
    <row r="139" spans="1:32" ht="14">
      <c r="A139" s="2"/>
      <c r="B139" s="2"/>
      <c r="C139" s="2"/>
      <c r="D139" s="2"/>
      <c r="E139" s="2"/>
      <c r="F139" s="569"/>
      <c r="G139" s="2"/>
      <c r="H139" s="2"/>
      <c r="I139" s="2"/>
      <c r="J139" s="366"/>
      <c r="K139" s="2"/>
      <c r="L139" s="2"/>
      <c r="M139" s="2"/>
      <c r="N139" s="2"/>
      <c r="O139" s="23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</row>
    <row r="140" spans="1:32" ht="14">
      <c r="A140" s="2"/>
      <c r="B140" s="2"/>
      <c r="C140" s="2"/>
      <c r="D140" s="2"/>
      <c r="E140" s="2"/>
      <c r="F140" s="569"/>
      <c r="G140" s="2"/>
      <c r="H140" s="2"/>
      <c r="I140" s="2"/>
      <c r="J140" s="366"/>
      <c r="K140" s="2"/>
      <c r="L140" s="2"/>
      <c r="M140" s="2"/>
      <c r="N140" s="2"/>
      <c r="O140" s="23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</row>
    <row r="141" spans="1:32" ht="14">
      <c r="A141" s="2"/>
      <c r="B141" s="2"/>
      <c r="C141" s="2"/>
      <c r="D141" s="2"/>
      <c r="E141" s="2"/>
      <c r="F141" s="569"/>
      <c r="G141" s="2"/>
      <c r="H141" s="2"/>
      <c r="I141" s="2"/>
      <c r="J141" s="366"/>
      <c r="K141" s="2"/>
      <c r="L141" s="2"/>
      <c r="M141" s="2"/>
      <c r="N141" s="2"/>
      <c r="O141" s="23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</row>
    <row r="142" spans="1:32" ht="14">
      <c r="A142" s="2"/>
      <c r="B142" s="2"/>
      <c r="C142" s="2"/>
      <c r="D142" s="2"/>
      <c r="E142" s="2"/>
      <c r="F142" s="569"/>
      <c r="G142" s="2"/>
      <c r="H142" s="2"/>
      <c r="I142" s="2"/>
      <c r="J142" s="366"/>
      <c r="K142" s="2"/>
      <c r="L142" s="2"/>
      <c r="M142" s="2"/>
      <c r="N142" s="2"/>
      <c r="O142" s="23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</row>
    <row r="143" spans="1:32" ht="14">
      <c r="A143" s="2"/>
      <c r="B143" s="2"/>
      <c r="C143" s="2"/>
      <c r="D143" s="2"/>
      <c r="E143" s="2"/>
      <c r="F143" s="569"/>
      <c r="G143" s="2"/>
      <c r="H143" s="2"/>
      <c r="I143" s="2"/>
      <c r="J143" s="366"/>
      <c r="K143" s="2"/>
      <c r="L143" s="2"/>
      <c r="M143" s="2"/>
      <c r="N143" s="2"/>
      <c r="O143" s="23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</row>
    <row r="144" spans="1:32" ht="14">
      <c r="A144" s="2"/>
      <c r="B144" s="2"/>
      <c r="C144" s="2"/>
      <c r="D144" s="2"/>
      <c r="E144" s="2"/>
      <c r="F144" s="569"/>
      <c r="G144" s="2"/>
      <c r="H144" s="2"/>
      <c r="I144" s="2"/>
      <c r="J144" s="366"/>
      <c r="K144" s="2"/>
      <c r="L144" s="2"/>
      <c r="M144" s="2"/>
      <c r="N144" s="2"/>
      <c r="O144" s="23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</row>
    <row r="145" spans="1:32" ht="14">
      <c r="A145" s="2"/>
      <c r="B145" s="2"/>
      <c r="C145" s="2"/>
      <c r="D145" s="2"/>
      <c r="E145" s="2"/>
      <c r="F145" s="569"/>
      <c r="G145" s="2"/>
      <c r="H145" s="2"/>
      <c r="I145" s="2"/>
      <c r="J145" s="366"/>
      <c r="K145" s="2"/>
      <c r="L145" s="2"/>
      <c r="M145" s="2"/>
      <c r="N145" s="2"/>
      <c r="O145" s="23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</row>
    <row r="146" spans="1:32" ht="14">
      <c r="A146" s="2"/>
      <c r="B146" s="2"/>
      <c r="C146" s="2"/>
      <c r="D146" s="2"/>
      <c r="E146" s="2"/>
      <c r="F146" s="569"/>
      <c r="G146" s="2"/>
      <c r="H146" s="2"/>
      <c r="I146" s="2"/>
      <c r="J146" s="366"/>
      <c r="K146" s="2"/>
      <c r="L146" s="2"/>
      <c r="M146" s="2"/>
      <c r="N146" s="2"/>
      <c r="O146" s="23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</row>
    <row r="147" spans="1:32" ht="14">
      <c r="A147" s="2"/>
      <c r="B147" s="2"/>
      <c r="C147" s="2"/>
      <c r="D147" s="2"/>
      <c r="E147" s="2"/>
      <c r="F147" s="569"/>
      <c r="G147" s="2"/>
      <c r="H147" s="2"/>
      <c r="I147" s="2"/>
      <c r="J147" s="366"/>
      <c r="K147" s="2"/>
      <c r="L147" s="2"/>
      <c r="M147" s="2"/>
      <c r="N147" s="2"/>
      <c r="O147" s="23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</row>
    <row r="148" spans="1:32" ht="14">
      <c r="A148" s="2"/>
      <c r="B148" s="2"/>
      <c r="C148" s="2"/>
      <c r="D148" s="2"/>
      <c r="E148" s="2"/>
      <c r="F148" s="569"/>
      <c r="G148" s="2"/>
      <c r="H148" s="2"/>
      <c r="I148" s="2"/>
      <c r="J148" s="366"/>
      <c r="K148" s="2"/>
      <c r="L148" s="2"/>
      <c r="M148" s="2"/>
      <c r="N148" s="2"/>
      <c r="O148" s="23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</row>
    <row r="149" spans="1:32" ht="14">
      <c r="A149" s="2"/>
      <c r="B149" s="2"/>
      <c r="C149" s="2"/>
      <c r="D149" s="2"/>
      <c r="E149" s="2"/>
      <c r="F149" s="569"/>
      <c r="G149" s="2"/>
      <c r="H149" s="2"/>
      <c r="I149" s="2"/>
      <c r="J149" s="366"/>
      <c r="K149" s="2"/>
      <c r="L149" s="2"/>
      <c r="M149" s="2"/>
      <c r="N149" s="2"/>
      <c r="O149" s="23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</row>
    <row r="150" spans="1:32" ht="14">
      <c r="A150" s="2"/>
      <c r="B150" s="2"/>
      <c r="C150" s="2"/>
      <c r="D150" s="2"/>
      <c r="E150" s="2"/>
      <c r="F150" s="569"/>
      <c r="G150" s="2"/>
      <c r="H150" s="2"/>
      <c r="I150" s="2"/>
      <c r="J150" s="366"/>
      <c r="K150" s="2"/>
      <c r="L150" s="2"/>
      <c r="M150" s="2"/>
      <c r="N150" s="2"/>
      <c r="O150" s="23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</row>
    <row r="151" spans="1:32" ht="14">
      <c r="A151" s="2"/>
      <c r="B151" s="2"/>
      <c r="C151" s="2"/>
      <c r="D151" s="2"/>
      <c r="E151" s="2"/>
      <c r="F151" s="569"/>
      <c r="G151" s="2"/>
      <c r="H151" s="2"/>
      <c r="I151" s="2"/>
      <c r="J151" s="366"/>
      <c r="K151" s="2"/>
      <c r="L151" s="2"/>
      <c r="M151" s="2"/>
      <c r="N151" s="2"/>
      <c r="O151" s="23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</row>
    <row r="152" spans="1:32" ht="14">
      <c r="A152" s="2"/>
      <c r="B152" s="2"/>
      <c r="C152" s="2"/>
      <c r="D152" s="2"/>
      <c r="E152" s="2"/>
      <c r="F152" s="569"/>
      <c r="G152" s="2"/>
      <c r="H152" s="2"/>
      <c r="I152" s="2"/>
      <c r="J152" s="366"/>
      <c r="K152" s="2"/>
      <c r="L152" s="2"/>
      <c r="M152" s="2"/>
      <c r="N152" s="2"/>
      <c r="O152" s="23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</row>
    <row r="153" spans="1:32" ht="14">
      <c r="A153" s="2"/>
      <c r="B153" s="2"/>
      <c r="C153" s="2"/>
      <c r="D153" s="2"/>
      <c r="E153" s="2"/>
      <c r="F153" s="569"/>
      <c r="G153" s="2"/>
      <c r="H153" s="2"/>
      <c r="I153" s="2"/>
      <c r="J153" s="366"/>
      <c r="K153" s="2"/>
      <c r="L153" s="2"/>
      <c r="M153" s="2"/>
      <c r="N153" s="2"/>
      <c r="O153" s="23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</row>
    <row r="154" spans="1:32" ht="14">
      <c r="A154" s="2"/>
      <c r="B154" s="2"/>
      <c r="C154" s="2"/>
      <c r="D154" s="2"/>
      <c r="E154" s="2"/>
      <c r="F154" s="569"/>
      <c r="G154" s="2"/>
      <c r="H154" s="2"/>
      <c r="I154" s="2"/>
      <c r="J154" s="366"/>
      <c r="K154" s="2"/>
      <c r="L154" s="2"/>
      <c r="M154" s="2"/>
      <c r="N154" s="2"/>
      <c r="O154" s="23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</row>
    <row r="155" spans="1:32" ht="14">
      <c r="A155" s="2"/>
      <c r="B155" s="2"/>
      <c r="C155" s="2"/>
      <c r="D155" s="2"/>
      <c r="E155" s="2"/>
      <c r="F155" s="569"/>
      <c r="G155" s="2"/>
      <c r="H155" s="2"/>
      <c r="I155" s="2"/>
      <c r="J155" s="366"/>
      <c r="K155" s="2"/>
      <c r="L155" s="2"/>
      <c r="M155" s="2"/>
      <c r="N155" s="2"/>
      <c r="O155" s="23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</row>
    <row r="156" spans="1:32" ht="14">
      <c r="A156" s="2"/>
      <c r="B156" s="2"/>
      <c r="C156" s="2"/>
      <c r="D156" s="2"/>
      <c r="E156" s="2"/>
      <c r="F156" s="569"/>
      <c r="G156" s="2"/>
      <c r="H156" s="2"/>
      <c r="I156" s="2"/>
      <c r="J156" s="366"/>
      <c r="K156" s="2"/>
      <c r="L156" s="2"/>
      <c r="M156" s="2"/>
      <c r="N156" s="2"/>
      <c r="O156" s="23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</row>
    <row r="157" spans="1:32" ht="14">
      <c r="A157" s="2"/>
      <c r="B157" s="2"/>
      <c r="C157" s="2"/>
      <c r="D157" s="2"/>
      <c r="E157" s="2"/>
      <c r="F157" s="569"/>
      <c r="G157" s="2"/>
      <c r="H157" s="2"/>
      <c r="I157" s="2"/>
      <c r="J157" s="366"/>
      <c r="K157" s="2"/>
      <c r="L157" s="2"/>
      <c r="M157" s="2"/>
      <c r="N157" s="2"/>
      <c r="O157" s="23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</row>
    <row r="158" spans="1:32" ht="14">
      <c r="A158" s="2"/>
      <c r="B158" s="2"/>
      <c r="C158" s="2"/>
      <c r="D158" s="2"/>
      <c r="E158" s="2"/>
      <c r="F158" s="569"/>
      <c r="G158" s="2"/>
      <c r="H158" s="2"/>
      <c r="I158" s="2"/>
      <c r="J158" s="366"/>
      <c r="K158" s="2"/>
      <c r="L158" s="2"/>
      <c r="M158" s="2"/>
      <c r="N158" s="2"/>
      <c r="O158" s="23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</row>
    <row r="159" spans="1:32" ht="14">
      <c r="A159" s="2"/>
      <c r="B159" s="2"/>
      <c r="C159" s="2"/>
      <c r="D159" s="2"/>
      <c r="E159" s="2"/>
      <c r="F159" s="569"/>
      <c r="G159" s="2"/>
      <c r="H159" s="2"/>
      <c r="I159" s="2"/>
      <c r="J159" s="366"/>
      <c r="K159" s="2"/>
      <c r="L159" s="2"/>
      <c r="M159" s="2"/>
      <c r="N159" s="2"/>
      <c r="O159" s="23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</row>
    <row r="160" spans="1:32" ht="14">
      <c r="A160" s="2"/>
      <c r="B160" s="2"/>
      <c r="C160" s="2"/>
      <c r="D160" s="2"/>
      <c r="E160" s="2"/>
      <c r="F160" s="569"/>
      <c r="G160" s="2"/>
      <c r="H160" s="2"/>
      <c r="I160" s="2"/>
      <c r="J160" s="366"/>
      <c r="K160" s="2"/>
      <c r="L160" s="2"/>
      <c r="M160" s="2"/>
      <c r="N160" s="2"/>
      <c r="O160" s="23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</row>
    <row r="161" spans="1:32" ht="14">
      <c r="A161" s="2"/>
      <c r="B161" s="2"/>
      <c r="C161" s="2"/>
      <c r="D161" s="2"/>
      <c r="E161" s="2"/>
      <c r="F161" s="569"/>
      <c r="G161" s="2"/>
      <c r="H161" s="2"/>
      <c r="I161" s="2"/>
      <c r="J161" s="366"/>
      <c r="K161" s="2"/>
      <c r="L161" s="2"/>
      <c r="M161" s="2"/>
      <c r="N161" s="2"/>
      <c r="O161" s="23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</row>
    <row r="162" spans="1:32" ht="14">
      <c r="A162" s="2"/>
      <c r="B162" s="2"/>
      <c r="C162" s="2"/>
      <c r="D162" s="2"/>
      <c r="E162" s="2"/>
      <c r="F162" s="569"/>
      <c r="G162" s="2"/>
      <c r="H162" s="2"/>
      <c r="I162" s="2"/>
      <c r="J162" s="366"/>
      <c r="K162" s="2"/>
      <c r="L162" s="2"/>
      <c r="M162" s="2"/>
      <c r="N162" s="2"/>
      <c r="O162" s="23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</row>
    <row r="163" spans="1:32" ht="14">
      <c r="A163" s="2"/>
      <c r="B163" s="2"/>
      <c r="C163" s="2"/>
      <c r="D163" s="2"/>
      <c r="E163" s="2"/>
      <c r="F163" s="569"/>
      <c r="G163" s="2"/>
      <c r="H163" s="2"/>
      <c r="I163" s="2"/>
      <c r="J163" s="366"/>
      <c r="K163" s="2"/>
      <c r="L163" s="2"/>
      <c r="M163" s="2"/>
      <c r="N163" s="2"/>
      <c r="O163" s="23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</row>
    <row r="164" spans="1:32" ht="14">
      <c r="A164" s="2"/>
      <c r="B164" s="2"/>
      <c r="C164" s="2"/>
      <c r="D164" s="2"/>
      <c r="E164" s="2"/>
      <c r="F164" s="569"/>
      <c r="G164" s="2"/>
      <c r="H164" s="2"/>
      <c r="I164" s="2"/>
      <c r="J164" s="366"/>
      <c r="K164" s="2"/>
      <c r="L164" s="2"/>
      <c r="M164" s="2"/>
      <c r="N164" s="2"/>
      <c r="O164" s="23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</row>
    <row r="165" spans="1:32" ht="14">
      <c r="A165" s="2"/>
      <c r="B165" s="2"/>
      <c r="C165" s="2"/>
      <c r="D165" s="2"/>
      <c r="E165" s="2"/>
      <c r="F165" s="569"/>
      <c r="G165" s="2"/>
      <c r="H165" s="2"/>
      <c r="I165" s="2"/>
      <c r="J165" s="366"/>
      <c r="K165" s="2"/>
      <c r="L165" s="2"/>
      <c r="M165" s="2"/>
      <c r="N165" s="2"/>
      <c r="O165" s="23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</row>
    <row r="166" spans="1:32" ht="14">
      <c r="A166" s="2"/>
      <c r="B166" s="2"/>
      <c r="C166" s="2"/>
      <c r="D166" s="2"/>
      <c r="E166" s="2"/>
      <c r="F166" s="569"/>
      <c r="G166" s="2"/>
      <c r="H166" s="2"/>
      <c r="I166" s="2"/>
      <c r="J166" s="366"/>
      <c r="K166" s="2"/>
      <c r="L166" s="2"/>
      <c r="M166" s="2"/>
      <c r="N166" s="2"/>
      <c r="O166" s="23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</row>
    <row r="167" spans="1:32" ht="14">
      <c r="A167" s="2"/>
      <c r="B167" s="2"/>
      <c r="C167" s="2"/>
      <c r="D167" s="2"/>
      <c r="E167" s="2"/>
      <c r="F167" s="569"/>
      <c r="G167" s="2"/>
      <c r="H167" s="2"/>
      <c r="I167" s="2"/>
      <c r="J167" s="366"/>
      <c r="K167" s="2"/>
      <c r="L167" s="2"/>
      <c r="M167" s="2"/>
      <c r="N167" s="2"/>
      <c r="O167" s="23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</row>
    <row r="168" spans="1:32" ht="14">
      <c r="A168" s="2"/>
      <c r="B168" s="2"/>
      <c r="C168" s="2"/>
      <c r="D168" s="2"/>
      <c r="E168" s="2"/>
      <c r="F168" s="569"/>
      <c r="G168" s="2"/>
      <c r="H168" s="2"/>
      <c r="I168" s="2"/>
      <c r="J168" s="366"/>
      <c r="K168" s="2"/>
      <c r="L168" s="2"/>
      <c r="M168" s="2"/>
      <c r="N168" s="2"/>
      <c r="O168" s="23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</row>
    <row r="169" spans="1:32" ht="14">
      <c r="A169" s="2"/>
      <c r="B169" s="2"/>
      <c r="C169" s="2"/>
      <c r="D169" s="2"/>
      <c r="E169" s="2"/>
      <c r="F169" s="569"/>
      <c r="G169" s="2"/>
      <c r="H169" s="2"/>
      <c r="I169" s="2"/>
      <c r="J169" s="366"/>
      <c r="K169" s="2"/>
      <c r="L169" s="2"/>
      <c r="M169" s="2"/>
      <c r="N169" s="2"/>
      <c r="O169" s="23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</row>
    <row r="170" spans="1:32" ht="14">
      <c r="A170" s="2"/>
      <c r="B170" s="2"/>
      <c r="C170" s="2"/>
      <c r="D170" s="2"/>
      <c r="E170" s="2"/>
      <c r="F170" s="569"/>
      <c r="G170" s="2"/>
      <c r="H170" s="2"/>
      <c r="I170" s="2"/>
      <c r="J170" s="366"/>
      <c r="K170" s="2"/>
      <c r="L170" s="2"/>
      <c r="M170" s="2"/>
      <c r="N170" s="2"/>
      <c r="O170" s="23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</row>
    <row r="171" spans="1:32" ht="14">
      <c r="A171" s="2"/>
      <c r="B171" s="2"/>
      <c r="C171" s="2"/>
      <c r="D171" s="2"/>
      <c r="E171" s="2"/>
      <c r="F171" s="569"/>
      <c r="G171" s="2"/>
      <c r="H171" s="2"/>
      <c r="I171" s="2"/>
      <c r="J171" s="366"/>
      <c r="K171" s="2"/>
      <c r="L171" s="2"/>
      <c r="M171" s="2"/>
      <c r="N171" s="2"/>
      <c r="O171" s="23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</row>
    <row r="172" spans="1:32" ht="14">
      <c r="A172" s="2"/>
      <c r="B172" s="2"/>
      <c r="C172" s="2"/>
      <c r="D172" s="2"/>
      <c r="E172" s="2"/>
      <c r="F172" s="569"/>
      <c r="G172" s="2"/>
      <c r="H172" s="2"/>
      <c r="I172" s="2"/>
      <c r="J172" s="366"/>
      <c r="K172" s="2"/>
      <c r="L172" s="2"/>
      <c r="M172" s="2"/>
      <c r="N172" s="2"/>
      <c r="O172" s="23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</row>
    <row r="173" spans="1:32" ht="14">
      <c r="A173" s="2"/>
      <c r="B173" s="2"/>
      <c r="C173" s="2"/>
      <c r="D173" s="2"/>
      <c r="E173" s="2"/>
      <c r="F173" s="569"/>
      <c r="G173" s="2"/>
      <c r="H173" s="2"/>
      <c r="I173" s="2"/>
      <c r="J173" s="366"/>
      <c r="K173" s="2"/>
      <c r="L173" s="2"/>
      <c r="M173" s="2"/>
      <c r="N173" s="2"/>
      <c r="O173" s="23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</row>
    <row r="174" spans="1:32" ht="14">
      <c r="A174" s="2"/>
      <c r="B174" s="2"/>
      <c r="C174" s="2"/>
      <c r="D174" s="2"/>
      <c r="E174" s="2"/>
      <c r="F174" s="569"/>
      <c r="G174" s="2"/>
      <c r="H174" s="2"/>
      <c r="I174" s="2"/>
      <c r="J174" s="366"/>
      <c r="K174" s="2"/>
      <c r="L174" s="2"/>
      <c r="M174" s="2"/>
      <c r="N174" s="2"/>
      <c r="O174" s="23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</row>
    <row r="175" spans="1:32" ht="14">
      <c r="A175" s="2"/>
      <c r="B175" s="2"/>
      <c r="C175" s="2"/>
      <c r="D175" s="2"/>
      <c r="E175" s="2"/>
      <c r="F175" s="569"/>
      <c r="G175" s="2"/>
      <c r="H175" s="2"/>
      <c r="I175" s="2"/>
      <c r="J175" s="366"/>
      <c r="K175" s="2"/>
      <c r="L175" s="2"/>
      <c r="M175" s="2"/>
      <c r="N175" s="2"/>
      <c r="O175" s="23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</row>
    <row r="176" spans="1:32" ht="14">
      <c r="A176" s="2"/>
      <c r="B176" s="2"/>
      <c r="C176" s="2"/>
      <c r="D176" s="2"/>
      <c r="E176" s="2"/>
      <c r="F176" s="569"/>
      <c r="G176" s="2"/>
      <c r="H176" s="2"/>
      <c r="I176" s="2"/>
      <c r="J176" s="366"/>
      <c r="K176" s="2"/>
      <c r="L176" s="2"/>
      <c r="M176" s="2"/>
      <c r="N176" s="2"/>
      <c r="O176" s="23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</row>
    <row r="177" spans="1:32" ht="14">
      <c r="A177" s="2"/>
      <c r="B177" s="2"/>
      <c r="C177" s="2"/>
      <c r="D177" s="2"/>
      <c r="E177" s="2"/>
      <c r="F177" s="569"/>
      <c r="G177" s="2"/>
      <c r="H177" s="2"/>
      <c r="I177" s="2"/>
      <c r="J177" s="366"/>
      <c r="K177" s="2"/>
      <c r="L177" s="2"/>
      <c r="M177" s="2"/>
      <c r="N177" s="2"/>
      <c r="O177" s="23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</row>
    <row r="178" spans="1:32" ht="14">
      <c r="A178" s="2"/>
      <c r="B178" s="2"/>
      <c r="C178" s="2"/>
      <c r="D178" s="2"/>
      <c r="E178" s="2"/>
      <c r="F178" s="569"/>
      <c r="G178" s="2"/>
      <c r="H178" s="2"/>
      <c r="I178" s="2"/>
      <c r="J178" s="366"/>
      <c r="K178" s="2"/>
      <c r="L178" s="2"/>
      <c r="M178" s="2"/>
      <c r="N178" s="2"/>
      <c r="O178" s="23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</row>
    <row r="179" spans="1:32" ht="14">
      <c r="A179" s="2"/>
      <c r="B179" s="2"/>
      <c r="C179" s="2"/>
      <c r="D179" s="2"/>
      <c r="E179" s="2"/>
      <c r="F179" s="569"/>
      <c r="G179" s="2"/>
      <c r="H179" s="2"/>
      <c r="I179" s="2"/>
      <c r="J179" s="366"/>
      <c r="K179" s="2"/>
      <c r="L179" s="2"/>
      <c r="M179" s="2"/>
      <c r="N179" s="2"/>
      <c r="O179" s="23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</row>
    <row r="180" spans="1:32" ht="14">
      <c r="A180" s="2"/>
      <c r="B180" s="2"/>
      <c r="C180" s="2"/>
      <c r="D180" s="2"/>
      <c r="E180" s="2"/>
      <c r="F180" s="569"/>
      <c r="G180" s="2"/>
      <c r="H180" s="2"/>
      <c r="I180" s="2"/>
      <c r="J180" s="366"/>
      <c r="K180" s="2"/>
      <c r="L180" s="2"/>
      <c r="M180" s="2"/>
      <c r="N180" s="2"/>
      <c r="O180" s="23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</row>
    <row r="181" spans="1:32" ht="14">
      <c r="A181" s="2"/>
      <c r="B181" s="2"/>
      <c r="C181" s="2"/>
      <c r="D181" s="2"/>
      <c r="E181" s="2"/>
      <c r="F181" s="569"/>
      <c r="G181" s="2"/>
      <c r="H181" s="2"/>
      <c r="I181" s="2"/>
      <c r="J181" s="366"/>
      <c r="K181" s="2"/>
      <c r="L181" s="2"/>
      <c r="M181" s="2"/>
      <c r="N181" s="2"/>
      <c r="O181" s="23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</row>
    <row r="182" spans="1:32" ht="14">
      <c r="A182" s="2"/>
      <c r="B182" s="2"/>
      <c r="C182" s="2"/>
      <c r="D182" s="2"/>
      <c r="E182" s="2"/>
      <c r="F182" s="569"/>
      <c r="G182" s="2"/>
      <c r="H182" s="2"/>
      <c r="I182" s="2"/>
      <c r="J182" s="366"/>
      <c r="K182" s="2"/>
      <c r="L182" s="2"/>
      <c r="M182" s="2"/>
      <c r="N182" s="2"/>
      <c r="O182" s="23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</row>
    <row r="183" spans="1:32" ht="14">
      <c r="A183" s="2"/>
      <c r="B183" s="2"/>
      <c r="C183" s="2"/>
      <c r="D183" s="2"/>
      <c r="E183" s="2"/>
      <c r="F183" s="569"/>
      <c r="G183" s="2"/>
      <c r="H183" s="2"/>
      <c r="I183" s="2"/>
      <c r="J183" s="366"/>
      <c r="K183" s="2"/>
      <c r="L183" s="2"/>
      <c r="M183" s="2"/>
      <c r="N183" s="2"/>
      <c r="O183" s="23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</row>
    <row r="184" spans="1:32" ht="14">
      <c r="A184" s="2"/>
      <c r="B184" s="2"/>
      <c r="C184" s="2"/>
      <c r="D184" s="2"/>
      <c r="E184" s="2"/>
      <c r="F184" s="569"/>
      <c r="G184" s="2"/>
      <c r="H184" s="2"/>
      <c r="I184" s="2"/>
      <c r="J184" s="366"/>
      <c r="K184" s="2"/>
      <c r="L184" s="2"/>
      <c r="M184" s="2"/>
      <c r="N184" s="2"/>
      <c r="O184" s="23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</row>
    <row r="185" spans="1:32" ht="14">
      <c r="A185" s="2"/>
      <c r="B185" s="2"/>
      <c r="C185" s="2"/>
      <c r="D185" s="2"/>
      <c r="E185" s="2"/>
      <c r="F185" s="569"/>
      <c r="G185" s="2"/>
      <c r="H185" s="2"/>
      <c r="I185" s="2"/>
      <c r="J185" s="366"/>
      <c r="K185" s="2"/>
      <c r="L185" s="2"/>
      <c r="M185" s="2"/>
      <c r="N185" s="2"/>
      <c r="O185" s="23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</row>
    <row r="186" spans="1:32" ht="14">
      <c r="A186" s="2"/>
      <c r="B186" s="2"/>
      <c r="C186" s="2"/>
      <c r="D186" s="2"/>
      <c r="E186" s="2"/>
      <c r="F186" s="569"/>
      <c r="G186" s="2"/>
      <c r="H186" s="2"/>
      <c r="I186" s="2"/>
      <c r="J186" s="366"/>
      <c r="K186" s="2"/>
      <c r="L186" s="2"/>
      <c r="M186" s="2"/>
      <c r="N186" s="2"/>
      <c r="O186" s="23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</row>
    <row r="187" spans="1:32" ht="14">
      <c r="A187" s="2"/>
      <c r="B187" s="2"/>
      <c r="C187" s="2"/>
      <c r="D187" s="2"/>
      <c r="E187" s="2"/>
      <c r="F187" s="569"/>
      <c r="G187" s="2"/>
      <c r="H187" s="2"/>
      <c r="I187" s="2"/>
      <c r="J187" s="366"/>
      <c r="K187" s="2"/>
      <c r="L187" s="2"/>
      <c r="M187" s="2"/>
      <c r="N187" s="2"/>
      <c r="O187" s="23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</row>
    <row r="188" spans="1:32" ht="14">
      <c r="A188" s="2"/>
      <c r="B188" s="2"/>
      <c r="C188" s="2"/>
      <c r="D188" s="2"/>
      <c r="E188" s="2"/>
      <c r="F188" s="569"/>
      <c r="G188" s="2"/>
      <c r="H188" s="2"/>
      <c r="I188" s="2"/>
      <c r="J188" s="366"/>
      <c r="K188" s="2"/>
      <c r="L188" s="2"/>
      <c r="M188" s="2"/>
      <c r="N188" s="2"/>
      <c r="O188" s="23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</row>
    <row r="189" spans="1:32" ht="14">
      <c r="A189" s="2"/>
      <c r="B189" s="2"/>
      <c r="C189" s="2"/>
      <c r="D189" s="2"/>
      <c r="E189" s="2"/>
      <c r="F189" s="569"/>
      <c r="G189" s="2"/>
      <c r="H189" s="2"/>
      <c r="I189" s="2"/>
      <c r="J189" s="366"/>
      <c r="K189" s="2"/>
      <c r="L189" s="2"/>
      <c r="M189" s="2"/>
      <c r="N189" s="2"/>
      <c r="O189" s="23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</row>
    <row r="190" spans="1:32" ht="14">
      <c r="A190" s="2"/>
      <c r="B190" s="2"/>
      <c r="C190" s="2"/>
      <c r="D190" s="2"/>
      <c r="E190" s="2"/>
      <c r="F190" s="569"/>
      <c r="G190" s="2"/>
      <c r="H190" s="2"/>
      <c r="I190" s="2"/>
      <c r="J190" s="366"/>
      <c r="K190" s="2"/>
      <c r="L190" s="2"/>
      <c r="M190" s="2"/>
      <c r="N190" s="2"/>
      <c r="O190" s="23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</row>
    <row r="191" spans="1:32" ht="14">
      <c r="A191" s="2"/>
      <c r="B191" s="2"/>
      <c r="C191" s="2"/>
      <c r="D191" s="2"/>
      <c r="E191" s="2"/>
      <c r="F191" s="569"/>
      <c r="G191" s="2"/>
      <c r="H191" s="2"/>
      <c r="I191" s="2"/>
      <c r="J191" s="366"/>
      <c r="K191" s="2"/>
      <c r="L191" s="2"/>
      <c r="M191" s="2"/>
      <c r="N191" s="2"/>
      <c r="O191" s="23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</row>
    <row r="192" spans="1:32" ht="14">
      <c r="A192" s="2"/>
      <c r="B192" s="2"/>
      <c r="C192" s="2"/>
      <c r="D192" s="2"/>
      <c r="E192" s="2"/>
      <c r="F192" s="569"/>
      <c r="G192" s="2"/>
      <c r="H192" s="2"/>
      <c r="I192" s="2"/>
      <c r="J192" s="366"/>
      <c r="K192" s="2"/>
      <c r="L192" s="2"/>
      <c r="M192" s="2"/>
      <c r="N192" s="2"/>
      <c r="O192" s="23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</row>
    <row r="193" spans="1:32" ht="14">
      <c r="A193" s="2"/>
      <c r="B193" s="2"/>
      <c r="C193" s="2"/>
      <c r="D193" s="2"/>
      <c r="E193" s="2"/>
      <c r="F193" s="569"/>
      <c r="G193" s="2"/>
      <c r="H193" s="2"/>
      <c r="I193" s="2"/>
      <c r="J193" s="366"/>
      <c r="K193" s="2"/>
      <c r="L193" s="2"/>
      <c r="M193" s="2"/>
      <c r="N193" s="2"/>
      <c r="O193" s="23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</row>
    <row r="194" spans="1:32" ht="14">
      <c r="A194" s="2"/>
      <c r="B194" s="2"/>
      <c r="C194" s="2"/>
      <c r="D194" s="2"/>
      <c r="E194" s="2"/>
      <c r="F194" s="569"/>
      <c r="G194" s="2"/>
      <c r="H194" s="2"/>
      <c r="I194" s="2"/>
      <c r="J194" s="366"/>
      <c r="K194" s="2"/>
      <c r="L194" s="2"/>
      <c r="M194" s="2"/>
      <c r="N194" s="2"/>
      <c r="O194" s="23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</row>
    <row r="195" spans="1:32" ht="14">
      <c r="A195" s="2"/>
      <c r="B195" s="2"/>
      <c r="C195" s="2"/>
      <c r="D195" s="2"/>
      <c r="E195" s="2"/>
      <c r="F195" s="569"/>
      <c r="G195" s="2"/>
      <c r="H195" s="2"/>
      <c r="I195" s="2"/>
      <c r="J195" s="366"/>
      <c r="K195" s="2"/>
      <c r="L195" s="2"/>
      <c r="M195" s="2"/>
      <c r="N195" s="2"/>
      <c r="O195" s="23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</row>
    <row r="196" spans="1:32" ht="14">
      <c r="A196" s="2"/>
      <c r="B196" s="2"/>
      <c r="C196" s="2"/>
      <c r="D196" s="2"/>
      <c r="E196" s="2"/>
      <c r="F196" s="569"/>
      <c r="G196" s="2"/>
      <c r="H196" s="2"/>
      <c r="I196" s="2"/>
      <c r="J196" s="366"/>
      <c r="K196" s="2"/>
      <c r="L196" s="2"/>
      <c r="M196" s="2"/>
      <c r="N196" s="2"/>
      <c r="O196" s="23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</row>
    <row r="197" spans="1:32" ht="14">
      <c r="A197" s="2"/>
      <c r="B197" s="2"/>
      <c r="C197" s="2"/>
      <c r="D197" s="2"/>
      <c r="E197" s="2"/>
      <c r="F197" s="569"/>
      <c r="G197" s="2"/>
      <c r="H197" s="2"/>
      <c r="I197" s="2"/>
      <c r="J197" s="366"/>
      <c r="K197" s="2"/>
      <c r="L197" s="2"/>
      <c r="M197" s="2"/>
      <c r="N197" s="2"/>
      <c r="O197" s="23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</row>
    <row r="198" spans="1:32" ht="14">
      <c r="A198" s="2"/>
      <c r="B198" s="2"/>
      <c r="C198" s="2"/>
      <c r="D198" s="2"/>
      <c r="E198" s="2"/>
      <c r="F198" s="569"/>
      <c r="G198" s="2"/>
      <c r="H198" s="2"/>
      <c r="I198" s="2"/>
      <c r="J198" s="366"/>
      <c r="K198" s="2"/>
      <c r="L198" s="2"/>
      <c r="M198" s="2"/>
      <c r="N198" s="2"/>
      <c r="O198" s="23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</row>
    <row r="199" spans="1:32" ht="14">
      <c r="A199" s="2"/>
      <c r="B199" s="2"/>
      <c r="C199" s="2"/>
      <c r="D199" s="2"/>
      <c r="E199" s="2"/>
      <c r="F199" s="569"/>
      <c r="G199" s="2"/>
      <c r="H199" s="2"/>
      <c r="I199" s="2"/>
      <c r="J199" s="366"/>
      <c r="K199" s="2"/>
      <c r="L199" s="2"/>
      <c r="M199" s="2"/>
      <c r="N199" s="2"/>
      <c r="O199" s="23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</row>
    <row r="200" spans="1:32" ht="14">
      <c r="A200" s="2"/>
      <c r="B200" s="2"/>
      <c r="C200" s="2"/>
      <c r="D200" s="2"/>
      <c r="E200" s="2"/>
      <c r="F200" s="569"/>
      <c r="G200" s="2"/>
      <c r="H200" s="2"/>
      <c r="I200" s="2"/>
      <c r="J200" s="366"/>
      <c r="K200" s="2"/>
      <c r="L200" s="2"/>
      <c r="M200" s="2"/>
      <c r="N200" s="2"/>
      <c r="O200" s="23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</row>
    <row r="201" spans="1:32" ht="14">
      <c r="A201" s="2"/>
      <c r="B201" s="2"/>
      <c r="C201" s="2"/>
      <c r="D201" s="2"/>
      <c r="E201" s="2"/>
      <c r="F201" s="569"/>
      <c r="G201" s="2"/>
      <c r="H201" s="2"/>
      <c r="I201" s="2"/>
      <c r="J201" s="366"/>
      <c r="K201" s="2"/>
      <c r="L201" s="2"/>
      <c r="M201" s="2"/>
      <c r="N201" s="2"/>
      <c r="O201" s="23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</row>
    <row r="202" spans="1:32" ht="14">
      <c r="A202" s="2"/>
      <c r="B202" s="2"/>
      <c r="C202" s="2"/>
      <c r="D202" s="2"/>
      <c r="E202" s="2"/>
      <c r="F202" s="569"/>
      <c r="G202" s="2"/>
      <c r="H202" s="2"/>
      <c r="I202" s="2"/>
      <c r="J202" s="366"/>
      <c r="K202" s="2"/>
      <c r="L202" s="2"/>
      <c r="M202" s="2"/>
      <c r="N202" s="2"/>
      <c r="O202" s="23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</row>
    <row r="203" spans="1:32" ht="14">
      <c r="A203" s="2"/>
      <c r="B203" s="2"/>
      <c r="C203" s="2"/>
      <c r="D203" s="2"/>
      <c r="E203" s="2"/>
      <c r="F203" s="569"/>
      <c r="G203" s="2"/>
      <c r="H203" s="2"/>
      <c r="I203" s="2"/>
      <c r="J203" s="366"/>
      <c r="K203" s="2"/>
      <c r="L203" s="2"/>
      <c r="M203" s="2"/>
      <c r="N203" s="2"/>
      <c r="O203" s="23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</row>
    <row r="204" spans="1:32" ht="14">
      <c r="A204" s="2"/>
      <c r="B204" s="2"/>
      <c r="C204" s="2"/>
      <c r="D204" s="2"/>
      <c r="E204" s="2"/>
      <c r="F204" s="569"/>
      <c r="G204" s="2"/>
      <c r="H204" s="2"/>
      <c r="I204" s="2"/>
      <c r="J204" s="366"/>
      <c r="K204" s="2"/>
      <c r="L204" s="2"/>
      <c r="M204" s="2"/>
      <c r="N204" s="2"/>
      <c r="O204" s="23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</row>
    <row r="205" spans="1:32" ht="14">
      <c r="A205" s="2"/>
      <c r="B205" s="2"/>
      <c r="C205" s="2"/>
      <c r="D205" s="2"/>
      <c r="E205" s="2"/>
      <c r="F205" s="569"/>
      <c r="G205" s="2"/>
      <c r="H205" s="2"/>
      <c r="I205" s="2"/>
      <c r="J205" s="366"/>
      <c r="K205" s="2"/>
      <c r="L205" s="2"/>
      <c r="M205" s="2"/>
      <c r="N205" s="2"/>
      <c r="O205" s="23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</row>
    <row r="206" spans="1:32" ht="14">
      <c r="A206" s="2"/>
      <c r="B206" s="2"/>
      <c r="C206" s="2"/>
      <c r="D206" s="2"/>
      <c r="E206" s="2"/>
      <c r="F206" s="569"/>
      <c r="G206" s="2"/>
      <c r="H206" s="2"/>
      <c r="I206" s="2"/>
      <c r="J206" s="366"/>
      <c r="K206" s="2"/>
      <c r="L206" s="2"/>
      <c r="M206" s="2"/>
      <c r="N206" s="2"/>
      <c r="O206" s="23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</row>
    <row r="207" spans="1:32" ht="14">
      <c r="A207" s="2"/>
      <c r="B207" s="2"/>
      <c r="C207" s="2"/>
      <c r="D207" s="2"/>
      <c r="E207" s="2"/>
      <c r="F207" s="569"/>
      <c r="G207" s="2"/>
      <c r="H207" s="2"/>
      <c r="I207" s="2"/>
      <c r="J207" s="366"/>
      <c r="K207" s="2"/>
      <c r="L207" s="2"/>
      <c r="M207" s="2"/>
      <c r="N207" s="2"/>
      <c r="O207" s="23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</row>
    <row r="208" spans="1:32" ht="14">
      <c r="A208" s="2"/>
      <c r="B208" s="2"/>
      <c r="C208" s="2"/>
      <c r="D208" s="2"/>
      <c r="E208" s="2"/>
      <c r="F208" s="569"/>
      <c r="G208" s="2"/>
      <c r="H208" s="2"/>
      <c r="I208" s="2"/>
      <c r="J208" s="366"/>
      <c r="K208" s="2"/>
      <c r="L208" s="2"/>
      <c r="M208" s="2"/>
      <c r="N208" s="2"/>
      <c r="O208" s="23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</row>
    <row r="209" spans="1:32" ht="14">
      <c r="A209" s="2"/>
      <c r="B209" s="2"/>
      <c r="C209" s="2"/>
      <c r="D209" s="2"/>
      <c r="E209" s="2"/>
      <c r="F209" s="569"/>
      <c r="G209" s="2"/>
      <c r="H209" s="2"/>
      <c r="I209" s="2"/>
      <c r="J209" s="366"/>
      <c r="K209" s="2"/>
      <c r="L209" s="2"/>
      <c r="M209" s="2"/>
      <c r="N209" s="2"/>
      <c r="O209" s="23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</row>
    <row r="210" spans="1:32" ht="14">
      <c r="A210" s="2"/>
      <c r="B210" s="2"/>
      <c r="C210" s="2"/>
      <c r="D210" s="2"/>
      <c r="E210" s="2"/>
      <c r="F210" s="569"/>
      <c r="G210" s="2"/>
      <c r="H210" s="2"/>
      <c r="I210" s="2"/>
      <c r="J210" s="366"/>
      <c r="K210" s="2"/>
      <c r="L210" s="2"/>
      <c r="M210" s="2"/>
      <c r="N210" s="2"/>
      <c r="O210" s="23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</row>
    <row r="211" spans="1:32" ht="14">
      <c r="A211" s="2"/>
      <c r="B211" s="2"/>
      <c r="C211" s="2"/>
      <c r="D211" s="2"/>
      <c r="E211" s="2"/>
      <c r="F211" s="569"/>
      <c r="G211" s="2"/>
      <c r="H211" s="2"/>
      <c r="I211" s="2"/>
      <c r="J211" s="366"/>
      <c r="K211" s="2"/>
      <c r="L211" s="2"/>
      <c r="M211" s="2"/>
      <c r="N211" s="2"/>
      <c r="O211" s="23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</row>
    <row r="212" spans="1:32" ht="14">
      <c r="A212" s="2"/>
      <c r="B212" s="2"/>
      <c r="C212" s="2"/>
      <c r="D212" s="2"/>
      <c r="E212" s="2"/>
      <c r="F212" s="569"/>
      <c r="G212" s="2"/>
      <c r="H212" s="2"/>
      <c r="I212" s="2"/>
      <c r="J212" s="366"/>
      <c r="K212" s="2"/>
      <c r="L212" s="2"/>
      <c r="M212" s="2"/>
      <c r="N212" s="2"/>
      <c r="O212" s="23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</row>
    <row r="213" spans="1:32" ht="14">
      <c r="A213" s="2"/>
      <c r="B213" s="2"/>
      <c r="C213" s="2"/>
      <c r="D213" s="2"/>
      <c r="E213" s="2"/>
      <c r="F213" s="569"/>
      <c r="G213" s="2"/>
      <c r="H213" s="2"/>
      <c r="I213" s="2"/>
      <c r="J213" s="366"/>
      <c r="K213" s="2"/>
      <c r="L213" s="2"/>
      <c r="M213" s="2"/>
      <c r="N213" s="2"/>
      <c r="O213" s="23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</row>
    <row r="214" spans="1:32" ht="14">
      <c r="A214" s="2"/>
      <c r="B214" s="2"/>
      <c r="C214" s="2"/>
      <c r="D214" s="2"/>
      <c r="E214" s="2"/>
      <c r="F214" s="569"/>
      <c r="G214" s="2"/>
      <c r="H214" s="2"/>
      <c r="I214" s="2"/>
      <c r="J214" s="366"/>
      <c r="K214" s="2"/>
      <c r="L214" s="2"/>
      <c r="M214" s="2"/>
      <c r="N214" s="2"/>
      <c r="O214" s="23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</row>
    <row r="215" spans="1:32" ht="14">
      <c r="A215" s="2"/>
      <c r="B215" s="2"/>
      <c r="C215" s="2"/>
      <c r="D215" s="2"/>
      <c r="E215" s="2"/>
      <c r="F215" s="569"/>
      <c r="G215" s="2"/>
      <c r="H215" s="2"/>
      <c r="I215" s="2"/>
      <c r="J215" s="366"/>
      <c r="K215" s="2"/>
      <c r="L215" s="2"/>
      <c r="M215" s="2"/>
      <c r="N215" s="2"/>
      <c r="O215" s="23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</row>
    <row r="216" spans="1:32" ht="14">
      <c r="A216" s="2"/>
      <c r="B216" s="2"/>
      <c r="C216" s="2"/>
      <c r="D216" s="2"/>
      <c r="E216" s="2"/>
      <c r="F216" s="569"/>
      <c r="G216" s="2"/>
      <c r="H216" s="2"/>
      <c r="I216" s="2"/>
      <c r="J216" s="366"/>
      <c r="K216" s="2"/>
      <c r="L216" s="2"/>
      <c r="M216" s="2"/>
      <c r="N216" s="2"/>
      <c r="O216" s="23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</row>
    <row r="217" spans="1:32" ht="14">
      <c r="A217" s="2"/>
      <c r="B217" s="2"/>
      <c r="C217" s="2"/>
      <c r="D217" s="2"/>
      <c r="E217" s="2"/>
      <c r="F217" s="569"/>
      <c r="G217" s="2"/>
      <c r="H217" s="2"/>
      <c r="I217" s="2"/>
      <c r="J217" s="366"/>
      <c r="K217" s="2"/>
      <c r="L217" s="2"/>
      <c r="M217" s="2"/>
      <c r="N217" s="2"/>
      <c r="O217" s="23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</row>
    <row r="218" spans="1:32" ht="14">
      <c r="A218" s="2"/>
      <c r="B218" s="2"/>
      <c r="C218" s="2"/>
      <c r="D218" s="2"/>
      <c r="E218" s="2"/>
      <c r="F218" s="569"/>
      <c r="G218" s="2"/>
      <c r="H218" s="2"/>
      <c r="I218" s="2"/>
      <c r="J218" s="366"/>
      <c r="K218" s="2"/>
      <c r="L218" s="2"/>
      <c r="M218" s="2"/>
      <c r="N218" s="2"/>
      <c r="O218" s="23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</row>
    <row r="219" spans="1:32" ht="14">
      <c r="A219" s="2"/>
      <c r="B219" s="2"/>
      <c r="C219" s="2"/>
      <c r="D219" s="2"/>
      <c r="E219" s="2"/>
      <c r="F219" s="569"/>
      <c r="G219" s="2"/>
      <c r="H219" s="2"/>
      <c r="I219" s="2"/>
      <c r="J219" s="366"/>
      <c r="K219" s="2"/>
      <c r="L219" s="2"/>
      <c r="M219" s="2"/>
      <c r="N219" s="2"/>
      <c r="O219" s="23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</row>
    <row r="220" spans="1:32" ht="14">
      <c r="A220" s="2"/>
      <c r="B220" s="2"/>
      <c r="C220" s="2"/>
      <c r="D220" s="2"/>
      <c r="E220" s="2"/>
      <c r="F220" s="569"/>
      <c r="G220" s="2"/>
      <c r="H220" s="2"/>
      <c r="I220" s="2"/>
      <c r="J220" s="366"/>
      <c r="K220" s="2"/>
      <c r="L220" s="2"/>
      <c r="M220" s="2"/>
      <c r="N220" s="2"/>
      <c r="O220" s="23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</row>
    <row r="221" spans="1:32" ht="14">
      <c r="A221" s="2"/>
      <c r="B221" s="2"/>
      <c r="C221" s="2"/>
      <c r="D221" s="2"/>
      <c r="E221" s="2"/>
      <c r="F221" s="569"/>
      <c r="G221" s="2"/>
      <c r="H221" s="2"/>
      <c r="I221" s="2"/>
      <c r="J221" s="366"/>
      <c r="K221" s="2"/>
      <c r="L221" s="2"/>
      <c r="M221" s="2"/>
      <c r="N221" s="2"/>
      <c r="O221" s="23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</row>
    <row r="222" spans="1:32" ht="14">
      <c r="A222" s="2"/>
      <c r="B222" s="2"/>
      <c r="C222" s="2"/>
      <c r="D222" s="2"/>
      <c r="E222" s="2"/>
      <c r="F222" s="569"/>
      <c r="G222" s="2"/>
      <c r="H222" s="2"/>
      <c r="I222" s="2"/>
      <c r="J222" s="366"/>
      <c r="K222" s="2"/>
      <c r="L222" s="2"/>
      <c r="M222" s="2"/>
      <c r="N222" s="2"/>
      <c r="O222" s="23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</row>
    <row r="223" spans="1:32" ht="14">
      <c r="A223" s="2"/>
      <c r="B223" s="2"/>
      <c r="C223" s="2"/>
      <c r="D223" s="2"/>
      <c r="E223" s="2"/>
      <c r="F223" s="569"/>
      <c r="G223" s="2"/>
      <c r="H223" s="2"/>
      <c r="I223" s="2"/>
      <c r="J223" s="366"/>
      <c r="K223" s="2"/>
      <c r="L223" s="2"/>
      <c r="M223" s="2"/>
      <c r="N223" s="2"/>
      <c r="O223" s="23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</row>
    <row r="224" spans="1:32" ht="14">
      <c r="A224" s="2"/>
      <c r="B224" s="2"/>
      <c r="C224" s="2"/>
      <c r="D224" s="2"/>
      <c r="E224" s="2"/>
      <c r="F224" s="569"/>
      <c r="G224" s="2"/>
      <c r="H224" s="2"/>
      <c r="I224" s="2"/>
      <c r="J224" s="366"/>
      <c r="K224" s="2"/>
      <c r="L224" s="2"/>
      <c r="M224" s="2"/>
      <c r="N224" s="2"/>
      <c r="O224" s="23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</row>
    <row r="225" spans="1:32" ht="14">
      <c r="A225" s="2"/>
      <c r="B225" s="2"/>
      <c r="C225" s="2"/>
      <c r="D225" s="2"/>
      <c r="E225" s="2"/>
      <c r="F225" s="569"/>
      <c r="G225" s="2"/>
      <c r="H225" s="2"/>
      <c r="I225" s="2"/>
      <c r="J225" s="366"/>
      <c r="K225" s="2"/>
      <c r="L225" s="2"/>
      <c r="M225" s="2"/>
      <c r="N225" s="2"/>
      <c r="O225" s="23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</row>
    <row r="226" spans="1:32" ht="14">
      <c r="A226" s="2"/>
      <c r="B226" s="2"/>
      <c r="C226" s="2"/>
      <c r="D226" s="2"/>
      <c r="E226" s="2"/>
      <c r="F226" s="569"/>
      <c r="G226" s="2"/>
      <c r="H226" s="2"/>
      <c r="I226" s="2"/>
      <c r="J226" s="366"/>
      <c r="K226" s="2"/>
      <c r="L226" s="2"/>
      <c r="M226" s="2"/>
      <c r="N226" s="2"/>
      <c r="O226" s="23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</row>
    <row r="227" spans="1:32" ht="14">
      <c r="A227" s="2"/>
      <c r="B227" s="2"/>
      <c r="C227" s="2"/>
      <c r="D227" s="2"/>
      <c r="E227" s="2"/>
      <c r="F227" s="569"/>
      <c r="G227" s="2"/>
      <c r="H227" s="2"/>
      <c r="I227" s="2"/>
      <c r="J227" s="366"/>
      <c r="K227" s="2"/>
      <c r="L227" s="2"/>
      <c r="M227" s="2"/>
      <c r="N227" s="2"/>
      <c r="O227" s="23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</row>
    <row r="228" spans="1:32" ht="14">
      <c r="A228" s="2"/>
      <c r="B228" s="2"/>
      <c r="C228" s="2"/>
      <c r="D228" s="2"/>
      <c r="E228" s="2"/>
      <c r="F228" s="569"/>
      <c r="G228" s="2"/>
      <c r="H228" s="2"/>
      <c r="I228" s="2"/>
      <c r="J228" s="366"/>
      <c r="K228" s="2"/>
      <c r="L228" s="2"/>
      <c r="M228" s="2"/>
      <c r="N228" s="2"/>
      <c r="O228" s="23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</row>
    <row r="229" spans="1:32" ht="14">
      <c r="A229" s="2"/>
      <c r="B229" s="2"/>
      <c r="C229" s="2"/>
      <c r="D229" s="2"/>
      <c r="E229" s="2"/>
      <c r="F229" s="569"/>
      <c r="G229" s="2"/>
      <c r="H229" s="2"/>
      <c r="I229" s="2"/>
      <c r="J229" s="366"/>
      <c r="K229" s="2"/>
      <c r="L229" s="2"/>
      <c r="M229" s="2"/>
      <c r="N229" s="2"/>
      <c r="O229" s="23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</row>
    <row r="230" spans="1:32" ht="14">
      <c r="A230" s="2"/>
      <c r="B230" s="2"/>
      <c r="C230" s="2"/>
      <c r="D230" s="2"/>
      <c r="E230" s="2"/>
      <c r="F230" s="569"/>
      <c r="G230" s="2"/>
      <c r="H230" s="2"/>
      <c r="I230" s="2"/>
      <c r="J230" s="366"/>
      <c r="K230" s="2"/>
      <c r="L230" s="2"/>
      <c r="M230" s="2"/>
      <c r="N230" s="2"/>
      <c r="O230" s="23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</row>
    <row r="231" spans="1:32" ht="14">
      <c r="A231" s="2"/>
      <c r="B231" s="2"/>
      <c r="C231" s="2"/>
      <c r="D231" s="2"/>
      <c r="E231" s="2"/>
      <c r="F231" s="569"/>
      <c r="G231" s="2"/>
      <c r="H231" s="2"/>
      <c r="I231" s="2"/>
      <c r="J231" s="366"/>
      <c r="K231" s="2"/>
      <c r="L231" s="2"/>
      <c r="M231" s="2"/>
      <c r="N231" s="2"/>
      <c r="O231" s="23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</row>
    <row r="232" spans="1:32" ht="14">
      <c r="A232" s="2"/>
      <c r="B232" s="2"/>
      <c r="C232" s="2"/>
      <c r="D232" s="2"/>
      <c r="E232" s="2"/>
      <c r="F232" s="569"/>
      <c r="G232" s="2"/>
      <c r="H232" s="2"/>
      <c r="I232" s="2"/>
      <c r="J232" s="366"/>
      <c r="K232" s="2"/>
      <c r="L232" s="2"/>
      <c r="M232" s="2"/>
      <c r="N232" s="2"/>
      <c r="O232" s="23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</row>
    <row r="233" spans="1:32" ht="14">
      <c r="A233" s="2"/>
      <c r="B233" s="2"/>
      <c r="C233" s="2"/>
      <c r="D233" s="2"/>
      <c r="E233" s="2"/>
      <c r="F233" s="569"/>
      <c r="G233" s="2"/>
      <c r="H233" s="2"/>
      <c r="I233" s="2"/>
      <c r="J233" s="366"/>
      <c r="K233" s="2"/>
      <c r="L233" s="2"/>
      <c r="M233" s="2"/>
      <c r="N233" s="2"/>
      <c r="O233" s="23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</row>
    <row r="234" spans="1:32" ht="14">
      <c r="A234" s="2"/>
      <c r="B234" s="2"/>
      <c r="C234" s="2"/>
      <c r="D234" s="2"/>
      <c r="E234" s="2"/>
      <c r="F234" s="569"/>
      <c r="G234" s="2"/>
      <c r="H234" s="2"/>
      <c r="I234" s="2"/>
      <c r="J234" s="366"/>
      <c r="K234" s="2"/>
      <c r="L234" s="2"/>
      <c r="M234" s="2"/>
      <c r="N234" s="2"/>
      <c r="O234" s="23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</row>
    <row r="235" spans="1:32" ht="14">
      <c r="A235" s="2"/>
      <c r="B235" s="2"/>
      <c r="C235" s="2"/>
      <c r="D235" s="2"/>
      <c r="E235" s="2"/>
      <c r="F235" s="569"/>
      <c r="G235" s="2"/>
      <c r="H235" s="2"/>
      <c r="I235" s="2"/>
      <c r="J235" s="366"/>
      <c r="K235" s="2"/>
      <c r="L235" s="2"/>
      <c r="M235" s="2"/>
      <c r="N235" s="2"/>
      <c r="O235" s="23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</row>
    <row r="236" spans="1:32" ht="14">
      <c r="A236" s="2"/>
      <c r="B236" s="2"/>
      <c r="C236" s="2"/>
      <c r="D236" s="2"/>
      <c r="E236" s="2"/>
      <c r="F236" s="569"/>
      <c r="G236" s="2"/>
      <c r="H236" s="2"/>
      <c r="I236" s="2"/>
      <c r="J236" s="366"/>
      <c r="K236" s="2"/>
      <c r="L236" s="2"/>
      <c r="M236" s="2"/>
      <c r="N236" s="2"/>
      <c r="O236" s="23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</row>
    <row r="237" spans="1:32" ht="14">
      <c r="A237" s="2"/>
      <c r="B237" s="2"/>
      <c r="C237" s="2"/>
      <c r="D237" s="2"/>
      <c r="E237" s="2"/>
      <c r="F237" s="569"/>
      <c r="G237" s="2"/>
      <c r="H237" s="2"/>
      <c r="I237" s="2"/>
      <c r="J237" s="366"/>
      <c r="K237" s="2"/>
      <c r="L237" s="2"/>
      <c r="M237" s="2"/>
      <c r="N237" s="2"/>
      <c r="O237" s="23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</row>
    <row r="238" spans="1:32" ht="14">
      <c r="A238" s="2"/>
      <c r="B238" s="2"/>
      <c r="C238" s="2"/>
      <c r="D238" s="2"/>
      <c r="E238" s="2"/>
      <c r="F238" s="569"/>
      <c r="G238" s="2"/>
      <c r="H238" s="2"/>
      <c r="I238" s="2"/>
      <c r="J238" s="366"/>
      <c r="K238" s="2"/>
      <c r="L238" s="2"/>
      <c r="M238" s="2"/>
      <c r="N238" s="2"/>
      <c r="O238" s="23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</row>
    <row r="239" spans="1:32" ht="14">
      <c r="A239" s="2"/>
      <c r="B239" s="2"/>
      <c r="C239" s="2"/>
      <c r="D239" s="2"/>
      <c r="E239" s="2"/>
      <c r="F239" s="569"/>
      <c r="G239" s="2"/>
      <c r="H239" s="2"/>
      <c r="I239" s="2"/>
      <c r="J239" s="366"/>
      <c r="K239" s="2"/>
      <c r="L239" s="2"/>
      <c r="M239" s="2"/>
      <c r="N239" s="2"/>
      <c r="O239" s="23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</row>
    <row r="240" spans="1:32" ht="14">
      <c r="A240" s="2"/>
      <c r="B240" s="2"/>
      <c r="C240" s="2"/>
      <c r="D240" s="2"/>
      <c r="E240" s="2"/>
      <c r="F240" s="569"/>
      <c r="G240" s="2"/>
      <c r="H240" s="2"/>
      <c r="I240" s="2"/>
      <c r="J240" s="366"/>
      <c r="K240" s="2"/>
      <c r="L240" s="2"/>
      <c r="M240" s="2"/>
      <c r="N240" s="2"/>
      <c r="O240" s="23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</row>
    <row r="241" spans="1:32" ht="14">
      <c r="A241" s="2"/>
      <c r="B241" s="2"/>
      <c r="C241" s="2"/>
      <c r="D241" s="2"/>
      <c r="E241" s="2"/>
      <c r="F241" s="569"/>
      <c r="G241" s="2"/>
      <c r="H241" s="2"/>
      <c r="I241" s="2"/>
      <c r="J241" s="366"/>
      <c r="K241" s="2"/>
      <c r="L241" s="2"/>
      <c r="M241" s="2"/>
      <c r="N241" s="2"/>
      <c r="O241" s="23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</row>
    <row r="242" spans="1:32" ht="14">
      <c r="A242" s="2"/>
      <c r="B242" s="2"/>
      <c r="C242" s="2"/>
      <c r="D242" s="2"/>
      <c r="E242" s="2"/>
      <c r="F242" s="569"/>
      <c r="G242" s="2"/>
      <c r="H242" s="2"/>
      <c r="I242" s="2"/>
      <c r="J242" s="366"/>
      <c r="K242" s="2"/>
      <c r="L242" s="2"/>
      <c r="M242" s="2"/>
      <c r="N242" s="2"/>
      <c r="O242" s="23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</row>
    <row r="243" spans="1:32" ht="14">
      <c r="A243" s="2"/>
      <c r="B243" s="2"/>
      <c r="C243" s="2"/>
      <c r="D243" s="2"/>
      <c r="E243" s="2"/>
      <c r="F243" s="569"/>
      <c r="G243" s="2"/>
      <c r="H243" s="2"/>
      <c r="I243" s="2"/>
      <c r="J243" s="366"/>
      <c r="K243" s="2"/>
      <c r="L243" s="2"/>
      <c r="M243" s="2"/>
      <c r="N243" s="2"/>
      <c r="O243" s="23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</row>
    <row r="244" spans="1:32" ht="14">
      <c r="A244" s="2"/>
      <c r="B244" s="2"/>
      <c r="C244" s="2"/>
      <c r="D244" s="2"/>
      <c r="E244" s="2"/>
      <c r="F244" s="569"/>
      <c r="G244" s="2"/>
      <c r="H244" s="2"/>
      <c r="I244" s="2"/>
      <c r="J244" s="366"/>
      <c r="K244" s="2"/>
      <c r="L244" s="2"/>
      <c r="M244" s="2"/>
      <c r="N244" s="2"/>
      <c r="O244" s="23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</row>
    <row r="245" spans="1:32" ht="14">
      <c r="A245" s="2"/>
      <c r="B245" s="2"/>
      <c r="C245" s="2"/>
      <c r="D245" s="2"/>
      <c r="E245" s="2"/>
      <c r="F245" s="569"/>
      <c r="G245" s="2"/>
      <c r="H245" s="2"/>
      <c r="I245" s="2"/>
      <c r="J245" s="366"/>
      <c r="K245" s="2"/>
      <c r="L245" s="2"/>
      <c r="M245" s="2"/>
      <c r="N245" s="2"/>
      <c r="O245" s="23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</row>
    <row r="246" spans="1:32" ht="14">
      <c r="A246" s="2"/>
      <c r="B246" s="2"/>
      <c r="C246" s="2"/>
      <c r="D246" s="2"/>
      <c r="E246" s="2"/>
      <c r="F246" s="569"/>
      <c r="G246" s="2"/>
      <c r="H246" s="2"/>
      <c r="I246" s="2"/>
      <c r="J246" s="366"/>
      <c r="K246" s="2"/>
      <c r="L246" s="2"/>
      <c r="M246" s="2"/>
      <c r="N246" s="2"/>
      <c r="O246" s="23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</row>
    <row r="247" spans="1:32" ht="14">
      <c r="A247" s="2"/>
      <c r="B247" s="2"/>
      <c r="C247" s="2"/>
      <c r="D247" s="2"/>
      <c r="E247" s="2"/>
      <c r="F247" s="569"/>
      <c r="G247" s="2"/>
      <c r="H247" s="2"/>
      <c r="I247" s="2"/>
      <c r="J247" s="366"/>
      <c r="K247" s="2"/>
      <c r="L247" s="2"/>
      <c r="M247" s="2"/>
      <c r="N247" s="2"/>
      <c r="O247" s="23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</row>
    <row r="248" spans="1:32" ht="14">
      <c r="A248" s="2"/>
      <c r="B248" s="2"/>
      <c r="C248" s="2"/>
      <c r="D248" s="2"/>
      <c r="E248" s="2"/>
      <c r="F248" s="569"/>
      <c r="G248" s="2"/>
      <c r="H248" s="2"/>
      <c r="I248" s="2"/>
      <c r="J248" s="366"/>
      <c r="K248" s="2"/>
      <c r="L248" s="2"/>
      <c r="M248" s="2"/>
      <c r="N248" s="2"/>
      <c r="O248" s="23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</row>
    <row r="249" spans="1:32" ht="14">
      <c r="A249" s="2"/>
      <c r="B249" s="2"/>
      <c r="C249" s="2"/>
      <c r="D249" s="2"/>
      <c r="E249" s="2"/>
      <c r="F249" s="569"/>
      <c r="G249" s="2"/>
      <c r="H249" s="2"/>
      <c r="I249" s="2"/>
      <c r="J249" s="366"/>
      <c r="K249" s="2"/>
      <c r="L249" s="2"/>
      <c r="M249" s="2"/>
      <c r="N249" s="2"/>
      <c r="O249" s="23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</row>
    <row r="250" spans="1:32" ht="14">
      <c r="A250" s="2"/>
      <c r="B250" s="2"/>
      <c r="C250" s="2"/>
      <c r="D250" s="2"/>
      <c r="E250" s="2"/>
      <c r="F250" s="569"/>
      <c r="G250" s="2"/>
      <c r="H250" s="2"/>
      <c r="I250" s="2"/>
      <c r="J250" s="366"/>
      <c r="K250" s="2"/>
      <c r="L250" s="2"/>
      <c r="M250" s="2"/>
      <c r="N250" s="2"/>
      <c r="O250" s="23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</row>
    <row r="251" spans="1:32" ht="14">
      <c r="A251" s="2"/>
      <c r="B251" s="2"/>
      <c r="C251" s="2"/>
      <c r="D251" s="2"/>
      <c r="E251" s="2"/>
      <c r="F251" s="569"/>
      <c r="G251" s="2"/>
      <c r="H251" s="2"/>
      <c r="I251" s="2"/>
      <c r="J251" s="366"/>
      <c r="K251" s="2"/>
      <c r="L251" s="2"/>
      <c r="M251" s="2"/>
      <c r="N251" s="2"/>
      <c r="O251" s="23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</row>
    <row r="252" spans="1:32" ht="14">
      <c r="A252" s="2"/>
      <c r="B252" s="2"/>
      <c r="C252" s="2"/>
      <c r="D252" s="2"/>
      <c r="E252" s="2"/>
      <c r="F252" s="569"/>
      <c r="G252" s="2"/>
      <c r="H252" s="2"/>
      <c r="I252" s="2"/>
      <c r="J252" s="366"/>
      <c r="K252" s="2"/>
      <c r="L252" s="2"/>
      <c r="M252" s="2"/>
      <c r="N252" s="2"/>
      <c r="O252" s="23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</row>
    <row r="253" spans="1:32" ht="14">
      <c r="A253" s="2"/>
      <c r="B253" s="2"/>
      <c r="C253" s="2"/>
      <c r="D253" s="2"/>
      <c r="E253" s="2"/>
      <c r="F253" s="569"/>
      <c r="G253" s="2"/>
      <c r="H253" s="2"/>
      <c r="I253" s="2"/>
      <c r="J253" s="366"/>
      <c r="K253" s="2"/>
      <c r="L253" s="2"/>
      <c r="M253" s="2"/>
      <c r="N253" s="2"/>
      <c r="O253" s="23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</row>
    <row r="254" spans="1:32" ht="14">
      <c r="A254" s="2"/>
      <c r="B254" s="2"/>
      <c r="C254" s="2"/>
      <c r="D254" s="2"/>
      <c r="E254" s="2"/>
      <c r="F254" s="569"/>
      <c r="G254" s="2"/>
      <c r="H254" s="2"/>
      <c r="I254" s="2"/>
      <c r="J254" s="366"/>
      <c r="K254" s="2"/>
      <c r="L254" s="2"/>
      <c r="M254" s="2"/>
      <c r="N254" s="2"/>
      <c r="O254" s="23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</row>
    <row r="255" spans="1:32" ht="14">
      <c r="A255" s="2"/>
      <c r="B255" s="2"/>
      <c r="C255" s="2"/>
      <c r="D255" s="2"/>
      <c r="E255" s="2"/>
      <c r="F255" s="569"/>
      <c r="G255" s="2"/>
      <c r="H255" s="2"/>
      <c r="I255" s="2"/>
      <c r="J255" s="366"/>
      <c r="K255" s="2"/>
      <c r="L255" s="2"/>
      <c r="M255" s="2"/>
      <c r="N255" s="2"/>
      <c r="O255" s="23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</row>
    <row r="256" spans="1:32" ht="14">
      <c r="A256" s="2"/>
      <c r="B256" s="2"/>
      <c r="C256" s="2"/>
      <c r="D256" s="2"/>
      <c r="E256" s="2"/>
      <c r="F256" s="569"/>
      <c r="G256" s="2"/>
      <c r="H256" s="2"/>
      <c r="I256" s="2"/>
      <c r="J256" s="366"/>
      <c r="K256" s="2"/>
      <c r="L256" s="2"/>
      <c r="M256" s="2"/>
      <c r="N256" s="2"/>
      <c r="O256" s="23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</row>
    <row r="257" spans="1:32" ht="14">
      <c r="A257" s="2"/>
      <c r="B257" s="2"/>
      <c r="C257" s="2"/>
      <c r="D257" s="2"/>
      <c r="E257" s="2"/>
      <c r="F257" s="569"/>
      <c r="G257" s="2"/>
      <c r="H257" s="2"/>
      <c r="I257" s="2"/>
      <c r="J257" s="366"/>
      <c r="K257" s="2"/>
      <c r="L257" s="2"/>
      <c r="M257" s="2"/>
      <c r="N257" s="2"/>
      <c r="O257" s="23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</row>
    <row r="258" spans="1:32" ht="14">
      <c r="A258" s="2"/>
      <c r="B258" s="2"/>
      <c r="C258" s="2"/>
      <c r="D258" s="2"/>
      <c r="E258" s="2"/>
      <c r="F258" s="569"/>
      <c r="G258" s="2"/>
      <c r="H258" s="2"/>
      <c r="I258" s="2"/>
      <c r="J258" s="366"/>
      <c r="K258" s="2"/>
      <c r="L258" s="2"/>
      <c r="M258" s="2"/>
      <c r="N258" s="2"/>
      <c r="O258" s="23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</row>
    <row r="259" spans="1:32" ht="14">
      <c r="A259" s="2"/>
      <c r="B259" s="2"/>
      <c r="C259" s="2"/>
      <c r="D259" s="2"/>
      <c r="E259" s="2"/>
      <c r="F259" s="569"/>
      <c r="G259" s="2"/>
      <c r="H259" s="2"/>
      <c r="I259" s="2"/>
      <c r="J259" s="366"/>
      <c r="K259" s="2"/>
      <c r="L259" s="2"/>
      <c r="M259" s="2"/>
      <c r="N259" s="2"/>
      <c r="O259" s="23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</row>
    <row r="260" spans="1:32" ht="14">
      <c r="A260" s="2"/>
      <c r="B260" s="2"/>
      <c r="C260" s="2"/>
      <c r="D260" s="2"/>
      <c r="E260" s="2"/>
      <c r="F260" s="569"/>
      <c r="G260" s="2"/>
      <c r="H260" s="2"/>
      <c r="I260" s="2"/>
      <c r="J260" s="366"/>
      <c r="K260" s="2"/>
      <c r="L260" s="2"/>
      <c r="M260" s="2"/>
      <c r="N260" s="2"/>
      <c r="O260" s="23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</row>
    <row r="261" spans="1:32" ht="14">
      <c r="A261" s="2"/>
      <c r="B261" s="2"/>
      <c r="C261" s="2"/>
      <c r="D261" s="2"/>
      <c r="E261" s="2"/>
      <c r="F261" s="569"/>
      <c r="G261" s="2"/>
      <c r="H261" s="2"/>
      <c r="I261" s="2"/>
      <c r="J261" s="366"/>
      <c r="K261" s="2"/>
      <c r="L261" s="2"/>
      <c r="M261" s="2"/>
      <c r="N261" s="2"/>
      <c r="O261" s="23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</row>
    <row r="262" spans="1:32" ht="14">
      <c r="A262" s="2"/>
      <c r="B262" s="2"/>
      <c r="C262" s="2"/>
      <c r="D262" s="2"/>
      <c r="E262" s="2"/>
      <c r="F262" s="569"/>
      <c r="G262" s="2"/>
      <c r="H262" s="2"/>
      <c r="I262" s="2"/>
      <c r="J262" s="366"/>
      <c r="K262" s="2"/>
      <c r="L262" s="2"/>
      <c r="M262" s="2"/>
      <c r="N262" s="2"/>
      <c r="O262" s="23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</row>
    <row r="263" spans="1:32" ht="14">
      <c r="A263" s="2"/>
      <c r="B263" s="2"/>
      <c r="C263" s="2"/>
      <c r="D263" s="2"/>
      <c r="E263" s="2"/>
      <c r="F263" s="569"/>
      <c r="G263" s="2"/>
      <c r="H263" s="2"/>
      <c r="I263" s="2"/>
      <c r="J263" s="366"/>
      <c r="K263" s="2"/>
      <c r="L263" s="2"/>
      <c r="M263" s="2"/>
      <c r="N263" s="2"/>
      <c r="O263" s="23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</row>
    <row r="264" spans="1:32" ht="14">
      <c r="A264" s="2"/>
      <c r="B264" s="2"/>
      <c r="C264" s="2"/>
      <c r="D264" s="2"/>
      <c r="E264" s="2"/>
      <c r="F264" s="569"/>
      <c r="G264" s="2"/>
      <c r="H264" s="2"/>
      <c r="I264" s="2"/>
      <c r="J264" s="366"/>
      <c r="K264" s="2"/>
      <c r="L264" s="2"/>
      <c r="M264" s="2"/>
      <c r="N264" s="2"/>
      <c r="O264" s="23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</row>
    <row r="265" spans="1:32" ht="14">
      <c r="A265" s="2"/>
      <c r="B265" s="2"/>
      <c r="C265" s="2"/>
      <c r="D265" s="2"/>
      <c r="E265" s="2"/>
      <c r="F265" s="569"/>
      <c r="G265" s="2"/>
      <c r="H265" s="2"/>
      <c r="I265" s="2"/>
      <c r="J265" s="366"/>
      <c r="K265" s="2"/>
      <c r="L265" s="2"/>
      <c r="M265" s="2"/>
      <c r="N265" s="2"/>
      <c r="O265" s="23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</row>
    <row r="266" spans="1:32" ht="14">
      <c r="A266" s="2"/>
      <c r="B266" s="2"/>
      <c r="C266" s="2"/>
      <c r="D266" s="2"/>
      <c r="E266" s="2"/>
      <c r="F266" s="569"/>
      <c r="G266" s="2"/>
      <c r="H266" s="2"/>
      <c r="I266" s="2"/>
      <c r="J266" s="366"/>
      <c r="K266" s="2"/>
      <c r="L266" s="2"/>
      <c r="M266" s="2"/>
      <c r="N266" s="2"/>
      <c r="O266" s="23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</row>
    <row r="267" spans="1:32" ht="14">
      <c r="A267" s="2"/>
      <c r="B267" s="2"/>
      <c r="C267" s="2"/>
      <c r="D267" s="2"/>
      <c r="E267" s="2"/>
      <c r="F267" s="569"/>
      <c r="G267" s="2"/>
      <c r="H267" s="2"/>
      <c r="I267" s="2"/>
      <c r="J267" s="366"/>
      <c r="K267" s="2"/>
      <c r="L267" s="2"/>
      <c r="M267" s="2"/>
      <c r="N267" s="2"/>
      <c r="O267" s="23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</row>
    <row r="268" spans="1:32" ht="14">
      <c r="A268" s="2"/>
      <c r="B268" s="2"/>
      <c r="C268" s="2"/>
      <c r="D268" s="2"/>
      <c r="E268" s="2"/>
      <c r="F268" s="569"/>
      <c r="G268" s="2"/>
      <c r="H268" s="2"/>
      <c r="I268" s="2"/>
      <c r="J268" s="366"/>
      <c r="K268" s="2"/>
      <c r="L268" s="2"/>
      <c r="M268" s="2"/>
      <c r="N268" s="2"/>
      <c r="O268" s="23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</row>
    <row r="269" spans="1:32" ht="14">
      <c r="A269" s="2"/>
      <c r="B269" s="2"/>
      <c r="C269" s="2"/>
      <c r="D269" s="2"/>
      <c r="E269" s="2"/>
      <c r="F269" s="569"/>
      <c r="G269" s="2"/>
      <c r="H269" s="2"/>
      <c r="I269" s="2"/>
      <c r="J269" s="366"/>
      <c r="K269" s="2"/>
      <c r="L269" s="2"/>
      <c r="M269" s="2"/>
      <c r="N269" s="2"/>
      <c r="O269" s="23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</row>
    <row r="270" spans="1:32" ht="14">
      <c r="A270" s="2"/>
      <c r="B270" s="2"/>
      <c r="C270" s="2"/>
      <c r="D270" s="2"/>
      <c r="E270" s="2"/>
      <c r="F270" s="569"/>
      <c r="G270" s="2"/>
      <c r="H270" s="2"/>
      <c r="I270" s="2"/>
      <c r="J270" s="366"/>
      <c r="K270" s="2"/>
      <c r="L270" s="2"/>
      <c r="M270" s="2"/>
      <c r="N270" s="2"/>
      <c r="O270" s="23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</row>
    <row r="271" spans="1:32" ht="14">
      <c r="A271" s="2"/>
      <c r="B271" s="2"/>
      <c r="C271" s="2"/>
      <c r="D271" s="2"/>
      <c r="E271" s="2"/>
      <c r="F271" s="569"/>
      <c r="G271" s="2"/>
      <c r="H271" s="2"/>
      <c r="I271" s="2"/>
      <c r="J271" s="366"/>
      <c r="K271" s="2"/>
      <c r="L271" s="2"/>
      <c r="M271" s="2"/>
      <c r="N271" s="2"/>
      <c r="O271" s="23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</row>
    <row r="272" spans="1:32" ht="14">
      <c r="A272" s="2"/>
      <c r="B272" s="2"/>
      <c r="C272" s="2"/>
      <c r="D272" s="2"/>
      <c r="E272" s="2"/>
      <c r="F272" s="569"/>
      <c r="G272" s="2"/>
      <c r="H272" s="2"/>
      <c r="I272" s="2"/>
      <c r="J272" s="366"/>
      <c r="K272" s="2"/>
      <c r="L272" s="2"/>
      <c r="M272" s="2"/>
      <c r="N272" s="2"/>
      <c r="O272" s="23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</row>
    <row r="273" spans="1:32" ht="14">
      <c r="A273" s="2"/>
      <c r="B273" s="2"/>
      <c r="C273" s="2"/>
      <c r="D273" s="2"/>
      <c r="E273" s="2"/>
      <c r="F273" s="569"/>
      <c r="G273" s="2"/>
      <c r="H273" s="2"/>
      <c r="I273" s="2"/>
      <c r="J273" s="366"/>
      <c r="K273" s="2"/>
      <c r="L273" s="2"/>
      <c r="M273" s="2"/>
      <c r="N273" s="2"/>
      <c r="O273" s="23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</row>
    <row r="274" spans="1:32" ht="14">
      <c r="A274" s="2"/>
      <c r="B274" s="2"/>
      <c r="C274" s="2"/>
      <c r="D274" s="2"/>
      <c r="E274" s="2"/>
      <c r="F274" s="569"/>
      <c r="G274" s="2"/>
      <c r="H274" s="2"/>
      <c r="I274" s="2"/>
      <c r="J274" s="366"/>
      <c r="K274" s="2"/>
      <c r="L274" s="2"/>
      <c r="M274" s="2"/>
      <c r="N274" s="2"/>
      <c r="O274" s="23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</row>
    <row r="275" spans="1:32" ht="14">
      <c r="A275" s="2"/>
      <c r="B275" s="2"/>
      <c r="C275" s="2"/>
      <c r="D275" s="2"/>
      <c r="E275" s="2"/>
      <c r="F275" s="569"/>
      <c r="G275" s="2"/>
      <c r="H275" s="2"/>
      <c r="I275" s="2"/>
      <c r="J275" s="366"/>
      <c r="K275" s="2"/>
      <c r="L275" s="2"/>
      <c r="M275" s="2"/>
      <c r="N275" s="2"/>
      <c r="O275" s="23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</row>
    <row r="276" spans="1:32" ht="14">
      <c r="A276" s="2"/>
      <c r="B276" s="2"/>
      <c r="C276" s="2"/>
      <c r="D276" s="2"/>
      <c r="E276" s="2"/>
      <c r="F276" s="569"/>
      <c r="G276" s="2"/>
      <c r="H276" s="2"/>
      <c r="I276" s="2"/>
      <c r="J276" s="366"/>
      <c r="K276" s="2"/>
      <c r="L276" s="2"/>
      <c r="M276" s="2"/>
      <c r="N276" s="2"/>
      <c r="O276" s="23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</row>
    <row r="277" spans="1:32" ht="14">
      <c r="A277" s="2"/>
      <c r="B277" s="2"/>
      <c r="C277" s="2"/>
      <c r="D277" s="2"/>
      <c r="E277" s="2"/>
      <c r="F277" s="569"/>
      <c r="G277" s="2"/>
      <c r="H277" s="2"/>
      <c r="I277" s="2"/>
      <c r="J277" s="366"/>
      <c r="K277" s="2"/>
      <c r="L277" s="2"/>
      <c r="M277" s="2"/>
      <c r="N277" s="2"/>
      <c r="O277" s="23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</row>
    <row r="278" spans="1:32" ht="14">
      <c r="A278" s="2"/>
      <c r="B278" s="2"/>
      <c r="C278" s="2"/>
      <c r="D278" s="2"/>
      <c r="E278" s="2"/>
      <c r="F278" s="569"/>
      <c r="G278" s="2"/>
      <c r="H278" s="2"/>
      <c r="I278" s="2"/>
      <c r="J278" s="366"/>
      <c r="K278" s="2"/>
      <c r="L278" s="2"/>
      <c r="M278" s="2"/>
      <c r="N278" s="2"/>
      <c r="O278" s="23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</row>
    <row r="279" spans="1:32" ht="14">
      <c r="A279" s="2"/>
      <c r="B279" s="2"/>
      <c r="C279" s="2"/>
      <c r="D279" s="2"/>
      <c r="E279" s="2"/>
      <c r="F279" s="569"/>
      <c r="G279" s="2"/>
      <c r="H279" s="2"/>
      <c r="I279" s="2"/>
      <c r="J279" s="366"/>
      <c r="K279" s="2"/>
      <c r="L279" s="2"/>
      <c r="M279" s="2"/>
      <c r="N279" s="2"/>
      <c r="O279" s="23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</row>
    <row r="280" spans="1:32" ht="14">
      <c r="A280" s="2"/>
      <c r="B280" s="2"/>
      <c r="C280" s="2"/>
      <c r="D280" s="2"/>
      <c r="E280" s="2"/>
      <c r="F280" s="569"/>
      <c r="G280" s="2"/>
      <c r="H280" s="2"/>
      <c r="I280" s="2"/>
      <c r="J280" s="366"/>
      <c r="K280" s="2"/>
      <c r="L280" s="2"/>
      <c r="M280" s="2"/>
      <c r="N280" s="2"/>
      <c r="O280" s="23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</row>
    <row r="281" spans="1:32" ht="14">
      <c r="A281" s="2"/>
      <c r="B281" s="2"/>
      <c r="C281" s="2"/>
      <c r="D281" s="2"/>
      <c r="E281" s="2"/>
      <c r="F281" s="569"/>
      <c r="G281" s="2"/>
      <c r="H281" s="2"/>
      <c r="I281" s="2"/>
      <c r="J281" s="366"/>
      <c r="K281" s="2"/>
      <c r="L281" s="2"/>
      <c r="M281" s="2"/>
      <c r="N281" s="2"/>
      <c r="O281" s="23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</row>
    <row r="282" spans="1:32" ht="14">
      <c r="A282" s="2"/>
      <c r="B282" s="2"/>
      <c r="C282" s="2"/>
      <c r="D282" s="2"/>
      <c r="E282" s="2"/>
      <c r="F282" s="569"/>
      <c r="G282" s="2"/>
      <c r="H282" s="2"/>
      <c r="I282" s="2"/>
      <c r="J282" s="366"/>
      <c r="K282" s="2"/>
      <c r="L282" s="2"/>
      <c r="M282" s="2"/>
      <c r="N282" s="2"/>
      <c r="O282" s="23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</row>
    <row r="283" spans="1:32" ht="14">
      <c r="A283" s="2"/>
      <c r="B283" s="2"/>
      <c r="C283" s="2"/>
      <c r="D283" s="2"/>
      <c r="E283" s="2"/>
      <c r="F283" s="569"/>
      <c r="G283" s="2"/>
      <c r="H283" s="2"/>
      <c r="I283" s="2"/>
      <c r="J283" s="366"/>
      <c r="K283" s="2"/>
      <c r="L283" s="2"/>
      <c r="M283" s="2"/>
      <c r="N283" s="2"/>
      <c r="O283" s="23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</row>
    <row r="284" spans="1:32" ht="14">
      <c r="A284" s="2"/>
      <c r="B284" s="2"/>
      <c r="C284" s="2"/>
      <c r="D284" s="2"/>
      <c r="E284" s="2"/>
      <c r="F284" s="569"/>
      <c r="G284" s="2"/>
      <c r="H284" s="2"/>
      <c r="I284" s="2"/>
      <c r="J284" s="366"/>
      <c r="K284" s="2"/>
      <c r="L284" s="2"/>
      <c r="M284" s="2"/>
      <c r="N284" s="2"/>
      <c r="O284" s="23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</row>
    <row r="285" spans="1:32" ht="14">
      <c r="A285" s="2"/>
      <c r="B285" s="2"/>
      <c r="C285" s="2"/>
      <c r="D285" s="2"/>
      <c r="E285" s="2"/>
      <c r="F285" s="569"/>
      <c r="G285" s="2"/>
      <c r="H285" s="2"/>
      <c r="I285" s="2"/>
      <c r="J285" s="366"/>
      <c r="K285" s="2"/>
      <c r="L285" s="2"/>
      <c r="M285" s="2"/>
      <c r="N285" s="2"/>
      <c r="O285" s="23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</row>
    <row r="286" spans="1:32" ht="14">
      <c r="A286" s="2"/>
      <c r="B286" s="2"/>
      <c r="C286" s="2"/>
      <c r="D286" s="2"/>
      <c r="E286" s="2"/>
      <c r="F286" s="569"/>
      <c r="G286" s="2"/>
      <c r="H286" s="2"/>
      <c r="I286" s="2"/>
      <c r="J286" s="366"/>
      <c r="K286" s="2"/>
      <c r="L286" s="2"/>
      <c r="M286" s="2"/>
      <c r="N286" s="2"/>
      <c r="O286" s="23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</row>
    <row r="287" spans="1:32" ht="14">
      <c r="A287" s="2"/>
      <c r="B287" s="2"/>
      <c r="C287" s="2"/>
      <c r="D287" s="2"/>
      <c r="E287" s="2"/>
      <c r="F287" s="569"/>
      <c r="G287" s="2"/>
      <c r="H287" s="2"/>
      <c r="I287" s="2"/>
      <c r="J287" s="366"/>
      <c r="K287" s="2"/>
      <c r="L287" s="2"/>
      <c r="M287" s="2"/>
      <c r="N287" s="2"/>
      <c r="O287" s="23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</row>
    <row r="288" spans="1:32" ht="14">
      <c r="A288" s="2"/>
      <c r="B288" s="2"/>
      <c r="C288" s="2"/>
      <c r="D288" s="2"/>
      <c r="E288" s="2"/>
      <c r="F288" s="569"/>
      <c r="G288" s="2"/>
      <c r="H288" s="2"/>
      <c r="I288" s="2"/>
      <c r="J288" s="366"/>
      <c r="K288" s="2"/>
      <c r="L288" s="2"/>
      <c r="M288" s="2"/>
      <c r="N288" s="2"/>
      <c r="O288" s="23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</row>
    <row r="289" spans="1:32" ht="14">
      <c r="A289" s="2"/>
      <c r="B289" s="2"/>
      <c r="C289" s="2"/>
      <c r="D289" s="2"/>
      <c r="E289" s="2"/>
      <c r="F289" s="569"/>
      <c r="G289" s="2"/>
      <c r="H289" s="2"/>
      <c r="I289" s="2"/>
      <c r="J289" s="366"/>
      <c r="K289" s="2"/>
      <c r="L289" s="2"/>
      <c r="M289" s="2"/>
      <c r="N289" s="2"/>
      <c r="O289" s="23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</row>
    <row r="290" spans="1:32" ht="14">
      <c r="A290" s="2"/>
      <c r="B290" s="2"/>
      <c r="C290" s="2"/>
      <c r="D290" s="2"/>
      <c r="E290" s="2"/>
      <c r="F290" s="569"/>
      <c r="G290" s="2"/>
      <c r="H290" s="2"/>
      <c r="I290" s="2"/>
      <c r="J290" s="366"/>
      <c r="K290" s="2"/>
      <c r="L290" s="2"/>
      <c r="M290" s="2"/>
      <c r="N290" s="2"/>
      <c r="O290" s="23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</row>
    <row r="291" spans="1:32" ht="14">
      <c r="A291" s="2"/>
      <c r="B291" s="2"/>
      <c r="C291" s="2"/>
      <c r="D291" s="2"/>
      <c r="E291" s="2"/>
      <c r="F291" s="569"/>
      <c r="G291" s="2"/>
      <c r="H291" s="2"/>
      <c r="I291" s="2"/>
      <c r="J291" s="366"/>
      <c r="K291" s="2"/>
      <c r="L291" s="2"/>
      <c r="M291" s="2"/>
      <c r="N291" s="2"/>
      <c r="O291" s="23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</row>
    <row r="292" spans="1:32" ht="14">
      <c r="A292" s="2"/>
      <c r="B292" s="2"/>
      <c r="C292" s="2"/>
      <c r="D292" s="2"/>
      <c r="E292" s="2"/>
      <c r="F292" s="569"/>
      <c r="G292" s="2"/>
      <c r="H292" s="2"/>
      <c r="I292" s="2"/>
      <c r="J292" s="366"/>
      <c r="K292" s="2"/>
      <c r="L292" s="2"/>
      <c r="M292" s="2"/>
      <c r="N292" s="2"/>
      <c r="O292" s="23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</row>
    <row r="293" spans="1:32" ht="14">
      <c r="A293" s="2"/>
      <c r="B293" s="2"/>
      <c r="C293" s="2"/>
      <c r="D293" s="2"/>
      <c r="E293" s="2"/>
      <c r="F293" s="569"/>
      <c r="G293" s="2"/>
      <c r="H293" s="2"/>
      <c r="I293" s="2"/>
      <c r="J293" s="366"/>
      <c r="K293" s="2"/>
      <c r="L293" s="2"/>
      <c r="M293" s="2"/>
      <c r="N293" s="2"/>
      <c r="O293" s="23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</row>
    <row r="294" spans="1:32" ht="14">
      <c r="A294" s="2"/>
      <c r="B294" s="2"/>
      <c r="C294" s="2"/>
      <c r="D294" s="2"/>
      <c r="E294" s="2"/>
      <c r="F294" s="569"/>
      <c r="G294" s="2"/>
      <c r="H294" s="2"/>
      <c r="I294" s="2"/>
      <c r="J294" s="366"/>
      <c r="K294" s="2"/>
      <c r="L294" s="2"/>
      <c r="M294" s="2"/>
      <c r="N294" s="2"/>
      <c r="O294" s="23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</row>
    <row r="295" spans="1:32" ht="14">
      <c r="A295" s="2"/>
      <c r="B295" s="2"/>
      <c r="C295" s="2"/>
      <c r="D295" s="2"/>
      <c r="E295" s="2"/>
      <c r="F295" s="569"/>
      <c r="G295" s="2"/>
      <c r="H295" s="2"/>
      <c r="I295" s="2"/>
      <c r="J295" s="366"/>
      <c r="K295" s="2"/>
      <c r="L295" s="2"/>
      <c r="M295" s="2"/>
      <c r="N295" s="2"/>
      <c r="O295" s="23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</row>
    <row r="296" spans="1:32" ht="14">
      <c r="A296" s="2"/>
      <c r="B296" s="2"/>
      <c r="C296" s="2"/>
      <c r="D296" s="2"/>
      <c r="E296" s="2"/>
      <c r="F296" s="569"/>
      <c r="G296" s="2"/>
      <c r="H296" s="2"/>
      <c r="I296" s="2"/>
      <c r="J296" s="366"/>
      <c r="K296" s="2"/>
      <c r="L296" s="2"/>
      <c r="M296" s="2"/>
      <c r="N296" s="2"/>
      <c r="O296" s="23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</row>
    <row r="297" spans="1:32" ht="14">
      <c r="A297" s="2"/>
      <c r="B297" s="2"/>
      <c r="C297" s="2"/>
      <c r="D297" s="2"/>
      <c r="E297" s="2"/>
      <c r="F297" s="569"/>
      <c r="G297" s="2"/>
      <c r="H297" s="2"/>
      <c r="I297" s="2"/>
      <c r="J297" s="366"/>
      <c r="K297" s="2"/>
      <c r="L297" s="2"/>
      <c r="M297" s="2"/>
      <c r="N297" s="2"/>
      <c r="O297" s="23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</row>
    <row r="298" spans="1:32" ht="14">
      <c r="A298" s="2"/>
      <c r="B298" s="2"/>
      <c r="C298" s="2"/>
      <c r="D298" s="2"/>
      <c r="E298" s="2"/>
      <c r="F298" s="569"/>
      <c r="G298" s="2"/>
      <c r="H298" s="2"/>
      <c r="I298" s="2"/>
      <c r="J298" s="366"/>
      <c r="K298" s="2"/>
      <c r="L298" s="2"/>
      <c r="M298" s="2"/>
      <c r="N298" s="2"/>
      <c r="O298" s="23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</row>
    <row r="299" spans="1:32" ht="14">
      <c r="A299" s="2"/>
      <c r="B299" s="2"/>
      <c r="C299" s="2"/>
      <c r="D299" s="2"/>
      <c r="E299" s="2"/>
      <c r="F299" s="569"/>
      <c r="G299" s="2"/>
      <c r="H299" s="2"/>
      <c r="I299" s="2"/>
      <c r="J299" s="366"/>
      <c r="K299" s="2"/>
      <c r="L299" s="2"/>
      <c r="M299" s="2"/>
      <c r="N299" s="2"/>
      <c r="O299" s="23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</row>
    <row r="300" spans="1:32" ht="14">
      <c r="A300" s="2"/>
      <c r="B300" s="2"/>
      <c r="C300" s="2"/>
      <c r="D300" s="2"/>
      <c r="E300" s="2"/>
      <c r="F300" s="569"/>
      <c r="G300" s="2"/>
      <c r="H300" s="2"/>
      <c r="I300" s="2"/>
      <c r="J300" s="366"/>
      <c r="K300" s="2"/>
      <c r="L300" s="2"/>
      <c r="M300" s="2"/>
      <c r="N300" s="2"/>
      <c r="O300" s="23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</row>
    <row r="301" spans="1:32" ht="14">
      <c r="A301" s="2"/>
      <c r="B301" s="2"/>
      <c r="C301" s="2"/>
      <c r="D301" s="2"/>
      <c r="E301" s="2"/>
      <c r="F301" s="569"/>
      <c r="G301" s="2"/>
      <c r="H301" s="2"/>
      <c r="I301" s="2"/>
      <c r="J301" s="366"/>
      <c r="K301" s="2"/>
      <c r="L301" s="2"/>
      <c r="M301" s="2"/>
      <c r="N301" s="2"/>
      <c r="O301" s="23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</row>
    <row r="302" spans="1:32" ht="14">
      <c r="A302" s="2"/>
      <c r="B302" s="2"/>
      <c r="C302" s="2"/>
      <c r="D302" s="2"/>
      <c r="E302" s="2"/>
      <c r="F302" s="569"/>
      <c r="G302" s="2"/>
      <c r="H302" s="2"/>
      <c r="I302" s="2"/>
      <c r="J302" s="366"/>
      <c r="K302" s="2"/>
      <c r="L302" s="2"/>
      <c r="M302" s="2"/>
      <c r="N302" s="2"/>
      <c r="O302" s="23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</row>
    <row r="303" spans="1:32" ht="14">
      <c r="A303" s="2"/>
      <c r="B303" s="2"/>
      <c r="C303" s="2"/>
      <c r="D303" s="2"/>
      <c r="E303" s="2"/>
      <c r="F303" s="569"/>
      <c r="G303" s="2"/>
      <c r="H303" s="2"/>
      <c r="I303" s="2"/>
      <c r="J303" s="366"/>
      <c r="K303" s="2"/>
      <c r="L303" s="2"/>
      <c r="M303" s="2"/>
      <c r="N303" s="2"/>
      <c r="O303" s="23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</row>
    <row r="304" spans="1:32" ht="14">
      <c r="A304" s="2"/>
      <c r="B304" s="2"/>
      <c r="C304" s="2"/>
      <c r="D304" s="2"/>
      <c r="E304" s="2"/>
      <c r="F304" s="569"/>
      <c r="G304" s="2"/>
      <c r="H304" s="2"/>
      <c r="I304" s="2"/>
      <c r="J304" s="366"/>
      <c r="K304" s="2"/>
      <c r="L304" s="2"/>
      <c r="M304" s="2"/>
      <c r="N304" s="2"/>
      <c r="O304" s="23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</row>
    <row r="305" spans="1:32" ht="14">
      <c r="A305" s="2"/>
      <c r="B305" s="2"/>
      <c r="C305" s="2"/>
      <c r="D305" s="2"/>
      <c r="E305" s="2"/>
      <c r="F305" s="569"/>
      <c r="G305" s="2"/>
      <c r="H305" s="2"/>
      <c r="I305" s="2"/>
      <c r="J305" s="366"/>
      <c r="K305" s="2"/>
      <c r="L305" s="2"/>
      <c r="M305" s="2"/>
      <c r="N305" s="2"/>
      <c r="O305" s="23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</row>
    <row r="306" spans="1:32" ht="14">
      <c r="A306" s="2"/>
      <c r="B306" s="2"/>
      <c r="C306" s="2"/>
      <c r="D306" s="2"/>
      <c r="E306" s="2"/>
      <c r="F306" s="569"/>
      <c r="G306" s="2"/>
      <c r="H306" s="2"/>
      <c r="I306" s="2"/>
      <c r="J306" s="366"/>
      <c r="K306" s="2"/>
      <c r="L306" s="2"/>
      <c r="M306" s="2"/>
      <c r="N306" s="2"/>
      <c r="O306" s="23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</row>
    <row r="307" spans="1:32" ht="14">
      <c r="A307" s="2"/>
      <c r="B307" s="2"/>
      <c r="C307" s="2"/>
      <c r="D307" s="2"/>
      <c r="E307" s="2"/>
      <c r="F307" s="569"/>
      <c r="G307" s="2"/>
      <c r="H307" s="2"/>
      <c r="I307" s="2"/>
      <c r="J307" s="366"/>
      <c r="K307" s="2"/>
      <c r="L307" s="2"/>
      <c r="M307" s="2"/>
      <c r="N307" s="2"/>
      <c r="O307" s="23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</row>
    <row r="308" spans="1:32" ht="14">
      <c r="A308" s="2"/>
      <c r="B308" s="2"/>
      <c r="C308" s="2"/>
      <c r="D308" s="2"/>
      <c r="E308" s="2"/>
      <c r="F308" s="569"/>
      <c r="G308" s="2"/>
      <c r="H308" s="2"/>
      <c r="I308" s="2"/>
      <c r="J308" s="366"/>
      <c r="K308" s="2"/>
      <c r="L308" s="2"/>
      <c r="M308" s="2"/>
      <c r="N308" s="2"/>
      <c r="O308" s="23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</row>
    <row r="309" spans="1:32" ht="14">
      <c r="A309" s="2"/>
      <c r="B309" s="2"/>
      <c r="C309" s="2"/>
      <c r="D309" s="2"/>
      <c r="E309" s="2"/>
      <c r="F309" s="569"/>
      <c r="G309" s="2"/>
      <c r="H309" s="2"/>
      <c r="I309" s="2"/>
      <c r="J309" s="366"/>
      <c r="K309" s="2"/>
      <c r="L309" s="2"/>
      <c r="M309" s="2"/>
      <c r="N309" s="2"/>
      <c r="O309" s="23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</row>
    <row r="310" spans="1:32" ht="14">
      <c r="A310" s="2"/>
      <c r="B310" s="2"/>
      <c r="C310" s="2"/>
      <c r="D310" s="2"/>
      <c r="E310" s="2"/>
      <c r="F310" s="569"/>
      <c r="G310" s="2"/>
      <c r="H310" s="2"/>
      <c r="I310" s="2"/>
      <c r="J310" s="366"/>
      <c r="K310" s="2"/>
      <c r="L310" s="2"/>
      <c r="M310" s="2"/>
      <c r="N310" s="2"/>
      <c r="O310" s="23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</row>
    <row r="311" spans="1:32" ht="14">
      <c r="A311" s="2"/>
      <c r="B311" s="2"/>
      <c r="C311" s="2"/>
      <c r="D311" s="2"/>
      <c r="E311" s="2"/>
      <c r="F311" s="569"/>
      <c r="G311" s="2"/>
      <c r="H311" s="2"/>
      <c r="I311" s="2"/>
      <c r="J311" s="366"/>
      <c r="K311" s="2"/>
      <c r="L311" s="2"/>
      <c r="M311" s="2"/>
      <c r="N311" s="2"/>
      <c r="O311" s="23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</row>
    <row r="312" spans="1:32" ht="14">
      <c r="A312" s="2"/>
      <c r="B312" s="2"/>
      <c r="C312" s="2"/>
      <c r="D312" s="2"/>
      <c r="E312" s="2"/>
      <c r="F312" s="569"/>
      <c r="G312" s="2"/>
      <c r="H312" s="2"/>
      <c r="I312" s="2"/>
      <c r="J312" s="366"/>
      <c r="K312" s="2"/>
      <c r="L312" s="2"/>
      <c r="M312" s="2"/>
      <c r="N312" s="2"/>
      <c r="O312" s="23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</row>
    <row r="313" spans="1:32" ht="14">
      <c r="A313" s="2"/>
      <c r="B313" s="2"/>
      <c r="C313" s="2"/>
      <c r="D313" s="2"/>
      <c r="E313" s="2"/>
      <c r="F313" s="569"/>
      <c r="G313" s="2"/>
      <c r="H313" s="2"/>
      <c r="I313" s="2"/>
      <c r="J313" s="366"/>
      <c r="K313" s="2"/>
      <c r="L313" s="2"/>
      <c r="M313" s="2"/>
      <c r="N313" s="2"/>
      <c r="O313" s="23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</row>
    <row r="314" spans="1:32" ht="14">
      <c r="A314" s="2"/>
      <c r="B314" s="2"/>
      <c r="C314" s="2"/>
      <c r="D314" s="2"/>
      <c r="E314" s="2"/>
      <c r="F314" s="569"/>
      <c r="G314" s="2"/>
      <c r="H314" s="2"/>
      <c r="I314" s="2"/>
      <c r="J314" s="366"/>
      <c r="K314" s="2"/>
      <c r="L314" s="2"/>
      <c r="M314" s="2"/>
      <c r="N314" s="2"/>
      <c r="O314" s="23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</row>
    <row r="315" spans="1:32" ht="14">
      <c r="A315" s="2"/>
      <c r="B315" s="2"/>
      <c r="C315" s="2"/>
      <c r="D315" s="2"/>
      <c r="E315" s="2"/>
      <c r="F315" s="569"/>
      <c r="G315" s="2"/>
      <c r="H315" s="2"/>
      <c r="I315" s="2"/>
      <c r="J315" s="366"/>
      <c r="K315" s="2"/>
      <c r="L315" s="2"/>
      <c r="M315" s="2"/>
      <c r="N315" s="2"/>
      <c r="O315" s="23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</row>
    <row r="316" spans="1:32" ht="14">
      <c r="A316" s="2"/>
      <c r="B316" s="2"/>
      <c r="C316" s="2"/>
      <c r="D316" s="2"/>
      <c r="E316" s="2"/>
      <c r="F316" s="569"/>
      <c r="G316" s="2"/>
      <c r="H316" s="2"/>
      <c r="I316" s="2"/>
      <c r="J316" s="366"/>
      <c r="K316" s="2"/>
      <c r="L316" s="2"/>
      <c r="M316" s="2"/>
      <c r="N316" s="2"/>
      <c r="O316" s="23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</row>
    <row r="317" spans="1:32" ht="14">
      <c r="A317" s="2"/>
      <c r="B317" s="2"/>
      <c r="C317" s="2"/>
      <c r="D317" s="2"/>
      <c r="E317" s="2"/>
      <c r="F317" s="569"/>
      <c r="G317" s="2"/>
      <c r="H317" s="2"/>
      <c r="I317" s="2"/>
      <c r="J317" s="366"/>
      <c r="K317" s="2"/>
      <c r="L317" s="2"/>
      <c r="M317" s="2"/>
      <c r="N317" s="2"/>
      <c r="O317" s="23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</row>
    <row r="318" spans="1:32" ht="14">
      <c r="A318" s="2"/>
      <c r="B318" s="2"/>
      <c r="C318" s="2"/>
      <c r="D318" s="2"/>
      <c r="E318" s="2"/>
      <c r="F318" s="569"/>
      <c r="G318" s="2"/>
      <c r="H318" s="2"/>
      <c r="I318" s="2"/>
      <c r="J318" s="366"/>
      <c r="K318" s="2"/>
      <c r="L318" s="2"/>
      <c r="M318" s="2"/>
      <c r="N318" s="2"/>
      <c r="O318" s="23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</row>
    <row r="319" spans="1:32" ht="14">
      <c r="A319" s="2"/>
      <c r="B319" s="2"/>
      <c r="C319" s="2"/>
      <c r="D319" s="2"/>
      <c r="E319" s="2"/>
      <c r="F319" s="569"/>
      <c r="G319" s="2"/>
      <c r="H319" s="2"/>
      <c r="I319" s="2"/>
      <c r="J319" s="366"/>
      <c r="K319" s="2"/>
      <c r="L319" s="2"/>
      <c r="M319" s="2"/>
      <c r="N319" s="2"/>
      <c r="O319" s="23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</row>
    <row r="320" spans="1:32" ht="14">
      <c r="A320" s="2"/>
      <c r="B320" s="2"/>
      <c r="C320" s="2"/>
      <c r="D320" s="2"/>
      <c r="E320" s="2"/>
      <c r="F320" s="569"/>
      <c r="G320" s="2"/>
      <c r="H320" s="2"/>
      <c r="I320" s="2"/>
      <c r="J320" s="366"/>
      <c r="K320" s="2"/>
      <c r="L320" s="2"/>
      <c r="M320" s="2"/>
      <c r="N320" s="2"/>
      <c r="O320" s="23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</row>
    <row r="321" spans="1:32" ht="14">
      <c r="A321" s="2"/>
      <c r="B321" s="2"/>
      <c r="C321" s="2"/>
      <c r="D321" s="2"/>
      <c r="E321" s="2"/>
      <c r="F321" s="569"/>
      <c r="G321" s="2"/>
      <c r="H321" s="2"/>
      <c r="I321" s="2"/>
      <c r="J321" s="366"/>
      <c r="K321" s="2"/>
      <c r="L321" s="2"/>
      <c r="M321" s="2"/>
      <c r="N321" s="2"/>
      <c r="O321" s="23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</row>
    <row r="322" spans="1:32" ht="14">
      <c r="A322" s="2"/>
      <c r="B322" s="2"/>
      <c r="C322" s="2"/>
      <c r="D322" s="2"/>
      <c r="E322" s="2"/>
      <c r="F322" s="569"/>
      <c r="G322" s="2"/>
      <c r="H322" s="2"/>
      <c r="I322" s="2"/>
      <c r="J322" s="366"/>
      <c r="K322" s="2"/>
      <c r="L322" s="2"/>
      <c r="M322" s="2"/>
      <c r="N322" s="2"/>
      <c r="O322" s="23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</row>
    <row r="323" spans="1:32" ht="14">
      <c r="A323" s="2"/>
      <c r="B323" s="2"/>
      <c r="C323" s="2"/>
      <c r="D323" s="2"/>
      <c r="E323" s="2"/>
      <c r="F323" s="569"/>
      <c r="G323" s="2"/>
      <c r="H323" s="2"/>
      <c r="I323" s="2"/>
      <c r="J323" s="366"/>
      <c r="K323" s="2"/>
      <c r="L323" s="2"/>
      <c r="M323" s="2"/>
      <c r="N323" s="2"/>
      <c r="O323" s="23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</row>
    <row r="324" spans="1:32" ht="14">
      <c r="A324" s="2"/>
      <c r="B324" s="2"/>
      <c r="C324" s="2"/>
      <c r="D324" s="2"/>
      <c r="E324" s="2"/>
      <c r="F324" s="569"/>
      <c r="G324" s="2"/>
      <c r="H324" s="2"/>
      <c r="I324" s="2"/>
      <c r="J324" s="366"/>
      <c r="K324" s="2"/>
      <c r="L324" s="2"/>
      <c r="M324" s="2"/>
      <c r="N324" s="2"/>
      <c r="O324" s="23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</row>
    <row r="325" spans="1:32" ht="14">
      <c r="A325" s="2"/>
      <c r="B325" s="2"/>
      <c r="C325" s="2"/>
      <c r="D325" s="2"/>
      <c r="E325" s="2"/>
      <c r="F325" s="569"/>
      <c r="G325" s="2"/>
      <c r="H325" s="2"/>
      <c r="I325" s="2"/>
      <c r="J325" s="366"/>
      <c r="K325" s="2"/>
      <c r="L325" s="2"/>
      <c r="M325" s="2"/>
      <c r="N325" s="2"/>
      <c r="O325" s="23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</row>
    <row r="326" spans="1:32" ht="14">
      <c r="A326" s="2"/>
      <c r="B326" s="2"/>
      <c r="C326" s="2"/>
      <c r="D326" s="2"/>
      <c r="E326" s="2"/>
      <c r="F326" s="569"/>
      <c r="G326" s="2"/>
      <c r="H326" s="2"/>
      <c r="I326" s="2"/>
      <c r="J326" s="366"/>
      <c r="K326" s="2"/>
      <c r="L326" s="2"/>
      <c r="M326" s="2"/>
      <c r="N326" s="2"/>
      <c r="O326" s="23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</row>
    <row r="327" spans="1:32" ht="14">
      <c r="A327" s="2"/>
      <c r="B327" s="2"/>
      <c r="C327" s="2"/>
      <c r="D327" s="2"/>
      <c r="E327" s="2"/>
      <c r="F327" s="569"/>
      <c r="G327" s="2"/>
      <c r="H327" s="2"/>
      <c r="I327" s="2"/>
      <c r="J327" s="366"/>
      <c r="K327" s="2"/>
      <c r="L327" s="2"/>
      <c r="M327" s="2"/>
      <c r="N327" s="2"/>
      <c r="O327" s="23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</row>
    <row r="328" spans="1:32" ht="14">
      <c r="A328" s="2"/>
      <c r="B328" s="2"/>
      <c r="C328" s="2"/>
      <c r="D328" s="2"/>
      <c r="E328" s="2"/>
      <c r="F328" s="569"/>
      <c r="G328" s="2"/>
      <c r="H328" s="2"/>
      <c r="I328" s="2"/>
      <c r="J328" s="366"/>
      <c r="K328" s="2"/>
      <c r="L328" s="2"/>
      <c r="M328" s="2"/>
      <c r="N328" s="2"/>
      <c r="O328" s="23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</row>
    <row r="329" spans="1:32" ht="14">
      <c r="A329" s="2"/>
      <c r="B329" s="2"/>
      <c r="C329" s="2"/>
      <c r="D329" s="2"/>
      <c r="E329" s="2"/>
      <c r="F329" s="569"/>
      <c r="G329" s="2"/>
      <c r="H329" s="2"/>
      <c r="I329" s="2"/>
      <c r="J329" s="366"/>
      <c r="K329" s="2"/>
      <c r="L329" s="2"/>
      <c r="M329" s="2"/>
      <c r="N329" s="2"/>
      <c r="O329" s="23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</row>
    <row r="330" spans="1:32" ht="14">
      <c r="A330" s="2"/>
      <c r="B330" s="2"/>
      <c r="C330" s="2"/>
      <c r="D330" s="2"/>
      <c r="E330" s="2"/>
      <c r="F330" s="569"/>
      <c r="G330" s="2"/>
      <c r="H330" s="2"/>
      <c r="I330" s="2"/>
      <c r="J330" s="366"/>
      <c r="K330" s="2"/>
      <c r="L330" s="2"/>
      <c r="M330" s="2"/>
      <c r="N330" s="2"/>
      <c r="O330" s="23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</row>
    <row r="331" spans="1:32" ht="14">
      <c r="A331" s="2"/>
      <c r="B331" s="2"/>
      <c r="C331" s="2"/>
      <c r="D331" s="2"/>
      <c r="E331" s="2"/>
      <c r="F331" s="569"/>
      <c r="G331" s="2"/>
      <c r="H331" s="2"/>
      <c r="I331" s="2"/>
      <c r="J331" s="366"/>
      <c r="K331" s="2"/>
      <c r="L331" s="2"/>
      <c r="M331" s="2"/>
      <c r="N331" s="2"/>
      <c r="O331" s="23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</row>
    <row r="332" spans="1:32" ht="14">
      <c r="A332" s="2"/>
      <c r="B332" s="2"/>
      <c r="C332" s="2"/>
      <c r="D332" s="2"/>
      <c r="E332" s="2"/>
      <c r="F332" s="569"/>
      <c r="G332" s="2"/>
      <c r="H332" s="2"/>
      <c r="I332" s="2"/>
      <c r="J332" s="366"/>
      <c r="K332" s="2"/>
      <c r="L332" s="2"/>
      <c r="M332" s="2"/>
      <c r="N332" s="2"/>
      <c r="O332" s="23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</row>
    <row r="333" spans="1:32" ht="14">
      <c r="A333" s="2"/>
      <c r="B333" s="2"/>
      <c r="C333" s="2"/>
      <c r="D333" s="2"/>
      <c r="E333" s="2"/>
      <c r="F333" s="569"/>
      <c r="G333" s="2"/>
      <c r="H333" s="2"/>
      <c r="I333" s="2"/>
      <c r="J333" s="366"/>
      <c r="K333" s="2"/>
      <c r="L333" s="2"/>
      <c r="M333" s="2"/>
      <c r="N333" s="2"/>
      <c r="O333" s="23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</row>
    <row r="334" spans="1:32" ht="14">
      <c r="A334" s="2"/>
      <c r="B334" s="2"/>
      <c r="C334" s="2"/>
      <c r="D334" s="2"/>
      <c r="E334" s="2"/>
      <c r="F334" s="569"/>
      <c r="G334" s="2"/>
      <c r="H334" s="2"/>
      <c r="I334" s="2"/>
      <c r="J334" s="366"/>
      <c r="K334" s="2"/>
      <c r="L334" s="2"/>
      <c r="M334" s="2"/>
      <c r="N334" s="2"/>
      <c r="O334" s="23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</row>
    <row r="335" spans="1:32" ht="14">
      <c r="A335" s="2"/>
      <c r="B335" s="2"/>
      <c r="C335" s="2"/>
      <c r="D335" s="2"/>
      <c r="E335" s="2"/>
      <c r="F335" s="569"/>
      <c r="G335" s="2"/>
      <c r="H335" s="2"/>
      <c r="I335" s="2"/>
      <c r="J335" s="366"/>
      <c r="K335" s="2"/>
      <c r="L335" s="2"/>
      <c r="M335" s="2"/>
      <c r="N335" s="2"/>
      <c r="O335" s="23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</row>
    <row r="336" spans="1:32" ht="14">
      <c r="A336" s="2"/>
      <c r="B336" s="2"/>
      <c r="C336" s="2"/>
      <c r="D336" s="2"/>
      <c r="E336" s="2"/>
      <c r="F336" s="569"/>
      <c r="G336" s="2"/>
      <c r="H336" s="2"/>
      <c r="I336" s="2"/>
      <c r="J336" s="366"/>
      <c r="K336" s="2"/>
      <c r="L336" s="2"/>
      <c r="M336" s="2"/>
      <c r="N336" s="2"/>
      <c r="O336" s="23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</row>
    <row r="337" spans="1:32" ht="14">
      <c r="A337" s="2"/>
      <c r="B337" s="2"/>
      <c r="C337" s="2"/>
      <c r="D337" s="2"/>
      <c r="E337" s="2"/>
      <c r="F337" s="569"/>
      <c r="G337" s="2"/>
      <c r="H337" s="2"/>
      <c r="I337" s="2"/>
      <c r="J337" s="366"/>
      <c r="K337" s="2"/>
      <c r="L337" s="2"/>
      <c r="M337" s="2"/>
      <c r="N337" s="2"/>
      <c r="O337" s="23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</row>
    <row r="338" spans="1:32" ht="14">
      <c r="A338" s="2"/>
      <c r="B338" s="2"/>
      <c r="C338" s="2"/>
      <c r="D338" s="2"/>
      <c r="E338" s="2"/>
      <c r="F338" s="569"/>
      <c r="G338" s="2"/>
      <c r="H338" s="2"/>
      <c r="I338" s="2"/>
      <c r="J338" s="366"/>
      <c r="K338" s="2"/>
      <c r="L338" s="2"/>
      <c r="M338" s="2"/>
      <c r="N338" s="2"/>
      <c r="O338" s="23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</row>
    <row r="339" spans="1:32" ht="14">
      <c r="A339" s="2"/>
      <c r="B339" s="2"/>
      <c r="C339" s="2"/>
      <c r="D339" s="2"/>
      <c r="E339" s="2"/>
      <c r="F339" s="569"/>
      <c r="G339" s="2"/>
      <c r="H339" s="2"/>
      <c r="I339" s="2"/>
      <c r="J339" s="366"/>
      <c r="K339" s="2"/>
      <c r="L339" s="2"/>
      <c r="M339" s="2"/>
      <c r="N339" s="2"/>
      <c r="O339" s="23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</row>
    <row r="340" spans="1:32" ht="14">
      <c r="A340" s="2"/>
      <c r="B340" s="2"/>
      <c r="C340" s="2"/>
      <c r="D340" s="2"/>
      <c r="E340" s="2"/>
      <c r="F340" s="569"/>
      <c r="G340" s="2"/>
      <c r="H340" s="2"/>
      <c r="I340" s="2"/>
      <c r="J340" s="366"/>
      <c r="K340" s="2"/>
      <c r="L340" s="2"/>
      <c r="M340" s="2"/>
      <c r="N340" s="2"/>
      <c r="O340" s="23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</row>
    <row r="341" spans="1:32" ht="14">
      <c r="A341" s="2"/>
      <c r="B341" s="2"/>
      <c r="C341" s="2"/>
      <c r="D341" s="2"/>
      <c r="E341" s="2"/>
      <c r="F341" s="569"/>
      <c r="G341" s="2"/>
      <c r="H341" s="2"/>
      <c r="I341" s="2"/>
      <c r="J341" s="366"/>
      <c r="K341" s="2"/>
      <c r="L341" s="2"/>
      <c r="M341" s="2"/>
      <c r="N341" s="2"/>
      <c r="O341" s="23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</row>
    <row r="342" spans="1:32" ht="14">
      <c r="A342" s="2"/>
      <c r="B342" s="2"/>
      <c r="C342" s="2"/>
      <c r="D342" s="2"/>
      <c r="E342" s="2"/>
      <c r="F342" s="569"/>
      <c r="G342" s="2"/>
      <c r="H342" s="2"/>
      <c r="I342" s="2"/>
      <c r="J342" s="366"/>
      <c r="K342" s="2"/>
      <c r="L342" s="2"/>
      <c r="M342" s="2"/>
      <c r="N342" s="2"/>
      <c r="O342" s="23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</row>
    <row r="343" spans="1:32" ht="14">
      <c r="A343" s="2"/>
      <c r="B343" s="2"/>
      <c r="C343" s="2"/>
      <c r="D343" s="2"/>
      <c r="E343" s="2"/>
      <c r="F343" s="569"/>
      <c r="G343" s="2"/>
      <c r="H343" s="2"/>
      <c r="I343" s="2"/>
      <c r="J343" s="366"/>
      <c r="K343" s="2"/>
      <c r="L343" s="2"/>
      <c r="M343" s="2"/>
      <c r="N343" s="2"/>
      <c r="O343" s="23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</row>
    <row r="344" spans="1:32" ht="14">
      <c r="A344" s="2"/>
      <c r="B344" s="2"/>
      <c r="C344" s="2"/>
      <c r="D344" s="2"/>
      <c r="E344" s="2"/>
      <c r="F344" s="569"/>
      <c r="G344" s="2"/>
      <c r="H344" s="2"/>
      <c r="I344" s="2"/>
      <c r="J344" s="366"/>
      <c r="K344" s="2"/>
      <c r="L344" s="2"/>
      <c r="M344" s="2"/>
      <c r="N344" s="2"/>
      <c r="O344" s="23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</row>
    <row r="345" spans="1:32" ht="14">
      <c r="A345" s="2"/>
      <c r="B345" s="2"/>
      <c r="C345" s="2"/>
      <c r="D345" s="2"/>
      <c r="E345" s="2"/>
      <c r="F345" s="569"/>
      <c r="G345" s="2"/>
      <c r="H345" s="2"/>
      <c r="I345" s="2"/>
      <c r="J345" s="366"/>
      <c r="K345" s="2"/>
      <c r="L345" s="2"/>
      <c r="M345" s="2"/>
      <c r="N345" s="2"/>
      <c r="O345" s="23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</row>
    <row r="346" spans="1:32" ht="14">
      <c r="A346" s="2"/>
      <c r="B346" s="2"/>
      <c r="C346" s="2"/>
      <c r="D346" s="2"/>
      <c r="E346" s="2"/>
      <c r="F346" s="569"/>
      <c r="G346" s="2"/>
      <c r="H346" s="2"/>
      <c r="I346" s="2"/>
      <c r="J346" s="366"/>
      <c r="K346" s="2"/>
      <c r="L346" s="2"/>
      <c r="M346" s="2"/>
      <c r="N346" s="2"/>
      <c r="O346" s="23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</row>
    <row r="347" spans="1:32" ht="14">
      <c r="A347" s="2"/>
      <c r="B347" s="2"/>
      <c r="C347" s="2"/>
      <c r="D347" s="2"/>
      <c r="E347" s="2"/>
      <c r="F347" s="569"/>
      <c r="G347" s="2"/>
      <c r="H347" s="2"/>
      <c r="I347" s="2"/>
      <c r="J347" s="366"/>
      <c r="K347" s="2"/>
      <c r="L347" s="2"/>
      <c r="M347" s="2"/>
      <c r="N347" s="2"/>
      <c r="O347" s="23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</row>
    <row r="348" spans="1:32" ht="14">
      <c r="A348" s="2"/>
      <c r="B348" s="2"/>
      <c r="C348" s="2"/>
      <c r="D348" s="2"/>
      <c r="E348" s="2"/>
      <c r="F348" s="569"/>
      <c r="G348" s="2"/>
      <c r="H348" s="2"/>
      <c r="I348" s="2"/>
      <c r="J348" s="366"/>
      <c r="K348" s="2"/>
      <c r="L348" s="2"/>
      <c r="M348" s="2"/>
      <c r="N348" s="2"/>
      <c r="O348" s="23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</row>
    <row r="349" spans="1:32" ht="14">
      <c r="A349" s="2"/>
      <c r="B349" s="2"/>
      <c r="C349" s="2"/>
      <c r="D349" s="2"/>
      <c r="E349" s="2"/>
      <c r="F349" s="569"/>
      <c r="G349" s="2"/>
      <c r="H349" s="2"/>
      <c r="I349" s="2"/>
      <c r="J349" s="366"/>
      <c r="K349" s="2"/>
      <c r="L349" s="2"/>
      <c r="M349" s="2"/>
      <c r="N349" s="2"/>
      <c r="O349" s="23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</row>
    <row r="350" spans="1:32" ht="14">
      <c r="A350" s="2"/>
      <c r="B350" s="2"/>
      <c r="C350" s="2"/>
      <c r="D350" s="2"/>
      <c r="E350" s="2"/>
      <c r="F350" s="569"/>
      <c r="G350" s="2"/>
      <c r="H350" s="2"/>
      <c r="I350" s="2"/>
      <c r="J350" s="366"/>
      <c r="K350" s="2"/>
      <c r="L350" s="2"/>
      <c r="M350" s="2"/>
      <c r="N350" s="2"/>
      <c r="O350" s="23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</row>
    <row r="351" spans="1:32" ht="14">
      <c r="A351" s="2"/>
      <c r="B351" s="2"/>
      <c r="C351" s="2"/>
      <c r="D351" s="2"/>
      <c r="E351" s="2"/>
      <c r="F351" s="569"/>
      <c r="G351" s="2"/>
      <c r="H351" s="2"/>
      <c r="I351" s="2"/>
      <c r="J351" s="366"/>
      <c r="K351" s="2"/>
      <c r="L351" s="2"/>
      <c r="M351" s="2"/>
      <c r="N351" s="2"/>
      <c r="O351" s="23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</row>
    <row r="352" spans="1:32" ht="14">
      <c r="A352" s="2"/>
      <c r="B352" s="2"/>
      <c r="C352" s="2"/>
      <c r="D352" s="2"/>
      <c r="E352" s="2"/>
      <c r="F352" s="569"/>
      <c r="G352" s="2"/>
      <c r="H352" s="2"/>
      <c r="I352" s="2"/>
      <c r="J352" s="366"/>
      <c r="K352" s="2"/>
      <c r="L352" s="2"/>
      <c r="M352" s="2"/>
      <c r="N352" s="2"/>
      <c r="O352" s="23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</row>
    <row r="353" spans="1:32" ht="14">
      <c r="A353" s="2"/>
      <c r="B353" s="2"/>
      <c r="C353" s="2"/>
      <c r="D353" s="2"/>
      <c r="E353" s="2"/>
      <c r="F353" s="569"/>
      <c r="G353" s="2"/>
      <c r="H353" s="2"/>
      <c r="I353" s="2"/>
      <c r="J353" s="366"/>
      <c r="K353" s="2"/>
      <c r="L353" s="2"/>
      <c r="M353" s="2"/>
      <c r="N353" s="2"/>
      <c r="O353" s="23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</row>
    <row r="354" spans="1:32" ht="14">
      <c r="A354" s="2"/>
      <c r="B354" s="2"/>
      <c r="C354" s="2"/>
      <c r="D354" s="2"/>
      <c r="E354" s="2"/>
      <c r="F354" s="569"/>
      <c r="G354" s="2"/>
      <c r="H354" s="2"/>
      <c r="I354" s="2"/>
      <c r="J354" s="366"/>
      <c r="K354" s="2"/>
      <c r="L354" s="2"/>
      <c r="M354" s="2"/>
      <c r="N354" s="2"/>
      <c r="O354" s="23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</row>
    <row r="355" spans="1:32" ht="14">
      <c r="A355" s="2"/>
      <c r="B355" s="2"/>
      <c r="C355" s="2"/>
      <c r="D355" s="2"/>
      <c r="E355" s="2"/>
      <c r="F355" s="569"/>
      <c r="G355" s="2"/>
      <c r="H355" s="2"/>
      <c r="I355" s="2"/>
      <c r="J355" s="366"/>
      <c r="K355" s="2"/>
      <c r="L355" s="2"/>
      <c r="M355" s="2"/>
      <c r="N355" s="2"/>
      <c r="O355" s="23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</row>
    <row r="356" spans="1:32" ht="14">
      <c r="A356" s="2"/>
      <c r="B356" s="2"/>
      <c r="C356" s="2"/>
      <c r="D356" s="2"/>
      <c r="E356" s="2"/>
      <c r="F356" s="569"/>
      <c r="G356" s="2"/>
      <c r="H356" s="2"/>
      <c r="I356" s="2"/>
      <c r="J356" s="366"/>
      <c r="K356" s="2"/>
      <c r="L356" s="2"/>
      <c r="M356" s="2"/>
      <c r="N356" s="2"/>
      <c r="O356" s="23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</row>
    <row r="357" spans="1:32" ht="14">
      <c r="A357" s="2"/>
      <c r="B357" s="2"/>
      <c r="C357" s="2"/>
      <c r="D357" s="2"/>
      <c r="E357" s="2"/>
      <c r="F357" s="569"/>
      <c r="G357" s="2"/>
      <c r="H357" s="2"/>
      <c r="I357" s="2"/>
      <c r="J357" s="366"/>
      <c r="K357" s="2"/>
      <c r="L357" s="2"/>
      <c r="M357" s="2"/>
      <c r="N357" s="2"/>
      <c r="O357" s="23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</row>
    <row r="358" spans="1:32" ht="14">
      <c r="A358" s="2"/>
      <c r="B358" s="2"/>
      <c r="C358" s="2"/>
      <c r="D358" s="2"/>
      <c r="E358" s="2"/>
      <c r="F358" s="569"/>
      <c r="G358" s="2"/>
      <c r="H358" s="2"/>
      <c r="I358" s="2"/>
      <c r="J358" s="366"/>
      <c r="K358" s="2"/>
      <c r="L358" s="2"/>
      <c r="M358" s="2"/>
      <c r="N358" s="2"/>
      <c r="O358" s="23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</row>
    <row r="359" spans="1:32" ht="14">
      <c r="A359" s="2"/>
      <c r="B359" s="2"/>
      <c r="C359" s="2"/>
      <c r="D359" s="2"/>
      <c r="E359" s="2"/>
      <c r="F359" s="569"/>
      <c r="G359" s="2"/>
      <c r="H359" s="2"/>
      <c r="I359" s="2"/>
      <c r="J359" s="366"/>
      <c r="K359" s="2"/>
      <c r="L359" s="2"/>
      <c r="M359" s="2"/>
      <c r="N359" s="2"/>
      <c r="O359" s="23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</row>
    <row r="360" spans="1:32" ht="14">
      <c r="A360" s="2"/>
      <c r="B360" s="2"/>
      <c r="C360" s="2"/>
      <c r="D360" s="2"/>
      <c r="E360" s="2"/>
      <c r="F360" s="569"/>
      <c r="G360" s="2"/>
      <c r="H360" s="2"/>
      <c r="I360" s="2"/>
      <c r="J360" s="366"/>
      <c r="K360" s="2"/>
      <c r="L360" s="2"/>
      <c r="M360" s="2"/>
      <c r="N360" s="2"/>
      <c r="O360" s="23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</row>
    <row r="361" spans="1:32" ht="14">
      <c r="A361" s="2"/>
      <c r="B361" s="2"/>
      <c r="C361" s="2"/>
      <c r="D361" s="2"/>
      <c r="E361" s="2"/>
      <c r="F361" s="569"/>
      <c r="G361" s="2"/>
      <c r="H361" s="2"/>
      <c r="I361" s="2"/>
      <c r="J361" s="366"/>
      <c r="K361" s="2"/>
      <c r="L361" s="2"/>
      <c r="M361" s="2"/>
      <c r="N361" s="2"/>
      <c r="O361" s="23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</row>
    <row r="362" spans="1:32" ht="14">
      <c r="A362" s="2"/>
      <c r="B362" s="2"/>
      <c r="C362" s="2"/>
      <c r="D362" s="2"/>
      <c r="E362" s="2"/>
      <c r="F362" s="569"/>
      <c r="G362" s="2"/>
      <c r="H362" s="2"/>
      <c r="I362" s="2"/>
      <c r="J362" s="366"/>
      <c r="K362" s="2"/>
      <c r="L362" s="2"/>
      <c r="M362" s="2"/>
      <c r="N362" s="2"/>
      <c r="O362" s="23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</row>
    <row r="363" spans="1:32" ht="14">
      <c r="A363" s="2"/>
      <c r="B363" s="2"/>
      <c r="C363" s="2"/>
      <c r="D363" s="2"/>
      <c r="E363" s="2"/>
      <c r="F363" s="569"/>
      <c r="G363" s="2"/>
      <c r="H363" s="2"/>
      <c r="I363" s="2"/>
      <c r="J363" s="366"/>
      <c r="K363" s="2"/>
      <c r="L363" s="2"/>
      <c r="M363" s="2"/>
      <c r="N363" s="2"/>
      <c r="O363" s="23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</row>
    <row r="364" spans="1:32" ht="14">
      <c r="A364" s="2"/>
      <c r="B364" s="2"/>
      <c r="C364" s="2"/>
      <c r="D364" s="2"/>
      <c r="E364" s="2"/>
      <c r="F364" s="569"/>
      <c r="G364" s="2"/>
      <c r="H364" s="2"/>
      <c r="I364" s="2"/>
      <c r="J364" s="366"/>
      <c r="K364" s="2"/>
      <c r="L364" s="2"/>
      <c r="M364" s="2"/>
      <c r="N364" s="2"/>
      <c r="O364" s="23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</row>
    <row r="365" spans="1:32" ht="14">
      <c r="A365" s="2"/>
      <c r="B365" s="2"/>
      <c r="C365" s="2"/>
      <c r="D365" s="2"/>
      <c r="E365" s="2"/>
      <c r="F365" s="569"/>
      <c r="G365" s="2"/>
      <c r="H365" s="2"/>
      <c r="I365" s="2"/>
      <c r="J365" s="366"/>
      <c r="K365" s="2"/>
      <c r="L365" s="2"/>
      <c r="M365" s="2"/>
      <c r="N365" s="2"/>
      <c r="O365" s="23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</row>
    <row r="366" spans="1:32" ht="14">
      <c r="A366" s="2"/>
      <c r="B366" s="2"/>
      <c r="C366" s="2"/>
      <c r="D366" s="2"/>
      <c r="E366" s="2"/>
      <c r="F366" s="569"/>
      <c r="G366" s="2"/>
      <c r="H366" s="2"/>
      <c r="I366" s="2"/>
      <c r="J366" s="366"/>
      <c r="K366" s="2"/>
      <c r="L366" s="2"/>
      <c r="M366" s="2"/>
      <c r="N366" s="2"/>
      <c r="O366" s="23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</row>
    <row r="367" spans="1:32" ht="14">
      <c r="A367" s="2"/>
      <c r="B367" s="2"/>
      <c r="C367" s="2"/>
      <c r="D367" s="2"/>
      <c r="E367" s="2"/>
      <c r="F367" s="569"/>
      <c r="G367" s="2"/>
      <c r="H367" s="2"/>
      <c r="I367" s="2"/>
      <c r="J367" s="366"/>
      <c r="K367" s="2"/>
      <c r="L367" s="2"/>
      <c r="M367" s="2"/>
      <c r="N367" s="2"/>
      <c r="O367" s="23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</row>
    <row r="368" spans="1:32" ht="14">
      <c r="A368" s="2"/>
      <c r="B368" s="2"/>
      <c r="C368" s="2"/>
      <c r="D368" s="2"/>
      <c r="E368" s="2"/>
      <c r="F368" s="569"/>
      <c r="G368" s="2"/>
      <c r="H368" s="2"/>
      <c r="I368" s="2"/>
      <c r="J368" s="366"/>
      <c r="K368" s="2"/>
      <c r="L368" s="2"/>
      <c r="M368" s="2"/>
      <c r="N368" s="2"/>
      <c r="O368" s="23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</row>
    <row r="369" spans="1:32" ht="14">
      <c r="A369" s="2"/>
      <c r="B369" s="2"/>
      <c r="C369" s="2"/>
      <c r="D369" s="2"/>
      <c r="E369" s="2"/>
      <c r="F369" s="569"/>
      <c r="G369" s="2"/>
      <c r="H369" s="2"/>
      <c r="I369" s="2"/>
      <c r="J369" s="366"/>
      <c r="K369" s="2"/>
      <c r="L369" s="2"/>
      <c r="M369" s="2"/>
      <c r="N369" s="2"/>
      <c r="O369" s="23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</row>
    <row r="370" spans="1:32" ht="14">
      <c r="A370" s="2"/>
      <c r="B370" s="2"/>
      <c r="C370" s="2"/>
      <c r="D370" s="2"/>
      <c r="E370" s="2"/>
      <c r="F370" s="569"/>
      <c r="G370" s="2"/>
      <c r="H370" s="2"/>
      <c r="I370" s="2"/>
      <c r="J370" s="366"/>
      <c r="K370" s="2"/>
      <c r="L370" s="2"/>
      <c r="M370" s="2"/>
      <c r="N370" s="2"/>
      <c r="O370" s="23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</row>
    <row r="371" spans="1:32" ht="14">
      <c r="A371" s="2"/>
      <c r="B371" s="2"/>
      <c r="C371" s="2"/>
      <c r="D371" s="2"/>
      <c r="E371" s="2"/>
      <c r="F371" s="569"/>
      <c r="G371" s="2"/>
      <c r="H371" s="2"/>
      <c r="I371" s="2"/>
      <c r="J371" s="366"/>
      <c r="K371" s="2"/>
      <c r="L371" s="2"/>
      <c r="M371" s="2"/>
      <c r="N371" s="2"/>
      <c r="O371" s="23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</row>
    <row r="372" spans="1:32" ht="14">
      <c r="A372" s="2"/>
      <c r="B372" s="2"/>
      <c r="C372" s="2"/>
      <c r="D372" s="2"/>
      <c r="E372" s="2"/>
      <c r="F372" s="569"/>
      <c r="G372" s="2"/>
      <c r="H372" s="2"/>
      <c r="I372" s="2"/>
      <c r="J372" s="366"/>
      <c r="K372" s="2"/>
      <c r="L372" s="2"/>
      <c r="M372" s="2"/>
      <c r="N372" s="2"/>
      <c r="O372" s="23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</row>
    <row r="373" spans="1:32" ht="14">
      <c r="A373" s="2"/>
      <c r="B373" s="2"/>
      <c r="C373" s="2"/>
      <c r="D373" s="2"/>
      <c r="E373" s="2"/>
      <c r="F373" s="569"/>
      <c r="G373" s="2"/>
      <c r="H373" s="2"/>
      <c r="I373" s="2"/>
      <c r="J373" s="366"/>
      <c r="K373" s="2"/>
      <c r="L373" s="2"/>
      <c r="M373" s="2"/>
      <c r="N373" s="2"/>
      <c r="O373" s="23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</row>
    <row r="374" spans="1:32" ht="14">
      <c r="A374" s="2"/>
      <c r="B374" s="2"/>
      <c r="C374" s="2"/>
      <c r="D374" s="2"/>
      <c r="E374" s="2"/>
      <c r="F374" s="569"/>
      <c r="G374" s="2"/>
      <c r="H374" s="2"/>
      <c r="I374" s="2"/>
      <c r="J374" s="366"/>
      <c r="K374" s="2"/>
      <c r="L374" s="2"/>
      <c r="M374" s="2"/>
      <c r="N374" s="2"/>
      <c r="O374" s="23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</row>
    <row r="375" spans="1:32" ht="14">
      <c r="A375" s="2"/>
      <c r="B375" s="2"/>
      <c r="C375" s="2"/>
      <c r="D375" s="2"/>
      <c r="E375" s="2"/>
      <c r="F375" s="569"/>
      <c r="G375" s="2"/>
      <c r="H375" s="2"/>
      <c r="I375" s="2"/>
      <c r="J375" s="366"/>
      <c r="K375" s="2"/>
      <c r="L375" s="2"/>
      <c r="M375" s="2"/>
      <c r="N375" s="2"/>
      <c r="O375" s="23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</row>
    <row r="376" spans="1:32" ht="14">
      <c r="A376" s="2"/>
      <c r="B376" s="2"/>
      <c r="C376" s="2"/>
      <c r="D376" s="2"/>
      <c r="E376" s="2"/>
      <c r="F376" s="569"/>
      <c r="G376" s="2"/>
      <c r="H376" s="2"/>
      <c r="I376" s="2"/>
      <c r="J376" s="366"/>
      <c r="K376" s="2"/>
      <c r="L376" s="2"/>
      <c r="M376" s="2"/>
      <c r="N376" s="2"/>
      <c r="O376" s="23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</row>
    <row r="377" spans="1:32" ht="14">
      <c r="A377" s="2"/>
      <c r="B377" s="2"/>
      <c r="C377" s="2"/>
      <c r="D377" s="2"/>
      <c r="E377" s="2"/>
      <c r="F377" s="569"/>
      <c r="G377" s="2"/>
      <c r="H377" s="2"/>
      <c r="I377" s="2"/>
      <c r="J377" s="366"/>
      <c r="K377" s="2"/>
      <c r="L377" s="2"/>
      <c r="M377" s="2"/>
      <c r="N377" s="2"/>
      <c r="O377" s="23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</row>
    <row r="378" spans="1:32" ht="14">
      <c r="A378" s="2"/>
      <c r="B378" s="2"/>
      <c r="C378" s="2"/>
      <c r="D378" s="2"/>
      <c r="E378" s="2"/>
      <c r="F378" s="569"/>
      <c r="G378" s="2"/>
      <c r="H378" s="2"/>
      <c r="I378" s="2"/>
      <c r="J378" s="366"/>
      <c r="K378" s="2"/>
      <c r="L378" s="2"/>
      <c r="M378" s="2"/>
      <c r="N378" s="2"/>
      <c r="O378" s="23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</row>
    <row r="379" spans="1:32" ht="14">
      <c r="A379" s="2"/>
      <c r="B379" s="2"/>
      <c r="C379" s="2"/>
      <c r="D379" s="2"/>
      <c r="E379" s="2"/>
      <c r="F379" s="569"/>
      <c r="G379" s="2"/>
      <c r="H379" s="2"/>
      <c r="I379" s="2"/>
      <c r="J379" s="366"/>
      <c r="K379" s="2"/>
      <c r="L379" s="2"/>
      <c r="M379" s="2"/>
      <c r="N379" s="2"/>
      <c r="O379" s="23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</row>
    <row r="380" spans="1:32" ht="14">
      <c r="A380" s="2"/>
      <c r="B380" s="2"/>
      <c r="C380" s="2"/>
      <c r="D380" s="2"/>
      <c r="E380" s="2"/>
      <c r="F380" s="569"/>
      <c r="G380" s="2"/>
      <c r="H380" s="2"/>
      <c r="I380" s="2"/>
      <c r="J380" s="366"/>
      <c r="K380" s="2"/>
      <c r="L380" s="2"/>
      <c r="M380" s="2"/>
      <c r="N380" s="2"/>
      <c r="O380" s="23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</row>
    <row r="381" spans="1:32" ht="14">
      <c r="A381" s="2"/>
      <c r="B381" s="2"/>
      <c r="C381" s="2"/>
      <c r="D381" s="2"/>
      <c r="E381" s="2"/>
      <c r="F381" s="569"/>
      <c r="G381" s="2"/>
      <c r="H381" s="2"/>
      <c r="I381" s="2"/>
      <c r="J381" s="366"/>
      <c r="K381" s="2"/>
      <c r="L381" s="2"/>
      <c r="M381" s="2"/>
      <c r="N381" s="2"/>
      <c r="O381" s="23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</row>
    <row r="382" spans="1:32" ht="14">
      <c r="A382" s="2"/>
      <c r="B382" s="2"/>
      <c r="C382" s="2"/>
      <c r="D382" s="2"/>
      <c r="E382" s="2"/>
      <c r="F382" s="569"/>
      <c r="G382" s="2"/>
      <c r="H382" s="2"/>
      <c r="I382" s="2"/>
      <c r="J382" s="366"/>
      <c r="K382" s="2"/>
      <c r="L382" s="2"/>
      <c r="M382" s="2"/>
      <c r="N382" s="2"/>
      <c r="O382" s="23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</row>
    <row r="383" spans="1:32" ht="14">
      <c r="A383" s="2"/>
      <c r="B383" s="2"/>
      <c r="C383" s="2"/>
      <c r="D383" s="2"/>
      <c r="E383" s="2"/>
      <c r="F383" s="569"/>
      <c r="G383" s="2"/>
      <c r="H383" s="2"/>
      <c r="I383" s="2"/>
      <c r="J383" s="366"/>
      <c r="K383" s="2"/>
      <c r="L383" s="2"/>
      <c r="M383" s="2"/>
      <c r="N383" s="2"/>
      <c r="O383" s="23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</row>
    <row r="384" spans="1:32" ht="14">
      <c r="A384" s="2"/>
      <c r="B384" s="2"/>
      <c r="C384" s="2"/>
      <c r="D384" s="2"/>
      <c r="E384" s="2"/>
      <c r="F384" s="569"/>
      <c r="G384" s="2"/>
      <c r="H384" s="2"/>
      <c r="I384" s="2"/>
      <c r="J384" s="366"/>
      <c r="K384" s="2"/>
      <c r="L384" s="2"/>
      <c r="M384" s="2"/>
      <c r="N384" s="2"/>
      <c r="O384" s="23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</row>
    <row r="385" spans="1:32" ht="14">
      <c r="A385" s="2"/>
      <c r="B385" s="2"/>
      <c r="C385" s="2"/>
      <c r="D385" s="2"/>
      <c r="E385" s="2"/>
      <c r="F385" s="569"/>
      <c r="G385" s="2"/>
      <c r="H385" s="2"/>
      <c r="I385" s="2"/>
      <c r="J385" s="366"/>
      <c r="K385" s="2"/>
      <c r="L385" s="2"/>
      <c r="M385" s="2"/>
      <c r="N385" s="2"/>
      <c r="O385" s="23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</row>
    <row r="386" spans="1:32" ht="14">
      <c r="A386" s="2"/>
      <c r="B386" s="2"/>
      <c r="C386" s="2"/>
      <c r="D386" s="2"/>
      <c r="E386" s="2"/>
      <c r="F386" s="569"/>
      <c r="G386" s="2"/>
      <c r="H386" s="2"/>
      <c r="I386" s="2"/>
      <c r="J386" s="366"/>
      <c r="K386" s="2"/>
      <c r="L386" s="2"/>
      <c r="M386" s="2"/>
      <c r="N386" s="2"/>
      <c r="O386" s="23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</row>
    <row r="387" spans="1:32" ht="14">
      <c r="A387" s="2"/>
      <c r="B387" s="2"/>
      <c r="C387" s="2"/>
      <c r="D387" s="2"/>
      <c r="E387" s="2"/>
      <c r="F387" s="569"/>
      <c r="G387" s="2"/>
      <c r="H387" s="2"/>
      <c r="I387" s="2"/>
      <c r="J387" s="366"/>
      <c r="K387" s="2"/>
      <c r="L387" s="2"/>
      <c r="M387" s="2"/>
      <c r="N387" s="2"/>
      <c r="O387" s="23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</row>
    <row r="388" spans="1:32" ht="14">
      <c r="A388" s="2"/>
      <c r="B388" s="2"/>
      <c r="C388" s="2"/>
      <c r="D388" s="2"/>
      <c r="E388" s="2"/>
      <c r="F388" s="569"/>
      <c r="G388" s="2"/>
      <c r="H388" s="2"/>
      <c r="I388" s="2"/>
      <c r="J388" s="366"/>
      <c r="K388" s="2"/>
      <c r="L388" s="2"/>
      <c r="M388" s="2"/>
      <c r="N388" s="2"/>
      <c r="O388" s="23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</row>
    <row r="389" spans="1:32" ht="14">
      <c r="A389" s="2"/>
      <c r="B389" s="2"/>
      <c r="C389" s="2"/>
      <c r="D389" s="2"/>
      <c r="E389" s="2"/>
      <c r="F389" s="569"/>
      <c r="G389" s="2"/>
      <c r="H389" s="2"/>
      <c r="I389" s="2"/>
      <c r="J389" s="366"/>
      <c r="K389" s="2"/>
      <c r="L389" s="2"/>
      <c r="M389" s="2"/>
      <c r="N389" s="2"/>
      <c r="O389" s="23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</row>
    <row r="390" spans="1:32" ht="14">
      <c r="A390" s="2"/>
      <c r="B390" s="2"/>
      <c r="C390" s="2"/>
      <c r="D390" s="2"/>
      <c r="E390" s="2"/>
      <c r="F390" s="569"/>
      <c r="G390" s="2"/>
      <c r="H390" s="2"/>
      <c r="I390" s="2"/>
      <c r="J390" s="366"/>
      <c r="K390" s="2"/>
      <c r="L390" s="2"/>
      <c r="M390" s="2"/>
      <c r="N390" s="2"/>
      <c r="O390" s="23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</row>
    <row r="391" spans="1:32" ht="14">
      <c r="A391" s="2"/>
      <c r="B391" s="2"/>
      <c r="C391" s="2"/>
      <c r="D391" s="2"/>
      <c r="E391" s="2"/>
      <c r="F391" s="569"/>
      <c r="G391" s="2"/>
      <c r="H391" s="2"/>
      <c r="I391" s="2"/>
      <c r="J391" s="366"/>
      <c r="K391" s="2"/>
      <c r="L391" s="2"/>
      <c r="M391" s="2"/>
      <c r="N391" s="2"/>
      <c r="O391" s="23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</row>
    <row r="392" spans="1:32" ht="14">
      <c r="A392" s="2"/>
      <c r="B392" s="2"/>
      <c r="C392" s="2"/>
      <c r="D392" s="2"/>
      <c r="E392" s="2"/>
      <c r="F392" s="569"/>
      <c r="G392" s="2"/>
      <c r="H392" s="2"/>
      <c r="I392" s="2"/>
      <c r="J392" s="366"/>
      <c r="K392" s="2"/>
      <c r="L392" s="2"/>
      <c r="M392" s="2"/>
      <c r="N392" s="2"/>
      <c r="O392" s="23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</row>
    <row r="393" spans="1:32" ht="14">
      <c r="A393" s="2"/>
      <c r="B393" s="2"/>
      <c r="C393" s="2"/>
      <c r="D393" s="2"/>
      <c r="E393" s="2"/>
      <c r="F393" s="569"/>
      <c r="G393" s="2"/>
      <c r="H393" s="2"/>
      <c r="I393" s="2"/>
      <c r="J393" s="366"/>
      <c r="K393" s="2"/>
      <c r="L393" s="2"/>
      <c r="M393" s="2"/>
      <c r="N393" s="2"/>
      <c r="O393" s="23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</row>
    <row r="394" spans="1:32" ht="14">
      <c r="A394" s="2"/>
      <c r="B394" s="2"/>
      <c r="C394" s="2"/>
      <c r="D394" s="2"/>
      <c r="E394" s="2"/>
      <c r="F394" s="569"/>
      <c r="G394" s="2"/>
      <c r="H394" s="2"/>
      <c r="I394" s="2"/>
      <c r="J394" s="366"/>
      <c r="K394" s="2"/>
      <c r="L394" s="2"/>
      <c r="M394" s="2"/>
      <c r="N394" s="2"/>
      <c r="O394" s="23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</row>
    <row r="395" spans="1:32" ht="14">
      <c r="A395" s="2"/>
      <c r="B395" s="2"/>
      <c r="C395" s="2"/>
      <c r="D395" s="2"/>
      <c r="E395" s="2"/>
      <c r="F395" s="569"/>
      <c r="G395" s="2"/>
      <c r="H395" s="2"/>
      <c r="I395" s="2"/>
      <c r="J395" s="366"/>
      <c r="K395" s="2"/>
      <c r="L395" s="2"/>
      <c r="M395" s="2"/>
      <c r="N395" s="2"/>
      <c r="O395" s="23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</row>
    <row r="396" spans="1:32" ht="14">
      <c r="A396" s="2"/>
      <c r="B396" s="2"/>
      <c r="C396" s="2"/>
      <c r="D396" s="2"/>
      <c r="E396" s="2"/>
      <c r="F396" s="569"/>
      <c r="G396" s="2"/>
      <c r="H396" s="2"/>
      <c r="I396" s="2"/>
      <c r="J396" s="366"/>
      <c r="K396" s="2"/>
      <c r="L396" s="2"/>
      <c r="M396" s="2"/>
      <c r="N396" s="2"/>
      <c r="O396" s="23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</row>
    <row r="397" spans="1:32" ht="14">
      <c r="A397" s="2"/>
      <c r="B397" s="2"/>
      <c r="C397" s="2"/>
      <c r="D397" s="2"/>
      <c r="E397" s="2"/>
      <c r="F397" s="569"/>
      <c r="G397" s="2"/>
      <c r="H397" s="2"/>
      <c r="I397" s="2"/>
      <c r="J397" s="366"/>
      <c r="K397" s="2"/>
      <c r="L397" s="2"/>
      <c r="M397" s="2"/>
      <c r="N397" s="2"/>
      <c r="O397" s="23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</row>
    <row r="398" spans="1:32" ht="14">
      <c r="A398" s="2"/>
      <c r="B398" s="2"/>
      <c r="C398" s="2"/>
      <c r="D398" s="2"/>
      <c r="E398" s="2"/>
      <c r="F398" s="569"/>
      <c r="G398" s="2"/>
      <c r="H398" s="2"/>
      <c r="I398" s="2"/>
      <c r="J398" s="366"/>
      <c r="K398" s="2"/>
      <c r="L398" s="2"/>
      <c r="M398" s="2"/>
      <c r="N398" s="2"/>
      <c r="O398" s="23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</row>
    <row r="399" spans="1:32" ht="14">
      <c r="A399" s="2"/>
      <c r="B399" s="2"/>
      <c r="C399" s="2"/>
      <c r="D399" s="2"/>
      <c r="E399" s="2"/>
      <c r="F399" s="569"/>
      <c r="G399" s="2"/>
      <c r="H399" s="2"/>
      <c r="I399" s="2"/>
      <c r="J399" s="366"/>
      <c r="K399" s="2"/>
      <c r="L399" s="2"/>
      <c r="M399" s="2"/>
      <c r="N399" s="2"/>
      <c r="O399" s="23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</row>
    <row r="400" spans="1:32" ht="14">
      <c r="A400" s="2"/>
      <c r="B400" s="2"/>
      <c r="C400" s="2"/>
      <c r="D400" s="2"/>
      <c r="E400" s="2"/>
      <c r="F400" s="569"/>
      <c r="G400" s="2"/>
      <c r="H400" s="2"/>
      <c r="I400" s="2"/>
      <c r="J400" s="366"/>
      <c r="K400" s="2"/>
      <c r="L400" s="2"/>
      <c r="M400" s="2"/>
      <c r="N400" s="2"/>
      <c r="O400" s="23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</row>
    <row r="401" spans="1:32" ht="14">
      <c r="A401" s="2"/>
      <c r="B401" s="2"/>
      <c r="C401" s="2"/>
      <c r="D401" s="2"/>
      <c r="E401" s="2"/>
      <c r="F401" s="569"/>
      <c r="G401" s="2"/>
      <c r="H401" s="2"/>
      <c r="I401" s="2"/>
      <c r="J401" s="366"/>
      <c r="K401" s="2"/>
      <c r="L401" s="2"/>
      <c r="M401" s="2"/>
      <c r="N401" s="2"/>
      <c r="O401" s="23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</row>
    <row r="402" spans="1:32" ht="14">
      <c r="A402" s="2"/>
      <c r="B402" s="2"/>
      <c r="C402" s="2"/>
      <c r="D402" s="2"/>
      <c r="E402" s="2"/>
      <c r="F402" s="569"/>
      <c r="G402" s="2"/>
      <c r="H402" s="2"/>
      <c r="I402" s="2"/>
      <c r="J402" s="366"/>
      <c r="K402" s="2"/>
      <c r="L402" s="2"/>
      <c r="M402" s="2"/>
      <c r="N402" s="2"/>
      <c r="O402" s="23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</row>
    <row r="403" spans="1:32" ht="14">
      <c r="A403" s="2"/>
      <c r="B403" s="2"/>
      <c r="C403" s="2"/>
      <c r="D403" s="2"/>
      <c r="E403" s="2"/>
      <c r="F403" s="569"/>
      <c r="G403" s="2"/>
      <c r="H403" s="2"/>
      <c r="I403" s="2"/>
      <c r="J403" s="366"/>
      <c r="K403" s="2"/>
      <c r="L403" s="2"/>
      <c r="M403" s="2"/>
      <c r="N403" s="2"/>
      <c r="O403" s="23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</row>
    <row r="404" spans="1:32" ht="14">
      <c r="A404" s="2"/>
      <c r="B404" s="2"/>
      <c r="C404" s="2"/>
      <c r="D404" s="2"/>
      <c r="E404" s="2"/>
      <c r="F404" s="569"/>
      <c r="G404" s="2"/>
      <c r="H404" s="2"/>
      <c r="I404" s="2"/>
      <c r="J404" s="366"/>
      <c r="K404" s="2"/>
      <c r="L404" s="2"/>
      <c r="M404" s="2"/>
      <c r="N404" s="2"/>
      <c r="O404" s="23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</row>
    <row r="405" spans="1:32" ht="14">
      <c r="A405" s="2"/>
      <c r="B405" s="2"/>
      <c r="C405" s="2"/>
      <c r="D405" s="2"/>
      <c r="E405" s="2"/>
      <c r="F405" s="569"/>
      <c r="G405" s="2"/>
      <c r="H405" s="2"/>
      <c r="I405" s="2"/>
      <c r="J405" s="366"/>
      <c r="K405" s="2"/>
      <c r="L405" s="2"/>
      <c r="M405" s="2"/>
      <c r="N405" s="2"/>
      <c r="O405" s="23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</row>
    <row r="406" spans="1:32" ht="14">
      <c r="A406" s="2"/>
      <c r="B406" s="2"/>
      <c r="C406" s="2"/>
      <c r="D406" s="2"/>
      <c r="E406" s="2"/>
      <c r="F406" s="569"/>
      <c r="G406" s="2"/>
      <c r="H406" s="2"/>
      <c r="I406" s="2"/>
      <c r="J406" s="366"/>
      <c r="K406" s="2"/>
      <c r="L406" s="2"/>
      <c r="M406" s="2"/>
      <c r="N406" s="2"/>
      <c r="O406" s="23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</row>
    <row r="407" spans="1:32" ht="14">
      <c r="A407" s="2"/>
      <c r="B407" s="2"/>
      <c r="C407" s="2"/>
      <c r="D407" s="2"/>
      <c r="E407" s="2"/>
      <c r="F407" s="569"/>
      <c r="G407" s="2"/>
      <c r="H407" s="2"/>
      <c r="I407" s="2"/>
      <c r="J407" s="366"/>
      <c r="K407" s="2"/>
      <c r="L407" s="2"/>
      <c r="M407" s="2"/>
      <c r="N407" s="2"/>
      <c r="O407" s="23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</row>
    <row r="408" spans="1:32" ht="14">
      <c r="A408" s="2"/>
      <c r="B408" s="2"/>
      <c r="C408" s="2"/>
      <c r="D408" s="2"/>
      <c r="E408" s="2"/>
      <c r="F408" s="569"/>
      <c r="G408" s="2"/>
      <c r="H408" s="2"/>
      <c r="I408" s="2"/>
      <c r="J408" s="366"/>
      <c r="K408" s="2"/>
      <c r="L408" s="2"/>
      <c r="M408" s="2"/>
      <c r="N408" s="2"/>
      <c r="O408" s="23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</row>
    <row r="409" spans="1:32" ht="14">
      <c r="A409" s="2"/>
      <c r="B409" s="2"/>
      <c r="C409" s="2"/>
      <c r="D409" s="2"/>
      <c r="E409" s="2"/>
      <c r="F409" s="569"/>
      <c r="G409" s="2"/>
      <c r="H409" s="2"/>
      <c r="I409" s="2"/>
      <c r="J409" s="366"/>
      <c r="K409" s="2"/>
      <c r="L409" s="2"/>
      <c r="M409" s="2"/>
      <c r="N409" s="2"/>
      <c r="O409" s="23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</row>
    <row r="410" spans="1:32" ht="14">
      <c r="A410" s="2"/>
      <c r="B410" s="2"/>
      <c r="C410" s="2"/>
      <c r="D410" s="2"/>
      <c r="E410" s="2"/>
      <c r="F410" s="569"/>
      <c r="G410" s="2"/>
      <c r="H410" s="2"/>
      <c r="I410" s="2"/>
      <c r="J410" s="366"/>
      <c r="K410" s="2"/>
      <c r="L410" s="2"/>
      <c r="M410" s="2"/>
      <c r="N410" s="2"/>
      <c r="O410" s="23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</row>
    <row r="411" spans="1:32" ht="14">
      <c r="A411" s="2"/>
      <c r="B411" s="2"/>
      <c r="C411" s="2"/>
      <c r="D411" s="2"/>
      <c r="E411" s="2"/>
      <c r="F411" s="569"/>
      <c r="G411" s="2"/>
      <c r="H411" s="2"/>
      <c r="I411" s="2"/>
      <c r="J411" s="366"/>
      <c r="K411" s="2"/>
      <c r="L411" s="2"/>
      <c r="M411" s="2"/>
      <c r="N411" s="2"/>
      <c r="O411" s="23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</row>
    <row r="412" spans="1:32" ht="14">
      <c r="A412" s="2"/>
      <c r="B412" s="2"/>
      <c r="C412" s="2"/>
      <c r="D412" s="2"/>
      <c r="E412" s="2"/>
      <c r="F412" s="569"/>
      <c r="G412" s="2"/>
      <c r="H412" s="2"/>
      <c r="I412" s="2"/>
      <c r="J412" s="366"/>
      <c r="K412" s="2"/>
      <c r="L412" s="2"/>
      <c r="M412" s="2"/>
      <c r="N412" s="2"/>
      <c r="O412" s="23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</row>
    <row r="413" spans="1:32" ht="14">
      <c r="A413" s="2"/>
      <c r="B413" s="2"/>
      <c r="C413" s="2"/>
      <c r="D413" s="2"/>
      <c r="E413" s="2"/>
      <c r="F413" s="569"/>
      <c r="G413" s="2"/>
      <c r="H413" s="2"/>
      <c r="I413" s="2"/>
      <c r="J413" s="366"/>
      <c r="K413" s="2"/>
      <c r="L413" s="2"/>
      <c r="M413" s="2"/>
      <c r="N413" s="2"/>
      <c r="O413" s="23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</row>
    <row r="414" spans="1:32" ht="14">
      <c r="A414" s="2"/>
      <c r="B414" s="2"/>
      <c r="C414" s="2"/>
      <c r="D414" s="2"/>
      <c r="E414" s="2"/>
      <c r="F414" s="569"/>
      <c r="G414" s="2"/>
      <c r="H414" s="2"/>
      <c r="I414" s="2"/>
      <c r="J414" s="366"/>
      <c r="K414" s="2"/>
      <c r="L414" s="2"/>
      <c r="M414" s="2"/>
      <c r="N414" s="2"/>
      <c r="O414" s="23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</row>
    <row r="415" spans="1:32" ht="14">
      <c r="A415" s="2"/>
      <c r="B415" s="2"/>
      <c r="C415" s="2"/>
      <c r="D415" s="2"/>
      <c r="E415" s="2"/>
      <c r="F415" s="569"/>
      <c r="G415" s="2"/>
      <c r="H415" s="2"/>
      <c r="I415" s="2"/>
      <c r="J415" s="366"/>
      <c r="K415" s="2"/>
      <c r="L415" s="2"/>
      <c r="M415" s="2"/>
      <c r="N415" s="2"/>
      <c r="O415" s="23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</row>
    <row r="416" spans="1:32" ht="14">
      <c r="A416" s="2"/>
      <c r="B416" s="2"/>
      <c r="C416" s="2"/>
      <c r="D416" s="2"/>
      <c r="E416" s="2"/>
      <c r="F416" s="569"/>
      <c r="G416" s="2"/>
      <c r="H416" s="2"/>
      <c r="I416" s="2"/>
      <c r="J416" s="366"/>
      <c r="K416" s="2"/>
      <c r="L416" s="2"/>
      <c r="M416" s="2"/>
      <c r="N416" s="2"/>
      <c r="O416" s="23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</row>
    <row r="417" spans="1:32" ht="14">
      <c r="A417" s="2"/>
      <c r="B417" s="2"/>
      <c r="C417" s="2"/>
      <c r="D417" s="2"/>
      <c r="E417" s="2"/>
      <c r="F417" s="569"/>
      <c r="G417" s="2"/>
      <c r="H417" s="2"/>
      <c r="I417" s="2"/>
      <c r="J417" s="366"/>
      <c r="K417" s="2"/>
      <c r="L417" s="2"/>
      <c r="M417" s="2"/>
      <c r="N417" s="2"/>
      <c r="O417" s="23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</row>
    <row r="418" spans="1:32" ht="14">
      <c r="A418" s="2"/>
      <c r="B418" s="2"/>
      <c r="C418" s="2"/>
      <c r="D418" s="2"/>
      <c r="E418" s="2"/>
      <c r="F418" s="569"/>
      <c r="G418" s="2"/>
      <c r="H418" s="2"/>
      <c r="I418" s="2"/>
      <c r="J418" s="366"/>
      <c r="K418" s="2"/>
      <c r="L418" s="2"/>
      <c r="M418" s="2"/>
      <c r="N418" s="2"/>
      <c r="O418" s="23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</row>
    <row r="419" spans="1:32" ht="14">
      <c r="A419" s="2"/>
      <c r="B419" s="2"/>
      <c r="C419" s="2"/>
      <c r="D419" s="2"/>
      <c r="E419" s="2"/>
      <c r="F419" s="569"/>
      <c r="G419" s="2"/>
      <c r="H419" s="2"/>
      <c r="I419" s="2"/>
      <c r="J419" s="366"/>
      <c r="K419" s="2"/>
      <c r="L419" s="2"/>
      <c r="M419" s="2"/>
      <c r="N419" s="2"/>
      <c r="O419" s="23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</row>
    <row r="420" spans="1:32" ht="14">
      <c r="A420" s="2"/>
      <c r="B420" s="2"/>
      <c r="C420" s="2"/>
      <c r="D420" s="2"/>
      <c r="E420" s="2"/>
      <c r="F420" s="569"/>
      <c r="G420" s="2"/>
      <c r="H420" s="2"/>
      <c r="I420" s="2"/>
      <c r="J420" s="366"/>
      <c r="K420" s="2"/>
      <c r="L420" s="2"/>
      <c r="M420" s="2"/>
      <c r="N420" s="2"/>
      <c r="O420" s="23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</row>
    <row r="421" spans="1:32" ht="14">
      <c r="A421" s="2"/>
      <c r="B421" s="2"/>
      <c r="C421" s="2"/>
      <c r="D421" s="2"/>
      <c r="E421" s="2"/>
      <c r="F421" s="569"/>
      <c r="G421" s="2"/>
      <c r="H421" s="2"/>
      <c r="I421" s="2"/>
      <c r="J421" s="366"/>
      <c r="K421" s="2"/>
      <c r="L421" s="2"/>
      <c r="M421" s="2"/>
      <c r="N421" s="2"/>
      <c r="O421" s="23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</row>
    <row r="422" spans="1:32" ht="14">
      <c r="A422" s="2"/>
      <c r="B422" s="2"/>
      <c r="C422" s="2"/>
      <c r="D422" s="2"/>
      <c r="E422" s="2"/>
      <c r="F422" s="569"/>
      <c r="G422" s="2"/>
      <c r="H422" s="2"/>
      <c r="I422" s="2"/>
      <c r="J422" s="366"/>
      <c r="K422" s="2"/>
      <c r="L422" s="2"/>
      <c r="M422" s="2"/>
      <c r="N422" s="2"/>
      <c r="O422" s="23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</row>
    <row r="423" spans="1:32" ht="14">
      <c r="A423" s="2"/>
      <c r="B423" s="2"/>
      <c r="C423" s="2"/>
      <c r="D423" s="2"/>
      <c r="E423" s="2"/>
      <c r="F423" s="569"/>
      <c r="G423" s="2"/>
      <c r="H423" s="2"/>
      <c r="I423" s="2"/>
      <c r="J423" s="366"/>
      <c r="K423" s="2"/>
      <c r="L423" s="2"/>
      <c r="M423" s="2"/>
      <c r="N423" s="2"/>
      <c r="O423" s="23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</row>
    <row r="424" spans="1:32" ht="14">
      <c r="A424" s="2"/>
      <c r="B424" s="2"/>
      <c r="C424" s="2"/>
      <c r="D424" s="2"/>
      <c r="E424" s="2"/>
      <c r="F424" s="569"/>
      <c r="G424" s="2"/>
      <c r="H424" s="2"/>
      <c r="I424" s="2"/>
      <c r="J424" s="366"/>
      <c r="K424" s="2"/>
      <c r="L424" s="2"/>
      <c r="M424" s="2"/>
      <c r="N424" s="2"/>
      <c r="O424" s="23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</row>
    <row r="425" spans="1:32" ht="14">
      <c r="A425" s="2"/>
      <c r="B425" s="2"/>
      <c r="C425" s="2"/>
      <c r="D425" s="2"/>
      <c r="E425" s="2"/>
      <c r="F425" s="569"/>
      <c r="G425" s="2"/>
      <c r="H425" s="2"/>
      <c r="I425" s="2"/>
      <c r="J425" s="366"/>
      <c r="K425" s="2"/>
      <c r="L425" s="2"/>
      <c r="M425" s="2"/>
      <c r="N425" s="2"/>
      <c r="O425" s="23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</row>
    <row r="426" spans="1:32" ht="14">
      <c r="A426" s="2"/>
      <c r="B426" s="2"/>
      <c r="C426" s="2"/>
      <c r="D426" s="2"/>
      <c r="E426" s="2"/>
      <c r="F426" s="569"/>
      <c r="G426" s="2"/>
      <c r="H426" s="2"/>
      <c r="I426" s="2"/>
      <c r="J426" s="366"/>
      <c r="K426" s="2"/>
      <c r="L426" s="2"/>
      <c r="M426" s="2"/>
      <c r="N426" s="2"/>
      <c r="O426" s="23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</row>
    <row r="427" spans="1:32" ht="14">
      <c r="A427" s="2"/>
      <c r="B427" s="2"/>
      <c r="C427" s="2"/>
      <c r="D427" s="2"/>
      <c r="E427" s="2"/>
      <c r="F427" s="569"/>
      <c r="G427" s="2"/>
      <c r="H427" s="2"/>
      <c r="I427" s="2"/>
      <c r="J427" s="366"/>
      <c r="K427" s="2"/>
      <c r="L427" s="2"/>
      <c r="M427" s="2"/>
      <c r="N427" s="2"/>
      <c r="O427" s="23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</row>
    <row r="428" spans="1:32" ht="14">
      <c r="A428" s="2"/>
      <c r="B428" s="2"/>
      <c r="C428" s="2"/>
      <c r="D428" s="2"/>
      <c r="E428" s="2"/>
      <c r="F428" s="569"/>
      <c r="G428" s="2"/>
      <c r="H428" s="2"/>
      <c r="I428" s="2"/>
      <c r="J428" s="366"/>
      <c r="K428" s="2"/>
      <c r="L428" s="2"/>
      <c r="M428" s="2"/>
      <c r="N428" s="2"/>
      <c r="O428" s="23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</row>
    <row r="429" spans="1:32" ht="14">
      <c r="A429" s="2"/>
      <c r="B429" s="2"/>
      <c r="C429" s="2"/>
      <c r="D429" s="2"/>
      <c r="E429" s="2"/>
      <c r="F429" s="569"/>
      <c r="G429" s="2"/>
      <c r="H429" s="2"/>
      <c r="I429" s="2"/>
      <c r="J429" s="366"/>
      <c r="K429" s="2"/>
      <c r="L429" s="2"/>
      <c r="M429" s="2"/>
      <c r="N429" s="2"/>
      <c r="O429" s="23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</row>
    <row r="430" spans="1:32" ht="14">
      <c r="A430" s="2"/>
      <c r="B430" s="2"/>
      <c r="C430" s="2"/>
      <c r="D430" s="2"/>
      <c r="E430" s="2"/>
      <c r="F430" s="569"/>
      <c r="G430" s="2"/>
      <c r="H430" s="2"/>
      <c r="I430" s="2"/>
      <c r="J430" s="366"/>
      <c r="K430" s="2"/>
      <c r="L430" s="2"/>
      <c r="M430" s="2"/>
      <c r="N430" s="2"/>
      <c r="O430" s="23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</row>
    <row r="431" spans="1:32" ht="14">
      <c r="A431" s="2"/>
      <c r="B431" s="2"/>
      <c r="C431" s="2"/>
      <c r="D431" s="2"/>
      <c r="E431" s="2"/>
      <c r="F431" s="569"/>
      <c r="G431" s="2"/>
      <c r="H431" s="2"/>
      <c r="I431" s="2"/>
      <c r="J431" s="366"/>
      <c r="K431" s="2"/>
      <c r="L431" s="2"/>
      <c r="M431" s="2"/>
      <c r="N431" s="2"/>
      <c r="O431" s="23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</row>
    <row r="432" spans="1:32" ht="14">
      <c r="A432" s="2"/>
      <c r="B432" s="2"/>
      <c r="C432" s="2"/>
      <c r="D432" s="2"/>
      <c r="E432" s="2"/>
      <c r="F432" s="569"/>
      <c r="G432" s="2"/>
      <c r="H432" s="2"/>
      <c r="I432" s="2"/>
      <c r="J432" s="366"/>
      <c r="K432" s="2"/>
      <c r="L432" s="2"/>
      <c r="M432" s="2"/>
      <c r="N432" s="2"/>
      <c r="O432" s="23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</row>
    <row r="433" spans="1:32" ht="14">
      <c r="A433" s="2"/>
      <c r="B433" s="2"/>
      <c r="C433" s="2"/>
      <c r="D433" s="2"/>
      <c r="E433" s="2"/>
      <c r="F433" s="569"/>
      <c r="G433" s="2"/>
      <c r="H433" s="2"/>
      <c r="I433" s="2"/>
      <c r="J433" s="366"/>
      <c r="K433" s="2"/>
      <c r="L433" s="2"/>
      <c r="M433" s="2"/>
      <c r="N433" s="2"/>
      <c r="O433" s="23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</row>
    <row r="434" spans="1:32" ht="14">
      <c r="A434" s="2"/>
      <c r="B434" s="2"/>
      <c r="C434" s="2"/>
      <c r="D434" s="2"/>
      <c r="E434" s="2"/>
      <c r="F434" s="569"/>
      <c r="G434" s="2"/>
      <c r="H434" s="2"/>
      <c r="I434" s="2"/>
      <c r="J434" s="366"/>
      <c r="K434" s="2"/>
      <c r="L434" s="2"/>
      <c r="M434" s="2"/>
      <c r="N434" s="2"/>
      <c r="O434" s="23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</row>
    <row r="435" spans="1:32" ht="14">
      <c r="A435" s="2"/>
      <c r="B435" s="2"/>
      <c r="C435" s="2"/>
      <c r="D435" s="2"/>
      <c r="E435" s="2"/>
      <c r="F435" s="569"/>
      <c r="G435" s="2"/>
      <c r="H435" s="2"/>
      <c r="I435" s="2"/>
      <c r="J435" s="366"/>
      <c r="K435" s="2"/>
      <c r="L435" s="2"/>
      <c r="M435" s="2"/>
      <c r="N435" s="2"/>
      <c r="O435" s="23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</row>
    <row r="436" spans="1:32" ht="14">
      <c r="A436" s="2"/>
      <c r="B436" s="2"/>
      <c r="C436" s="2"/>
      <c r="D436" s="2"/>
      <c r="E436" s="2"/>
      <c r="F436" s="569"/>
      <c r="G436" s="2"/>
      <c r="H436" s="2"/>
      <c r="I436" s="2"/>
      <c r="J436" s="366"/>
      <c r="K436" s="2"/>
      <c r="L436" s="2"/>
      <c r="M436" s="2"/>
      <c r="N436" s="2"/>
      <c r="O436" s="23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</row>
    <row r="437" spans="1:32" ht="14">
      <c r="A437" s="2"/>
      <c r="B437" s="2"/>
      <c r="C437" s="2"/>
      <c r="D437" s="2"/>
      <c r="E437" s="2"/>
      <c r="F437" s="569"/>
      <c r="G437" s="2"/>
      <c r="H437" s="2"/>
      <c r="I437" s="2"/>
      <c r="J437" s="366"/>
      <c r="K437" s="2"/>
      <c r="L437" s="2"/>
      <c r="M437" s="2"/>
      <c r="N437" s="2"/>
      <c r="O437" s="23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</row>
    <row r="438" spans="1:32" ht="14">
      <c r="A438" s="2"/>
      <c r="B438" s="2"/>
      <c r="C438" s="2"/>
      <c r="D438" s="2"/>
      <c r="E438" s="2"/>
      <c r="F438" s="569"/>
      <c r="G438" s="2"/>
      <c r="H438" s="2"/>
      <c r="I438" s="2"/>
      <c r="J438" s="366"/>
      <c r="K438" s="2"/>
      <c r="L438" s="2"/>
      <c r="M438" s="2"/>
      <c r="N438" s="2"/>
      <c r="O438" s="23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</row>
    <row r="439" spans="1:32" ht="14">
      <c r="A439" s="2"/>
      <c r="B439" s="2"/>
      <c r="C439" s="2"/>
      <c r="D439" s="2"/>
      <c r="E439" s="2"/>
      <c r="F439" s="569"/>
      <c r="G439" s="2"/>
      <c r="H439" s="2"/>
      <c r="I439" s="2"/>
      <c r="J439" s="366"/>
      <c r="K439" s="2"/>
      <c r="L439" s="2"/>
      <c r="M439" s="2"/>
      <c r="N439" s="2"/>
      <c r="O439" s="23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</row>
    <row r="440" spans="1:32" ht="14">
      <c r="A440" s="2"/>
      <c r="B440" s="2"/>
      <c r="C440" s="2"/>
      <c r="D440" s="2"/>
      <c r="E440" s="2"/>
      <c r="F440" s="569"/>
      <c r="G440" s="2"/>
      <c r="H440" s="2"/>
      <c r="I440" s="2"/>
      <c r="J440" s="366"/>
      <c r="K440" s="2"/>
      <c r="L440" s="2"/>
      <c r="M440" s="2"/>
      <c r="N440" s="2"/>
      <c r="O440" s="23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</row>
    <row r="441" spans="1:32" ht="14">
      <c r="A441" s="2"/>
      <c r="B441" s="2"/>
      <c r="C441" s="2"/>
      <c r="D441" s="2"/>
      <c r="E441" s="2"/>
      <c r="F441" s="569"/>
      <c r="G441" s="2"/>
      <c r="H441" s="2"/>
      <c r="I441" s="2"/>
      <c r="J441" s="366"/>
      <c r="K441" s="2"/>
      <c r="L441" s="2"/>
      <c r="M441" s="2"/>
      <c r="N441" s="2"/>
      <c r="O441" s="23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</row>
    <row r="442" spans="1:32" ht="14">
      <c r="A442" s="2"/>
      <c r="B442" s="2"/>
      <c r="C442" s="2"/>
      <c r="D442" s="2"/>
      <c r="E442" s="2"/>
      <c r="F442" s="569"/>
      <c r="G442" s="2"/>
      <c r="H442" s="2"/>
      <c r="I442" s="2"/>
      <c r="J442" s="366"/>
      <c r="K442" s="2"/>
      <c r="L442" s="2"/>
      <c r="M442" s="2"/>
      <c r="N442" s="2"/>
      <c r="O442" s="23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</row>
    <row r="443" spans="1:32" ht="14">
      <c r="A443" s="2"/>
      <c r="B443" s="2"/>
      <c r="C443" s="2"/>
      <c r="D443" s="2"/>
      <c r="E443" s="2"/>
      <c r="F443" s="569"/>
      <c r="G443" s="2"/>
      <c r="H443" s="2"/>
      <c r="I443" s="2"/>
      <c r="J443" s="366"/>
      <c r="K443" s="2"/>
      <c r="L443" s="2"/>
      <c r="M443" s="2"/>
      <c r="N443" s="2"/>
      <c r="O443" s="23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</row>
    <row r="444" spans="1:32" ht="14">
      <c r="A444" s="2"/>
      <c r="B444" s="2"/>
      <c r="C444" s="2"/>
      <c r="D444" s="2"/>
      <c r="E444" s="2"/>
      <c r="F444" s="569"/>
      <c r="G444" s="2"/>
      <c r="H444" s="2"/>
      <c r="I444" s="2"/>
      <c r="J444" s="366"/>
      <c r="K444" s="2"/>
      <c r="L444" s="2"/>
      <c r="M444" s="2"/>
      <c r="N444" s="2"/>
      <c r="O444" s="23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</row>
    <row r="445" spans="1:32" ht="14">
      <c r="A445" s="2"/>
      <c r="B445" s="2"/>
      <c r="C445" s="2"/>
      <c r="D445" s="2"/>
      <c r="E445" s="2"/>
      <c r="F445" s="569"/>
      <c r="G445" s="2"/>
      <c r="H445" s="2"/>
      <c r="I445" s="2"/>
      <c r="J445" s="366"/>
      <c r="K445" s="2"/>
      <c r="L445" s="2"/>
      <c r="M445" s="2"/>
      <c r="N445" s="2"/>
      <c r="O445" s="23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</row>
    <row r="446" spans="1:32" ht="14">
      <c r="A446" s="2"/>
      <c r="B446" s="2"/>
      <c r="C446" s="2"/>
      <c r="D446" s="2"/>
      <c r="E446" s="2"/>
      <c r="F446" s="569"/>
      <c r="G446" s="2"/>
      <c r="H446" s="2"/>
      <c r="I446" s="2"/>
      <c r="J446" s="366"/>
      <c r="K446" s="2"/>
      <c r="L446" s="2"/>
      <c r="M446" s="2"/>
      <c r="N446" s="2"/>
      <c r="O446" s="23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</row>
    <row r="447" spans="1:32" ht="14">
      <c r="A447" s="2"/>
      <c r="B447" s="2"/>
      <c r="C447" s="2"/>
      <c r="D447" s="2"/>
      <c r="E447" s="2"/>
      <c r="F447" s="569"/>
      <c r="G447" s="2"/>
      <c r="H447" s="2"/>
      <c r="I447" s="2"/>
      <c r="J447" s="366"/>
      <c r="K447" s="2"/>
      <c r="L447" s="2"/>
      <c r="M447" s="2"/>
      <c r="N447" s="2"/>
      <c r="O447" s="23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</row>
    <row r="448" spans="1:32" ht="14">
      <c r="A448" s="2"/>
      <c r="B448" s="2"/>
      <c r="C448" s="2"/>
      <c r="D448" s="2"/>
      <c r="E448" s="2"/>
      <c r="F448" s="569"/>
      <c r="G448" s="2"/>
      <c r="H448" s="2"/>
      <c r="I448" s="2"/>
      <c r="J448" s="366"/>
      <c r="K448" s="2"/>
      <c r="L448" s="2"/>
      <c r="M448" s="2"/>
      <c r="N448" s="2"/>
      <c r="O448" s="23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</row>
    <row r="449" spans="1:32" ht="14">
      <c r="A449" s="2"/>
      <c r="B449" s="2"/>
      <c r="C449" s="2"/>
      <c r="D449" s="2"/>
      <c r="E449" s="2"/>
      <c r="F449" s="569"/>
      <c r="G449" s="2"/>
      <c r="H449" s="2"/>
      <c r="I449" s="2"/>
      <c r="J449" s="366"/>
      <c r="K449" s="2"/>
      <c r="L449" s="2"/>
      <c r="M449" s="2"/>
      <c r="N449" s="2"/>
      <c r="O449" s="23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</row>
    <row r="450" spans="1:32" ht="14">
      <c r="A450" s="2"/>
      <c r="B450" s="2"/>
      <c r="C450" s="2"/>
      <c r="D450" s="2"/>
      <c r="E450" s="2"/>
      <c r="F450" s="569"/>
      <c r="G450" s="2"/>
      <c r="H450" s="2"/>
      <c r="I450" s="2"/>
      <c r="J450" s="366"/>
      <c r="K450" s="2"/>
      <c r="L450" s="2"/>
      <c r="M450" s="2"/>
      <c r="N450" s="2"/>
      <c r="O450" s="23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</row>
    <row r="451" spans="1:32" ht="14">
      <c r="A451" s="2"/>
      <c r="B451" s="2"/>
      <c r="C451" s="2"/>
      <c r="D451" s="2"/>
      <c r="E451" s="2"/>
      <c r="F451" s="569"/>
      <c r="G451" s="2"/>
      <c r="H451" s="2"/>
      <c r="I451" s="2"/>
      <c r="J451" s="366"/>
      <c r="K451" s="2"/>
      <c r="L451" s="2"/>
      <c r="M451" s="2"/>
      <c r="N451" s="2"/>
      <c r="O451" s="23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</row>
    <row r="452" spans="1:32" ht="14">
      <c r="A452" s="2"/>
      <c r="B452" s="2"/>
      <c r="C452" s="2"/>
      <c r="D452" s="2"/>
      <c r="E452" s="2"/>
      <c r="F452" s="569"/>
      <c r="G452" s="2"/>
      <c r="H452" s="2"/>
      <c r="I452" s="2"/>
      <c r="J452" s="366"/>
      <c r="K452" s="2"/>
      <c r="L452" s="2"/>
      <c r="M452" s="2"/>
      <c r="N452" s="2"/>
      <c r="O452" s="23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</row>
    <row r="453" spans="1:32" ht="14">
      <c r="A453" s="2"/>
      <c r="B453" s="2"/>
      <c r="C453" s="2"/>
      <c r="D453" s="2"/>
      <c r="E453" s="2"/>
      <c r="F453" s="569"/>
      <c r="G453" s="2"/>
      <c r="H453" s="2"/>
      <c r="I453" s="2"/>
      <c r="J453" s="366"/>
      <c r="K453" s="2"/>
      <c r="L453" s="2"/>
      <c r="M453" s="2"/>
      <c r="N453" s="2"/>
      <c r="O453" s="23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</row>
    <row r="454" spans="1:32" ht="14">
      <c r="A454" s="2"/>
      <c r="B454" s="2"/>
      <c r="C454" s="2"/>
      <c r="D454" s="2"/>
      <c r="E454" s="2"/>
      <c r="F454" s="569"/>
      <c r="G454" s="2"/>
      <c r="H454" s="2"/>
      <c r="I454" s="2"/>
      <c r="J454" s="366"/>
      <c r="K454" s="2"/>
      <c r="L454" s="2"/>
      <c r="M454" s="2"/>
      <c r="N454" s="2"/>
      <c r="O454" s="23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</row>
    <row r="455" spans="1:32" ht="14">
      <c r="A455" s="2"/>
      <c r="B455" s="2"/>
      <c r="C455" s="2"/>
      <c r="D455" s="2"/>
      <c r="E455" s="2"/>
      <c r="F455" s="569"/>
      <c r="G455" s="2"/>
      <c r="H455" s="2"/>
      <c r="I455" s="2"/>
      <c r="J455" s="366"/>
      <c r="K455" s="2"/>
      <c r="L455" s="2"/>
      <c r="M455" s="2"/>
      <c r="N455" s="2"/>
      <c r="O455" s="23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</row>
    <row r="456" spans="1:32" ht="14">
      <c r="A456" s="2"/>
      <c r="B456" s="2"/>
      <c r="C456" s="2"/>
      <c r="D456" s="2"/>
      <c r="E456" s="2"/>
      <c r="F456" s="569"/>
      <c r="G456" s="2"/>
      <c r="H456" s="2"/>
      <c r="I456" s="2"/>
      <c r="J456" s="366"/>
      <c r="K456" s="2"/>
      <c r="L456" s="2"/>
      <c r="M456" s="2"/>
      <c r="N456" s="2"/>
      <c r="O456" s="23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</row>
    <row r="457" spans="1:32" ht="14">
      <c r="A457" s="2"/>
      <c r="B457" s="2"/>
      <c r="C457" s="2"/>
      <c r="D457" s="2"/>
      <c r="E457" s="2"/>
      <c r="F457" s="569"/>
      <c r="G457" s="2"/>
      <c r="H457" s="2"/>
      <c r="I457" s="2"/>
      <c r="J457" s="366"/>
      <c r="K457" s="2"/>
      <c r="L457" s="2"/>
      <c r="M457" s="2"/>
      <c r="N457" s="2"/>
      <c r="O457" s="23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</row>
    <row r="458" spans="1:32" ht="14">
      <c r="A458" s="2"/>
      <c r="B458" s="2"/>
      <c r="C458" s="2"/>
      <c r="D458" s="2"/>
      <c r="E458" s="2"/>
      <c r="F458" s="569"/>
      <c r="G458" s="2"/>
      <c r="H458" s="2"/>
      <c r="I458" s="2"/>
      <c r="J458" s="366"/>
      <c r="K458" s="2"/>
      <c r="L458" s="2"/>
      <c r="M458" s="2"/>
      <c r="N458" s="2"/>
      <c r="O458" s="23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</row>
    <row r="459" spans="1:32" ht="14">
      <c r="A459" s="2"/>
      <c r="B459" s="2"/>
      <c r="C459" s="2"/>
      <c r="D459" s="2"/>
      <c r="E459" s="2"/>
      <c r="F459" s="569"/>
      <c r="G459" s="2"/>
      <c r="H459" s="2"/>
      <c r="I459" s="2"/>
      <c r="J459" s="366"/>
      <c r="K459" s="2"/>
      <c r="L459" s="2"/>
      <c r="M459" s="2"/>
      <c r="N459" s="2"/>
      <c r="O459" s="23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</row>
    <row r="460" spans="1:32" ht="14">
      <c r="A460" s="2"/>
      <c r="B460" s="2"/>
      <c r="C460" s="2"/>
      <c r="D460" s="2"/>
      <c r="E460" s="2"/>
      <c r="F460" s="569"/>
      <c r="G460" s="2"/>
      <c r="H460" s="2"/>
      <c r="I460" s="2"/>
      <c r="J460" s="366"/>
      <c r="K460" s="2"/>
      <c r="L460" s="2"/>
      <c r="M460" s="2"/>
      <c r="N460" s="2"/>
      <c r="O460" s="23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</row>
    <row r="461" spans="1:32" ht="14">
      <c r="A461" s="2"/>
      <c r="B461" s="2"/>
      <c r="C461" s="2"/>
      <c r="D461" s="2"/>
      <c r="E461" s="2"/>
      <c r="F461" s="569"/>
      <c r="G461" s="2"/>
      <c r="H461" s="2"/>
      <c r="I461" s="2"/>
      <c r="J461" s="366"/>
      <c r="K461" s="2"/>
      <c r="L461" s="2"/>
      <c r="M461" s="2"/>
      <c r="N461" s="2"/>
      <c r="O461" s="23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</row>
    <row r="462" spans="1:32" ht="14">
      <c r="A462" s="2"/>
      <c r="B462" s="2"/>
      <c r="C462" s="2"/>
      <c r="D462" s="2"/>
      <c r="E462" s="2"/>
      <c r="F462" s="569"/>
      <c r="G462" s="2"/>
      <c r="H462" s="2"/>
      <c r="I462" s="2"/>
      <c r="J462" s="366"/>
      <c r="K462" s="2"/>
      <c r="L462" s="2"/>
      <c r="M462" s="2"/>
      <c r="N462" s="2"/>
      <c r="O462" s="23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</row>
    <row r="463" spans="1:32" ht="14">
      <c r="A463" s="2"/>
      <c r="B463" s="2"/>
      <c r="C463" s="2"/>
      <c r="D463" s="2"/>
      <c r="E463" s="2"/>
      <c r="F463" s="569"/>
      <c r="G463" s="2"/>
      <c r="H463" s="2"/>
      <c r="I463" s="2"/>
      <c r="J463" s="366"/>
      <c r="K463" s="2"/>
      <c r="L463" s="2"/>
      <c r="M463" s="2"/>
      <c r="N463" s="2"/>
      <c r="O463" s="23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</row>
    <row r="464" spans="1:32" ht="14">
      <c r="A464" s="2"/>
      <c r="B464" s="2"/>
      <c r="C464" s="2"/>
      <c r="D464" s="2"/>
      <c r="E464" s="2"/>
      <c r="F464" s="569"/>
      <c r="G464" s="2"/>
      <c r="H464" s="2"/>
      <c r="I464" s="2"/>
      <c r="J464" s="366"/>
      <c r="K464" s="2"/>
      <c r="L464" s="2"/>
      <c r="M464" s="2"/>
      <c r="N464" s="2"/>
      <c r="O464" s="23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</row>
    <row r="465" spans="1:32" ht="14">
      <c r="A465" s="2"/>
      <c r="B465" s="2"/>
      <c r="C465" s="2"/>
      <c r="D465" s="2"/>
      <c r="E465" s="2"/>
      <c r="F465" s="569"/>
      <c r="G465" s="2"/>
      <c r="H465" s="2"/>
      <c r="I465" s="2"/>
      <c r="J465" s="366"/>
      <c r="K465" s="2"/>
      <c r="L465" s="2"/>
      <c r="M465" s="2"/>
      <c r="N465" s="2"/>
      <c r="O465" s="23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</row>
    <row r="466" spans="1:32" ht="14">
      <c r="A466" s="2"/>
      <c r="B466" s="2"/>
      <c r="C466" s="2"/>
      <c r="D466" s="2"/>
      <c r="E466" s="2"/>
      <c r="F466" s="569"/>
      <c r="G466" s="2"/>
      <c r="H466" s="2"/>
      <c r="I466" s="2"/>
      <c r="J466" s="366"/>
      <c r="K466" s="2"/>
      <c r="L466" s="2"/>
      <c r="M466" s="2"/>
      <c r="N466" s="2"/>
      <c r="O466" s="23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</row>
    <row r="467" spans="1:32" ht="14">
      <c r="A467" s="2"/>
      <c r="B467" s="2"/>
      <c r="C467" s="2"/>
      <c r="D467" s="2"/>
      <c r="E467" s="2"/>
      <c r="F467" s="569"/>
      <c r="G467" s="2"/>
      <c r="H467" s="2"/>
      <c r="I467" s="2"/>
      <c r="J467" s="366"/>
      <c r="K467" s="2"/>
      <c r="L467" s="2"/>
      <c r="M467" s="2"/>
      <c r="N467" s="2"/>
      <c r="O467" s="23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</row>
    <row r="468" spans="1:32" ht="14">
      <c r="A468" s="2"/>
      <c r="B468" s="2"/>
      <c r="C468" s="2"/>
      <c r="D468" s="2"/>
      <c r="E468" s="2"/>
      <c r="F468" s="569"/>
      <c r="G468" s="2"/>
      <c r="H468" s="2"/>
      <c r="I468" s="2"/>
      <c r="J468" s="366"/>
      <c r="K468" s="2"/>
      <c r="L468" s="2"/>
      <c r="M468" s="2"/>
      <c r="N468" s="2"/>
      <c r="O468" s="23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</row>
    <row r="469" spans="1:32" ht="14">
      <c r="A469" s="2"/>
      <c r="B469" s="2"/>
      <c r="C469" s="2"/>
      <c r="D469" s="2"/>
      <c r="E469" s="2"/>
      <c r="F469" s="569"/>
      <c r="G469" s="2"/>
      <c r="H469" s="2"/>
      <c r="I469" s="2"/>
      <c r="J469" s="366"/>
      <c r="K469" s="2"/>
      <c r="L469" s="2"/>
      <c r="M469" s="2"/>
      <c r="N469" s="2"/>
      <c r="O469" s="23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</row>
    <row r="470" spans="1:32" ht="14">
      <c r="A470" s="2"/>
      <c r="B470" s="2"/>
      <c r="C470" s="2"/>
      <c r="D470" s="2"/>
      <c r="E470" s="2"/>
      <c r="F470" s="569"/>
      <c r="G470" s="2"/>
      <c r="H470" s="2"/>
      <c r="I470" s="2"/>
      <c r="J470" s="366"/>
      <c r="K470" s="2"/>
      <c r="L470" s="2"/>
      <c r="M470" s="2"/>
      <c r="N470" s="2"/>
      <c r="O470" s="23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</row>
    <row r="471" spans="1:32" ht="14">
      <c r="A471" s="2"/>
      <c r="B471" s="2"/>
      <c r="C471" s="2"/>
      <c r="D471" s="2"/>
      <c r="E471" s="2"/>
      <c r="F471" s="569"/>
      <c r="G471" s="2"/>
      <c r="H471" s="2"/>
      <c r="I471" s="2"/>
      <c r="J471" s="366"/>
      <c r="K471" s="2"/>
      <c r="L471" s="2"/>
      <c r="M471" s="2"/>
      <c r="N471" s="2"/>
      <c r="O471" s="23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</row>
    <row r="472" spans="1:32" ht="14">
      <c r="A472" s="2"/>
      <c r="B472" s="2"/>
      <c r="C472" s="2"/>
      <c r="D472" s="2"/>
      <c r="E472" s="2"/>
      <c r="F472" s="569"/>
      <c r="G472" s="2"/>
      <c r="H472" s="2"/>
      <c r="I472" s="2"/>
      <c r="J472" s="366"/>
      <c r="K472" s="2"/>
      <c r="L472" s="2"/>
      <c r="M472" s="2"/>
      <c r="N472" s="2"/>
      <c r="O472" s="23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</row>
    <row r="473" spans="1:32" ht="14">
      <c r="A473" s="2"/>
      <c r="B473" s="2"/>
      <c r="C473" s="2"/>
      <c r="D473" s="2"/>
      <c r="E473" s="2"/>
      <c r="F473" s="569"/>
      <c r="G473" s="2"/>
      <c r="H473" s="2"/>
      <c r="I473" s="2"/>
      <c r="J473" s="366"/>
      <c r="K473" s="2"/>
      <c r="L473" s="2"/>
      <c r="M473" s="2"/>
      <c r="N473" s="2"/>
      <c r="O473" s="23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</row>
    <row r="474" spans="1:32" ht="14">
      <c r="A474" s="2"/>
      <c r="B474" s="2"/>
      <c r="C474" s="2"/>
      <c r="D474" s="2"/>
      <c r="E474" s="2"/>
      <c r="F474" s="569"/>
      <c r="G474" s="2"/>
      <c r="H474" s="2"/>
      <c r="I474" s="2"/>
      <c r="J474" s="366"/>
      <c r="K474" s="2"/>
      <c r="L474" s="2"/>
      <c r="M474" s="2"/>
      <c r="N474" s="2"/>
      <c r="O474" s="23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</row>
    <row r="475" spans="1:32" ht="14">
      <c r="A475" s="2"/>
      <c r="B475" s="2"/>
      <c r="C475" s="2"/>
      <c r="D475" s="2"/>
      <c r="E475" s="2"/>
      <c r="F475" s="569"/>
      <c r="G475" s="2"/>
      <c r="H475" s="2"/>
      <c r="I475" s="2"/>
      <c r="J475" s="366"/>
      <c r="K475" s="2"/>
      <c r="L475" s="2"/>
      <c r="M475" s="2"/>
      <c r="N475" s="2"/>
      <c r="O475" s="23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</row>
    <row r="476" spans="1:32" ht="14">
      <c r="A476" s="2"/>
      <c r="B476" s="2"/>
      <c r="C476" s="2"/>
      <c r="D476" s="2"/>
      <c r="E476" s="2"/>
      <c r="F476" s="569"/>
      <c r="G476" s="2"/>
      <c r="H476" s="2"/>
      <c r="I476" s="2"/>
      <c r="J476" s="366"/>
      <c r="K476" s="2"/>
      <c r="L476" s="2"/>
      <c r="M476" s="2"/>
      <c r="N476" s="2"/>
      <c r="O476" s="23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</row>
    <row r="477" spans="1:32" ht="14">
      <c r="A477" s="2"/>
      <c r="B477" s="2"/>
      <c r="C477" s="2"/>
      <c r="D477" s="2"/>
      <c r="E477" s="2"/>
      <c r="F477" s="569"/>
      <c r="G477" s="2"/>
      <c r="H477" s="2"/>
      <c r="I477" s="2"/>
      <c r="J477" s="366"/>
      <c r="K477" s="2"/>
      <c r="L477" s="2"/>
      <c r="M477" s="2"/>
      <c r="N477" s="2"/>
      <c r="O477" s="23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</row>
    <row r="478" spans="1:32" ht="14">
      <c r="A478" s="2"/>
      <c r="B478" s="2"/>
      <c r="C478" s="2"/>
      <c r="D478" s="2"/>
      <c r="E478" s="2"/>
      <c r="F478" s="569"/>
      <c r="G478" s="2"/>
      <c r="H478" s="2"/>
      <c r="I478" s="2"/>
      <c r="J478" s="366"/>
      <c r="K478" s="2"/>
      <c r="L478" s="2"/>
      <c r="M478" s="2"/>
      <c r="N478" s="2"/>
      <c r="O478" s="23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</row>
    <row r="479" spans="1:32" ht="14">
      <c r="A479" s="2"/>
      <c r="B479" s="2"/>
      <c r="C479" s="2"/>
      <c r="D479" s="2"/>
      <c r="E479" s="2"/>
      <c r="F479" s="569"/>
      <c r="G479" s="2"/>
      <c r="H479" s="2"/>
      <c r="I479" s="2"/>
      <c r="J479" s="366"/>
      <c r="K479" s="2"/>
      <c r="L479" s="2"/>
      <c r="M479" s="2"/>
      <c r="N479" s="2"/>
      <c r="O479" s="23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</row>
    <row r="480" spans="1:32" ht="14">
      <c r="A480" s="2"/>
      <c r="B480" s="2"/>
      <c r="C480" s="2"/>
      <c r="D480" s="2"/>
      <c r="E480" s="2"/>
      <c r="F480" s="569"/>
      <c r="G480" s="2"/>
      <c r="H480" s="2"/>
      <c r="I480" s="2"/>
      <c r="J480" s="366"/>
      <c r="K480" s="2"/>
      <c r="L480" s="2"/>
      <c r="M480" s="2"/>
      <c r="N480" s="2"/>
      <c r="O480" s="23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</row>
    <row r="481" spans="1:32" ht="14">
      <c r="A481" s="2"/>
      <c r="B481" s="2"/>
      <c r="C481" s="2"/>
      <c r="D481" s="2"/>
      <c r="E481" s="2"/>
      <c r="F481" s="569"/>
      <c r="G481" s="2"/>
      <c r="H481" s="2"/>
      <c r="I481" s="2"/>
      <c r="J481" s="366"/>
      <c r="K481" s="2"/>
      <c r="L481" s="2"/>
      <c r="M481" s="2"/>
      <c r="N481" s="2"/>
      <c r="O481" s="23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</row>
    <row r="482" spans="1:32" ht="14">
      <c r="A482" s="2"/>
      <c r="B482" s="2"/>
      <c r="C482" s="2"/>
      <c r="D482" s="2"/>
      <c r="E482" s="2"/>
      <c r="F482" s="569"/>
      <c r="G482" s="2"/>
      <c r="H482" s="2"/>
      <c r="I482" s="2"/>
      <c r="J482" s="366"/>
      <c r="K482" s="2"/>
      <c r="L482" s="2"/>
      <c r="M482" s="2"/>
      <c r="N482" s="2"/>
      <c r="O482" s="23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</row>
    <row r="483" spans="1:32" ht="14">
      <c r="A483" s="2"/>
      <c r="B483" s="2"/>
      <c r="C483" s="2"/>
      <c r="D483" s="2"/>
      <c r="E483" s="2"/>
      <c r="F483" s="569"/>
      <c r="G483" s="2"/>
      <c r="H483" s="2"/>
      <c r="I483" s="2"/>
      <c r="J483" s="366"/>
      <c r="K483" s="2"/>
      <c r="L483" s="2"/>
      <c r="M483" s="2"/>
      <c r="N483" s="2"/>
      <c r="O483" s="23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</row>
    <row r="484" spans="1:32" ht="14">
      <c r="A484" s="2"/>
      <c r="B484" s="2"/>
      <c r="C484" s="2"/>
      <c r="D484" s="2"/>
      <c r="E484" s="2"/>
      <c r="F484" s="569"/>
      <c r="G484" s="2"/>
      <c r="H484" s="2"/>
      <c r="I484" s="2"/>
      <c r="J484" s="366"/>
      <c r="K484" s="2"/>
      <c r="L484" s="2"/>
      <c r="M484" s="2"/>
      <c r="N484" s="2"/>
      <c r="O484" s="23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</row>
    <row r="485" spans="1:32" ht="14">
      <c r="A485" s="2"/>
      <c r="B485" s="2"/>
      <c r="C485" s="2"/>
      <c r="D485" s="2"/>
      <c r="E485" s="2"/>
      <c r="F485" s="569"/>
      <c r="G485" s="2"/>
      <c r="H485" s="2"/>
      <c r="I485" s="2"/>
      <c r="J485" s="366"/>
      <c r="K485" s="2"/>
      <c r="L485" s="2"/>
      <c r="M485" s="2"/>
      <c r="N485" s="2"/>
      <c r="O485" s="23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</row>
    <row r="486" spans="1:32" ht="14">
      <c r="A486" s="2"/>
      <c r="B486" s="2"/>
      <c r="C486" s="2"/>
      <c r="D486" s="2"/>
      <c r="E486" s="2"/>
      <c r="F486" s="569"/>
      <c r="G486" s="2"/>
      <c r="H486" s="2"/>
      <c r="I486" s="2"/>
      <c r="J486" s="366"/>
      <c r="K486" s="2"/>
      <c r="L486" s="2"/>
      <c r="M486" s="2"/>
      <c r="N486" s="2"/>
      <c r="O486" s="23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</row>
    <row r="487" spans="1:32" ht="14">
      <c r="A487" s="2"/>
      <c r="B487" s="2"/>
      <c r="C487" s="2"/>
      <c r="D487" s="2"/>
      <c r="E487" s="2"/>
      <c r="F487" s="569"/>
      <c r="G487" s="2"/>
      <c r="H487" s="2"/>
      <c r="I487" s="2"/>
      <c r="J487" s="366"/>
      <c r="K487" s="2"/>
      <c r="L487" s="2"/>
      <c r="M487" s="2"/>
      <c r="N487" s="2"/>
      <c r="O487" s="23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</row>
    <row r="488" spans="1:32" ht="14">
      <c r="A488" s="2"/>
      <c r="B488" s="2"/>
      <c r="C488" s="2"/>
      <c r="D488" s="2"/>
      <c r="E488" s="2"/>
      <c r="F488" s="569"/>
      <c r="G488" s="2"/>
      <c r="H488" s="2"/>
      <c r="I488" s="2"/>
      <c r="J488" s="366"/>
      <c r="K488" s="2"/>
      <c r="L488" s="2"/>
      <c r="M488" s="2"/>
      <c r="N488" s="2"/>
      <c r="O488" s="23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</row>
    <row r="489" spans="1:32" ht="14">
      <c r="A489" s="2"/>
      <c r="B489" s="2"/>
      <c r="C489" s="2"/>
      <c r="D489" s="2"/>
      <c r="E489" s="2"/>
      <c r="F489" s="569"/>
      <c r="G489" s="2"/>
      <c r="H489" s="2"/>
      <c r="I489" s="2"/>
      <c r="J489" s="366"/>
      <c r="K489" s="2"/>
      <c r="L489" s="2"/>
      <c r="M489" s="2"/>
      <c r="N489" s="2"/>
      <c r="O489" s="23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</row>
    <row r="490" spans="1:32" ht="14">
      <c r="A490" s="2"/>
      <c r="B490" s="2"/>
      <c r="C490" s="2"/>
      <c r="D490" s="2"/>
      <c r="E490" s="2"/>
      <c r="F490" s="569"/>
      <c r="G490" s="2"/>
      <c r="H490" s="2"/>
      <c r="I490" s="2"/>
      <c r="J490" s="366"/>
      <c r="K490" s="2"/>
      <c r="L490" s="2"/>
      <c r="M490" s="2"/>
      <c r="N490" s="2"/>
      <c r="O490" s="23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</row>
    <row r="491" spans="1:32" ht="14">
      <c r="A491" s="2"/>
      <c r="B491" s="2"/>
      <c r="C491" s="2"/>
      <c r="D491" s="2"/>
      <c r="E491" s="2"/>
      <c r="F491" s="569"/>
      <c r="G491" s="2"/>
      <c r="H491" s="2"/>
      <c r="I491" s="2"/>
      <c r="J491" s="366"/>
      <c r="K491" s="2"/>
      <c r="L491" s="2"/>
      <c r="M491" s="2"/>
      <c r="N491" s="2"/>
      <c r="O491" s="23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</row>
    <row r="492" spans="1:32" ht="14">
      <c r="A492" s="2"/>
      <c r="B492" s="2"/>
      <c r="C492" s="2"/>
      <c r="D492" s="2"/>
      <c r="E492" s="2"/>
      <c r="F492" s="569"/>
      <c r="G492" s="2"/>
      <c r="H492" s="2"/>
      <c r="I492" s="2"/>
      <c r="J492" s="366"/>
      <c r="K492" s="2"/>
      <c r="L492" s="2"/>
      <c r="M492" s="2"/>
      <c r="N492" s="2"/>
      <c r="O492" s="23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</row>
    <row r="493" spans="1:32" ht="14">
      <c r="A493" s="2"/>
      <c r="B493" s="2"/>
      <c r="C493" s="2"/>
      <c r="D493" s="2"/>
      <c r="E493" s="2"/>
      <c r="F493" s="569"/>
      <c r="G493" s="2"/>
      <c r="H493" s="2"/>
      <c r="I493" s="2"/>
      <c r="J493" s="366"/>
      <c r="K493" s="2"/>
      <c r="L493" s="2"/>
      <c r="M493" s="2"/>
      <c r="N493" s="2"/>
      <c r="O493" s="23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</row>
    <row r="494" spans="1:32" ht="14">
      <c r="A494" s="2"/>
      <c r="B494" s="2"/>
      <c r="C494" s="2"/>
      <c r="D494" s="2"/>
      <c r="E494" s="2"/>
      <c r="F494" s="569"/>
      <c r="G494" s="2"/>
      <c r="H494" s="2"/>
      <c r="I494" s="2"/>
      <c r="J494" s="366"/>
      <c r="K494" s="2"/>
      <c r="L494" s="2"/>
      <c r="M494" s="2"/>
      <c r="N494" s="2"/>
      <c r="O494" s="23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</row>
    <row r="495" spans="1:32" ht="14">
      <c r="A495" s="2"/>
      <c r="B495" s="2"/>
      <c r="C495" s="2"/>
      <c r="D495" s="2"/>
      <c r="E495" s="2"/>
      <c r="F495" s="569"/>
      <c r="G495" s="2"/>
      <c r="H495" s="2"/>
      <c r="I495" s="2"/>
      <c r="J495" s="366"/>
      <c r="K495" s="2"/>
      <c r="L495" s="2"/>
      <c r="M495" s="2"/>
      <c r="N495" s="2"/>
      <c r="O495" s="23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</row>
    <row r="496" spans="1:32" ht="14">
      <c r="A496" s="2"/>
      <c r="B496" s="2"/>
      <c r="C496" s="2"/>
      <c r="D496" s="2"/>
      <c r="E496" s="2"/>
      <c r="F496" s="569"/>
      <c r="G496" s="2"/>
      <c r="H496" s="2"/>
      <c r="I496" s="2"/>
      <c r="J496" s="366"/>
      <c r="K496" s="2"/>
      <c r="L496" s="2"/>
      <c r="M496" s="2"/>
      <c r="N496" s="2"/>
      <c r="O496" s="23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</row>
    <row r="497" spans="1:32" ht="14">
      <c r="A497" s="2"/>
      <c r="B497" s="2"/>
      <c r="C497" s="2"/>
      <c r="D497" s="2"/>
      <c r="E497" s="2"/>
      <c r="F497" s="569"/>
      <c r="G497" s="2"/>
      <c r="H497" s="2"/>
      <c r="I497" s="2"/>
      <c r="J497" s="366"/>
      <c r="K497" s="2"/>
      <c r="L497" s="2"/>
      <c r="M497" s="2"/>
      <c r="N497" s="2"/>
      <c r="O497" s="23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</row>
    <row r="498" spans="1:32" ht="14">
      <c r="A498" s="2"/>
      <c r="B498" s="2"/>
      <c r="C498" s="2"/>
      <c r="D498" s="2"/>
      <c r="E498" s="2"/>
      <c r="F498" s="569"/>
      <c r="G498" s="2"/>
      <c r="H498" s="2"/>
      <c r="I498" s="2"/>
      <c r="J498" s="366"/>
      <c r="K498" s="2"/>
      <c r="L498" s="2"/>
      <c r="M498" s="2"/>
      <c r="N498" s="2"/>
      <c r="O498" s="23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</row>
    <row r="499" spans="1:32" ht="14">
      <c r="A499" s="2"/>
      <c r="B499" s="2"/>
      <c r="C499" s="2"/>
      <c r="D499" s="2"/>
      <c r="E499" s="2"/>
      <c r="F499" s="569"/>
      <c r="G499" s="2"/>
      <c r="H499" s="2"/>
      <c r="I499" s="2"/>
      <c r="J499" s="366"/>
      <c r="K499" s="2"/>
      <c r="L499" s="2"/>
      <c r="M499" s="2"/>
      <c r="N499" s="2"/>
      <c r="O499" s="23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</row>
    <row r="500" spans="1:32" ht="14">
      <c r="A500" s="2"/>
      <c r="B500" s="2"/>
      <c r="C500" s="2"/>
      <c r="D500" s="2"/>
      <c r="E500" s="2"/>
      <c r="F500" s="569"/>
      <c r="G500" s="2"/>
      <c r="H500" s="2"/>
      <c r="I500" s="2"/>
      <c r="J500" s="366"/>
      <c r="K500" s="2"/>
      <c r="L500" s="2"/>
      <c r="M500" s="2"/>
      <c r="N500" s="2"/>
      <c r="O500" s="23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</row>
    <row r="501" spans="1:32" ht="14">
      <c r="A501" s="2"/>
      <c r="B501" s="2"/>
      <c r="C501" s="2"/>
      <c r="D501" s="2"/>
      <c r="E501" s="2"/>
      <c r="F501" s="569"/>
      <c r="G501" s="2"/>
      <c r="H501" s="2"/>
      <c r="I501" s="2"/>
      <c r="J501" s="366"/>
      <c r="K501" s="2"/>
      <c r="L501" s="2"/>
      <c r="M501" s="2"/>
      <c r="N501" s="2"/>
      <c r="O501" s="23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</row>
    <row r="502" spans="1:32" ht="14">
      <c r="A502" s="2"/>
      <c r="B502" s="2"/>
      <c r="C502" s="2"/>
      <c r="D502" s="2"/>
      <c r="E502" s="2"/>
      <c r="F502" s="569"/>
      <c r="G502" s="2"/>
      <c r="H502" s="2"/>
      <c r="I502" s="2"/>
      <c r="J502" s="366"/>
      <c r="K502" s="2"/>
      <c r="L502" s="2"/>
      <c r="M502" s="2"/>
      <c r="N502" s="2"/>
      <c r="O502" s="23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</row>
    <row r="503" spans="1:32" ht="14">
      <c r="A503" s="2"/>
      <c r="B503" s="2"/>
      <c r="C503" s="2"/>
      <c r="D503" s="2"/>
      <c r="E503" s="2"/>
      <c r="F503" s="569"/>
      <c r="G503" s="2"/>
      <c r="H503" s="2"/>
      <c r="I503" s="2"/>
      <c r="J503" s="366"/>
      <c r="K503" s="2"/>
      <c r="L503" s="2"/>
      <c r="M503" s="2"/>
      <c r="N503" s="2"/>
      <c r="O503" s="23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</row>
    <row r="504" spans="1:32" ht="14">
      <c r="A504" s="2"/>
      <c r="B504" s="2"/>
      <c r="C504" s="2"/>
      <c r="D504" s="2"/>
      <c r="E504" s="2"/>
      <c r="F504" s="569"/>
      <c r="G504" s="2"/>
      <c r="H504" s="2"/>
      <c r="I504" s="2"/>
      <c r="J504" s="366"/>
      <c r="K504" s="2"/>
      <c r="L504" s="2"/>
      <c r="M504" s="2"/>
      <c r="N504" s="2"/>
      <c r="O504" s="23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</row>
    <row r="505" spans="1:32" ht="14">
      <c r="A505" s="2"/>
      <c r="B505" s="2"/>
      <c r="C505" s="2"/>
      <c r="D505" s="2"/>
      <c r="E505" s="2"/>
      <c r="F505" s="569"/>
      <c r="G505" s="2"/>
      <c r="H505" s="2"/>
      <c r="I505" s="2"/>
      <c r="J505" s="366"/>
      <c r="K505" s="2"/>
      <c r="L505" s="2"/>
      <c r="M505" s="2"/>
      <c r="N505" s="2"/>
      <c r="O505" s="23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</row>
    <row r="506" spans="1:32" ht="14">
      <c r="A506" s="2"/>
      <c r="B506" s="2"/>
      <c r="C506" s="2"/>
      <c r="D506" s="2"/>
      <c r="E506" s="2"/>
      <c r="F506" s="569"/>
      <c r="G506" s="2"/>
      <c r="H506" s="2"/>
      <c r="I506" s="2"/>
      <c r="J506" s="366"/>
      <c r="K506" s="2"/>
      <c r="L506" s="2"/>
      <c r="M506" s="2"/>
      <c r="N506" s="2"/>
      <c r="O506" s="23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</row>
    <row r="507" spans="1:32" ht="14">
      <c r="A507" s="2"/>
      <c r="B507" s="2"/>
      <c r="C507" s="2"/>
      <c r="D507" s="2"/>
      <c r="E507" s="2"/>
      <c r="F507" s="569"/>
      <c r="G507" s="2"/>
      <c r="H507" s="2"/>
      <c r="I507" s="2"/>
      <c r="J507" s="366"/>
      <c r="K507" s="2"/>
      <c r="L507" s="2"/>
      <c r="M507" s="2"/>
      <c r="N507" s="2"/>
      <c r="O507" s="23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</row>
    <row r="508" spans="1:32" ht="14">
      <c r="A508" s="2"/>
      <c r="B508" s="2"/>
      <c r="C508" s="2"/>
      <c r="D508" s="2"/>
      <c r="E508" s="2"/>
      <c r="F508" s="569"/>
      <c r="G508" s="2"/>
      <c r="H508" s="2"/>
      <c r="I508" s="2"/>
      <c r="J508" s="366"/>
      <c r="K508" s="2"/>
      <c r="L508" s="2"/>
      <c r="M508" s="2"/>
      <c r="N508" s="2"/>
      <c r="O508" s="23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</row>
    <row r="509" spans="1:32" ht="14">
      <c r="A509" s="2"/>
      <c r="B509" s="2"/>
      <c r="C509" s="2"/>
      <c r="D509" s="2"/>
      <c r="E509" s="2"/>
      <c r="F509" s="569"/>
      <c r="G509" s="2"/>
      <c r="H509" s="2"/>
      <c r="I509" s="2"/>
      <c r="J509" s="366"/>
      <c r="K509" s="2"/>
      <c r="L509" s="2"/>
      <c r="M509" s="2"/>
      <c r="N509" s="2"/>
      <c r="O509" s="23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</row>
    <row r="510" spans="1:32" ht="14">
      <c r="A510" s="2"/>
      <c r="B510" s="2"/>
      <c r="C510" s="2"/>
      <c r="D510" s="2"/>
      <c r="E510" s="2"/>
      <c r="F510" s="569"/>
      <c r="G510" s="2"/>
      <c r="H510" s="2"/>
      <c r="I510" s="2"/>
      <c r="J510" s="366"/>
      <c r="K510" s="2"/>
      <c r="L510" s="2"/>
      <c r="M510" s="2"/>
      <c r="N510" s="2"/>
      <c r="O510" s="23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</row>
    <row r="511" spans="1:32" ht="14">
      <c r="A511" s="2"/>
      <c r="B511" s="2"/>
      <c r="C511" s="2"/>
      <c r="D511" s="2"/>
      <c r="E511" s="2"/>
      <c r="F511" s="569"/>
      <c r="G511" s="2"/>
      <c r="H511" s="2"/>
      <c r="I511" s="2"/>
      <c r="J511" s="366"/>
      <c r="K511" s="2"/>
      <c r="L511" s="2"/>
      <c r="M511" s="2"/>
      <c r="N511" s="2"/>
      <c r="O511" s="23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</row>
    <row r="512" spans="1:32" ht="14">
      <c r="A512" s="2"/>
      <c r="B512" s="2"/>
      <c r="C512" s="2"/>
      <c r="D512" s="2"/>
      <c r="E512" s="2"/>
      <c r="F512" s="569"/>
      <c r="G512" s="2"/>
      <c r="H512" s="2"/>
      <c r="I512" s="2"/>
      <c r="J512" s="366"/>
      <c r="K512" s="2"/>
      <c r="L512" s="2"/>
      <c r="M512" s="2"/>
      <c r="N512" s="2"/>
      <c r="O512" s="23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</row>
    <row r="513" spans="1:32" ht="14">
      <c r="A513" s="2"/>
      <c r="B513" s="2"/>
      <c r="C513" s="2"/>
      <c r="D513" s="2"/>
      <c r="E513" s="2"/>
      <c r="F513" s="569"/>
      <c r="G513" s="2"/>
      <c r="H513" s="2"/>
      <c r="I513" s="2"/>
      <c r="J513" s="366"/>
      <c r="K513" s="2"/>
      <c r="L513" s="2"/>
      <c r="M513" s="2"/>
      <c r="N513" s="2"/>
      <c r="O513" s="23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</row>
    <row r="514" spans="1:32" ht="14">
      <c r="A514" s="2"/>
      <c r="B514" s="2"/>
      <c r="C514" s="2"/>
      <c r="D514" s="2"/>
      <c r="E514" s="2"/>
      <c r="F514" s="569"/>
      <c r="G514" s="2"/>
      <c r="H514" s="2"/>
      <c r="I514" s="2"/>
      <c r="J514" s="366"/>
      <c r="K514" s="2"/>
      <c r="L514" s="2"/>
      <c r="M514" s="2"/>
      <c r="N514" s="2"/>
      <c r="O514" s="23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</row>
    <row r="515" spans="1:32" ht="14">
      <c r="A515" s="2"/>
      <c r="B515" s="2"/>
      <c r="C515" s="2"/>
      <c r="D515" s="2"/>
      <c r="E515" s="2"/>
      <c r="F515" s="569"/>
      <c r="G515" s="2"/>
      <c r="H515" s="2"/>
      <c r="I515" s="2"/>
      <c r="J515" s="366"/>
      <c r="K515" s="2"/>
      <c r="L515" s="2"/>
      <c r="M515" s="2"/>
      <c r="N515" s="2"/>
      <c r="O515" s="23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</row>
    <row r="516" spans="1:32" ht="14">
      <c r="A516" s="2"/>
      <c r="B516" s="2"/>
      <c r="C516" s="2"/>
      <c r="D516" s="2"/>
      <c r="E516" s="2"/>
      <c r="F516" s="569"/>
      <c r="G516" s="2"/>
      <c r="H516" s="2"/>
      <c r="I516" s="2"/>
      <c r="J516" s="366"/>
      <c r="K516" s="2"/>
      <c r="L516" s="2"/>
      <c r="M516" s="2"/>
      <c r="N516" s="2"/>
      <c r="O516" s="23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</row>
    <row r="517" spans="1:32" ht="14">
      <c r="A517" s="2"/>
      <c r="B517" s="2"/>
      <c r="C517" s="2"/>
      <c r="D517" s="2"/>
      <c r="E517" s="2"/>
      <c r="F517" s="569"/>
      <c r="G517" s="2"/>
      <c r="H517" s="2"/>
      <c r="I517" s="2"/>
      <c r="J517" s="366"/>
      <c r="K517" s="2"/>
      <c r="L517" s="2"/>
      <c r="M517" s="2"/>
      <c r="N517" s="2"/>
      <c r="O517" s="23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</row>
    <row r="518" spans="1:32" ht="14">
      <c r="A518" s="2"/>
      <c r="B518" s="2"/>
      <c r="C518" s="2"/>
      <c r="D518" s="2"/>
      <c r="E518" s="2"/>
      <c r="F518" s="569"/>
      <c r="G518" s="2"/>
      <c r="H518" s="2"/>
      <c r="I518" s="2"/>
      <c r="J518" s="366"/>
      <c r="K518" s="2"/>
      <c r="L518" s="2"/>
      <c r="M518" s="2"/>
      <c r="N518" s="2"/>
      <c r="O518" s="23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</row>
    <row r="519" spans="1:32" ht="14">
      <c r="A519" s="2"/>
      <c r="B519" s="2"/>
      <c r="C519" s="2"/>
      <c r="D519" s="2"/>
      <c r="E519" s="2"/>
      <c r="F519" s="569"/>
      <c r="G519" s="2"/>
      <c r="H519" s="2"/>
      <c r="I519" s="2"/>
      <c r="J519" s="366"/>
      <c r="K519" s="2"/>
      <c r="L519" s="2"/>
      <c r="M519" s="2"/>
      <c r="N519" s="2"/>
      <c r="O519" s="23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</row>
    <row r="520" spans="1:32" ht="14">
      <c r="A520" s="2"/>
      <c r="B520" s="2"/>
      <c r="C520" s="2"/>
      <c r="D520" s="2"/>
      <c r="E520" s="2"/>
      <c r="F520" s="569"/>
      <c r="G520" s="2"/>
      <c r="H520" s="2"/>
      <c r="I520" s="2"/>
      <c r="J520" s="366"/>
      <c r="K520" s="2"/>
      <c r="L520" s="2"/>
      <c r="M520" s="2"/>
      <c r="N520" s="2"/>
      <c r="O520" s="23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</row>
    <row r="521" spans="1:32" ht="14">
      <c r="A521" s="2"/>
      <c r="B521" s="2"/>
      <c r="C521" s="2"/>
      <c r="D521" s="2"/>
      <c r="E521" s="2"/>
      <c r="F521" s="569"/>
      <c r="G521" s="2"/>
      <c r="H521" s="2"/>
      <c r="I521" s="2"/>
      <c r="J521" s="366"/>
      <c r="K521" s="2"/>
      <c r="L521" s="2"/>
      <c r="M521" s="2"/>
      <c r="N521" s="2"/>
      <c r="O521" s="23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</row>
    <row r="522" spans="1:32" ht="14">
      <c r="A522" s="2"/>
      <c r="B522" s="2"/>
      <c r="C522" s="2"/>
      <c r="D522" s="2"/>
      <c r="E522" s="2"/>
      <c r="F522" s="569"/>
      <c r="G522" s="2"/>
      <c r="H522" s="2"/>
      <c r="I522" s="2"/>
      <c r="J522" s="366"/>
      <c r="K522" s="2"/>
      <c r="L522" s="2"/>
      <c r="M522" s="2"/>
      <c r="N522" s="2"/>
      <c r="O522" s="23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</row>
    <row r="523" spans="1:32" ht="14">
      <c r="A523" s="2"/>
      <c r="B523" s="2"/>
      <c r="C523" s="2"/>
      <c r="D523" s="2"/>
      <c r="E523" s="2"/>
      <c r="F523" s="569"/>
      <c r="G523" s="2"/>
      <c r="H523" s="2"/>
      <c r="I523" s="2"/>
      <c r="J523" s="366"/>
      <c r="K523" s="2"/>
      <c r="L523" s="2"/>
      <c r="M523" s="2"/>
      <c r="N523" s="2"/>
      <c r="O523" s="23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</row>
    <row r="524" spans="1:32" ht="14">
      <c r="A524" s="2"/>
      <c r="B524" s="2"/>
      <c r="C524" s="2"/>
      <c r="D524" s="2"/>
      <c r="E524" s="2"/>
      <c r="F524" s="569"/>
      <c r="G524" s="2"/>
      <c r="H524" s="2"/>
      <c r="I524" s="2"/>
      <c r="J524" s="366"/>
      <c r="K524" s="2"/>
      <c r="L524" s="2"/>
      <c r="M524" s="2"/>
      <c r="N524" s="2"/>
      <c r="O524" s="23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</row>
    <row r="525" spans="1:32" ht="14">
      <c r="A525" s="2"/>
      <c r="B525" s="2"/>
      <c r="C525" s="2"/>
      <c r="D525" s="2"/>
      <c r="E525" s="2"/>
      <c r="F525" s="569"/>
      <c r="G525" s="2"/>
      <c r="H525" s="2"/>
      <c r="I525" s="2"/>
      <c r="J525" s="366"/>
      <c r="K525" s="2"/>
      <c r="L525" s="2"/>
      <c r="M525" s="2"/>
      <c r="N525" s="2"/>
      <c r="O525" s="23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</row>
    <row r="526" spans="1:32" ht="14">
      <c r="A526" s="2"/>
      <c r="B526" s="2"/>
      <c r="C526" s="2"/>
      <c r="D526" s="2"/>
      <c r="E526" s="2"/>
      <c r="F526" s="569"/>
      <c r="G526" s="2"/>
      <c r="H526" s="2"/>
      <c r="I526" s="2"/>
      <c r="J526" s="366"/>
      <c r="K526" s="2"/>
      <c r="L526" s="2"/>
      <c r="M526" s="2"/>
      <c r="N526" s="2"/>
      <c r="O526" s="23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</row>
    <row r="527" spans="1:32" ht="14">
      <c r="A527" s="2"/>
      <c r="B527" s="2"/>
      <c r="C527" s="2"/>
      <c r="D527" s="2"/>
      <c r="E527" s="2"/>
      <c r="F527" s="569"/>
      <c r="G527" s="2"/>
      <c r="H527" s="2"/>
      <c r="I527" s="2"/>
      <c r="J527" s="366"/>
      <c r="K527" s="2"/>
      <c r="L527" s="2"/>
      <c r="M527" s="2"/>
      <c r="N527" s="2"/>
      <c r="O527" s="23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</row>
    <row r="528" spans="1:32" ht="14">
      <c r="A528" s="2"/>
      <c r="B528" s="2"/>
      <c r="C528" s="2"/>
      <c r="D528" s="2"/>
      <c r="E528" s="2"/>
      <c r="F528" s="569"/>
      <c r="G528" s="2"/>
      <c r="H528" s="2"/>
      <c r="I528" s="2"/>
      <c r="J528" s="366"/>
      <c r="K528" s="2"/>
      <c r="L528" s="2"/>
      <c r="M528" s="2"/>
      <c r="N528" s="2"/>
      <c r="O528" s="23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</row>
    <row r="529" spans="1:32" ht="14">
      <c r="A529" s="2"/>
      <c r="B529" s="2"/>
      <c r="C529" s="2"/>
      <c r="D529" s="2"/>
      <c r="E529" s="2"/>
      <c r="F529" s="569"/>
      <c r="G529" s="2"/>
      <c r="H529" s="2"/>
      <c r="I529" s="2"/>
      <c r="J529" s="366"/>
      <c r="K529" s="2"/>
      <c r="L529" s="2"/>
      <c r="M529" s="2"/>
      <c r="N529" s="2"/>
      <c r="O529" s="23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</row>
    <row r="530" spans="1:32" ht="14">
      <c r="A530" s="2"/>
      <c r="B530" s="2"/>
      <c r="C530" s="2"/>
      <c r="D530" s="2"/>
      <c r="E530" s="2"/>
      <c r="F530" s="569"/>
      <c r="G530" s="2"/>
      <c r="H530" s="2"/>
      <c r="I530" s="2"/>
      <c r="J530" s="366"/>
      <c r="K530" s="2"/>
      <c r="L530" s="2"/>
      <c r="M530" s="2"/>
      <c r="N530" s="2"/>
      <c r="O530" s="23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</row>
    <row r="531" spans="1:32" ht="14">
      <c r="A531" s="2"/>
      <c r="B531" s="2"/>
      <c r="C531" s="2"/>
      <c r="D531" s="2"/>
      <c r="E531" s="2"/>
      <c r="F531" s="569"/>
      <c r="G531" s="2"/>
      <c r="H531" s="2"/>
      <c r="I531" s="2"/>
      <c r="J531" s="366"/>
      <c r="K531" s="2"/>
      <c r="L531" s="2"/>
      <c r="M531" s="2"/>
      <c r="N531" s="2"/>
      <c r="O531" s="23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</row>
    <row r="532" spans="1:32" ht="14">
      <c r="A532" s="2"/>
      <c r="B532" s="2"/>
      <c r="C532" s="2"/>
      <c r="D532" s="2"/>
      <c r="E532" s="2"/>
      <c r="F532" s="569"/>
      <c r="G532" s="2"/>
      <c r="H532" s="2"/>
      <c r="I532" s="2"/>
      <c r="J532" s="366"/>
      <c r="K532" s="2"/>
      <c r="L532" s="2"/>
      <c r="M532" s="2"/>
      <c r="N532" s="2"/>
      <c r="O532" s="23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</row>
    <row r="533" spans="1:32" ht="14">
      <c r="A533" s="2"/>
      <c r="B533" s="2"/>
      <c r="C533" s="2"/>
      <c r="D533" s="2"/>
      <c r="E533" s="2"/>
      <c r="F533" s="569"/>
      <c r="G533" s="2"/>
      <c r="H533" s="2"/>
      <c r="I533" s="2"/>
      <c r="J533" s="366"/>
      <c r="K533" s="2"/>
      <c r="L533" s="2"/>
      <c r="M533" s="2"/>
      <c r="N533" s="2"/>
      <c r="O533" s="23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</row>
    <row r="534" spans="1:32" ht="14">
      <c r="A534" s="2"/>
      <c r="B534" s="2"/>
      <c r="C534" s="2"/>
      <c r="D534" s="2"/>
      <c r="E534" s="2"/>
      <c r="F534" s="569"/>
      <c r="G534" s="2"/>
      <c r="H534" s="2"/>
      <c r="I534" s="2"/>
      <c r="J534" s="366"/>
      <c r="K534" s="2"/>
      <c r="L534" s="2"/>
      <c r="M534" s="2"/>
      <c r="N534" s="2"/>
      <c r="O534" s="23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</row>
    <row r="535" spans="1:32" ht="14">
      <c r="A535" s="2"/>
      <c r="B535" s="2"/>
      <c r="C535" s="2"/>
      <c r="D535" s="2"/>
      <c r="E535" s="2"/>
      <c r="F535" s="569"/>
      <c r="G535" s="2"/>
      <c r="H535" s="2"/>
      <c r="I535" s="2"/>
      <c r="J535" s="366"/>
      <c r="K535" s="2"/>
      <c r="L535" s="2"/>
      <c r="M535" s="2"/>
      <c r="N535" s="2"/>
      <c r="O535" s="23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</row>
    <row r="536" spans="1:32" ht="14">
      <c r="A536" s="2"/>
      <c r="B536" s="2"/>
      <c r="C536" s="2"/>
      <c r="D536" s="2"/>
      <c r="E536" s="2"/>
      <c r="F536" s="569"/>
      <c r="G536" s="2"/>
      <c r="H536" s="2"/>
      <c r="I536" s="2"/>
      <c r="J536" s="366"/>
      <c r="K536" s="2"/>
      <c r="L536" s="2"/>
      <c r="M536" s="2"/>
      <c r="N536" s="2"/>
      <c r="O536" s="23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</row>
    <row r="537" spans="1:32" ht="14">
      <c r="A537" s="2"/>
      <c r="B537" s="2"/>
      <c r="C537" s="2"/>
      <c r="D537" s="2"/>
      <c r="E537" s="2"/>
      <c r="F537" s="569"/>
      <c r="G537" s="2"/>
      <c r="H537" s="2"/>
      <c r="I537" s="2"/>
      <c r="J537" s="366"/>
      <c r="K537" s="2"/>
      <c r="L537" s="2"/>
      <c r="M537" s="2"/>
      <c r="N537" s="2"/>
      <c r="O537" s="23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</row>
    <row r="538" spans="1:32" ht="14">
      <c r="A538" s="2"/>
      <c r="B538" s="2"/>
      <c r="C538" s="2"/>
      <c r="D538" s="2"/>
      <c r="E538" s="2"/>
      <c r="F538" s="569"/>
      <c r="G538" s="2"/>
      <c r="H538" s="2"/>
      <c r="I538" s="2"/>
      <c r="J538" s="366"/>
      <c r="K538" s="2"/>
      <c r="L538" s="2"/>
      <c r="M538" s="2"/>
      <c r="N538" s="2"/>
      <c r="O538" s="23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</row>
    <row r="539" spans="1:32" ht="14">
      <c r="A539" s="2"/>
      <c r="B539" s="2"/>
      <c r="C539" s="2"/>
      <c r="D539" s="2"/>
      <c r="E539" s="2"/>
      <c r="F539" s="569"/>
      <c r="G539" s="2"/>
      <c r="H539" s="2"/>
      <c r="I539" s="2"/>
      <c r="J539" s="366"/>
      <c r="K539" s="2"/>
      <c r="L539" s="2"/>
      <c r="M539" s="2"/>
      <c r="N539" s="2"/>
      <c r="O539" s="23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</row>
    <row r="540" spans="1:32" ht="14">
      <c r="A540" s="2"/>
      <c r="B540" s="2"/>
      <c r="C540" s="2"/>
      <c r="D540" s="2"/>
      <c r="E540" s="2"/>
      <c r="F540" s="569"/>
      <c r="G540" s="2"/>
      <c r="H540" s="2"/>
      <c r="I540" s="2"/>
      <c r="J540" s="366"/>
      <c r="K540" s="2"/>
      <c r="L540" s="2"/>
      <c r="M540" s="2"/>
      <c r="N540" s="2"/>
      <c r="O540" s="23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</row>
    <row r="541" spans="1:32" ht="14">
      <c r="A541" s="2"/>
      <c r="B541" s="2"/>
      <c r="C541" s="2"/>
      <c r="D541" s="2"/>
      <c r="E541" s="2"/>
      <c r="F541" s="569"/>
      <c r="G541" s="2"/>
      <c r="H541" s="2"/>
      <c r="I541" s="2"/>
      <c r="J541" s="366"/>
      <c r="K541" s="2"/>
      <c r="L541" s="2"/>
      <c r="M541" s="2"/>
      <c r="N541" s="2"/>
      <c r="O541" s="23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</row>
    <row r="542" spans="1:32" ht="14">
      <c r="A542" s="2"/>
      <c r="B542" s="2"/>
      <c r="C542" s="2"/>
      <c r="D542" s="2"/>
      <c r="E542" s="2"/>
      <c r="F542" s="569"/>
      <c r="G542" s="2"/>
      <c r="H542" s="2"/>
      <c r="I542" s="2"/>
      <c r="J542" s="366"/>
      <c r="K542" s="2"/>
      <c r="L542" s="2"/>
      <c r="M542" s="2"/>
      <c r="N542" s="2"/>
      <c r="O542" s="23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</row>
    <row r="543" spans="1:32" ht="14">
      <c r="A543" s="2"/>
      <c r="B543" s="2"/>
      <c r="C543" s="2"/>
      <c r="D543" s="2"/>
      <c r="E543" s="2"/>
      <c r="F543" s="569"/>
      <c r="G543" s="2"/>
      <c r="H543" s="2"/>
      <c r="I543" s="2"/>
      <c r="J543" s="366"/>
      <c r="K543" s="2"/>
      <c r="L543" s="2"/>
      <c r="M543" s="2"/>
      <c r="N543" s="2"/>
      <c r="O543" s="23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</row>
    <row r="544" spans="1:32" ht="14">
      <c r="A544" s="2"/>
      <c r="B544" s="2"/>
      <c r="C544" s="2"/>
      <c r="D544" s="2"/>
      <c r="E544" s="2"/>
      <c r="F544" s="569"/>
      <c r="G544" s="2"/>
      <c r="H544" s="2"/>
      <c r="I544" s="2"/>
      <c r="J544" s="366"/>
      <c r="K544" s="2"/>
      <c r="L544" s="2"/>
      <c r="M544" s="2"/>
      <c r="N544" s="2"/>
      <c r="O544" s="23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</row>
    <row r="545" spans="1:32" ht="14">
      <c r="A545" s="2"/>
      <c r="B545" s="2"/>
      <c r="C545" s="2"/>
      <c r="D545" s="2"/>
      <c r="E545" s="2"/>
      <c r="F545" s="569"/>
      <c r="G545" s="2"/>
      <c r="H545" s="2"/>
      <c r="I545" s="2"/>
      <c r="J545" s="366"/>
      <c r="K545" s="2"/>
      <c r="L545" s="2"/>
      <c r="M545" s="2"/>
      <c r="N545" s="2"/>
      <c r="O545" s="23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</row>
    <row r="546" spans="1:32" ht="14">
      <c r="A546" s="2"/>
      <c r="B546" s="2"/>
      <c r="C546" s="2"/>
      <c r="D546" s="2"/>
      <c r="E546" s="2"/>
      <c r="F546" s="569"/>
      <c r="G546" s="2"/>
      <c r="H546" s="2"/>
      <c r="I546" s="2"/>
      <c r="J546" s="366"/>
      <c r="K546" s="2"/>
      <c r="L546" s="2"/>
      <c r="M546" s="2"/>
      <c r="N546" s="2"/>
      <c r="O546" s="23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</row>
    <row r="547" spans="1:32" ht="14">
      <c r="A547" s="2"/>
      <c r="B547" s="2"/>
      <c r="C547" s="2"/>
      <c r="D547" s="2"/>
      <c r="E547" s="2"/>
      <c r="F547" s="569"/>
      <c r="G547" s="2"/>
      <c r="H547" s="2"/>
      <c r="I547" s="2"/>
      <c r="J547" s="366"/>
      <c r="K547" s="2"/>
      <c r="L547" s="2"/>
      <c r="M547" s="2"/>
      <c r="N547" s="2"/>
      <c r="O547" s="23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</row>
    <row r="548" spans="1:32" ht="14">
      <c r="A548" s="2"/>
      <c r="B548" s="2"/>
      <c r="C548" s="2"/>
      <c r="D548" s="2"/>
      <c r="E548" s="2"/>
      <c r="F548" s="569"/>
      <c r="G548" s="2"/>
      <c r="H548" s="2"/>
      <c r="I548" s="2"/>
      <c r="J548" s="366"/>
      <c r="K548" s="2"/>
      <c r="L548" s="2"/>
      <c r="M548" s="2"/>
      <c r="N548" s="2"/>
      <c r="O548" s="23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</row>
    <row r="549" spans="1:32" ht="14">
      <c r="A549" s="2"/>
      <c r="B549" s="2"/>
      <c r="C549" s="2"/>
      <c r="D549" s="2"/>
      <c r="E549" s="2"/>
      <c r="F549" s="569"/>
      <c r="G549" s="2"/>
      <c r="H549" s="2"/>
      <c r="I549" s="2"/>
      <c r="J549" s="366"/>
      <c r="K549" s="2"/>
      <c r="L549" s="2"/>
      <c r="M549" s="2"/>
      <c r="N549" s="2"/>
      <c r="O549" s="23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</row>
    <row r="550" spans="1:32" ht="14">
      <c r="A550" s="2"/>
      <c r="B550" s="2"/>
      <c r="C550" s="2"/>
      <c r="D550" s="2"/>
      <c r="E550" s="2"/>
      <c r="F550" s="569"/>
      <c r="G550" s="2"/>
      <c r="H550" s="2"/>
      <c r="I550" s="2"/>
      <c r="J550" s="366"/>
      <c r="K550" s="2"/>
      <c r="L550" s="2"/>
      <c r="M550" s="2"/>
      <c r="N550" s="2"/>
      <c r="O550" s="23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</row>
    <row r="551" spans="1:32" ht="14">
      <c r="A551" s="2"/>
      <c r="B551" s="2"/>
      <c r="C551" s="2"/>
      <c r="D551" s="2"/>
      <c r="E551" s="2"/>
      <c r="F551" s="569"/>
      <c r="G551" s="2"/>
      <c r="H551" s="2"/>
      <c r="I551" s="2"/>
      <c r="J551" s="366"/>
      <c r="K551" s="2"/>
      <c r="L551" s="2"/>
      <c r="M551" s="2"/>
      <c r="N551" s="2"/>
      <c r="O551" s="23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</row>
    <row r="552" spans="1:32" ht="14">
      <c r="A552" s="2"/>
      <c r="B552" s="2"/>
      <c r="C552" s="2"/>
      <c r="D552" s="2"/>
      <c r="E552" s="2"/>
      <c r="F552" s="569"/>
      <c r="G552" s="2"/>
      <c r="H552" s="2"/>
      <c r="I552" s="2"/>
      <c r="J552" s="366"/>
      <c r="K552" s="2"/>
      <c r="L552" s="2"/>
      <c r="M552" s="2"/>
      <c r="N552" s="2"/>
      <c r="O552" s="23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</row>
    <row r="553" spans="1:32" ht="14">
      <c r="A553" s="2"/>
      <c r="B553" s="2"/>
      <c r="C553" s="2"/>
      <c r="D553" s="2"/>
      <c r="E553" s="2"/>
      <c r="F553" s="569"/>
      <c r="G553" s="2"/>
      <c r="H553" s="2"/>
      <c r="I553" s="2"/>
      <c r="J553" s="366"/>
      <c r="K553" s="2"/>
      <c r="L553" s="2"/>
      <c r="M553" s="2"/>
      <c r="N553" s="2"/>
      <c r="O553" s="23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</row>
    <row r="554" spans="1:32" ht="14">
      <c r="A554" s="2"/>
      <c r="B554" s="2"/>
      <c r="C554" s="2"/>
      <c r="D554" s="2"/>
      <c r="E554" s="2"/>
      <c r="F554" s="569"/>
      <c r="G554" s="2"/>
      <c r="H554" s="2"/>
      <c r="I554" s="2"/>
      <c r="J554" s="366"/>
      <c r="K554" s="2"/>
      <c r="L554" s="2"/>
      <c r="M554" s="2"/>
      <c r="N554" s="2"/>
      <c r="O554" s="23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</row>
    <row r="555" spans="1:32" ht="14">
      <c r="A555" s="2"/>
      <c r="B555" s="2"/>
      <c r="C555" s="2"/>
      <c r="D555" s="2"/>
      <c r="E555" s="2"/>
      <c r="F555" s="569"/>
      <c r="G555" s="2"/>
      <c r="H555" s="2"/>
      <c r="I555" s="2"/>
      <c r="J555" s="366"/>
      <c r="K555" s="2"/>
      <c r="L555" s="2"/>
      <c r="M555" s="2"/>
      <c r="N555" s="2"/>
      <c r="O555" s="23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</row>
    <row r="556" spans="1:32" ht="14">
      <c r="A556" s="2"/>
      <c r="B556" s="2"/>
      <c r="C556" s="2"/>
      <c r="D556" s="2"/>
      <c r="E556" s="2"/>
      <c r="F556" s="569"/>
      <c r="G556" s="2"/>
      <c r="H556" s="2"/>
      <c r="I556" s="2"/>
      <c r="J556" s="366"/>
      <c r="K556" s="2"/>
      <c r="L556" s="2"/>
      <c r="M556" s="2"/>
      <c r="N556" s="2"/>
      <c r="O556" s="23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</row>
    <row r="557" spans="1:32" ht="14">
      <c r="A557" s="2"/>
      <c r="B557" s="2"/>
      <c r="C557" s="2"/>
      <c r="D557" s="2"/>
      <c r="E557" s="2"/>
      <c r="F557" s="569"/>
      <c r="G557" s="2"/>
      <c r="H557" s="2"/>
      <c r="I557" s="2"/>
      <c r="J557" s="366"/>
      <c r="K557" s="2"/>
      <c r="L557" s="2"/>
      <c r="M557" s="2"/>
      <c r="N557" s="2"/>
      <c r="O557" s="23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</row>
    <row r="558" spans="1:32" ht="14">
      <c r="A558" s="2"/>
      <c r="B558" s="2"/>
      <c r="C558" s="2"/>
      <c r="D558" s="2"/>
      <c r="E558" s="2"/>
      <c r="F558" s="569"/>
      <c r="G558" s="2"/>
      <c r="H558" s="2"/>
      <c r="I558" s="2"/>
      <c r="J558" s="366"/>
      <c r="K558" s="2"/>
      <c r="L558" s="2"/>
      <c r="M558" s="2"/>
      <c r="N558" s="2"/>
      <c r="O558" s="23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</row>
    <row r="559" spans="1:32" ht="14">
      <c r="A559" s="2"/>
      <c r="B559" s="2"/>
      <c r="C559" s="2"/>
      <c r="D559" s="2"/>
      <c r="E559" s="2"/>
      <c r="F559" s="569"/>
      <c r="G559" s="2"/>
      <c r="H559" s="2"/>
      <c r="I559" s="2"/>
      <c r="J559" s="366"/>
      <c r="K559" s="2"/>
      <c r="L559" s="2"/>
      <c r="M559" s="2"/>
      <c r="N559" s="2"/>
      <c r="O559" s="23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</row>
    <row r="560" spans="1:32" ht="14">
      <c r="A560" s="2"/>
      <c r="B560" s="2"/>
      <c r="C560" s="2"/>
      <c r="D560" s="2"/>
      <c r="E560" s="2"/>
      <c r="F560" s="569"/>
      <c r="G560" s="2"/>
      <c r="H560" s="2"/>
      <c r="I560" s="2"/>
      <c r="J560" s="366"/>
      <c r="K560" s="2"/>
      <c r="L560" s="2"/>
      <c r="M560" s="2"/>
      <c r="N560" s="2"/>
      <c r="O560" s="23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</row>
    <row r="561" spans="1:32" ht="14">
      <c r="A561" s="2"/>
      <c r="B561" s="2"/>
      <c r="C561" s="2"/>
      <c r="D561" s="2"/>
      <c r="E561" s="2"/>
      <c r="F561" s="569"/>
      <c r="G561" s="2"/>
      <c r="H561" s="2"/>
      <c r="I561" s="2"/>
      <c r="J561" s="366"/>
      <c r="K561" s="2"/>
      <c r="L561" s="2"/>
      <c r="M561" s="2"/>
      <c r="N561" s="2"/>
      <c r="O561" s="23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</row>
    <row r="562" spans="1:32" ht="14">
      <c r="A562" s="2"/>
      <c r="B562" s="2"/>
      <c r="C562" s="2"/>
      <c r="D562" s="2"/>
      <c r="E562" s="2"/>
      <c r="F562" s="569"/>
      <c r="G562" s="2"/>
      <c r="H562" s="2"/>
      <c r="I562" s="2"/>
      <c r="J562" s="366"/>
      <c r="K562" s="2"/>
      <c r="L562" s="2"/>
      <c r="M562" s="2"/>
      <c r="N562" s="2"/>
      <c r="O562" s="23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</row>
    <row r="563" spans="1:32" ht="14">
      <c r="A563" s="2"/>
      <c r="B563" s="2"/>
      <c r="C563" s="2"/>
      <c r="D563" s="2"/>
      <c r="E563" s="2"/>
      <c r="F563" s="569"/>
      <c r="G563" s="2"/>
      <c r="H563" s="2"/>
      <c r="I563" s="2"/>
      <c r="J563" s="366"/>
      <c r="K563" s="2"/>
      <c r="L563" s="2"/>
      <c r="M563" s="2"/>
      <c r="N563" s="2"/>
      <c r="O563" s="23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</row>
    <row r="564" spans="1:32" ht="14">
      <c r="A564" s="2"/>
      <c r="B564" s="2"/>
      <c r="C564" s="2"/>
      <c r="D564" s="2"/>
      <c r="E564" s="2"/>
      <c r="F564" s="569"/>
      <c r="G564" s="2"/>
      <c r="H564" s="2"/>
      <c r="I564" s="2"/>
      <c r="J564" s="366"/>
      <c r="K564" s="2"/>
      <c r="L564" s="2"/>
      <c r="M564" s="2"/>
      <c r="N564" s="2"/>
      <c r="O564" s="23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</row>
    <row r="565" spans="1:32" ht="14">
      <c r="A565" s="2"/>
      <c r="B565" s="2"/>
      <c r="C565" s="2"/>
      <c r="D565" s="2"/>
      <c r="E565" s="2"/>
      <c r="F565" s="569"/>
      <c r="G565" s="2"/>
      <c r="H565" s="2"/>
      <c r="I565" s="2"/>
      <c r="J565" s="366"/>
      <c r="K565" s="2"/>
      <c r="L565" s="2"/>
      <c r="M565" s="2"/>
      <c r="N565" s="2"/>
      <c r="O565" s="23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</row>
    <row r="566" spans="1:32" ht="14">
      <c r="A566" s="2"/>
      <c r="B566" s="2"/>
      <c r="C566" s="2"/>
      <c r="D566" s="2"/>
      <c r="E566" s="2"/>
      <c r="F566" s="569"/>
      <c r="G566" s="2"/>
      <c r="H566" s="2"/>
      <c r="I566" s="2"/>
      <c r="J566" s="366"/>
      <c r="K566" s="2"/>
      <c r="L566" s="2"/>
      <c r="M566" s="2"/>
      <c r="N566" s="2"/>
      <c r="O566" s="23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</row>
    <row r="567" spans="1:32" ht="14">
      <c r="A567" s="2"/>
      <c r="B567" s="2"/>
      <c r="C567" s="2"/>
      <c r="D567" s="2"/>
      <c r="E567" s="2"/>
      <c r="F567" s="569"/>
      <c r="G567" s="2"/>
      <c r="H567" s="2"/>
      <c r="I567" s="2"/>
      <c r="J567" s="366"/>
      <c r="K567" s="2"/>
      <c r="L567" s="2"/>
      <c r="M567" s="2"/>
      <c r="N567" s="2"/>
      <c r="O567" s="23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</row>
    <row r="568" spans="1:32" ht="14">
      <c r="A568" s="2"/>
      <c r="B568" s="2"/>
      <c r="C568" s="2"/>
      <c r="D568" s="2"/>
      <c r="E568" s="2"/>
      <c r="F568" s="569"/>
      <c r="G568" s="2"/>
      <c r="H568" s="2"/>
      <c r="I568" s="2"/>
      <c r="J568" s="366"/>
      <c r="K568" s="2"/>
      <c r="L568" s="2"/>
      <c r="M568" s="2"/>
      <c r="N568" s="2"/>
      <c r="O568" s="23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</row>
    <row r="569" spans="1:32" ht="14">
      <c r="A569" s="2"/>
      <c r="B569" s="2"/>
      <c r="C569" s="2"/>
      <c r="D569" s="2"/>
      <c r="E569" s="2"/>
      <c r="F569" s="569"/>
      <c r="G569" s="2"/>
      <c r="H569" s="2"/>
      <c r="I569" s="2"/>
      <c r="J569" s="366"/>
      <c r="K569" s="2"/>
      <c r="L569" s="2"/>
      <c r="M569" s="2"/>
      <c r="N569" s="2"/>
      <c r="O569" s="23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</row>
    <row r="570" spans="1:32" ht="14">
      <c r="A570" s="2"/>
      <c r="B570" s="2"/>
      <c r="C570" s="2"/>
      <c r="D570" s="2"/>
      <c r="E570" s="2"/>
      <c r="F570" s="569"/>
      <c r="G570" s="2"/>
      <c r="H570" s="2"/>
      <c r="I570" s="2"/>
      <c r="J570" s="366"/>
      <c r="K570" s="2"/>
      <c r="L570" s="2"/>
      <c r="M570" s="2"/>
      <c r="N570" s="2"/>
      <c r="O570" s="23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</row>
    <row r="571" spans="1:32" ht="14">
      <c r="A571" s="2"/>
      <c r="B571" s="2"/>
      <c r="C571" s="2"/>
      <c r="D571" s="2"/>
      <c r="E571" s="2"/>
      <c r="F571" s="569"/>
      <c r="G571" s="2"/>
      <c r="H571" s="2"/>
      <c r="I571" s="2"/>
      <c r="J571" s="366"/>
      <c r="K571" s="2"/>
      <c r="L571" s="2"/>
      <c r="M571" s="2"/>
      <c r="N571" s="2"/>
      <c r="O571" s="23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</row>
    <row r="572" spans="1:32" ht="14">
      <c r="A572" s="2"/>
      <c r="B572" s="2"/>
      <c r="C572" s="2"/>
      <c r="D572" s="2"/>
      <c r="E572" s="2"/>
      <c r="F572" s="569"/>
      <c r="G572" s="2"/>
      <c r="H572" s="2"/>
      <c r="I572" s="2"/>
      <c r="J572" s="366"/>
      <c r="K572" s="2"/>
      <c r="L572" s="2"/>
      <c r="M572" s="2"/>
      <c r="N572" s="2"/>
      <c r="O572" s="23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</row>
    <row r="573" spans="1:32" ht="14">
      <c r="A573" s="2"/>
      <c r="B573" s="2"/>
      <c r="C573" s="2"/>
      <c r="D573" s="2"/>
      <c r="E573" s="2"/>
      <c r="F573" s="569"/>
      <c r="G573" s="2"/>
      <c r="H573" s="2"/>
      <c r="I573" s="2"/>
      <c r="J573" s="366"/>
      <c r="K573" s="2"/>
      <c r="L573" s="2"/>
      <c r="M573" s="2"/>
      <c r="N573" s="2"/>
      <c r="O573" s="23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</row>
    <row r="574" spans="1:32" ht="14">
      <c r="A574" s="2"/>
      <c r="B574" s="2"/>
      <c r="C574" s="2"/>
      <c r="D574" s="2"/>
      <c r="E574" s="2"/>
      <c r="F574" s="569"/>
      <c r="G574" s="2"/>
      <c r="H574" s="2"/>
      <c r="I574" s="2"/>
      <c r="J574" s="366"/>
      <c r="K574" s="2"/>
      <c r="L574" s="2"/>
      <c r="M574" s="2"/>
      <c r="N574" s="2"/>
      <c r="O574" s="23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</row>
    <row r="575" spans="1:32" ht="14">
      <c r="A575" s="2"/>
      <c r="B575" s="2"/>
      <c r="C575" s="2"/>
      <c r="D575" s="2"/>
      <c r="E575" s="2"/>
      <c r="F575" s="569"/>
      <c r="G575" s="2"/>
      <c r="H575" s="2"/>
      <c r="I575" s="2"/>
      <c r="J575" s="366"/>
      <c r="K575" s="2"/>
      <c r="L575" s="2"/>
      <c r="M575" s="2"/>
      <c r="N575" s="2"/>
      <c r="O575" s="23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</row>
    <row r="576" spans="1:32" ht="14">
      <c r="A576" s="2"/>
      <c r="B576" s="2"/>
      <c r="C576" s="2"/>
      <c r="D576" s="2"/>
      <c r="E576" s="2"/>
      <c r="F576" s="569"/>
      <c r="G576" s="2"/>
      <c r="H576" s="2"/>
      <c r="I576" s="2"/>
      <c r="J576" s="366"/>
      <c r="K576" s="2"/>
      <c r="L576" s="2"/>
      <c r="M576" s="2"/>
      <c r="N576" s="2"/>
      <c r="O576" s="23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</row>
    <row r="577" spans="1:32" ht="14">
      <c r="A577" s="2"/>
      <c r="B577" s="2"/>
      <c r="C577" s="2"/>
      <c r="D577" s="2"/>
      <c r="E577" s="2"/>
      <c r="F577" s="569"/>
      <c r="G577" s="2"/>
      <c r="H577" s="2"/>
      <c r="I577" s="2"/>
      <c r="J577" s="366"/>
      <c r="K577" s="2"/>
      <c r="L577" s="2"/>
      <c r="M577" s="2"/>
      <c r="N577" s="2"/>
      <c r="O577" s="23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</row>
    <row r="578" spans="1:32" ht="14">
      <c r="A578" s="2"/>
      <c r="B578" s="2"/>
      <c r="C578" s="2"/>
      <c r="D578" s="2"/>
      <c r="E578" s="2"/>
      <c r="F578" s="569"/>
      <c r="G578" s="2"/>
      <c r="H578" s="2"/>
      <c r="I578" s="2"/>
      <c r="J578" s="366"/>
      <c r="K578" s="2"/>
      <c r="L578" s="2"/>
      <c r="M578" s="2"/>
      <c r="N578" s="2"/>
      <c r="O578" s="23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</row>
    <row r="579" spans="1:32" ht="14">
      <c r="A579" s="2"/>
      <c r="B579" s="2"/>
      <c r="C579" s="2"/>
      <c r="D579" s="2"/>
      <c r="E579" s="2"/>
      <c r="F579" s="569"/>
      <c r="G579" s="2"/>
      <c r="H579" s="2"/>
      <c r="I579" s="2"/>
      <c r="J579" s="366"/>
      <c r="K579" s="2"/>
      <c r="L579" s="2"/>
      <c r="M579" s="2"/>
      <c r="N579" s="2"/>
      <c r="O579" s="23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</row>
    <row r="580" spans="1:32" ht="14">
      <c r="A580" s="2"/>
      <c r="B580" s="2"/>
      <c r="C580" s="2"/>
      <c r="D580" s="2"/>
      <c r="E580" s="2"/>
      <c r="F580" s="569"/>
      <c r="G580" s="2"/>
      <c r="H580" s="2"/>
      <c r="I580" s="2"/>
      <c r="J580" s="366"/>
      <c r="K580" s="2"/>
      <c r="L580" s="2"/>
      <c r="M580" s="2"/>
      <c r="N580" s="2"/>
      <c r="O580" s="23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</row>
    <row r="581" spans="1:32" ht="14">
      <c r="A581" s="2"/>
      <c r="B581" s="2"/>
      <c r="C581" s="2"/>
      <c r="D581" s="2"/>
      <c r="E581" s="2"/>
      <c r="F581" s="569"/>
      <c r="G581" s="2"/>
      <c r="H581" s="2"/>
      <c r="I581" s="2"/>
      <c r="J581" s="366"/>
      <c r="K581" s="2"/>
      <c r="L581" s="2"/>
      <c r="M581" s="2"/>
      <c r="N581" s="2"/>
      <c r="O581" s="23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</row>
    <row r="582" spans="1:32" ht="14">
      <c r="A582" s="2"/>
      <c r="B582" s="2"/>
      <c r="C582" s="2"/>
      <c r="D582" s="2"/>
      <c r="E582" s="2"/>
      <c r="F582" s="569"/>
      <c r="G582" s="2"/>
      <c r="H582" s="2"/>
      <c r="I582" s="2"/>
      <c r="J582" s="366"/>
      <c r="K582" s="2"/>
      <c r="L582" s="2"/>
      <c r="M582" s="2"/>
      <c r="N582" s="2"/>
      <c r="O582" s="23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</row>
    <row r="583" spans="1:32" ht="14">
      <c r="A583" s="2"/>
      <c r="B583" s="2"/>
      <c r="C583" s="2"/>
      <c r="D583" s="2"/>
      <c r="E583" s="2"/>
      <c r="F583" s="569"/>
      <c r="G583" s="2"/>
      <c r="H583" s="2"/>
      <c r="I583" s="2"/>
      <c r="J583" s="366"/>
      <c r="K583" s="2"/>
      <c r="L583" s="2"/>
      <c r="M583" s="2"/>
      <c r="N583" s="2"/>
      <c r="O583" s="23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</row>
    <row r="584" spans="1:32" ht="14">
      <c r="A584" s="2"/>
      <c r="B584" s="2"/>
      <c r="C584" s="2"/>
      <c r="D584" s="2"/>
      <c r="E584" s="2"/>
      <c r="F584" s="569"/>
      <c r="G584" s="2"/>
      <c r="H584" s="2"/>
      <c r="I584" s="2"/>
      <c r="J584" s="366"/>
      <c r="K584" s="2"/>
      <c r="L584" s="2"/>
      <c r="M584" s="2"/>
      <c r="N584" s="2"/>
      <c r="O584" s="23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</row>
    <row r="585" spans="1:32" ht="14">
      <c r="A585" s="2"/>
      <c r="B585" s="2"/>
      <c r="C585" s="2"/>
      <c r="D585" s="2"/>
      <c r="E585" s="2"/>
      <c r="F585" s="569"/>
      <c r="G585" s="2"/>
      <c r="H585" s="2"/>
      <c r="I585" s="2"/>
      <c r="J585" s="366"/>
      <c r="K585" s="2"/>
      <c r="L585" s="2"/>
      <c r="M585" s="2"/>
      <c r="N585" s="2"/>
      <c r="O585" s="23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</row>
    <row r="586" spans="1:32" ht="14">
      <c r="A586" s="2"/>
      <c r="B586" s="2"/>
      <c r="C586" s="2"/>
      <c r="D586" s="2"/>
      <c r="E586" s="2"/>
      <c r="F586" s="569"/>
      <c r="G586" s="2"/>
      <c r="H586" s="2"/>
      <c r="I586" s="2"/>
      <c r="J586" s="366"/>
      <c r="K586" s="2"/>
      <c r="L586" s="2"/>
      <c r="M586" s="2"/>
      <c r="N586" s="2"/>
      <c r="O586" s="23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</row>
    <row r="587" spans="1:32" ht="14">
      <c r="A587" s="2"/>
      <c r="B587" s="2"/>
      <c r="C587" s="2"/>
      <c r="D587" s="2"/>
      <c r="E587" s="2"/>
      <c r="F587" s="569"/>
      <c r="G587" s="2"/>
      <c r="H587" s="2"/>
      <c r="I587" s="2"/>
      <c r="J587" s="366"/>
      <c r="K587" s="2"/>
      <c r="L587" s="2"/>
      <c r="M587" s="2"/>
      <c r="N587" s="2"/>
      <c r="O587" s="23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</row>
    <row r="588" spans="1:32" ht="14">
      <c r="A588" s="2"/>
      <c r="B588" s="2"/>
      <c r="C588" s="2"/>
      <c r="D588" s="2"/>
      <c r="E588" s="2"/>
      <c r="F588" s="569"/>
      <c r="G588" s="2"/>
      <c r="H588" s="2"/>
      <c r="I588" s="2"/>
      <c r="J588" s="366"/>
      <c r="K588" s="2"/>
      <c r="L588" s="2"/>
      <c r="M588" s="2"/>
      <c r="N588" s="2"/>
      <c r="O588" s="23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</row>
    <row r="589" spans="1:32" ht="14">
      <c r="A589" s="2"/>
      <c r="B589" s="2"/>
      <c r="C589" s="2"/>
      <c r="D589" s="2"/>
      <c r="E589" s="2"/>
      <c r="F589" s="569"/>
      <c r="G589" s="2"/>
      <c r="H589" s="2"/>
      <c r="I589" s="2"/>
      <c r="J589" s="366"/>
      <c r="K589" s="2"/>
      <c r="L589" s="2"/>
      <c r="M589" s="2"/>
      <c r="N589" s="2"/>
      <c r="O589" s="23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</row>
    <row r="590" spans="1:32" ht="14">
      <c r="A590" s="2"/>
      <c r="B590" s="2"/>
      <c r="C590" s="2"/>
      <c r="D590" s="2"/>
      <c r="E590" s="2"/>
      <c r="F590" s="569"/>
      <c r="G590" s="2"/>
      <c r="H590" s="2"/>
      <c r="I590" s="2"/>
      <c r="J590" s="366"/>
      <c r="K590" s="2"/>
      <c r="L590" s="2"/>
      <c r="M590" s="2"/>
      <c r="N590" s="2"/>
      <c r="O590" s="23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</row>
    <row r="591" spans="1:32" ht="14">
      <c r="A591" s="2"/>
      <c r="B591" s="2"/>
      <c r="C591" s="2"/>
      <c r="D591" s="2"/>
      <c r="E591" s="2"/>
      <c r="F591" s="569"/>
      <c r="G591" s="2"/>
      <c r="H591" s="2"/>
      <c r="I591" s="2"/>
      <c r="J591" s="366"/>
      <c r="K591" s="2"/>
      <c r="L591" s="2"/>
      <c r="M591" s="2"/>
      <c r="N591" s="2"/>
      <c r="O591" s="23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</row>
    <row r="592" spans="1:32" ht="14">
      <c r="A592" s="2"/>
      <c r="B592" s="2"/>
      <c r="C592" s="2"/>
      <c r="D592" s="2"/>
      <c r="E592" s="2"/>
      <c r="F592" s="569"/>
      <c r="G592" s="2"/>
      <c r="H592" s="2"/>
      <c r="I592" s="2"/>
      <c r="J592" s="366"/>
      <c r="K592" s="2"/>
      <c r="L592" s="2"/>
      <c r="M592" s="2"/>
      <c r="N592" s="2"/>
      <c r="O592" s="23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</row>
    <row r="593" spans="1:32" ht="14">
      <c r="A593" s="2"/>
      <c r="B593" s="2"/>
      <c r="C593" s="2"/>
      <c r="D593" s="2"/>
      <c r="E593" s="2"/>
      <c r="F593" s="569"/>
      <c r="G593" s="2"/>
      <c r="H593" s="2"/>
      <c r="I593" s="2"/>
      <c r="J593" s="366"/>
      <c r="K593" s="2"/>
      <c r="L593" s="2"/>
      <c r="M593" s="2"/>
      <c r="N593" s="2"/>
      <c r="O593" s="23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</row>
    <row r="594" spans="1:32" ht="14">
      <c r="A594" s="2"/>
      <c r="B594" s="2"/>
      <c r="C594" s="2"/>
      <c r="D594" s="2"/>
      <c r="E594" s="2"/>
      <c r="F594" s="569"/>
      <c r="G594" s="2"/>
      <c r="H594" s="2"/>
      <c r="I594" s="2"/>
      <c r="J594" s="366"/>
      <c r="K594" s="2"/>
      <c r="L594" s="2"/>
      <c r="M594" s="2"/>
      <c r="N594" s="2"/>
      <c r="O594" s="23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</row>
    <row r="595" spans="1:32" ht="14">
      <c r="A595" s="2"/>
      <c r="B595" s="2"/>
      <c r="C595" s="2"/>
      <c r="D595" s="2"/>
      <c r="E595" s="2"/>
      <c r="F595" s="569"/>
      <c r="G595" s="2"/>
      <c r="H595" s="2"/>
      <c r="I595" s="2"/>
      <c r="J595" s="366"/>
      <c r="K595" s="2"/>
      <c r="L595" s="2"/>
      <c r="M595" s="2"/>
      <c r="N595" s="2"/>
      <c r="O595" s="23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</row>
    <row r="596" spans="1:32" ht="14">
      <c r="A596" s="2"/>
      <c r="B596" s="2"/>
      <c r="C596" s="2"/>
      <c r="D596" s="2"/>
      <c r="E596" s="2"/>
      <c r="F596" s="569"/>
      <c r="G596" s="2"/>
      <c r="H596" s="2"/>
      <c r="I596" s="2"/>
      <c r="J596" s="366"/>
      <c r="K596" s="2"/>
      <c r="L596" s="2"/>
      <c r="M596" s="2"/>
      <c r="N596" s="2"/>
      <c r="O596" s="23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</row>
    <row r="597" spans="1:32" ht="14">
      <c r="A597" s="2"/>
      <c r="B597" s="2"/>
      <c r="C597" s="2"/>
      <c r="D597" s="2"/>
      <c r="E597" s="2"/>
      <c r="F597" s="569"/>
      <c r="G597" s="2"/>
      <c r="H597" s="2"/>
      <c r="I597" s="2"/>
      <c r="J597" s="366"/>
      <c r="K597" s="2"/>
      <c r="L597" s="2"/>
      <c r="M597" s="2"/>
      <c r="N597" s="2"/>
      <c r="O597" s="23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</row>
    <row r="598" spans="1:32" ht="14">
      <c r="A598" s="2"/>
      <c r="B598" s="2"/>
      <c r="C598" s="2"/>
      <c r="D598" s="2"/>
      <c r="E598" s="2"/>
      <c r="F598" s="569"/>
      <c r="G598" s="2"/>
      <c r="H598" s="2"/>
      <c r="I598" s="2"/>
      <c r="J598" s="366"/>
      <c r="K598" s="2"/>
      <c r="L598" s="2"/>
      <c r="M598" s="2"/>
      <c r="N598" s="2"/>
      <c r="O598" s="23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</row>
    <row r="599" spans="1:32" ht="14">
      <c r="A599" s="2"/>
      <c r="B599" s="2"/>
      <c r="C599" s="2"/>
      <c r="D599" s="2"/>
      <c r="E599" s="2"/>
      <c r="F599" s="569"/>
      <c r="G599" s="2"/>
      <c r="H599" s="2"/>
      <c r="I599" s="2"/>
      <c r="J599" s="366"/>
      <c r="K599" s="2"/>
      <c r="L599" s="2"/>
      <c r="M599" s="2"/>
      <c r="N599" s="2"/>
      <c r="O599" s="23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</row>
    <row r="600" spans="1:32" ht="14">
      <c r="A600" s="2"/>
      <c r="B600" s="2"/>
      <c r="C600" s="2"/>
      <c r="D600" s="2"/>
      <c r="E600" s="2"/>
      <c r="F600" s="569"/>
      <c r="G600" s="2"/>
      <c r="H600" s="2"/>
      <c r="I600" s="2"/>
      <c r="J600" s="366"/>
      <c r="K600" s="2"/>
      <c r="L600" s="2"/>
      <c r="M600" s="2"/>
      <c r="N600" s="2"/>
      <c r="O600" s="23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</row>
    <row r="601" spans="1:32" ht="14">
      <c r="A601" s="2"/>
      <c r="B601" s="2"/>
      <c r="C601" s="2"/>
      <c r="D601" s="2"/>
      <c r="E601" s="2"/>
      <c r="F601" s="569"/>
      <c r="G601" s="2"/>
      <c r="H601" s="2"/>
      <c r="I601" s="2"/>
      <c r="J601" s="366"/>
      <c r="K601" s="2"/>
      <c r="L601" s="2"/>
      <c r="M601" s="2"/>
      <c r="N601" s="2"/>
      <c r="O601" s="23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</row>
    <row r="602" spans="1:32" ht="14">
      <c r="A602" s="2"/>
      <c r="B602" s="2"/>
      <c r="C602" s="2"/>
      <c r="D602" s="2"/>
      <c r="E602" s="2"/>
      <c r="F602" s="569"/>
      <c r="G602" s="2"/>
      <c r="H602" s="2"/>
      <c r="I602" s="2"/>
      <c r="J602" s="366"/>
      <c r="K602" s="2"/>
      <c r="L602" s="2"/>
      <c r="M602" s="2"/>
      <c r="N602" s="2"/>
      <c r="O602" s="23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</row>
    <row r="603" spans="1:32" ht="14">
      <c r="A603" s="2"/>
      <c r="B603" s="2"/>
      <c r="C603" s="2"/>
      <c r="D603" s="2"/>
      <c r="E603" s="2"/>
      <c r="F603" s="569"/>
      <c r="G603" s="2"/>
      <c r="H603" s="2"/>
      <c r="I603" s="2"/>
      <c r="J603" s="366"/>
      <c r="K603" s="2"/>
      <c r="L603" s="2"/>
      <c r="M603" s="2"/>
      <c r="N603" s="2"/>
      <c r="O603" s="23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</row>
    <row r="604" spans="1:32" ht="14">
      <c r="A604" s="2"/>
      <c r="B604" s="2"/>
      <c r="C604" s="2"/>
      <c r="D604" s="2"/>
      <c r="E604" s="2"/>
      <c r="F604" s="569"/>
      <c r="G604" s="2"/>
      <c r="H604" s="2"/>
      <c r="I604" s="2"/>
      <c r="J604" s="366"/>
      <c r="K604" s="2"/>
      <c r="L604" s="2"/>
      <c r="M604" s="2"/>
      <c r="N604" s="2"/>
      <c r="O604" s="23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</row>
    <row r="605" spans="1:32" ht="14">
      <c r="A605" s="2"/>
      <c r="B605" s="2"/>
      <c r="C605" s="2"/>
      <c r="D605" s="2"/>
      <c r="E605" s="2"/>
      <c r="F605" s="569"/>
      <c r="G605" s="2"/>
      <c r="H605" s="2"/>
      <c r="I605" s="2"/>
      <c r="J605" s="366"/>
      <c r="K605" s="2"/>
      <c r="L605" s="2"/>
      <c r="M605" s="2"/>
      <c r="N605" s="2"/>
      <c r="O605" s="23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</row>
    <row r="606" spans="1:32" ht="14">
      <c r="A606" s="2"/>
      <c r="B606" s="2"/>
      <c r="C606" s="2"/>
      <c r="D606" s="2"/>
      <c r="E606" s="2"/>
      <c r="F606" s="569"/>
      <c r="G606" s="2"/>
      <c r="H606" s="2"/>
      <c r="I606" s="2"/>
      <c r="J606" s="366"/>
      <c r="K606" s="2"/>
      <c r="L606" s="2"/>
      <c r="M606" s="2"/>
      <c r="N606" s="2"/>
      <c r="O606" s="23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</row>
    <row r="607" spans="1:32" ht="14">
      <c r="A607" s="2"/>
      <c r="B607" s="2"/>
      <c r="C607" s="2"/>
      <c r="D607" s="2"/>
      <c r="E607" s="2"/>
      <c r="F607" s="569"/>
      <c r="G607" s="2"/>
      <c r="H607" s="2"/>
      <c r="I607" s="2"/>
      <c r="J607" s="366"/>
      <c r="K607" s="2"/>
      <c r="L607" s="2"/>
      <c r="M607" s="2"/>
      <c r="N607" s="2"/>
      <c r="O607" s="23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</row>
    <row r="608" spans="1:32" ht="14">
      <c r="A608" s="2"/>
      <c r="B608" s="2"/>
      <c r="C608" s="2"/>
      <c r="D608" s="2"/>
      <c r="E608" s="2"/>
      <c r="F608" s="569"/>
      <c r="G608" s="2"/>
      <c r="H608" s="2"/>
      <c r="I608" s="2"/>
      <c r="J608" s="366"/>
      <c r="K608" s="2"/>
      <c r="L608" s="2"/>
      <c r="M608" s="2"/>
      <c r="N608" s="2"/>
      <c r="O608" s="23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</row>
    <row r="609" spans="1:32" ht="14">
      <c r="A609" s="2"/>
      <c r="B609" s="2"/>
      <c r="C609" s="2"/>
      <c r="D609" s="2"/>
      <c r="E609" s="2"/>
      <c r="F609" s="569"/>
      <c r="G609" s="2"/>
      <c r="H609" s="2"/>
      <c r="I609" s="2"/>
      <c r="J609" s="366"/>
      <c r="K609" s="2"/>
      <c r="L609" s="2"/>
      <c r="M609" s="2"/>
      <c r="N609" s="2"/>
      <c r="O609" s="23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</row>
    <row r="610" spans="1:32" ht="14">
      <c r="A610" s="2"/>
      <c r="B610" s="2"/>
      <c r="C610" s="2"/>
      <c r="D610" s="2"/>
      <c r="E610" s="2"/>
      <c r="F610" s="569"/>
      <c r="G610" s="2"/>
      <c r="H610" s="2"/>
      <c r="I610" s="2"/>
      <c r="J610" s="366"/>
      <c r="K610" s="2"/>
      <c r="L610" s="2"/>
      <c r="M610" s="2"/>
      <c r="N610" s="2"/>
      <c r="O610" s="23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</row>
    <row r="611" spans="1:32" ht="14">
      <c r="A611" s="2"/>
      <c r="B611" s="2"/>
      <c r="C611" s="2"/>
      <c r="D611" s="2"/>
      <c r="E611" s="2"/>
      <c r="F611" s="569"/>
      <c r="G611" s="2"/>
      <c r="H611" s="2"/>
      <c r="I611" s="2"/>
      <c r="J611" s="366"/>
      <c r="K611" s="2"/>
      <c r="L611" s="2"/>
      <c r="M611" s="2"/>
      <c r="N611" s="2"/>
      <c r="O611" s="23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</row>
    <row r="612" spans="1:32" ht="14">
      <c r="A612" s="2"/>
      <c r="B612" s="2"/>
      <c r="C612" s="2"/>
      <c r="D612" s="2"/>
      <c r="E612" s="2"/>
      <c r="F612" s="569"/>
      <c r="G612" s="2"/>
      <c r="H612" s="2"/>
      <c r="I612" s="2"/>
      <c r="J612" s="366"/>
      <c r="K612" s="2"/>
      <c r="L612" s="2"/>
      <c r="M612" s="2"/>
      <c r="N612" s="2"/>
      <c r="O612" s="23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</row>
    <row r="613" spans="1:32" ht="14">
      <c r="A613" s="2"/>
      <c r="B613" s="2"/>
      <c r="C613" s="2"/>
      <c r="D613" s="2"/>
      <c r="E613" s="2"/>
      <c r="F613" s="569"/>
      <c r="G613" s="2"/>
      <c r="H613" s="2"/>
      <c r="I613" s="2"/>
      <c r="J613" s="366"/>
      <c r="K613" s="2"/>
      <c r="L613" s="2"/>
      <c r="M613" s="2"/>
      <c r="N613" s="2"/>
      <c r="O613" s="23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</row>
    <row r="614" spans="1:32" ht="14">
      <c r="A614" s="2"/>
      <c r="B614" s="2"/>
      <c r="C614" s="2"/>
      <c r="D614" s="2"/>
      <c r="E614" s="2"/>
      <c r="F614" s="569"/>
      <c r="G614" s="2"/>
      <c r="H614" s="2"/>
      <c r="I614" s="2"/>
      <c r="J614" s="366"/>
      <c r="K614" s="2"/>
      <c r="L614" s="2"/>
      <c r="M614" s="2"/>
      <c r="N614" s="2"/>
      <c r="O614" s="23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</row>
    <row r="615" spans="1:32" ht="14">
      <c r="A615" s="2"/>
      <c r="B615" s="2"/>
      <c r="C615" s="2"/>
      <c r="D615" s="2"/>
      <c r="E615" s="2"/>
      <c r="F615" s="569"/>
      <c r="G615" s="2"/>
      <c r="H615" s="2"/>
      <c r="I615" s="2"/>
      <c r="J615" s="366"/>
      <c r="K615" s="2"/>
      <c r="L615" s="2"/>
      <c r="M615" s="2"/>
      <c r="N615" s="2"/>
      <c r="O615" s="23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</row>
    <row r="616" spans="1:32" ht="14">
      <c r="A616" s="2"/>
      <c r="B616" s="2"/>
      <c r="C616" s="2"/>
      <c r="D616" s="2"/>
      <c r="E616" s="2"/>
      <c r="F616" s="569"/>
      <c r="G616" s="2"/>
      <c r="H616" s="2"/>
      <c r="I616" s="2"/>
      <c r="J616" s="366"/>
      <c r="K616" s="2"/>
      <c r="L616" s="2"/>
      <c r="M616" s="2"/>
      <c r="N616" s="2"/>
      <c r="O616" s="23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</row>
    <row r="617" spans="1:32" ht="14">
      <c r="A617" s="2"/>
      <c r="B617" s="2"/>
      <c r="C617" s="2"/>
      <c r="D617" s="2"/>
      <c r="E617" s="2"/>
      <c r="F617" s="569"/>
      <c r="G617" s="2"/>
      <c r="H617" s="2"/>
      <c r="I617" s="2"/>
      <c r="J617" s="366"/>
      <c r="K617" s="2"/>
      <c r="L617" s="2"/>
      <c r="M617" s="2"/>
      <c r="N617" s="2"/>
      <c r="O617" s="23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</row>
    <row r="618" spans="1:32" ht="14">
      <c r="A618" s="2"/>
      <c r="B618" s="2"/>
      <c r="C618" s="2"/>
      <c r="D618" s="2"/>
      <c r="E618" s="2"/>
      <c r="F618" s="569"/>
      <c r="G618" s="2"/>
      <c r="H618" s="2"/>
      <c r="I618" s="2"/>
      <c r="J618" s="366"/>
      <c r="K618" s="2"/>
      <c r="L618" s="2"/>
      <c r="M618" s="2"/>
      <c r="N618" s="2"/>
      <c r="O618" s="23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</row>
    <row r="619" spans="1:32" ht="14">
      <c r="A619" s="2"/>
      <c r="B619" s="2"/>
      <c r="C619" s="2"/>
      <c r="D619" s="2"/>
      <c r="E619" s="2"/>
      <c r="F619" s="569"/>
      <c r="G619" s="2"/>
      <c r="H619" s="2"/>
      <c r="I619" s="2"/>
      <c r="J619" s="366"/>
      <c r="K619" s="2"/>
      <c r="L619" s="2"/>
      <c r="M619" s="2"/>
      <c r="N619" s="2"/>
      <c r="O619" s="23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</row>
    <row r="620" spans="1:32" ht="14">
      <c r="A620" s="2"/>
      <c r="B620" s="2"/>
      <c r="C620" s="2"/>
      <c r="D620" s="2"/>
      <c r="E620" s="2"/>
      <c r="F620" s="569"/>
      <c r="G620" s="2"/>
      <c r="H620" s="2"/>
      <c r="I620" s="2"/>
      <c r="J620" s="366"/>
      <c r="K620" s="2"/>
      <c r="L620" s="2"/>
      <c r="M620" s="2"/>
      <c r="N620" s="2"/>
      <c r="O620" s="23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</row>
    <row r="621" spans="1:32" ht="14">
      <c r="A621" s="2"/>
      <c r="B621" s="2"/>
      <c r="C621" s="2"/>
      <c r="D621" s="2"/>
      <c r="E621" s="2"/>
      <c r="F621" s="569"/>
      <c r="G621" s="2"/>
      <c r="H621" s="2"/>
      <c r="I621" s="2"/>
      <c r="J621" s="366"/>
      <c r="K621" s="2"/>
      <c r="L621" s="2"/>
      <c r="M621" s="2"/>
      <c r="N621" s="2"/>
      <c r="O621" s="23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</row>
    <row r="622" spans="1:32" ht="14">
      <c r="A622" s="2"/>
      <c r="B622" s="2"/>
      <c r="C622" s="2"/>
      <c r="D622" s="2"/>
      <c r="E622" s="2"/>
      <c r="F622" s="569"/>
      <c r="G622" s="2"/>
      <c r="H622" s="2"/>
      <c r="I622" s="2"/>
      <c r="J622" s="366"/>
      <c r="K622" s="2"/>
      <c r="L622" s="2"/>
      <c r="M622" s="2"/>
      <c r="N622" s="2"/>
      <c r="O622" s="23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</row>
    <row r="623" spans="1:32" ht="14">
      <c r="A623" s="2"/>
      <c r="B623" s="2"/>
      <c r="C623" s="2"/>
      <c r="D623" s="2"/>
      <c r="E623" s="2"/>
      <c r="F623" s="569"/>
      <c r="G623" s="2"/>
      <c r="H623" s="2"/>
      <c r="I623" s="2"/>
      <c r="J623" s="366"/>
      <c r="K623" s="2"/>
      <c r="L623" s="2"/>
      <c r="M623" s="2"/>
      <c r="N623" s="2"/>
      <c r="O623" s="23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</row>
    <row r="624" spans="1:32" ht="14">
      <c r="A624" s="2"/>
      <c r="B624" s="2"/>
      <c r="C624" s="2"/>
      <c r="D624" s="2"/>
      <c r="E624" s="2"/>
      <c r="F624" s="569"/>
      <c r="G624" s="2"/>
      <c r="H624" s="2"/>
      <c r="I624" s="2"/>
      <c r="J624" s="366"/>
      <c r="K624" s="2"/>
      <c r="L624" s="2"/>
      <c r="M624" s="2"/>
      <c r="N624" s="2"/>
      <c r="O624" s="23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</row>
    <row r="625" spans="1:32" ht="14">
      <c r="A625" s="2"/>
      <c r="B625" s="2"/>
      <c r="C625" s="2"/>
      <c r="D625" s="2"/>
      <c r="E625" s="2"/>
      <c r="F625" s="569"/>
      <c r="G625" s="2"/>
      <c r="H625" s="2"/>
      <c r="I625" s="2"/>
      <c r="J625" s="366"/>
      <c r="K625" s="2"/>
      <c r="L625" s="2"/>
      <c r="M625" s="2"/>
      <c r="N625" s="2"/>
      <c r="O625" s="23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</row>
    <row r="626" spans="1:32" ht="14">
      <c r="A626" s="2"/>
      <c r="B626" s="2"/>
      <c r="C626" s="2"/>
      <c r="D626" s="2"/>
      <c r="E626" s="2"/>
      <c r="F626" s="569"/>
      <c r="G626" s="2"/>
      <c r="H626" s="2"/>
      <c r="I626" s="2"/>
      <c r="J626" s="366"/>
      <c r="K626" s="2"/>
      <c r="L626" s="2"/>
      <c r="M626" s="2"/>
      <c r="N626" s="2"/>
      <c r="O626" s="23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</row>
    <row r="627" spans="1:32" ht="14">
      <c r="A627" s="2"/>
      <c r="B627" s="2"/>
      <c r="C627" s="2"/>
      <c r="D627" s="2"/>
      <c r="E627" s="2"/>
      <c r="F627" s="569"/>
      <c r="G627" s="2"/>
      <c r="H627" s="2"/>
      <c r="I627" s="2"/>
      <c r="J627" s="366"/>
      <c r="K627" s="2"/>
      <c r="L627" s="2"/>
      <c r="M627" s="2"/>
      <c r="N627" s="2"/>
      <c r="O627" s="23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</row>
    <row r="628" spans="1:32" ht="14">
      <c r="A628" s="2"/>
      <c r="B628" s="2"/>
      <c r="C628" s="2"/>
      <c r="D628" s="2"/>
      <c r="E628" s="2"/>
      <c r="F628" s="569"/>
      <c r="G628" s="2"/>
      <c r="H628" s="2"/>
      <c r="I628" s="2"/>
      <c r="J628" s="366"/>
      <c r="K628" s="2"/>
      <c r="L628" s="2"/>
      <c r="M628" s="2"/>
      <c r="N628" s="2"/>
      <c r="O628" s="23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</row>
    <row r="629" spans="1:32" ht="14">
      <c r="A629" s="2"/>
      <c r="B629" s="2"/>
      <c r="C629" s="2"/>
      <c r="D629" s="2"/>
      <c r="E629" s="2"/>
      <c r="F629" s="569"/>
      <c r="G629" s="2"/>
      <c r="H629" s="2"/>
      <c r="I629" s="2"/>
      <c r="J629" s="366"/>
      <c r="K629" s="2"/>
      <c r="L629" s="2"/>
      <c r="M629" s="2"/>
      <c r="N629" s="2"/>
      <c r="O629" s="23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</row>
    <row r="630" spans="1:32" ht="14">
      <c r="A630" s="2"/>
      <c r="B630" s="2"/>
      <c r="C630" s="2"/>
      <c r="D630" s="2"/>
      <c r="E630" s="2"/>
      <c r="F630" s="569"/>
      <c r="G630" s="2"/>
      <c r="H630" s="2"/>
      <c r="I630" s="2"/>
      <c r="J630" s="366"/>
      <c r="K630" s="2"/>
      <c r="L630" s="2"/>
      <c r="M630" s="2"/>
      <c r="N630" s="2"/>
      <c r="O630" s="23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</row>
    <row r="631" spans="1:32" ht="14">
      <c r="A631" s="2"/>
      <c r="B631" s="2"/>
      <c r="C631" s="2"/>
      <c r="D631" s="2"/>
      <c r="E631" s="2"/>
      <c r="F631" s="569"/>
      <c r="G631" s="2"/>
      <c r="H631" s="2"/>
      <c r="I631" s="2"/>
      <c r="J631" s="366"/>
      <c r="K631" s="2"/>
      <c r="L631" s="2"/>
      <c r="M631" s="2"/>
      <c r="N631" s="2"/>
      <c r="O631" s="23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</row>
    <row r="632" spans="1:32" ht="14">
      <c r="A632" s="2"/>
      <c r="B632" s="2"/>
      <c r="C632" s="2"/>
      <c r="D632" s="2"/>
      <c r="E632" s="2"/>
      <c r="F632" s="569"/>
      <c r="G632" s="2"/>
      <c r="H632" s="2"/>
      <c r="I632" s="2"/>
      <c r="J632" s="366"/>
      <c r="K632" s="2"/>
      <c r="L632" s="2"/>
      <c r="M632" s="2"/>
      <c r="N632" s="2"/>
      <c r="O632" s="23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</row>
    <row r="633" spans="1:32" ht="14">
      <c r="A633" s="2"/>
      <c r="B633" s="2"/>
      <c r="C633" s="2"/>
      <c r="D633" s="2"/>
      <c r="E633" s="2"/>
      <c r="F633" s="569"/>
      <c r="G633" s="2"/>
      <c r="H633" s="2"/>
      <c r="I633" s="2"/>
      <c r="J633" s="366"/>
      <c r="K633" s="2"/>
      <c r="L633" s="2"/>
      <c r="M633" s="2"/>
      <c r="N633" s="2"/>
      <c r="O633" s="23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</row>
    <row r="634" spans="1:32" ht="14">
      <c r="A634" s="2"/>
      <c r="B634" s="2"/>
      <c r="C634" s="2"/>
      <c r="D634" s="2"/>
      <c r="E634" s="2"/>
      <c r="F634" s="569"/>
      <c r="G634" s="2"/>
      <c r="H634" s="2"/>
      <c r="I634" s="2"/>
      <c r="J634" s="366"/>
      <c r="K634" s="2"/>
      <c r="L634" s="2"/>
      <c r="M634" s="2"/>
      <c r="N634" s="2"/>
      <c r="O634" s="23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</row>
    <row r="635" spans="1:32" ht="14">
      <c r="A635" s="2"/>
      <c r="B635" s="2"/>
      <c r="C635" s="2"/>
      <c r="D635" s="2"/>
      <c r="E635" s="2"/>
      <c r="F635" s="569"/>
      <c r="G635" s="2"/>
      <c r="H635" s="2"/>
      <c r="I635" s="2"/>
      <c r="J635" s="366"/>
      <c r="K635" s="2"/>
      <c r="L635" s="2"/>
      <c r="M635" s="2"/>
      <c r="N635" s="2"/>
      <c r="O635" s="23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</row>
    <row r="636" spans="1:32" ht="14">
      <c r="A636" s="2"/>
      <c r="B636" s="2"/>
      <c r="C636" s="2"/>
      <c r="D636" s="2"/>
      <c r="E636" s="2"/>
      <c r="F636" s="569"/>
      <c r="G636" s="2"/>
      <c r="H636" s="2"/>
      <c r="I636" s="2"/>
      <c r="J636" s="366"/>
      <c r="K636" s="2"/>
      <c r="L636" s="2"/>
      <c r="M636" s="2"/>
      <c r="N636" s="2"/>
      <c r="O636" s="23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</row>
    <row r="637" spans="1:32" ht="14">
      <c r="A637" s="2"/>
      <c r="B637" s="2"/>
      <c r="C637" s="2"/>
      <c r="D637" s="2"/>
      <c r="E637" s="2"/>
      <c r="F637" s="569"/>
      <c r="G637" s="2"/>
      <c r="H637" s="2"/>
      <c r="I637" s="2"/>
      <c r="J637" s="366"/>
      <c r="K637" s="2"/>
      <c r="L637" s="2"/>
      <c r="M637" s="2"/>
      <c r="N637" s="2"/>
      <c r="O637" s="23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</row>
    <row r="638" spans="1:32" ht="14">
      <c r="A638" s="2"/>
      <c r="B638" s="2"/>
      <c r="C638" s="2"/>
      <c r="D638" s="2"/>
      <c r="E638" s="2"/>
      <c r="F638" s="569"/>
      <c r="G638" s="2"/>
      <c r="H638" s="2"/>
      <c r="I638" s="2"/>
      <c r="J638" s="366"/>
      <c r="K638" s="2"/>
      <c r="L638" s="2"/>
      <c r="M638" s="2"/>
      <c r="N638" s="2"/>
      <c r="O638" s="23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</row>
    <row r="639" spans="1:32" ht="14">
      <c r="A639" s="2"/>
      <c r="B639" s="2"/>
      <c r="C639" s="2"/>
      <c r="D639" s="2"/>
      <c r="E639" s="2"/>
      <c r="F639" s="569"/>
      <c r="G639" s="2"/>
      <c r="H639" s="2"/>
      <c r="I639" s="2"/>
      <c r="J639" s="366"/>
      <c r="K639" s="2"/>
      <c r="L639" s="2"/>
      <c r="M639" s="2"/>
      <c r="N639" s="2"/>
      <c r="O639" s="23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</row>
    <row r="640" spans="1:32" ht="14">
      <c r="A640" s="2"/>
      <c r="B640" s="2"/>
      <c r="C640" s="2"/>
      <c r="D640" s="2"/>
      <c r="E640" s="2"/>
      <c r="F640" s="569"/>
      <c r="G640" s="2"/>
      <c r="H640" s="2"/>
      <c r="I640" s="2"/>
      <c r="J640" s="366"/>
      <c r="K640" s="2"/>
      <c r="L640" s="2"/>
      <c r="M640" s="2"/>
      <c r="N640" s="2"/>
      <c r="O640" s="23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</row>
    <row r="641" spans="1:32" ht="14">
      <c r="A641" s="2"/>
      <c r="B641" s="2"/>
      <c r="C641" s="2"/>
      <c r="D641" s="2"/>
      <c r="E641" s="2"/>
      <c r="F641" s="569"/>
      <c r="G641" s="2"/>
      <c r="H641" s="2"/>
      <c r="I641" s="2"/>
      <c r="J641" s="366"/>
      <c r="K641" s="2"/>
      <c r="L641" s="2"/>
      <c r="M641" s="2"/>
      <c r="N641" s="2"/>
      <c r="O641" s="23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</row>
    <row r="642" spans="1:32" ht="14">
      <c r="A642" s="2"/>
      <c r="B642" s="2"/>
      <c r="C642" s="2"/>
      <c r="D642" s="2"/>
      <c r="E642" s="2"/>
      <c r="F642" s="569"/>
      <c r="G642" s="2"/>
      <c r="H642" s="2"/>
      <c r="I642" s="2"/>
      <c r="J642" s="366"/>
      <c r="K642" s="2"/>
      <c r="L642" s="2"/>
      <c r="M642" s="2"/>
      <c r="N642" s="2"/>
      <c r="O642" s="23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</row>
    <row r="643" spans="1:32" ht="14">
      <c r="A643" s="2"/>
      <c r="B643" s="2"/>
      <c r="C643" s="2"/>
      <c r="D643" s="2"/>
      <c r="E643" s="2"/>
      <c r="F643" s="569"/>
      <c r="G643" s="2"/>
      <c r="H643" s="2"/>
      <c r="I643" s="2"/>
      <c r="J643" s="366"/>
      <c r="K643" s="2"/>
      <c r="L643" s="2"/>
      <c r="M643" s="2"/>
      <c r="N643" s="2"/>
      <c r="O643" s="23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</row>
    <row r="644" spans="1:32" ht="14">
      <c r="A644" s="2"/>
      <c r="B644" s="2"/>
      <c r="C644" s="2"/>
      <c r="D644" s="2"/>
      <c r="E644" s="2"/>
      <c r="F644" s="569"/>
      <c r="G644" s="2"/>
      <c r="H644" s="2"/>
      <c r="I644" s="2"/>
      <c r="J644" s="366"/>
      <c r="K644" s="2"/>
      <c r="L644" s="2"/>
      <c r="M644" s="2"/>
      <c r="N644" s="2"/>
      <c r="O644" s="23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</row>
    <row r="645" spans="1:32" ht="14">
      <c r="A645" s="2"/>
      <c r="B645" s="2"/>
      <c r="C645" s="2"/>
      <c r="D645" s="2"/>
      <c r="E645" s="2"/>
      <c r="F645" s="569"/>
      <c r="G645" s="2"/>
      <c r="H645" s="2"/>
      <c r="I645" s="2"/>
      <c r="J645" s="366"/>
      <c r="K645" s="2"/>
      <c r="L645" s="2"/>
      <c r="M645" s="2"/>
      <c r="N645" s="2"/>
      <c r="O645" s="23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</row>
    <row r="646" spans="1:32" ht="14">
      <c r="A646" s="2"/>
      <c r="B646" s="2"/>
      <c r="C646" s="2"/>
      <c r="D646" s="2"/>
      <c r="E646" s="2"/>
      <c r="F646" s="569"/>
      <c r="G646" s="2"/>
      <c r="H646" s="2"/>
      <c r="I646" s="2"/>
      <c r="J646" s="366"/>
      <c r="K646" s="2"/>
      <c r="L646" s="2"/>
      <c r="M646" s="2"/>
      <c r="N646" s="2"/>
      <c r="O646" s="23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</row>
    <row r="647" spans="1:32" ht="14">
      <c r="A647" s="2"/>
      <c r="B647" s="2"/>
      <c r="C647" s="2"/>
      <c r="D647" s="2"/>
      <c r="E647" s="2"/>
      <c r="F647" s="569"/>
      <c r="G647" s="2"/>
      <c r="H647" s="2"/>
      <c r="I647" s="2"/>
      <c r="J647" s="366"/>
      <c r="K647" s="2"/>
      <c r="L647" s="2"/>
      <c r="M647" s="2"/>
      <c r="N647" s="2"/>
      <c r="O647" s="23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</row>
    <row r="648" spans="1:32" ht="14">
      <c r="A648" s="2"/>
      <c r="B648" s="2"/>
      <c r="C648" s="2"/>
      <c r="D648" s="2"/>
      <c r="E648" s="2"/>
      <c r="F648" s="569"/>
      <c r="G648" s="2"/>
      <c r="H648" s="2"/>
      <c r="I648" s="2"/>
      <c r="J648" s="366"/>
      <c r="K648" s="2"/>
      <c r="L648" s="2"/>
      <c r="M648" s="2"/>
      <c r="N648" s="2"/>
      <c r="O648" s="23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</row>
    <row r="649" spans="1:32" ht="14">
      <c r="A649" s="2"/>
      <c r="B649" s="2"/>
      <c r="C649" s="2"/>
      <c r="D649" s="2"/>
      <c r="E649" s="2"/>
      <c r="F649" s="569"/>
      <c r="G649" s="2"/>
      <c r="H649" s="2"/>
      <c r="I649" s="2"/>
      <c r="J649" s="366"/>
      <c r="K649" s="2"/>
      <c r="L649" s="2"/>
      <c r="M649" s="2"/>
      <c r="N649" s="2"/>
      <c r="O649" s="23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</row>
    <row r="650" spans="1:32" ht="14">
      <c r="A650" s="2"/>
      <c r="B650" s="2"/>
      <c r="C650" s="2"/>
      <c r="D650" s="2"/>
      <c r="E650" s="2"/>
      <c r="F650" s="569"/>
      <c r="G650" s="2"/>
      <c r="H650" s="2"/>
      <c r="I650" s="2"/>
      <c r="J650" s="366"/>
      <c r="K650" s="2"/>
      <c r="L650" s="2"/>
      <c r="M650" s="2"/>
      <c r="N650" s="2"/>
      <c r="O650" s="23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</row>
    <row r="651" spans="1:32" ht="14">
      <c r="A651" s="2"/>
      <c r="B651" s="2"/>
      <c r="C651" s="2"/>
      <c r="D651" s="2"/>
      <c r="E651" s="2"/>
      <c r="F651" s="569"/>
      <c r="G651" s="2"/>
      <c r="H651" s="2"/>
      <c r="I651" s="2"/>
      <c r="J651" s="366"/>
      <c r="K651" s="2"/>
      <c r="L651" s="2"/>
      <c r="M651" s="2"/>
      <c r="N651" s="2"/>
      <c r="O651" s="23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</row>
    <row r="652" spans="1:32" ht="14">
      <c r="A652" s="2"/>
      <c r="B652" s="2"/>
      <c r="C652" s="2"/>
      <c r="D652" s="2"/>
      <c r="E652" s="2"/>
      <c r="F652" s="569"/>
      <c r="G652" s="2"/>
      <c r="H652" s="2"/>
      <c r="I652" s="2"/>
      <c r="J652" s="366"/>
      <c r="K652" s="2"/>
      <c r="L652" s="2"/>
      <c r="M652" s="2"/>
      <c r="N652" s="2"/>
      <c r="O652" s="23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</row>
    <row r="653" spans="1:32" ht="14">
      <c r="A653" s="2"/>
      <c r="B653" s="2"/>
      <c r="C653" s="2"/>
      <c r="D653" s="2"/>
      <c r="E653" s="2"/>
      <c r="F653" s="569"/>
      <c r="G653" s="2"/>
      <c r="H653" s="2"/>
      <c r="I653" s="2"/>
      <c r="J653" s="366"/>
      <c r="K653" s="2"/>
      <c r="L653" s="2"/>
      <c r="M653" s="2"/>
      <c r="N653" s="2"/>
      <c r="O653" s="23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</row>
    <row r="654" spans="1:32" ht="14">
      <c r="A654" s="2"/>
      <c r="B654" s="2"/>
      <c r="C654" s="2"/>
      <c r="D654" s="2"/>
      <c r="E654" s="2"/>
      <c r="F654" s="569"/>
      <c r="G654" s="2"/>
      <c r="H654" s="2"/>
      <c r="I654" s="2"/>
      <c r="J654" s="366"/>
      <c r="K654" s="2"/>
      <c r="L654" s="2"/>
      <c r="M654" s="2"/>
      <c r="N654" s="2"/>
      <c r="O654" s="23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</row>
    <row r="655" spans="1:32" ht="14">
      <c r="A655" s="2"/>
      <c r="B655" s="2"/>
      <c r="C655" s="2"/>
      <c r="D655" s="2"/>
      <c r="E655" s="2"/>
      <c r="F655" s="569"/>
      <c r="G655" s="2"/>
      <c r="H655" s="2"/>
      <c r="I655" s="2"/>
      <c r="J655" s="366"/>
      <c r="K655" s="2"/>
      <c r="L655" s="2"/>
      <c r="M655" s="2"/>
      <c r="N655" s="2"/>
      <c r="O655" s="23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</row>
    <row r="656" spans="1:32" ht="14">
      <c r="A656" s="2"/>
      <c r="B656" s="2"/>
      <c r="C656" s="2"/>
      <c r="D656" s="2"/>
      <c r="E656" s="2"/>
      <c r="F656" s="569"/>
      <c r="G656" s="2"/>
      <c r="H656" s="2"/>
      <c r="I656" s="2"/>
      <c r="J656" s="366"/>
      <c r="K656" s="2"/>
      <c r="L656" s="2"/>
      <c r="M656" s="2"/>
      <c r="N656" s="2"/>
      <c r="O656" s="23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</row>
    <row r="657" spans="1:32" ht="14">
      <c r="A657" s="2"/>
      <c r="B657" s="2"/>
      <c r="C657" s="2"/>
      <c r="D657" s="2"/>
      <c r="E657" s="2"/>
      <c r="F657" s="569"/>
      <c r="G657" s="2"/>
      <c r="H657" s="2"/>
      <c r="I657" s="2"/>
      <c r="J657" s="366"/>
      <c r="K657" s="2"/>
      <c r="L657" s="2"/>
      <c r="M657" s="2"/>
      <c r="N657" s="2"/>
      <c r="O657" s="23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</row>
    <row r="658" spans="1:32" ht="14">
      <c r="A658" s="2"/>
      <c r="B658" s="2"/>
      <c r="C658" s="2"/>
      <c r="D658" s="2"/>
      <c r="E658" s="2"/>
      <c r="F658" s="569"/>
      <c r="G658" s="2"/>
      <c r="H658" s="2"/>
      <c r="I658" s="2"/>
      <c r="J658" s="366"/>
      <c r="K658" s="2"/>
      <c r="L658" s="2"/>
      <c r="M658" s="2"/>
      <c r="N658" s="2"/>
      <c r="O658" s="23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</row>
    <row r="659" spans="1:32" ht="14">
      <c r="A659" s="2"/>
      <c r="B659" s="2"/>
      <c r="C659" s="2"/>
      <c r="D659" s="2"/>
      <c r="E659" s="2"/>
      <c r="F659" s="569"/>
      <c r="G659" s="2"/>
      <c r="H659" s="2"/>
      <c r="I659" s="2"/>
      <c r="J659" s="366"/>
      <c r="K659" s="2"/>
      <c r="L659" s="2"/>
      <c r="M659" s="2"/>
      <c r="N659" s="2"/>
      <c r="O659" s="23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</row>
    <row r="660" spans="1:32" ht="14">
      <c r="A660" s="2"/>
      <c r="B660" s="2"/>
      <c r="C660" s="2"/>
      <c r="D660" s="2"/>
      <c r="E660" s="2"/>
      <c r="F660" s="569"/>
      <c r="G660" s="2"/>
      <c r="H660" s="2"/>
      <c r="I660" s="2"/>
      <c r="J660" s="366"/>
      <c r="K660" s="2"/>
      <c r="L660" s="2"/>
      <c r="M660" s="2"/>
      <c r="N660" s="2"/>
      <c r="O660" s="23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</row>
    <row r="661" spans="1:32" ht="14">
      <c r="A661" s="2"/>
      <c r="B661" s="2"/>
      <c r="C661" s="2"/>
      <c r="D661" s="2"/>
      <c r="E661" s="2"/>
      <c r="F661" s="569"/>
      <c r="G661" s="2"/>
      <c r="H661" s="2"/>
      <c r="I661" s="2"/>
      <c r="J661" s="366"/>
      <c r="K661" s="2"/>
      <c r="L661" s="2"/>
      <c r="M661" s="2"/>
      <c r="N661" s="2"/>
      <c r="O661" s="23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</row>
    <row r="662" spans="1:32" ht="14">
      <c r="A662" s="2"/>
      <c r="B662" s="2"/>
      <c r="C662" s="2"/>
      <c r="D662" s="2"/>
      <c r="E662" s="2"/>
      <c r="F662" s="569"/>
      <c r="G662" s="2"/>
      <c r="H662" s="2"/>
      <c r="I662" s="2"/>
      <c r="J662" s="366"/>
      <c r="K662" s="2"/>
      <c r="L662" s="2"/>
      <c r="M662" s="2"/>
      <c r="N662" s="2"/>
      <c r="O662" s="23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</row>
    <row r="663" spans="1:32" ht="14">
      <c r="A663" s="2"/>
      <c r="B663" s="2"/>
      <c r="C663" s="2"/>
      <c r="D663" s="2"/>
      <c r="E663" s="2"/>
      <c r="F663" s="569"/>
      <c r="G663" s="2"/>
      <c r="H663" s="2"/>
      <c r="I663" s="2"/>
      <c r="J663" s="366"/>
      <c r="K663" s="2"/>
      <c r="L663" s="2"/>
      <c r="M663" s="2"/>
      <c r="N663" s="2"/>
      <c r="O663" s="23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</row>
    <row r="664" spans="1:32" ht="14">
      <c r="A664" s="2"/>
      <c r="B664" s="2"/>
      <c r="C664" s="2"/>
      <c r="D664" s="2"/>
      <c r="E664" s="2"/>
      <c r="F664" s="569"/>
      <c r="G664" s="2"/>
      <c r="H664" s="2"/>
      <c r="I664" s="2"/>
      <c r="J664" s="366"/>
      <c r="K664" s="2"/>
      <c r="L664" s="2"/>
      <c r="M664" s="2"/>
      <c r="N664" s="2"/>
      <c r="O664" s="23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</row>
    <row r="665" spans="1:32" ht="14">
      <c r="A665" s="2"/>
      <c r="B665" s="2"/>
      <c r="C665" s="2"/>
      <c r="D665" s="2"/>
      <c r="E665" s="2"/>
      <c r="F665" s="569"/>
      <c r="G665" s="2"/>
      <c r="H665" s="2"/>
      <c r="I665" s="2"/>
      <c r="J665" s="366"/>
      <c r="K665" s="2"/>
      <c r="L665" s="2"/>
      <c r="M665" s="2"/>
      <c r="N665" s="2"/>
      <c r="O665" s="23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</row>
    <row r="666" spans="1:32" ht="14">
      <c r="A666" s="2"/>
      <c r="B666" s="2"/>
      <c r="C666" s="2"/>
      <c r="D666" s="2"/>
      <c r="E666" s="2"/>
      <c r="F666" s="569"/>
      <c r="G666" s="2"/>
      <c r="H666" s="2"/>
      <c r="I666" s="2"/>
      <c r="J666" s="366"/>
      <c r="K666" s="2"/>
      <c r="L666" s="2"/>
      <c r="M666" s="2"/>
      <c r="N666" s="2"/>
      <c r="O666" s="23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</row>
    <row r="667" spans="1:32" ht="14">
      <c r="A667" s="2"/>
      <c r="B667" s="2"/>
      <c r="C667" s="2"/>
      <c r="D667" s="2"/>
      <c r="E667" s="2"/>
      <c r="F667" s="569"/>
      <c r="G667" s="2"/>
      <c r="H667" s="2"/>
      <c r="I667" s="2"/>
      <c r="J667" s="366"/>
      <c r="K667" s="2"/>
      <c r="L667" s="2"/>
      <c r="M667" s="2"/>
      <c r="N667" s="2"/>
      <c r="O667" s="23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</row>
    <row r="668" spans="1:32" ht="14">
      <c r="A668" s="2"/>
      <c r="B668" s="2"/>
      <c r="C668" s="2"/>
      <c r="D668" s="2"/>
      <c r="E668" s="2"/>
      <c r="F668" s="569"/>
      <c r="G668" s="2"/>
      <c r="H668" s="2"/>
      <c r="I668" s="2"/>
      <c r="J668" s="366"/>
      <c r="K668" s="2"/>
      <c r="L668" s="2"/>
      <c r="M668" s="2"/>
      <c r="N668" s="2"/>
      <c r="O668" s="23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</row>
    <row r="669" spans="1:32" ht="14">
      <c r="A669" s="2"/>
      <c r="B669" s="2"/>
      <c r="C669" s="2"/>
      <c r="D669" s="2"/>
      <c r="E669" s="2"/>
      <c r="F669" s="569"/>
      <c r="G669" s="2"/>
      <c r="H669" s="2"/>
      <c r="I669" s="2"/>
      <c r="J669" s="366"/>
      <c r="K669" s="2"/>
      <c r="L669" s="2"/>
      <c r="M669" s="2"/>
      <c r="N669" s="2"/>
      <c r="O669" s="23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</row>
    <row r="670" spans="1:32" ht="14">
      <c r="A670" s="2"/>
      <c r="B670" s="2"/>
      <c r="C670" s="2"/>
      <c r="D670" s="2"/>
      <c r="E670" s="2"/>
      <c r="F670" s="569"/>
      <c r="G670" s="2"/>
      <c r="H670" s="2"/>
      <c r="I670" s="2"/>
      <c r="J670" s="366"/>
      <c r="K670" s="2"/>
      <c r="L670" s="2"/>
      <c r="M670" s="2"/>
      <c r="N670" s="2"/>
      <c r="O670" s="23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</row>
    <row r="671" spans="1:32" ht="14">
      <c r="A671" s="2"/>
      <c r="B671" s="2"/>
      <c r="C671" s="2"/>
      <c r="D671" s="2"/>
      <c r="E671" s="2"/>
      <c r="F671" s="569"/>
      <c r="G671" s="2"/>
      <c r="H671" s="2"/>
      <c r="I671" s="2"/>
      <c r="J671" s="366"/>
      <c r="K671" s="2"/>
      <c r="L671" s="2"/>
      <c r="M671" s="2"/>
      <c r="N671" s="2"/>
      <c r="O671" s="23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</row>
    <row r="672" spans="1:32" ht="14">
      <c r="A672" s="2"/>
      <c r="B672" s="2"/>
      <c r="C672" s="2"/>
      <c r="D672" s="2"/>
      <c r="E672" s="2"/>
      <c r="F672" s="569"/>
      <c r="G672" s="2"/>
      <c r="H672" s="2"/>
      <c r="I672" s="2"/>
      <c r="J672" s="366"/>
      <c r="K672" s="2"/>
      <c r="L672" s="2"/>
      <c r="M672" s="2"/>
      <c r="N672" s="2"/>
      <c r="O672" s="23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</row>
    <row r="673" spans="1:32" ht="14">
      <c r="A673" s="2"/>
      <c r="B673" s="2"/>
      <c r="C673" s="2"/>
      <c r="D673" s="2"/>
      <c r="E673" s="2"/>
      <c r="F673" s="569"/>
      <c r="G673" s="2"/>
      <c r="H673" s="2"/>
      <c r="I673" s="2"/>
      <c r="J673" s="366"/>
      <c r="K673" s="2"/>
      <c r="L673" s="2"/>
      <c r="M673" s="2"/>
      <c r="N673" s="2"/>
      <c r="O673" s="23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</row>
    <row r="674" spans="1:32" ht="14">
      <c r="A674" s="2"/>
      <c r="B674" s="2"/>
      <c r="C674" s="2"/>
      <c r="D674" s="2"/>
      <c r="E674" s="2"/>
      <c r="F674" s="569"/>
      <c r="G674" s="2"/>
      <c r="H674" s="2"/>
      <c r="I674" s="2"/>
      <c r="J674" s="366"/>
      <c r="K674" s="2"/>
      <c r="L674" s="2"/>
      <c r="M674" s="2"/>
      <c r="N674" s="2"/>
      <c r="O674" s="23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</row>
    <row r="675" spans="1:32" ht="14">
      <c r="A675" s="2"/>
      <c r="B675" s="2"/>
      <c r="C675" s="2"/>
      <c r="D675" s="2"/>
      <c r="E675" s="2"/>
      <c r="F675" s="569"/>
      <c r="G675" s="2"/>
      <c r="H675" s="2"/>
      <c r="I675" s="2"/>
      <c r="J675" s="366"/>
      <c r="K675" s="2"/>
      <c r="L675" s="2"/>
      <c r="M675" s="2"/>
      <c r="N675" s="2"/>
      <c r="O675" s="23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</row>
    <row r="676" spans="1:32" ht="14">
      <c r="A676" s="2"/>
      <c r="B676" s="2"/>
      <c r="C676" s="2"/>
      <c r="D676" s="2"/>
      <c r="E676" s="2"/>
      <c r="F676" s="569"/>
      <c r="G676" s="2"/>
      <c r="H676" s="2"/>
      <c r="I676" s="2"/>
      <c r="J676" s="366"/>
      <c r="K676" s="2"/>
      <c r="L676" s="2"/>
      <c r="M676" s="2"/>
      <c r="N676" s="2"/>
      <c r="O676" s="23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</row>
    <row r="677" spans="1:32" ht="14">
      <c r="A677" s="2"/>
      <c r="B677" s="2"/>
      <c r="C677" s="2"/>
      <c r="D677" s="2"/>
      <c r="E677" s="2"/>
      <c r="F677" s="569"/>
      <c r="G677" s="2"/>
      <c r="H677" s="2"/>
      <c r="I677" s="2"/>
      <c r="J677" s="366"/>
      <c r="K677" s="2"/>
      <c r="L677" s="2"/>
      <c r="M677" s="2"/>
      <c r="N677" s="2"/>
      <c r="O677" s="23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</row>
    <row r="678" spans="1:32" ht="14">
      <c r="A678" s="2"/>
      <c r="B678" s="2"/>
      <c r="C678" s="2"/>
      <c r="D678" s="2"/>
      <c r="E678" s="2"/>
      <c r="F678" s="569"/>
      <c r="G678" s="2"/>
      <c r="H678" s="2"/>
      <c r="I678" s="2"/>
      <c r="J678" s="366"/>
      <c r="K678" s="2"/>
      <c r="L678" s="2"/>
      <c r="M678" s="2"/>
      <c r="N678" s="2"/>
      <c r="O678" s="23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</row>
    <row r="679" spans="1:32" ht="14">
      <c r="A679" s="2"/>
      <c r="B679" s="2"/>
      <c r="C679" s="2"/>
      <c r="D679" s="2"/>
      <c r="E679" s="2"/>
      <c r="F679" s="569"/>
      <c r="G679" s="2"/>
      <c r="H679" s="2"/>
      <c r="I679" s="2"/>
      <c r="J679" s="366"/>
      <c r="K679" s="2"/>
      <c r="L679" s="2"/>
      <c r="M679" s="2"/>
      <c r="N679" s="2"/>
      <c r="O679" s="23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</row>
    <row r="680" spans="1:32" ht="14">
      <c r="A680" s="2"/>
      <c r="B680" s="2"/>
      <c r="C680" s="2"/>
      <c r="D680" s="2"/>
      <c r="E680" s="2"/>
      <c r="F680" s="569"/>
      <c r="G680" s="2"/>
      <c r="H680" s="2"/>
      <c r="I680" s="2"/>
      <c r="J680" s="366"/>
      <c r="K680" s="2"/>
      <c r="L680" s="2"/>
      <c r="M680" s="2"/>
      <c r="N680" s="2"/>
      <c r="O680" s="23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</row>
    <row r="681" spans="1:32" ht="14">
      <c r="A681" s="2"/>
      <c r="B681" s="2"/>
      <c r="C681" s="2"/>
      <c r="D681" s="2"/>
      <c r="E681" s="2"/>
      <c r="F681" s="569"/>
      <c r="G681" s="2"/>
      <c r="H681" s="2"/>
      <c r="I681" s="2"/>
      <c r="J681" s="366"/>
      <c r="K681" s="2"/>
      <c r="L681" s="2"/>
      <c r="M681" s="2"/>
      <c r="N681" s="2"/>
      <c r="O681" s="23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</row>
    <row r="682" spans="1:32" ht="14">
      <c r="A682" s="2"/>
      <c r="B682" s="2"/>
      <c r="C682" s="2"/>
      <c r="D682" s="2"/>
      <c r="E682" s="2"/>
      <c r="F682" s="569"/>
      <c r="G682" s="2"/>
      <c r="H682" s="2"/>
      <c r="I682" s="2"/>
      <c r="J682" s="366"/>
      <c r="K682" s="2"/>
      <c r="L682" s="2"/>
      <c r="M682" s="2"/>
      <c r="N682" s="2"/>
      <c r="O682" s="23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</row>
    <row r="683" spans="1:32" ht="14">
      <c r="A683" s="2"/>
      <c r="B683" s="2"/>
      <c r="C683" s="2"/>
      <c r="D683" s="2"/>
      <c r="E683" s="2"/>
      <c r="F683" s="569"/>
      <c r="G683" s="2"/>
      <c r="H683" s="2"/>
      <c r="I683" s="2"/>
      <c r="J683" s="366"/>
      <c r="K683" s="2"/>
      <c r="L683" s="2"/>
      <c r="M683" s="2"/>
      <c r="N683" s="2"/>
      <c r="O683" s="23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</row>
    <row r="684" spans="1:32" ht="14">
      <c r="A684" s="2"/>
      <c r="B684" s="2"/>
      <c r="C684" s="2"/>
      <c r="D684" s="2"/>
      <c r="E684" s="2"/>
      <c r="F684" s="569"/>
      <c r="G684" s="2"/>
      <c r="H684" s="2"/>
      <c r="I684" s="2"/>
      <c r="J684" s="366"/>
      <c r="K684" s="2"/>
      <c r="L684" s="2"/>
      <c r="M684" s="2"/>
      <c r="N684" s="2"/>
      <c r="O684" s="23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</row>
    <row r="685" spans="1:32" ht="14">
      <c r="A685" s="2"/>
      <c r="B685" s="2"/>
      <c r="C685" s="2"/>
      <c r="D685" s="2"/>
      <c r="E685" s="2"/>
      <c r="F685" s="569"/>
      <c r="G685" s="2"/>
      <c r="H685" s="2"/>
      <c r="I685" s="2"/>
      <c r="J685" s="366"/>
      <c r="K685" s="2"/>
      <c r="L685" s="2"/>
      <c r="M685" s="2"/>
      <c r="N685" s="2"/>
      <c r="O685" s="23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</row>
    <row r="686" spans="1:32" ht="14">
      <c r="A686" s="2"/>
      <c r="B686" s="2"/>
      <c r="C686" s="2"/>
      <c r="D686" s="2"/>
      <c r="E686" s="2"/>
      <c r="F686" s="569"/>
      <c r="G686" s="2"/>
      <c r="H686" s="2"/>
      <c r="I686" s="2"/>
      <c r="J686" s="366"/>
      <c r="K686" s="2"/>
      <c r="L686" s="2"/>
      <c r="M686" s="2"/>
      <c r="N686" s="2"/>
      <c r="O686" s="23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</row>
    <row r="687" spans="1:32" ht="14">
      <c r="A687" s="2"/>
      <c r="B687" s="2"/>
      <c r="C687" s="2"/>
      <c r="D687" s="2"/>
      <c r="E687" s="2"/>
      <c r="F687" s="569"/>
      <c r="G687" s="2"/>
      <c r="H687" s="2"/>
      <c r="I687" s="2"/>
      <c r="J687" s="366"/>
      <c r="K687" s="2"/>
      <c r="L687" s="2"/>
      <c r="M687" s="2"/>
      <c r="N687" s="2"/>
      <c r="O687" s="23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</row>
    <row r="688" spans="1:32" ht="14">
      <c r="A688" s="2"/>
      <c r="B688" s="2"/>
      <c r="C688" s="2"/>
      <c r="D688" s="2"/>
      <c r="E688" s="2"/>
      <c r="F688" s="569"/>
      <c r="G688" s="2"/>
      <c r="H688" s="2"/>
      <c r="I688" s="2"/>
      <c r="J688" s="366"/>
      <c r="K688" s="2"/>
      <c r="L688" s="2"/>
      <c r="M688" s="2"/>
      <c r="N688" s="2"/>
      <c r="O688" s="23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</row>
    <row r="689" spans="1:32" ht="14">
      <c r="A689" s="2"/>
      <c r="B689" s="2"/>
      <c r="C689" s="2"/>
      <c r="D689" s="2"/>
      <c r="E689" s="2"/>
      <c r="F689" s="569"/>
      <c r="G689" s="2"/>
      <c r="H689" s="2"/>
      <c r="I689" s="2"/>
      <c r="J689" s="366"/>
      <c r="K689" s="2"/>
      <c r="L689" s="2"/>
      <c r="M689" s="2"/>
      <c r="N689" s="2"/>
      <c r="O689" s="23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</row>
    <row r="690" spans="1:32" ht="14">
      <c r="A690" s="2"/>
      <c r="B690" s="2"/>
      <c r="C690" s="2"/>
      <c r="D690" s="2"/>
      <c r="E690" s="2"/>
      <c r="F690" s="569"/>
      <c r="G690" s="2"/>
      <c r="H690" s="2"/>
      <c r="I690" s="2"/>
      <c r="J690" s="366"/>
      <c r="K690" s="2"/>
      <c r="L690" s="2"/>
      <c r="M690" s="2"/>
      <c r="N690" s="2"/>
      <c r="O690" s="23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</row>
    <row r="691" spans="1:32" ht="14">
      <c r="A691" s="2"/>
      <c r="B691" s="2"/>
      <c r="C691" s="2"/>
      <c r="D691" s="2"/>
      <c r="E691" s="2"/>
      <c r="F691" s="569"/>
      <c r="G691" s="2"/>
      <c r="H691" s="2"/>
      <c r="I691" s="2"/>
      <c r="J691" s="366"/>
      <c r="K691" s="2"/>
      <c r="L691" s="2"/>
      <c r="M691" s="2"/>
      <c r="N691" s="2"/>
      <c r="O691" s="23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</row>
    <row r="692" spans="1:32" ht="14">
      <c r="A692" s="2"/>
      <c r="B692" s="2"/>
      <c r="C692" s="2"/>
      <c r="D692" s="2"/>
      <c r="E692" s="2"/>
      <c r="F692" s="569"/>
      <c r="G692" s="2"/>
      <c r="H692" s="2"/>
      <c r="I692" s="2"/>
      <c r="J692" s="366"/>
      <c r="K692" s="2"/>
      <c r="L692" s="2"/>
      <c r="M692" s="2"/>
      <c r="N692" s="2"/>
      <c r="O692" s="23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</row>
    <row r="693" spans="1:32" ht="14">
      <c r="A693" s="2"/>
      <c r="B693" s="2"/>
      <c r="C693" s="2"/>
      <c r="D693" s="2"/>
      <c r="E693" s="2"/>
      <c r="F693" s="569"/>
      <c r="G693" s="2"/>
      <c r="H693" s="2"/>
      <c r="I693" s="2"/>
      <c r="J693" s="366"/>
      <c r="K693" s="2"/>
      <c r="L693" s="2"/>
      <c r="M693" s="2"/>
      <c r="N693" s="2"/>
      <c r="O693" s="23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</row>
    <row r="694" spans="1:32" ht="14">
      <c r="A694" s="2"/>
      <c r="B694" s="2"/>
      <c r="C694" s="2"/>
      <c r="D694" s="2"/>
      <c r="E694" s="2"/>
      <c r="F694" s="569"/>
      <c r="G694" s="2"/>
      <c r="H694" s="2"/>
      <c r="I694" s="2"/>
      <c r="J694" s="366"/>
      <c r="K694" s="2"/>
      <c r="L694" s="2"/>
      <c r="M694" s="2"/>
      <c r="N694" s="2"/>
      <c r="O694" s="23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</row>
    <row r="695" spans="1:32" ht="14">
      <c r="A695" s="2"/>
      <c r="B695" s="2"/>
      <c r="C695" s="2"/>
      <c r="D695" s="2"/>
      <c r="E695" s="2"/>
      <c r="F695" s="569"/>
      <c r="G695" s="2"/>
      <c r="H695" s="2"/>
      <c r="I695" s="2"/>
      <c r="J695" s="366"/>
      <c r="K695" s="2"/>
      <c r="L695" s="2"/>
      <c r="M695" s="2"/>
      <c r="N695" s="2"/>
      <c r="O695" s="23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</row>
    <row r="696" spans="1:32" ht="14">
      <c r="A696" s="2"/>
      <c r="B696" s="2"/>
      <c r="C696" s="2"/>
      <c r="D696" s="2"/>
      <c r="E696" s="2"/>
      <c r="F696" s="569"/>
      <c r="G696" s="2"/>
      <c r="H696" s="2"/>
      <c r="I696" s="2"/>
      <c r="J696" s="366"/>
      <c r="K696" s="2"/>
      <c r="L696" s="2"/>
      <c r="M696" s="2"/>
      <c r="N696" s="2"/>
      <c r="O696" s="23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</row>
    <row r="697" spans="1:32" ht="14">
      <c r="A697" s="2"/>
      <c r="B697" s="2"/>
      <c r="C697" s="2"/>
      <c r="D697" s="2"/>
      <c r="E697" s="2"/>
      <c r="F697" s="569"/>
      <c r="G697" s="2"/>
      <c r="H697" s="2"/>
      <c r="I697" s="2"/>
      <c r="J697" s="366"/>
      <c r="K697" s="2"/>
      <c r="L697" s="2"/>
      <c r="M697" s="2"/>
      <c r="N697" s="2"/>
      <c r="O697" s="23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</row>
    <row r="698" spans="1:32" ht="14">
      <c r="A698" s="2"/>
      <c r="B698" s="2"/>
      <c r="C698" s="2"/>
      <c r="D698" s="2"/>
      <c r="E698" s="2"/>
      <c r="F698" s="569"/>
      <c r="G698" s="2"/>
      <c r="H698" s="2"/>
      <c r="I698" s="2"/>
      <c r="J698" s="366"/>
      <c r="K698" s="2"/>
      <c r="L698" s="2"/>
      <c r="M698" s="2"/>
      <c r="N698" s="2"/>
      <c r="O698" s="23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</row>
    <row r="699" spans="1:32" ht="14">
      <c r="A699" s="2"/>
      <c r="B699" s="2"/>
      <c r="C699" s="2"/>
      <c r="D699" s="2"/>
      <c r="E699" s="2"/>
      <c r="F699" s="569"/>
      <c r="G699" s="2"/>
      <c r="H699" s="2"/>
      <c r="I699" s="2"/>
      <c r="J699" s="366"/>
      <c r="K699" s="2"/>
      <c r="L699" s="2"/>
      <c r="M699" s="2"/>
      <c r="N699" s="2"/>
      <c r="O699" s="23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</row>
    <row r="700" spans="1:32" ht="14">
      <c r="A700" s="2"/>
      <c r="B700" s="2"/>
      <c r="C700" s="2"/>
      <c r="D700" s="2"/>
      <c r="E700" s="2"/>
      <c r="F700" s="569"/>
      <c r="G700" s="2"/>
      <c r="H700" s="2"/>
      <c r="I700" s="2"/>
      <c r="J700" s="366"/>
      <c r="K700" s="2"/>
      <c r="L700" s="2"/>
      <c r="M700" s="2"/>
      <c r="N700" s="2"/>
      <c r="O700" s="23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</row>
    <row r="701" spans="1:32" ht="14">
      <c r="A701" s="2"/>
      <c r="B701" s="2"/>
      <c r="C701" s="2"/>
      <c r="D701" s="2"/>
      <c r="E701" s="2"/>
      <c r="F701" s="569"/>
      <c r="G701" s="2"/>
      <c r="H701" s="2"/>
      <c r="I701" s="2"/>
      <c r="J701" s="366"/>
      <c r="K701" s="2"/>
      <c r="L701" s="2"/>
      <c r="M701" s="2"/>
      <c r="N701" s="2"/>
      <c r="O701" s="23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</row>
    <row r="702" spans="1:32" ht="14">
      <c r="A702" s="2"/>
      <c r="B702" s="2"/>
      <c r="C702" s="2"/>
      <c r="D702" s="2"/>
      <c r="E702" s="2"/>
      <c r="F702" s="569"/>
      <c r="G702" s="2"/>
      <c r="H702" s="2"/>
      <c r="I702" s="2"/>
      <c r="J702" s="366"/>
      <c r="K702" s="2"/>
      <c r="L702" s="2"/>
      <c r="M702" s="2"/>
      <c r="N702" s="2"/>
      <c r="O702" s="23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</row>
    <row r="703" spans="1:32" ht="14">
      <c r="A703" s="2"/>
      <c r="B703" s="2"/>
      <c r="C703" s="2"/>
      <c r="D703" s="2"/>
      <c r="E703" s="2"/>
      <c r="F703" s="569"/>
      <c r="G703" s="2"/>
      <c r="H703" s="2"/>
      <c r="I703" s="2"/>
      <c r="J703" s="366"/>
      <c r="K703" s="2"/>
      <c r="L703" s="2"/>
      <c r="M703" s="2"/>
      <c r="N703" s="2"/>
      <c r="O703" s="23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</row>
    <row r="704" spans="1:32" ht="14">
      <c r="A704" s="2"/>
      <c r="B704" s="2"/>
      <c r="C704" s="2"/>
      <c r="D704" s="2"/>
      <c r="E704" s="2"/>
      <c r="F704" s="569"/>
      <c r="G704" s="2"/>
      <c r="H704" s="2"/>
      <c r="I704" s="2"/>
      <c r="J704" s="366"/>
      <c r="K704" s="2"/>
      <c r="L704" s="2"/>
      <c r="M704" s="2"/>
      <c r="N704" s="2"/>
      <c r="O704" s="23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</row>
    <row r="705" spans="1:32" ht="14">
      <c r="A705" s="2"/>
      <c r="B705" s="2"/>
      <c r="C705" s="2"/>
      <c r="D705" s="2"/>
      <c r="E705" s="2"/>
      <c r="F705" s="569"/>
      <c r="G705" s="2"/>
      <c r="H705" s="2"/>
      <c r="I705" s="2"/>
      <c r="J705" s="366"/>
      <c r="K705" s="2"/>
      <c r="L705" s="2"/>
      <c r="M705" s="2"/>
      <c r="N705" s="2"/>
      <c r="O705" s="23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</row>
    <row r="706" spans="1:32" ht="14">
      <c r="A706" s="2"/>
      <c r="B706" s="2"/>
      <c r="C706" s="2"/>
      <c r="D706" s="2"/>
      <c r="E706" s="2"/>
      <c r="F706" s="569"/>
      <c r="G706" s="2"/>
      <c r="H706" s="2"/>
      <c r="I706" s="2"/>
      <c r="J706" s="366"/>
      <c r="K706" s="2"/>
      <c r="L706" s="2"/>
      <c r="M706" s="2"/>
      <c r="N706" s="2"/>
      <c r="O706" s="23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</row>
    <row r="707" spans="1:32" ht="14">
      <c r="A707" s="2"/>
      <c r="B707" s="2"/>
      <c r="C707" s="2"/>
      <c r="D707" s="2"/>
      <c r="E707" s="2"/>
      <c r="F707" s="569"/>
      <c r="G707" s="2"/>
      <c r="H707" s="2"/>
      <c r="I707" s="2"/>
      <c r="J707" s="366"/>
      <c r="K707" s="2"/>
      <c r="L707" s="2"/>
      <c r="M707" s="2"/>
      <c r="N707" s="2"/>
      <c r="O707" s="23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</row>
    <row r="708" spans="1:32" ht="14">
      <c r="A708" s="2"/>
      <c r="B708" s="2"/>
      <c r="C708" s="2"/>
      <c r="D708" s="2"/>
      <c r="E708" s="2"/>
      <c r="F708" s="569"/>
      <c r="G708" s="2"/>
      <c r="H708" s="2"/>
      <c r="I708" s="2"/>
      <c r="J708" s="366"/>
      <c r="K708" s="2"/>
      <c r="L708" s="2"/>
      <c r="M708" s="2"/>
      <c r="N708" s="2"/>
      <c r="O708" s="23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</row>
    <row r="709" spans="1:32" ht="14">
      <c r="A709" s="2"/>
      <c r="B709" s="2"/>
      <c r="C709" s="2"/>
      <c r="D709" s="2"/>
      <c r="E709" s="2"/>
      <c r="F709" s="569"/>
      <c r="G709" s="2"/>
      <c r="H709" s="2"/>
      <c r="I709" s="2"/>
      <c r="J709" s="366"/>
      <c r="K709" s="2"/>
      <c r="L709" s="2"/>
      <c r="M709" s="2"/>
      <c r="N709" s="2"/>
      <c r="O709" s="23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</row>
    <row r="710" spans="1:32" ht="14">
      <c r="A710" s="2"/>
      <c r="B710" s="2"/>
      <c r="C710" s="2"/>
      <c r="D710" s="2"/>
      <c r="E710" s="2"/>
      <c r="F710" s="569"/>
      <c r="G710" s="2"/>
      <c r="H710" s="2"/>
      <c r="I710" s="2"/>
      <c r="J710" s="366"/>
      <c r="K710" s="2"/>
      <c r="L710" s="2"/>
      <c r="M710" s="2"/>
      <c r="N710" s="2"/>
      <c r="O710" s="23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</row>
    <row r="711" spans="1:32" ht="14">
      <c r="A711" s="2"/>
      <c r="B711" s="2"/>
      <c r="C711" s="2"/>
      <c r="D711" s="2"/>
      <c r="E711" s="2"/>
      <c r="F711" s="569"/>
      <c r="G711" s="2"/>
      <c r="H711" s="2"/>
      <c r="I711" s="2"/>
      <c r="J711" s="366"/>
      <c r="K711" s="2"/>
      <c r="L711" s="2"/>
      <c r="M711" s="2"/>
      <c r="N711" s="2"/>
      <c r="O711" s="23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</row>
    <row r="712" spans="1:32" ht="14">
      <c r="A712" s="2"/>
      <c r="B712" s="2"/>
      <c r="C712" s="2"/>
      <c r="D712" s="2"/>
      <c r="E712" s="2"/>
      <c r="F712" s="569"/>
      <c r="G712" s="2"/>
      <c r="H712" s="2"/>
      <c r="I712" s="2"/>
      <c r="J712" s="366"/>
      <c r="K712" s="2"/>
      <c r="L712" s="2"/>
      <c r="M712" s="2"/>
      <c r="N712" s="2"/>
      <c r="O712" s="23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</row>
    <row r="713" spans="1:32" ht="14">
      <c r="A713" s="2"/>
      <c r="B713" s="2"/>
      <c r="C713" s="2"/>
      <c r="D713" s="2"/>
      <c r="E713" s="2"/>
      <c r="F713" s="569"/>
      <c r="G713" s="2"/>
      <c r="H713" s="2"/>
      <c r="I713" s="2"/>
      <c r="J713" s="366"/>
      <c r="K713" s="2"/>
      <c r="L713" s="2"/>
      <c r="M713" s="2"/>
      <c r="N713" s="2"/>
      <c r="O713" s="23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</row>
    <row r="714" spans="1:32" ht="14">
      <c r="A714" s="2"/>
      <c r="B714" s="2"/>
      <c r="C714" s="2"/>
      <c r="D714" s="2"/>
      <c r="E714" s="2"/>
      <c r="F714" s="569"/>
      <c r="G714" s="2"/>
      <c r="H714" s="2"/>
      <c r="I714" s="2"/>
      <c r="J714" s="366"/>
      <c r="K714" s="2"/>
      <c r="L714" s="2"/>
      <c r="M714" s="2"/>
      <c r="N714" s="2"/>
      <c r="O714" s="23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</row>
    <row r="715" spans="1:32" ht="14">
      <c r="A715" s="2"/>
      <c r="B715" s="2"/>
      <c r="C715" s="2"/>
      <c r="D715" s="2"/>
      <c r="E715" s="2"/>
      <c r="F715" s="569"/>
      <c r="G715" s="2"/>
      <c r="H715" s="2"/>
      <c r="I715" s="2"/>
      <c r="J715" s="366"/>
      <c r="K715" s="2"/>
      <c r="L715" s="2"/>
      <c r="M715" s="2"/>
      <c r="N715" s="2"/>
      <c r="O715" s="23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</row>
    <row r="716" spans="1:32" ht="14">
      <c r="A716" s="2"/>
      <c r="B716" s="2"/>
      <c r="C716" s="2"/>
      <c r="D716" s="2"/>
      <c r="E716" s="2"/>
      <c r="F716" s="569"/>
      <c r="G716" s="2"/>
      <c r="H716" s="2"/>
      <c r="I716" s="2"/>
      <c r="J716" s="366"/>
      <c r="K716" s="2"/>
      <c r="L716" s="2"/>
      <c r="M716" s="2"/>
      <c r="N716" s="2"/>
      <c r="O716" s="23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</row>
    <row r="717" spans="1:32" ht="14">
      <c r="A717" s="2"/>
      <c r="B717" s="2"/>
      <c r="C717" s="2"/>
      <c r="D717" s="2"/>
      <c r="E717" s="2"/>
      <c r="F717" s="569"/>
      <c r="G717" s="2"/>
      <c r="H717" s="2"/>
      <c r="I717" s="2"/>
      <c r="J717" s="366"/>
      <c r="K717" s="2"/>
      <c r="L717" s="2"/>
      <c r="M717" s="2"/>
      <c r="N717" s="2"/>
      <c r="O717" s="23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</row>
    <row r="718" spans="1:32" ht="14">
      <c r="A718" s="2"/>
      <c r="B718" s="2"/>
      <c r="C718" s="2"/>
      <c r="D718" s="2"/>
      <c r="E718" s="2"/>
      <c r="F718" s="569"/>
      <c r="G718" s="2"/>
      <c r="H718" s="2"/>
      <c r="I718" s="2"/>
      <c r="J718" s="366"/>
      <c r="K718" s="2"/>
      <c r="L718" s="2"/>
      <c r="M718" s="2"/>
      <c r="N718" s="2"/>
      <c r="O718" s="23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</row>
    <row r="719" spans="1:32" ht="14">
      <c r="A719" s="2"/>
      <c r="B719" s="2"/>
      <c r="C719" s="2"/>
      <c r="D719" s="2"/>
      <c r="E719" s="2"/>
      <c r="F719" s="569"/>
      <c r="G719" s="2"/>
      <c r="H719" s="2"/>
      <c r="I719" s="2"/>
      <c r="J719" s="366"/>
      <c r="K719" s="2"/>
      <c r="L719" s="2"/>
      <c r="M719" s="2"/>
      <c r="N719" s="2"/>
      <c r="O719" s="23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</row>
    <row r="720" spans="1:32" ht="14">
      <c r="A720" s="2"/>
      <c r="B720" s="2"/>
      <c r="C720" s="2"/>
      <c r="D720" s="2"/>
      <c r="E720" s="2"/>
      <c r="F720" s="569"/>
      <c r="G720" s="2"/>
      <c r="H720" s="2"/>
      <c r="I720" s="2"/>
      <c r="J720" s="366"/>
      <c r="K720" s="2"/>
      <c r="L720" s="2"/>
      <c r="M720" s="2"/>
      <c r="N720" s="2"/>
      <c r="O720" s="23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</row>
    <row r="721" spans="1:32" ht="14">
      <c r="A721" s="2"/>
      <c r="B721" s="2"/>
      <c r="C721" s="2"/>
      <c r="D721" s="2"/>
      <c r="E721" s="2"/>
      <c r="F721" s="569"/>
      <c r="G721" s="2"/>
      <c r="H721" s="2"/>
      <c r="I721" s="2"/>
      <c r="J721" s="366"/>
      <c r="K721" s="2"/>
      <c r="L721" s="2"/>
      <c r="M721" s="2"/>
      <c r="N721" s="2"/>
      <c r="O721" s="23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</row>
    <row r="722" spans="1:32" ht="14">
      <c r="A722" s="2"/>
      <c r="B722" s="2"/>
      <c r="C722" s="2"/>
      <c r="D722" s="2"/>
      <c r="E722" s="2"/>
      <c r="F722" s="569"/>
      <c r="G722" s="2"/>
      <c r="H722" s="2"/>
      <c r="I722" s="2"/>
      <c r="J722" s="366"/>
      <c r="K722" s="2"/>
      <c r="L722" s="2"/>
      <c r="M722" s="2"/>
      <c r="N722" s="2"/>
      <c r="O722" s="23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</row>
    <row r="723" spans="1:32" ht="14">
      <c r="A723" s="2"/>
      <c r="B723" s="2"/>
      <c r="C723" s="2"/>
      <c r="D723" s="2"/>
      <c r="E723" s="2"/>
      <c r="F723" s="569"/>
      <c r="G723" s="2"/>
      <c r="H723" s="2"/>
      <c r="I723" s="2"/>
      <c r="J723" s="366"/>
      <c r="K723" s="2"/>
      <c r="L723" s="2"/>
      <c r="M723" s="2"/>
      <c r="N723" s="2"/>
      <c r="O723" s="23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</row>
    <row r="724" spans="1:32" ht="14">
      <c r="A724" s="2"/>
      <c r="B724" s="2"/>
      <c r="C724" s="2"/>
      <c r="D724" s="2"/>
      <c r="E724" s="2"/>
      <c r="F724" s="569"/>
      <c r="G724" s="2"/>
      <c r="H724" s="2"/>
      <c r="I724" s="2"/>
      <c r="J724" s="366"/>
      <c r="K724" s="2"/>
      <c r="L724" s="2"/>
      <c r="M724" s="2"/>
      <c r="N724" s="2"/>
      <c r="O724" s="23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</row>
    <row r="725" spans="1:32" ht="14">
      <c r="A725" s="2"/>
      <c r="B725" s="2"/>
      <c r="C725" s="2"/>
      <c r="D725" s="2"/>
      <c r="E725" s="2"/>
      <c r="F725" s="569"/>
      <c r="G725" s="2"/>
      <c r="H725" s="2"/>
      <c r="I725" s="2"/>
      <c r="J725" s="366"/>
      <c r="K725" s="2"/>
      <c r="L725" s="2"/>
      <c r="M725" s="2"/>
      <c r="N725" s="2"/>
      <c r="O725" s="23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</row>
    <row r="726" spans="1:32" ht="14">
      <c r="A726" s="2"/>
      <c r="B726" s="2"/>
      <c r="C726" s="2"/>
      <c r="D726" s="2"/>
      <c r="E726" s="2"/>
      <c r="F726" s="569"/>
      <c r="G726" s="2"/>
      <c r="H726" s="2"/>
      <c r="I726" s="2"/>
      <c r="J726" s="366"/>
      <c r="K726" s="2"/>
      <c r="L726" s="2"/>
      <c r="M726" s="2"/>
      <c r="N726" s="2"/>
      <c r="O726" s="23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</row>
    <row r="727" spans="1:32" ht="14">
      <c r="A727" s="2"/>
      <c r="B727" s="2"/>
      <c r="C727" s="2"/>
      <c r="D727" s="2"/>
      <c r="E727" s="2"/>
      <c r="F727" s="569"/>
      <c r="G727" s="2"/>
      <c r="H727" s="2"/>
      <c r="I727" s="2"/>
      <c r="J727" s="366"/>
      <c r="K727" s="2"/>
      <c r="L727" s="2"/>
      <c r="M727" s="2"/>
      <c r="N727" s="2"/>
      <c r="O727" s="23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</row>
    <row r="728" spans="1:32" ht="14">
      <c r="A728" s="2"/>
      <c r="B728" s="2"/>
      <c r="C728" s="2"/>
      <c r="D728" s="2"/>
      <c r="E728" s="2"/>
      <c r="F728" s="569"/>
      <c r="G728" s="2"/>
      <c r="H728" s="2"/>
      <c r="I728" s="2"/>
      <c r="J728" s="366"/>
      <c r="K728" s="2"/>
      <c r="L728" s="2"/>
      <c r="M728" s="2"/>
      <c r="N728" s="2"/>
      <c r="O728" s="23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</row>
    <row r="729" spans="1:32" ht="14">
      <c r="A729" s="2"/>
      <c r="B729" s="2"/>
      <c r="C729" s="2"/>
      <c r="D729" s="2"/>
      <c r="E729" s="2"/>
      <c r="F729" s="569"/>
      <c r="G729" s="2"/>
      <c r="H729" s="2"/>
      <c r="I729" s="2"/>
      <c r="J729" s="366"/>
      <c r="K729" s="2"/>
      <c r="L729" s="2"/>
      <c r="M729" s="2"/>
      <c r="N729" s="2"/>
      <c r="O729" s="23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</row>
    <row r="730" spans="1:32" ht="14">
      <c r="A730" s="2"/>
      <c r="B730" s="2"/>
      <c r="C730" s="2"/>
      <c r="D730" s="2"/>
      <c r="E730" s="2"/>
      <c r="F730" s="569"/>
      <c r="G730" s="2"/>
      <c r="H730" s="2"/>
      <c r="I730" s="2"/>
      <c r="J730" s="366"/>
      <c r="K730" s="2"/>
      <c r="L730" s="2"/>
      <c r="M730" s="2"/>
      <c r="N730" s="2"/>
      <c r="O730" s="23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</row>
    <row r="731" spans="1:32" ht="14">
      <c r="A731" s="2"/>
      <c r="B731" s="2"/>
      <c r="C731" s="2"/>
      <c r="D731" s="2"/>
      <c r="E731" s="2"/>
      <c r="F731" s="569"/>
      <c r="G731" s="2"/>
      <c r="H731" s="2"/>
      <c r="I731" s="2"/>
      <c r="J731" s="366"/>
      <c r="K731" s="2"/>
      <c r="L731" s="2"/>
      <c r="M731" s="2"/>
      <c r="N731" s="2"/>
      <c r="O731" s="23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</row>
    <row r="732" spans="1:32" ht="14">
      <c r="A732" s="2"/>
      <c r="B732" s="2"/>
      <c r="C732" s="2"/>
      <c r="D732" s="2"/>
      <c r="E732" s="2"/>
      <c r="F732" s="569"/>
      <c r="G732" s="2"/>
      <c r="H732" s="2"/>
      <c r="I732" s="2"/>
      <c r="J732" s="366"/>
      <c r="K732" s="2"/>
      <c r="L732" s="2"/>
      <c r="M732" s="2"/>
      <c r="N732" s="2"/>
      <c r="O732" s="23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</row>
    <row r="733" spans="1:32" ht="14">
      <c r="A733" s="2"/>
      <c r="B733" s="2"/>
      <c r="C733" s="2"/>
      <c r="D733" s="2"/>
      <c r="E733" s="2"/>
      <c r="F733" s="569"/>
      <c r="G733" s="2"/>
      <c r="H733" s="2"/>
      <c r="I733" s="2"/>
      <c r="J733" s="366"/>
      <c r="K733" s="2"/>
      <c r="L733" s="2"/>
      <c r="M733" s="2"/>
      <c r="N733" s="2"/>
      <c r="O733" s="23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</row>
    <row r="734" spans="1:32" ht="14">
      <c r="A734" s="2"/>
      <c r="B734" s="2"/>
      <c r="C734" s="2"/>
      <c r="D734" s="2"/>
      <c r="E734" s="2"/>
      <c r="F734" s="569"/>
      <c r="G734" s="2"/>
      <c r="H734" s="2"/>
      <c r="I734" s="2"/>
      <c r="J734" s="366"/>
      <c r="K734" s="2"/>
      <c r="L734" s="2"/>
      <c r="M734" s="2"/>
      <c r="N734" s="2"/>
      <c r="O734" s="23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</row>
    <row r="735" spans="1:32" ht="14">
      <c r="A735" s="2"/>
      <c r="B735" s="2"/>
      <c r="C735" s="2"/>
      <c r="D735" s="2"/>
      <c r="E735" s="2"/>
      <c r="F735" s="569"/>
      <c r="G735" s="2"/>
      <c r="H735" s="2"/>
      <c r="I735" s="2"/>
      <c r="J735" s="366"/>
      <c r="K735" s="2"/>
      <c r="L735" s="2"/>
      <c r="M735" s="2"/>
      <c r="N735" s="2"/>
      <c r="O735" s="23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</row>
    <row r="736" spans="1:32" ht="14">
      <c r="A736" s="2"/>
      <c r="B736" s="2"/>
      <c r="C736" s="2"/>
      <c r="D736" s="2"/>
      <c r="E736" s="2"/>
      <c r="F736" s="569"/>
      <c r="G736" s="2"/>
      <c r="H736" s="2"/>
      <c r="I736" s="2"/>
      <c r="J736" s="366"/>
      <c r="K736" s="2"/>
      <c r="L736" s="2"/>
      <c r="M736" s="2"/>
      <c r="N736" s="2"/>
      <c r="O736" s="23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</row>
    <row r="737" spans="1:32" ht="14">
      <c r="A737" s="2"/>
      <c r="B737" s="2"/>
      <c r="C737" s="2"/>
      <c r="D737" s="2"/>
      <c r="E737" s="2"/>
      <c r="F737" s="569"/>
      <c r="G737" s="2"/>
      <c r="H737" s="2"/>
      <c r="I737" s="2"/>
      <c r="J737" s="366"/>
      <c r="K737" s="2"/>
      <c r="L737" s="2"/>
      <c r="M737" s="2"/>
      <c r="N737" s="2"/>
      <c r="O737" s="23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</row>
    <row r="738" spans="1:32" ht="14">
      <c r="A738" s="2"/>
      <c r="B738" s="2"/>
      <c r="C738" s="2"/>
      <c r="D738" s="2"/>
      <c r="E738" s="2"/>
      <c r="F738" s="569"/>
      <c r="G738" s="2"/>
      <c r="H738" s="2"/>
      <c r="I738" s="2"/>
      <c r="J738" s="366"/>
      <c r="K738" s="2"/>
      <c r="L738" s="2"/>
      <c r="M738" s="2"/>
      <c r="N738" s="2"/>
      <c r="O738" s="23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</row>
    <row r="739" spans="1:32" ht="14">
      <c r="A739" s="2"/>
      <c r="B739" s="2"/>
      <c r="C739" s="2"/>
      <c r="D739" s="2"/>
      <c r="E739" s="2"/>
      <c r="F739" s="569"/>
      <c r="G739" s="2"/>
      <c r="H739" s="2"/>
      <c r="I739" s="2"/>
      <c r="J739" s="366"/>
      <c r="K739" s="2"/>
      <c r="L739" s="2"/>
      <c r="M739" s="2"/>
      <c r="N739" s="2"/>
      <c r="O739" s="23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</row>
    <row r="740" spans="1:32" ht="14">
      <c r="A740" s="2"/>
      <c r="B740" s="2"/>
      <c r="C740" s="2"/>
      <c r="D740" s="2"/>
      <c r="E740" s="2"/>
      <c r="F740" s="569"/>
      <c r="G740" s="2"/>
      <c r="H740" s="2"/>
      <c r="I740" s="2"/>
      <c r="J740" s="366"/>
      <c r="K740" s="2"/>
      <c r="L740" s="2"/>
      <c r="M740" s="2"/>
      <c r="N740" s="2"/>
      <c r="O740" s="23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</row>
    <row r="741" spans="1:32" ht="14">
      <c r="A741" s="2"/>
      <c r="B741" s="2"/>
      <c r="C741" s="2"/>
      <c r="D741" s="2"/>
      <c r="E741" s="2"/>
      <c r="F741" s="569"/>
      <c r="G741" s="2"/>
      <c r="H741" s="2"/>
      <c r="I741" s="2"/>
      <c r="J741" s="366"/>
      <c r="K741" s="2"/>
      <c r="L741" s="2"/>
      <c r="M741" s="2"/>
      <c r="N741" s="2"/>
      <c r="O741" s="23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</row>
    <row r="742" spans="1:32" ht="14">
      <c r="A742" s="2"/>
      <c r="B742" s="2"/>
      <c r="C742" s="2"/>
      <c r="D742" s="2"/>
      <c r="E742" s="2"/>
      <c r="F742" s="569"/>
      <c r="G742" s="2"/>
      <c r="H742" s="2"/>
      <c r="I742" s="2"/>
      <c r="J742" s="366"/>
      <c r="K742" s="2"/>
      <c r="L742" s="2"/>
      <c r="M742" s="2"/>
      <c r="N742" s="2"/>
      <c r="O742" s="23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</row>
    <row r="743" spans="1:32" ht="14">
      <c r="A743" s="2"/>
      <c r="B743" s="2"/>
      <c r="C743" s="2"/>
      <c r="D743" s="2"/>
      <c r="E743" s="2"/>
      <c r="F743" s="569"/>
      <c r="G743" s="2"/>
      <c r="H743" s="2"/>
      <c r="I743" s="2"/>
      <c r="J743" s="366"/>
      <c r="K743" s="2"/>
      <c r="L743" s="2"/>
      <c r="M743" s="2"/>
      <c r="N743" s="2"/>
      <c r="O743" s="23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</row>
    <row r="744" spans="1:32" ht="14">
      <c r="A744" s="2"/>
      <c r="B744" s="2"/>
      <c r="C744" s="2"/>
      <c r="D744" s="2"/>
      <c r="E744" s="2"/>
      <c r="F744" s="569"/>
      <c r="G744" s="2"/>
      <c r="H744" s="2"/>
      <c r="I744" s="2"/>
      <c r="J744" s="366"/>
      <c r="K744" s="2"/>
      <c r="L744" s="2"/>
      <c r="M744" s="2"/>
      <c r="N744" s="2"/>
      <c r="O744" s="23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</row>
    <row r="745" spans="1:32" ht="14">
      <c r="A745" s="2"/>
      <c r="B745" s="2"/>
      <c r="C745" s="2"/>
      <c r="D745" s="2"/>
      <c r="E745" s="2"/>
      <c r="F745" s="569"/>
      <c r="G745" s="2"/>
      <c r="H745" s="2"/>
      <c r="I745" s="2"/>
      <c r="J745" s="366"/>
      <c r="K745" s="2"/>
      <c r="L745" s="2"/>
      <c r="M745" s="2"/>
      <c r="N745" s="2"/>
      <c r="O745" s="23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</row>
    <row r="746" spans="1:32" ht="14">
      <c r="A746" s="2"/>
      <c r="B746" s="2"/>
      <c r="C746" s="2"/>
      <c r="D746" s="2"/>
      <c r="E746" s="2"/>
      <c r="F746" s="569"/>
      <c r="G746" s="2"/>
      <c r="H746" s="2"/>
      <c r="I746" s="2"/>
      <c r="J746" s="366"/>
      <c r="K746" s="2"/>
      <c r="L746" s="2"/>
      <c r="M746" s="2"/>
      <c r="N746" s="2"/>
      <c r="O746" s="23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</row>
    <row r="747" spans="1:32" ht="14">
      <c r="A747" s="2"/>
      <c r="B747" s="2"/>
      <c r="C747" s="2"/>
      <c r="D747" s="2"/>
      <c r="E747" s="2"/>
      <c r="F747" s="569"/>
      <c r="G747" s="2"/>
      <c r="H747" s="2"/>
      <c r="I747" s="2"/>
      <c r="J747" s="366"/>
      <c r="K747" s="2"/>
      <c r="L747" s="2"/>
      <c r="M747" s="2"/>
      <c r="N747" s="2"/>
      <c r="O747" s="23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</row>
    <row r="748" spans="1:32" ht="14">
      <c r="A748" s="2"/>
      <c r="B748" s="2"/>
      <c r="C748" s="2"/>
      <c r="D748" s="2"/>
      <c r="E748" s="2"/>
      <c r="F748" s="569"/>
      <c r="G748" s="2"/>
      <c r="H748" s="2"/>
      <c r="I748" s="2"/>
      <c r="J748" s="366"/>
      <c r="K748" s="2"/>
      <c r="L748" s="2"/>
      <c r="M748" s="2"/>
      <c r="N748" s="2"/>
      <c r="O748" s="23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</row>
    <row r="749" spans="1:32" ht="14">
      <c r="A749" s="2"/>
      <c r="B749" s="2"/>
      <c r="C749" s="2"/>
      <c r="D749" s="2"/>
      <c r="E749" s="2"/>
      <c r="F749" s="569"/>
      <c r="G749" s="2"/>
      <c r="H749" s="2"/>
      <c r="I749" s="2"/>
      <c r="J749" s="366"/>
      <c r="K749" s="2"/>
      <c r="L749" s="2"/>
      <c r="M749" s="2"/>
      <c r="N749" s="2"/>
      <c r="O749" s="23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</row>
    <row r="750" spans="1:32" ht="14">
      <c r="A750" s="2"/>
      <c r="B750" s="2"/>
      <c r="C750" s="2"/>
      <c r="D750" s="2"/>
      <c r="E750" s="2"/>
      <c r="F750" s="569"/>
      <c r="G750" s="2"/>
      <c r="H750" s="2"/>
      <c r="I750" s="2"/>
      <c r="J750" s="366"/>
      <c r="K750" s="2"/>
      <c r="L750" s="2"/>
      <c r="M750" s="2"/>
      <c r="N750" s="2"/>
      <c r="O750" s="23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</row>
    <row r="751" spans="1:32" ht="14">
      <c r="A751" s="2"/>
      <c r="B751" s="2"/>
      <c r="C751" s="2"/>
      <c r="D751" s="2"/>
      <c r="E751" s="2"/>
      <c r="F751" s="569"/>
      <c r="G751" s="2"/>
      <c r="H751" s="2"/>
      <c r="I751" s="2"/>
      <c r="J751" s="366"/>
      <c r="K751" s="2"/>
      <c r="L751" s="2"/>
      <c r="M751" s="2"/>
      <c r="N751" s="2"/>
      <c r="O751" s="23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</row>
    <row r="752" spans="1:32" ht="14">
      <c r="A752" s="2"/>
      <c r="B752" s="2"/>
      <c r="C752" s="2"/>
      <c r="D752" s="2"/>
      <c r="E752" s="2"/>
      <c r="F752" s="569"/>
      <c r="G752" s="2"/>
      <c r="H752" s="2"/>
      <c r="I752" s="2"/>
      <c r="J752" s="366"/>
      <c r="K752" s="2"/>
      <c r="L752" s="2"/>
      <c r="M752" s="2"/>
      <c r="N752" s="2"/>
      <c r="O752" s="23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</row>
    <row r="753" spans="1:32" ht="14">
      <c r="A753" s="2"/>
      <c r="B753" s="2"/>
      <c r="C753" s="2"/>
      <c r="D753" s="2"/>
      <c r="E753" s="2"/>
      <c r="F753" s="569"/>
      <c r="G753" s="2"/>
      <c r="H753" s="2"/>
      <c r="I753" s="2"/>
      <c r="J753" s="366"/>
      <c r="K753" s="2"/>
      <c r="L753" s="2"/>
      <c r="M753" s="2"/>
      <c r="N753" s="2"/>
      <c r="O753" s="23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</row>
    <row r="754" spans="1:32" ht="14">
      <c r="A754" s="2"/>
      <c r="B754" s="2"/>
      <c r="C754" s="2"/>
      <c r="D754" s="2"/>
      <c r="E754" s="2"/>
      <c r="F754" s="569"/>
      <c r="G754" s="2"/>
      <c r="H754" s="2"/>
      <c r="I754" s="2"/>
      <c r="J754" s="366"/>
      <c r="K754" s="2"/>
      <c r="L754" s="2"/>
      <c r="M754" s="2"/>
      <c r="N754" s="2"/>
      <c r="O754" s="23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</row>
    <row r="755" spans="1:32" ht="14">
      <c r="A755" s="2"/>
      <c r="B755" s="2"/>
      <c r="C755" s="2"/>
      <c r="D755" s="2"/>
      <c r="E755" s="2"/>
      <c r="F755" s="569"/>
      <c r="G755" s="2"/>
      <c r="H755" s="2"/>
      <c r="I755" s="2"/>
      <c r="J755" s="366"/>
      <c r="K755" s="2"/>
      <c r="L755" s="2"/>
      <c r="M755" s="2"/>
      <c r="N755" s="2"/>
      <c r="O755" s="23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</row>
    <row r="756" spans="1:32" ht="14">
      <c r="A756" s="2"/>
      <c r="B756" s="2"/>
      <c r="C756" s="2"/>
      <c r="D756" s="2"/>
      <c r="E756" s="2"/>
      <c r="F756" s="569"/>
      <c r="G756" s="2"/>
      <c r="H756" s="2"/>
      <c r="I756" s="2"/>
      <c r="J756" s="366"/>
      <c r="K756" s="2"/>
      <c r="L756" s="2"/>
      <c r="M756" s="2"/>
      <c r="N756" s="2"/>
      <c r="O756" s="23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</row>
    <row r="757" spans="1:32" ht="14">
      <c r="A757" s="2"/>
      <c r="B757" s="2"/>
      <c r="C757" s="2"/>
      <c r="D757" s="2"/>
      <c r="E757" s="2"/>
      <c r="F757" s="569"/>
      <c r="G757" s="2"/>
      <c r="H757" s="2"/>
      <c r="I757" s="2"/>
      <c r="J757" s="366"/>
      <c r="K757" s="2"/>
      <c r="L757" s="2"/>
      <c r="M757" s="2"/>
      <c r="N757" s="2"/>
      <c r="O757" s="23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</row>
    <row r="758" spans="1:32" ht="14">
      <c r="A758" s="2"/>
      <c r="B758" s="2"/>
      <c r="C758" s="2"/>
      <c r="D758" s="2"/>
      <c r="E758" s="2"/>
      <c r="F758" s="569"/>
      <c r="G758" s="2"/>
      <c r="H758" s="2"/>
      <c r="I758" s="2"/>
      <c r="J758" s="366"/>
      <c r="K758" s="2"/>
      <c r="L758" s="2"/>
      <c r="M758" s="2"/>
      <c r="N758" s="2"/>
      <c r="O758" s="23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</row>
    <row r="759" spans="1:32" ht="14">
      <c r="A759" s="2"/>
      <c r="B759" s="2"/>
      <c r="C759" s="2"/>
      <c r="D759" s="2"/>
      <c r="E759" s="2"/>
      <c r="F759" s="569"/>
      <c r="G759" s="2"/>
      <c r="H759" s="2"/>
      <c r="I759" s="2"/>
      <c r="J759" s="366"/>
      <c r="K759" s="2"/>
      <c r="L759" s="2"/>
      <c r="M759" s="2"/>
      <c r="N759" s="2"/>
      <c r="O759" s="23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</row>
    <row r="760" spans="1:32" ht="14">
      <c r="A760" s="2"/>
      <c r="B760" s="2"/>
      <c r="C760" s="2"/>
      <c r="D760" s="2"/>
      <c r="E760" s="2"/>
      <c r="F760" s="569"/>
      <c r="G760" s="2"/>
      <c r="H760" s="2"/>
      <c r="I760" s="2"/>
      <c r="J760" s="366"/>
      <c r="K760" s="2"/>
      <c r="L760" s="2"/>
      <c r="M760" s="2"/>
      <c r="N760" s="2"/>
      <c r="O760" s="23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</row>
    <row r="761" spans="1:32" ht="14">
      <c r="A761" s="2"/>
      <c r="B761" s="2"/>
      <c r="C761" s="2"/>
      <c r="D761" s="2"/>
      <c r="E761" s="2"/>
      <c r="F761" s="569"/>
      <c r="G761" s="2"/>
      <c r="H761" s="2"/>
      <c r="I761" s="2"/>
      <c r="J761" s="366"/>
      <c r="K761" s="2"/>
      <c r="L761" s="2"/>
      <c r="M761" s="2"/>
      <c r="N761" s="2"/>
      <c r="O761" s="23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</row>
    <row r="762" spans="1:32" ht="14">
      <c r="A762" s="2"/>
      <c r="B762" s="2"/>
      <c r="C762" s="2"/>
      <c r="D762" s="2"/>
      <c r="E762" s="2"/>
      <c r="F762" s="569"/>
      <c r="G762" s="2"/>
      <c r="H762" s="2"/>
      <c r="I762" s="2"/>
      <c r="J762" s="366"/>
      <c r="K762" s="2"/>
      <c r="L762" s="2"/>
      <c r="M762" s="2"/>
      <c r="N762" s="2"/>
      <c r="O762" s="23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</row>
    <row r="763" spans="1:32" ht="14">
      <c r="A763" s="2"/>
      <c r="B763" s="2"/>
      <c r="C763" s="2"/>
      <c r="D763" s="2"/>
      <c r="E763" s="2"/>
      <c r="F763" s="569"/>
      <c r="G763" s="2"/>
      <c r="H763" s="2"/>
      <c r="I763" s="2"/>
      <c r="J763" s="366"/>
      <c r="K763" s="2"/>
      <c r="L763" s="2"/>
      <c r="M763" s="2"/>
      <c r="N763" s="2"/>
      <c r="O763" s="23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</row>
    <row r="764" spans="1:32" ht="14">
      <c r="A764" s="2"/>
      <c r="B764" s="2"/>
      <c r="C764" s="2"/>
      <c r="D764" s="2"/>
      <c r="E764" s="2"/>
      <c r="F764" s="569"/>
      <c r="G764" s="2"/>
      <c r="H764" s="2"/>
      <c r="I764" s="2"/>
      <c r="J764" s="366"/>
      <c r="K764" s="2"/>
      <c r="L764" s="2"/>
      <c r="M764" s="2"/>
      <c r="N764" s="2"/>
      <c r="O764" s="23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</row>
    <row r="765" spans="1:32" ht="14">
      <c r="A765" s="2"/>
      <c r="B765" s="2"/>
      <c r="C765" s="2"/>
      <c r="D765" s="2"/>
      <c r="E765" s="2"/>
      <c r="F765" s="569"/>
      <c r="G765" s="2"/>
      <c r="H765" s="2"/>
      <c r="I765" s="2"/>
      <c r="J765" s="366"/>
      <c r="K765" s="2"/>
      <c r="L765" s="2"/>
      <c r="M765" s="2"/>
      <c r="N765" s="2"/>
      <c r="O765" s="23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</row>
    <row r="766" spans="1:32" ht="14">
      <c r="A766" s="2"/>
      <c r="B766" s="2"/>
      <c r="C766" s="2"/>
      <c r="D766" s="2"/>
      <c r="E766" s="2"/>
      <c r="F766" s="569"/>
      <c r="G766" s="2"/>
      <c r="H766" s="2"/>
      <c r="I766" s="2"/>
      <c r="J766" s="366"/>
      <c r="K766" s="2"/>
      <c r="L766" s="2"/>
      <c r="M766" s="2"/>
      <c r="N766" s="2"/>
      <c r="O766" s="23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</row>
    <row r="767" spans="1:32" ht="14">
      <c r="A767" s="2"/>
      <c r="B767" s="2"/>
      <c r="C767" s="2"/>
      <c r="D767" s="2"/>
      <c r="E767" s="2"/>
      <c r="F767" s="569"/>
      <c r="G767" s="2"/>
      <c r="H767" s="2"/>
      <c r="I767" s="2"/>
      <c r="J767" s="366"/>
      <c r="K767" s="2"/>
      <c r="L767" s="2"/>
      <c r="M767" s="2"/>
      <c r="N767" s="2"/>
      <c r="O767" s="23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</row>
    <row r="768" spans="1:32" ht="14">
      <c r="A768" s="2"/>
      <c r="B768" s="2"/>
      <c r="C768" s="2"/>
      <c r="D768" s="2"/>
      <c r="E768" s="2"/>
      <c r="F768" s="569"/>
      <c r="G768" s="2"/>
      <c r="H768" s="2"/>
      <c r="I768" s="2"/>
      <c r="J768" s="366"/>
      <c r="K768" s="2"/>
      <c r="L768" s="2"/>
      <c r="M768" s="2"/>
      <c r="N768" s="2"/>
      <c r="O768" s="23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</row>
    <row r="769" spans="1:32" ht="14">
      <c r="A769" s="2"/>
      <c r="B769" s="2"/>
      <c r="C769" s="2"/>
      <c r="D769" s="2"/>
      <c r="E769" s="2"/>
      <c r="F769" s="569"/>
      <c r="G769" s="2"/>
      <c r="H769" s="2"/>
      <c r="I769" s="2"/>
      <c r="J769" s="366"/>
      <c r="K769" s="2"/>
      <c r="L769" s="2"/>
      <c r="M769" s="2"/>
      <c r="N769" s="2"/>
      <c r="O769" s="23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</row>
    <row r="770" spans="1:32" ht="14">
      <c r="A770" s="2"/>
      <c r="B770" s="2"/>
      <c r="C770" s="2"/>
      <c r="D770" s="2"/>
      <c r="E770" s="2"/>
      <c r="F770" s="569"/>
      <c r="G770" s="2"/>
      <c r="H770" s="2"/>
      <c r="I770" s="2"/>
      <c r="J770" s="366"/>
      <c r="K770" s="2"/>
      <c r="L770" s="2"/>
      <c r="M770" s="2"/>
      <c r="N770" s="2"/>
      <c r="O770" s="23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</row>
    <row r="771" spans="1:32" ht="14">
      <c r="A771" s="2"/>
      <c r="B771" s="2"/>
      <c r="C771" s="2"/>
      <c r="D771" s="2"/>
      <c r="E771" s="2"/>
      <c r="F771" s="569"/>
      <c r="G771" s="2"/>
      <c r="H771" s="2"/>
      <c r="I771" s="2"/>
      <c r="J771" s="366"/>
      <c r="K771" s="2"/>
      <c r="L771" s="2"/>
      <c r="M771" s="2"/>
      <c r="N771" s="2"/>
      <c r="O771" s="23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</row>
    <row r="772" spans="1:32" ht="14">
      <c r="A772" s="2"/>
      <c r="B772" s="2"/>
      <c r="C772" s="2"/>
      <c r="D772" s="2"/>
      <c r="E772" s="2"/>
      <c r="F772" s="569"/>
      <c r="G772" s="2"/>
      <c r="H772" s="2"/>
      <c r="I772" s="2"/>
      <c r="J772" s="366"/>
      <c r="K772" s="2"/>
      <c r="L772" s="2"/>
      <c r="M772" s="2"/>
      <c r="N772" s="2"/>
      <c r="O772" s="23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</row>
    <row r="773" spans="1:32" ht="14">
      <c r="A773" s="2"/>
      <c r="B773" s="2"/>
      <c r="C773" s="2"/>
      <c r="D773" s="2"/>
      <c r="E773" s="2"/>
      <c r="F773" s="569"/>
      <c r="G773" s="2"/>
      <c r="H773" s="2"/>
      <c r="I773" s="2"/>
      <c r="J773" s="366"/>
      <c r="K773" s="2"/>
      <c r="L773" s="2"/>
      <c r="M773" s="2"/>
      <c r="N773" s="2"/>
      <c r="O773" s="23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</row>
    <row r="774" spans="1:32" ht="14">
      <c r="A774" s="2"/>
      <c r="B774" s="2"/>
      <c r="C774" s="2"/>
      <c r="D774" s="2"/>
      <c r="E774" s="2"/>
      <c r="F774" s="569"/>
      <c r="G774" s="2"/>
      <c r="H774" s="2"/>
      <c r="I774" s="2"/>
      <c r="J774" s="366"/>
      <c r="K774" s="2"/>
      <c r="L774" s="2"/>
      <c r="M774" s="2"/>
      <c r="N774" s="2"/>
      <c r="O774" s="23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</row>
    <row r="775" spans="1:32" ht="14">
      <c r="A775" s="2"/>
      <c r="B775" s="2"/>
      <c r="C775" s="2"/>
      <c r="D775" s="2"/>
      <c r="E775" s="2"/>
      <c r="F775" s="569"/>
      <c r="G775" s="2"/>
      <c r="H775" s="2"/>
      <c r="I775" s="2"/>
      <c r="J775" s="366"/>
      <c r="K775" s="2"/>
      <c r="L775" s="2"/>
      <c r="M775" s="2"/>
      <c r="N775" s="2"/>
      <c r="O775" s="23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</row>
    <row r="776" spans="1:32" ht="14">
      <c r="A776" s="2"/>
      <c r="B776" s="2"/>
      <c r="C776" s="2"/>
      <c r="D776" s="2"/>
      <c r="E776" s="2"/>
      <c r="F776" s="569"/>
      <c r="G776" s="2"/>
      <c r="H776" s="2"/>
      <c r="I776" s="2"/>
      <c r="J776" s="366"/>
      <c r="K776" s="2"/>
      <c r="L776" s="2"/>
      <c r="M776" s="2"/>
      <c r="N776" s="2"/>
      <c r="O776" s="23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</row>
    <row r="777" spans="1:32" ht="14">
      <c r="A777" s="2"/>
      <c r="B777" s="2"/>
      <c r="C777" s="2"/>
      <c r="D777" s="2"/>
      <c r="E777" s="2"/>
      <c r="F777" s="569"/>
      <c r="G777" s="2"/>
      <c r="H777" s="2"/>
      <c r="I777" s="2"/>
      <c r="J777" s="366"/>
      <c r="K777" s="2"/>
      <c r="L777" s="2"/>
      <c r="M777" s="2"/>
      <c r="N777" s="2"/>
      <c r="O777" s="23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</row>
    <row r="778" spans="1:32" ht="14">
      <c r="A778" s="2"/>
      <c r="B778" s="2"/>
      <c r="C778" s="2"/>
      <c r="D778" s="2"/>
      <c r="E778" s="2"/>
      <c r="F778" s="569"/>
      <c r="G778" s="2"/>
      <c r="H778" s="2"/>
      <c r="I778" s="2"/>
      <c r="J778" s="366"/>
      <c r="K778" s="2"/>
      <c r="L778" s="2"/>
      <c r="M778" s="2"/>
      <c r="N778" s="2"/>
      <c r="O778" s="23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</row>
    <row r="779" spans="1:32" ht="14">
      <c r="A779" s="2"/>
      <c r="B779" s="2"/>
      <c r="C779" s="2"/>
      <c r="D779" s="2"/>
      <c r="E779" s="2"/>
      <c r="F779" s="569"/>
      <c r="G779" s="2"/>
      <c r="H779" s="2"/>
      <c r="I779" s="2"/>
      <c r="J779" s="366"/>
      <c r="K779" s="2"/>
      <c r="L779" s="2"/>
      <c r="M779" s="2"/>
      <c r="N779" s="2"/>
      <c r="O779" s="23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</row>
    <row r="780" spans="1:32" ht="14">
      <c r="A780" s="2"/>
      <c r="B780" s="2"/>
      <c r="C780" s="2"/>
      <c r="D780" s="2"/>
      <c r="E780" s="2"/>
      <c r="F780" s="569"/>
      <c r="G780" s="2"/>
      <c r="H780" s="2"/>
      <c r="I780" s="2"/>
      <c r="J780" s="366"/>
      <c r="K780" s="2"/>
      <c r="L780" s="2"/>
      <c r="M780" s="2"/>
      <c r="N780" s="2"/>
      <c r="O780" s="23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</row>
    <row r="781" spans="1:32" ht="14">
      <c r="A781" s="2"/>
      <c r="B781" s="2"/>
      <c r="C781" s="2"/>
      <c r="D781" s="2"/>
      <c r="E781" s="2"/>
      <c r="F781" s="569"/>
      <c r="G781" s="2"/>
      <c r="H781" s="2"/>
      <c r="I781" s="2"/>
      <c r="J781" s="366"/>
      <c r="K781" s="2"/>
      <c r="L781" s="2"/>
      <c r="M781" s="2"/>
      <c r="N781" s="2"/>
      <c r="O781" s="23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</row>
    <row r="782" spans="1:32" ht="14">
      <c r="A782" s="2"/>
      <c r="B782" s="2"/>
      <c r="C782" s="2"/>
      <c r="D782" s="2"/>
      <c r="E782" s="2"/>
      <c r="F782" s="569"/>
      <c r="G782" s="2"/>
      <c r="H782" s="2"/>
      <c r="I782" s="2"/>
      <c r="J782" s="366"/>
      <c r="K782" s="2"/>
      <c r="L782" s="2"/>
      <c r="M782" s="2"/>
      <c r="N782" s="2"/>
      <c r="O782" s="23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</row>
    <row r="783" spans="1:32" ht="14">
      <c r="A783" s="2"/>
      <c r="B783" s="2"/>
      <c r="C783" s="2"/>
      <c r="D783" s="2"/>
      <c r="E783" s="2"/>
      <c r="F783" s="569"/>
      <c r="G783" s="2"/>
      <c r="H783" s="2"/>
      <c r="I783" s="2"/>
      <c r="J783" s="366"/>
      <c r="K783" s="2"/>
      <c r="L783" s="2"/>
      <c r="M783" s="2"/>
      <c r="N783" s="2"/>
      <c r="O783" s="23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</row>
    <row r="784" spans="1:32" ht="14">
      <c r="A784" s="2"/>
      <c r="B784" s="2"/>
      <c r="C784" s="2"/>
      <c r="D784" s="2"/>
      <c r="E784" s="2"/>
      <c r="F784" s="569"/>
      <c r="G784" s="2"/>
      <c r="H784" s="2"/>
      <c r="I784" s="2"/>
      <c r="J784" s="366"/>
      <c r="K784" s="2"/>
      <c r="L784" s="2"/>
      <c r="M784" s="2"/>
      <c r="N784" s="2"/>
      <c r="O784" s="23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</row>
    <row r="785" spans="1:32" ht="14">
      <c r="A785" s="2"/>
      <c r="B785" s="2"/>
      <c r="C785" s="2"/>
      <c r="D785" s="2"/>
      <c r="E785" s="2"/>
      <c r="F785" s="569"/>
      <c r="G785" s="2"/>
      <c r="H785" s="2"/>
      <c r="I785" s="2"/>
      <c r="J785" s="366"/>
      <c r="K785" s="2"/>
      <c r="L785" s="2"/>
      <c r="M785" s="2"/>
      <c r="N785" s="2"/>
      <c r="O785" s="23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</row>
    <row r="786" spans="1:32" ht="14">
      <c r="A786" s="2"/>
      <c r="B786" s="2"/>
      <c r="C786" s="2"/>
      <c r="D786" s="2"/>
      <c r="E786" s="2"/>
      <c r="F786" s="569"/>
      <c r="G786" s="2"/>
      <c r="H786" s="2"/>
      <c r="I786" s="2"/>
      <c r="J786" s="366"/>
      <c r="K786" s="2"/>
      <c r="L786" s="2"/>
      <c r="M786" s="2"/>
      <c r="N786" s="2"/>
      <c r="O786" s="23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</row>
    <row r="787" spans="1:32" ht="14">
      <c r="A787" s="2"/>
      <c r="B787" s="2"/>
      <c r="C787" s="2"/>
      <c r="D787" s="2"/>
      <c r="E787" s="2"/>
      <c r="F787" s="569"/>
      <c r="G787" s="2"/>
      <c r="H787" s="2"/>
      <c r="I787" s="2"/>
      <c r="J787" s="366"/>
      <c r="K787" s="2"/>
      <c r="L787" s="2"/>
      <c r="M787" s="2"/>
      <c r="N787" s="2"/>
      <c r="O787" s="23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</row>
    <row r="788" spans="1:32" ht="14">
      <c r="A788" s="2"/>
      <c r="B788" s="2"/>
      <c r="C788" s="2"/>
      <c r="D788" s="2"/>
      <c r="E788" s="2"/>
      <c r="F788" s="569"/>
      <c r="G788" s="2"/>
      <c r="H788" s="2"/>
      <c r="I788" s="2"/>
      <c r="J788" s="366"/>
      <c r="K788" s="2"/>
      <c r="L788" s="2"/>
      <c r="M788" s="2"/>
      <c r="N788" s="2"/>
      <c r="O788" s="23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</row>
    <row r="789" spans="1:32" ht="14">
      <c r="A789" s="2"/>
      <c r="B789" s="2"/>
      <c r="C789" s="2"/>
      <c r="D789" s="2"/>
      <c r="E789" s="2"/>
      <c r="F789" s="569"/>
      <c r="G789" s="2"/>
      <c r="H789" s="2"/>
      <c r="I789" s="2"/>
      <c r="J789" s="366"/>
      <c r="K789" s="2"/>
      <c r="L789" s="2"/>
      <c r="M789" s="2"/>
      <c r="N789" s="2"/>
      <c r="O789" s="23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</row>
    <row r="790" spans="1:32" ht="14">
      <c r="A790" s="2"/>
      <c r="B790" s="2"/>
      <c r="C790" s="2"/>
      <c r="D790" s="2"/>
      <c r="E790" s="2"/>
      <c r="F790" s="569"/>
      <c r="G790" s="2"/>
      <c r="H790" s="2"/>
      <c r="I790" s="2"/>
      <c r="J790" s="366"/>
      <c r="K790" s="2"/>
      <c r="L790" s="2"/>
      <c r="M790" s="2"/>
      <c r="N790" s="2"/>
      <c r="O790" s="23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</row>
    <row r="791" spans="1:32" ht="14">
      <c r="A791" s="2"/>
      <c r="B791" s="2"/>
      <c r="C791" s="2"/>
      <c r="D791" s="2"/>
      <c r="E791" s="2"/>
      <c r="F791" s="569"/>
      <c r="G791" s="2"/>
      <c r="H791" s="2"/>
      <c r="I791" s="2"/>
      <c r="J791" s="366"/>
      <c r="K791" s="2"/>
      <c r="L791" s="2"/>
      <c r="M791" s="2"/>
      <c r="N791" s="2"/>
      <c r="O791" s="23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</row>
    <row r="792" spans="1:32" ht="14">
      <c r="A792" s="2"/>
      <c r="B792" s="2"/>
      <c r="C792" s="2"/>
      <c r="D792" s="2"/>
      <c r="E792" s="2"/>
      <c r="F792" s="569"/>
      <c r="G792" s="2"/>
      <c r="H792" s="2"/>
      <c r="I792" s="2"/>
      <c r="J792" s="366"/>
      <c r="K792" s="2"/>
      <c r="L792" s="2"/>
      <c r="M792" s="2"/>
      <c r="N792" s="2"/>
      <c r="O792" s="23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</row>
    <row r="793" spans="1:32" ht="14">
      <c r="A793" s="2"/>
      <c r="B793" s="2"/>
      <c r="C793" s="2"/>
      <c r="D793" s="2"/>
      <c r="E793" s="2"/>
      <c r="F793" s="569"/>
      <c r="G793" s="2"/>
      <c r="H793" s="2"/>
      <c r="I793" s="2"/>
      <c r="J793" s="366"/>
      <c r="K793" s="2"/>
      <c r="L793" s="2"/>
      <c r="M793" s="2"/>
      <c r="N793" s="2"/>
      <c r="O793" s="23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</row>
    <row r="794" spans="1:32" ht="14">
      <c r="A794" s="2"/>
      <c r="B794" s="2"/>
      <c r="C794" s="2"/>
      <c r="D794" s="2"/>
      <c r="E794" s="2"/>
      <c r="F794" s="569"/>
      <c r="G794" s="2"/>
      <c r="H794" s="2"/>
      <c r="I794" s="2"/>
      <c r="J794" s="366"/>
      <c r="K794" s="2"/>
      <c r="L794" s="2"/>
      <c r="M794" s="2"/>
      <c r="N794" s="2"/>
      <c r="O794" s="23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</row>
    <row r="795" spans="1:32" ht="14">
      <c r="A795" s="2"/>
      <c r="B795" s="2"/>
      <c r="C795" s="2"/>
      <c r="D795" s="2"/>
      <c r="E795" s="2"/>
      <c r="F795" s="569"/>
      <c r="G795" s="2"/>
      <c r="H795" s="2"/>
      <c r="I795" s="2"/>
      <c r="J795" s="366"/>
      <c r="K795" s="2"/>
      <c r="L795" s="2"/>
      <c r="M795" s="2"/>
      <c r="N795" s="2"/>
      <c r="O795" s="23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</row>
    <row r="796" spans="1:32" ht="14">
      <c r="A796" s="2"/>
      <c r="B796" s="2"/>
      <c r="C796" s="2"/>
      <c r="D796" s="2"/>
      <c r="E796" s="2"/>
      <c r="F796" s="569"/>
      <c r="G796" s="2"/>
      <c r="H796" s="2"/>
      <c r="I796" s="2"/>
      <c r="J796" s="366"/>
      <c r="K796" s="2"/>
      <c r="L796" s="2"/>
      <c r="M796" s="2"/>
      <c r="N796" s="2"/>
      <c r="O796" s="23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</row>
    <row r="797" spans="1:32" ht="14">
      <c r="A797" s="2"/>
      <c r="B797" s="2"/>
      <c r="C797" s="2"/>
      <c r="D797" s="2"/>
      <c r="E797" s="2"/>
      <c r="F797" s="569"/>
      <c r="G797" s="2"/>
      <c r="H797" s="2"/>
      <c r="I797" s="2"/>
      <c r="J797" s="366"/>
      <c r="K797" s="2"/>
      <c r="L797" s="2"/>
      <c r="M797" s="2"/>
      <c r="N797" s="2"/>
      <c r="O797" s="23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</row>
    <row r="798" spans="1:32" ht="14">
      <c r="A798" s="2"/>
      <c r="B798" s="2"/>
      <c r="C798" s="2"/>
      <c r="D798" s="2"/>
      <c r="E798" s="2"/>
      <c r="F798" s="569"/>
      <c r="G798" s="2"/>
      <c r="H798" s="2"/>
      <c r="I798" s="2"/>
      <c r="J798" s="366"/>
      <c r="K798" s="2"/>
      <c r="L798" s="2"/>
      <c r="M798" s="2"/>
      <c r="N798" s="2"/>
      <c r="O798" s="23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</row>
    <row r="799" spans="1:32" ht="14">
      <c r="A799" s="2"/>
      <c r="B799" s="2"/>
      <c r="C799" s="2"/>
      <c r="D799" s="2"/>
      <c r="E799" s="2"/>
      <c r="F799" s="569"/>
      <c r="G799" s="2"/>
      <c r="H799" s="2"/>
      <c r="I799" s="2"/>
      <c r="J799" s="366"/>
      <c r="K799" s="2"/>
      <c r="L799" s="2"/>
      <c r="M799" s="2"/>
      <c r="N799" s="2"/>
      <c r="O799" s="23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</row>
    <row r="800" spans="1:32" ht="14">
      <c r="A800" s="2"/>
      <c r="B800" s="2"/>
      <c r="C800" s="2"/>
      <c r="D800" s="2"/>
      <c r="E800" s="2"/>
      <c r="F800" s="569"/>
      <c r="G800" s="2"/>
      <c r="H800" s="2"/>
      <c r="I800" s="2"/>
      <c r="J800" s="366"/>
      <c r="K800" s="2"/>
      <c r="L800" s="2"/>
      <c r="M800" s="2"/>
      <c r="N800" s="2"/>
      <c r="O800" s="23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</row>
    <row r="801" spans="1:32" ht="14">
      <c r="A801" s="2"/>
      <c r="B801" s="2"/>
      <c r="C801" s="2"/>
      <c r="D801" s="2"/>
      <c r="E801" s="2"/>
      <c r="F801" s="569"/>
      <c r="G801" s="2"/>
      <c r="H801" s="2"/>
      <c r="I801" s="2"/>
      <c r="J801" s="366"/>
      <c r="K801" s="2"/>
      <c r="L801" s="2"/>
      <c r="M801" s="2"/>
      <c r="N801" s="2"/>
      <c r="O801" s="23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</row>
    <row r="802" spans="1:32" ht="14">
      <c r="A802" s="2"/>
      <c r="B802" s="2"/>
      <c r="C802" s="2"/>
      <c r="D802" s="2"/>
      <c r="E802" s="2"/>
      <c r="F802" s="569"/>
      <c r="G802" s="2"/>
      <c r="H802" s="2"/>
      <c r="I802" s="2"/>
      <c r="J802" s="366"/>
      <c r="K802" s="2"/>
      <c r="L802" s="2"/>
      <c r="M802" s="2"/>
      <c r="N802" s="2"/>
      <c r="O802" s="23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</row>
    <row r="803" spans="1:32" ht="14">
      <c r="A803" s="2"/>
      <c r="B803" s="2"/>
      <c r="C803" s="2"/>
      <c r="D803" s="2"/>
      <c r="E803" s="2"/>
      <c r="F803" s="569"/>
      <c r="G803" s="2"/>
      <c r="H803" s="2"/>
      <c r="I803" s="2"/>
      <c r="J803" s="366"/>
      <c r="K803" s="2"/>
      <c r="L803" s="2"/>
      <c r="M803" s="2"/>
      <c r="N803" s="2"/>
      <c r="O803" s="23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</row>
    <row r="804" spans="1:32" ht="14">
      <c r="A804" s="2"/>
      <c r="B804" s="2"/>
      <c r="C804" s="2"/>
      <c r="D804" s="2"/>
      <c r="E804" s="2"/>
      <c r="F804" s="569"/>
      <c r="G804" s="2"/>
      <c r="H804" s="2"/>
      <c r="I804" s="2"/>
      <c r="J804" s="366"/>
      <c r="K804" s="2"/>
      <c r="L804" s="2"/>
      <c r="M804" s="2"/>
      <c r="N804" s="2"/>
      <c r="O804" s="23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</row>
    <row r="805" spans="1:32" ht="14">
      <c r="A805" s="2"/>
      <c r="B805" s="2"/>
      <c r="C805" s="2"/>
      <c r="D805" s="2"/>
      <c r="E805" s="2"/>
      <c r="F805" s="569"/>
      <c r="G805" s="2"/>
      <c r="H805" s="2"/>
      <c r="I805" s="2"/>
      <c r="J805" s="366"/>
      <c r="K805" s="2"/>
      <c r="L805" s="2"/>
      <c r="M805" s="2"/>
      <c r="N805" s="2"/>
      <c r="O805" s="23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</row>
    <row r="806" spans="1:32" ht="14">
      <c r="A806" s="2"/>
      <c r="B806" s="2"/>
      <c r="C806" s="2"/>
      <c r="D806" s="2"/>
      <c r="E806" s="2"/>
      <c r="F806" s="569"/>
      <c r="G806" s="2"/>
      <c r="H806" s="2"/>
      <c r="I806" s="2"/>
      <c r="J806" s="366"/>
      <c r="K806" s="2"/>
      <c r="L806" s="2"/>
      <c r="M806" s="2"/>
      <c r="N806" s="2"/>
      <c r="O806" s="23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</row>
    <row r="807" spans="1:32" ht="14">
      <c r="A807" s="2"/>
      <c r="B807" s="2"/>
      <c r="C807" s="2"/>
      <c r="D807" s="2"/>
      <c r="E807" s="2"/>
      <c r="F807" s="569"/>
      <c r="G807" s="2"/>
      <c r="H807" s="2"/>
      <c r="I807" s="2"/>
      <c r="J807" s="366"/>
      <c r="K807" s="2"/>
      <c r="L807" s="2"/>
      <c r="M807" s="2"/>
      <c r="N807" s="2"/>
      <c r="O807" s="23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</row>
    <row r="808" spans="1:32" ht="14">
      <c r="A808" s="2"/>
      <c r="B808" s="2"/>
      <c r="C808" s="2"/>
      <c r="D808" s="2"/>
      <c r="E808" s="2"/>
      <c r="F808" s="569"/>
      <c r="G808" s="2"/>
      <c r="H808" s="2"/>
      <c r="I808" s="2"/>
      <c r="J808" s="366"/>
      <c r="K808" s="2"/>
      <c r="L808" s="2"/>
      <c r="M808" s="2"/>
      <c r="N808" s="2"/>
      <c r="O808" s="23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</row>
    <row r="809" spans="1:32" ht="14">
      <c r="A809" s="2"/>
      <c r="B809" s="2"/>
      <c r="C809" s="2"/>
      <c r="D809" s="2"/>
      <c r="E809" s="2"/>
      <c r="F809" s="569"/>
      <c r="G809" s="2"/>
      <c r="H809" s="2"/>
      <c r="I809" s="2"/>
      <c r="J809" s="366"/>
      <c r="K809" s="2"/>
      <c r="L809" s="2"/>
      <c r="M809" s="2"/>
      <c r="N809" s="2"/>
      <c r="O809" s="23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</row>
    <row r="810" spans="1:32" ht="14">
      <c r="A810" s="2"/>
      <c r="B810" s="2"/>
      <c r="C810" s="2"/>
      <c r="D810" s="2"/>
      <c r="E810" s="2"/>
      <c r="F810" s="569"/>
      <c r="G810" s="2"/>
      <c r="H810" s="2"/>
      <c r="I810" s="2"/>
      <c r="J810" s="366"/>
      <c r="K810" s="2"/>
      <c r="L810" s="2"/>
      <c r="M810" s="2"/>
      <c r="N810" s="2"/>
      <c r="O810" s="23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</row>
    <row r="811" spans="1:32" ht="14">
      <c r="A811" s="2"/>
      <c r="B811" s="2"/>
      <c r="C811" s="2"/>
      <c r="D811" s="2"/>
      <c r="E811" s="2"/>
      <c r="F811" s="569"/>
      <c r="G811" s="2"/>
      <c r="H811" s="2"/>
      <c r="I811" s="2"/>
      <c r="J811" s="366"/>
      <c r="K811" s="2"/>
      <c r="L811" s="2"/>
      <c r="M811" s="2"/>
      <c r="N811" s="2"/>
      <c r="O811" s="23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</row>
    <row r="812" spans="1:32" ht="14">
      <c r="A812" s="2"/>
      <c r="B812" s="2"/>
      <c r="C812" s="2"/>
      <c r="D812" s="2"/>
      <c r="E812" s="2"/>
      <c r="F812" s="569"/>
      <c r="G812" s="2"/>
      <c r="H812" s="2"/>
      <c r="I812" s="2"/>
      <c r="J812" s="366"/>
      <c r="K812" s="2"/>
      <c r="L812" s="2"/>
      <c r="M812" s="2"/>
      <c r="N812" s="2"/>
      <c r="O812" s="23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</row>
    <row r="813" spans="1:32" ht="14">
      <c r="A813" s="2"/>
      <c r="B813" s="2"/>
      <c r="C813" s="2"/>
      <c r="D813" s="2"/>
      <c r="E813" s="2"/>
      <c r="F813" s="569"/>
      <c r="G813" s="2"/>
      <c r="H813" s="2"/>
      <c r="I813" s="2"/>
      <c r="J813" s="366"/>
      <c r="K813" s="2"/>
      <c r="L813" s="2"/>
      <c r="M813" s="2"/>
      <c r="N813" s="2"/>
      <c r="O813" s="23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</row>
    <row r="814" spans="1:32" ht="14">
      <c r="A814" s="2"/>
      <c r="B814" s="2"/>
      <c r="C814" s="2"/>
      <c r="D814" s="2"/>
      <c r="E814" s="2"/>
      <c r="F814" s="569"/>
      <c r="G814" s="2"/>
      <c r="H814" s="2"/>
      <c r="I814" s="2"/>
      <c r="J814" s="366"/>
      <c r="K814" s="2"/>
      <c r="L814" s="2"/>
      <c r="M814" s="2"/>
      <c r="N814" s="2"/>
      <c r="O814" s="23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</row>
    <row r="815" spans="1:32" ht="14">
      <c r="A815" s="2"/>
      <c r="B815" s="2"/>
      <c r="C815" s="2"/>
      <c r="D815" s="2"/>
      <c r="E815" s="2"/>
      <c r="F815" s="569"/>
      <c r="G815" s="2"/>
      <c r="H815" s="2"/>
      <c r="I815" s="2"/>
      <c r="J815" s="366"/>
      <c r="K815" s="2"/>
      <c r="L815" s="2"/>
      <c r="M815" s="2"/>
      <c r="N815" s="2"/>
      <c r="O815" s="23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</row>
    <row r="816" spans="1:32" ht="14">
      <c r="A816" s="2"/>
      <c r="B816" s="2"/>
      <c r="C816" s="2"/>
      <c r="D816" s="2"/>
      <c r="E816" s="2"/>
      <c r="F816" s="569"/>
      <c r="G816" s="2"/>
      <c r="H816" s="2"/>
      <c r="I816" s="2"/>
      <c r="J816" s="366"/>
      <c r="K816" s="2"/>
      <c r="L816" s="2"/>
      <c r="M816" s="2"/>
      <c r="N816" s="2"/>
      <c r="O816" s="23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</row>
    <row r="817" spans="1:32" ht="14">
      <c r="A817" s="2"/>
      <c r="B817" s="2"/>
      <c r="C817" s="2"/>
      <c r="D817" s="2"/>
      <c r="E817" s="2"/>
      <c r="F817" s="569"/>
      <c r="G817" s="2"/>
      <c r="H817" s="2"/>
      <c r="I817" s="2"/>
      <c r="J817" s="366"/>
      <c r="K817" s="2"/>
      <c r="L817" s="2"/>
      <c r="M817" s="2"/>
      <c r="N817" s="2"/>
      <c r="O817" s="23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</row>
    <row r="818" spans="1:32" ht="14">
      <c r="A818" s="2"/>
      <c r="B818" s="2"/>
      <c r="C818" s="2"/>
      <c r="D818" s="2"/>
      <c r="E818" s="2"/>
      <c r="F818" s="569"/>
      <c r="G818" s="2"/>
      <c r="H818" s="2"/>
      <c r="I818" s="2"/>
      <c r="J818" s="366"/>
      <c r="K818" s="2"/>
      <c r="L818" s="2"/>
      <c r="M818" s="2"/>
      <c r="N818" s="2"/>
      <c r="O818" s="23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</row>
    <row r="819" spans="1:32" ht="14">
      <c r="A819" s="2"/>
      <c r="B819" s="2"/>
      <c r="C819" s="2"/>
      <c r="D819" s="2"/>
      <c r="E819" s="2"/>
      <c r="F819" s="569"/>
      <c r="G819" s="2"/>
      <c r="H819" s="2"/>
      <c r="I819" s="2"/>
      <c r="J819" s="366"/>
      <c r="K819" s="2"/>
      <c r="L819" s="2"/>
      <c r="M819" s="2"/>
      <c r="N819" s="2"/>
      <c r="O819" s="23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</row>
    <row r="820" spans="1:32" ht="14">
      <c r="A820" s="2"/>
      <c r="B820" s="2"/>
      <c r="C820" s="2"/>
      <c r="D820" s="2"/>
      <c r="E820" s="2"/>
      <c r="F820" s="569"/>
      <c r="G820" s="2"/>
      <c r="H820" s="2"/>
      <c r="I820" s="2"/>
      <c r="J820" s="366"/>
      <c r="K820" s="2"/>
      <c r="L820" s="2"/>
      <c r="M820" s="2"/>
      <c r="N820" s="2"/>
      <c r="O820" s="23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</row>
    <row r="821" spans="1:32" ht="14">
      <c r="A821" s="2"/>
      <c r="B821" s="2"/>
      <c r="C821" s="2"/>
      <c r="D821" s="2"/>
      <c r="E821" s="2"/>
      <c r="F821" s="569"/>
      <c r="G821" s="2"/>
      <c r="H821" s="2"/>
      <c r="I821" s="2"/>
      <c r="J821" s="366"/>
      <c r="K821" s="2"/>
      <c r="L821" s="2"/>
      <c r="M821" s="2"/>
      <c r="N821" s="2"/>
      <c r="O821" s="23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</row>
    <row r="822" spans="1:32" ht="14">
      <c r="A822" s="2"/>
      <c r="B822" s="2"/>
      <c r="C822" s="2"/>
      <c r="D822" s="2"/>
      <c r="E822" s="2"/>
      <c r="F822" s="569"/>
      <c r="G822" s="2"/>
      <c r="H822" s="2"/>
      <c r="I822" s="2"/>
      <c r="J822" s="366"/>
      <c r="K822" s="2"/>
      <c r="L822" s="2"/>
      <c r="M822" s="2"/>
      <c r="N822" s="2"/>
      <c r="O822" s="23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</row>
    <row r="823" spans="1:32" ht="14">
      <c r="A823" s="2"/>
      <c r="B823" s="2"/>
      <c r="C823" s="2"/>
      <c r="D823" s="2"/>
      <c r="E823" s="2"/>
      <c r="F823" s="569"/>
      <c r="G823" s="2"/>
      <c r="H823" s="2"/>
      <c r="I823" s="2"/>
      <c r="J823" s="366"/>
      <c r="K823" s="2"/>
      <c r="L823" s="2"/>
      <c r="M823" s="2"/>
      <c r="N823" s="2"/>
      <c r="O823" s="23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</row>
    <row r="824" spans="1:32" ht="14">
      <c r="A824" s="2"/>
      <c r="B824" s="2"/>
      <c r="C824" s="2"/>
      <c r="D824" s="2"/>
      <c r="E824" s="2"/>
      <c r="F824" s="569"/>
      <c r="G824" s="2"/>
      <c r="H824" s="2"/>
      <c r="I824" s="2"/>
      <c r="J824" s="366"/>
      <c r="K824" s="2"/>
      <c r="L824" s="2"/>
      <c r="M824" s="2"/>
      <c r="N824" s="2"/>
      <c r="O824" s="23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</row>
    <row r="825" spans="1:32" ht="14">
      <c r="A825" s="2"/>
      <c r="B825" s="2"/>
      <c r="C825" s="2"/>
      <c r="D825" s="2"/>
      <c r="E825" s="2"/>
      <c r="F825" s="569"/>
      <c r="G825" s="2"/>
      <c r="H825" s="2"/>
      <c r="I825" s="2"/>
      <c r="J825" s="366"/>
      <c r="K825" s="2"/>
      <c r="L825" s="2"/>
      <c r="M825" s="2"/>
      <c r="N825" s="2"/>
      <c r="O825" s="23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</row>
    <row r="826" spans="1:32" ht="14">
      <c r="A826" s="2"/>
      <c r="B826" s="2"/>
      <c r="C826" s="2"/>
      <c r="D826" s="2"/>
      <c r="E826" s="2"/>
      <c r="F826" s="569"/>
      <c r="G826" s="2"/>
      <c r="H826" s="2"/>
      <c r="I826" s="2"/>
      <c r="J826" s="366"/>
      <c r="K826" s="2"/>
      <c r="L826" s="2"/>
      <c r="M826" s="2"/>
      <c r="N826" s="2"/>
      <c r="O826" s="23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</row>
    <row r="827" spans="1:32" ht="14">
      <c r="A827" s="2"/>
      <c r="B827" s="2"/>
      <c r="C827" s="2"/>
      <c r="D827" s="2"/>
      <c r="E827" s="2"/>
      <c r="F827" s="569"/>
      <c r="G827" s="2"/>
      <c r="H827" s="2"/>
      <c r="I827" s="2"/>
      <c r="J827" s="366"/>
      <c r="K827" s="2"/>
      <c r="L827" s="2"/>
      <c r="M827" s="2"/>
      <c r="N827" s="2"/>
      <c r="O827" s="23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</row>
    <row r="828" spans="1:32" ht="14">
      <c r="A828" s="2"/>
      <c r="B828" s="2"/>
      <c r="C828" s="2"/>
      <c r="D828" s="2"/>
      <c r="E828" s="2"/>
      <c r="F828" s="569"/>
      <c r="G828" s="2"/>
      <c r="H828" s="2"/>
      <c r="I828" s="2"/>
      <c r="J828" s="366"/>
      <c r="K828" s="2"/>
      <c r="L828" s="2"/>
      <c r="M828" s="2"/>
      <c r="N828" s="2"/>
      <c r="O828" s="23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</row>
    <row r="829" spans="1:32" ht="14">
      <c r="A829" s="2"/>
      <c r="B829" s="2"/>
      <c r="C829" s="2"/>
      <c r="D829" s="2"/>
      <c r="E829" s="2"/>
      <c r="F829" s="569"/>
      <c r="G829" s="2"/>
      <c r="H829" s="2"/>
      <c r="I829" s="2"/>
      <c r="J829" s="366"/>
      <c r="K829" s="2"/>
      <c r="L829" s="2"/>
      <c r="M829" s="2"/>
      <c r="N829" s="2"/>
      <c r="O829" s="23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</row>
    <row r="830" spans="1:32" ht="14">
      <c r="A830" s="2"/>
      <c r="B830" s="2"/>
      <c r="C830" s="2"/>
      <c r="D830" s="2"/>
      <c r="E830" s="2"/>
      <c r="F830" s="569"/>
      <c r="G830" s="2"/>
      <c r="H830" s="2"/>
      <c r="I830" s="2"/>
      <c r="J830" s="366"/>
      <c r="K830" s="2"/>
      <c r="L830" s="2"/>
      <c r="M830" s="2"/>
      <c r="N830" s="2"/>
      <c r="O830" s="23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</row>
    <row r="831" spans="1:32" ht="14">
      <c r="A831" s="2"/>
      <c r="B831" s="2"/>
      <c r="C831" s="2"/>
      <c r="D831" s="2"/>
      <c r="E831" s="2"/>
      <c r="F831" s="569"/>
      <c r="G831" s="2"/>
      <c r="H831" s="2"/>
      <c r="I831" s="2"/>
      <c r="J831" s="366"/>
      <c r="K831" s="2"/>
      <c r="L831" s="2"/>
      <c r="M831" s="2"/>
      <c r="N831" s="2"/>
      <c r="O831" s="23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</row>
    <row r="832" spans="1:32" ht="14">
      <c r="A832" s="2"/>
      <c r="B832" s="2"/>
      <c r="C832" s="2"/>
      <c r="D832" s="2"/>
      <c r="E832" s="2"/>
      <c r="F832" s="569"/>
      <c r="G832" s="2"/>
      <c r="H832" s="2"/>
      <c r="I832" s="2"/>
      <c r="J832" s="366"/>
      <c r="K832" s="2"/>
      <c r="L832" s="2"/>
      <c r="M832" s="2"/>
      <c r="N832" s="2"/>
      <c r="O832" s="23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</row>
    <row r="833" spans="1:32" ht="14">
      <c r="A833" s="2"/>
      <c r="B833" s="2"/>
      <c r="C833" s="2"/>
      <c r="D833" s="2"/>
      <c r="E833" s="2"/>
      <c r="F833" s="569"/>
      <c r="G833" s="2"/>
      <c r="H833" s="2"/>
      <c r="I833" s="2"/>
      <c r="J833" s="366"/>
      <c r="K833" s="2"/>
      <c r="L833" s="2"/>
      <c r="M833" s="2"/>
      <c r="N833" s="2"/>
      <c r="O833" s="23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</row>
    <row r="834" spans="1:32" ht="14">
      <c r="A834" s="2"/>
      <c r="B834" s="2"/>
      <c r="C834" s="2"/>
      <c r="D834" s="2"/>
      <c r="E834" s="2"/>
      <c r="F834" s="569"/>
      <c r="G834" s="2"/>
      <c r="H834" s="2"/>
      <c r="I834" s="2"/>
      <c r="J834" s="366"/>
      <c r="K834" s="2"/>
      <c r="L834" s="2"/>
      <c r="M834" s="2"/>
      <c r="N834" s="2"/>
      <c r="O834" s="23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</row>
    <row r="835" spans="1:32" ht="14">
      <c r="A835" s="2"/>
      <c r="B835" s="2"/>
      <c r="C835" s="2"/>
      <c r="D835" s="2"/>
      <c r="E835" s="2"/>
      <c r="F835" s="569"/>
      <c r="G835" s="2"/>
      <c r="H835" s="2"/>
      <c r="I835" s="2"/>
      <c r="J835" s="366"/>
      <c r="K835" s="2"/>
      <c r="L835" s="2"/>
      <c r="M835" s="2"/>
      <c r="N835" s="2"/>
      <c r="O835" s="23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</row>
    <row r="836" spans="1:32" ht="14">
      <c r="A836" s="2"/>
      <c r="B836" s="2"/>
      <c r="C836" s="2"/>
      <c r="D836" s="2"/>
      <c r="E836" s="2"/>
      <c r="F836" s="569"/>
      <c r="G836" s="2"/>
      <c r="H836" s="2"/>
      <c r="I836" s="2"/>
      <c r="J836" s="366"/>
      <c r="K836" s="2"/>
      <c r="L836" s="2"/>
      <c r="M836" s="2"/>
      <c r="N836" s="2"/>
      <c r="O836" s="23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</row>
    <row r="837" spans="1:32" ht="14">
      <c r="A837" s="2"/>
      <c r="B837" s="2"/>
      <c r="C837" s="2"/>
      <c r="D837" s="2"/>
      <c r="E837" s="2"/>
      <c r="F837" s="569"/>
      <c r="G837" s="2"/>
      <c r="H837" s="2"/>
      <c r="I837" s="2"/>
      <c r="J837" s="366"/>
      <c r="K837" s="2"/>
      <c r="L837" s="2"/>
      <c r="M837" s="2"/>
      <c r="N837" s="2"/>
      <c r="O837" s="23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</row>
    <row r="838" spans="1:32" ht="14">
      <c r="A838" s="2"/>
      <c r="B838" s="2"/>
      <c r="C838" s="2"/>
      <c r="D838" s="2"/>
      <c r="E838" s="2"/>
      <c r="F838" s="569"/>
      <c r="G838" s="2"/>
      <c r="H838" s="2"/>
      <c r="I838" s="2"/>
      <c r="J838" s="366"/>
      <c r="K838" s="2"/>
      <c r="L838" s="2"/>
      <c r="M838" s="2"/>
      <c r="N838" s="2"/>
      <c r="O838" s="23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</row>
    <row r="839" spans="1:32" ht="14">
      <c r="A839" s="2"/>
      <c r="B839" s="2"/>
      <c r="C839" s="2"/>
      <c r="D839" s="2"/>
      <c r="E839" s="2"/>
      <c r="F839" s="569"/>
      <c r="G839" s="2"/>
      <c r="H839" s="2"/>
      <c r="I839" s="2"/>
      <c r="J839" s="366"/>
      <c r="K839" s="2"/>
      <c r="L839" s="2"/>
      <c r="M839" s="2"/>
      <c r="N839" s="2"/>
      <c r="O839" s="23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</row>
    <row r="840" spans="1:32" ht="14">
      <c r="A840" s="2"/>
      <c r="B840" s="2"/>
      <c r="C840" s="2"/>
      <c r="D840" s="2"/>
      <c r="E840" s="2"/>
      <c r="F840" s="569"/>
      <c r="G840" s="2"/>
      <c r="H840" s="2"/>
      <c r="I840" s="2"/>
      <c r="J840" s="366"/>
      <c r="K840" s="2"/>
      <c r="L840" s="2"/>
      <c r="M840" s="2"/>
      <c r="N840" s="2"/>
      <c r="O840" s="23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</row>
    <row r="841" spans="1:32" ht="14">
      <c r="A841" s="2"/>
      <c r="B841" s="2"/>
      <c r="C841" s="2"/>
      <c r="D841" s="2"/>
      <c r="E841" s="2"/>
      <c r="F841" s="569"/>
      <c r="G841" s="2"/>
      <c r="H841" s="2"/>
      <c r="I841" s="2"/>
      <c r="J841" s="366"/>
      <c r="K841" s="2"/>
      <c r="L841" s="2"/>
      <c r="M841" s="2"/>
      <c r="N841" s="2"/>
      <c r="O841" s="23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</row>
    <row r="842" spans="1:32" ht="14">
      <c r="A842" s="2"/>
      <c r="B842" s="2"/>
      <c r="C842" s="2"/>
      <c r="D842" s="2"/>
      <c r="E842" s="2"/>
      <c r="F842" s="569"/>
      <c r="G842" s="2"/>
      <c r="H842" s="2"/>
      <c r="I842" s="2"/>
      <c r="J842" s="366"/>
      <c r="K842" s="2"/>
      <c r="L842" s="2"/>
      <c r="M842" s="2"/>
      <c r="N842" s="2"/>
      <c r="O842" s="23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</row>
    <row r="843" spans="1:32" ht="14">
      <c r="A843" s="2"/>
      <c r="B843" s="2"/>
      <c r="C843" s="2"/>
      <c r="D843" s="2"/>
      <c r="E843" s="2"/>
      <c r="F843" s="569"/>
      <c r="G843" s="2"/>
      <c r="H843" s="2"/>
      <c r="I843" s="2"/>
      <c r="J843" s="366"/>
      <c r="K843" s="2"/>
      <c r="L843" s="2"/>
      <c r="M843" s="2"/>
      <c r="N843" s="2"/>
      <c r="O843" s="23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</row>
    <row r="844" spans="1:32" ht="14">
      <c r="A844" s="2"/>
      <c r="B844" s="2"/>
      <c r="C844" s="2"/>
      <c r="D844" s="2"/>
      <c r="E844" s="2"/>
      <c r="F844" s="569"/>
      <c r="G844" s="2"/>
      <c r="H844" s="2"/>
      <c r="I844" s="2"/>
      <c r="J844" s="366"/>
      <c r="K844" s="2"/>
      <c r="L844" s="2"/>
      <c r="M844" s="2"/>
      <c r="N844" s="2"/>
      <c r="O844" s="23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</row>
    <row r="845" spans="1:32" ht="14">
      <c r="A845" s="2"/>
      <c r="B845" s="2"/>
      <c r="C845" s="2"/>
      <c r="D845" s="2"/>
      <c r="E845" s="2"/>
      <c r="F845" s="569"/>
      <c r="G845" s="2"/>
      <c r="H845" s="2"/>
      <c r="I845" s="2"/>
      <c r="J845" s="366"/>
      <c r="K845" s="2"/>
      <c r="L845" s="2"/>
      <c r="M845" s="2"/>
      <c r="N845" s="2"/>
      <c r="O845" s="23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</row>
    <row r="846" spans="1:32" ht="14">
      <c r="A846" s="2"/>
      <c r="B846" s="2"/>
      <c r="C846" s="2"/>
      <c r="D846" s="2"/>
      <c r="E846" s="2"/>
      <c r="F846" s="569"/>
      <c r="G846" s="2"/>
      <c r="H846" s="2"/>
      <c r="I846" s="2"/>
      <c r="J846" s="366"/>
      <c r="K846" s="2"/>
      <c r="L846" s="2"/>
      <c r="M846" s="2"/>
      <c r="N846" s="2"/>
      <c r="O846" s="23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</row>
    <row r="847" spans="1:32" ht="14">
      <c r="A847" s="2"/>
      <c r="B847" s="2"/>
      <c r="C847" s="2"/>
      <c r="D847" s="2"/>
      <c r="E847" s="2"/>
      <c r="F847" s="569"/>
      <c r="G847" s="2"/>
      <c r="H847" s="2"/>
      <c r="I847" s="2"/>
      <c r="J847" s="366"/>
      <c r="K847" s="2"/>
      <c r="L847" s="2"/>
      <c r="M847" s="2"/>
      <c r="N847" s="2"/>
      <c r="O847" s="23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</row>
    <row r="848" spans="1:32" ht="14">
      <c r="A848" s="2"/>
      <c r="B848" s="2"/>
      <c r="C848" s="2"/>
      <c r="D848" s="2"/>
      <c r="E848" s="2"/>
      <c r="F848" s="569"/>
      <c r="G848" s="2"/>
      <c r="H848" s="2"/>
      <c r="I848" s="2"/>
      <c r="J848" s="366"/>
      <c r="K848" s="2"/>
      <c r="L848" s="2"/>
      <c r="M848" s="2"/>
      <c r="N848" s="2"/>
      <c r="O848" s="23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</row>
    <row r="849" spans="1:32" ht="14">
      <c r="A849" s="2"/>
      <c r="B849" s="2"/>
      <c r="C849" s="2"/>
      <c r="D849" s="2"/>
      <c r="E849" s="2"/>
      <c r="F849" s="569"/>
      <c r="G849" s="2"/>
      <c r="H849" s="2"/>
      <c r="I849" s="2"/>
      <c r="J849" s="366"/>
      <c r="K849" s="2"/>
      <c r="L849" s="2"/>
      <c r="M849" s="2"/>
      <c r="N849" s="2"/>
      <c r="O849" s="23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</row>
    <row r="850" spans="1:32" ht="14">
      <c r="A850" s="2"/>
      <c r="B850" s="2"/>
      <c r="C850" s="2"/>
      <c r="D850" s="2"/>
      <c r="E850" s="2"/>
      <c r="F850" s="569"/>
      <c r="G850" s="2"/>
      <c r="H850" s="2"/>
      <c r="I850" s="2"/>
      <c r="J850" s="366"/>
      <c r="K850" s="2"/>
      <c r="L850" s="2"/>
      <c r="M850" s="2"/>
      <c r="N850" s="2"/>
      <c r="O850" s="23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</row>
    <row r="851" spans="1:32" ht="14">
      <c r="A851" s="2"/>
      <c r="B851" s="2"/>
      <c r="C851" s="2"/>
      <c r="D851" s="2"/>
      <c r="E851" s="2"/>
      <c r="F851" s="569"/>
      <c r="G851" s="2"/>
      <c r="H851" s="2"/>
      <c r="I851" s="2"/>
      <c r="J851" s="366"/>
      <c r="K851" s="2"/>
      <c r="L851" s="2"/>
      <c r="M851" s="2"/>
      <c r="N851" s="2"/>
      <c r="O851" s="23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</row>
    <row r="852" spans="1:32" ht="14">
      <c r="A852" s="2"/>
      <c r="B852" s="2"/>
      <c r="C852" s="2"/>
      <c r="D852" s="2"/>
      <c r="E852" s="2"/>
      <c r="F852" s="569"/>
      <c r="G852" s="2"/>
      <c r="H852" s="2"/>
      <c r="I852" s="2"/>
      <c r="J852" s="366"/>
      <c r="K852" s="2"/>
      <c r="L852" s="2"/>
      <c r="M852" s="2"/>
      <c r="N852" s="2"/>
      <c r="O852" s="23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</row>
    <row r="853" spans="1:32" ht="14">
      <c r="A853" s="2"/>
      <c r="B853" s="2"/>
      <c r="C853" s="2"/>
      <c r="D853" s="2"/>
      <c r="E853" s="2"/>
      <c r="F853" s="569"/>
      <c r="G853" s="2"/>
      <c r="H853" s="2"/>
      <c r="I853" s="2"/>
      <c r="J853" s="366"/>
      <c r="K853" s="2"/>
      <c r="L853" s="2"/>
      <c r="M853" s="2"/>
      <c r="N853" s="2"/>
      <c r="O853" s="23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</row>
    <row r="854" spans="1:32" ht="14">
      <c r="A854" s="2"/>
      <c r="B854" s="2"/>
      <c r="C854" s="2"/>
      <c r="D854" s="2"/>
      <c r="E854" s="2"/>
      <c r="F854" s="569"/>
      <c r="G854" s="2"/>
      <c r="H854" s="2"/>
      <c r="I854" s="2"/>
      <c r="J854" s="366"/>
      <c r="K854" s="2"/>
      <c r="L854" s="2"/>
      <c r="M854" s="2"/>
      <c r="N854" s="2"/>
      <c r="O854" s="23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</row>
    <row r="855" spans="1:32" ht="14">
      <c r="A855" s="2"/>
      <c r="B855" s="2"/>
      <c r="C855" s="2"/>
      <c r="D855" s="2"/>
      <c r="E855" s="2"/>
      <c r="F855" s="569"/>
      <c r="G855" s="2"/>
      <c r="H855" s="2"/>
      <c r="I855" s="2"/>
      <c r="J855" s="366"/>
      <c r="K855" s="2"/>
      <c r="L855" s="2"/>
      <c r="M855" s="2"/>
      <c r="N855" s="2"/>
      <c r="O855" s="23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</row>
    <row r="856" spans="1:32" ht="14">
      <c r="A856" s="2"/>
      <c r="B856" s="2"/>
      <c r="C856" s="2"/>
      <c r="D856" s="2"/>
      <c r="E856" s="2"/>
      <c r="F856" s="569"/>
      <c r="G856" s="2"/>
      <c r="H856" s="2"/>
      <c r="I856" s="2"/>
      <c r="J856" s="366"/>
      <c r="K856" s="2"/>
      <c r="L856" s="2"/>
      <c r="M856" s="2"/>
      <c r="N856" s="2"/>
      <c r="O856" s="23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</row>
    <row r="857" spans="1:32" ht="14">
      <c r="A857" s="2"/>
      <c r="B857" s="2"/>
      <c r="C857" s="2"/>
      <c r="D857" s="2"/>
      <c r="E857" s="2"/>
      <c r="F857" s="569"/>
      <c r="G857" s="2"/>
      <c r="H857" s="2"/>
      <c r="I857" s="2"/>
      <c r="J857" s="366"/>
      <c r="K857" s="2"/>
      <c r="L857" s="2"/>
      <c r="M857" s="2"/>
      <c r="N857" s="2"/>
      <c r="O857" s="23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</row>
    <row r="858" spans="1:32" ht="14">
      <c r="A858" s="2"/>
      <c r="B858" s="2"/>
      <c r="C858" s="2"/>
      <c r="D858" s="2"/>
      <c r="E858" s="2"/>
      <c r="F858" s="569"/>
      <c r="G858" s="2"/>
      <c r="H858" s="2"/>
      <c r="I858" s="2"/>
      <c r="J858" s="366"/>
      <c r="K858" s="2"/>
      <c r="L858" s="2"/>
      <c r="M858" s="2"/>
      <c r="N858" s="2"/>
      <c r="O858" s="23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</row>
    <row r="859" spans="1:32" ht="14">
      <c r="A859" s="2"/>
      <c r="B859" s="2"/>
      <c r="C859" s="2"/>
      <c r="D859" s="2"/>
      <c r="E859" s="2"/>
      <c r="F859" s="569"/>
      <c r="G859" s="2"/>
      <c r="H859" s="2"/>
      <c r="I859" s="2"/>
      <c r="J859" s="366"/>
      <c r="K859" s="2"/>
      <c r="L859" s="2"/>
      <c r="M859" s="2"/>
      <c r="N859" s="2"/>
      <c r="O859" s="23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</row>
    <row r="860" spans="1:32" ht="14">
      <c r="A860" s="2"/>
      <c r="B860" s="2"/>
      <c r="C860" s="2"/>
      <c r="D860" s="2"/>
      <c r="E860" s="2"/>
      <c r="F860" s="569"/>
      <c r="G860" s="2"/>
      <c r="H860" s="2"/>
      <c r="I860" s="2"/>
      <c r="J860" s="366"/>
      <c r="K860" s="2"/>
      <c r="L860" s="2"/>
      <c r="M860" s="2"/>
      <c r="N860" s="2"/>
      <c r="O860" s="23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</row>
    <row r="861" spans="1:32" ht="14">
      <c r="A861" s="2"/>
      <c r="B861" s="2"/>
      <c r="C861" s="2"/>
      <c r="D861" s="2"/>
      <c r="E861" s="2"/>
      <c r="F861" s="569"/>
      <c r="G861" s="2"/>
      <c r="H861" s="2"/>
      <c r="I861" s="2"/>
      <c r="J861" s="366"/>
      <c r="K861" s="2"/>
      <c r="L861" s="2"/>
      <c r="M861" s="2"/>
      <c r="N861" s="2"/>
      <c r="O861" s="23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</row>
    <row r="862" spans="1:32" ht="14">
      <c r="A862" s="2"/>
      <c r="B862" s="2"/>
      <c r="C862" s="2"/>
      <c r="D862" s="2"/>
      <c r="E862" s="2"/>
      <c r="F862" s="569"/>
      <c r="G862" s="2"/>
      <c r="H862" s="2"/>
      <c r="I862" s="2"/>
      <c r="J862" s="366"/>
      <c r="K862" s="2"/>
      <c r="L862" s="2"/>
      <c r="M862" s="2"/>
      <c r="N862" s="2"/>
      <c r="O862" s="23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</row>
    <row r="863" spans="1:32" ht="14">
      <c r="A863" s="2"/>
      <c r="B863" s="2"/>
      <c r="C863" s="2"/>
      <c r="D863" s="2"/>
      <c r="E863" s="2"/>
      <c r="F863" s="569"/>
      <c r="G863" s="2"/>
      <c r="H863" s="2"/>
      <c r="I863" s="2"/>
      <c r="J863" s="366"/>
      <c r="K863" s="2"/>
      <c r="L863" s="2"/>
      <c r="M863" s="2"/>
      <c r="N863" s="2"/>
      <c r="O863" s="23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</row>
    <row r="864" spans="1:32" ht="14">
      <c r="A864" s="2"/>
      <c r="B864" s="2"/>
      <c r="C864" s="2"/>
      <c r="D864" s="2"/>
      <c r="E864" s="2"/>
      <c r="F864" s="569"/>
      <c r="G864" s="2"/>
      <c r="H864" s="2"/>
      <c r="I864" s="2"/>
      <c r="J864" s="366"/>
      <c r="K864" s="2"/>
      <c r="L864" s="2"/>
      <c r="M864" s="2"/>
      <c r="N864" s="2"/>
      <c r="O864" s="23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</row>
    <row r="865" spans="1:32" ht="14">
      <c r="A865" s="2"/>
      <c r="B865" s="2"/>
      <c r="C865" s="2"/>
      <c r="D865" s="2"/>
      <c r="E865" s="2"/>
      <c r="F865" s="569"/>
      <c r="G865" s="2"/>
      <c r="H865" s="2"/>
      <c r="I865" s="2"/>
      <c r="J865" s="366"/>
      <c r="K865" s="2"/>
      <c r="L865" s="2"/>
      <c r="M865" s="2"/>
      <c r="N865" s="2"/>
      <c r="O865" s="23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</row>
    <row r="866" spans="1:32" ht="14">
      <c r="A866" s="2"/>
      <c r="B866" s="2"/>
      <c r="C866" s="2"/>
      <c r="D866" s="2"/>
      <c r="E866" s="2"/>
      <c r="F866" s="569"/>
      <c r="G866" s="2"/>
      <c r="H866" s="2"/>
      <c r="I866" s="2"/>
      <c r="J866" s="366"/>
      <c r="K866" s="2"/>
      <c r="L866" s="2"/>
      <c r="M866" s="2"/>
      <c r="N866" s="2"/>
      <c r="O866" s="23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</row>
    <row r="867" spans="1:32" ht="14">
      <c r="A867" s="2"/>
      <c r="B867" s="2"/>
      <c r="C867" s="2"/>
      <c r="D867" s="2"/>
      <c r="E867" s="2"/>
      <c r="F867" s="569"/>
      <c r="G867" s="2"/>
      <c r="H867" s="2"/>
      <c r="I867" s="2"/>
      <c r="J867" s="366"/>
      <c r="K867" s="2"/>
      <c r="L867" s="2"/>
      <c r="M867" s="2"/>
      <c r="N867" s="2"/>
      <c r="O867" s="23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</row>
    <row r="868" spans="1:32" ht="14">
      <c r="A868" s="2"/>
      <c r="B868" s="2"/>
      <c r="C868" s="2"/>
      <c r="D868" s="2"/>
      <c r="E868" s="2"/>
      <c r="F868" s="569"/>
      <c r="G868" s="2"/>
      <c r="H868" s="2"/>
      <c r="I868" s="2"/>
      <c r="J868" s="366"/>
      <c r="K868" s="2"/>
      <c r="L868" s="2"/>
      <c r="M868" s="2"/>
      <c r="N868" s="2"/>
      <c r="O868" s="23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</row>
    <row r="869" spans="1:32" ht="14">
      <c r="A869" s="2"/>
      <c r="B869" s="2"/>
      <c r="C869" s="2"/>
      <c r="D869" s="2"/>
      <c r="E869" s="2"/>
      <c r="F869" s="569"/>
      <c r="G869" s="2"/>
      <c r="H869" s="2"/>
      <c r="I869" s="2"/>
      <c r="J869" s="366"/>
      <c r="K869" s="2"/>
      <c r="L869" s="2"/>
      <c r="M869" s="2"/>
      <c r="N869" s="2"/>
      <c r="O869" s="23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</row>
    <row r="870" spans="1:32" ht="14">
      <c r="A870" s="2"/>
      <c r="B870" s="2"/>
      <c r="C870" s="2"/>
      <c r="D870" s="2"/>
      <c r="E870" s="2"/>
      <c r="F870" s="569"/>
      <c r="G870" s="2"/>
      <c r="H870" s="2"/>
      <c r="I870" s="2"/>
      <c r="J870" s="366"/>
      <c r="K870" s="2"/>
      <c r="L870" s="2"/>
      <c r="M870" s="2"/>
      <c r="N870" s="2"/>
      <c r="O870" s="23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</row>
    <row r="871" spans="1:32" ht="14">
      <c r="A871" s="2"/>
      <c r="B871" s="2"/>
      <c r="C871" s="2"/>
      <c r="D871" s="2"/>
      <c r="E871" s="2"/>
      <c r="F871" s="569"/>
      <c r="G871" s="2"/>
      <c r="H871" s="2"/>
      <c r="I871" s="2"/>
      <c r="J871" s="366"/>
      <c r="K871" s="2"/>
      <c r="L871" s="2"/>
      <c r="M871" s="2"/>
      <c r="N871" s="2"/>
      <c r="O871" s="23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</row>
    <row r="872" spans="1:32" ht="14">
      <c r="A872" s="2"/>
      <c r="B872" s="2"/>
      <c r="C872" s="2"/>
      <c r="D872" s="2"/>
      <c r="E872" s="2"/>
      <c r="F872" s="569"/>
      <c r="G872" s="2"/>
      <c r="H872" s="2"/>
      <c r="I872" s="2"/>
      <c r="J872" s="366"/>
      <c r="K872" s="2"/>
      <c r="L872" s="2"/>
      <c r="M872" s="2"/>
      <c r="N872" s="2"/>
      <c r="O872" s="23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</row>
    <row r="873" spans="1:32" ht="14">
      <c r="A873" s="2"/>
      <c r="B873" s="2"/>
      <c r="C873" s="2"/>
      <c r="D873" s="2"/>
      <c r="E873" s="2"/>
      <c r="F873" s="569"/>
      <c r="G873" s="2"/>
      <c r="H873" s="2"/>
      <c r="I873" s="2"/>
      <c r="J873" s="366"/>
      <c r="K873" s="2"/>
      <c r="L873" s="2"/>
      <c r="M873" s="2"/>
      <c r="N873" s="2"/>
      <c r="O873" s="23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</row>
    <row r="874" spans="1:32" ht="14">
      <c r="A874" s="2"/>
      <c r="B874" s="2"/>
      <c r="C874" s="2"/>
      <c r="D874" s="2"/>
      <c r="E874" s="2"/>
      <c r="F874" s="569"/>
      <c r="G874" s="2"/>
      <c r="H874" s="2"/>
      <c r="I874" s="2"/>
      <c r="J874" s="366"/>
      <c r="K874" s="2"/>
      <c r="L874" s="2"/>
      <c r="M874" s="2"/>
      <c r="N874" s="2"/>
      <c r="O874" s="23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</row>
    <row r="875" spans="1:32" ht="14">
      <c r="A875" s="2"/>
      <c r="B875" s="2"/>
      <c r="C875" s="2"/>
      <c r="D875" s="2"/>
      <c r="E875" s="2"/>
      <c r="F875" s="569"/>
      <c r="G875" s="2"/>
      <c r="H875" s="2"/>
      <c r="I875" s="2"/>
      <c r="J875" s="366"/>
      <c r="K875" s="2"/>
      <c r="L875" s="2"/>
      <c r="M875" s="2"/>
      <c r="N875" s="2"/>
      <c r="O875" s="23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</row>
    <row r="876" spans="1:32" ht="14">
      <c r="A876" s="2"/>
      <c r="B876" s="2"/>
      <c r="C876" s="2"/>
      <c r="D876" s="2"/>
      <c r="E876" s="2"/>
      <c r="F876" s="569"/>
      <c r="G876" s="2"/>
      <c r="H876" s="2"/>
      <c r="I876" s="2"/>
      <c r="J876" s="366"/>
      <c r="K876" s="2"/>
      <c r="L876" s="2"/>
      <c r="M876" s="2"/>
      <c r="N876" s="2"/>
      <c r="O876" s="23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</row>
    <row r="877" spans="1:32" ht="14">
      <c r="A877" s="2"/>
      <c r="B877" s="2"/>
      <c r="C877" s="2"/>
      <c r="D877" s="2"/>
      <c r="E877" s="2"/>
      <c r="F877" s="569"/>
      <c r="G877" s="2"/>
      <c r="H877" s="2"/>
      <c r="I877" s="2"/>
      <c r="J877" s="366"/>
      <c r="K877" s="2"/>
      <c r="L877" s="2"/>
      <c r="M877" s="2"/>
      <c r="N877" s="2"/>
      <c r="O877" s="23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</row>
    <row r="878" spans="1:32" ht="14">
      <c r="A878" s="2"/>
      <c r="B878" s="2"/>
      <c r="C878" s="2"/>
      <c r="D878" s="2"/>
      <c r="E878" s="2"/>
      <c r="F878" s="569"/>
      <c r="G878" s="2"/>
      <c r="H878" s="2"/>
      <c r="I878" s="2"/>
      <c r="J878" s="366"/>
      <c r="K878" s="2"/>
      <c r="L878" s="2"/>
      <c r="M878" s="2"/>
      <c r="N878" s="2"/>
      <c r="O878" s="23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</row>
    <row r="879" spans="1:32" ht="14">
      <c r="A879" s="2"/>
      <c r="B879" s="2"/>
      <c r="C879" s="2"/>
      <c r="D879" s="2"/>
      <c r="E879" s="2"/>
      <c r="F879" s="569"/>
      <c r="G879" s="2"/>
      <c r="H879" s="2"/>
      <c r="I879" s="2"/>
      <c r="J879" s="366"/>
      <c r="K879" s="2"/>
      <c r="L879" s="2"/>
      <c r="M879" s="2"/>
      <c r="N879" s="2"/>
      <c r="O879" s="23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</row>
    <row r="880" spans="1:32" ht="14">
      <c r="A880" s="2"/>
      <c r="B880" s="2"/>
      <c r="C880" s="2"/>
      <c r="D880" s="2"/>
      <c r="E880" s="2"/>
      <c r="F880" s="569"/>
      <c r="G880" s="2"/>
      <c r="H880" s="2"/>
      <c r="I880" s="2"/>
      <c r="J880" s="366"/>
      <c r="K880" s="2"/>
      <c r="L880" s="2"/>
      <c r="M880" s="2"/>
      <c r="N880" s="2"/>
      <c r="O880" s="23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</row>
    <row r="881" spans="1:32" ht="14">
      <c r="A881" s="2"/>
      <c r="B881" s="2"/>
      <c r="C881" s="2"/>
      <c r="D881" s="2"/>
      <c r="E881" s="2"/>
      <c r="F881" s="569"/>
      <c r="G881" s="2"/>
      <c r="H881" s="2"/>
      <c r="I881" s="2"/>
      <c r="J881" s="366"/>
      <c r="K881" s="2"/>
      <c r="L881" s="2"/>
      <c r="M881" s="2"/>
      <c r="N881" s="2"/>
      <c r="O881" s="23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</row>
    <row r="882" spans="1:32" ht="14">
      <c r="A882" s="2"/>
      <c r="B882" s="2"/>
      <c r="C882" s="2"/>
      <c r="D882" s="2"/>
      <c r="E882" s="2"/>
      <c r="F882" s="569"/>
      <c r="G882" s="2"/>
      <c r="H882" s="2"/>
      <c r="I882" s="2"/>
      <c r="J882" s="366"/>
      <c r="K882" s="2"/>
      <c r="L882" s="2"/>
      <c r="M882" s="2"/>
      <c r="N882" s="2"/>
      <c r="O882" s="23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</row>
    <row r="883" spans="1:32" ht="14">
      <c r="A883" s="2"/>
      <c r="B883" s="2"/>
      <c r="C883" s="2"/>
      <c r="D883" s="2"/>
      <c r="E883" s="2"/>
      <c r="F883" s="569"/>
      <c r="G883" s="2"/>
      <c r="H883" s="2"/>
      <c r="I883" s="2"/>
      <c r="J883" s="366"/>
      <c r="K883" s="2"/>
      <c r="L883" s="2"/>
      <c r="M883" s="2"/>
      <c r="N883" s="2"/>
      <c r="O883" s="23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</row>
    <row r="884" spans="1:32" ht="14">
      <c r="A884" s="2"/>
      <c r="B884" s="2"/>
      <c r="C884" s="2"/>
      <c r="D884" s="2"/>
      <c r="E884" s="2"/>
      <c r="F884" s="569"/>
      <c r="G884" s="2"/>
      <c r="H884" s="2"/>
      <c r="I884" s="2"/>
      <c r="J884" s="366"/>
      <c r="K884" s="2"/>
      <c r="L884" s="2"/>
      <c r="M884" s="2"/>
      <c r="N884" s="2"/>
      <c r="O884" s="23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</row>
    <row r="885" spans="1:32" ht="14">
      <c r="A885" s="2"/>
      <c r="B885" s="2"/>
      <c r="C885" s="2"/>
      <c r="D885" s="2"/>
      <c r="E885" s="2"/>
      <c r="F885" s="569"/>
      <c r="G885" s="2"/>
      <c r="H885" s="2"/>
      <c r="I885" s="2"/>
      <c r="J885" s="366"/>
      <c r="K885" s="2"/>
      <c r="L885" s="2"/>
      <c r="M885" s="2"/>
      <c r="N885" s="2"/>
      <c r="O885" s="23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</row>
    <row r="886" spans="1:32" ht="14">
      <c r="A886" s="2"/>
      <c r="B886" s="2"/>
      <c r="C886" s="2"/>
      <c r="D886" s="2"/>
      <c r="E886" s="2"/>
      <c r="F886" s="569"/>
      <c r="G886" s="2"/>
      <c r="H886" s="2"/>
      <c r="I886" s="2"/>
      <c r="J886" s="366"/>
      <c r="K886" s="2"/>
      <c r="L886" s="2"/>
      <c r="M886" s="2"/>
      <c r="N886" s="2"/>
      <c r="O886" s="23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</row>
    <row r="887" spans="1:32" ht="14">
      <c r="A887" s="2"/>
      <c r="B887" s="2"/>
      <c r="C887" s="2"/>
      <c r="D887" s="2"/>
      <c r="E887" s="2"/>
      <c r="F887" s="569"/>
      <c r="G887" s="2"/>
      <c r="H887" s="2"/>
      <c r="I887" s="2"/>
      <c r="J887" s="366"/>
      <c r="K887" s="2"/>
      <c r="L887" s="2"/>
      <c r="M887" s="2"/>
      <c r="N887" s="2"/>
      <c r="O887" s="23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</row>
    <row r="888" spans="1:32" ht="14">
      <c r="A888" s="2"/>
      <c r="B888" s="2"/>
      <c r="C888" s="2"/>
      <c r="D888" s="2"/>
      <c r="E888" s="2"/>
      <c r="F888" s="569"/>
      <c r="G888" s="2"/>
      <c r="H888" s="2"/>
      <c r="I888" s="2"/>
      <c r="J888" s="366"/>
      <c r="K888" s="2"/>
      <c r="L888" s="2"/>
      <c r="M888" s="2"/>
      <c r="N888" s="2"/>
      <c r="O888" s="23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</row>
    <row r="889" spans="1:32" ht="14">
      <c r="A889" s="2"/>
      <c r="B889" s="2"/>
      <c r="C889" s="2"/>
      <c r="D889" s="2"/>
      <c r="E889" s="2"/>
      <c r="F889" s="569"/>
      <c r="G889" s="2"/>
      <c r="H889" s="2"/>
      <c r="I889" s="2"/>
      <c r="J889" s="366"/>
      <c r="K889" s="2"/>
      <c r="L889" s="2"/>
      <c r="M889" s="2"/>
      <c r="N889" s="2"/>
      <c r="O889" s="23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</row>
    <row r="890" spans="1:32" ht="14">
      <c r="A890" s="2"/>
      <c r="B890" s="2"/>
      <c r="C890" s="2"/>
      <c r="D890" s="2"/>
      <c r="E890" s="2"/>
      <c r="F890" s="569"/>
      <c r="G890" s="2"/>
      <c r="H890" s="2"/>
      <c r="I890" s="2"/>
      <c r="J890" s="366"/>
      <c r="K890" s="2"/>
      <c r="L890" s="2"/>
      <c r="M890" s="2"/>
      <c r="N890" s="2"/>
      <c r="O890" s="23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</row>
    <row r="891" spans="1:32" ht="14">
      <c r="A891" s="2"/>
      <c r="B891" s="2"/>
      <c r="C891" s="2"/>
      <c r="D891" s="2"/>
      <c r="E891" s="2"/>
      <c r="F891" s="569"/>
      <c r="G891" s="2"/>
      <c r="H891" s="2"/>
      <c r="I891" s="2"/>
      <c r="J891" s="366"/>
      <c r="K891" s="2"/>
      <c r="L891" s="2"/>
      <c r="M891" s="2"/>
      <c r="N891" s="2"/>
      <c r="O891" s="23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</row>
    <row r="892" spans="1:32" ht="14">
      <c r="A892" s="2"/>
      <c r="B892" s="2"/>
      <c r="C892" s="2"/>
      <c r="D892" s="2"/>
      <c r="E892" s="2"/>
      <c r="F892" s="569"/>
      <c r="G892" s="2"/>
      <c r="H892" s="2"/>
      <c r="I892" s="2"/>
      <c r="J892" s="366"/>
      <c r="K892" s="2"/>
      <c r="L892" s="2"/>
      <c r="M892" s="2"/>
      <c r="N892" s="2"/>
      <c r="O892" s="23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</row>
    <row r="893" spans="1:32" ht="14">
      <c r="A893" s="2"/>
      <c r="B893" s="2"/>
      <c r="C893" s="2"/>
      <c r="D893" s="2"/>
      <c r="E893" s="2"/>
      <c r="F893" s="569"/>
      <c r="G893" s="2"/>
      <c r="H893" s="2"/>
      <c r="I893" s="2"/>
      <c r="J893" s="366"/>
      <c r="K893" s="2"/>
      <c r="L893" s="2"/>
      <c r="M893" s="2"/>
      <c r="N893" s="2"/>
      <c r="O893" s="23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</row>
    <row r="894" spans="1:32" ht="14">
      <c r="A894" s="2"/>
      <c r="B894" s="2"/>
      <c r="C894" s="2"/>
      <c r="D894" s="2"/>
      <c r="E894" s="2"/>
      <c r="F894" s="569"/>
      <c r="G894" s="2"/>
      <c r="H894" s="2"/>
      <c r="I894" s="2"/>
      <c r="J894" s="366"/>
      <c r="K894" s="2"/>
      <c r="L894" s="2"/>
      <c r="M894" s="2"/>
      <c r="N894" s="2"/>
      <c r="O894" s="23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</row>
    <row r="895" spans="1:32" ht="14">
      <c r="A895" s="2"/>
      <c r="B895" s="2"/>
      <c r="C895" s="2"/>
      <c r="D895" s="2"/>
      <c r="E895" s="2"/>
      <c r="F895" s="569"/>
      <c r="G895" s="2"/>
      <c r="H895" s="2"/>
      <c r="I895" s="2"/>
      <c r="J895" s="366"/>
      <c r="K895" s="2"/>
      <c r="L895" s="2"/>
      <c r="M895" s="2"/>
      <c r="N895" s="2"/>
      <c r="O895" s="23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</row>
    <row r="896" spans="1:32" ht="14">
      <c r="A896" s="2"/>
      <c r="B896" s="2"/>
      <c r="C896" s="2"/>
      <c r="D896" s="2"/>
      <c r="E896" s="2"/>
      <c r="F896" s="569"/>
      <c r="G896" s="2"/>
      <c r="H896" s="2"/>
      <c r="I896" s="2"/>
      <c r="J896" s="366"/>
      <c r="K896" s="2"/>
      <c r="L896" s="2"/>
      <c r="M896" s="2"/>
      <c r="N896" s="2"/>
      <c r="O896" s="23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</row>
    <row r="897" spans="1:32" ht="14">
      <c r="A897" s="2"/>
      <c r="B897" s="2"/>
      <c r="C897" s="2"/>
      <c r="D897" s="2"/>
      <c r="E897" s="2"/>
      <c r="F897" s="569"/>
      <c r="G897" s="2"/>
      <c r="H897" s="2"/>
      <c r="I897" s="2"/>
      <c r="J897" s="366"/>
      <c r="K897" s="2"/>
      <c r="L897" s="2"/>
      <c r="M897" s="2"/>
      <c r="N897" s="2"/>
      <c r="O897" s="23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</row>
    <row r="898" spans="1:32" ht="14">
      <c r="A898" s="2"/>
      <c r="B898" s="2"/>
      <c r="C898" s="2"/>
      <c r="D898" s="2"/>
      <c r="E898" s="2"/>
      <c r="F898" s="569"/>
      <c r="G898" s="2"/>
      <c r="H898" s="2"/>
      <c r="I898" s="2"/>
      <c r="J898" s="366"/>
      <c r="K898" s="2"/>
      <c r="L898" s="2"/>
      <c r="M898" s="2"/>
      <c r="N898" s="2"/>
      <c r="O898" s="23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</row>
    <row r="899" spans="1:32" ht="14">
      <c r="A899" s="2"/>
      <c r="B899" s="2"/>
      <c r="C899" s="2"/>
      <c r="D899" s="2"/>
      <c r="E899" s="2"/>
      <c r="F899" s="569"/>
      <c r="G899" s="2"/>
      <c r="H899" s="2"/>
      <c r="I899" s="2"/>
      <c r="J899" s="366"/>
      <c r="K899" s="2"/>
      <c r="L899" s="2"/>
      <c r="M899" s="2"/>
      <c r="N899" s="2"/>
      <c r="O899" s="23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</row>
    <row r="900" spans="1:32" ht="14">
      <c r="A900" s="2"/>
      <c r="B900" s="2"/>
      <c r="C900" s="2"/>
      <c r="D900" s="2"/>
      <c r="E900" s="2"/>
      <c r="F900" s="569"/>
      <c r="G900" s="2"/>
      <c r="H900" s="2"/>
      <c r="I900" s="2"/>
      <c r="J900" s="366"/>
      <c r="K900" s="2"/>
      <c r="L900" s="2"/>
      <c r="M900" s="2"/>
      <c r="N900" s="2"/>
      <c r="O900" s="23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</row>
    <row r="901" spans="1:32" ht="14">
      <c r="A901" s="2"/>
      <c r="B901" s="2"/>
      <c r="C901" s="2"/>
      <c r="D901" s="2"/>
      <c r="E901" s="2"/>
      <c r="F901" s="569"/>
      <c r="G901" s="2"/>
      <c r="H901" s="2"/>
      <c r="I901" s="2"/>
      <c r="J901" s="366"/>
      <c r="K901" s="2"/>
      <c r="L901" s="2"/>
      <c r="M901" s="2"/>
      <c r="N901" s="2"/>
      <c r="O901" s="23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</row>
    <row r="902" spans="1:32" ht="14">
      <c r="A902" s="2"/>
      <c r="B902" s="2"/>
      <c r="C902" s="2"/>
      <c r="D902" s="2"/>
      <c r="E902" s="2"/>
      <c r="F902" s="569"/>
      <c r="G902" s="2"/>
      <c r="H902" s="2"/>
      <c r="I902" s="2"/>
      <c r="J902" s="366"/>
      <c r="K902" s="2"/>
      <c r="L902" s="2"/>
      <c r="M902" s="2"/>
      <c r="N902" s="2"/>
      <c r="O902" s="23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</row>
    <row r="903" spans="1:32" ht="14">
      <c r="A903" s="2"/>
      <c r="B903" s="2"/>
      <c r="C903" s="2"/>
      <c r="D903" s="2"/>
      <c r="E903" s="2"/>
      <c r="F903" s="569"/>
      <c r="G903" s="2"/>
      <c r="H903" s="2"/>
      <c r="I903" s="2"/>
      <c r="J903" s="366"/>
      <c r="K903" s="2"/>
      <c r="L903" s="2"/>
      <c r="M903" s="2"/>
      <c r="N903" s="2"/>
      <c r="O903" s="23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</row>
    <row r="904" spans="1:32" ht="14">
      <c r="A904" s="2"/>
      <c r="B904" s="2"/>
      <c r="C904" s="2"/>
      <c r="D904" s="2"/>
      <c r="E904" s="2"/>
      <c r="F904" s="569"/>
      <c r="G904" s="2"/>
      <c r="H904" s="2"/>
      <c r="I904" s="2"/>
      <c r="J904" s="366"/>
      <c r="K904" s="2"/>
      <c r="L904" s="2"/>
      <c r="M904" s="2"/>
      <c r="N904" s="2"/>
      <c r="O904" s="23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</row>
    <row r="905" spans="1:32" ht="14">
      <c r="A905" s="2"/>
      <c r="B905" s="2"/>
      <c r="C905" s="2"/>
      <c r="D905" s="2"/>
      <c r="E905" s="2"/>
      <c r="F905" s="569"/>
      <c r="G905" s="2"/>
      <c r="H905" s="2"/>
      <c r="I905" s="2"/>
      <c r="J905" s="366"/>
      <c r="K905" s="2"/>
      <c r="L905" s="2"/>
      <c r="M905" s="2"/>
      <c r="N905" s="2"/>
      <c r="O905" s="23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</row>
    <row r="906" spans="1:32" ht="14">
      <c r="A906" s="2"/>
      <c r="B906" s="2"/>
      <c r="C906" s="2"/>
      <c r="D906" s="2"/>
      <c r="E906" s="2"/>
      <c r="F906" s="569"/>
      <c r="G906" s="2"/>
      <c r="H906" s="2"/>
      <c r="I906" s="2"/>
      <c r="J906" s="366"/>
      <c r="K906" s="2"/>
      <c r="L906" s="2"/>
      <c r="M906" s="2"/>
      <c r="N906" s="2"/>
      <c r="O906" s="23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</row>
    <row r="907" spans="1:32" ht="14">
      <c r="A907" s="2"/>
      <c r="B907" s="2"/>
      <c r="C907" s="2"/>
      <c r="D907" s="2"/>
      <c r="E907" s="2"/>
      <c r="F907" s="569"/>
      <c r="G907" s="2"/>
      <c r="H907" s="2"/>
      <c r="I907" s="2"/>
      <c r="J907" s="366"/>
      <c r="K907" s="2"/>
      <c r="L907" s="2"/>
      <c r="M907" s="2"/>
      <c r="N907" s="2"/>
      <c r="O907" s="23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</row>
    <row r="908" spans="1:32" ht="14">
      <c r="A908" s="2"/>
      <c r="B908" s="2"/>
      <c r="C908" s="2"/>
      <c r="D908" s="2"/>
      <c r="E908" s="2"/>
      <c r="F908" s="569"/>
      <c r="G908" s="2"/>
      <c r="H908" s="2"/>
      <c r="I908" s="2"/>
      <c r="J908" s="366"/>
      <c r="K908" s="2"/>
      <c r="L908" s="2"/>
      <c r="M908" s="2"/>
      <c r="N908" s="2"/>
      <c r="O908" s="23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</row>
    <row r="909" spans="1:32" ht="14">
      <c r="A909" s="2"/>
      <c r="B909" s="2"/>
      <c r="C909" s="2"/>
      <c r="D909" s="2"/>
      <c r="E909" s="2"/>
      <c r="F909" s="569"/>
      <c r="G909" s="2"/>
      <c r="H909" s="2"/>
      <c r="I909" s="2"/>
      <c r="J909" s="366"/>
      <c r="K909" s="2"/>
      <c r="L909" s="2"/>
      <c r="M909" s="2"/>
      <c r="N909" s="2"/>
      <c r="O909" s="23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</row>
    <row r="910" spans="1:32" ht="14">
      <c r="A910" s="2"/>
      <c r="B910" s="2"/>
      <c r="C910" s="2"/>
      <c r="D910" s="2"/>
      <c r="E910" s="2"/>
      <c r="F910" s="569"/>
      <c r="G910" s="2"/>
      <c r="H910" s="2"/>
      <c r="I910" s="2"/>
      <c r="J910" s="366"/>
      <c r="K910" s="2"/>
      <c r="L910" s="2"/>
      <c r="M910" s="2"/>
      <c r="N910" s="2"/>
      <c r="O910" s="23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</row>
    <row r="911" spans="1:32" ht="14">
      <c r="A911" s="2"/>
      <c r="B911" s="2"/>
      <c r="C911" s="2"/>
      <c r="D911" s="2"/>
      <c r="E911" s="2"/>
      <c r="F911" s="569"/>
      <c r="G911" s="2"/>
      <c r="H911" s="2"/>
      <c r="I911" s="2"/>
      <c r="J911" s="366"/>
      <c r="K911" s="2"/>
      <c r="L911" s="2"/>
      <c r="M911" s="2"/>
      <c r="N911" s="2"/>
      <c r="O911" s="23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</row>
    <row r="912" spans="1:32" ht="14">
      <c r="A912" s="2"/>
      <c r="B912" s="2"/>
      <c r="C912" s="2"/>
      <c r="D912" s="2"/>
      <c r="E912" s="2"/>
      <c r="F912" s="569"/>
      <c r="G912" s="2"/>
      <c r="H912" s="2"/>
      <c r="I912" s="2"/>
      <c r="J912" s="366"/>
      <c r="K912" s="2"/>
      <c r="L912" s="2"/>
      <c r="M912" s="2"/>
      <c r="N912" s="2"/>
      <c r="O912" s="23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</row>
    <row r="913" spans="1:32" ht="14">
      <c r="A913" s="2"/>
      <c r="B913" s="2"/>
      <c r="C913" s="2"/>
      <c r="D913" s="2"/>
      <c r="E913" s="2"/>
      <c r="F913" s="569"/>
      <c r="G913" s="2"/>
      <c r="H913" s="2"/>
      <c r="I913" s="2"/>
      <c r="J913" s="366"/>
      <c r="K913" s="2"/>
      <c r="L913" s="2"/>
      <c r="M913" s="2"/>
      <c r="N913" s="2"/>
      <c r="O913" s="23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</row>
    <row r="914" spans="1:32" ht="14">
      <c r="A914" s="2"/>
      <c r="B914" s="2"/>
      <c r="C914" s="2"/>
      <c r="D914" s="2"/>
      <c r="E914" s="2"/>
      <c r="F914" s="569"/>
      <c r="G914" s="2"/>
      <c r="H914" s="2"/>
      <c r="I914" s="2"/>
      <c r="J914" s="366"/>
      <c r="K914" s="2"/>
      <c r="L914" s="2"/>
      <c r="M914" s="2"/>
      <c r="N914" s="2"/>
      <c r="O914" s="23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</row>
    <row r="915" spans="1:32" ht="14">
      <c r="A915" s="2"/>
      <c r="B915" s="2"/>
      <c r="C915" s="2"/>
      <c r="D915" s="2"/>
      <c r="E915" s="2"/>
      <c r="F915" s="569"/>
      <c r="G915" s="2"/>
      <c r="H915" s="2"/>
      <c r="I915" s="2"/>
      <c r="J915" s="366"/>
      <c r="K915" s="2"/>
      <c r="L915" s="2"/>
      <c r="M915" s="2"/>
      <c r="N915" s="2"/>
      <c r="O915" s="23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</row>
    <row r="916" spans="1:32" ht="14">
      <c r="A916" s="2"/>
      <c r="B916" s="2"/>
      <c r="C916" s="2"/>
      <c r="D916" s="2"/>
      <c r="E916" s="2"/>
      <c r="F916" s="569"/>
      <c r="G916" s="2"/>
      <c r="H916" s="2"/>
      <c r="I916" s="2"/>
      <c r="J916" s="366"/>
      <c r="K916" s="2"/>
      <c r="L916" s="2"/>
      <c r="M916" s="2"/>
      <c r="N916" s="2"/>
      <c r="O916" s="23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</row>
    <row r="917" spans="1:32" ht="14">
      <c r="A917" s="2"/>
      <c r="B917" s="2"/>
      <c r="C917" s="2"/>
      <c r="D917" s="2"/>
      <c r="E917" s="2"/>
      <c r="F917" s="569"/>
      <c r="G917" s="2"/>
      <c r="H917" s="2"/>
      <c r="I917" s="2"/>
      <c r="J917" s="366"/>
      <c r="K917" s="2"/>
      <c r="L917" s="2"/>
      <c r="M917" s="2"/>
      <c r="N917" s="2"/>
      <c r="O917" s="23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</row>
    <row r="918" spans="1:32" ht="14">
      <c r="A918" s="2"/>
      <c r="B918" s="2"/>
      <c r="C918" s="2"/>
      <c r="D918" s="2"/>
      <c r="E918" s="2"/>
      <c r="F918" s="569"/>
      <c r="G918" s="2"/>
      <c r="H918" s="2"/>
      <c r="I918" s="2"/>
      <c r="J918" s="366"/>
      <c r="K918" s="2"/>
      <c r="L918" s="2"/>
      <c r="M918" s="2"/>
      <c r="N918" s="2"/>
      <c r="O918" s="23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</row>
    <row r="919" spans="1:32" ht="14">
      <c r="A919" s="2"/>
      <c r="B919" s="2"/>
      <c r="C919" s="2"/>
      <c r="D919" s="2"/>
      <c r="E919" s="2"/>
      <c r="F919" s="569"/>
      <c r="G919" s="2"/>
      <c r="H919" s="2"/>
      <c r="I919" s="2"/>
      <c r="J919" s="366"/>
      <c r="K919" s="2"/>
      <c r="L919" s="2"/>
      <c r="M919" s="2"/>
      <c r="N919" s="2"/>
      <c r="O919" s="23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</row>
    <row r="920" spans="1:32" ht="14">
      <c r="A920" s="2"/>
      <c r="B920" s="2"/>
      <c r="C920" s="2"/>
      <c r="D920" s="2"/>
      <c r="E920" s="2"/>
      <c r="F920" s="569"/>
      <c r="G920" s="2"/>
      <c r="H920" s="2"/>
      <c r="I920" s="2"/>
      <c r="J920" s="366"/>
      <c r="K920" s="2"/>
      <c r="L920" s="2"/>
      <c r="M920" s="2"/>
      <c r="N920" s="2"/>
      <c r="O920" s="23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</row>
    <row r="921" spans="1:32" ht="14">
      <c r="A921" s="2"/>
      <c r="B921" s="2"/>
      <c r="C921" s="2"/>
      <c r="D921" s="2"/>
      <c r="E921" s="2"/>
      <c r="F921" s="569"/>
      <c r="G921" s="2"/>
      <c r="H921" s="2"/>
      <c r="I921" s="2"/>
      <c r="J921" s="366"/>
      <c r="K921" s="2"/>
      <c r="L921" s="2"/>
      <c r="M921" s="2"/>
      <c r="N921" s="2"/>
      <c r="O921" s="23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</row>
    <row r="922" spans="1:32" ht="14">
      <c r="A922" s="2"/>
      <c r="B922" s="2"/>
      <c r="C922" s="2"/>
      <c r="D922" s="2"/>
      <c r="E922" s="2"/>
      <c r="F922" s="569"/>
      <c r="G922" s="2"/>
      <c r="H922" s="2"/>
      <c r="I922" s="2"/>
      <c r="J922" s="366"/>
      <c r="K922" s="2"/>
      <c r="L922" s="2"/>
      <c r="M922" s="2"/>
      <c r="N922" s="2"/>
      <c r="O922" s="23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</row>
    <row r="923" spans="1:32" ht="14">
      <c r="A923" s="2"/>
      <c r="B923" s="2"/>
      <c r="C923" s="2"/>
      <c r="D923" s="2"/>
      <c r="E923" s="2"/>
      <c r="F923" s="569"/>
      <c r="G923" s="2"/>
      <c r="H923" s="2"/>
      <c r="I923" s="2"/>
      <c r="J923" s="366"/>
      <c r="K923" s="2"/>
      <c r="L923" s="2"/>
      <c r="M923" s="2"/>
      <c r="N923" s="2"/>
      <c r="O923" s="23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</row>
    <row r="924" spans="1:32" ht="14">
      <c r="A924" s="2"/>
      <c r="B924" s="2"/>
      <c r="C924" s="2"/>
      <c r="D924" s="2"/>
      <c r="E924" s="2"/>
      <c r="F924" s="569"/>
      <c r="G924" s="2"/>
      <c r="H924" s="2"/>
      <c r="I924" s="2"/>
      <c r="J924" s="366"/>
      <c r="K924" s="2"/>
      <c r="L924" s="2"/>
      <c r="M924" s="2"/>
      <c r="N924" s="2"/>
      <c r="O924" s="23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</row>
    <row r="925" spans="1:32" ht="14">
      <c r="A925" s="2"/>
      <c r="B925" s="2"/>
      <c r="C925" s="2"/>
      <c r="D925" s="2"/>
      <c r="E925" s="2"/>
      <c r="F925" s="569"/>
      <c r="G925" s="2"/>
      <c r="H925" s="2"/>
      <c r="I925" s="2"/>
      <c r="J925" s="366"/>
      <c r="K925" s="2"/>
      <c r="L925" s="2"/>
      <c r="M925" s="2"/>
      <c r="N925" s="2"/>
      <c r="O925" s="23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</row>
    <row r="926" spans="1:32" ht="14">
      <c r="A926" s="2"/>
      <c r="B926" s="2"/>
      <c r="C926" s="2"/>
      <c r="D926" s="2"/>
      <c r="E926" s="2"/>
      <c r="F926" s="569"/>
      <c r="G926" s="2"/>
      <c r="H926" s="2"/>
      <c r="I926" s="2"/>
      <c r="J926" s="366"/>
      <c r="K926" s="2"/>
      <c r="L926" s="2"/>
      <c r="M926" s="2"/>
      <c r="N926" s="2"/>
      <c r="O926" s="23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</row>
    <row r="927" spans="1:32" ht="14">
      <c r="A927" s="2"/>
      <c r="B927" s="2"/>
      <c r="C927" s="2"/>
      <c r="D927" s="2"/>
      <c r="E927" s="2"/>
      <c r="F927" s="569"/>
      <c r="G927" s="2"/>
      <c r="H927" s="2"/>
      <c r="I927" s="2"/>
      <c r="J927" s="366"/>
      <c r="K927" s="2"/>
      <c r="L927" s="2"/>
      <c r="M927" s="2"/>
      <c r="N927" s="2"/>
      <c r="O927" s="23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</row>
    <row r="928" spans="1:32" ht="14">
      <c r="A928" s="2"/>
      <c r="B928" s="2"/>
      <c r="C928" s="2"/>
      <c r="D928" s="2"/>
      <c r="E928" s="2"/>
      <c r="F928" s="569"/>
      <c r="G928" s="2"/>
      <c r="H928" s="2"/>
      <c r="I928" s="2"/>
      <c r="J928" s="366"/>
      <c r="K928" s="2"/>
      <c r="L928" s="2"/>
      <c r="M928" s="2"/>
      <c r="N928" s="2"/>
      <c r="O928" s="23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</row>
    <row r="929" spans="1:32" ht="14">
      <c r="A929" s="2"/>
      <c r="B929" s="2"/>
      <c r="C929" s="2"/>
      <c r="D929" s="2"/>
      <c r="E929" s="2"/>
      <c r="F929" s="569"/>
      <c r="G929" s="2"/>
      <c r="H929" s="2"/>
      <c r="I929" s="2"/>
      <c r="J929" s="366"/>
      <c r="K929" s="2"/>
      <c r="L929" s="2"/>
      <c r="M929" s="2"/>
      <c r="N929" s="2"/>
      <c r="O929" s="23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</row>
    <row r="930" spans="1:32" ht="14">
      <c r="A930" s="2"/>
      <c r="B930" s="2"/>
      <c r="C930" s="2"/>
      <c r="D930" s="2"/>
      <c r="E930" s="2"/>
      <c r="F930" s="569"/>
      <c r="G930" s="2"/>
      <c r="H930" s="2"/>
      <c r="I930" s="2"/>
      <c r="J930" s="366"/>
      <c r="K930" s="2"/>
      <c r="L930" s="2"/>
      <c r="M930" s="2"/>
      <c r="N930" s="2"/>
      <c r="O930" s="23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</row>
    <row r="931" spans="1:32" ht="14">
      <c r="A931" s="2"/>
      <c r="B931" s="2"/>
      <c r="C931" s="2"/>
      <c r="D931" s="2"/>
      <c r="E931" s="2"/>
      <c r="F931" s="569"/>
      <c r="G931" s="2"/>
      <c r="H931" s="2"/>
      <c r="I931" s="2"/>
      <c r="J931" s="366"/>
      <c r="K931" s="2"/>
      <c r="L931" s="2"/>
      <c r="M931" s="2"/>
      <c r="N931" s="2"/>
      <c r="O931" s="23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</row>
    <row r="932" spans="1:32" ht="14">
      <c r="A932" s="2"/>
      <c r="B932" s="2"/>
      <c r="C932" s="2"/>
      <c r="D932" s="2"/>
      <c r="E932" s="2"/>
      <c r="F932" s="569"/>
      <c r="G932" s="2"/>
      <c r="H932" s="2"/>
      <c r="I932" s="2"/>
      <c r="J932" s="366"/>
      <c r="K932" s="2"/>
      <c r="L932" s="2"/>
      <c r="M932" s="2"/>
      <c r="N932" s="2"/>
      <c r="O932" s="23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</row>
    <row r="933" spans="1:32" ht="14">
      <c r="A933" s="2"/>
      <c r="B933" s="2"/>
      <c r="C933" s="2"/>
      <c r="D933" s="2"/>
      <c r="E933" s="2"/>
      <c r="F933" s="569"/>
      <c r="G933" s="2"/>
      <c r="H933" s="2"/>
      <c r="I933" s="2"/>
      <c r="J933" s="366"/>
      <c r="K933" s="2"/>
      <c r="L933" s="2"/>
      <c r="M933" s="2"/>
      <c r="N933" s="2"/>
      <c r="O933" s="23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</row>
    <row r="934" spans="1:32" ht="14">
      <c r="A934" s="2"/>
      <c r="B934" s="2"/>
      <c r="C934" s="2"/>
      <c r="D934" s="2"/>
      <c r="E934" s="2"/>
      <c r="F934" s="569"/>
      <c r="G934" s="2"/>
      <c r="H934" s="2"/>
      <c r="I934" s="2"/>
      <c r="J934" s="366"/>
      <c r="K934" s="2"/>
      <c r="L934" s="2"/>
      <c r="M934" s="2"/>
      <c r="N934" s="2"/>
      <c r="O934" s="23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</row>
    <row r="935" spans="1:32" ht="14">
      <c r="A935" s="2"/>
      <c r="B935" s="2"/>
      <c r="C935" s="2"/>
      <c r="D935" s="2"/>
      <c r="E935" s="2"/>
      <c r="F935" s="569"/>
      <c r="G935" s="2"/>
      <c r="H935" s="2"/>
      <c r="I935" s="2"/>
      <c r="J935" s="366"/>
      <c r="K935" s="2"/>
      <c r="L935" s="2"/>
      <c r="M935" s="2"/>
      <c r="N935" s="2"/>
      <c r="O935" s="23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</row>
    <row r="936" spans="1:32" ht="14">
      <c r="A936" s="2"/>
      <c r="B936" s="2"/>
      <c r="C936" s="2"/>
      <c r="D936" s="2"/>
      <c r="E936" s="2"/>
      <c r="F936" s="569"/>
      <c r="G936" s="2"/>
      <c r="H936" s="2"/>
      <c r="I936" s="2"/>
      <c r="J936" s="366"/>
      <c r="K936" s="2"/>
      <c r="L936" s="2"/>
      <c r="M936" s="2"/>
      <c r="N936" s="2"/>
      <c r="O936" s="23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</row>
    <row r="937" spans="1:32" ht="14">
      <c r="A937" s="2"/>
      <c r="B937" s="2"/>
      <c r="C937" s="2"/>
      <c r="D937" s="2"/>
      <c r="E937" s="2"/>
      <c r="F937" s="569"/>
      <c r="G937" s="2"/>
      <c r="H937" s="2"/>
      <c r="I937" s="2"/>
      <c r="J937" s="366"/>
      <c r="K937" s="2"/>
      <c r="L937" s="2"/>
      <c r="M937" s="2"/>
      <c r="N937" s="2"/>
      <c r="O937" s="23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</row>
    <row r="938" spans="1:32" ht="14">
      <c r="A938" s="2"/>
      <c r="B938" s="2"/>
      <c r="C938" s="2"/>
      <c r="D938" s="2"/>
      <c r="E938" s="2"/>
      <c r="F938" s="569"/>
      <c r="G938" s="2"/>
      <c r="H938" s="2"/>
      <c r="I938" s="2"/>
      <c r="J938" s="366"/>
      <c r="K938" s="2"/>
      <c r="L938" s="2"/>
      <c r="M938" s="2"/>
      <c r="N938" s="2"/>
      <c r="O938" s="23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</row>
    <row r="939" spans="1:32" ht="14">
      <c r="A939" s="2"/>
      <c r="B939" s="2"/>
      <c r="C939" s="2"/>
      <c r="D939" s="2"/>
      <c r="E939" s="2"/>
      <c r="F939" s="569"/>
      <c r="G939" s="2"/>
      <c r="H939" s="2"/>
      <c r="I939" s="2"/>
      <c r="J939" s="366"/>
      <c r="K939" s="2"/>
      <c r="L939" s="2"/>
      <c r="M939" s="2"/>
      <c r="N939" s="2"/>
      <c r="O939" s="23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</row>
    <row r="940" spans="1:32" ht="14">
      <c r="A940" s="2"/>
      <c r="B940" s="2"/>
      <c r="C940" s="2"/>
      <c r="D940" s="2"/>
      <c r="E940" s="2"/>
      <c r="F940" s="569"/>
      <c r="G940" s="2"/>
      <c r="H940" s="2"/>
      <c r="I940" s="2"/>
      <c r="J940" s="366"/>
      <c r="K940" s="2"/>
      <c r="L940" s="2"/>
      <c r="M940" s="2"/>
      <c r="N940" s="2"/>
      <c r="O940" s="23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</row>
    <row r="941" spans="1:32" ht="14">
      <c r="A941" s="2"/>
      <c r="B941" s="2"/>
      <c r="C941" s="2"/>
      <c r="D941" s="2"/>
      <c r="E941" s="2"/>
      <c r="F941" s="569"/>
      <c r="G941" s="2"/>
      <c r="H941" s="2"/>
      <c r="I941" s="2"/>
      <c r="J941" s="366"/>
      <c r="K941" s="2"/>
      <c r="L941" s="2"/>
      <c r="M941" s="2"/>
      <c r="N941" s="2"/>
      <c r="O941" s="23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</row>
    <row r="942" spans="1:32" ht="14">
      <c r="A942" s="2"/>
      <c r="B942" s="2"/>
      <c r="C942" s="2"/>
      <c r="D942" s="2"/>
      <c r="E942" s="2"/>
      <c r="F942" s="569"/>
      <c r="G942" s="2"/>
      <c r="H942" s="2"/>
      <c r="I942" s="2"/>
      <c r="J942" s="366"/>
      <c r="K942" s="2"/>
      <c r="L942" s="2"/>
      <c r="M942" s="2"/>
      <c r="N942" s="2"/>
      <c r="O942" s="23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</row>
    <row r="943" spans="1:32" ht="14">
      <c r="A943" s="2"/>
      <c r="B943" s="2"/>
      <c r="C943" s="2"/>
      <c r="D943" s="2"/>
      <c r="E943" s="2"/>
      <c r="F943" s="569"/>
      <c r="G943" s="2"/>
      <c r="H943" s="2"/>
      <c r="I943" s="2"/>
      <c r="J943" s="366"/>
      <c r="K943" s="2"/>
      <c r="L943" s="2"/>
      <c r="M943" s="2"/>
      <c r="N943" s="2"/>
      <c r="O943" s="23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</row>
    <row r="944" spans="1:32" ht="14">
      <c r="A944" s="2"/>
      <c r="B944" s="2"/>
      <c r="C944" s="2"/>
      <c r="D944" s="2"/>
      <c r="E944" s="2"/>
      <c r="F944" s="569"/>
      <c r="G944" s="2"/>
      <c r="H944" s="2"/>
      <c r="I944" s="2"/>
      <c r="J944" s="366"/>
      <c r="K944" s="2"/>
      <c r="L944" s="2"/>
      <c r="M944" s="2"/>
      <c r="N944" s="2"/>
      <c r="O944" s="23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</row>
    <row r="945" spans="1:32" ht="14">
      <c r="A945" s="2"/>
      <c r="B945" s="2"/>
      <c r="C945" s="2"/>
      <c r="D945" s="2"/>
      <c r="E945" s="2"/>
      <c r="F945" s="569"/>
      <c r="G945" s="2"/>
      <c r="H945" s="2"/>
      <c r="I945" s="2"/>
      <c r="J945" s="366"/>
      <c r="K945" s="2"/>
      <c r="L945" s="2"/>
      <c r="M945" s="2"/>
      <c r="N945" s="2"/>
      <c r="O945" s="23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</row>
    <row r="946" spans="1:32" ht="14">
      <c r="A946" s="2"/>
      <c r="B946" s="2"/>
      <c r="C946" s="2"/>
      <c r="D946" s="2"/>
      <c r="E946" s="2"/>
      <c r="F946" s="569"/>
      <c r="G946" s="2"/>
      <c r="H946" s="2"/>
      <c r="I946" s="2"/>
      <c r="J946" s="366"/>
      <c r="K946" s="2"/>
      <c r="L946" s="2"/>
      <c r="M946" s="2"/>
      <c r="N946" s="2"/>
      <c r="O946" s="23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</row>
    <row r="947" spans="1:32" ht="14">
      <c r="A947" s="2"/>
      <c r="B947" s="2"/>
      <c r="C947" s="2"/>
      <c r="D947" s="2"/>
      <c r="E947" s="2"/>
      <c r="F947" s="569"/>
      <c r="G947" s="2"/>
      <c r="H947" s="2"/>
      <c r="I947" s="2"/>
      <c r="J947" s="366"/>
      <c r="K947" s="2"/>
      <c r="L947" s="2"/>
      <c r="M947" s="2"/>
      <c r="N947" s="2"/>
      <c r="O947" s="23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</row>
    <row r="948" spans="1:32" ht="14">
      <c r="A948" s="2"/>
      <c r="B948" s="2"/>
      <c r="C948" s="2"/>
      <c r="D948" s="2"/>
      <c r="E948" s="2"/>
      <c r="F948" s="569"/>
      <c r="G948" s="2"/>
      <c r="H948" s="2"/>
      <c r="I948" s="2"/>
      <c r="J948" s="366"/>
      <c r="K948" s="2"/>
      <c r="L948" s="2"/>
      <c r="M948" s="2"/>
      <c r="N948" s="2"/>
      <c r="O948" s="23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</row>
    <row r="949" spans="1:32" ht="14">
      <c r="A949" s="2"/>
      <c r="B949" s="2"/>
      <c r="C949" s="2"/>
      <c r="D949" s="2"/>
      <c r="E949" s="2"/>
      <c r="F949" s="569"/>
      <c r="G949" s="2"/>
      <c r="H949" s="2"/>
      <c r="I949" s="2"/>
      <c r="J949" s="366"/>
      <c r="K949" s="2"/>
      <c r="L949" s="2"/>
      <c r="M949" s="2"/>
      <c r="N949" s="2"/>
      <c r="O949" s="23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</row>
    <row r="950" spans="1:32" ht="14">
      <c r="A950" s="2"/>
      <c r="B950" s="2"/>
      <c r="C950" s="2"/>
      <c r="D950" s="2"/>
      <c r="E950" s="2"/>
      <c r="F950" s="569"/>
      <c r="G950" s="2"/>
      <c r="H950" s="2"/>
      <c r="I950" s="2"/>
      <c r="J950" s="366"/>
      <c r="K950" s="2"/>
      <c r="L950" s="2"/>
      <c r="M950" s="2"/>
      <c r="N950" s="2"/>
      <c r="O950" s="23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</row>
    <row r="951" spans="1:32" ht="14">
      <c r="A951" s="2"/>
      <c r="B951" s="2"/>
      <c r="C951" s="2"/>
      <c r="D951" s="2"/>
      <c r="E951" s="2"/>
      <c r="F951" s="569"/>
      <c r="G951" s="2"/>
      <c r="H951" s="2"/>
      <c r="I951" s="2"/>
      <c r="J951" s="366"/>
      <c r="K951" s="2"/>
      <c r="L951" s="2"/>
      <c r="M951" s="2"/>
      <c r="N951" s="2"/>
      <c r="O951" s="23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</row>
    <row r="952" spans="1:32" ht="14">
      <c r="A952" s="2"/>
      <c r="B952" s="2"/>
      <c r="C952" s="2"/>
      <c r="D952" s="2"/>
      <c r="E952" s="2"/>
      <c r="F952" s="569"/>
      <c r="G952" s="2"/>
      <c r="H952" s="2"/>
      <c r="I952" s="2"/>
      <c r="J952" s="366"/>
      <c r="K952" s="2"/>
      <c r="L952" s="2"/>
      <c r="M952" s="2"/>
      <c r="N952" s="2"/>
      <c r="O952" s="23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</row>
    <row r="953" spans="1:32" ht="14">
      <c r="A953" s="2"/>
      <c r="B953" s="2"/>
      <c r="C953" s="2"/>
      <c r="D953" s="2"/>
      <c r="E953" s="2"/>
      <c r="F953" s="569"/>
      <c r="G953" s="2"/>
      <c r="H953" s="2"/>
      <c r="I953" s="2"/>
      <c r="J953" s="366"/>
      <c r="K953" s="2"/>
      <c r="L953" s="2"/>
      <c r="M953" s="2"/>
      <c r="N953" s="2"/>
      <c r="O953" s="23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</row>
    <row r="954" spans="1:32" ht="14">
      <c r="A954" s="2"/>
      <c r="B954" s="2"/>
      <c r="C954" s="2"/>
      <c r="D954" s="2"/>
      <c r="E954" s="2"/>
      <c r="F954" s="569"/>
      <c r="G954" s="2"/>
      <c r="H954" s="2"/>
      <c r="I954" s="2"/>
      <c r="J954" s="366"/>
      <c r="K954" s="2"/>
      <c r="L954" s="2"/>
      <c r="M954" s="2"/>
      <c r="N954" s="2"/>
      <c r="O954" s="23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</row>
    <row r="955" spans="1:32" ht="14">
      <c r="A955" s="2"/>
      <c r="B955" s="2"/>
      <c r="C955" s="2"/>
      <c r="D955" s="2"/>
      <c r="E955" s="2"/>
      <c r="F955" s="569"/>
      <c r="G955" s="2"/>
      <c r="H955" s="2"/>
      <c r="I955" s="2"/>
      <c r="J955" s="366"/>
      <c r="K955" s="2"/>
      <c r="L955" s="2"/>
      <c r="M955" s="2"/>
      <c r="N955" s="2"/>
      <c r="O955" s="23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</row>
    <row r="956" spans="1:32" ht="14">
      <c r="A956" s="2"/>
      <c r="B956" s="2"/>
      <c r="C956" s="2"/>
      <c r="D956" s="2"/>
      <c r="E956" s="2"/>
      <c r="F956" s="569"/>
      <c r="G956" s="2"/>
      <c r="H956" s="2"/>
      <c r="I956" s="2"/>
      <c r="J956" s="366"/>
      <c r="K956" s="2"/>
      <c r="L956" s="2"/>
      <c r="M956" s="2"/>
      <c r="N956" s="2"/>
      <c r="O956" s="23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</row>
    <row r="957" spans="1:32" ht="14">
      <c r="A957" s="2"/>
      <c r="B957" s="2"/>
      <c r="C957" s="2"/>
      <c r="D957" s="2"/>
      <c r="E957" s="2"/>
      <c r="F957" s="569"/>
      <c r="G957" s="2"/>
      <c r="H957" s="2"/>
      <c r="I957" s="2"/>
      <c r="J957" s="366"/>
      <c r="K957" s="2"/>
      <c r="L957" s="2"/>
      <c r="M957" s="2"/>
      <c r="N957" s="2"/>
      <c r="O957" s="23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</row>
    <row r="958" spans="1:32" ht="14">
      <c r="A958" s="2"/>
      <c r="B958" s="2"/>
      <c r="C958" s="2"/>
      <c r="D958" s="2"/>
      <c r="E958" s="2"/>
      <c r="F958" s="569"/>
      <c r="G958" s="2"/>
      <c r="H958" s="2"/>
      <c r="I958" s="2"/>
      <c r="J958" s="366"/>
      <c r="K958" s="2"/>
      <c r="L958" s="2"/>
      <c r="M958" s="2"/>
      <c r="N958" s="2"/>
      <c r="O958" s="23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</row>
    <row r="959" spans="1:32" ht="14">
      <c r="A959" s="2"/>
      <c r="B959" s="2"/>
      <c r="C959" s="2"/>
      <c r="D959" s="2"/>
      <c r="E959" s="2"/>
      <c r="F959" s="569"/>
      <c r="G959" s="2"/>
      <c r="H959" s="2"/>
      <c r="I959" s="2"/>
      <c r="J959" s="366"/>
      <c r="K959" s="2"/>
      <c r="L959" s="2"/>
      <c r="M959" s="2"/>
      <c r="N959" s="2"/>
      <c r="O959" s="23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</row>
    <row r="960" spans="1:32" ht="14">
      <c r="A960" s="2"/>
      <c r="B960" s="2"/>
      <c r="C960" s="2"/>
      <c r="D960" s="2"/>
      <c r="E960" s="2"/>
      <c r="F960" s="569"/>
      <c r="G960" s="2"/>
      <c r="H960" s="2"/>
      <c r="I960" s="2"/>
      <c r="J960" s="366"/>
      <c r="K960" s="2"/>
      <c r="L960" s="2"/>
      <c r="M960" s="2"/>
      <c r="N960" s="2"/>
      <c r="O960" s="23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</row>
    <row r="961" spans="1:32" ht="14">
      <c r="A961" s="2"/>
      <c r="B961" s="2"/>
      <c r="C961" s="2"/>
      <c r="D961" s="2"/>
      <c r="E961" s="2"/>
      <c r="F961" s="569"/>
      <c r="G961" s="2"/>
      <c r="H961" s="2"/>
      <c r="I961" s="2"/>
      <c r="J961" s="366"/>
      <c r="K961" s="2"/>
      <c r="L961" s="2"/>
      <c r="M961" s="2"/>
      <c r="N961" s="2"/>
      <c r="O961" s="23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</row>
    <row r="962" spans="1:32" ht="14">
      <c r="A962" s="2"/>
      <c r="B962" s="2"/>
      <c r="C962" s="2"/>
      <c r="D962" s="2"/>
      <c r="E962" s="2"/>
      <c r="F962" s="569"/>
      <c r="G962" s="2"/>
      <c r="H962" s="2"/>
      <c r="I962" s="2"/>
      <c r="J962" s="366"/>
      <c r="K962" s="2"/>
      <c r="L962" s="2"/>
      <c r="M962" s="2"/>
      <c r="N962" s="2"/>
      <c r="O962" s="23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</row>
    <row r="963" spans="1:32" ht="14">
      <c r="A963" s="2"/>
      <c r="B963" s="2"/>
      <c r="C963" s="2"/>
      <c r="D963" s="2"/>
      <c r="E963" s="2"/>
      <c r="F963" s="569"/>
      <c r="G963" s="2"/>
      <c r="H963" s="2"/>
      <c r="I963" s="2"/>
      <c r="J963" s="366"/>
      <c r="K963" s="2"/>
      <c r="L963" s="2"/>
      <c r="M963" s="2"/>
      <c r="N963" s="2"/>
      <c r="O963" s="23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</row>
    <row r="964" spans="1:32" ht="14">
      <c r="A964" s="2"/>
      <c r="B964" s="2"/>
      <c r="C964" s="2"/>
      <c r="D964" s="2"/>
      <c r="E964" s="2"/>
      <c r="F964" s="569"/>
      <c r="G964" s="2"/>
      <c r="H964" s="2"/>
      <c r="I964" s="2"/>
      <c r="J964" s="366"/>
      <c r="K964" s="2"/>
      <c r="L964" s="2"/>
      <c r="M964" s="2"/>
      <c r="N964" s="2"/>
      <c r="O964" s="23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</row>
    <row r="965" spans="1:32" ht="14">
      <c r="A965" s="2"/>
      <c r="B965" s="2"/>
      <c r="C965" s="2"/>
      <c r="D965" s="2"/>
      <c r="E965" s="2"/>
      <c r="F965" s="569"/>
      <c r="G965" s="2"/>
      <c r="H965" s="2"/>
      <c r="I965" s="2"/>
      <c r="J965" s="366"/>
      <c r="K965" s="2"/>
      <c r="L965" s="2"/>
      <c r="M965" s="2"/>
      <c r="N965" s="2"/>
      <c r="O965" s="23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</row>
    <row r="966" spans="1:32" ht="14">
      <c r="A966" s="2"/>
      <c r="B966" s="2"/>
      <c r="C966" s="2"/>
      <c r="D966" s="2"/>
      <c r="E966" s="2"/>
      <c r="F966" s="569"/>
      <c r="G966" s="2"/>
      <c r="H966" s="2"/>
      <c r="I966" s="2"/>
      <c r="J966" s="366"/>
      <c r="K966" s="2"/>
      <c r="L966" s="2"/>
      <c r="M966" s="2"/>
      <c r="N966" s="2"/>
      <c r="O966" s="23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</row>
    <row r="967" spans="1:32" ht="14">
      <c r="A967" s="2"/>
      <c r="B967" s="2"/>
      <c r="C967" s="2"/>
      <c r="D967" s="2"/>
      <c r="E967" s="2"/>
      <c r="F967" s="569"/>
      <c r="G967" s="2"/>
      <c r="H967" s="2"/>
      <c r="I967" s="2"/>
      <c r="J967" s="366"/>
      <c r="K967" s="2"/>
      <c r="L967" s="2"/>
      <c r="M967" s="2"/>
      <c r="N967" s="2"/>
      <c r="O967" s="23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</row>
    <row r="968" spans="1:32" ht="14">
      <c r="A968" s="2"/>
      <c r="B968" s="2"/>
      <c r="C968" s="2"/>
      <c r="D968" s="2"/>
      <c r="E968" s="2"/>
      <c r="F968" s="569"/>
      <c r="G968" s="2"/>
      <c r="H968" s="2"/>
      <c r="I968" s="2"/>
      <c r="J968" s="366"/>
      <c r="K968" s="2"/>
      <c r="L968" s="2"/>
      <c r="M968" s="2"/>
      <c r="N968" s="2"/>
      <c r="O968" s="23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</row>
    <row r="969" spans="1:32" ht="14">
      <c r="A969" s="2"/>
      <c r="B969" s="2"/>
      <c r="C969" s="2"/>
      <c r="D969" s="2"/>
      <c r="E969" s="2"/>
      <c r="F969" s="569"/>
      <c r="G969" s="2"/>
      <c r="H969" s="2"/>
      <c r="I969" s="2"/>
      <c r="J969" s="366"/>
      <c r="K969" s="2"/>
      <c r="L969" s="2"/>
      <c r="M969" s="2"/>
      <c r="N969" s="2"/>
      <c r="O969" s="23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</row>
    <row r="970" spans="1:32" ht="14">
      <c r="A970" s="2"/>
      <c r="B970" s="2"/>
      <c r="C970" s="2"/>
      <c r="D970" s="2"/>
      <c r="E970" s="2"/>
      <c r="F970" s="569"/>
      <c r="G970" s="2"/>
      <c r="H970" s="2"/>
      <c r="I970" s="2"/>
      <c r="J970" s="366"/>
      <c r="K970" s="2"/>
      <c r="L970" s="2"/>
      <c r="M970" s="2"/>
      <c r="N970" s="2"/>
      <c r="O970" s="23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</row>
    <row r="971" spans="1:32" ht="14">
      <c r="A971" s="2"/>
      <c r="B971" s="2"/>
      <c r="C971" s="2"/>
      <c r="D971" s="2"/>
      <c r="E971" s="2"/>
      <c r="F971" s="569"/>
      <c r="G971" s="2"/>
      <c r="H971" s="2"/>
      <c r="I971" s="2"/>
      <c r="J971" s="366"/>
      <c r="K971" s="2"/>
      <c r="L971" s="2"/>
      <c r="M971" s="2"/>
      <c r="N971" s="2"/>
      <c r="O971" s="23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</row>
    <row r="972" spans="1:32" ht="14">
      <c r="A972" s="2"/>
      <c r="B972" s="2"/>
      <c r="C972" s="2"/>
      <c r="D972" s="2"/>
      <c r="E972" s="2"/>
      <c r="F972" s="569"/>
      <c r="G972" s="2"/>
      <c r="H972" s="2"/>
      <c r="I972" s="2"/>
      <c r="J972" s="366"/>
      <c r="K972" s="2"/>
      <c r="L972" s="2"/>
      <c r="M972" s="2"/>
      <c r="N972" s="2"/>
      <c r="O972" s="23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</row>
    <row r="973" spans="1:32" ht="14">
      <c r="A973" s="2"/>
      <c r="B973" s="2"/>
      <c r="C973" s="2"/>
      <c r="D973" s="2"/>
      <c r="E973" s="2"/>
      <c r="F973" s="569"/>
      <c r="G973" s="2"/>
      <c r="H973" s="2"/>
      <c r="I973" s="2"/>
      <c r="J973" s="366"/>
      <c r="K973" s="2"/>
      <c r="L973" s="2"/>
      <c r="M973" s="2"/>
      <c r="N973" s="2"/>
      <c r="O973" s="23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</row>
    <row r="974" spans="1:32" ht="14">
      <c r="A974" s="2"/>
      <c r="B974" s="2"/>
      <c r="C974" s="2"/>
      <c r="D974" s="2"/>
      <c r="E974" s="2"/>
      <c r="F974" s="569"/>
      <c r="G974" s="2"/>
      <c r="H974" s="2"/>
      <c r="I974" s="2"/>
      <c r="J974" s="366"/>
      <c r="K974" s="2"/>
      <c r="L974" s="2"/>
      <c r="M974" s="2"/>
      <c r="N974" s="2"/>
      <c r="O974" s="23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</row>
    <row r="975" spans="1:32" ht="14">
      <c r="A975" s="2"/>
      <c r="B975" s="2"/>
      <c r="C975" s="2"/>
      <c r="D975" s="2"/>
      <c r="E975" s="2"/>
      <c r="F975" s="569"/>
      <c r="G975" s="2"/>
      <c r="H975" s="2"/>
      <c r="I975" s="2"/>
      <c r="J975" s="366"/>
      <c r="K975" s="2"/>
      <c r="L975" s="2"/>
      <c r="M975" s="2"/>
      <c r="N975" s="2"/>
      <c r="O975" s="23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</row>
    <row r="976" spans="1:32" ht="14">
      <c r="A976" s="2"/>
      <c r="B976" s="2"/>
      <c r="C976" s="2"/>
      <c r="D976" s="2"/>
      <c r="E976" s="2"/>
      <c r="F976" s="569"/>
      <c r="G976" s="2"/>
      <c r="H976" s="2"/>
      <c r="I976" s="2"/>
      <c r="J976" s="366"/>
      <c r="K976" s="2"/>
      <c r="L976" s="2"/>
      <c r="M976" s="2"/>
      <c r="N976" s="2"/>
      <c r="O976" s="23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</row>
    <row r="977" spans="1:32" ht="14">
      <c r="A977" s="2"/>
      <c r="B977" s="2"/>
      <c r="C977" s="2"/>
      <c r="D977" s="2"/>
      <c r="E977" s="2"/>
      <c r="F977" s="569"/>
      <c r="G977" s="2"/>
      <c r="H977" s="2"/>
      <c r="I977" s="2"/>
      <c r="J977" s="366"/>
      <c r="K977" s="2"/>
      <c r="L977" s="2"/>
      <c r="M977" s="2"/>
      <c r="N977" s="2"/>
      <c r="O977" s="23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</row>
    <row r="978" spans="1:32" ht="14">
      <c r="A978" s="2"/>
      <c r="B978" s="2"/>
      <c r="C978" s="2"/>
      <c r="D978" s="2"/>
      <c r="E978" s="2"/>
      <c r="F978" s="569"/>
      <c r="G978" s="2"/>
      <c r="H978" s="2"/>
      <c r="I978" s="2"/>
      <c r="J978" s="366"/>
      <c r="K978" s="2"/>
      <c r="L978" s="2"/>
      <c r="M978" s="2"/>
      <c r="N978" s="2"/>
      <c r="O978" s="23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</row>
    <row r="979" spans="1:32" ht="14">
      <c r="A979" s="2"/>
      <c r="B979" s="2"/>
      <c r="C979" s="2"/>
      <c r="D979" s="2"/>
      <c r="E979" s="2"/>
      <c r="F979" s="569"/>
      <c r="G979" s="2"/>
      <c r="H979" s="2"/>
      <c r="I979" s="2"/>
      <c r="J979" s="366"/>
      <c r="K979" s="2"/>
      <c r="L979" s="2"/>
      <c r="M979" s="2"/>
      <c r="N979" s="2"/>
      <c r="O979" s="23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</row>
    <row r="980" spans="1:32" ht="14">
      <c r="A980" s="2"/>
      <c r="B980" s="2"/>
      <c r="C980" s="2"/>
      <c r="D980" s="2"/>
      <c r="E980" s="2"/>
      <c r="F980" s="569"/>
      <c r="G980" s="2"/>
      <c r="H980" s="2"/>
      <c r="I980" s="2"/>
      <c r="J980" s="366"/>
      <c r="K980" s="2"/>
      <c r="L980" s="2"/>
      <c r="M980" s="2"/>
      <c r="N980" s="2"/>
      <c r="O980" s="23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</row>
    <row r="981" spans="1:32" ht="14">
      <c r="A981" s="2"/>
      <c r="B981" s="2"/>
      <c r="C981" s="2"/>
      <c r="D981" s="2"/>
      <c r="E981" s="2"/>
      <c r="F981" s="569"/>
      <c r="G981" s="2"/>
      <c r="H981" s="2"/>
      <c r="I981" s="2"/>
      <c r="J981" s="366"/>
      <c r="K981" s="2"/>
      <c r="L981" s="2"/>
      <c r="M981" s="2"/>
      <c r="N981" s="2"/>
      <c r="O981" s="23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</row>
    <row r="982" spans="1:32" ht="14">
      <c r="A982" s="2"/>
      <c r="B982" s="2"/>
      <c r="C982" s="2"/>
      <c r="D982" s="2"/>
      <c r="E982" s="2"/>
      <c r="F982" s="569"/>
      <c r="G982" s="2"/>
      <c r="H982" s="2"/>
      <c r="I982" s="2"/>
      <c r="J982" s="366"/>
      <c r="K982" s="2"/>
      <c r="L982" s="2"/>
      <c r="M982" s="2"/>
      <c r="N982" s="2"/>
      <c r="O982" s="23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</row>
    <row r="983" spans="1:32" ht="14">
      <c r="A983" s="2"/>
      <c r="B983" s="2"/>
      <c r="C983" s="2"/>
      <c r="D983" s="2"/>
      <c r="E983" s="2"/>
      <c r="F983" s="569"/>
      <c r="G983" s="2"/>
      <c r="H983" s="2"/>
      <c r="I983" s="2"/>
      <c r="J983" s="366"/>
      <c r="K983" s="2"/>
      <c r="L983" s="2"/>
      <c r="M983" s="2"/>
      <c r="N983" s="2"/>
      <c r="O983" s="23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</row>
    <row r="984" spans="1:32" ht="14">
      <c r="A984" s="2"/>
      <c r="B984" s="2"/>
      <c r="C984" s="2"/>
      <c r="D984" s="2"/>
      <c r="E984" s="2"/>
      <c r="F984" s="569"/>
      <c r="G984" s="2"/>
      <c r="H984" s="2"/>
      <c r="I984" s="2"/>
      <c r="J984" s="366"/>
      <c r="K984" s="2"/>
      <c r="L984" s="2"/>
      <c r="M984" s="2"/>
      <c r="N984" s="2"/>
      <c r="O984" s="23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</row>
    <row r="985" spans="1:32" ht="14">
      <c r="A985" s="2"/>
      <c r="B985" s="2"/>
      <c r="C985" s="2"/>
      <c r="D985" s="2"/>
      <c r="E985" s="2"/>
      <c r="F985" s="569"/>
      <c r="G985" s="2"/>
      <c r="H985" s="2"/>
      <c r="I985" s="2"/>
      <c r="J985" s="366"/>
      <c r="K985" s="2"/>
      <c r="L985" s="2"/>
      <c r="M985" s="2"/>
      <c r="N985" s="2"/>
      <c r="O985" s="23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</row>
    <row r="986" spans="1:32" ht="14">
      <c r="A986" s="2"/>
      <c r="B986" s="2"/>
      <c r="C986" s="2"/>
      <c r="D986" s="2"/>
      <c r="E986" s="2"/>
      <c r="F986" s="569"/>
      <c r="G986" s="2"/>
      <c r="H986" s="2"/>
      <c r="I986" s="2"/>
      <c r="J986" s="366"/>
      <c r="K986" s="2"/>
      <c r="L986" s="2"/>
      <c r="M986" s="2"/>
      <c r="N986" s="2"/>
      <c r="O986" s="23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</row>
    <row r="987" spans="1:32" ht="14">
      <c r="A987" s="2"/>
      <c r="B987" s="2"/>
      <c r="C987" s="2"/>
      <c r="D987" s="2"/>
      <c r="E987" s="2"/>
      <c r="F987" s="569"/>
      <c r="G987" s="2"/>
      <c r="H987" s="2"/>
      <c r="I987" s="2"/>
      <c r="J987" s="366"/>
      <c r="K987" s="2"/>
      <c r="L987" s="2"/>
      <c r="M987" s="2"/>
      <c r="N987" s="2"/>
      <c r="O987" s="23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</row>
    <row r="988" spans="1:32" ht="14">
      <c r="A988" s="2"/>
      <c r="B988" s="2"/>
      <c r="C988" s="2"/>
      <c r="D988" s="2"/>
      <c r="E988" s="2"/>
      <c r="F988" s="569"/>
      <c r="G988" s="2"/>
      <c r="H988" s="2"/>
      <c r="I988" s="2"/>
      <c r="J988" s="366"/>
      <c r="K988" s="2"/>
      <c r="L988" s="2"/>
      <c r="M988" s="2"/>
      <c r="N988" s="2"/>
      <c r="O988" s="23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</row>
    <row r="989" spans="1:32" ht="14">
      <c r="A989" s="2"/>
      <c r="B989" s="2"/>
      <c r="C989" s="2"/>
      <c r="D989" s="2"/>
      <c r="E989" s="2"/>
      <c r="F989" s="569"/>
      <c r="G989" s="2"/>
      <c r="H989" s="2"/>
      <c r="I989" s="2"/>
      <c r="J989" s="366"/>
      <c r="K989" s="2"/>
      <c r="L989" s="2"/>
      <c r="M989" s="2"/>
      <c r="N989" s="2"/>
      <c r="O989" s="23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</row>
    <row r="990" spans="1:32" ht="14">
      <c r="A990" s="2"/>
      <c r="B990" s="2"/>
      <c r="C990" s="2"/>
      <c r="D990" s="2"/>
      <c r="E990" s="2"/>
      <c r="F990" s="569"/>
      <c r="G990" s="2"/>
      <c r="H990" s="2"/>
      <c r="I990" s="2"/>
      <c r="J990" s="366"/>
      <c r="K990" s="2"/>
      <c r="L990" s="2"/>
      <c r="M990" s="2"/>
      <c r="N990" s="2"/>
      <c r="O990" s="23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</row>
    <row r="991" spans="1:32" ht="14">
      <c r="A991" s="2"/>
      <c r="B991" s="2"/>
      <c r="C991" s="2"/>
      <c r="D991" s="2"/>
      <c r="E991" s="2"/>
      <c r="F991" s="569"/>
      <c r="G991" s="2"/>
      <c r="H991" s="2"/>
      <c r="I991" s="2"/>
      <c r="J991" s="366"/>
      <c r="K991" s="2"/>
      <c r="L991" s="2"/>
      <c r="M991" s="2"/>
      <c r="N991" s="2"/>
      <c r="O991" s="23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</row>
    <row r="992" spans="1:32" ht="14">
      <c r="A992" s="2"/>
      <c r="B992" s="2"/>
      <c r="C992" s="2"/>
      <c r="D992" s="2"/>
      <c r="E992" s="2"/>
      <c r="F992" s="569"/>
      <c r="G992" s="2"/>
      <c r="H992" s="2"/>
      <c r="I992" s="2"/>
      <c r="J992" s="366"/>
      <c r="K992" s="2"/>
      <c r="L992" s="2"/>
      <c r="M992" s="2"/>
      <c r="N992" s="2"/>
      <c r="O992" s="23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</row>
    <row r="993" spans="1:32" ht="14">
      <c r="A993" s="2"/>
      <c r="B993" s="2"/>
      <c r="C993" s="2"/>
      <c r="D993" s="2"/>
      <c r="E993" s="2"/>
      <c r="F993" s="569"/>
      <c r="G993" s="2"/>
      <c r="H993" s="2"/>
      <c r="I993" s="2"/>
      <c r="J993" s="366"/>
      <c r="K993" s="2"/>
      <c r="L993" s="2"/>
      <c r="M993" s="2"/>
      <c r="N993" s="2"/>
      <c r="O993" s="23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</row>
    <row r="994" spans="1:32" ht="14">
      <c r="A994" s="2"/>
      <c r="B994" s="2"/>
      <c r="C994" s="2"/>
      <c r="D994" s="2"/>
      <c r="E994" s="2"/>
      <c r="F994" s="569"/>
      <c r="G994" s="2"/>
      <c r="H994" s="2"/>
      <c r="I994" s="2"/>
      <c r="J994" s="366"/>
      <c r="K994" s="2"/>
      <c r="L994" s="2"/>
      <c r="M994" s="2"/>
      <c r="N994" s="2"/>
      <c r="O994" s="23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</row>
    <row r="995" spans="1:32" ht="14">
      <c r="A995" s="2"/>
      <c r="B995" s="2"/>
      <c r="C995" s="2"/>
      <c r="D995" s="2"/>
      <c r="E995" s="2"/>
      <c r="F995" s="569"/>
      <c r="G995" s="2"/>
      <c r="H995" s="2"/>
      <c r="I995" s="2"/>
      <c r="J995" s="366"/>
      <c r="K995" s="2"/>
      <c r="L995" s="2"/>
      <c r="M995" s="2"/>
      <c r="N995" s="2"/>
      <c r="O995" s="23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</row>
    <row r="996" spans="1:32" ht="14">
      <c r="A996" s="2"/>
      <c r="B996" s="2"/>
      <c r="C996" s="2"/>
      <c r="D996" s="2"/>
      <c r="E996" s="2"/>
      <c r="F996" s="569"/>
      <c r="G996" s="2"/>
      <c r="H996" s="2"/>
      <c r="I996" s="2"/>
      <c r="J996" s="366"/>
      <c r="K996" s="2"/>
      <c r="L996" s="2"/>
      <c r="M996" s="2"/>
      <c r="N996" s="2"/>
      <c r="O996" s="23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</row>
    <row r="997" spans="1:32" ht="14">
      <c r="A997" s="2"/>
      <c r="B997" s="2"/>
      <c r="C997" s="2"/>
      <c r="D997" s="2"/>
      <c r="E997" s="2"/>
      <c r="F997" s="569"/>
      <c r="G997" s="2"/>
      <c r="H997" s="2"/>
      <c r="I997" s="2"/>
      <c r="J997" s="366"/>
      <c r="K997" s="2"/>
      <c r="L997" s="2"/>
      <c r="M997" s="2"/>
      <c r="N997" s="2"/>
      <c r="O997" s="23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</row>
    <row r="998" spans="1:32" ht="14">
      <c r="A998" s="2"/>
      <c r="B998" s="2"/>
      <c r="C998" s="2"/>
      <c r="D998" s="2"/>
      <c r="E998" s="2"/>
      <c r="F998" s="569"/>
      <c r="G998" s="2"/>
      <c r="H998" s="2"/>
      <c r="I998" s="2"/>
      <c r="J998" s="366"/>
      <c r="K998" s="2"/>
      <c r="L998" s="2"/>
      <c r="M998" s="2"/>
      <c r="N998" s="2"/>
      <c r="O998" s="23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</row>
    <row r="999" spans="1:32" ht="14">
      <c r="A999" s="2"/>
      <c r="B999" s="2"/>
      <c r="C999" s="2"/>
      <c r="D999" s="2"/>
      <c r="E999" s="2"/>
      <c r="F999" s="569"/>
      <c r="G999" s="2"/>
      <c r="H999" s="2"/>
      <c r="I999" s="2"/>
      <c r="J999" s="366"/>
      <c r="K999" s="2"/>
      <c r="L999" s="2"/>
      <c r="M999" s="2"/>
      <c r="N999" s="2"/>
      <c r="O999" s="23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</row>
    <row r="1000" spans="1:32" ht="14">
      <c r="A1000" s="2"/>
      <c r="B1000" s="2"/>
      <c r="C1000" s="2"/>
      <c r="D1000" s="2"/>
      <c r="E1000" s="2"/>
      <c r="F1000" s="569"/>
      <c r="G1000" s="2"/>
      <c r="H1000" s="2"/>
      <c r="I1000" s="2"/>
      <c r="J1000" s="366"/>
      <c r="K1000" s="2"/>
      <c r="L1000" s="2"/>
      <c r="M1000" s="2"/>
      <c r="N1000" s="2"/>
      <c r="O1000" s="23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</row>
    <row r="1001" spans="1:32" ht="14">
      <c r="A1001" s="2"/>
      <c r="B1001" s="2"/>
      <c r="C1001" s="2"/>
      <c r="D1001" s="2"/>
      <c r="E1001" s="2"/>
      <c r="F1001" s="569"/>
      <c r="G1001" s="2"/>
      <c r="H1001" s="2"/>
      <c r="I1001" s="2"/>
      <c r="J1001" s="366"/>
      <c r="K1001" s="2"/>
      <c r="L1001" s="2"/>
      <c r="M1001" s="2"/>
      <c r="N1001" s="2"/>
      <c r="O1001" s="23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</row>
    <row r="1002" spans="1:32" ht="14">
      <c r="A1002" s="2"/>
      <c r="B1002" s="2"/>
      <c r="C1002" s="2"/>
      <c r="D1002" s="2"/>
      <c r="E1002" s="2"/>
      <c r="F1002" s="569"/>
      <c r="G1002" s="2"/>
      <c r="H1002" s="2"/>
      <c r="I1002" s="2"/>
      <c r="J1002" s="366"/>
      <c r="K1002" s="2"/>
      <c r="L1002" s="2"/>
      <c r="M1002" s="2"/>
      <c r="N1002" s="2"/>
      <c r="O1002" s="23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</row>
    <row r="1003" spans="1:32" ht="14">
      <c r="A1003" s="2"/>
      <c r="B1003" s="2"/>
      <c r="C1003" s="2"/>
      <c r="D1003" s="2"/>
      <c r="E1003" s="2"/>
      <c r="F1003" s="569"/>
      <c r="G1003" s="2"/>
      <c r="H1003" s="2"/>
      <c r="I1003" s="2"/>
      <c r="J1003" s="366"/>
      <c r="K1003" s="2"/>
      <c r="L1003" s="2"/>
      <c r="M1003" s="2"/>
      <c r="N1003" s="2"/>
      <c r="O1003" s="23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</row>
    <row r="1004" spans="1:32" ht="14">
      <c r="A1004" s="2"/>
      <c r="B1004" s="2"/>
      <c r="C1004" s="2"/>
      <c r="D1004" s="2"/>
      <c r="E1004" s="2"/>
      <c r="F1004" s="569"/>
      <c r="G1004" s="2"/>
      <c r="H1004" s="2"/>
      <c r="I1004" s="2"/>
      <c r="J1004" s="366"/>
      <c r="K1004" s="2"/>
      <c r="L1004" s="2"/>
      <c r="M1004" s="2"/>
      <c r="N1004" s="2"/>
      <c r="O1004" s="23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</row>
    <row r="1005" spans="1:32" ht="14">
      <c r="A1005" s="2"/>
      <c r="B1005" s="2"/>
      <c r="C1005" s="2"/>
      <c r="D1005" s="2"/>
      <c r="E1005" s="2"/>
      <c r="F1005" s="569"/>
      <c r="G1005" s="2"/>
      <c r="H1005" s="2"/>
      <c r="I1005" s="2"/>
      <c r="J1005" s="366"/>
      <c r="K1005" s="2"/>
      <c r="L1005" s="2"/>
      <c r="M1005" s="2"/>
      <c r="N1005" s="2"/>
      <c r="O1005" s="23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</row>
    <row r="1006" spans="1:32" ht="14">
      <c r="A1006" s="2"/>
      <c r="B1006" s="2"/>
      <c r="C1006" s="2"/>
      <c r="D1006" s="2"/>
      <c r="E1006" s="2"/>
      <c r="F1006" s="569"/>
      <c r="G1006" s="2"/>
      <c r="H1006" s="2"/>
      <c r="I1006" s="2"/>
      <c r="J1006" s="366"/>
      <c r="K1006" s="2"/>
      <c r="L1006" s="2"/>
      <c r="M1006" s="2"/>
      <c r="N1006" s="2"/>
      <c r="O1006" s="23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</row>
    <row r="1007" spans="1:32" ht="14">
      <c r="A1007" s="2"/>
      <c r="B1007" s="2"/>
      <c r="C1007" s="2"/>
      <c r="D1007" s="2"/>
      <c r="E1007" s="2"/>
      <c r="F1007" s="569"/>
      <c r="G1007" s="2"/>
      <c r="H1007" s="2"/>
      <c r="I1007" s="2"/>
      <c r="J1007" s="366"/>
      <c r="K1007" s="2"/>
      <c r="L1007" s="2"/>
      <c r="M1007" s="2"/>
      <c r="N1007" s="2"/>
      <c r="O1007" s="23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</row>
    <row r="1008" spans="1:32" ht="14">
      <c r="A1008" s="2"/>
      <c r="B1008" s="2"/>
      <c r="C1008" s="2"/>
      <c r="D1008" s="2"/>
      <c r="E1008" s="2"/>
      <c r="F1008" s="569"/>
      <c r="G1008" s="2"/>
      <c r="H1008" s="2"/>
      <c r="I1008" s="2"/>
      <c r="J1008" s="366"/>
      <c r="K1008" s="2"/>
      <c r="L1008" s="2"/>
      <c r="M1008" s="2"/>
      <c r="N1008" s="2"/>
      <c r="O1008" s="23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</row>
    <row r="1009" spans="1:32" ht="14">
      <c r="A1009" s="2"/>
      <c r="B1009" s="2"/>
      <c r="C1009" s="2"/>
      <c r="D1009" s="2"/>
      <c r="E1009" s="2"/>
      <c r="F1009" s="569"/>
      <c r="G1009" s="2"/>
      <c r="H1009" s="2"/>
      <c r="I1009" s="2"/>
      <c r="J1009" s="366"/>
      <c r="K1009" s="2"/>
      <c r="L1009" s="2"/>
      <c r="M1009" s="2"/>
      <c r="N1009" s="2"/>
      <c r="O1009" s="23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</row>
  </sheetData>
  <mergeCells count="30">
    <mergeCell ref="C25:C26"/>
    <mergeCell ref="A32:A35"/>
    <mergeCell ref="E32:E34"/>
    <mergeCell ref="O25:O26"/>
    <mergeCell ref="O32:O33"/>
    <mergeCell ref="A4:A6"/>
    <mergeCell ref="O4:O5"/>
    <mergeCell ref="A8:A31"/>
    <mergeCell ref="I8:I10"/>
    <mergeCell ref="I11:I13"/>
    <mergeCell ref="O20:O24"/>
    <mergeCell ref="N28:N29"/>
    <mergeCell ref="E11:E13"/>
    <mergeCell ref="E14:E18"/>
    <mergeCell ref="O8:O13"/>
    <mergeCell ref="O14:O18"/>
    <mergeCell ref="I14:I18"/>
    <mergeCell ref="E20:E24"/>
    <mergeCell ref="B25:B26"/>
    <mergeCell ref="M25:M27"/>
    <mergeCell ref="N25:N27"/>
    <mergeCell ref="E8:E10"/>
    <mergeCell ref="E28:E29"/>
    <mergeCell ref="I20:I24"/>
    <mergeCell ref="E25:E27"/>
    <mergeCell ref="I25:I27"/>
    <mergeCell ref="K25:K26"/>
    <mergeCell ref="L25:L26"/>
    <mergeCell ref="I28:I29"/>
    <mergeCell ref="M28:M29"/>
  </mergeCells>
  <phoneticPr fontId="179" type="noConversion"/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1C232"/>
    <outlinePr summaryBelow="0" summaryRight="0"/>
  </sheetPr>
  <dimension ref="A1:GJ929"/>
  <sheetViews>
    <sheetView workbookViewId="0"/>
  </sheetViews>
  <sheetFormatPr baseColWidth="10" defaultColWidth="12.5" defaultRowHeight="15.75" customHeight="1"/>
  <cols>
    <col min="1" max="1" width="3.5" customWidth="1"/>
    <col min="2" max="2" width="16" customWidth="1"/>
    <col min="3" max="3" width="14.5" customWidth="1"/>
    <col min="4" max="4" width="16.6640625" customWidth="1"/>
    <col min="5" max="5" width="6.33203125" customWidth="1"/>
    <col min="6" max="6" width="13.5" customWidth="1"/>
    <col min="7" max="7" width="36" customWidth="1"/>
    <col min="8" max="10" width="9.5" customWidth="1"/>
    <col min="11" max="11" width="13.33203125" customWidth="1"/>
    <col min="12" max="13" width="11" customWidth="1"/>
    <col min="14" max="14" width="29.33203125" customWidth="1"/>
    <col min="15" max="15" width="16.83203125" customWidth="1"/>
  </cols>
  <sheetData>
    <row r="1" spans="1:192" ht="26">
      <c r="A1" s="681" t="s">
        <v>14824</v>
      </c>
      <c r="B1" s="682"/>
      <c r="C1" s="682"/>
      <c r="D1" s="683" t="s">
        <v>79</v>
      </c>
      <c r="E1" s="390"/>
      <c r="F1" s="390"/>
      <c r="G1" s="684"/>
      <c r="H1" s="683"/>
      <c r="I1" s="683"/>
      <c r="J1" s="683"/>
      <c r="K1" s="390"/>
      <c r="L1" s="390"/>
      <c r="M1" s="685"/>
      <c r="N1" s="686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  <c r="EE1" s="70"/>
      <c r="EF1" s="70"/>
      <c r="EG1" s="70"/>
      <c r="EH1" s="70"/>
      <c r="EI1" s="70"/>
      <c r="EJ1" s="70"/>
      <c r="EK1" s="70"/>
      <c r="EL1" s="70"/>
      <c r="EM1" s="70"/>
      <c r="EN1" s="70"/>
      <c r="EO1" s="70"/>
      <c r="EP1" s="70"/>
      <c r="EQ1" s="70"/>
      <c r="ER1" s="70"/>
      <c r="ES1" s="70"/>
      <c r="ET1" s="70"/>
      <c r="EU1" s="70"/>
      <c r="EV1" s="70"/>
      <c r="EW1" s="70"/>
      <c r="EX1" s="70"/>
      <c r="EY1" s="70"/>
      <c r="EZ1" s="70"/>
      <c r="FA1" s="70"/>
      <c r="FB1" s="70"/>
      <c r="FC1" s="70"/>
      <c r="FD1" s="70"/>
      <c r="FE1" s="70"/>
      <c r="FF1" s="70"/>
      <c r="FG1" s="70"/>
      <c r="FH1" s="70"/>
      <c r="FI1" s="70"/>
      <c r="FJ1" s="70"/>
      <c r="FK1" s="70"/>
      <c r="FL1" s="70"/>
      <c r="FM1" s="70"/>
      <c r="FN1" s="70"/>
      <c r="FO1" s="70"/>
      <c r="FP1" s="70"/>
      <c r="FQ1" s="70"/>
      <c r="FR1" s="70"/>
      <c r="FS1" s="70"/>
      <c r="FT1" s="70"/>
      <c r="FU1" s="70"/>
      <c r="FV1" s="70"/>
      <c r="FW1" s="70"/>
      <c r="FX1" s="70"/>
      <c r="FY1" s="70"/>
      <c r="FZ1" s="70"/>
      <c r="GA1" s="70"/>
      <c r="GB1" s="70"/>
      <c r="GC1" s="70"/>
      <c r="GD1" s="70"/>
      <c r="GE1" s="70"/>
      <c r="GF1" s="70"/>
      <c r="GG1" s="70"/>
      <c r="GH1" s="70"/>
      <c r="GI1" s="70"/>
      <c r="GJ1" s="70"/>
    </row>
    <row r="2" spans="1:192" ht="13">
      <c r="A2" s="346"/>
      <c r="B2" s="687"/>
      <c r="C2" s="687"/>
      <c r="D2" s="349"/>
      <c r="E2" s="346"/>
      <c r="F2" s="346"/>
      <c r="G2" s="346"/>
      <c r="H2" s="346"/>
      <c r="I2" s="346"/>
      <c r="J2" s="346"/>
      <c r="K2" s="1224" t="s">
        <v>14825</v>
      </c>
      <c r="L2" s="1138"/>
      <c r="M2" s="1096"/>
      <c r="N2" s="687"/>
      <c r="O2" s="346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  <c r="EE2" s="70"/>
      <c r="EF2" s="70"/>
      <c r="EG2" s="70"/>
      <c r="EH2" s="70"/>
      <c r="EI2" s="70"/>
      <c r="EJ2" s="70"/>
      <c r="EK2" s="70"/>
      <c r="EL2" s="70"/>
      <c r="EM2" s="70"/>
      <c r="EN2" s="70"/>
      <c r="EO2" s="70"/>
      <c r="EP2" s="70"/>
      <c r="EQ2" s="70"/>
      <c r="ER2" s="70"/>
      <c r="ES2" s="70"/>
      <c r="ET2" s="70"/>
      <c r="EU2" s="70"/>
      <c r="EV2" s="70"/>
      <c r="EW2" s="70"/>
      <c r="EX2" s="70"/>
      <c r="EY2" s="70"/>
      <c r="EZ2" s="70"/>
      <c r="FA2" s="70"/>
      <c r="FB2" s="70"/>
      <c r="FC2" s="70"/>
      <c r="FD2" s="70"/>
      <c r="FE2" s="70"/>
      <c r="FF2" s="70"/>
      <c r="FG2" s="70"/>
      <c r="FH2" s="70"/>
      <c r="FI2" s="70"/>
      <c r="FJ2" s="70"/>
      <c r="FK2" s="70"/>
      <c r="FL2" s="70"/>
      <c r="FM2" s="70"/>
      <c r="FN2" s="70"/>
      <c r="FO2" s="70"/>
      <c r="FP2" s="70"/>
      <c r="FQ2" s="70"/>
      <c r="FR2" s="70"/>
      <c r="FS2" s="70"/>
      <c r="FT2" s="70"/>
      <c r="FU2" s="70"/>
      <c r="FV2" s="70"/>
      <c r="FW2" s="70"/>
      <c r="FX2" s="70"/>
      <c r="FY2" s="70"/>
      <c r="FZ2" s="70"/>
      <c r="GA2" s="70"/>
      <c r="GB2" s="70"/>
      <c r="GC2" s="70"/>
      <c r="GD2" s="70"/>
      <c r="GE2" s="70"/>
      <c r="GF2" s="70"/>
      <c r="GG2" s="70"/>
      <c r="GH2" s="70"/>
      <c r="GI2" s="70"/>
      <c r="GJ2" s="70"/>
    </row>
    <row r="3" spans="1:192" ht="13">
      <c r="A3" s="689" t="s">
        <v>14826</v>
      </c>
      <c r="B3" s="690" t="s">
        <v>14827</v>
      </c>
      <c r="C3" s="691" t="s">
        <v>14828</v>
      </c>
      <c r="D3" s="692" t="s">
        <v>359</v>
      </c>
      <c r="E3" s="693" t="s">
        <v>14829</v>
      </c>
      <c r="F3" s="694" t="s">
        <v>14830</v>
      </c>
      <c r="G3" s="689" t="s">
        <v>14769</v>
      </c>
      <c r="H3" s="689" t="s">
        <v>14</v>
      </c>
      <c r="I3" s="688" t="s">
        <v>15</v>
      </c>
      <c r="J3" s="695" t="s">
        <v>14831</v>
      </c>
      <c r="K3" s="696" t="s">
        <v>14832</v>
      </c>
      <c r="L3" s="688" t="s">
        <v>14766</v>
      </c>
      <c r="M3" s="691" t="s">
        <v>14833</v>
      </c>
      <c r="N3" s="690" t="s">
        <v>14834</v>
      </c>
      <c r="O3" s="689" t="s">
        <v>14835</v>
      </c>
      <c r="P3" s="199"/>
      <c r="Q3" s="697"/>
      <c r="R3" s="70"/>
      <c r="S3" s="70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</row>
    <row r="4" spans="1:192" ht="13" hidden="1">
      <c r="A4" s="24">
        <v>1</v>
      </c>
      <c r="B4" s="54" t="s">
        <v>45</v>
      </c>
      <c r="C4" s="698" t="s">
        <v>14836</v>
      </c>
      <c r="D4" s="699" t="s">
        <v>14837</v>
      </c>
      <c r="E4" s="700" t="s">
        <v>1541</v>
      </c>
      <c r="F4" s="228" t="s">
        <v>14838</v>
      </c>
      <c r="G4" s="701" t="s">
        <v>14839</v>
      </c>
      <c r="H4" s="702"/>
      <c r="I4" s="703"/>
      <c r="J4" s="704"/>
      <c r="K4" s="703"/>
      <c r="L4" s="703"/>
      <c r="M4" s="705"/>
      <c r="N4" s="706" t="s">
        <v>14840</v>
      </c>
      <c r="O4" s="156"/>
      <c r="P4" s="707"/>
      <c r="Q4" s="707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  <c r="EE4" s="70"/>
      <c r="EF4" s="70"/>
      <c r="EG4" s="70"/>
      <c r="EH4" s="70"/>
      <c r="EI4" s="70"/>
      <c r="EJ4" s="70"/>
      <c r="EK4" s="70"/>
      <c r="EL4" s="70"/>
      <c r="EM4" s="70"/>
      <c r="EN4" s="70"/>
      <c r="EO4" s="70"/>
      <c r="EP4" s="70"/>
      <c r="EQ4" s="70"/>
      <c r="ER4" s="70"/>
      <c r="ES4" s="70"/>
      <c r="ET4" s="70"/>
      <c r="EU4" s="70"/>
      <c r="EV4" s="70"/>
      <c r="EW4" s="70"/>
      <c r="EX4" s="70"/>
      <c r="EY4" s="70"/>
      <c r="EZ4" s="70"/>
      <c r="FA4" s="70"/>
      <c r="FB4" s="70"/>
      <c r="FC4" s="70"/>
      <c r="FD4" s="70"/>
      <c r="FE4" s="70"/>
      <c r="FF4" s="70"/>
      <c r="FG4" s="70"/>
      <c r="FH4" s="70"/>
      <c r="FI4" s="70"/>
      <c r="FJ4" s="70"/>
      <c r="FK4" s="70"/>
      <c r="FL4" s="70"/>
      <c r="FM4" s="70"/>
      <c r="FN4" s="70"/>
      <c r="FO4" s="70"/>
      <c r="FP4" s="70"/>
      <c r="FQ4" s="70"/>
      <c r="FR4" s="70"/>
      <c r="FS4" s="70"/>
      <c r="FT4" s="70"/>
      <c r="FU4" s="70"/>
      <c r="FV4" s="70"/>
      <c r="FW4" s="70"/>
      <c r="FX4" s="70"/>
      <c r="FY4" s="70"/>
      <c r="FZ4" s="70"/>
      <c r="GA4" s="70"/>
      <c r="GB4" s="70"/>
      <c r="GC4" s="70"/>
      <c r="GD4" s="70"/>
      <c r="GE4" s="70"/>
      <c r="GF4" s="70"/>
      <c r="GG4" s="70"/>
      <c r="GH4" s="70"/>
      <c r="GI4" s="70"/>
      <c r="GJ4" s="70"/>
    </row>
    <row r="5" spans="1:192" ht="13" hidden="1">
      <c r="A5" s="24">
        <v>2</v>
      </c>
      <c r="B5" s="54" t="s">
        <v>45</v>
      </c>
      <c r="C5" s="698" t="s">
        <v>14836</v>
      </c>
      <c r="D5" s="699" t="s">
        <v>14841</v>
      </c>
      <c r="E5" s="700" t="s">
        <v>1541</v>
      </c>
      <c r="F5" s="228" t="s">
        <v>14838</v>
      </c>
      <c r="G5" s="701" t="s">
        <v>14842</v>
      </c>
      <c r="H5" s="702"/>
      <c r="I5" s="703"/>
      <c r="J5" s="704"/>
      <c r="K5" s="703"/>
      <c r="L5" s="703"/>
      <c r="M5" s="705"/>
      <c r="N5" s="706" t="s">
        <v>14843</v>
      </c>
      <c r="O5" s="156"/>
      <c r="P5" s="707"/>
      <c r="Q5" s="707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  <c r="EE5" s="70"/>
      <c r="EF5" s="70"/>
      <c r="EG5" s="70"/>
      <c r="EH5" s="70"/>
      <c r="EI5" s="70"/>
      <c r="EJ5" s="70"/>
      <c r="EK5" s="70"/>
      <c r="EL5" s="70"/>
      <c r="EM5" s="70"/>
      <c r="EN5" s="70"/>
      <c r="EO5" s="70"/>
      <c r="EP5" s="70"/>
      <c r="EQ5" s="70"/>
      <c r="ER5" s="70"/>
      <c r="ES5" s="70"/>
      <c r="ET5" s="70"/>
      <c r="EU5" s="70"/>
      <c r="EV5" s="70"/>
      <c r="EW5" s="70"/>
      <c r="EX5" s="70"/>
      <c r="EY5" s="70"/>
      <c r="EZ5" s="70"/>
      <c r="FA5" s="70"/>
      <c r="FB5" s="70"/>
      <c r="FC5" s="70"/>
      <c r="FD5" s="70"/>
      <c r="FE5" s="70"/>
      <c r="FF5" s="70"/>
      <c r="FG5" s="70"/>
      <c r="FH5" s="70"/>
      <c r="FI5" s="70"/>
      <c r="FJ5" s="70"/>
      <c r="FK5" s="70"/>
      <c r="FL5" s="70"/>
      <c r="FM5" s="70"/>
      <c r="FN5" s="70"/>
      <c r="FO5" s="70"/>
      <c r="FP5" s="70"/>
      <c r="FQ5" s="70"/>
      <c r="FR5" s="70"/>
      <c r="FS5" s="70"/>
      <c r="FT5" s="70"/>
      <c r="FU5" s="70"/>
      <c r="FV5" s="70"/>
      <c r="FW5" s="70"/>
      <c r="FX5" s="70"/>
      <c r="FY5" s="70"/>
      <c r="FZ5" s="70"/>
      <c r="GA5" s="70"/>
      <c r="GB5" s="70"/>
      <c r="GC5" s="70"/>
      <c r="GD5" s="70"/>
      <c r="GE5" s="70"/>
      <c r="GF5" s="70"/>
      <c r="GG5" s="70"/>
      <c r="GH5" s="70"/>
      <c r="GI5" s="70"/>
      <c r="GJ5" s="70"/>
    </row>
    <row r="6" spans="1:192" ht="13" hidden="1">
      <c r="A6" s="24">
        <v>3</v>
      </c>
      <c r="B6" s="54" t="s">
        <v>45</v>
      </c>
      <c r="C6" s="698" t="s">
        <v>14836</v>
      </c>
      <c r="D6" s="699" t="s">
        <v>14844</v>
      </c>
      <c r="E6" s="700" t="s">
        <v>1541</v>
      </c>
      <c r="F6" s="228" t="s">
        <v>14838</v>
      </c>
      <c r="G6" s="701" t="s">
        <v>14845</v>
      </c>
      <c r="H6" s="702"/>
      <c r="I6" s="703"/>
      <c r="J6" s="704"/>
      <c r="K6" s="703"/>
      <c r="L6" s="703"/>
      <c r="M6" s="705"/>
      <c r="N6" s="706" t="s">
        <v>14846</v>
      </c>
      <c r="O6" s="156"/>
      <c r="P6" s="707"/>
      <c r="Q6" s="707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  <c r="EE6" s="70"/>
      <c r="EF6" s="70"/>
      <c r="EG6" s="70"/>
      <c r="EH6" s="70"/>
      <c r="EI6" s="70"/>
      <c r="EJ6" s="70"/>
      <c r="EK6" s="70"/>
      <c r="EL6" s="70"/>
      <c r="EM6" s="70"/>
      <c r="EN6" s="70"/>
      <c r="EO6" s="70"/>
      <c r="EP6" s="70"/>
      <c r="EQ6" s="70"/>
      <c r="ER6" s="70"/>
      <c r="ES6" s="70"/>
      <c r="ET6" s="70"/>
      <c r="EU6" s="70"/>
      <c r="EV6" s="70"/>
      <c r="EW6" s="70"/>
      <c r="EX6" s="70"/>
      <c r="EY6" s="70"/>
      <c r="EZ6" s="70"/>
      <c r="FA6" s="70"/>
      <c r="FB6" s="70"/>
      <c r="FC6" s="70"/>
      <c r="FD6" s="70"/>
      <c r="FE6" s="70"/>
      <c r="FF6" s="70"/>
      <c r="FG6" s="70"/>
      <c r="FH6" s="70"/>
      <c r="FI6" s="70"/>
      <c r="FJ6" s="70"/>
      <c r="FK6" s="70"/>
      <c r="FL6" s="70"/>
      <c r="FM6" s="70"/>
      <c r="FN6" s="70"/>
      <c r="FO6" s="70"/>
      <c r="FP6" s="70"/>
      <c r="FQ6" s="70"/>
      <c r="FR6" s="70"/>
      <c r="FS6" s="70"/>
      <c r="FT6" s="70"/>
      <c r="FU6" s="70"/>
      <c r="FV6" s="70"/>
      <c r="FW6" s="70"/>
      <c r="FX6" s="70"/>
      <c r="FY6" s="70"/>
      <c r="FZ6" s="70"/>
      <c r="GA6" s="70"/>
      <c r="GB6" s="70"/>
      <c r="GC6" s="70"/>
      <c r="GD6" s="70"/>
      <c r="GE6" s="70"/>
      <c r="GF6" s="70"/>
      <c r="GG6" s="70"/>
      <c r="GH6" s="70"/>
      <c r="GI6" s="70"/>
      <c r="GJ6" s="70"/>
    </row>
    <row r="7" spans="1:192" ht="13">
      <c r="A7" s="1225"/>
      <c r="B7" s="1205" t="s">
        <v>14847</v>
      </c>
      <c r="C7" s="1189" t="s">
        <v>14848</v>
      </c>
      <c r="D7" s="1207" t="s">
        <v>14849</v>
      </c>
      <c r="E7" s="1208" t="s">
        <v>1541</v>
      </c>
      <c r="F7" s="1223" t="s">
        <v>14850</v>
      </c>
      <c r="G7" s="1198" t="s">
        <v>14851</v>
      </c>
      <c r="H7" s="1217">
        <v>44440</v>
      </c>
      <c r="I7" s="1218">
        <v>46265</v>
      </c>
      <c r="J7" s="1191">
        <v>13392000</v>
      </c>
      <c r="K7" s="1226" t="s">
        <v>14852</v>
      </c>
      <c r="L7" s="702" t="s">
        <v>1767</v>
      </c>
      <c r="M7" s="713">
        <v>8078400</v>
      </c>
      <c r="N7" s="1192" t="s">
        <v>14853</v>
      </c>
      <c r="O7" s="714" t="s">
        <v>14832</v>
      </c>
      <c r="P7" s="707"/>
      <c r="Q7" s="707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  <c r="EE7" s="70"/>
      <c r="EF7" s="70"/>
      <c r="EG7" s="70"/>
      <c r="EH7" s="70"/>
      <c r="EI7" s="70"/>
      <c r="EJ7" s="70"/>
      <c r="EK7" s="70"/>
      <c r="EL7" s="70"/>
      <c r="EM7" s="70"/>
      <c r="EN7" s="70"/>
      <c r="EO7" s="70"/>
      <c r="EP7" s="70"/>
      <c r="EQ7" s="70"/>
      <c r="ER7" s="70"/>
      <c r="ES7" s="70"/>
      <c r="ET7" s="70"/>
      <c r="EU7" s="70"/>
      <c r="EV7" s="70"/>
      <c r="EW7" s="70"/>
      <c r="EX7" s="70"/>
      <c r="EY7" s="70"/>
      <c r="EZ7" s="70"/>
      <c r="FA7" s="70"/>
      <c r="FB7" s="70"/>
      <c r="FC7" s="70"/>
      <c r="FD7" s="70"/>
      <c r="FE7" s="70"/>
      <c r="FF7" s="70"/>
      <c r="FG7" s="70"/>
      <c r="FH7" s="70"/>
      <c r="FI7" s="70"/>
      <c r="FJ7" s="70"/>
      <c r="FK7" s="70"/>
      <c r="FL7" s="70"/>
      <c r="FM7" s="70"/>
      <c r="FN7" s="70"/>
      <c r="FO7" s="70"/>
      <c r="FP7" s="70"/>
      <c r="FQ7" s="70"/>
      <c r="FR7" s="70"/>
      <c r="FS7" s="70"/>
      <c r="FT7" s="70"/>
      <c r="FU7" s="70"/>
      <c r="FV7" s="70"/>
      <c r="FW7" s="70"/>
      <c r="FX7" s="70"/>
      <c r="FY7" s="70"/>
      <c r="FZ7" s="70"/>
      <c r="GA7" s="70"/>
      <c r="GB7" s="70"/>
      <c r="GC7" s="70"/>
      <c r="GD7" s="70"/>
      <c r="GE7" s="70"/>
      <c r="GF7" s="70"/>
      <c r="GG7" s="70"/>
      <c r="GH7" s="70"/>
      <c r="GI7" s="70"/>
      <c r="GJ7" s="70"/>
    </row>
    <row r="8" spans="1:192" ht="13">
      <c r="A8" s="1106"/>
      <c r="B8" s="1051"/>
      <c r="C8" s="1143"/>
      <c r="D8" s="1182"/>
      <c r="E8" s="1209"/>
      <c r="F8" s="1051"/>
      <c r="G8" s="1051"/>
      <c r="H8" s="1051"/>
      <c r="I8" s="1143"/>
      <c r="J8" s="1182"/>
      <c r="K8" s="1095"/>
      <c r="L8" s="463" t="s">
        <v>1577</v>
      </c>
      <c r="M8" s="464">
        <v>3326400</v>
      </c>
      <c r="N8" s="1051"/>
      <c r="O8" s="1227" t="s">
        <v>14852</v>
      </c>
      <c r="P8" s="707"/>
      <c r="Q8" s="707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  <c r="EE8" s="70"/>
      <c r="EF8" s="70"/>
      <c r="EG8" s="70"/>
      <c r="EH8" s="70"/>
      <c r="EI8" s="70"/>
      <c r="EJ8" s="70"/>
      <c r="EK8" s="70"/>
      <c r="EL8" s="70"/>
      <c r="EM8" s="70"/>
      <c r="EN8" s="70"/>
      <c r="EO8" s="70"/>
      <c r="EP8" s="70"/>
      <c r="EQ8" s="70"/>
      <c r="ER8" s="70"/>
      <c r="ES8" s="70"/>
      <c r="ET8" s="70"/>
      <c r="EU8" s="70"/>
      <c r="EV8" s="70"/>
      <c r="EW8" s="70"/>
      <c r="EX8" s="70"/>
      <c r="EY8" s="70"/>
      <c r="EZ8" s="70"/>
      <c r="FA8" s="70"/>
      <c r="FB8" s="70"/>
      <c r="FC8" s="70"/>
      <c r="FD8" s="70"/>
      <c r="FE8" s="70"/>
      <c r="FF8" s="70"/>
      <c r="FG8" s="70"/>
      <c r="FH8" s="70"/>
      <c r="FI8" s="70"/>
      <c r="FJ8" s="70"/>
      <c r="FK8" s="70"/>
      <c r="FL8" s="70"/>
      <c r="FM8" s="70"/>
      <c r="FN8" s="70"/>
      <c r="FO8" s="70"/>
      <c r="FP8" s="70"/>
      <c r="FQ8" s="70"/>
      <c r="FR8" s="70"/>
      <c r="FS8" s="70"/>
      <c r="FT8" s="70"/>
      <c r="FU8" s="70"/>
      <c r="FV8" s="70"/>
      <c r="FW8" s="70"/>
      <c r="FX8" s="70"/>
      <c r="FY8" s="70"/>
      <c r="FZ8" s="70"/>
      <c r="GA8" s="70"/>
      <c r="GB8" s="70"/>
      <c r="GC8" s="70"/>
      <c r="GD8" s="70"/>
      <c r="GE8" s="70"/>
      <c r="GF8" s="70"/>
      <c r="GG8" s="70"/>
      <c r="GH8" s="70"/>
      <c r="GI8" s="70"/>
      <c r="GJ8" s="70"/>
    </row>
    <row r="9" spans="1:192" ht="13">
      <c r="A9" s="1106"/>
      <c r="B9" s="1051"/>
      <c r="C9" s="1143"/>
      <c r="D9" s="1182"/>
      <c r="E9" s="1209"/>
      <c r="F9" s="1051"/>
      <c r="G9" s="1051"/>
      <c r="H9" s="1051"/>
      <c r="I9" s="1143"/>
      <c r="J9" s="1182"/>
      <c r="K9" s="1095"/>
      <c r="L9" s="463" t="s">
        <v>1579</v>
      </c>
      <c r="M9" s="464">
        <v>356400</v>
      </c>
      <c r="N9" s="1051"/>
      <c r="O9" s="1051"/>
      <c r="P9" s="707"/>
      <c r="Q9" s="707"/>
      <c r="R9" s="70"/>
      <c r="S9" s="70"/>
      <c r="T9" s="348"/>
      <c r="U9" s="348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  <c r="EE9" s="70"/>
      <c r="EF9" s="70"/>
      <c r="EG9" s="70"/>
      <c r="EH9" s="70"/>
      <c r="EI9" s="70"/>
      <c r="EJ9" s="70"/>
      <c r="EK9" s="70"/>
      <c r="EL9" s="70"/>
      <c r="EM9" s="70"/>
      <c r="EN9" s="70"/>
      <c r="EO9" s="70"/>
      <c r="EP9" s="70"/>
      <c r="EQ9" s="70"/>
      <c r="ER9" s="70"/>
      <c r="ES9" s="70"/>
      <c r="ET9" s="70"/>
      <c r="EU9" s="70"/>
      <c r="EV9" s="70"/>
      <c r="EW9" s="70"/>
      <c r="EX9" s="70"/>
      <c r="EY9" s="70"/>
      <c r="EZ9" s="70"/>
      <c r="FA9" s="70"/>
      <c r="FB9" s="70"/>
      <c r="FC9" s="70"/>
      <c r="FD9" s="70"/>
      <c r="FE9" s="70"/>
      <c r="FF9" s="70"/>
      <c r="FG9" s="70"/>
      <c r="FH9" s="70"/>
      <c r="FI9" s="70"/>
      <c r="FJ9" s="70"/>
      <c r="FK9" s="70"/>
      <c r="FL9" s="70"/>
      <c r="FM9" s="70"/>
      <c r="FN9" s="70"/>
      <c r="FO9" s="70"/>
      <c r="FP9" s="70"/>
      <c r="FQ9" s="70"/>
      <c r="FR9" s="70"/>
      <c r="FS9" s="70"/>
      <c r="FT9" s="70"/>
      <c r="FU9" s="70"/>
      <c r="FV9" s="70"/>
      <c r="FW9" s="70"/>
      <c r="FX9" s="70"/>
      <c r="FY9" s="70"/>
      <c r="FZ9" s="70"/>
      <c r="GA9" s="70"/>
      <c r="GB9" s="70"/>
      <c r="GC9" s="70"/>
      <c r="GD9" s="70"/>
      <c r="GE9" s="70"/>
      <c r="GF9" s="70"/>
      <c r="GG9" s="70"/>
      <c r="GH9" s="70"/>
      <c r="GI9" s="70"/>
      <c r="GJ9" s="70"/>
    </row>
    <row r="10" spans="1:192" ht="13">
      <c r="A10" s="1106"/>
      <c r="B10" s="1051"/>
      <c r="C10" s="1143"/>
      <c r="D10" s="1182"/>
      <c r="E10" s="1209"/>
      <c r="F10" s="1051"/>
      <c r="G10" s="1051"/>
      <c r="H10" s="1051"/>
      <c r="I10" s="1143"/>
      <c r="J10" s="1182"/>
      <c r="K10" s="1096"/>
      <c r="L10" s="24" t="s">
        <v>189</v>
      </c>
      <c r="M10" s="464">
        <v>118800</v>
      </c>
      <c r="N10" s="1051"/>
      <c r="O10" s="1051"/>
      <c r="P10" s="707"/>
      <c r="Q10" s="707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70"/>
      <c r="CJ10" s="70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  <c r="EE10" s="70"/>
      <c r="EF10" s="70"/>
      <c r="EG10" s="70"/>
      <c r="EH10" s="70"/>
      <c r="EI10" s="70"/>
      <c r="EJ10" s="70"/>
      <c r="EK10" s="70"/>
      <c r="EL10" s="70"/>
      <c r="EM10" s="70"/>
      <c r="EN10" s="70"/>
      <c r="EO10" s="70"/>
      <c r="EP10" s="70"/>
      <c r="EQ10" s="70"/>
      <c r="ER10" s="70"/>
      <c r="ES10" s="70"/>
      <c r="ET10" s="70"/>
      <c r="EU10" s="70"/>
      <c r="EV10" s="70"/>
      <c r="EW10" s="70"/>
      <c r="EX10" s="70"/>
      <c r="EY10" s="70"/>
      <c r="EZ10" s="70"/>
      <c r="FA10" s="70"/>
      <c r="FB10" s="70"/>
      <c r="FC10" s="70"/>
      <c r="FD10" s="70"/>
      <c r="FE10" s="70"/>
      <c r="FF10" s="70"/>
      <c r="FG10" s="70"/>
      <c r="FH10" s="70"/>
      <c r="FI10" s="70"/>
      <c r="FJ10" s="70"/>
      <c r="FK10" s="70"/>
      <c r="FL10" s="70"/>
      <c r="FM10" s="70"/>
      <c r="FN10" s="70"/>
      <c r="FO10" s="70"/>
      <c r="FP10" s="70"/>
      <c r="FQ10" s="70"/>
      <c r="FR10" s="70"/>
      <c r="FS10" s="70"/>
      <c r="FT10" s="70"/>
      <c r="FU10" s="70"/>
      <c r="FV10" s="70"/>
      <c r="FW10" s="70"/>
      <c r="FX10" s="70"/>
      <c r="FY10" s="70"/>
      <c r="FZ10" s="70"/>
      <c r="GA10" s="70"/>
      <c r="GB10" s="70"/>
      <c r="GC10" s="70"/>
      <c r="GD10" s="70"/>
      <c r="GE10" s="70"/>
      <c r="GF10" s="70"/>
      <c r="GG10" s="70"/>
      <c r="GH10" s="70"/>
      <c r="GI10" s="70"/>
      <c r="GJ10" s="70"/>
    </row>
    <row r="11" spans="1:192" ht="13">
      <c r="A11" s="1106"/>
      <c r="B11" s="1051"/>
      <c r="C11" s="1143"/>
      <c r="D11" s="1182"/>
      <c r="E11" s="1209"/>
      <c r="F11" s="1051"/>
      <c r="G11" s="1051"/>
      <c r="H11" s="1051"/>
      <c r="I11" s="1143"/>
      <c r="J11" s="1182"/>
      <c r="K11" s="1228" t="s">
        <v>14854</v>
      </c>
      <c r="L11" s="228" t="s">
        <v>1577</v>
      </c>
      <c r="M11" s="713">
        <v>423360</v>
      </c>
      <c r="N11" s="1051"/>
      <c r="O11" s="1052"/>
      <c r="P11" s="707"/>
      <c r="Q11" s="707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70"/>
      <c r="CJ11" s="70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  <c r="EE11" s="70"/>
      <c r="EF11" s="70"/>
      <c r="EG11" s="70"/>
      <c r="EH11" s="70"/>
      <c r="EI11" s="70"/>
      <c r="EJ11" s="70"/>
      <c r="EK11" s="70"/>
      <c r="EL11" s="70"/>
      <c r="EM11" s="70"/>
      <c r="EN11" s="70"/>
      <c r="EO11" s="70"/>
      <c r="EP11" s="70"/>
      <c r="EQ11" s="70"/>
      <c r="ER11" s="70"/>
      <c r="ES11" s="70"/>
      <c r="ET11" s="70"/>
      <c r="EU11" s="70"/>
      <c r="EV11" s="70"/>
      <c r="EW11" s="70"/>
      <c r="EX11" s="70"/>
      <c r="EY11" s="70"/>
      <c r="EZ11" s="70"/>
      <c r="FA11" s="70"/>
      <c r="FB11" s="70"/>
      <c r="FC11" s="70"/>
      <c r="FD11" s="70"/>
      <c r="FE11" s="70"/>
      <c r="FF11" s="70"/>
      <c r="FG11" s="70"/>
      <c r="FH11" s="70"/>
      <c r="FI11" s="70"/>
      <c r="FJ11" s="70"/>
      <c r="FK11" s="70"/>
      <c r="FL11" s="70"/>
      <c r="FM11" s="70"/>
      <c r="FN11" s="70"/>
      <c r="FO11" s="70"/>
      <c r="FP11" s="70"/>
      <c r="FQ11" s="70"/>
      <c r="FR11" s="70"/>
      <c r="FS11" s="70"/>
      <c r="FT11" s="70"/>
      <c r="FU11" s="70"/>
      <c r="FV11" s="70"/>
      <c r="FW11" s="70"/>
      <c r="FX11" s="70"/>
      <c r="FY11" s="70"/>
      <c r="FZ11" s="70"/>
      <c r="GA11" s="70"/>
      <c r="GB11" s="70"/>
      <c r="GC11" s="70"/>
      <c r="GD11" s="70"/>
      <c r="GE11" s="70"/>
      <c r="GF11" s="70"/>
      <c r="GG11" s="70"/>
      <c r="GH11" s="70"/>
      <c r="GI11" s="70"/>
      <c r="GJ11" s="70"/>
    </row>
    <row r="12" spans="1:192" ht="13">
      <c r="A12" s="1106"/>
      <c r="B12" s="1051"/>
      <c r="C12" s="1143"/>
      <c r="D12" s="1182"/>
      <c r="E12" s="1209"/>
      <c r="F12" s="1051"/>
      <c r="G12" s="1051"/>
      <c r="H12" s="1051"/>
      <c r="I12" s="1143"/>
      <c r="J12" s="1182"/>
      <c r="K12" s="1095"/>
      <c r="L12" s="24" t="s">
        <v>1579</v>
      </c>
      <c r="M12" s="464">
        <v>45360</v>
      </c>
      <c r="N12" s="1051"/>
      <c r="O12" s="1227" t="s">
        <v>14855</v>
      </c>
      <c r="P12" s="707"/>
      <c r="Q12" s="707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70"/>
      <c r="CJ12" s="70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  <c r="EE12" s="70"/>
      <c r="EF12" s="70"/>
      <c r="EG12" s="70"/>
      <c r="EH12" s="70"/>
      <c r="EI12" s="70"/>
      <c r="EJ12" s="70"/>
      <c r="EK12" s="70"/>
      <c r="EL12" s="70"/>
      <c r="EM12" s="70"/>
      <c r="EN12" s="70"/>
      <c r="EO12" s="70"/>
      <c r="EP12" s="70"/>
      <c r="EQ12" s="70"/>
      <c r="ER12" s="70"/>
      <c r="ES12" s="70"/>
      <c r="ET12" s="70"/>
      <c r="EU12" s="70"/>
      <c r="EV12" s="70"/>
      <c r="EW12" s="70"/>
      <c r="EX12" s="70"/>
      <c r="EY12" s="70"/>
      <c r="EZ12" s="70"/>
      <c r="FA12" s="70"/>
      <c r="FB12" s="70"/>
      <c r="FC12" s="70"/>
      <c r="FD12" s="70"/>
      <c r="FE12" s="70"/>
      <c r="FF12" s="70"/>
      <c r="FG12" s="70"/>
      <c r="FH12" s="70"/>
      <c r="FI12" s="70"/>
      <c r="FJ12" s="70"/>
      <c r="FK12" s="70"/>
      <c r="FL12" s="70"/>
      <c r="FM12" s="70"/>
      <c r="FN12" s="70"/>
      <c r="FO12" s="70"/>
      <c r="FP12" s="70"/>
      <c r="FQ12" s="70"/>
      <c r="FR12" s="70"/>
      <c r="FS12" s="70"/>
      <c r="FT12" s="70"/>
      <c r="FU12" s="70"/>
      <c r="FV12" s="70"/>
      <c r="FW12" s="70"/>
      <c r="FX12" s="70"/>
      <c r="FY12" s="70"/>
      <c r="FZ12" s="70"/>
      <c r="GA12" s="70"/>
      <c r="GB12" s="70"/>
      <c r="GC12" s="70"/>
      <c r="GD12" s="70"/>
      <c r="GE12" s="70"/>
      <c r="GF12" s="70"/>
      <c r="GG12" s="70"/>
      <c r="GH12" s="70"/>
      <c r="GI12" s="70"/>
      <c r="GJ12" s="70"/>
    </row>
    <row r="13" spans="1:192" ht="13">
      <c r="A13" s="1106"/>
      <c r="B13" s="1051"/>
      <c r="C13" s="1143"/>
      <c r="D13" s="1182"/>
      <c r="E13" s="1209"/>
      <c r="F13" s="1051"/>
      <c r="G13" s="1051"/>
      <c r="H13" s="1051"/>
      <c r="I13" s="1143"/>
      <c r="J13" s="1182"/>
      <c r="K13" s="1095"/>
      <c r="L13" s="24" t="s">
        <v>189</v>
      </c>
      <c r="M13" s="464">
        <v>15120</v>
      </c>
      <c r="N13" s="1051"/>
      <c r="O13" s="1051"/>
      <c r="P13" s="707"/>
      <c r="Q13" s="707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70"/>
      <c r="CJ13" s="70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  <c r="EE13" s="70"/>
      <c r="EF13" s="70"/>
      <c r="EG13" s="70"/>
      <c r="EH13" s="70"/>
      <c r="EI13" s="70"/>
      <c r="EJ13" s="70"/>
      <c r="EK13" s="70"/>
      <c r="EL13" s="70"/>
      <c r="EM13" s="70"/>
      <c r="EN13" s="70"/>
      <c r="EO13" s="70"/>
      <c r="EP13" s="70"/>
      <c r="EQ13" s="70"/>
      <c r="ER13" s="70"/>
      <c r="ES13" s="70"/>
      <c r="ET13" s="70"/>
      <c r="EU13" s="70"/>
      <c r="EV13" s="70"/>
      <c r="EW13" s="70"/>
      <c r="EX13" s="70"/>
      <c r="EY13" s="70"/>
      <c r="EZ13" s="70"/>
      <c r="FA13" s="70"/>
      <c r="FB13" s="70"/>
      <c r="FC13" s="70"/>
      <c r="FD13" s="70"/>
      <c r="FE13" s="70"/>
      <c r="FF13" s="70"/>
      <c r="FG13" s="70"/>
      <c r="FH13" s="70"/>
      <c r="FI13" s="70"/>
      <c r="FJ13" s="70"/>
      <c r="FK13" s="70"/>
      <c r="FL13" s="70"/>
      <c r="FM13" s="70"/>
      <c r="FN13" s="70"/>
      <c r="FO13" s="70"/>
      <c r="FP13" s="70"/>
      <c r="FQ13" s="70"/>
      <c r="FR13" s="70"/>
      <c r="FS13" s="70"/>
      <c r="FT13" s="70"/>
      <c r="FU13" s="70"/>
      <c r="FV13" s="70"/>
      <c r="FW13" s="70"/>
      <c r="FX13" s="70"/>
      <c r="FY13" s="70"/>
      <c r="FZ13" s="70"/>
      <c r="GA13" s="70"/>
      <c r="GB13" s="70"/>
      <c r="GC13" s="70"/>
      <c r="GD13" s="70"/>
      <c r="GE13" s="70"/>
      <c r="GF13" s="70"/>
      <c r="GG13" s="70"/>
      <c r="GH13" s="70"/>
      <c r="GI13" s="70"/>
      <c r="GJ13" s="70"/>
    </row>
    <row r="14" spans="1:192" ht="13">
      <c r="A14" s="1138"/>
      <c r="B14" s="1052"/>
      <c r="C14" s="1082"/>
      <c r="D14" s="1183"/>
      <c r="E14" s="1210"/>
      <c r="F14" s="1052"/>
      <c r="G14" s="1052"/>
      <c r="H14" s="1052"/>
      <c r="I14" s="1082"/>
      <c r="J14" s="1183"/>
      <c r="K14" s="1096"/>
      <c r="L14" s="24" t="s">
        <v>1767</v>
      </c>
      <c r="M14" s="464">
        <v>1028160</v>
      </c>
      <c r="N14" s="1052"/>
      <c r="O14" s="1052"/>
      <c r="P14" s="707"/>
      <c r="Q14" s="707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70"/>
      <c r="CJ14" s="70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  <c r="EE14" s="70"/>
      <c r="EF14" s="70"/>
      <c r="EG14" s="70"/>
      <c r="EH14" s="70"/>
      <c r="EI14" s="70"/>
      <c r="EJ14" s="70"/>
      <c r="EK14" s="70"/>
      <c r="EL14" s="70"/>
      <c r="EM14" s="70"/>
      <c r="EN14" s="70"/>
      <c r="EO14" s="70"/>
      <c r="EP14" s="70"/>
      <c r="EQ14" s="70"/>
      <c r="ER14" s="70"/>
      <c r="ES14" s="70"/>
      <c r="ET14" s="70"/>
      <c r="EU14" s="70"/>
      <c r="EV14" s="70"/>
      <c r="EW14" s="70"/>
      <c r="EX14" s="70"/>
      <c r="EY14" s="70"/>
      <c r="EZ14" s="70"/>
      <c r="FA14" s="70"/>
      <c r="FB14" s="70"/>
      <c r="FC14" s="70"/>
      <c r="FD14" s="70"/>
      <c r="FE14" s="70"/>
      <c r="FF14" s="70"/>
      <c r="FG14" s="70"/>
      <c r="FH14" s="70"/>
      <c r="FI14" s="70"/>
      <c r="FJ14" s="70"/>
      <c r="FK14" s="70"/>
      <c r="FL14" s="70"/>
      <c r="FM14" s="70"/>
      <c r="FN14" s="70"/>
      <c r="FO14" s="70"/>
      <c r="FP14" s="70"/>
      <c r="FQ14" s="70"/>
      <c r="FR14" s="70"/>
      <c r="FS14" s="70"/>
      <c r="FT14" s="70"/>
      <c r="FU14" s="70"/>
      <c r="FV14" s="70"/>
      <c r="FW14" s="70"/>
      <c r="FX14" s="70"/>
      <c r="FY14" s="70"/>
      <c r="FZ14" s="70"/>
      <c r="GA14" s="70"/>
      <c r="GB14" s="70"/>
      <c r="GC14" s="70"/>
      <c r="GD14" s="70"/>
      <c r="GE14" s="70"/>
      <c r="GF14" s="70"/>
      <c r="GG14" s="70"/>
      <c r="GH14" s="70"/>
      <c r="GI14" s="70"/>
      <c r="GJ14" s="70"/>
    </row>
    <row r="15" spans="1:192" ht="13">
      <c r="A15" s="1050"/>
      <c r="B15" s="1221" t="s">
        <v>14847</v>
      </c>
      <c r="C15" s="1222" t="s">
        <v>14856</v>
      </c>
      <c r="D15" s="1207" t="s">
        <v>14857</v>
      </c>
      <c r="E15" s="1208" t="s">
        <v>1541</v>
      </c>
      <c r="F15" s="1223" t="s">
        <v>14850</v>
      </c>
      <c r="G15" s="1198" t="s">
        <v>14858</v>
      </c>
      <c r="H15" s="1217">
        <v>45383</v>
      </c>
      <c r="I15" s="1218">
        <v>45747</v>
      </c>
      <c r="J15" s="1191">
        <v>1097500</v>
      </c>
      <c r="K15" s="716">
        <v>7046400</v>
      </c>
      <c r="L15" s="24" t="s">
        <v>1767</v>
      </c>
      <c r="M15" s="464">
        <v>587200</v>
      </c>
      <c r="N15" s="1192"/>
      <c r="O15" s="701" t="s">
        <v>14859</v>
      </c>
      <c r="P15" s="717"/>
      <c r="Q15" s="717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70"/>
      <c r="CJ15" s="70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  <c r="EE15" s="70"/>
      <c r="EF15" s="70"/>
      <c r="EG15" s="70"/>
      <c r="EH15" s="70"/>
      <c r="EI15" s="70"/>
      <c r="EJ15" s="70"/>
      <c r="EK15" s="70"/>
      <c r="EL15" s="70"/>
      <c r="EM15" s="70"/>
      <c r="EN15" s="70"/>
      <c r="EO15" s="70"/>
      <c r="EP15" s="70"/>
      <c r="EQ15" s="70"/>
      <c r="ER15" s="70"/>
      <c r="ES15" s="70"/>
      <c r="ET15" s="70"/>
      <c r="EU15" s="70"/>
      <c r="EV15" s="70"/>
      <c r="EW15" s="70"/>
      <c r="EX15" s="70"/>
      <c r="EY15" s="70"/>
      <c r="EZ15" s="70"/>
      <c r="FA15" s="70"/>
      <c r="FB15" s="70"/>
      <c r="FC15" s="70"/>
      <c r="FD15" s="70"/>
      <c r="FE15" s="70"/>
      <c r="FF15" s="70"/>
      <c r="FG15" s="70"/>
      <c r="FH15" s="70"/>
      <c r="FI15" s="70"/>
      <c r="FJ15" s="70"/>
      <c r="FK15" s="70"/>
      <c r="FL15" s="70"/>
      <c r="FM15" s="70"/>
      <c r="FN15" s="70"/>
      <c r="FO15" s="70"/>
      <c r="FP15" s="70"/>
      <c r="FQ15" s="70"/>
      <c r="FR15" s="70"/>
      <c r="FS15" s="70"/>
      <c r="FT15" s="70"/>
      <c r="FU15" s="70"/>
      <c r="FV15" s="70"/>
      <c r="FW15" s="70"/>
      <c r="FX15" s="70"/>
      <c r="FY15" s="70"/>
      <c r="FZ15" s="70"/>
      <c r="GA15" s="70"/>
      <c r="GB15" s="70"/>
      <c r="GC15" s="70"/>
      <c r="GD15" s="70"/>
      <c r="GE15" s="70"/>
      <c r="GF15" s="70"/>
      <c r="GG15" s="70"/>
      <c r="GH15" s="70"/>
      <c r="GI15" s="70"/>
      <c r="GJ15" s="70"/>
    </row>
    <row r="16" spans="1:192" ht="13">
      <c r="A16" s="1051"/>
      <c r="B16" s="1095"/>
      <c r="C16" s="1106"/>
      <c r="D16" s="1182"/>
      <c r="E16" s="1209"/>
      <c r="F16" s="1051"/>
      <c r="G16" s="1051"/>
      <c r="H16" s="1051"/>
      <c r="I16" s="1143"/>
      <c r="J16" s="1182"/>
      <c r="K16" s="716">
        <v>2956800</v>
      </c>
      <c r="L16" s="24" t="s">
        <v>1577</v>
      </c>
      <c r="M16" s="464">
        <v>246400</v>
      </c>
      <c r="N16" s="1051"/>
      <c r="O16" s="718">
        <v>13170000</v>
      </c>
      <c r="P16" s="717"/>
      <c r="Q16" s="717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70"/>
      <c r="CJ16" s="70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  <c r="EE16" s="70"/>
      <c r="EF16" s="70"/>
      <c r="EG16" s="70"/>
      <c r="EH16" s="70"/>
      <c r="EI16" s="70"/>
      <c r="EJ16" s="70"/>
      <c r="EK16" s="70"/>
      <c r="EL16" s="70"/>
      <c r="EM16" s="70"/>
      <c r="EN16" s="70"/>
      <c r="EO16" s="70"/>
      <c r="EP16" s="70"/>
      <c r="EQ16" s="70"/>
      <c r="ER16" s="70"/>
      <c r="ES16" s="70"/>
      <c r="ET16" s="70"/>
      <c r="EU16" s="70"/>
      <c r="EV16" s="70"/>
      <c r="EW16" s="70"/>
      <c r="EX16" s="70"/>
      <c r="EY16" s="70"/>
      <c r="EZ16" s="70"/>
      <c r="FA16" s="70"/>
      <c r="FB16" s="70"/>
      <c r="FC16" s="70"/>
      <c r="FD16" s="70"/>
      <c r="FE16" s="70"/>
      <c r="FF16" s="70"/>
      <c r="FG16" s="70"/>
      <c r="FH16" s="70"/>
      <c r="FI16" s="70"/>
      <c r="FJ16" s="70"/>
      <c r="FK16" s="70"/>
      <c r="FL16" s="70"/>
      <c r="FM16" s="70"/>
      <c r="FN16" s="70"/>
      <c r="FO16" s="70"/>
      <c r="FP16" s="70"/>
      <c r="FQ16" s="70"/>
      <c r="FR16" s="70"/>
      <c r="FS16" s="70"/>
      <c r="FT16" s="70"/>
      <c r="FU16" s="70"/>
      <c r="FV16" s="70"/>
      <c r="FW16" s="70"/>
      <c r="FX16" s="70"/>
      <c r="FY16" s="70"/>
      <c r="FZ16" s="70"/>
      <c r="GA16" s="70"/>
      <c r="GB16" s="70"/>
      <c r="GC16" s="70"/>
      <c r="GD16" s="70"/>
      <c r="GE16" s="70"/>
      <c r="GF16" s="70"/>
      <c r="GG16" s="70"/>
      <c r="GH16" s="70"/>
      <c r="GI16" s="70"/>
      <c r="GJ16" s="70"/>
    </row>
    <row r="17" spans="1:192" ht="13">
      <c r="A17" s="1051"/>
      <c r="B17" s="1095"/>
      <c r="C17" s="1106"/>
      <c r="D17" s="1182"/>
      <c r="E17" s="1209"/>
      <c r="F17" s="1051"/>
      <c r="G17" s="1051"/>
      <c r="H17" s="1051"/>
      <c r="I17" s="1143"/>
      <c r="J17" s="1182"/>
      <c r="K17" s="716">
        <v>316800</v>
      </c>
      <c r="L17" s="24" t="s">
        <v>1579</v>
      </c>
      <c r="M17" s="464">
        <v>26400</v>
      </c>
      <c r="N17" s="1051"/>
      <c r="O17" s="701" t="s">
        <v>14860</v>
      </c>
      <c r="P17" s="717"/>
      <c r="Q17" s="717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70"/>
      <c r="CJ17" s="70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  <c r="EE17" s="70"/>
      <c r="EF17" s="70"/>
      <c r="EG17" s="70"/>
      <c r="EH17" s="70"/>
      <c r="EI17" s="70"/>
      <c r="EJ17" s="70"/>
      <c r="EK17" s="70"/>
      <c r="EL17" s="70"/>
      <c r="EM17" s="70"/>
      <c r="EN17" s="70"/>
      <c r="EO17" s="70"/>
      <c r="EP17" s="70"/>
      <c r="EQ17" s="70"/>
      <c r="ER17" s="70"/>
      <c r="ES17" s="70"/>
      <c r="ET17" s="70"/>
      <c r="EU17" s="70"/>
      <c r="EV17" s="70"/>
      <c r="EW17" s="70"/>
      <c r="EX17" s="70"/>
      <c r="EY17" s="70"/>
      <c r="EZ17" s="70"/>
      <c r="FA17" s="70"/>
      <c r="FB17" s="70"/>
      <c r="FC17" s="70"/>
      <c r="FD17" s="70"/>
      <c r="FE17" s="70"/>
      <c r="FF17" s="70"/>
      <c r="FG17" s="70"/>
      <c r="FH17" s="70"/>
      <c r="FI17" s="70"/>
      <c r="FJ17" s="70"/>
      <c r="FK17" s="70"/>
      <c r="FL17" s="70"/>
      <c r="FM17" s="70"/>
      <c r="FN17" s="70"/>
      <c r="FO17" s="70"/>
      <c r="FP17" s="70"/>
      <c r="FQ17" s="70"/>
      <c r="FR17" s="70"/>
      <c r="FS17" s="70"/>
      <c r="FT17" s="70"/>
      <c r="FU17" s="70"/>
      <c r="FV17" s="70"/>
      <c r="FW17" s="70"/>
      <c r="FX17" s="70"/>
      <c r="FY17" s="70"/>
      <c r="FZ17" s="70"/>
      <c r="GA17" s="70"/>
      <c r="GB17" s="70"/>
      <c r="GC17" s="70"/>
      <c r="GD17" s="70"/>
      <c r="GE17" s="70"/>
      <c r="GF17" s="70"/>
      <c r="GG17" s="70"/>
      <c r="GH17" s="70"/>
      <c r="GI17" s="70"/>
      <c r="GJ17" s="70"/>
    </row>
    <row r="18" spans="1:192" ht="13">
      <c r="A18" s="1051"/>
      <c r="B18" s="1095"/>
      <c r="C18" s="1106"/>
      <c r="D18" s="1182"/>
      <c r="E18" s="1209"/>
      <c r="F18" s="1051"/>
      <c r="G18" s="1051"/>
      <c r="H18" s="1051"/>
      <c r="I18" s="1143"/>
      <c r="J18" s="1182"/>
      <c r="K18" s="719">
        <v>1966500</v>
      </c>
      <c r="L18" s="24" t="s">
        <v>1767</v>
      </c>
      <c r="M18" s="464">
        <v>163875</v>
      </c>
      <c r="N18" s="1051"/>
      <c r="O18" s="718">
        <v>1097500</v>
      </c>
      <c r="P18" s="717"/>
      <c r="Q18" s="717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70"/>
      <c r="CJ18" s="70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  <c r="EE18" s="70"/>
      <c r="EF18" s="70"/>
      <c r="EG18" s="70"/>
      <c r="EH18" s="70"/>
      <c r="EI18" s="70"/>
      <c r="EJ18" s="70"/>
      <c r="EK18" s="70"/>
      <c r="EL18" s="70"/>
      <c r="EM18" s="70"/>
      <c r="EN18" s="70"/>
      <c r="EO18" s="70"/>
      <c r="EP18" s="70"/>
      <c r="EQ18" s="70"/>
      <c r="ER18" s="70"/>
      <c r="ES18" s="70"/>
      <c r="ET18" s="70"/>
      <c r="EU18" s="70"/>
      <c r="EV18" s="70"/>
      <c r="EW18" s="70"/>
      <c r="EX18" s="70"/>
      <c r="EY18" s="70"/>
      <c r="EZ18" s="70"/>
      <c r="FA18" s="70"/>
      <c r="FB18" s="70"/>
      <c r="FC18" s="70"/>
      <c r="FD18" s="70"/>
      <c r="FE18" s="70"/>
      <c r="FF18" s="70"/>
      <c r="FG18" s="70"/>
      <c r="FH18" s="70"/>
      <c r="FI18" s="70"/>
      <c r="FJ18" s="70"/>
      <c r="FK18" s="70"/>
      <c r="FL18" s="70"/>
      <c r="FM18" s="70"/>
      <c r="FN18" s="70"/>
      <c r="FO18" s="70"/>
      <c r="FP18" s="70"/>
      <c r="FQ18" s="70"/>
      <c r="FR18" s="70"/>
      <c r="FS18" s="70"/>
      <c r="FT18" s="70"/>
      <c r="FU18" s="70"/>
      <c r="FV18" s="70"/>
      <c r="FW18" s="70"/>
      <c r="FX18" s="70"/>
      <c r="FY18" s="70"/>
      <c r="FZ18" s="70"/>
      <c r="GA18" s="70"/>
      <c r="GB18" s="70"/>
      <c r="GC18" s="70"/>
      <c r="GD18" s="70"/>
      <c r="GE18" s="70"/>
      <c r="GF18" s="70"/>
      <c r="GG18" s="70"/>
      <c r="GH18" s="70"/>
      <c r="GI18" s="70"/>
      <c r="GJ18" s="70"/>
    </row>
    <row r="19" spans="1:192" ht="13">
      <c r="A19" s="1051"/>
      <c r="B19" s="1095"/>
      <c r="C19" s="1106"/>
      <c r="D19" s="1182"/>
      <c r="E19" s="1209"/>
      <c r="F19" s="1051"/>
      <c r="G19" s="1051"/>
      <c r="H19" s="1051"/>
      <c r="I19" s="1143"/>
      <c r="J19" s="1182"/>
      <c r="K19" s="719">
        <v>798000</v>
      </c>
      <c r="L19" s="24" t="s">
        <v>1577</v>
      </c>
      <c r="M19" s="464">
        <v>66500</v>
      </c>
      <c r="N19" s="1051"/>
      <c r="O19" s="156"/>
      <c r="P19" s="717"/>
      <c r="Q19" s="717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70"/>
      <c r="CJ19" s="70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  <c r="EE19" s="70"/>
      <c r="EF19" s="70"/>
      <c r="EG19" s="70"/>
      <c r="EH19" s="70"/>
      <c r="EI19" s="70"/>
      <c r="EJ19" s="70"/>
      <c r="EK19" s="70"/>
      <c r="EL19" s="70"/>
      <c r="EM19" s="70"/>
      <c r="EN19" s="70"/>
      <c r="EO19" s="70"/>
      <c r="EP19" s="70"/>
      <c r="EQ19" s="70"/>
      <c r="ER19" s="70"/>
      <c r="ES19" s="70"/>
      <c r="ET19" s="70"/>
      <c r="EU19" s="70"/>
      <c r="EV19" s="70"/>
      <c r="EW19" s="70"/>
      <c r="EX19" s="70"/>
      <c r="EY19" s="70"/>
      <c r="EZ19" s="70"/>
      <c r="FA19" s="70"/>
      <c r="FB19" s="70"/>
      <c r="FC19" s="70"/>
      <c r="FD19" s="70"/>
      <c r="FE19" s="70"/>
      <c r="FF19" s="70"/>
      <c r="FG19" s="70"/>
      <c r="FH19" s="70"/>
      <c r="FI19" s="70"/>
      <c r="FJ19" s="70"/>
      <c r="FK19" s="70"/>
      <c r="FL19" s="70"/>
      <c r="FM19" s="70"/>
      <c r="FN19" s="70"/>
      <c r="FO19" s="70"/>
      <c r="FP19" s="70"/>
      <c r="FQ19" s="70"/>
      <c r="FR19" s="70"/>
      <c r="FS19" s="70"/>
      <c r="FT19" s="70"/>
      <c r="FU19" s="70"/>
      <c r="FV19" s="70"/>
      <c r="FW19" s="70"/>
      <c r="FX19" s="70"/>
      <c r="FY19" s="70"/>
      <c r="FZ19" s="70"/>
      <c r="GA19" s="70"/>
      <c r="GB19" s="70"/>
      <c r="GC19" s="70"/>
      <c r="GD19" s="70"/>
      <c r="GE19" s="70"/>
      <c r="GF19" s="70"/>
      <c r="GG19" s="70"/>
      <c r="GH19" s="70"/>
      <c r="GI19" s="70"/>
      <c r="GJ19" s="70"/>
    </row>
    <row r="20" spans="1:192" ht="13">
      <c r="A20" s="1052"/>
      <c r="B20" s="1096"/>
      <c r="C20" s="1138"/>
      <c r="D20" s="1183"/>
      <c r="E20" s="1210"/>
      <c r="F20" s="1052"/>
      <c r="G20" s="1052"/>
      <c r="H20" s="1052"/>
      <c r="I20" s="1082"/>
      <c r="J20" s="1183"/>
      <c r="K20" s="719">
        <v>85500</v>
      </c>
      <c r="L20" s="24" t="s">
        <v>1579</v>
      </c>
      <c r="M20" s="464">
        <v>7125</v>
      </c>
      <c r="N20" s="1052"/>
      <c r="O20" s="156"/>
      <c r="P20" s="717"/>
      <c r="Q20" s="717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70"/>
      <c r="CJ20" s="70"/>
      <c r="CK20" s="70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  <c r="EE20" s="70"/>
      <c r="EF20" s="70"/>
      <c r="EG20" s="70"/>
      <c r="EH20" s="70"/>
      <c r="EI20" s="70"/>
      <c r="EJ20" s="70"/>
      <c r="EK20" s="70"/>
      <c r="EL20" s="70"/>
      <c r="EM20" s="70"/>
      <c r="EN20" s="70"/>
      <c r="EO20" s="70"/>
      <c r="EP20" s="70"/>
      <c r="EQ20" s="70"/>
      <c r="ER20" s="70"/>
      <c r="ES20" s="70"/>
      <c r="ET20" s="70"/>
      <c r="EU20" s="70"/>
      <c r="EV20" s="70"/>
      <c r="EW20" s="70"/>
      <c r="EX20" s="70"/>
      <c r="EY20" s="70"/>
      <c r="EZ20" s="70"/>
      <c r="FA20" s="70"/>
      <c r="FB20" s="70"/>
      <c r="FC20" s="70"/>
      <c r="FD20" s="70"/>
      <c r="FE20" s="70"/>
      <c r="FF20" s="70"/>
      <c r="FG20" s="70"/>
      <c r="FH20" s="70"/>
      <c r="FI20" s="70"/>
      <c r="FJ20" s="70"/>
      <c r="FK20" s="70"/>
      <c r="FL20" s="70"/>
      <c r="FM20" s="70"/>
      <c r="FN20" s="70"/>
      <c r="FO20" s="70"/>
      <c r="FP20" s="70"/>
      <c r="FQ20" s="70"/>
      <c r="FR20" s="70"/>
      <c r="FS20" s="70"/>
      <c r="FT20" s="70"/>
      <c r="FU20" s="70"/>
      <c r="FV20" s="70"/>
      <c r="FW20" s="70"/>
      <c r="FX20" s="70"/>
      <c r="FY20" s="70"/>
      <c r="FZ20" s="70"/>
      <c r="GA20" s="70"/>
      <c r="GB20" s="70"/>
      <c r="GC20" s="70"/>
      <c r="GD20" s="70"/>
      <c r="GE20" s="70"/>
      <c r="GF20" s="70"/>
      <c r="GG20" s="70"/>
      <c r="GH20" s="70"/>
      <c r="GI20" s="70"/>
      <c r="GJ20" s="70"/>
    </row>
    <row r="21" spans="1:192" ht="13">
      <c r="A21" s="24"/>
      <c r="B21" s="720" t="s">
        <v>14861</v>
      </c>
      <c r="C21" s="721" t="s">
        <v>14862</v>
      </c>
      <c r="D21" s="722"/>
      <c r="E21" s="723" t="s">
        <v>1541</v>
      </c>
      <c r="F21" s="24" t="s">
        <v>14863</v>
      </c>
      <c r="G21" s="724" t="s">
        <v>14864</v>
      </c>
      <c r="H21" s="725">
        <v>43800</v>
      </c>
      <c r="I21" s="726">
        <v>45626</v>
      </c>
      <c r="J21" s="727">
        <v>25500000</v>
      </c>
      <c r="K21" s="463"/>
      <c r="L21" s="463" t="s">
        <v>1433</v>
      </c>
      <c r="M21" s="387" t="s">
        <v>14865</v>
      </c>
      <c r="N21" s="728" t="s">
        <v>14866</v>
      </c>
      <c r="O21" s="729" t="s">
        <v>14867</v>
      </c>
      <c r="P21" s="1146" t="s">
        <v>14868</v>
      </c>
      <c r="Q21" s="730" t="s">
        <v>14869</v>
      </c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70"/>
      <c r="CJ21" s="70"/>
      <c r="CK21" s="70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  <c r="EE21" s="70"/>
      <c r="EF21" s="70"/>
      <c r="EG21" s="70"/>
      <c r="EH21" s="70"/>
      <c r="EI21" s="70"/>
      <c r="EJ21" s="70"/>
      <c r="EK21" s="70"/>
      <c r="EL21" s="70"/>
      <c r="EM21" s="70"/>
      <c r="EN21" s="70"/>
      <c r="EO21" s="70"/>
      <c r="EP21" s="70"/>
      <c r="EQ21" s="70"/>
      <c r="ER21" s="70"/>
      <c r="ES21" s="70"/>
      <c r="ET21" s="70"/>
      <c r="EU21" s="70"/>
      <c r="EV21" s="70"/>
      <c r="EW21" s="70"/>
      <c r="EX21" s="70"/>
      <c r="EY21" s="70"/>
      <c r="EZ21" s="70"/>
      <c r="FA21" s="70"/>
      <c r="FB21" s="70"/>
      <c r="FC21" s="70"/>
      <c r="FD21" s="70"/>
      <c r="FE21" s="70"/>
      <c r="FF21" s="70"/>
      <c r="FG21" s="70"/>
      <c r="FH21" s="70"/>
      <c r="FI21" s="70"/>
      <c r="FJ21" s="70"/>
      <c r="FK21" s="70"/>
      <c r="FL21" s="70"/>
      <c r="FM21" s="70"/>
      <c r="FN21" s="70"/>
      <c r="FO21" s="70"/>
      <c r="FP21" s="70"/>
      <c r="FQ21" s="70"/>
      <c r="FR21" s="70"/>
      <c r="FS21" s="70"/>
      <c r="FT21" s="70"/>
      <c r="FU21" s="70"/>
      <c r="FV21" s="70"/>
      <c r="FW21" s="70"/>
      <c r="FX21" s="70"/>
      <c r="FY21" s="70"/>
      <c r="FZ21" s="70"/>
      <c r="GA21" s="70"/>
      <c r="GB21" s="70"/>
      <c r="GC21" s="70"/>
      <c r="GD21" s="70"/>
      <c r="GE21" s="70"/>
      <c r="GF21" s="70"/>
      <c r="GG21" s="70"/>
      <c r="GH21" s="70"/>
      <c r="GI21" s="70"/>
      <c r="GJ21" s="70"/>
    </row>
    <row r="22" spans="1:192" ht="13">
      <c r="A22" s="24"/>
      <c r="B22" s="731" t="s">
        <v>14861</v>
      </c>
      <c r="C22" s="721" t="s">
        <v>14870</v>
      </c>
      <c r="D22" s="699" t="s">
        <v>14871</v>
      </c>
      <c r="E22" s="700" t="s">
        <v>1541</v>
      </c>
      <c r="F22" s="228" t="s">
        <v>14863</v>
      </c>
      <c r="G22" s="701" t="s">
        <v>14872</v>
      </c>
      <c r="H22" s="732">
        <v>45536</v>
      </c>
      <c r="I22" s="733">
        <v>45626</v>
      </c>
      <c r="J22" s="734">
        <v>940000</v>
      </c>
      <c r="K22" s="702" t="s">
        <v>14873</v>
      </c>
      <c r="L22" s="228" t="s">
        <v>1433</v>
      </c>
      <c r="M22" s="735">
        <v>940000</v>
      </c>
      <c r="N22" s="63" t="s">
        <v>14874</v>
      </c>
      <c r="O22" s="736" t="str">
        <f>O21</f>
        <v>ART241130김태훈0932</v>
      </c>
      <c r="P22" s="1052"/>
      <c r="Q22" s="707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70"/>
      <c r="CJ22" s="70"/>
      <c r="CK22" s="70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  <c r="EE22" s="70"/>
      <c r="EF22" s="70"/>
      <c r="EG22" s="70"/>
      <c r="EH22" s="70"/>
      <c r="EI22" s="70"/>
      <c r="EJ22" s="70"/>
      <c r="EK22" s="70"/>
      <c r="EL22" s="70"/>
      <c r="EM22" s="70"/>
      <c r="EN22" s="70"/>
      <c r="EO22" s="70"/>
      <c r="EP22" s="70"/>
      <c r="EQ22" s="70"/>
      <c r="ER22" s="70"/>
      <c r="ES22" s="70"/>
      <c r="ET22" s="70"/>
      <c r="EU22" s="70"/>
      <c r="EV22" s="70"/>
      <c r="EW22" s="70"/>
      <c r="EX22" s="70"/>
      <c r="EY22" s="70"/>
      <c r="EZ22" s="70"/>
      <c r="FA22" s="70"/>
      <c r="FB22" s="70"/>
      <c r="FC22" s="70"/>
      <c r="FD22" s="70"/>
      <c r="FE22" s="70"/>
      <c r="FF22" s="70"/>
      <c r="FG22" s="70"/>
      <c r="FH22" s="70"/>
      <c r="FI22" s="70"/>
      <c r="FJ22" s="70"/>
      <c r="FK22" s="70"/>
      <c r="FL22" s="70"/>
      <c r="FM22" s="70"/>
      <c r="FN22" s="70"/>
      <c r="FO22" s="70"/>
      <c r="FP22" s="70"/>
      <c r="FQ22" s="70"/>
      <c r="FR22" s="70"/>
      <c r="FS22" s="70"/>
      <c r="FT22" s="70"/>
      <c r="FU22" s="70"/>
      <c r="FV22" s="70"/>
      <c r="FW22" s="70"/>
      <c r="FX22" s="70"/>
      <c r="FY22" s="70"/>
      <c r="FZ22" s="70"/>
      <c r="GA22" s="70"/>
      <c r="GB22" s="70"/>
      <c r="GC22" s="70"/>
      <c r="GD22" s="70"/>
      <c r="GE22" s="70"/>
      <c r="GF22" s="70"/>
      <c r="GG22" s="70"/>
      <c r="GH22" s="70"/>
      <c r="GI22" s="70"/>
      <c r="GJ22" s="70"/>
    </row>
    <row r="23" spans="1:192" ht="13">
      <c r="A23" s="24"/>
      <c r="B23" s="731" t="s">
        <v>14861</v>
      </c>
      <c r="C23" s="721" t="s">
        <v>14875</v>
      </c>
      <c r="D23" s="699" t="s">
        <v>14876</v>
      </c>
      <c r="E23" s="700" t="s">
        <v>1541</v>
      </c>
      <c r="F23" s="228" t="s">
        <v>14863</v>
      </c>
      <c r="G23" s="701" t="s">
        <v>14877</v>
      </c>
      <c r="H23" s="732">
        <v>45352</v>
      </c>
      <c r="I23" s="733">
        <v>45626</v>
      </c>
      <c r="J23" s="734">
        <v>910000</v>
      </c>
      <c r="K23" s="463" t="s">
        <v>14873</v>
      </c>
      <c r="L23" s="24" t="s">
        <v>1433</v>
      </c>
      <c r="M23" s="464">
        <v>910000</v>
      </c>
      <c r="N23" s="706" t="s">
        <v>14878</v>
      </c>
      <c r="O23" s="736" t="str">
        <f>O21</f>
        <v>ART241130김태훈0932</v>
      </c>
      <c r="P23" s="737" t="s">
        <v>14879</v>
      </c>
      <c r="Q23" s="707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70"/>
      <c r="CJ23" s="70"/>
      <c r="CK23" s="70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  <c r="EE23" s="70"/>
      <c r="EF23" s="70"/>
      <c r="EG23" s="70"/>
      <c r="EH23" s="70"/>
      <c r="EI23" s="70"/>
      <c r="EJ23" s="70"/>
      <c r="EK23" s="70"/>
      <c r="EL23" s="70"/>
      <c r="EM23" s="70"/>
      <c r="EN23" s="70"/>
      <c r="EO23" s="70"/>
      <c r="EP23" s="70"/>
      <c r="EQ23" s="70"/>
      <c r="ER23" s="70"/>
      <c r="ES23" s="70"/>
      <c r="ET23" s="70"/>
      <c r="EU23" s="70"/>
      <c r="EV23" s="70"/>
      <c r="EW23" s="70"/>
      <c r="EX23" s="70"/>
      <c r="EY23" s="70"/>
      <c r="EZ23" s="70"/>
      <c r="FA23" s="70"/>
      <c r="FB23" s="70"/>
      <c r="FC23" s="70"/>
      <c r="FD23" s="70"/>
      <c r="FE23" s="70"/>
      <c r="FF23" s="70"/>
      <c r="FG23" s="70"/>
      <c r="FH23" s="70"/>
      <c r="FI23" s="70"/>
      <c r="FJ23" s="70"/>
      <c r="FK23" s="70"/>
      <c r="FL23" s="70"/>
      <c r="FM23" s="70"/>
      <c r="FN23" s="70"/>
      <c r="FO23" s="70"/>
      <c r="FP23" s="70"/>
      <c r="FQ23" s="70"/>
      <c r="FR23" s="70"/>
      <c r="FS23" s="70"/>
      <c r="FT23" s="70"/>
      <c r="FU23" s="70"/>
      <c r="FV23" s="70"/>
      <c r="FW23" s="70"/>
      <c r="FX23" s="70"/>
      <c r="FY23" s="70"/>
      <c r="FZ23" s="70"/>
      <c r="GA23" s="70"/>
      <c r="GB23" s="70"/>
      <c r="GC23" s="70"/>
      <c r="GD23" s="70"/>
      <c r="GE23" s="70"/>
      <c r="GF23" s="70"/>
      <c r="GG23" s="70"/>
      <c r="GH23" s="70"/>
      <c r="GI23" s="70"/>
      <c r="GJ23" s="70"/>
    </row>
    <row r="24" spans="1:192" ht="13">
      <c r="A24" s="24"/>
      <c r="B24" s="738" t="s">
        <v>14861</v>
      </c>
      <c r="C24" s="739" t="s">
        <v>14880</v>
      </c>
      <c r="D24" s="740"/>
      <c r="E24" s="741" t="s">
        <v>1541</v>
      </c>
      <c r="F24" s="468" t="s">
        <v>14881</v>
      </c>
      <c r="G24" s="742" t="s">
        <v>14882</v>
      </c>
      <c r="H24" s="743">
        <v>43800</v>
      </c>
      <c r="I24" s="744">
        <v>45565</v>
      </c>
      <c r="J24" s="745">
        <v>776000</v>
      </c>
      <c r="K24" s="467" t="s">
        <v>14873</v>
      </c>
      <c r="L24" s="468" t="s">
        <v>169</v>
      </c>
      <c r="M24" s="746">
        <v>776000</v>
      </c>
      <c r="N24" s="747" t="s">
        <v>14883</v>
      </c>
      <c r="O24" s="748" t="str">
        <f>O21</f>
        <v>ART241130김태훈0932</v>
      </c>
      <c r="P24" s="465" t="s">
        <v>14884</v>
      </c>
      <c r="Q24" s="707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70"/>
      <c r="CJ24" s="70"/>
      <c r="CK24" s="70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  <c r="EE24" s="70"/>
      <c r="EF24" s="70"/>
      <c r="EG24" s="70"/>
      <c r="EH24" s="70"/>
      <c r="EI24" s="70"/>
      <c r="EJ24" s="70"/>
      <c r="EK24" s="70"/>
      <c r="EL24" s="70"/>
      <c r="EM24" s="70"/>
      <c r="EN24" s="70"/>
      <c r="EO24" s="70"/>
      <c r="EP24" s="70"/>
      <c r="EQ24" s="70"/>
      <c r="ER24" s="70"/>
      <c r="ES24" s="70"/>
      <c r="ET24" s="70"/>
      <c r="EU24" s="70"/>
      <c r="EV24" s="70"/>
      <c r="EW24" s="70"/>
      <c r="EX24" s="70"/>
      <c r="EY24" s="70"/>
      <c r="EZ24" s="70"/>
      <c r="FA24" s="70"/>
      <c r="FB24" s="70"/>
      <c r="FC24" s="70"/>
      <c r="FD24" s="70"/>
      <c r="FE24" s="70"/>
      <c r="FF24" s="70"/>
      <c r="FG24" s="70"/>
      <c r="FH24" s="70"/>
      <c r="FI24" s="70"/>
      <c r="FJ24" s="70"/>
      <c r="FK24" s="70"/>
      <c r="FL24" s="70"/>
      <c r="FM24" s="70"/>
      <c r="FN24" s="70"/>
      <c r="FO24" s="70"/>
      <c r="FP24" s="70"/>
      <c r="FQ24" s="70"/>
      <c r="FR24" s="70"/>
      <c r="FS24" s="70"/>
      <c r="FT24" s="70"/>
      <c r="FU24" s="70"/>
      <c r="FV24" s="70"/>
      <c r="FW24" s="70"/>
      <c r="FX24" s="70"/>
      <c r="FY24" s="70"/>
      <c r="FZ24" s="70"/>
      <c r="GA24" s="70"/>
      <c r="GB24" s="70"/>
      <c r="GC24" s="70"/>
      <c r="GD24" s="70"/>
      <c r="GE24" s="70"/>
      <c r="GF24" s="70"/>
      <c r="GG24" s="70"/>
      <c r="GH24" s="70"/>
      <c r="GI24" s="70"/>
      <c r="GJ24" s="70"/>
    </row>
    <row r="25" spans="1:192" ht="13">
      <c r="A25" s="1050"/>
      <c r="B25" s="1221" t="s">
        <v>14885</v>
      </c>
      <c r="C25" s="1257" t="s">
        <v>14886</v>
      </c>
      <c r="D25" s="1207" t="s">
        <v>14887</v>
      </c>
      <c r="E25" s="1208" t="s">
        <v>1541</v>
      </c>
      <c r="F25" s="1223" t="s">
        <v>14888</v>
      </c>
      <c r="G25" s="1198" t="s">
        <v>14889</v>
      </c>
      <c r="H25" s="1217">
        <v>45505</v>
      </c>
      <c r="I25" s="1255" t="s">
        <v>14890</v>
      </c>
      <c r="J25" s="1203">
        <v>7194000</v>
      </c>
      <c r="K25" s="749" t="s">
        <v>14891</v>
      </c>
      <c r="L25" s="1050" t="s">
        <v>1433</v>
      </c>
      <c r="M25" s="749">
        <v>1275000</v>
      </c>
      <c r="N25" s="1192" t="s">
        <v>14892</v>
      </c>
      <c r="O25" s="1256" t="str">
        <f>O21</f>
        <v>ART241130김태훈0932</v>
      </c>
      <c r="P25" s="707"/>
      <c r="Q25" s="707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70"/>
      <c r="CJ25" s="70"/>
      <c r="CK25" s="70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  <c r="EE25" s="70"/>
      <c r="EF25" s="70"/>
      <c r="EG25" s="70"/>
      <c r="EH25" s="70"/>
      <c r="EI25" s="70"/>
      <c r="EJ25" s="70"/>
      <c r="EK25" s="70"/>
      <c r="EL25" s="70"/>
      <c r="EM25" s="70"/>
      <c r="EN25" s="70"/>
      <c r="EO25" s="70"/>
      <c r="EP25" s="70"/>
      <c r="EQ25" s="70"/>
      <c r="ER25" s="70"/>
      <c r="ES25" s="70"/>
      <c r="ET25" s="70"/>
      <c r="EU25" s="70"/>
      <c r="EV25" s="70"/>
      <c r="EW25" s="70"/>
      <c r="EX25" s="70"/>
      <c r="EY25" s="70"/>
      <c r="EZ25" s="70"/>
      <c r="FA25" s="70"/>
      <c r="FB25" s="70"/>
      <c r="FC25" s="70"/>
      <c r="FD25" s="70"/>
      <c r="FE25" s="70"/>
      <c r="FF25" s="70"/>
      <c r="FG25" s="70"/>
      <c r="FH25" s="70"/>
      <c r="FI25" s="70"/>
      <c r="FJ25" s="70"/>
      <c r="FK25" s="70"/>
      <c r="FL25" s="70"/>
      <c r="FM25" s="70"/>
      <c r="FN25" s="70"/>
      <c r="FO25" s="70"/>
      <c r="FP25" s="70"/>
      <c r="FQ25" s="70"/>
      <c r="FR25" s="70"/>
      <c r="FS25" s="70"/>
      <c r="FT25" s="70"/>
      <c r="FU25" s="70"/>
      <c r="FV25" s="70"/>
      <c r="FW25" s="70"/>
      <c r="FX25" s="70"/>
      <c r="FY25" s="70"/>
      <c r="FZ25" s="70"/>
      <c r="GA25" s="70"/>
      <c r="GB25" s="70"/>
      <c r="GC25" s="70"/>
      <c r="GD25" s="70"/>
      <c r="GE25" s="70"/>
      <c r="GF25" s="70"/>
      <c r="GG25" s="70"/>
      <c r="GH25" s="70"/>
      <c r="GI25" s="475"/>
      <c r="GJ25" s="475"/>
    </row>
    <row r="26" spans="1:192" ht="13">
      <c r="A26" s="1051"/>
      <c r="B26" s="1095"/>
      <c r="C26" s="1143"/>
      <c r="D26" s="1182"/>
      <c r="E26" s="1210"/>
      <c r="F26" s="1051"/>
      <c r="G26" s="1051"/>
      <c r="H26" s="1051"/>
      <c r="I26" s="1143"/>
      <c r="J26" s="1182"/>
      <c r="K26" s="750" t="s">
        <v>14893</v>
      </c>
      <c r="L26" s="1051"/>
      <c r="M26" s="750">
        <v>5919000</v>
      </c>
      <c r="N26" s="1051"/>
      <c r="O26" s="1106"/>
      <c r="P26" s="707"/>
      <c r="Q26" s="707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70"/>
      <c r="CJ26" s="70"/>
      <c r="CK26" s="70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  <c r="EE26" s="70"/>
      <c r="EF26" s="70"/>
      <c r="EG26" s="70"/>
      <c r="EH26" s="70"/>
      <c r="EI26" s="70"/>
      <c r="EJ26" s="70"/>
      <c r="EK26" s="70"/>
      <c r="EL26" s="70"/>
      <c r="EM26" s="70"/>
      <c r="EN26" s="70"/>
      <c r="EO26" s="70"/>
      <c r="EP26" s="70"/>
      <c r="EQ26" s="70"/>
      <c r="ER26" s="70"/>
      <c r="ES26" s="70"/>
      <c r="ET26" s="70"/>
      <c r="EU26" s="70"/>
      <c r="EV26" s="70"/>
      <c r="EW26" s="70"/>
      <c r="EX26" s="70"/>
      <c r="EY26" s="70"/>
      <c r="EZ26" s="70"/>
      <c r="FA26" s="70"/>
      <c r="FB26" s="70"/>
      <c r="FC26" s="70"/>
      <c r="FD26" s="70"/>
      <c r="FE26" s="70"/>
      <c r="FF26" s="70"/>
      <c r="FG26" s="70"/>
      <c r="FH26" s="70"/>
      <c r="FI26" s="70"/>
      <c r="FJ26" s="70"/>
      <c r="FK26" s="70"/>
      <c r="FL26" s="70"/>
      <c r="FM26" s="70"/>
      <c r="FN26" s="70"/>
      <c r="FO26" s="70"/>
      <c r="FP26" s="70"/>
      <c r="FQ26" s="70"/>
      <c r="FR26" s="70"/>
      <c r="FS26" s="70"/>
      <c r="FT26" s="70"/>
      <c r="FU26" s="70"/>
      <c r="FV26" s="70"/>
      <c r="FW26" s="70"/>
      <c r="FX26" s="70"/>
      <c r="FY26" s="70"/>
      <c r="FZ26" s="70"/>
      <c r="GA26" s="70"/>
      <c r="GB26" s="70"/>
      <c r="GC26" s="70"/>
      <c r="GD26" s="70"/>
      <c r="GE26" s="70"/>
      <c r="GF26" s="70"/>
      <c r="GG26" s="70"/>
      <c r="GH26" s="70"/>
      <c r="GI26" s="475"/>
      <c r="GJ26" s="475"/>
    </row>
    <row r="27" spans="1:192" ht="29.25" customHeight="1">
      <c r="A27" s="1052"/>
      <c r="B27" s="1096"/>
      <c r="C27" s="1082"/>
      <c r="D27" s="1183"/>
      <c r="E27" s="700" t="s">
        <v>1541</v>
      </c>
      <c r="F27" s="1052"/>
      <c r="G27" s="1052"/>
      <c r="H27" s="1052"/>
      <c r="I27" s="1082"/>
      <c r="J27" s="1183"/>
      <c r="K27" s="750"/>
      <c r="L27" s="1052"/>
      <c r="M27" s="751">
        <v>7194000</v>
      </c>
      <c r="N27" s="1052"/>
      <c r="O27" s="1138"/>
      <c r="P27" s="707"/>
      <c r="Q27" s="707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70"/>
      <c r="CJ27" s="70"/>
      <c r="CK27" s="70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  <c r="EE27" s="70"/>
      <c r="EF27" s="70"/>
      <c r="EG27" s="70"/>
      <c r="EH27" s="70"/>
      <c r="EI27" s="70"/>
      <c r="EJ27" s="70"/>
      <c r="EK27" s="70"/>
      <c r="EL27" s="70"/>
      <c r="EM27" s="70"/>
      <c r="EN27" s="70"/>
      <c r="EO27" s="70"/>
      <c r="EP27" s="70"/>
      <c r="EQ27" s="70"/>
      <c r="ER27" s="70"/>
      <c r="ES27" s="70"/>
      <c r="ET27" s="70"/>
      <c r="EU27" s="70"/>
      <c r="EV27" s="70"/>
      <c r="EW27" s="70"/>
      <c r="EX27" s="70"/>
      <c r="EY27" s="70"/>
      <c r="EZ27" s="70"/>
      <c r="FA27" s="70"/>
      <c r="FB27" s="70"/>
      <c r="FC27" s="70"/>
      <c r="FD27" s="70"/>
      <c r="FE27" s="70"/>
      <c r="FF27" s="70"/>
      <c r="FG27" s="70"/>
      <c r="FH27" s="70"/>
      <c r="FI27" s="70"/>
      <c r="FJ27" s="70"/>
      <c r="FK27" s="70"/>
      <c r="FL27" s="70"/>
      <c r="FM27" s="70"/>
      <c r="FN27" s="70"/>
      <c r="FO27" s="70"/>
      <c r="FP27" s="70"/>
      <c r="FQ27" s="70"/>
      <c r="FR27" s="70"/>
      <c r="FS27" s="70"/>
      <c r="FT27" s="70"/>
      <c r="FU27" s="70"/>
      <c r="FV27" s="70"/>
      <c r="FW27" s="70"/>
      <c r="FX27" s="70"/>
      <c r="FY27" s="70"/>
      <c r="FZ27" s="70"/>
      <c r="GA27" s="70"/>
      <c r="GB27" s="70"/>
      <c r="GC27" s="70"/>
      <c r="GD27" s="70"/>
      <c r="GE27" s="70"/>
      <c r="GF27" s="70"/>
      <c r="GG27" s="70"/>
      <c r="GH27" s="70"/>
      <c r="GI27" s="475"/>
      <c r="GJ27" s="475"/>
    </row>
    <row r="28" spans="1:192" ht="13">
      <c r="A28" s="24"/>
      <c r="B28" s="738" t="s">
        <v>3801</v>
      </c>
      <c r="C28" s="739" t="s">
        <v>14894</v>
      </c>
      <c r="D28" s="752" t="s">
        <v>14895</v>
      </c>
      <c r="E28" s="741" t="s">
        <v>1541</v>
      </c>
      <c r="F28" s="753" t="s">
        <v>14881</v>
      </c>
      <c r="G28" s="742" t="s">
        <v>14896</v>
      </c>
      <c r="H28" s="743">
        <v>45292</v>
      </c>
      <c r="I28" s="754">
        <v>45657</v>
      </c>
      <c r="J28" s="745">
        <v>843300</v>
      </c>
      <c r="K28" s="467" t="s">
        <v>14897</v>
      </c>
      <c r="L28" s="468" t="s">
        <v>1487</v>
      </c>
      <c r="M28" s="746">
        <v>843300</v>
      </c>
      <c r="N28" s="755" t="s">
        <v>14898</v>
      </c>
      <c r="O28" s="748" t="str">
        <f>O21</f>
        <v>ART241130김태훈0932</v>
      </c>
      <c r="P28" s="707" t="s">
        <v>14899</v>
      </c>
      <c r="Q28" s="707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0"/>
      <c r="BR28" s="70"/>
      <c r="BS28" s="70"/>
      <c r="BT28" s="70"/>
      <c r="BU28" s="70"/>
      <c r="BV28" s="70"/>
      <c r="BW28" s="70"/>
      <c r="BX28" s="70"/>
      <c r="BY28" s="70"/>
      <c r="BZ28" s="70"/>
      <c r="CA28" s="70"/>
      <c r="CB28" s="70"/>
      <c r="CC28" s="70"/>
      <c r="CD28" s="70"/>
      <c r="CE28" s="70"/>
      <c r="CF28" s="70"/>
      <c r="CG28" s="70"/>
      <c r="CH28" s="70"/>
      <c r="CI28" s="70"/>
      <c r="CJ28" s="70"/>
      <c r="CK28" s="70"/>
      <c r="CL28" s="70"/>
      <c r="CM28" s="70"/>
      <c r="CN28" s="70"/>
      <c r="CO28" s="70"/>
      <c r="CP28" s="70"/>
      <c r="CQ28" s="70"/>
      <c r="CR28" s="70"/>
      <c r="CS28" s="70"/>
      <c r="CT28" s="70"/>
      <c r="CU28" s="70"/>
      <c r="CV28" s="70"/>
      <c r="CW28" s="70"/>
      <c r="CX28" s="70"/>
      <c r="CY28" s="70"/>
      <c r="CZ28" s="70"/>
      <c r="DA28" s="70"/>
      <c r="DB28" s="70"/>
      <c r="DC28" s="70"/>
      <c r="DD28" s="70"/>
      <c r="DE28" s="70"/>
      <c r="DF28" s="70"/>
      <c r="DG28" s="70"/>
      <c r="DH28" s="70"/>
      <c r="DI28" s="70"/>
      <c r="DJ28" s="70"/>
      <c r="DK28" s="70"/>
      <c r="DL28" s="70"/>
      <c r="DM28" s="70"/>
      <c r="DN28" s="70"/>
      <c r="DO28" s="70"/>
      <c r="DP28" s="70"/>
      <c r="DQ28" s="70"/>
      <c r="DR28" s="70"/>
      <c r="DS28" s="70"/>
      <c r="DT28" s="70"/>
      <c r="DU28" s="70"/>
      <c r="DV28" s="70"/>
      <c r="DW28" s="70"/>
      <c r="DX28" s="70"/>
      <c r="DY28" s="70"/>
      <c r="DZ28" s="70"/>
      <c r="EA28" s="70"/>
      <c r="EB28" s="70"/>
      <c r="EC28" s="70"/>
      <c r="ED28" s="70"/>
      <c r="EE28" s="70"/>
      <c r="EF28" s="70"/>
      <c r="EG28" s="70"/>
      <c r="EH28" s="70"/>
      <c r="EI28" s="70"/>
      <c r="EJ28" s="70"/>
      <c r="EK28" s="70"/>
      <c r="EL28" s="70"/>
      <c r="EM28" s="70"/>
      <c r="EN28" s="70"/>
      <c r="EO28" s="70"/>
      <c r="EP28" s="70"/>
      <c r="EQ28" s="70"/>
      <c r="ER28" s="70"/>
      <c r="ES28" s="70"/>
      <c r="ET28" s="70"/>
      <c r="EU28" s="70"/>
      <c r="EV28" s="70"/>
      <c r="EW28" s="70"/>
      <c r="EX28" s="70"/>
      <c r="EY28" s="70"/>
      <c r="EZ28" s="70"/>
      <c r="FA28" s="70"/>
      <c r="FB28" s="70"/>
      <c r="FC28" s="70"/>
      <c r="FD28" s="70"/>
      <c r="FE28" s="70"/>
      <c r="FF28" s="70"/>
      <c r="FG28" s="70"/>
      <c r="FH28" s="70"/>
      <c r="FI28" s="70"/>
      <c r="FJ28" s="70"/>
      <c r="FK28" s="70"/>
      <c r="FL28" s="70"/>
      <c r="FM28" s="70"/>
      <c r="FN28" s="70"/>
      <c r="FO28" s="70"/>
      <c r="FP28" s="70"/>
      <c r="FQ28" s="70"/>
      <c r="FR28" s="70"/>
      <c r="FS28" s="70"/>
      <c r="FT28" s="70"/>
      <c r="FU28" s="70"/>
      <c r="FV28" s="70"/>
      <c r="FW28" s="70"/>
      <c r="FX28" s="70"/>
      <c r="FY28" s="70"/>
      <c r="FZ28" s="70"/>
      <c r="GA28" s="70"/>
      <c r="GB28" s="70"/>
      <c r="GC28" s="70"/>
      <c r="GD28" s="70"/>
      <c r="GE28" s="70"/>
      <c r="GF28" s="70"/>
      <c r="GG28" s="70"/>
      <c r="GH28" s="70"/>
      <c r="GI28" s="70"/>
      <c r="GJ28" s="70"/>
    </row>
    <row r="29" spans="1:192" ht="13">
      <c r="A29" s="24"/>
      <c r="B29" s="715" t="s">
        <v>516</v>
      </c>
      <c r="C29" s="756" t="s">
        <v>14900</v>
      </c>
      <c r="D29" s="757" t="s">
        <v>14901</v>
      </c>
      <c r="E29" s="710" t="s">
        <v>1541</v>
      </c>
      <c r="F29" s="711" t="s">
        <v>14902</v>
      </c>
      <c r="G29" s="758" t="s">
        <v>14903</v>
      </c>
      <c r="H29" s="759">
        <v>45017</v>
      </c>
      <c r="I29" s="391">
        <v>46112</v>
      </c>
      <c r="J29" s="712">
        <v>3150000</v>
      </c>
      <c r="K29" s="463" t="s">
        <v>14873</v>
      </c>
      <c r="L29" s="24" t="s">
        <v>1769</v>
      </c>
      <c r="M29" s="464">
        <v>3150000</v>
      </c>
      <c r="N29" s="760" t="s">
        <v>14904</v>
      </c>
      <c r="O29" s="736" t="s">
        <v>14905</v>
      </c>
      <c r="P29" s="707"/>
      <c r="Q29" s="761" t="s">
        <v>14906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  <c r="BN29" s="70"/>
      <c r="BO29" s="70"/>
      <c r="BP29" s="70"/>
      <c r="BQ29" s="70"/>
      <c r="BR29" s="70"/>
      <c r="BS29" s="70"/>
      <c r="BT29" s="70"/>
      <c r="BU29" s="70"/>
      <c r="BV29" s="70"/>
      <c r="BW29" s="70"/>
      <c r="BX29" s="70"/>
      <c r="BY29" s="70"/>
      <c r="BZ29" s="70"/>
      <c r="CA29" s="70"/>
      <c r="CB29" s="70"/>
      <c r="CC29" s="70"/>
      <c r="CD29" s="70"/>
      <c r="CE29" s="70"/>
      <c r="CF29" s="70"/>
      <c r="CG29" s="70"/>
      <c r="CH29" s="70"/>
      <c r="CI29" s="70"/>
      <c r="CJ29" s="70"/>
      <c r="CK29" s="70"/>
      <c r="CL29" s="70"/>
      <c r="CM29" s="70"/>
      <c r="CN29" s="70"/>
      <c r="CO29" s="70"/>
      <c r="CP29" s="70"/>
      <c r="CQ29" s="70"/>
      <c r="CR29" s="70"/>
      <c r="CS29" s="70"/>
      <c r="CT29" s="70"/>
      <c r="CU29" s="70"/>
      <c r="CV29" s="70"/>
      <c r="CW29" s="70"/>
      <c r="CX29" s="70"/>
      <c r="CY29" s="70"/>
      <c r="CZ29" s="70"/>
      <c r="DA29" s="70"/>
      <c r="DB29" s="70"/>
      <c r="DC29" s="70"/>
      <c r="DD29" s="70"/>
      <c r="DE29" s="70"/>
      <c r="DF29" s="70"/>
      <c r="DG29" s="70"/>
      <c r="DH29" s="70"/>
      <c r="DI29" s="70"/>
      <c r="DJ29" s="70"/>
      <c r="DK29" s="70"/>
      <c r="DL29" s="70"/>
      <c r="DM29" s="70"/>
      <c r="DN29" s="70"/>
      <c r="DO29" s="70"/>
      <c r="DP29" s="70"/>
      <c r="DQ29" s="70"/>
      <c r="DR29" s="70"/>
      <c r="DS29" s="70"/>
      <c r="DT29" s="70"/>
      <c r="DU29" s="70"/>
      <c r="DV29" s="70"/>
      <c r="DW29" s="70"/>
      <c r="DX29" s="70"/>
      <c r="DY29" s="70"/>
      <c r="DZ29" s="70"/>
      <c r="EA29" s="70"/>
      <c r="EB29" s="70"/>
      <c r="EC29" s="70"/>
      <c r="ED29" s="70"/>
      <c r="EE29" s="70"/>
      <c r="EF29" s="70"/>
      <c r="EG29" s="70"/>
      <c r="EH29" s="70"/>
      <c r="EI29" s="70"/>
      <c r="EJ29" s="70"/>
      <c r="EK29" s="70"/>
      <c r="EL29" s="70"/>
      <c r="EM29" s="70"/>
      <c r="EN29" s="70"/>
      <c r="EO29" s="70"/>
      <c r="EP29" s="70"/>
      <c r="EQ29" s="70"/>
      <c r="ER29" s="70"/>
      <c r="ES29" s="70"/>
      <c r="ET29" s="70"/>
      <c r="EU29" s="70"/>
      <c r="EV29" s="70"/>
      <c r="EW29" s="70"/>
      <c r="EX29" s="70"/>
      <c r="EY29" s="70"/>
      <c r="EZ29" s="70"/>
      <c r="FA29" s="70"/>
      <c r="FB29" s="70"/>
      <c r="FC29" s="70"/>
      <c r="FD29" s="70"/>
      <c r="FE29" s="70"/>
      <c r="FF29" s="70"/>
      <c r="FG29" s="70"/>
      <c r="FH29" s="70"/>
      <c r="FI29" s="70"/>
      <c r="FJ29" s="70"/>
      <c r="FK29" s="70"/>
      <c r="FL29" s="70"/>
      <c r="FM29" s="70"/>
      <c r="FN29" s="70"/>
      <c r="FO29" s="70"/>
      <c r="FP29" s="70"/>
      <c r="FQ29" s="70"/>
      <c r="FR29" s="70"/>
      <c r="FS29" s="70"/>
      <c r="FT29" s="70"/>
      <c r="FU29" s="70"/>
      <c r="FV29" s="70"/>
      <c r="FW29" s="70"/>
      <c r="FX29" s="70"/>
      <c r="FY29" s="70"/>
      <c r="FZ29" s="70"/>
      <c r="GA29" s="70"/>
      <c r="GB29" s="70"/>
      <c r="GC29" s="70"/>
      <c r="GD29" s="70"/>
      <c r="GE29" s="70"/>
      <c r="GF29" s="70"/>
      <c r="GG29" s="70"/>
      <c r="GH29" s="70"/>
      <c r="GI29" s="70"/>
      <c r="GJ29" s="70"/>
    </row>
    <row r="30" spans="1:192" ht="13">
      <c r="A30" s="24"/>
      <c r="B30" s="54" t="s">
        <v>14907</v>
      </c>
      <c r="C30" s="762" t="s">
        <v>14908</v>
      </c>
      <c r="D30" s="722" t="s">
        <v>14909</v>
      </c>
      <c r="E30" s="723" t="s">
        <v>1541</v>
      </c>
      <c r="F30" s="24" t="s">
        <v>14850</v>
      </c>
      <c r="G30" s="81" t="s">
        <v>14910</v>
      </c>
      <c r="H30" s="763">
        <v>45536</v>
      </c>
      <c r="I30" s="764">
        <v>45900</v>
      </c>
      <c r="J30" s="765">
        <v>5329000</v>
      </c>
      <c r="K30" s="702" t="s">
        <v>14911</v>
      </c>
      <c r="L30" s="24" t="s">
        <v>10731</v>
      </c>
      <c r="M30" s="766">
        <v>5329000</v>
      </c>
      <c r="N30" s="63" t="s">
        <v>14912</v>
      </c>
      <c r="O30" s="767" t="str">
        <f>'(AR)인프라사업팀'!K5</f>
        <v xml:space="preserve">ART241201김행주1440
		</v>
      </c>
      <c r="P30" s="126" t="s">
        <v>14913</v>
      </c>
      <c r="Q30" s="707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  <c r="BM30" s="70"/>
      <c r="BN30" s="70"/>
      <c r="BO30" s="70"/>
      <c r="BP30" s="70"/>
      <c r="BQ30" s="70"/>
      <c r="BR30" s="70"/>
      <c r="BS30" s="70"/>
      <c r="BT30" s="70"/>
      <c r="BU30" s="70"/>
      <c r="BV30" s="70"/>
      <c r="BW30" s="70"/>
      <c r="BX30" s="70"/>
      <c r="BY30" s="70"/>
      <c r="BZ30" s="70"/>
      <c r="CA30" s="70"/>
      <c r="CB30" s="70"/>
      <c r="CC30" s="70"/>
      <c r="CD30" s="70"/>
      <c r="CE30" s="70"/>
      <c r="CF30" s="70"/>
      <c r="CG30" s="70"/>
      <c r="CH30" s="70"/>
      <c r="CI30" s="70"/>
      <c r="CJ30" s="70"/>
      <c r="CK30" s="70"/>
      <c r="CL30" s="70"/>
      <c r="CM30" s="70"/>
      <c r="CN30" s="70"/>
      <c r="CO30" s="70"/>
      <c r="CP30" s="70"/>
      <c r="CQ30" s="70"/>
      <c r="CR30" s="70"/>
      <c r="CS30" s="70"/>
      <c r="CT30" s="70"/>
      <c r="CU30" s="70"/>
      <c r="CV30" s="70"/>
      <c r="CW30" s="70"/>
      <c r="CX30" s="70"/>
      <c r="CY30" s="70"/>
      <c r="CZ30" s="70"/>
      <c r="DA30" s="70"/>
      <c r="DB30" s="70"/>
      <c r="DC30" s="70"/>
      <c r="DD30" s="70"/>
      <c r="DE30" s="70"/>
      <c r="DF30" s="70"/>
      <c r="DG30" s="70"/>
      <c r="DH30" s="70"/>
      <c r="DI30" s="70"/>
      <c r="DJ30" s="70"/>
      <c r="DK30" s="70"/>
      <c r="DL30" s="70"/>
      <c r="DM30" s="70"/>
      <c r="DN30" s="70"/>
      <c r="DO30" s="70"/>
      <c r="DP30" s="70"/>
      <c r="DQ30" s="70"/>
      <c r="DR30" s="70"/>
      <c r="DS30" s="70"/>
      <c r="DT30" s="70"/>
      <c r="DU30" s="70"/>
      <c r="DV30" s="70"/>
      <c r="DW30" s="70"/>
      <c r="DX30" s="70"/>
      <c r="DY30" s="70"/>
      <c r="DZ30" s="70"/>
      <c r="EA30" s="70"/>
      <c r="EB30" s="70"/>
      <c r="EC30" s="70"/>
      <c r="ED30" s="70"/>
      <c r="EE30" s="70"/>
      <c r="EF30" s="70"/>
      <c r="EG30" s="70"/>
      <c r="EH30" s="70"/>
      <c r="EI30" s="70"/>
      <c r="EJ30" s="70"/>
      <c r="EK30" s="70"/>
      <c r="EL30" s="70"/>
      <c r="EM30" s="70"/>
      <c r="EN30" s="70"/>
      <c r="EO30" s="70"/>
      <c r="EP30" s="70"/>
      <c r="EQ30" s="70"/>
      <c r="ER30" s="70"/>
      <c r="ES30" s="70"/>
      <c r="ET30" s="70"/>
      <c r="EU30" s="70"/>
      <c r="EV30" s="70"/>
      <c r="EW30" s="70"/>
      <c r="EX30" s="70"/>
      <c r="EY30" s="70"/>
      <c r="EZ30" s="70"/>
      <c r="FA30" s="70"/>
      <c r="FB30" s="70"/>
      <c r="FC30" s="70"/>
      <c r="FD30" s="70"/>
      <c r="FE30" s="70"/>
      <c r="FF30" s="70"/>
      <c r="FG30" s="70"/>
      <c r="FH30" s="70"/>
      <c r="FI30" s="70"/>
      <c r="FJ30" s="70"/>
      <c r="FK30" s="70"/>
      <c r="FL30" s="70"/>
      <c r="FM30" s="70"/>
      <c r="FN30" s="70"/>
      <c r="FO30" s="70"/>
      <c r="FP30" s="70"/>
      <c r="FQ30" s="70"/>
      <c r="FR30" s="70"/>
      <c r="FS30" s="70"/>
      <c r="FT30" s="70"/>
      <c r="FU30" s="70"/>
      <c r="FV30" s="70"/>
      <c r="FW30" s="70"/>
      <c r="FX30" s="70"/>
      <c r="FY30" s="70"/>
      <c r="FZ30" s="70"/>
      <c r="GA30" s="70"/>
      <c r="GB30" s="70"/>
      <c r="GC30" s="70"/>
      <c r="GD30" s="70"/>
      <c r="GE30" s="70"/>
      <c r="GF30" s="70"/>
      <c r="GG30" s="70"/>
      <c r="GH30" s="70"/>
      <c r="GI30" s="70"/>
      <c r="GJ30" s="70"/>
    </row>
    <row r="31" spans="1:192" ht="13">
      <c r="A31" s="1050"/>
      <c r="B31" s="1253" t="s">
        <v>14914</v>
      </c>
      <c r="C31" s="1206" t="s">
        <v>14915</v>
      </c>
      <c r="D31" s="1190" t="s">
        <v>14916</v>
      </c>
      <c r="E31" s="1254" t="s">
        <v>1541</v>
      </c>
      <c r="F31" s="1050" t="s">
        <v>14850</v>
      </c>
      <c r="G31" s="1075" t="s">
        <v>14917</v>
      </c>
      <c r="H31" s="1219">
        <v>45383</v>
      </c>
      <c r="I31" s="1220">
        <v>45747</v>
      </c>
      <c r="J31" s="1181">
        <v>1100000</v>
      </c>
      <c r="K31" s="772">
        <v>9108000</v>
      </c>
      <c r="L31" s="24" t="s">
        <v>1767</v>
      </c>
      <c r="M31" s="773">
        <v>759000</v>
      </c>
      <c r="N31" s="1184" t="s">
        <v>14918</v>
      </c>
      <c r="O31" s="148"/>
      <c r="P31" s="774">
        <v>1100000</v>
      </c>
      <c r="Q31" s="707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70"/>
      <c r="BD31" s="70"/>
      <c r="BE31" s="70"/>
      <c r="BF31" s="70"/>
      <c r="BG31" s="70"/>
      <c r="BH31" s="70"/>
      <c r="BI31" s="70"/>
      <c r="BJ31" s="70"/>
      <c r="BK31" s="70"/>
      <c r="BL31" s="70"/>
      <c r="BM31" s="70"/>
      <c r="BN31" s="70"/>
      <c r="BO31" s="70"/>
      <c r="BP31" s="70"/>
      <c r="BQ31" s="70"/>
      <c r="BR31" s="70"/>
      <c r="BS31" s="70"/>
      <c r="BT31" s="70"/>
      <c r="BU31" s="70"/>
      <c r="BV31" s="70"/>
      <c r="BW31" s="70"/>
      <c r="BX31" s="70"/>
      <c r="BY31" s="70"/>
      <c r="BZ31" s="70"/>
      <c r="CA31" s="70"/>
      <c r="CB31" s="70"/>
      <c r="CC31" s="70"/>
      <c r="CD31" s="70"/>
      <c r="CE31" s="70"/>
      <c r="CF31" s="70"/>
      <c r="CG31" s="70"/>
      <c r="CH31" s="70"/>
      <c r="CI31" s="70"/>
      <c r="CJ31" s="70"/>
      <c r="CK31" s="70"/>
      <c r="CL31" s="70"/>
      <c r="CM31" s="70"/>
      <c r="CN31" s="70"/>
      <c r="CO31" s="70"/>
      <c r="CP31" s="70"/>
      <c r="CQ31" s="70"/>
      <c r="CR31" s="70"/>
      <c r="CS31" s="70"/>
      <c r="CT31" s="70"/>
      <c r="CU31" s="70"/>
      <c r="CV31" s="70"/>
      <c r="CW31" s="70"/>
      <c r="CX31" s="70"/>
      <c r="CY31" s="70"/>
      <c r="CZ31" s="70"/>
      <c r="DA31" s="70"/>
      <c r="DB31" s="70"/>
      <c r="DC31" s="70"/>
      <c r="DD31" s="70"/>
      <c r="DE31" s="70"/>
      <c r="DF31" s="70"/>
      <c r="DG31" s="70"/>
      <c r="DH31" s="70"/>
      <c r="DI31" s="70"/>
      <c r="DJ31" s="70"/>
      <c r="DK31" s="70"/>
      <c r="DL31" s="70"/>
      <c r="DM31" s="70"/>
      <c r="DN31" s="70"/>
      <c r="DO31" s="70"/>
      <c r="DP31" s="70"/>
      <c r="DQ31" s="70"/>
      <c r="DR31" s="70"/>
      <c r="DS31" s="70"/>
      <c r="DT31" s="70"/>
      <c r="DU31" s="70"/>
      <c r="DV31" s="70"/>
      <c r="DW31" s="70"/>
      <c r="DX31" s="70"/>
      <c r="DY31" s="70"/>
      <c r="DZ31" s="70"/>
      <c r="EA31" s="70"/>
      <c r="EB31" s="70"/>
      <c r="EC31" s="70"/>
      <c r="ED31" s="70"/>
      <c r="EE31" s="70"/>
      <c r="EF31" s="70"/>
      <c r="EG31" s="70"/>
      <c r="EH31" s="70"/>
      <c r="EI31" s="70"/>
      <c r="EJ31" s="70"/>
      <c r="EK31" s="70"/>
      <c r="EL31" s="70"/>
      <c r="EM31" s="70"/>
      <c r="EN31" s="70"/>
      <c r="EO31" s="70"/>
      <c r="EP31" s="70"/>
      <c r="EQ31" s="70"/>
      <c r="ER31" s="70"/>
      <c r="ES31" s="70"/>
      <c r="ET31" s="70"/>
      <c r="EU31" s="70"/>
      <c r="EV31" s="70"/>
      <c r="EW31" s="70"/>
      <c r="EX31" s="70"/>
      <c r="EY31" s="70"/>
      <c r="EZ31" s="70"/>
      <c r="FA31" s="70"/>
      <c r="FB31" s="70"/>
      <c r="FC31" s="70"/>
      <c r="FD31" s="70"/>
      <c r="FE31" s="70"/>
      <c r="FF31" s="70"/>
      <c r="FG31" s="70"/>
      <c r="FH31" s="70"/>
      <c r="FI31" s="70"/>
      <c r="FJ31" s="70"/>
      <c r="FK31" s="70"/>
      <c r="FL31" s="70"/>
      <c r="FM31" s="70"/>
      <c r="FN31" s="70"/>
      <c r="FO31" s="70"/>
      <c r="FP31" s="70"/>
      <c r="FQ31" s="70"/>
      <c r="FR31" s="70"/>
      <c r="FS31" s="70"/>
      <c r="FT31" s="70"/>
      <c r="FU31" s="70"/>
      <c r="FV31" s="70"/>
      <c r="FW31" s="70"/>
      <c r="FX31" s="70"/>
      <c r="FY31" s="70"/>
      <c r="FZ31" s="70"/>
      <c r="GA31" s="70"/>
      <c r="GB31" s="70"/>
      <c r="GC31" s="70"/>
      <c r="GD31" s="70"/>
      <c r="GE31" s="70"/>
      <c r="GF31" s="70"/>
      <c r="GG31" s="70"/>
      <c r="GH31" s="70"/>
      <c r="GI31" s="70"/>
      <c r="GJ31" s="70"/>
    </row>
    <row r="32" spans="1:192" ht="13">
      <c r="A32" s="1051"/>
      <c r="B32" s="1095"/>
      <c r="C32" s="1143"/>
      <c r="D32" s="1182"/>
      <c r="E32" s="1209"/>
      <c r="F32" s="1051"/>
      <c r="G32" s="1051"/>
      <c r="H32" s="1051"/>
      <c r="I32" s="1143"/>
      <c r="J32" s="1182"/>
      <c r="K32" s="772">
        <v>3696000.0000000005</v>
      </c>
      <c r="L32" s="24" t="s">
        <v>1577</v>
      </c>
      <c r="M32" s="773">
        <v>308000.00000000006</v>
      </c>
      <c r="N32" s="1051"/>
      <c r="O32" s="148"/>
      <c r="P32" s="775" t="s">
        <v>14860</v>
      </c>
      <c r="Q32" s="707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70"/>
      <c r="BD32" s="70"/>
      <c r="BE32" s="70"/>
      <c r="BF32" s="70"/>
      <c r="BG32" s="70"/>
      <c r="BH32" s="70"/>
      <c r="BI32" s="70"/>
      <c r="BJ32" s="70"/>
      <c r="BK32" s="70"/>
      <c r="BL32" s="70"/>
      <c r="BM32" s="70"/>
      <c r="BN32" s="70"/>
      <c r="BO32" s="70"/>
      <c r="BP32" s="70"/>
      <c r="BQ32" s="70"/>
      <c r="BR32" s="70"/>
      <c r="BS32" s="70"/>
      <c r="BT32" s="70"/>
      <c r="BU32" s="70"/>
      <c r="BV32" s="70"/>
      <c r="BW32" s="70"/>
      <c r="BX32" s="70"/>
      <c r="BY32" s="70"/>
      <c r="BZ32" s="70"/>
      <c r="CA32" s="70"/>
      <c r="CB32" s="70"/>
      <c r="CC32" s="70"/>
      <c r="CD32" s="70"/>
      <c r="CE32" s="70"/>
      <c r="CF32" s="70"/>
      <c r="CG32" s="70"/>
      <c r="CH32" s="70"/>
      <c r="CI32" s="70"/>
      <c r="CJ32" s="70"/>
      <c r="CK32" s="70"/>
      <c r="CL32" s="70"/>
      <c r="CM32" s="70"/>
      <c r="CN32" s="70"/>
      <c r="CO32" s="70"/>
      <c r="CP32" s="70"/>
      <c r="CQ32" s="70"/>
      <c r="CR32" s="70"/>
      <c r="CS32" s="70"/>
      <c r="CT32" s="70"/>
      <c r="CU32" s="70"/>
      <c r="CV32" s="70"/>
      <c r="CW32" s="70"/>
      <c r="CX32" s="70"/>
      <c r="CY32" s="70"/>
      <c r="CZ32" s="70"/>
      <c r="DA32" s="70"/>
      <c r="DB32" s="70"/>
      <c r="DC32" s="70"/>
      <c r="DD32" s="70"/>
      <c r="DE32" s="70"/>
      <c r="DF32" s="70"/>
      <c r="DG32" s="70"/>
      <c r="DH32" s="70"/>
      <c r="DI32" s="70"/>
      <c r="DJ32" s="70"/>
      <c r="DK32" s="70"/>
      <c r="DL32" s="70"/>
      <c r="DM32" s="70"/>
      <c r="DN32" s="70"/>
      <c r="DO32" s="70"/>
      <c r="DP32" s="70"/>
      <c r="DQ32" s="70"/>
      <c r="DR32" s="70"/>
      <c r="DS32" s="70"/>
      <c r="DT32" s="70"/>
      <c r="DU32" s="70"/>
      <c r="DV32" s="70"/>
      <c r="DW32" s="70"/>
      <c r="DX32" s="70"/>
      <c r="DY32" s="70"/>
      <c r="DZ32" s="70"/>
      <c r="EA32" s="70"/>
      <c r="EB32" s="70"/>
      <c r="EC32" s="70"/>
      <c r="ED32" s="70"/>
      <c r="EE32" s="70"/>
      <c r="EF32" s="70"/>
      <c r="EG32" s="70"/>
      <c r="EH32" s="70"/>
      <c r="EI32" s="70"/>
      <c r="EJ32" s="70"/>
      <c r="EK32" s="70"/>
      <c r="EL32" s="70"/>
      <c r="EM32" s="70"/>
      <c r="EN32" s="70"/>
      <c r="EO32" s="70"/>
      <c r="EP32" s="70"/>
      <c r="EQ32" s="70"/>
      <c r="ER32" s="70"/>
      <c r="ES32" s="70"/>
      <c r="ET32" s="70"/>
      <c r="EU32" s="70"/>
      <c r="EV32" s="70"/>
      <c r="EW32" s="70"/>
      <c r="EX32" s="70"/>
      <c r="EY32" s="70"/>
      <c r="EZ32" s="70"/>
      <c r="FA32" s="70"/>
      <c r="FB32" s="70"/>
      <c r="FC32" s="70"/>
      <c r="FD32" s="70"/>
      <c r="FE32" s="70"/>
      <c r="FF32" s="70"/>
      <c r="FG32" s="70"/>
      <c r="FH32" s="70"/>
      <c r="FI32" s="70"/>
      <c r="FJ32" s="70"/>
      <c r="FK32" s="70"/>
      <c r="FL32" s="70"/>
      <c r="FM32" s="70"/>
      <c r="FN32" s="70"/>
      <c r="FO32" s="70"/>
      <c r="FP32" s="70"/>
      <c r="FQ32" s="70"/>
      <c r="FR32" s="70"/>
      <c r="FS32" s="70"/>
      <c r="FT32" s="70"/>
      <c r="FU32" s="70"/>
      <c r="FV32" s="70"/>
      <c r="FW32" s="70"/>
      <c r="FX32" s="70"/>
      <c r="FY32" s="70"/>
      <c r="FZ32" s="70"/>
      <c r="GA32" s="70"/>
      <c r="GB32" s="70"/>
      <c r="GC32" s="70"/>
      <c r="GD32" s="70"/>
      <c r="GE32" s="70"/>
      <c r="GF32" s="70"/>
      <c r="GG32" s="70"/>
      <c r="GH32" s="70"/>
      <c r="GI32" s="70"/>
      <c r="GJ32" s="70"/>
    </row>
    <row r="33" spans="1:192" ht="13">
      <c r="A33" s="1052"/>
      <c r="B33" s="1095"/>
      <c r="C33" s="1143"/>
      <c r="D33" s="1182"/>
      <c r="E33" s="1209"/>
      <c r="F33" s="1051"/>
      <c r="G33" s="1051"/>
      <c r="H33" s="1051"/>
      <c r="I33" s="1143"/>
      <c r="J33" s="1182"/>
      <c r="K33" s="776">
        <v>396000</v>
      </c>
      <c r="L33" s="24" t="s">
        <v>1579</v>
      </c>
      <c r="M33" s="777">
        <v>33000</v>
      </c>
      <c r="N33" s="1051"/>
      <c r="O33" s="150"/>
      <c r="P33" s="84">
        <v>13200000</v>
      </c>
      <c r="Q33" s="707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  <c r="BN33" s="70"/>
      <c r="BO33" s="70"/>
      <c r="BP33" s="70"/>
      <c r="BQ33" s="70"/>
      <c r="BR33" s="70"/>
      <c r="BS33" s="70"/>
      <c r="BT33" s="70"/>
      <c r="BU33" s="70"/>
      <c r="BV33" s="70"/>
      <c r="BW33" s="70"/>
      <c r="BX33" s="70"/>
      <c r="BY33" s="70"/>
      <c r="BZ33" s="70"/>
      <c r="CA33" s="70"/>
      <c r="CB33" s="70"/>
      <c r="CC33" s="70"/>
      <c r="CD33" s="70"/>
      <c r="CE33" s="70"/>
      <c r="CF33" s="70"/>
      <c r="CG33" s="70"/>
      <c r="CH33" s="70"/>
      <c r="CI33" s="70"/>
      <c r="CJ33" s="70"/>
      <c r="CK33" s="70"/>
      <c r="CL33" s="70"/>
      <c r="CM33" s="70"/>
      <c r="CN33" s="70"/>
      <c r="CO33" s="70"/>
      <c r="CP33" s="70"/>
      <c r="CQ33" s="70"/>
      <c r="CR33" s="70"/>
      <c r="CS33" s="70"/>
      <c r="CT33" s="70"/>
      <c r="CU33" s="70"/>
      <c r="CV33" s="70"/>
      <c r="CW33" s="70"/>
      <c r="CX33" s="70"/>
      <c r="CY33" s="70"/>
      <c r="CZ33" s="70"/>
      <c r="DA33" s="70"/>
      <c r="DB33" s="70"/>
      <c r="DC33" s="70"/>
      <c r="DD33" s="70"/>
      <c r="DE33" s="70"/>
      <c r="DF33" s="70"/>
      <c r="DG33" s="70"/>
      <c r="DH33" s="70"/>
      <c r="DI33" s="70"/>
      <c r="DJ33" s="70"/>
      <c r="DK33" s="70"/>
      <c r="DL33" s="70"/>
      <c r="DM33" s="70"/>
      <c r="DN33" s="70"/>
      <c r="DO33" s="70"/>
      <c r="DP33" s="70"/>
      <c r="DQ33" s="70"/>
      <c r="DR33" s="70"/>
      <c r="DS33" s="70"/>
      <c r="DT33" s="70"/>
      <c r="DU33" s="70"/>
      <c r="DV33" s="70"/>
      <c r="DW33" s="70"/>
      <c r="DX33" s="70"/>
      <c r="DY33" s="70"/>
      <c r="DZ33" s="70"/>
      <c r="EA33" s="70"/>
      <c r="EB33" s="70"/>
      <c r="EC33" s="70"/>
      <c r="ED33" s="70"/>
      <c r="EE33" s="70"/>
      <c r="EF33" s="70"/>
      <c r="EG33" s="70"/>
      <c r="EH33" s="70"/>
      <c r="EI33" s="70"/>
      <c r="EJ33" s="70"/>
      <c r="EK33" s="70"/>
      <c r="EL33" s="70"/>
      <c r="EM33" s="70"/>
      <c r="EN33" s="70"/>
      <c r="EO33" s="70"/>
      <c r="EP33" s="70"/>
      <c r="EQ33" s="70"/>
      <c r="ER33" s="70"/>
      <c r="ES33" s="70"/>
      <c r="ET33" s="70"/>
      <c r="EU33" s="70"/>
      <c r="EV33" s="70"/>
      <c r="EW33" s="70"/>
      <c r="EX33" s="70"/>
      <c r="EY33" s="70"/>
      <c r="EZ33" s="70"/>
      <c r="FA33" s="70"/>
      <c r="FB33" s="70"/>
      <c r="FC33" s="70"/>
      <c r="FD33" s="70"/>
      <c r="FE33" s="70"/>
      <c r="FF33" s="70"/>
      <c r="FG33" s="70"/>
      <c r="FH33" s="70"/>
      <c r="FI33" s="70"/>
      <c r="FJ33" s="70"/>
      <c r="FK33" s="70"/>
      <c r="FL33" s="70"/>
      <c r="FM33" s="70"/>
      <c r="FN33" s="70"/>
      <c r="FO33" s="70"/>
      <c r="FP33" s="70"/>
      <c r="FQ33" s="70"/>
      <c r="FR33" s="70"/>
      <c r="FS33" s="70"/>
      <c r="FT33" s="70"/>
      <c r="FU33" s="70"/>
      <c r="FV33" s="70"/>
      <c r="FW33" s="70"/>
      <c r="FX33" s="70"/>
      <c r="FY33" s="70"/>
      <c r="FZ33" s="70"/>
      <c r="GA33" s="70"/>
      <c r="GB33" s="70"/>
      <c r="GC33" s="70"/>
      <c r="GD33" s="70"/>
      <c r="GE33" s="70"/>
      <c r="GF33" s="70"/>
      <c r="GG33" s="70"/>
      <c r="GH33" s="70"/>
      <c r="GI33" s="70"/>
      <c r="GJ33" s="70"/>
    </row>
    <row r="34" spans="1:192" ht="13">
      <c r="A34" s="1050"/>
      <c r="B34" s="1253" t="s">
        <v>14919</v>
      </c>
      <c r="C34" s="1206" t="s">
        <v>14920</v>
      </c>
      <c r="D34" s="1190" t="s">
        <v>14921</v>
      </c>
      <c r="E34" s="1254" t="s">
        <v>1541</v>
      </c>
      <c r="F34" s="1050" t="s">
        <v>14850</v>
      </c>
      <c r="G34" s="1075" t="s">
        <v>14922</v>
      </c>
      <c r="H34" s="1219">
        <v>45383</v>
      </c>
      <c r="I34" s="1220">
        <v>45747</v>
      </c>
      <c r="J34" s="1181">
        <v>1495500</v>
      </c>
      <c r="K34" s="778">
        <v>12382740</v>
      </c>
      <c r="L34" s="24" t="s">
        <v>1767</v>
      </c>
      <c r="M34" s="779">
        <v>1031895</v>
      </c>
      <c r="N34" s="1184" t="s">
        <v>14923</v>
      </c>
      <c r="O34" s="148"/>
      <c r="P34" s="697"/>
      <c r="Q34" s="707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  <c r="BN34" s="70"/>
      <c r="BO34" s="70"/>
      <c r="BP34" s="70"/>
      <c r="BQ34" s="70"/>
      <c r="BR34" s="70"/>
      <c r="BS34" s="70"/>
      <c r="BT34" s="70"/>
      <c r="BU34" s="70"/>
      <c r="BV34" s="70"/>
      <c r="BW34" s="70"/>
      <c r="BX34" s="70"/>
      <c r="BY34" s="70"/>
      <c r="BZ34" s="70"/>
      <c r="CA34" s="70"/>
      <c r="CB34" s="70"/>
      <c r="CC34" s="70"/>
      <c r="CD34" s="70"/>
      <c r="CE34" s="70"/>
      <c r="CF34" s="70"/>
      <c r="CG34" s="70"/>
      <c r="CH34" s="70"/>
      <c r="CI34" s="70"/>
      <c r="CJ34" s="70"/>
      <c r="CK34" s="70"/>
      <c r="CL34" s="70"/>
      <c r="CM34" s="70"/>
      <c r="CN34" s="70"/>
      <c r="CO34" s="70"/>
      <c r="CP34" s="70"/>
      <c r="CQ34" s="70"/>
      <c r="CR34" s="70"/>
      <c r="CS34" s="70"/>
      <c r="CT34" s="70"/>
      <c r="CU34" s="70"/>
      <c r="CV34" s="70"/>
      <c r="CW34" s="70"/>
      <c r="CX34" s="70"/>
      <c r="CY34" s="70"/>
      <c r="CZ34" s="70"/>
      <c r="DA34" s="70"/>
      <c r="DB34" s="70"/>
      <c r="DC34" s="70"/>
      <c r="DD34" s="70"/>
      <c r="DE34" s="70"/>
      <c r="DF34" s="70"/>
      <c r="DG34" s="70"/>
      <c r="DH34" s="70"/>
      <c r="DI34" s="70"/>
      <c r="DJ34" s="70"/>
      <c r="DK34" s="70"/>
      <c r="DL34" s="70"/>
      <c r="DM34" s="70"/>
      <c r="DN34" s="70"/>
      <c r="DO34" s="70"/>
      <c r="DP34" s="70"/>
      <c r="DQ34" s="70"/>
      <c r="DR34" s="70"/>
      <c r="DS34" s="70"/>
      <c r="DT34" s="70"/>
      <c r="DU34" s="70"/>
      <c r="DV34" s="70"/>
      <c r="DW34" s="70"/>
      <c r="DX34" s="70"/>
      <c r="DY34" s="70"/>
      <c r="DZ34" s="70"/>
      <c r="EA34" s="70"/>
      <c r="EB34" s="70"/>
      <c r="EC34" s="70"/>
      <c r="ED34" s="70"/>
      <c r="EE34" s="70"/>
      <c r="EF34" s="70"/>
      <c r="EG34" s="70"/>
      <c r="EH34" s="70"/>
      <c r="EI34" s="70"/>
      <c r="EJ34" s="70"/>
      <c r="EK34" s="70"/>
      <c r="EL34" s="70"/>
      <c r="EM34" s="70"/>
      <c r="EN34" s="70"/>
      <c r="EO34" s="70"/>
      <c r="EP34" s="70"/>
      <c r="EQ34" s="70"/>
      <c r="ER34" s="70"/>
      <c r="ES34" s="70"/>
      <c r="ET34" s="70"/>
      <c r="EU34" s="70"/>
      <c r="EV34" s="70"/>
      <c r="EW34" s="70"/>
      <c r="EX34" s="70"/>
      <c r="EY34" s="70"/>
      <c r="EZ34" s="70"/>
      <c r="FA34" s="70"/>
      <c r="FB34" s="70"/>
      <c r="FC34" s="70"/>
      <c r="FD34" s="70"/>
      <c r="FE34" s="70"/>
      <c r="FF34" s="70"/>
      <c r="FG34" s="70"/>
      <c r="FH34" s="70"/>
      <c r="FI34" s="70"/>
      <c r="FJ34" s="70"/>
      <c r="FK34" s="70"/>
      <c r="FL34" s="70"/>
      <c r="FM34" s="70"/>
      <c r="FN34" s="70"/>
      <c r="FO34" s="70"/>
      <c r="FP34" s="70"/>
      <c r="FQ34" s="70"/>
      <c r="FR34" s="70"/>
      <c r="FS34" s="70"/>
      <c r="FT34" s="70"/>
      <c r="FU34" s="70"/>
      <c r="FV34" s="70"/>
      <c r="FW34" s="70"/>
      <c r="FX34" s="70"/>
      <c r="FY34" s="70"/>
      <c r="FZ34" s="70"/>
      <c r="GA34" s="70"/>
      <c r="GB34" s="70"/>
      <c r="GC34" s="70"/>
      <c r="GD34" s="70"/>
      <c r="GE34" s="70"/>
      <c r="GF34" s="70"/>
      <c r="GG34" s="70"/>
      <c r="GH34" s="70"/>
      <c r="GI34" s="70"/>
      <c r="GJ34" s="70"/>
    </row>
    <row r="35" spans="1:192" ht="13">
      <c r="A35" s="1051"/>
      <c r="B35" s="1095"/>
      <c r="C35" s="1143"/>
      <c r="D35" s="1182"/>
      <c r="E35" s="1209"/>
      <c r="F35" s="1051"/>
      <c r="G35" s="1051"/>
      <c r="H35" s="1051"/>
      <c r="I35" s="1143"/>
      <c r="J35" s="1182"/>
      <c r="K35" s="778">
        <v>5024880</v>
      </c>
      <c r="L35" s="24" t="s">
        <v>1577</v>
      </c>
      <c r="M35" s="779">
        <v>418740</v>
      </c>
      <c r="N35" s="1051"/>
      <c r="O35" s="148"/>
      <c r="P35" s="707"/>
      <c r="Q35" s="707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70"/>
      <c r="BK35" s="70"/>
      <c r="BL35" s="70"/>
      <c r="BM35" s="70"/>
      <c r="BN35" s="70"/>
      <c r="BO35" s="70"/>
      <c r="BP35" s="70"/>
      <c r="BQ35" s="70"/>
      <c r="BR35" s="70"/>
      <c r="BS35" s="70"/>
      <c r="BT35" s="70"/>
      <c r="BU35" s="70"/>
      <c r="BV35" s="70"/>
      <c r="BW35" s="70"/>
      <c r="BX35" s="70"/>
      <c r="BY35" s="70"/>
      <c r="BZ35" s="70"/>
      <c r="CA35" s="70"/>
      <c r="CB35" s="70"/>
      <c r="CC35" s="70"/>
      <c r="CD35" s="70"/>
      <c r="CE35" s="70"/>
      <c r="CF35" s="70"/>
      <c r="CG35" s="70"/>
      <c r="CH35" s="70"/>
      <c r="CI35" s="70"/>
      <c r="CJ35" s="70"/>
      <c r="CK35" s="70"/>
      <c r="CL35" s="70"/>
      <c r="CM35" s="70"/>
      <c r="CN35" s="70"/>
      <c r="CO35" s="70"/>
      <c r="CP35" s="70"/>
      <c r="CQ35" s="70"/>
      <c r="CR35" s="70"/>
      <c r="CS35" s="70"/>
      <c r="CT35" s="70"/>
      <c r="CU35" s="70"/>
      <c r="CV35" s="70"/>
      <c r="CW35" s="70"/>
      <c r="CX35" s="70"/>
      <c r="CY35" s="70"/>
      <c r="CZ35" s="70"/>
      <c r="DA35" s="70"/>
      <c r="DB35" s="70"/>
      <c r="DC35" s="70"/>
      <c r="DD35" s="70"/>
      <c r="DE35" s="70"/>
      <c r="DF35" s="70"/>
      <c r="DG35" s="70"/>
      <c r="DH35" s="70"/>
      <c r="DI35" s="70"/>
      <c r="DJ35" s="70"/>
      <c r="DK35" s="70"/>
      <c r="DL35" s="70"/>
      <c r="DM35" s="70"/>
      <c r="DN35" s="70"/>
      <c r="DO35" s="70"/>
      <c r="DP35" s="70"/>
      <c r="DQ35" s="70"/>
      <c r="DR35" s="70"/>
      <c r="DS35" s="70"/>
      <c r="DT35" s="70"/>
      <c r="DU35" s="70"/>
      <c r="DV35" s="70"/>
      <c r="DW35" s="70"/>
      <c r="DX35" s="70"/>
      <c r="DY35" s="70"/>
      <c r="DZ35" s="70"/>
      <c r="EA35" s="70"/>
      <c r="EB35" s="70"/>
      <c r="EC35" s="70"/>
      <c r="ED35" s="70"/>
      <c r="EE35" s="70"/>
      <c r="EF35" s="70"/>
      <c r="EG35" s="70"/>
      <c r="EH35" s="70"/>
      <c r="EI35" s="70"/>
      <c r="EJ35" s="70"/>
      <c r="EK35" s="70"/>
      <c r="EL35" s="70"/>
      <c r="EM35" s="70"/>
      <c r="EN35" s="70"/>
      <c r="EO35" s="70"/>
      <c r="EP35" s="70"/>
      <c r="EQ35" s="70"/>
      <c r="ER35" s="70"/>
      <c r="ES35" s="70"/>
      <c r="ET35" s="70"/>
      <c r="EU35" s="70"/>
      <c r="EV35" s="70"/>
      <c r="EW35" s="70"/>
      <c r="EX35" s="70"/>
      <c r="EY35" s="70"/>
      <c r="EZ35" s="70"/>
      <c r="FA35" s="70"/>
      <c r="FB35" s="70"/>
      <c r="FC35" s="70"/>
      <c r="FD35" s="70"/>
      <c r="FE35" s="70"/>
      <c r="FF35" s="70"/>
      <c r="FG35" s="70"/>
      <c r="FH35" s="70"/>
      <c r="FI35" s="70"/>
      <c r="FJ35" s="70"/>
      <c r="FK35" s="70"/>
      <c r="FL35" s="70"/>
      <c r="FM35" s="70"/>
      <c r="FN35" s="70"/>
      <c r="FO35" s="70"/>
      <c r="FP35" s="70"/>
      <c r="FQ35" s="70"/>
      <c r="FR35" s="70"/>
      <c r="FS35" s="70"/>
      <c r="FT35" s="70"/>
      <c r="FU35" s="70"/>
      <c r="FV35" s="70"/>
      <c r="FW35" s="70"/>
      <c r="FX35" s="70"/>
      <c r="FY35" s="70"/>
      <c r="FZ35" s="70"/>
      <c r="GA35" s="70"/>
      <c r="GB35" s="70"/>
      <c r="GC35" s="70"/>
      <c r="GD35" s="70"/>
      <c r="GE35" s="70"/>
      <c r="GF35" s="70"/>
      <c r="GG35" s="70"/>
      <c r="GH35" s="70"/>
      <c r="GI35" s="70"/>
      <c r="GJ35" s="70"/>
    </row>
    <row r="36" spans="1:192" ht="13">
      <c r="A36" s="1052"/>
      <c r="B36" s="1096"/>
      <c r="C36" s="1082"/>
      <c r="D36" s="1183"/>
      <c r="E36" s="1210"/>
      <c r="F36" s="1052"/>
      <c r="G36" s="1052"/>
      <c r="H36" s="1052"/>
      <c r="I36" s="1082"/>
      <c r="J36" s="1183"/>
      <c r="K36" s="778">
        <v>538380</v>
      </c>
      <c r="L36" s="24" t="s">
        <v>1579</v>
      </c>
      <c r="M36" s="779">
        <v>44865</v>
      </c>
      <c r="N36" s="1052"/>
      <c r="O36" s="148"/>
      <c r="P36" s="707"/>
      <c r="Q36" s="707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  <c r="BM36" s="70"/>
      <c r="BN36" s="70"/>
      <c r="BO36" s="70"/>
      <c r="BP36" s="70"/>
      <c r="BQ36" s="70"/>
      <c r="BR36" s="70"/>
      <c r="BS36" s="70"/>
      <c r="BT36" s="70"/>
      <c r="BU36" s="70"/>
      <c r="BV36" s="70"/>
      <c r="BW36" s="70"/>
      <c r="BX36" s="70"/>
      <c r="BY36" s="70"/>
      <c r="BZ36" s="70"/>
      <c r="CA36" s="70"/>
      <c r="CB36" s="70"/>
      <c r="CC36" s="70"/>
      <c r="CD36" s="70"/>
      <c r="CE36" s="70"/>
      <c r="CF36" s="70"/>
      <c r="CG36" s="70"/>
      <c r="CH36" s="70"/>
      <c r="CI36" s="70"/>
      <c r="CJ36" s="70"/>
      <c r="CK36" s="70"/>
      <c r="CL36" s="70"/>
      <c r="CM36" s="70"/>
      <c r="CN36" s="70"/>
      <c r="CO36" s="70"/>
      <c r="CP36" s="70"/>
      <c r="CQ36" s="70"/>
      <c r="CR36" s="70"/>
      <c r="CS36" s="70"/>
      <c r="CT36" s="70"/>
      <c r="CU36" s="70"/>
      <c r="CV36" s="70"/>
      <c r="CW36" s="70"/>
      <c r="CX36" s="70"/>
      <c r="CY36" s="70"/>
      <c r="CZ36" s="70"/>
      <c r="DA36" s="70"/>
      <c r="DB36" s="70"/>
      <c r="DC36" s="70"/>
      <c r="DD36" s="70"/>
      <c r="DE36" s="70"/>
      <c r="DF36" s="70"/>
      <c r="DG36" s="70"/>
      <c r="DH36" s="70"/>
      <c r="DI36" s="70"/>
      <c r="DJ36" s="70"/>
      <c r="DK36" s="70"/>
      <c r="DL36" s="70"/>
      <c r="DM36" s="70"/>
      <c r="DN36" s="70"/>
      <c r="DO36" s="70"/>
      <c r="DP36" s="70"/>
      <c r="DQ36" s="70"/>
      <c r="DR36" s="70"/>
      <c r="DS36" s="70"/>
      <c r="DT36" s="70"/>
      <c r="DU36" s="70"/>
      <c r="DV36" s="70"/>
      <c r="DW36" s="70"/>
      <c r="DX36" s="70"/>
      <c r="DY36" s="70"/>
      <c r="DZ36" s="70"/>
      <c r="EA36" s="70"/>
      <c r="EB36" s="70"/>
      <c r="EC36" s="70"/>
      <c r="ED36" s="70"/>
      <c r="EE36" s="70"/>
      <c r="EF36" s="70"/>
      <c r="EG36" s="70"/>
      <c r="EH36" s="70"/>
      <c r="EI36" s="70"/>
      <c r="EJ36" s="70"/>
      <c r="EK36" s="70"/>
      <c r="EL36" s="70"/>
      <c r="EM36" s="70"/>
      <c r="EN36" s="70"/>
      <c r="EO36" s="70"/>
      <c r="EP36" s="70"/>
      <c r="EQ36" s="70"/>
      <c r="ER36" s="70"/>
      <c r="ES36" s="70"/>
      <c r="ET36" s="70"/>
      <c r="EU36" s="70"/>
      <c r="EV36" s="70"/>
      <c r="EW36" s="70"/>
      <c r="EX36" s="70"/>
      <c r="EY36" s="70"/>
      <c r="EZ36" s="70"/>
      <c r="FA36" s="70"/>
      <c r="FB36" s="70"/>
      <c r="FC36" s="70"/>
      <c r="FD36" s="70"/>
      <c r="FE36" s="70"/>
      <c r="FF36" s="70"/>
      <c r="FG36" s="70"/>
      <c r="FH36" s="70"/>
      <c r="FI36" s="70"/>
      <c r="FJ36" s="70"/>
      <c r="FK36" s="70"/>
      <c r="FL36" s="70"/>
      <c r="FM36" s="70"/>
      <c r="FN36" s="70"/>
      <c r="FO36" s="70"/>
      <c r="FP36" s="70"/>
      <c r="FQ36" s="70"/>
      <c r="FR36" s="70"/>
      <c r="FS36" s="70"/>
      <c r="FT36" s="70"/>
      <c r="FU36" s="70"/>
      <c r="FV36" s="70"/>
      <c r="FW36" s="70"/>
      <c r="FX36" s="70"/>
      <c r="FY36" s="70"/>
      <c r="FZ36" s="70"/>
      <c r="GA36" s="70"/>
      <c r="GB36" s="70"/>
      <c r="GC36" s="70"/>
      <c r="GD36" s="70"/>
      <c r="GE36" s="70"/>
      <c r="GF36" s="70"/>
      <c r="GG36" s="70"/>
      <c r="GH36" s="70"/>
      <c r="GI36" s="70"/>
      <c r="GJ36" s="70"/>
    </row>
    <row r="37" spans="1:192" ht="73.5" customHeight="1">
      <c r="A37" s="24"/>
      <c r="B37" s="54" t="s">
        <v>14924</v>
      </c>
      <c r="C37" s="721" t="s">
        <v>14925</v>
      </c>
      <c r="D37" s="699" t="s">
        <v>14926</v>
      </c>
      <c r="E37" s="700" t="s">
        <v>1541</v>
      </c>
      <c r="F37" s="228" t="s">
        <v>14927</v>
      </c>
      <c r="G37" s="701" t="s">
        <v>14928</v>
      </c>
      <c r="H37" s="732">
        <v>45292</v>
      </c>
      <c r="I37" s="733">
        <v>45657</v>
      </c>
      <c r="J37" s="734">
        <v>770000</v>
      </c>
      <c r="K37" s="703"/>
      <c r="L37" s="228" t="s">
        <v>10928</v>
      </c>
      <c r="M37" s="780">
        <v>770000</v>
      </c>
      <c r="N37" s="706" t="s">
        <v>14929</v>
      </c>
      <c r="O37" s="781" t="str">
        <f>'(AR)인프라사업팀'!K10</f>
        <v>ART241211김행주1404</v>
      </c>
      <c r="P37" s="707">
        <v>17972</v>
      </c>
      <c r="Q37" s="707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70"/>
      <c r="BR37" s="70"/>
      <c r="BS37" s="70"/>
      <c r="BT37" s="70"/>
      <c r="BU37" s="70"/>
      <c r="BV37" s="70"/>
      <c r="BW37" s="70"/>
      <c r="BX37" s="70"/>
      <c r="BY37" s="70"/>
      <c r="BZ37" s="70"/>
      <c r="CA37" s="70"/>
      <c r="CB37" s="70"/>
      <c r="CC37" s="70"/>
      <c r="CD37" s="70"/>
      <c r="CE37" s="70"/>
      <c r="CF37" s="70"/>
      <c r="CG37" s="70"/>
      <c r="CH37" s="70"/>
      <c r="CI37" s="70"/>
      <c r="CJ37" s="70"/>
      <c r="CK37" s="70"/>
      <c r="CL37" s="70"/>
      <c r="CM37" s="70"/>
      <c r="CN37" s="70"/>
      <c r="CO37" s="70"/>
      <c r="CP37" s="70"/>
      <c r="CQ37" s="70"/>
      <c r="CR37" s="70"/>
      <c r="CS37" s="70"/>
      <c r="CT37" s="70"/>
      <c r="CU37" s="70"/>
      <c r="CV37" s="70"/>
      <c r="CW37" s="70"/>
      <c r="CX37" s="70"/>
      <c r="CY37" s="70"/>
      <c r="CZ37" s="70"/>
      <c r="DA37" s="70"/>
      <c r="DB37" s="70"/>
      <c r="DC37" s="70"/>
      <c r="DD37" s="70"/>
      <c r="DE37" s="70"/>
      <c r="DF37" s="70"/>
      <c r="DG37" s="70"/>
      <c r="DH37" s="70"/>
      <c r="DI37" s="70"/>
      <c r="DJ37" s="70"/>
      <c r="DK37" s="70"/>
      <c r="DL37" s="70"/>
      <c r="DM37" s="70"/>
      <c r="DN37" s="70"/>
      <c r="DO37" s="70"/>
      <c r="DP37" s="70"/>
      <c r="DQ37" s="70"/>
      <c r="DR37" s="70"/>
      <c r="DS37" s="70"/>
      <c r="DT37" s="70"/>
      <c r="DU37" s="70"/>
      <c r="DV37" s="70"/>
      <c r="DW37" s="70"/>
      <c r="DX37" s="70"/>
      <c r="DY37" s="70"/>
      <c r="DZ37" s="70"/>
      <c r="EA37" s="70"/>
      <c r="EB37" s="70"/>
      <c r="EC37" s="70"/>
      <c r="ED37" s="70"/>
      <c r="EE37" s="70"/>
      <c r="EF37" s="70"/>
      <c r="EG37" s="70"/>
      <c r="EH37" s="70"/>
      <c r="EI37" s="70"/>
      <c r="EJ37" s="70"/>
      <c r="EK37" s="70"/>
      <c r="EL37" s="70"/>
      <c r="EM37" s="70"/>
      <c r="EN37" s="70"/>
      <c r="EO37" s="70"/>
      <c r="EP37" s="70"/>
      <c r="EQ37" s="70"/>
      <c r="ER37" s="70"/>
      <c r="ES37" s="70"/>
      <c r="ET37" s="70"/>
      <c r="EU37" s="70"/>
      <c r="EV37" s="70"/>
      <c r="EW37" s="70"/>
      <c r="EX37" s="70"/>
      <c r="EY37" s="70"/>
      <c r="EZ37" s="70"/>
      <c r="FA37" s="70"/>
      <c r="FB37" s="70"/>
      <c r="FC37" s="70"/>
      <c r="FD37" s="70"/>
      <c r="FE37" s="70"/>
      <c r="FF37" s="70"/>
      <c r="FG37" s="70"/>
      <c r="FH37" s="70"/>
      <c r="FI37" s="70"/>
      <c r="FJ37" s="70"/>
      <c r="FK37" s="70"/>
      <c r="FL37" s="70"/>
      <c r="FM37" s="70"/>
      <c r="FN37" s="70"/>
      <c r="FO37" s="70"/>
      <c r="FP37" s="70"/>
      <c r="FQ37" s="70"/>
      <c r="FR37" s="70"/>
      <c r="FS37" s="70"/>
      <c r="FT37" s="70"/>
      <c r="FU37" s="70"/>
      <c r="FV37" s="70"/>
      <c r="FW37" s="70"/>
      <c r="FX37" s="70"/>
      <c r="FY37" s="70"/>
      <c r="FZ37" s="70"/>
      <c r="GA37" s="70"/>
      <c r="GB37" s="70"/>
      <c r="GC37" s="70"/>
      <c r="GD37" s="70"/>
      <c r="GE37" s="70"/>
      <c r="GF37" s="70"/>
      <c r="GG37" s="70"/>
      <c r="GH37" s="70"/>
      <c r="GI37" s="70"/>
      <c r="GJ37" s="70"/>
    </row>
    <row r="38" spans="1:192" ht="45.75" customHeight="1">
      <c r="A38" s="24"/>
      <c r="B38" s="720" t="s">
        <v>516</v>
      </c>
      <c r="C38" s="762" t="s">
        <v>14930</v>
      </c>
      <c r="D38" s="722" t="s">
        <v>14931</v>
      </c>
      <c r="E38" s="723" t="s">
        <v>1541</v>
      </c>
      <c r="F38" s="24" t="s">
        <v>14927</v>
      </c>
      <c r="G38" s="81" t="s">
        <v>14932</v>
      </c>
      <c r="H38" s="782">
        <v>45292</v>
      </c>
      <c r="I38" s="783">
        <v>45657</v>
      </c>
      <c r="J38" s="784">
        <v>1148350</v>
      </c>
      <c r="K38" s="785" t="s">
        <v>14933</v>
      </c>
      <c r="L38" s="24" t="s">
        <v>189</v>
      </c>
      <c r="M38" s="779">
        <v>1148350</v>
      </c>
      <c r="N38" s="63" t="s">
        <v>14934</v>
      </c>
      <c r="O38" s="51" t="str">
        <f>'(AR)인프라사업팀'!K23</f>
        <v>ART241130김행주1446</v>
      </c>
      <c r="P38" s="786" t="s">
        <v>14935</v>
      </c>
      <c r="Q38" s="707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  <c r="BM38" s="70"/>
      <c r="BN38" s="70"/>
      <c r="BO38" s="70"/>
      <c r="BP38" s="70"/>
      <c r="BQ38" s="70"/>
      <c r="BR38" s="70"/>
      <c r="BS38" s="70"/>
      <c r="BT38" s="70"/>
      <c r="BU38" s="70"/>
      <c r="BV38" s="70"/>
      <c r="BW38" s="70"/>
      <c r="BX38" s="70"/>
      <c r="BY38" s="70"/>
      <c r="BZ38" s="70"/>
      <c r="CA38" s="70"/>
      <c r="CB38" s="70"/>
      <c r="CC38" s="70"/>
      <c r="CD38" s="70"/>
      <c r="CE38" s="70"/>
      <c r="CF38" s="70"/>
      <c r="CG38" s="70"/>
      <c r="CH38" s="70"/>
      <c r="CI38" s="70"/>
      <c r="CJ38" s="70"/>
      <c r="CK38" s="70"/>
      <c r="CL38" s="70"/>
      <c r="CM38" s="70"/>
      <c r="CN38" s="70"/>
      <c r="CO38" s="70"/>
      <c r="CP38" s="70"/>
      <c r="CQ38" s="70"/>
      <c r="CR38" s="70"/>
      <c r="CS38" s="70"/>
      <c r="CT38" s="70"/>
      <c r="CU38" s="70"/>
      <c r="CV38" s="70"/>
      <c r="CW38" s="70"/>
      <c r="CX38" s="70"/>
      <c r="CY38" s="70"/>
      <c r="CZ38" s="70"/>
      <c r="DA38" s="70"/>
      <c r="DB38" s="70"/>
      <c r="DC38" s="70"/>
      <c r="DD38" s="70"/>
      <c r="DE38" s="70"/>
      <c r="DF38" s="70"/>
      <c r="DG38" s="70"/>
      <c r="DH38" s="70"/>
      <c r="DI38" s="70"/>
      <c r="DJ38" s="70"/>
      <c r="DK38" s="70"/>
      <c r="DL38" s="70"/>
      <c r="DM38" s="70"/>
      <c r="DN38" s="70"/>
      <c r="DO38" s="70"/>
      <c r="DP38" s="70"/>
      <c r="DQ38" s="70"/>
      <c r="DR38" s="70"/>
      <c r="DS38" s="70"/>
      <c r="DT38" s="70"/>
      <c r="DU38" s="70"/>
      <c r="DV38" s="70"/>
      <c r="DW38" s="70"/>
      <c r="DX38" s="70"/>
      <c r="DY38" s="70"/>
      <c r="DZ38" s="70"/>
      <c r="EA38" s="70"/>
      <c r="EB38" s="70"/>
      <c r="EC38" s="70"/>
      <c r="ED38" s="70"/>
      <c r="EE38" s="70"/>
      <c r="EF38" s="70"/>
      <c r="EG38" s="70"/>
      <c r="EH38" s="70"/>
      <c r="EI38" s="70"/>
      <c r="EJ38" s="70"/>
      <c r="EK38" s="70"/>
      <c r="EL38" s="70"/>
      <c r="EM38" s="70"/>
      <c r="EN38" s="70"/>
      <c r="EO38" s="70"/>
      <c r="EP38" s="70"/>
      <c r="EQ38" s="70"/>
      <c r="ER38" s="70"/>
      <c r="ES38" s="70"/>
      <c r="ET38" s="70"/>
      <c r="EU38" s="70"/>
      <c r="EV38" s="70"/>
      <c r="EW38" s="70"/>
      <c r="EX38" s="70"/>
      <c r="EY38" s="70"/>
      <c r="EZ38" s="70"/>
      <c r="FA38" s="70"/>
      <c r="FB38" s="70"/>
      <c r="FC38" s="70"/>
      <c r="FD38" s="70"/>
      <c r="FE38" s="70"/>
      <c r="FF38" s="70"/>
      <c r="FG38" s="70"/>
      <c r="FH38" s="70"/>
      <c r="FI38" s="70"/>
      <c r="FJ38" s="70"/>
      <c r="FK38" s="70"/>
      <c r="FL38" s="70"/>
      <c r="FM38" s="70"/>
      <c r="FN38" s="70"/>
      <c r="FO38" s="70"/>
      <c r="FP38" s="70"/>
      <c r="FQ38" s="70"/>
      <c r="FR38" s="70"/>
      <c r="FS38" s="70"/>
      <c r="FT38" s="70"/>
      <c r="FU38" s="70"/>
      <c r="FV38" s="70"/>
      <c r="FW38" s="70"/>
      <c r="FX38" s="70"/>
      <c r="FY38" s="70"/>
      <c r="FZ38" s="70"/>
      <c r="GA38" s="70"/>
      <c r="GB38" s="70"/>
      <c r="GC38" s="70"/>
      <c r="GD38" s="70"/>
      <c r="GE38" s="70"/>
      <c r="GF38" s="70"/>
      <c r="GG38" s="70"/>
      <c r="GH38" s="70"/>
      <c r="GI38" s="70"/>
      <c r="GJ38" s="70"/>
    </row>
    <row r="39" spans="1:192" ht="13">
      <c r="A39" s="24"/>
      <c r="B39" s="731" t="s">
        <v>14936</v>
      </c>
      <c r="C39" s="762" t="s">
        <v>14937</v>
      </c>
      <c r="D39" s="699" t="s">
        <v>14938</v>
      </c>
      <c r="E39" s="700" t="s">
        <v>1541</v>
      </c>
      <c r="F39" s="24" t="s">
        <v>14927</v>
      </c>
      <c r="G39" s="775" t="s">
        <v>14939</v>
      </c>
      <c r="H39" s="787">
        <v>45292</v>
      </c>
      <c r="I39" s="788">
        <v>45657</v>
      </c>
      <c r="J39" s="734">
        <v>620000</v>
      </c>
      <c r="K39" s="789">
        <v>7440000</v>
      </c>
      <c r="L39" s="228" t="s">
        <v>189</v>
      </c>
      <c r="M39" s="780">
        <v>620000</v>
      </c>
      <c r="N39" s="63" t="s">
        <v>14940</v>
      </c>
      <c r="O39" s="790" t="str">
        <f t="shared" ref="O39:O42" si="0">O38</f>
        <v>ART241130김행주1446</v>
      </c>
      <c r="P39" s="791" t="s">
        <v>14935</v>
      </c>
      <c r="Q39" s="707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70"/>
      <c r="BR39" s="70"/>
      <c r="BS39" s="70"/>
      <c r="BT39" s="70"/>
      <c r="BU39" s="70"/>
      <c r="BV39" s="70"/>
      <c r="BW39" s="70"/>
      <c r="BX39" s="70"/>
      <c r="BY39" s="70"/>
      <c r="BZ39" s="70"/>
      <c r="CA39" s="70"/>
      <c r="CB39" s="70"/>
      <c r="CC39" s="70"/>
      <c r="CD39" s="70"/>
      <c r="CE39" s="70"/>
      <c r="CF39" s="70"/>
      <c r="CG39" s="70"/>
      <c r="CH39" s="70"/>
      <c r="CI39" s="70"/>
      <c r="CJ39" s="70"/>
      <c r="CK39" s="70"/>
      <c r="CL39" s="70"/>
      <c r="CM39" s="70"/>
      <c r="CN39" s="70"/>
      <c r="CO39" s="70"/>
      <c r="CP39" s="70"/>
      <c r="CQ39" s="70"/>
      <c r="CR39" s="70"/>
      <c r="CS39" s="70"/>
      <c r="CT39" s="70"/>
      <c r="CU39" s="70"/>
      <c r="CV39" s="70"/>
      <c r="CW39" s="70"/>
      <c r="CX39" s="70"/>
      <c r="CY39" s="70"/>
      <c r="CZ39" s="70"/>
      <c r="DA39" s="70"/>
      <c r="DB39" s="70"/>
      <c r="DC39" s="70"/>
      <c r="DD39" s="70"/>
      <c r="DE39" s="70"/>
      <c r="DF39" s="70"/>
      <c r="DG39" s="70"/>
      <c r="DH39" s="70"/>
      <c r="DI39" s="70"/>
      <c r="DJ39" s="70"/>
      <c r="DK39" s="70"/>
      <c r="DL39" s="70"/>
      <c r="DM39" s="70"/>
      <c r="DN39" s="70"/>
      <c r="DO39" s="70"/>
      <c r="DP39" s="70"/>
      <c r="DQ39" s="70"/>
      <c r="DR39" s="70"/>
      <c r="DS39" s="70"/>
      <c r="DT39" s="70"/>
      <c r="DU39" s="70"/>
      <c r="DV39" s="70"/>
      <c r="DW39" s="70"/>
      <c r="DX39" s="70"/>
      <c r="DY39" s="70"/>
      <c r="DZ39" s="70"/>
      <c r="EA39" s="70"/>
      <c r="EB39" s="70"/>
      <c r="EC39" s="70"/>
      <c r="ED39" s="70"/>
      <c r="EE39" s="70"/>
      <c r="EF39" s="70"/>
      <c r="EG39" s="70"/>
      <c r="EH39" s="70"/>
      <c r="EI39" s="70"/>
      <c r="EJ39" s="70"/>
      <c r="EK39" s="70"/>
      <c r="EL39" s="70"/>
      <c r="EM39" s="70"/>
      <c r="EN39" s="70"/>
      <c r="EO39" s="70"/>
      <c r="EP39" s="70"/>
      <c r="EQ39" s="70"/>
      <c r="ER39" s="70"/>
      <c r="ES39" s="70"/>
      <c r="ET39" s="70"/>
      <c r="EU39" s="70"/>
      <c r="EV39" s="70"/>
      <c r="EW39" s="70"/>
      <c r="EX39" s="70"/>
      <c r="EY39" s="70"/>
      <c r="EZ39" s="70"/>
      <c r="FA39" s="70"/>
      <c r="FB39" s="70"/>
      <c r="FC39" s="70"/>
      <c r="FD39" s="70"/>
      <c r="FE39" s="70"/>
      <c r="FF39" s="70"/>
      <c r="FG39" s="70"/>
      <c r="FH39" s="70"/>
      <c r="FI39" s="70"/>
      <c r="FJ39" s="70"/>
      <c r="FK39" s="70"/>
      <c r="FL39" s="70"/>
      <c r="FM39" s="70"/>
      <c r="FN39" s="70"/>
      <c r="FO39" s="70"/>
      <c r="FP39" s="70"/>
      <c r="FQ39" s="70"/>
      <c r="FR39" s="70"/>
      <c r="FS39" s="70"/>
      <c r="FT39" s="70"/>
      <c r="FU39" s="70"/>
      <c r="FV39" s="70"/>
      <c r="FW39" s="70"/>
      <c r="FX39" s="70"/>
      <c r="FY39" s="70"/>
      <c r="FZ39" s="70"/>
      <c r="GA39" s="70"/>
      <c r="GB39" s="70"/>
      <c r="GC39" s="70"/>
      <c r="GD39" s="70"/>
      <c r="GE39" s="70"/>
      <c r="GF39" s="70"/>
      <c r="GG39" s="70"/>
      <c r="GH39" s="70"/>
      <c r="GI39" s="70"/>
      <c r="GJ39" s="70"/>
    </row>
    <row r="40" spans="1:192" ht="13">
      <c r="A40" s="24"/>
      <c r="B40" s="720" t="s">
        <v>14941</v>
      </c>
      <c r="C40" s="762" t="s">
        <v>14942</v>
      </c>
      <c r="D40" s="722" t="s">
        <v>14943</v>
      </c>
      <c r="E40" s="723" t="s">
        <v>1541</v>
      </c>
      <c r="F40" s="24" t="s">
        <v>14927</v>
      </c>
      <c r="G40" s="81" t="s">
        <v>14944</v>
      </c>
      <c r="H40" s="782">
        <v>45292</v>
      </c>
      <c r="I40" s="783">
        <v>45657</v>
      </c>
      <c r="J40" s="792">
        <v>221300</v>
      </c>
      <c r="K40" s="785"/>
      <c r="L40" s="24" t="s">
        <v>189</v>
      </c>
      <c r="M40" s="793">
        <v>221300</v>
      </c>
      <c r="N40" s="63" t="s">
        <v>14945</v>
      </c>
      <c r="O40" s="794" t="str">
        <f t="shared" si="0"/>
        <v>ART241130김행주1446</v>
      </c>
      <c r="P40" s="707"/>
      <c r="Q40" s="707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70"/>
      <c r="BR40" s="70"/>
      <c r="BS40" s="70"/>
      <c r="BT40" s="70"/>
      <c r="BU40" s="70"/>
      <c r="BV40" s="70"/>
      <c r="BW40" s="70"/>
      <c r="BX40" s="70"/>
      <c r="BY40" s="70"/>
      <c r="BZ40" s="70"/>
      <c r="CA40" s="70"/>
      <c r="CB40" s="70"/>
      <c r="CC40" s="70"/>
      <c r="CD40" s="70"/>
      <c r="CE40" s="70"/>
      <c r="CF40" s="70"/>
      <c r="CG40" s="70"/>
      <c r="CH40" s="70"/>
      <c r="CI40" s="70"/>
      <c r="CJ40" s="70"/>
      <c r="CK40" s="70"/>
      <c r="CL40" s="70"/>
      <c r="CM40" s="70"/>
      <c r="CN40" s="70"/>
      <c r="CO40" s="70"/>
      <c r="CP40" s="70"/>
      <c r="CQ40" s="70"/>
      <c r="CR40" s="70"/>
      <c r="CS40" s="70"/>
      <c r="CT40" s="70"/>
      <c r="CU40" s="70"/>
      <c r="CV40" s="70"/>
      <c r="CW40" s="70"/>
      <c r="CX40" s="70"/>
      <c r="CY40" s="70"/>
      <c r="CZ40" s="70"/>
      <c r="DA40" s="70"/>
      <c r="DB40" s="70"/>
      <c r="DC40" s="70"/>
      <c r="DD40" s="70"/>
      <c r="DE40" s="70"/>
      <c r="DF40" s="70"/>
      <c r="DG40" s="70"/>
      <c r="DH40" s="70"/>
      <c r="DI40" s="70"/>
      <c r="DJ40" s="70"/>
      <c r="DK40" s="70"/>
      <c r="DL40" s="70"/>
      <c r="DM40" s="70"/>
      <c r="DN40" s="70"/>
      <c r="DO40" s="70"/>
      <c r="DP40" s="70"/>
      <c r="DQ40" s="70"/>
      <c r="DR40" s="70"/>
      <c r="DS40" s="70"/>
      <c r="DT40" s="70"/>
      <c r="DU40" s="70"/>
      <c r="DV40" s="70"/>
      <c r="DW40" s="70"/>
      <c r="DX40" s="70"/>
      <c r="DY40" s="70"/>
      <c r="DZ40" s="70"/>
      <c r="EA40" s="70"/>
      <c r="EB40" s="70"/>
      <c r="EC40" s="70"/>
      <c r="ED40" s="70"/>
      <c r="EE40" s="70"/>
      <c r="EF40" s="70"/>
      <c r="EG40" s="70"/>
      <c r="EH40" s="70"/>
      <c r="EI40" s="70"/>
      <c r="EJ40" s="70"/>
      <c r="EK40" s="70"/>
      <c r="EL40" s="70"/>
      <c r="EM40" s="70"/>
      <c r="EN40" s="70"/>
      <c r="EO40" s="70"/>
      <c r="EP40" s="70"/>
      <c r="EQ40" s="70"/>
      <c r="ER40" s="70"/>
      <c r="ES40" s="70"/>
      <c r="ET40" s="70"/>
      <c r="EU40" s="70"/>
      <c r="EV40" s="70"/>
      <c r="EW40" s="70"/>
      <c r="EX40" s="70"/>
      <c r="EY40" s="70"/>
      <c r="EZ40" s="70"/>
      <c r="FA40" s="70"/>
      <c r="FB40" s="70"/>
      <c r="FC40" s="70"/>
      <c r="FD40" s="70"/>
      <c r="FE40" s="70"/>
      <c r="FF40" s="70"/>
      <c r="FG40" s="70"/>
      <c r="FH40" s="70"/>
      <c r="FI40" s="70"/>
      <c r="FJ40" s="70"/>
      <c r="FK40" s="70"/>
      <c r="FL40" s="70"/>
      <c r="FM40" s="70"/>
      <c r="FN40" s="70"/>
      <c r="FO40" s="70"/>
      <c r="FP40" s="70"/>
      <c r="FQ40" s="70"/>
      <c r="FR40" s="70"/>
      <c r="FS40" s="70"/>
      <c r="FT40" s="70"/>
      <c r="FU40" s="70"/>
      <c r="FV40" s="70"/>
      <c r="FW40" s="70"/>
      <c r="FX40" s="70"/>
      <c r="FY40" s="70"/>
      <c r="FZ40" s="70"/>
      <c r="GA40" s="70"/>
      <c r="GB40" s="70"/>
      <c r="GC40" s="70"/>
      <c r="GD40" s="70"/>
      <c r="GE40" s="70"/>
      <c r="GF40" s="70"/>
      <c r="GG40" s="70"/>
      <c r="GH40" s="70"/>
      <c r="GI40" s="70"/>
      <c r="GJ40" s="70"/>
    </row>
    <row r="41" spans="1:192" ht="82.5" customHeight="1">
      <c r="A41" s="24"/>
      <c r="B41" s="715" t="s">
        <v>14861</v>
      </c>
      <c r="C41" s="756" t="s">
        <v>14946</v>
      </c>
      <c r="D41" s="709" t="s">
        <v>14947</v>
      </c>
      <c r="E41" s="710" t="s">
        <v>1541</v>
      </c>
      <c r="F41" s="24" t="s">
        <v>14927</v>
      </c>
      <c r="G41" s="758" t="s">
        <v>14948</v>
      </c>
      <c r="H41" s="732">
        <v>45292</v>
      </c>
      <c r="I41" s="733">
        <v>45657</v>
      </c>
      <c r="J41" s="734">
        <v>990400</v>
      </c>
      <c r="K41" s="703"/>
      <c r="L41" s="228" t="s">
        <v>189</v>
      </c>
      <c r="M41" s="780">
        <v>990400</v>
      </c>
      <c r="N41" s="63" t="s">
        <v>14949</v>
      </c>
      <c r="O41" s="794" t="str">
        <f t="shared" si="0"/>
        <v>ART241130김행주1446</v>
      </c>
      <c r="P41" s="707"/>
      <c r="Q41" s="707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0"/>
      <c r="BF41" s="70"/>
      <c r="BG41" s="70"/>
      <c r="BH41" s="70"/>
      <c r="BI41" s="70"/>
      <c r="BJ41" s="70"/>
      <c r="BK41" s="70"/>
      <c r="BL41" s="70"/>
      <c r="BM41" s="70"/>
      <c r="BN41" s="70"/>
      <c r="BO41" s="70"/>
      <c r="BP41" s="70"/>
      <c r="BQ41" s="70"/>
      <c r="BR41" s="70"/>
      <c r="BS41" s="70"/>
      <c r="BT41" s="70"/>
      <c r="BU41" s="70"/>
      <c r="BV41" s="70"/>
      <c r="BW41" s="70"/>
      <c r="BX41" s="70"/>
      <c r="BY41" s="70"/>
      <c r="BZ41" s="70"/>
      <c r="CA41" s="70"/>
      <c r="CB41" s="70"/>
      <c r="CC41" s="70"/>
      <c r="CD41" s="70"/>
      <c r="CE41" s="70"/>
      <c r="CF41" s="70"/>
      <c r="CG41" s="70"/>
      <c r="CH41" s="70"/>
      <c r="CI41" s="70"/>
      <c r="CJ41" s="70"/>
      <c r="CK41" s="70"/>
      <c r="CL41" s="70"/>
      <c r="CM41" s="70"/>
      <c r="CN41" s="70"/>
      <c r="CO41" s="70"/>
      <c r="CP41" s="70"/>
      <c r="CQ41" s="70"/>
      <c r="CR41" s="70"/>
      <c r="CS41" s="70"/>
      <c r="CT41" s="70"/>
      <c r="CU41" s="70"/>
      <c r="CV41" s="70"/>
      <c r="CW41" s="70"/>
      <c r="CX41" s="70"/>
      <c r="CY41" s="70"/>
      <c r="CZ41" s="70"/>
      <c r="DA41" s="70"/>
      <c r="DB41" s="70"/>
      <c r="DC41" s="70"/>
      <c r="DD41" s="70"/>
      <c r="DE41" s="70"/>
      <c r="DF41" s="70"/>
      <c r="DG41" s="70"/>
      <c r="DH41" s="70"/>
      <c r="DI41" s="70"/>
      <c r="DJ41" s="70"/>
      <c r="DK41" s="70"/>
      <c r="DL41" s="70"/>
      <c r="DM41" s="70"/>
      <c r="DN41" s="70"/>
      <c r="DO41" s="70"/>
      <c r="DP41" s="70"/>
      <c r="DQ41" s="70"/>
      <c r="DR41" s="70"/>
      <c r="DS41" s="70"/>
      <c r="DT41" s="70"/>
      <c r="DU41" s="70"/>
      <c r="DV41" s="70"/>
      <c r="DW41" s="70"/>
      <c r="DX41" s="70"/>
      <c r="DY41" s="70"/>
      <c r="DZ41" s="70"/>
      <c r="EA41" s="70"/>
      <c r="EB41" s="70"/>
      <c r="EC41" s="70"/>
      <c r="ED41" s="70"/>
      <c r="EE41" s="70"/>
      <c r="EF41" s="70"/>
      <c r="EG41" s="70"/>
      <c r="EH41" s="70"/>
      <c r="EI41" s="70"/>
      <c r="EJ41" s="70"/>
      <c r="EK41" s="70"/>
      <c r="EL41" s="70"/>
      <c r="EM41" s="70"/>
      <c r="EN41" s="70"/>
      <c r="EO41" s="70"/>
      <c r="EP41" s="70"/>
      <c r="EQ41" s="70"/>
      <c r="ER41" s="70"/>
      <c r="ES41" s="70"/>
      <c r="ET41" s="70"/>
      <c r="EU41" s="70"/>
      <c r="EV41" s="70"/>
      <c r="EW41" s="70"/>
      <c r="EX41" s="70"/>
      <c r="EY41" s="70"/>
      <c r="EZ41" s="70"/>
      <c r="FA41" s="70"/>
      <c r="FB41" s="70"/>
      <c r="FC41" s="70"/>
      <c r="FD41" s="70"/>
      <c r="FE41" s="70"/>
      <c r="FF41" s="70"/>
      <c r="FG41" s="70"/>
      <c r="FH41" s="70"/>
      <c r="FI41" s="70"/>
      <c r="FJ41" s="70"/>
      <c r="FK41" s="70"/>
      <c r="FL41" s="70"/>
      <c r="FM41" s="70"/>
      <c r="FN41" s="70"/>
      <c r="FO41" s="70"/>
      <c r="FP41" s="70"/>
      <c r="FQ41" s="70"/>
      <c r="FR41" s="70"/>
      <c r="FS41" s="70"/>
      <c r="FT41" s="70"/>
      <c r="FU41" s="70"/>
      <c r="FV41" s="70"/>
      <c r="FW41" s="70"/>
      <c r="FX41" s="70"/>
      <c r="FY41" s="70"/>
      <c r="FZ41" s="70"/>
      <c r="GA41" s="70"/>
      <c r="GB41" s="70"/>
      <c r="GC41" s="70"/>
      <c r="GD41" s="70"/>
      <c r="GE41" s="70"/>
      <c r="GF41" s="70"/>
      <c r="GG41" s="70"/>
      <c r="GH41" s="70"/>
      <c r="GI41" s="70"/>
      <c r="GJ41" s="70"/>
    </row>
    <row r="42" spans="1:192" ht="13">
      <c r="A42" s="24"/>
      <c r="B42" s="768" t="s">
        <v>14950</v>
      </c>
      <c r="C42" s="756" t="s">
        <v>14951</v>
      </c>
      <c r="D42" s="769" t="s">
        <v>14952</v>
      </c>
      <c r="E42" s="770" t="s">
        <v>1541</v>
      </c>
      <c r="F42" s="24" t="s">
        <v>14927</v>
      </c>
      <c r="G42" s="795" t="s">
        <v>14953</v>
      </c>
      <c r="H42" s="759">
        <v>45292</v>
      </c>
      <c r="I42" s="391">
        <v>45657</v>
      </c>
      <c r="J42" s="771">
        <v>397500</v>
      </c>
      <c r="K42" s="708"/>
      <c r="L42" s="53" t="s">
        <v>189</v>
      </c>
      <c r="M42" s="796">
        <v>397500</v>
      </c>
      <c r="N42" s="63" t="s">
        <v>14954</v>
      </c>
      <c r="O42" s="797" t="str">
        <f t="shared" si="0"/>
        <v>ART241130김행주1446</v>
      </c>
      <c r="P42" s="707"/>
      <c r="Q42" s="707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  <c r="BL42" s="70"/>
      <c r="BM42" s="70"/>
      <c r="BN42" s="70"/>
      <c r="BO42" s="70"/>
      <c r="BP42" s="70"/>
      <c r="BQ42" s="70"/>
      <c r="BR42" s="70"/>
      <c r="BS42" s="70"/>
      <c r="BT42" s="70"/>
      <c r="BU42" s="70"/>
      <c r="BV42" s="70"/>
      <c r="BW42" s="70"/>
      <c r="BX42" s="70"/>
      <c r="BY42" s="70"/>
      <c r="BZ42" s="70"/>
      <c r="CA42" s="70"/>
      <c r="CB42" s="70"/>
      <c r="CC42" s="70"/>
      <c r="CD42" s="70"/>
      <c r="CE42" s="70"/>
      <c r="CF42" s="70"/>
      <c r="CG42" s="70"/>
      <c r="CH42" s="70"/>
      <c r="CI42" s="70"/>
      <c r="CJ42" s="70"/>
      <c r="CK42" s="70"/>
      <c r="CL42" s="70"/>
      <c r="CM42" s="70"/>
      <c r="CN42" s="70"/>
      <c r="CO42" s="70"/>
      <c r="CP42" s="70"/>
      <c r="CQ42" s="70"/>
      <c r="CR42" s="70"/>
      <c r="CS42" s="70"/>
      <c r="CT42" s="70"/>
      <c r="CU42" s="70"/>
      <c r="CV42" s="70"/>
      <c r="CW42" s="70"/>
      <c r="CX42" s="70"/>
      <c r="CY42" s="70"/>
      <c r="CZ42" s="70"/>
      <c r="DA42" s="70"/>
      <c r="DB42" s="70"/>
      <c r="DC42" s="70"/>
      <c r="DD42" s="70"/>
      <c r="DE42" s="70"/>
      <c r="DF42" s="70"/>
      <c r="DG42" s="70"/>
      <c r="DH42" s="70"/>
      <c r="DI42" s="70"/>
      <c r="DJ42" s="70"/>
      <c r="DK42" s="70"/>
      <c r="DL42" s="70"/>
      <c r="DM42" s="70"/>
      <c r="DN42" s="70"/>
      <c r="DO42" s="70"/>
      <c r="DP42" s="70"/>
      <c r="DQ42" s="70"/>
      <c r="DR42" s="70"/>
      <c r="DS42" s="70"/>
      <c r="DT42" s="70"/>
      <c r="DU42" s="70"/>
      <c r="DV42" s="70"/>
      <c r="DW42" s="70"/>
      <c r="DX42" s="70"/>
      <c r="DY42" s="70"/>
      <c r="DZ42" s="70"/>
      <c r="EA42" s="70"/>
      <c r="EB42" s="70"/>
      <c r="EC42" s="70"/>
      <c r="ED42" s="70"/>
      <c r="EE42" s="70"/>
      <c r="EF42" s="70"/>
      <c r="EG42" s="70"/>
      <c r="EH42" s="70"/>
      <c r="EI42" s="70"/>
      <c r="EJ42" s="70"/>
      <c r="EK42" s="70"/>
      <c r="EL42" s="70"/>
      <c r="EM42" s="70"/>
      <c r="EN42" s="70"/>
      <c r="EO42" s="70"/>
      <c r="EP42" s="70"/>
      <c r="EQ42" s="70"/>
      <c r="ER42" s="70"/>
      <c r="ES42" s="70"/>
      <c r="ET42" s="70"/>
      <c r="EU42" s="70"/>
      <c r="EV42" s="70"/>
      <c r="EW42" s="70"/>
      <c r="EX42" s="70"/>
      <c r="EY42" s="70"/>
      <c r="EZ42" s="70"/>
      <c r="FA42" s="70"/>
      <c r="FB42" s="70"/>
      <c r="FC42" s="70"/>
      <c r="FD42" s="70"/>
      <c r="FE42" s="70"/>
      <c r="FF42" s="70"/>
      <c r="FG42" s="70"/>
      <c r="FH42" s="70"/>
      <c r="FI42" s="70"/>
      <c r="FJ42" s="70"/>
      <c r="FK42" s="70"/>
      <c r="FL42" s="70"/>
      <c r="FM42" s="70"/>
      <c r="FN42" s="70"/>
      <c r="FO42" s="70"/>
      <c r="FP42" s="70"/>
      <c r="FQ42" s="70"/>
      <c r="FR42" s="70"/>
      <c r="FS42" s="70"/>
      <c r="FT42" s="70"/>
      <c r="FU42" s="70"/>
      <c r="FV42" s="70"/>
      <c r="FW42" s="70"/>
      <c r="FX42" s="70"/>
      <c r="FY42" s="70"/>
      <c r="FZ42" s="70"/>
      <c r="GA42" s="70"/>
      <c r="GB42" s="70"/>
      <c r="GC42" s="70"/>
      <c r="GD42" s="70"/>
      <c r="GE42" s="70"/>
      <c r="GF42" s="70"/>
      <c r="GG42" s="70"/>
      <c r="GH42" s="70"/>
      <c r="GI42" s="70"/>
      <c r="GJ42" s="70"/>
    </row>
    <row r="43" spans="1:192" ht="17.25" customHeight="1">
      <c r="A43" s="1050"/>
      <c r="B43" s="1253" t="s">
        <v>14955</v>
      </c>
      <c r="C43" s="1206" t="s">
        <v>14956</v>
      </c>
      <c r="D43" s="1190" t="s">
        <v>14957</v>
      </c>
      <c r="E43" s="1254" t="s">
        <v>1541</v>
      </c>
      <c r="F43" s="1050" t="s">
        <v>14927</v>
      </c>
      <c r="G43" s="1075" t="s">
        <v>14958</v>
      </c>
      <c r="H43" s="1219">
        <v>45292</v>
      </c>
      <c r="I43" s="1220">
        <v>45657</v>
      </c>
      <c r="J43" s="1181">
        <v>220000</v>
      </c>
      <c r="K43" s="785" t="s">
        <v>14959</v>
      </c>
      <c r="L43" s="24" t="s">
        <v>189</v>
      </c>
      <c r="M43" s="779">
        <v>220000</v>
      </c>
      <c r="N43" s="1184" t="s">
        <v>14960</v>
      </c>
      <c r="O43" s="798" t="s">
        <v>14935</v>
      </c>
      <c r="P43" s="1252" t="str">
        <f>O42</f>
        <v>ART241130김행주1446</v>
      </c>
      <c r="Q43" s="707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70"/>
      <c r="AZ43" s="70"/>
      <c r="BA43" s="70"/>
      <c r="BB43" s="70"/>
      <c r="BC43" s="70"/>
      <c r="BD43" s="70"/>
      <c r="BE43" s="70"/>
      <c r="BF43" s="70"/>
      <c r="BG43" s="70"/>
      <c r="BH43" s="70"/>
      <c r="BI43" s="70"/>
      <c r="BJ43" s="70"/>
      <c r="BK43" s="70"/>
      <c r="BL43" s="70"/>
      <c r="BM43" s="70"/>
      <c r="BN43" s="70"/>
      <c r="BO43" s="70"/>
      <c r="BP43" s="70"/>
      <c r="BQ43" s="70"/>
      <c r="BR43" s="70"/>
      <c r="BS43" s="70"/>
      <c r="BT43" s="70"/>
      <c r="BU43" s="70"/>
      <c r="BV43" s="70"/>
      <c r="BW43" s="70"/>
      <c r="BX43" s="70"/>
      <c r="BY43" s="70"/>
      <c r="BZ43" s="70"/>
      <c r="CA43" s="70"/>
      <c r="CB43" s="70"/>
      <c r="CC43" s="70"/>
      <c r="CD43" s="70"/>
      <c r="CE43" s="70"/>
      <c r="CF43" s="70"/>
      <c r="CG43" s="70"/>
      <c r="CH43" s="70"/>
      <c r="CI43" s="70"/>
      <c r="CJ43" s="70"/>
      <c r="CK43" s="70"/>
      <c r="CL43" s="70"/>
      <c r="CM43" s="70"/>
      <c r="CN43" s="70"/>
      <c r="CO43" s="70"/>
      <c r="CP43" s="70"/>
      <c r="CQ43" s="70"/>
      <c r="CR43" s="70"/>
      <c r="CS43" s="70"/>
      <c r="CT43" s="70"/>
      <c r="CU43" s="70"/>
      <c r="CV43" s="70"/>
      <c r="CW43" s="70"/>
      <c r="CX43" s="70"/>
      <c r="CY43" s="70"/>
      <c r="CZ43" s="70"/>
      <c r="DA43" s="70"/>
      <c r="DB43" s="70"/>
      <c r="DC43" s="70"/>
      <c r="DD43" s="70"/>
      <c r="DE43" s="70"/>
      <c r="DF43" s="70"/>
      <c r="DG43" s="70"/>
      <c r="DH43" s="70"/>
      <c r="DI43" s="70"/>
      <c r="DJ43" s="70"/>
      <c r="DK43" s="70"/>
      <c r="DL43" s="70"/>
      <c r="DM43" s="70"/>
      <c r="DN43" s="70"/>
      <c r="DO43" s="70"/>
      <c r="DP43" s="70"/>
      <c r="DQ43" s="70"/>
      <c r="DR43" s="70"/>
      <c r="DS43" s="70"/>
      <c r="DT43" s="70"/>
      <c r="DU43" s="70"/>
      <c r="DV43" s="70"/>
      <c r="DW43" s="70"/>
      <c r="DX43" s="70"/>
      <c r="DY43" s="70"/>
      <c r="DZ43" s="70"/>
      <c r="EA43" s="70"/>
      <c r="EB43" s="70"/>
      <c r="EC43" s="70"/>
      <c r="ED43" s="70"/>
      <c r="EE43" s="70"/>
      <c r="EF43" s="70"/>
      <c r="EG43" s="70"/>
      <c r="EH43" s="70"/>
      <c r="EI43" s="70"/>
      <c r="EJ43" s="70"/>
      <c r="EK43" s="70"/>
      <c r="EL43" s="70"/>
      <c r="EM43" s="70"/>
      <c r="EN43" s="70"/>
      <c r="EO43" s="70"/>
      <c r="EP43" s="70"/>
      <c r="EQ43" s="70"/>
      <c r="ER43" s="70"/>
      <c r="ES43" s="70"/>
      <c r="ET43" s="70"/>
      <c r="EU43" s="70"/>
      <c r="EV43" s="70"/>
      <c r="EW43" s="70"/>
      <c r="EX43" s="70"/>
      <c r="EY43" s="70"/>
      <c r="EZ43" s="70"/>
      <c r="FA43" s="70"/>
      <c r="FB43" s="70"/>
      <c r="FC43" s="70"/>
      <c r="FD43" s="70"/>
      <c r="FE43" s="70"/>
      <c r="FF43" s="70"/>
      <c r="FG43" s="70"/>
      <c r="FH43" s="70"/>
      <c r="FI43" s="70"/>
      <c r="FJ43" s="70"/>
      <c r="FK43" s="70"/>
      <c r="FL43" s="70"/>
      <c r="FM43" s="70"/>
      <c r="FN43" s="70"/>
      <c r="FO43" s="70"/>
      <c r="FP43" s="70"/>
      <c r="FQ43" s="70"/>
      <c r="FR43" s="70"/>
      <c r="FS43" s="70"/>
      <c r="FT43" s="70"/>
      <c r="FU43" s="70"/>
      <c r="FV43" s="70"/>
      <c r="FW43" s="70"/>
      <c r="FX43" s="70"/>
      <c r="FY43" s="70"/>
      <c r="FZ43" s="70"/>
      <c r="GA43" s="70"/>
      <c r="GB43" s="70"/>
      <c r="GC43" s="70"/>
      <c r="GD43" s="70"/>
      <c r="GE43" s="70"/>
      <c r="GF43" s="70"/>
      <c r="GG43" s="70"/>
      <c r="GH43" s="70"/>
      <c r="GI43" s="70"/>
      <c r="GJ43" s="70"/>
    </row>
    <row r="44" spans="1:192" ht="17.25" customHeight="1">
      <c r="A44" s="1051"/>
      <c r="B44" s="1095"/>
      <c r="C44" s="1143"/>
      <c r="D44" s="1182"/>
      <c r="E44" s="1209"/>
      <c r="F44" s="1051"/>
      <c r="G44" s="1051"/>
      <c r="H44" s="1051"/>
      <c r="I44" s="1143"/>
      <c r="J44" s="1182"/>
      <c r="K44" s="785" t="s">
        <v>14961</v>
      </c>
      <c r="L44" s="24"/>
      <c r="M44" s="799"/>
      <c r="N44" s="1051"/>
      <c r="O44" s="701" t="s">
        <v>14959</v>
      </c>
      <c r="P44" s="1051"/>
      <c r="Q44" s="707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  <c r="BL44" s="70"/>
      <c r="BM44" s="70"/>
      <c r="BN44" s="70"/>
      <c r="BO44" s="70"/>
      <c r="BP44" s="70"/>
      <c r="BQ44" s="70"/>
      <c r="BR44" s="70"/>
      <c r="BS44" s="70"/>
      <c r="BT44" s="70"/>
      <c r="BU44" s="70"/>
      <c r="BV44" s="70"/>
      <c r="BW44" s="70"/>
      <c r="BX44" s="70"/>
      <c r="BY44" s="70"/>
      <c r="BZ44" s="70"/>
      <c r="CA44" s="70"/>
      <c r="CB44" s="70"/>
      <c r="CC44" s="70"/>
      <c r="CD44" s="70"/>
      <c r="CE44" s="70"/>
      <c r="CF44" s="70"/>
      <c r="CG44" s="70"/>
      <c r="CH44" s="70"/>
      <c r="CI44" s="70"/>
      <c r="CJ44" s="70"/>
      <c r="CK44" s="70"/>
      <c r="CL44" s="70"/>
      <c r="CM44" s="70"/>
      <c r="CN44" s="70"/>
      <c r="CO44" s="70"/>
      <c r="CP44" s="70"/>
      <c r="CQ44" s="70"/>
      <c r="CR44" s="70"/>
      <c r="CS44" s="70"/>
      <c r="CT44" s="70"/>
      <c r="CU44" s="70"/>
      <c r="CV44" s="70"/>
      <c r="CW44" s="70"/>
      <c r="CX44" s="70"/>
      <c r="CY44" s="70"/>
      <c r="CZ44" s="70"/>
      <c r="DA44" s="70"/>
      <c r="DB44" s="70"/>
      <c r="DC44" s="70"/>
      <c r="DD44" s="70"/>
      <c r="DE44" s="70"/>
      <c r="DF44" s="70"/>
      <c r="DG44" s="70"/>
      <c r="DH44" s="70"/>
      <c r="DI44" s="70"/>
      <c r="DJ44" s="70"/>
      <c r="DK44" s="70"/>
      <c r="DL44" s="70"/>
      <c r="DM44" s="70"/>
      <c r="DN44" s="70"/>
      <c r="DO44" s="70"/>
      <c r="DP44" s="70"/>
      <c r="DQ44" s="70"/>
      <c r="DR44" s="70"/>
      <c r="DS44" s="70"/>
      <c r="DT44" s="70"/>
      <c r="DU44" s="70"/>
      <c r="DV44" s="70"/>
      <c r="DW44" s="70"/>
      <c r="DX44" s="70"/>
      <c r="DY44" s="70"/>
      <c r="DZ44" s="70"/>
      <c r="EA44" s="70"/>
      <c r="EB44" s="70"/>
      <c r="EC44" s="70"/>
      <c r="ED44" s="70"/>
      <c r="EE44" s="70"/>
      <c r="EF44" s="70"/>
      <c r="EG44" s="70"/>
      <c r="EH44" s="70"/>
      <c r="EI44" s="70"/>
      <c r="EJ44" s="70"/>
      <c r="EK44" s="70"/>
      <c r="EL44" s="70"/>
      <c r="EM44" s="70"/>
      <c r="EN44" s="70"/>
      <c r="EO44" s="70"/>
      <c r="EP44" s="70"/>
      <c r="EQ44" s="70"/>
      <c r="ER44" s="70"/>
      <c r="ES44" s="70"/>
      <c r="ET44" s="70"/>
      <c r="EU44" s="70"/>
      <c r="EV44" s="70"/>
      <c r="EW44" s="70"/>
      <c r="EX44" s="70"/>
      <c r="EY44" s="70"/>
      <c r="EZ44" s="70"/>
      <c r="FA44" s="70"/>
      <c r="FB44" s="70"/>
      <c r="FC44" s="70"/>
      <c r="FD44" s="70"/>
      <c r="FE44" s="70"/>
      <c r="FF44" s="70"/>
      <c r="FG44" s="70"/>
      <c r="FH44" s="70"/>
      <c r="FI44" s="70"/>
      <c r="FJ44" s="70"/>
      <c r="FK44" s="70"/>
      <c r="FL44" s="70"/>
      <c r="FM44" s="70"/>
      <c r="FN44" s="70"/>
      <c r="FO44" s="70"/>
      <c r="FP44" s="70"/>
      <c r="FQ44" s="70"/>
      <c r="FR44" s="70"/>
      <c r="FS44" s="70"/>
      <c r="FT44" s="70"/>
      <c r="FU44" s="70"/>
      <c r="FV44" s="70"/>
      <c r="FW44" s="70"/>
      <c r="FX44" s="70"/>
      <c r="FY44" s="70"/>
      <c r="FZ44" s="70"/>
      <c r="GA44" s="70"/>
      <c r="GB44" s="70"/>
      <c r="GC44" s="70"/>
      <c r="GD44" s="70"/>
      <c r="GE44" s="70"/>
      <c r="GF44" s="70"/>
      <c r="GG44" s="70"/>
      <c r="GH44" s="70"/>
      <c r="GI44" s="70"/>
      <c r="GJ44" s="70"/>
    </row>
    <row r="45" spans="1:192" ht="17.25" customHeight="1">
      <c r="A45" s="1052"/>
      <c r="B45" s="1096"/>
      <c r="C45" s="1082"/>
      <c r="D45" s="1183"/>
      <c r="E45" s="1210"/>
      <c r="F45" s="1052"/>
      <c r="G45" s="1052"/>
      <c r="H45" s="1052"/>
      <c r="I45" s="1082"/>
      <c r="J45" s="1183"/>
      <c r="K45" s="785" t="s">
        <v>14962</v>
      </c>
      <c r="L45" s="24"/>
      <c r="M45" s="799"/>
      <c r="N45" s="1052"/>
      <c r="O45" s="701" t="s">
        <v>14961</v>
      </c>
      <c r="P45" s="1051"/>
      <c r="Q45" s="707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  <c r="AJ45" s="70"/>
      <c r="AK45" s="70"/>
      <c r="AL45" s="70"/>
      <c r="AM45" s="70"/>
      <c r="AN45" s="70"/>
      <c r="AO45" s="70"/>
      <c r="AP45" s="70"/>
      <c r="AQ45" s="70"/>
      <c r="AR45" s="70"/>
      <c r="AS45" s="70"/>
      <c r="AT45" s="70"/>
      <c r="AU45" s="70"/>
      <c r="AV45" s="70"/>
      <c r="AW45" s="70"/>
      <c r="AX45" s="70"/>
      <c r="AY45" s="70"/>
      <c r="AZ45" s="70"/>
      <c r="BA45" s="70"/>
      <c r="BB45" s="70"/>
      <c r="BC45" s="70"/>
      <c r="BD45" s="70"/>
      <c r="BE45" s="70"/>
      <c r="BF45" s="70"/>
      <c r="BG45" s="70"/>
      <c r="BH45" s="70"/>
      <c r="BI45" s="70"/>
      <c r="BJ45" s="70"/>
      <c r="BK45" s="70"/>
      <c r="BL45" s="70"/>
      <c r="BM45" s="70"/>
      <c r="BN45" s="70"/>
      <c r="BO45" s="70"/>
      <c r="BP45" s="70"/>
      <c r="BQ45" s="70"/>
      <c r="BR45" s="70"/>
      <c r="BS45" s="70"/>
      <c r="BT45" s="70"/>
      <c r="BU45" s="70"/>
      <c r="BV45" s="70"/>
      <c r="BW45" s="70"/>
      <c r="BX45" s="70"/>
      <c r="BY45" s="70"/>
      <c r="BZ45" s="70"/>
      <c r="CA45" s="70"/>
      <c r="CB45" s="70"/>
      <c r="CC45" s="70"/>
      <c r="CD45" s="70"/>
      <c r="CE45" s="70"/>
      <c r="CF45" s="70"/>
      <c r="CG45" s="70"/>
      <c r="CH45" s="70"/>
      <c r="CI45" s="70"/>
      <c r="CJ45" s="70"/>
      <c r="CK45" s="70"/>
      <c r="CL45" s="70"/>
      <c r="CM45" s="70"/>
      <c r="CN45" s="70"/>
      <c r="CO45" s="70"/>
      <c r="CP45" s="70"/>
      <c r="CQ45" s="70"/>
      <c r="CR45" s="70"/>
      <c r="CS45" s="70"/>
      <c r="CT45" s="70"/>
      <c r="CU45" s="70"/>
      <c r="CV45" s="70"/>
      <c r="CW45" s="70"/>
      <c r="CX45" s="70"/>
      <c r="CY45" s="70"/>
      <c r="CZ45" s="70"/>
      <c r="DA45" s="70"/>
      <c r="DB45" s="70"/>
      <c r="DC45" s="70"/>
      <c r="DD45" s="70"/>
      <c r="DE45" s="70"/>
      <c r="DF45" s="70"/>
      <c r="DG45" s="70"/>
      <c r="DH45" s="70"/>
      <c r="DI45" s="70"/>
      <c r="DJ45" s="70"/>
      <c r="DK45" s="70"/>
      <c r="DL45" s="70"/>
      <c r="DM45" s="70"/>
      <c r="DN45" s="70"/>
      <c r="DO45" s="70"/>
      <c r="DP45" s="70"/>
      <c r="DQ45" s="70"/>
      <c r="DR45" s="70"/>
      <c r="DS45" s="70"/>
      <c r="DT45" s="70"/>
      <c r="DU45" s="70"/>
      <c r="DV45" s="70"/>
      <c r="DW45" s="70"/>
      <c r="DX45" s="70"/>
      <c r="DY45" s="70"/>
      <c r="DZ45" s="70"/>
      <c r="EA45" s="70"/>
      <c r="EB45" s="70"/>
      <c r="EC45" s="70"/>
      <c r="ED45" s="70"/>
      <c r="EE45" s="70"/>
      <c r="EF45" s="70"/>
      <c r="EG45" s="70"/>
      <c r="EH45" s="70"/>
      <c r="EI45" s="70"/>
      <c r="EJ45" s="70"/>
      <c r="EK45" s="70"/>
      <c r="EL45" s="70"/>
      <c r="EM45" s="70"/>
      <c r="EN45" s="70"/>
      <c r="EO45" s="70"/>
      <c r="EP45" s="70"/>
      <c r="EQ45" s="70"/>
      <c r="ER45" s="70"/>
      <c r="ES45" s="70"/>
      <c r="ET45" s="70"/>
      <c r="EU45" s="70"/>
      <c r="EV45" s="70"/>
      <c r="EW45" s="70"/>
      <c r="EX45" s="70"/>
      <c r="EY45" s="70"/>
      <c r="EZ45" s="70"/>
      <c r="FA45" s="70"/>
      <c r="FB45" s="70"/>
      <c r="FC45" s="70"/>
      <c r="FD45" s="70"/>
      <c r="FE45" s="70"/>
      <c r="FF45" s="70"/>
      <c r="FG45" s="70"/>
      <c r="FH45" s="70"/>
      <c r="FI45" s="70"/>
      <c r="FJ45" s="70"/>
      <c r="FK45" s="70"/>
      <c r="FL45" s="70"/>
      <c r="FM45" s="70"/>
      <c r="FN45" s="70"/>
      <c r="FO45" s="70"/>
      <c r="FP45" s="70"/>
      <c r="FQ45" s="70"/>
      <c r="FR45" s="70"/>
      <c r="FS45" s="70"/>
      <c r="FT45" s="70"/>
      <c r="FU45" s="70"/>
      <c r="FV45" s="70"/>
      <c r="FW45" s="70"/>
      <c r="FX45" s="70"/>
      <c r="FY45" s="70"/>
      <c r="FZ45" s="70"/>
      <c r="GA45" s="70"/>
      <c r="GB45" s="70"/>
      <c r="GC45" s="70"/>
      <c r="GD45" s="70"/>
      <c r="GE45" s="70"/>
      <c r="GF45" s="70"/>
      <c r="GG45" s="70"/>
      <c r="GH45" s="70"/>
      <c r="GI45" s="70"/>
      <c r="GJ45" s="70"/>
    </row>
    <row r="46" spans="1:192" ht="13">
      <c r="A46" s="24"/>
      <c r="B46" s="720" t="s">
        <v>3801</v>
      </c>
      <c r="C46" s="721" t="s">
        <v>14963</v>
      </c>
      <c r="D46" s="722" t="s">
        <v>14964</v>
      </c>
      <c r="E46" s="700" t="s">
        <v>1541</v>
      </c>
      <c r="F46" s="24" t="s">
        <v>14927</v>
      </c>
      <c r="G46" s="724" t="s">
        <v>14965</v>
      </c>
      <c r="H46" s="800">
        <v>45292</v>
      </c>
      <c r="I46" s="801">
        <v>45657</v>
      </c>
      <c r="J46" s="792">
        <v>1389120</v>
      </c>
      <c r="K46" s="703"/>
      <c r="L46" s="24" t="s">
        <v>189</v>
      </c>
      <c r="M46" s="802">
        <v>1389120</v>
      </c>
      <c r="N46" s="803" t="s">
        <v>14966</v>
      </c>
      <c r="O46" s="794" t="str">
        <f>P43</f>
        <v>ART241130김행주1446</v>
      </c>
      <c r="P46" s="707"/>
      <c r="Q46" s="707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  <c r="BL46" s="70"/>
      <c r="BM46" s="70"/>
      <c r="BN46" s="70"/>
      <c r="BO46" s="70"/>
      <c r="BP46" s="70"/>
      <c r="BQ46" s="70"/>
      <c r="BR46" s="70"/>
      <c r="BS46" s="70"/>
      <c r="BT46" s="70"/>
      <c r="BU46" s="70"/>
      <c r="BV46" s="70"/>
      <c r="BW46" s="70"/>
      <c r="BX46" s="70"/>
      <c r="BY46" s="70"/>
      <c r="BZ46" s="70"/>
      <c r="CA46" s="70"/>
      <c r="CB46" s="70"/>
      <c r="CC46" s="70"/>
      <c r="CD46" s="70"/>
      <c r="CE46" s="70"/>
      <c r="CF46" s="70"/>
      <c r="CG46" s="70"/>
      <c r="CH46" s="70"/>
      <c r="CI46" s="70"/>
      <c r="CJ46" s="70"/>
      <c r="CK46" s="70"/>
      <c r="CL46" s="70"/>
      <c r="CM46" s="70"/>
      <c r="CN46" s="70"/>
      <c r="CO46" s="70"/>
      <c r="CP46" s="70"/>
      <c r="CQ46" s="70"/>
      <c r="CR46" s="70"/>
      <c r="CS46" s="70"/>
      <c r="CT46" s="70"/>
      <c r="CU46" s="70"/>
      <c r="CV46" s="70"/>
      <c r="CW46" s="70"/>
      <c r="CX46" s="70"/>
      <c r="CY46" s="70"/>
      <c r="CZ46" s="70"/>
      <c r="DA46" s="70"/>
      <c r="DB46" s="70"/>
      <c r="DC46" s="70"/>
      <c r="DD46" s="70"/>
      <c r="DE46" s="70"/>
      <c r="DF46" s="70"/>
      <c r="DG46" s="70"/>
      <c r="DH46" s="70"/>
      <c r="DI46" s="70"/>
      <c r="DJ46" s="70"/>
      <c r="DK46" s="70"/>
      <c r="DL46" s="70"/>
      <c r="DM46" s="70"/>
      <c r="DN46" s="70"/>
      <c r="DO46" s="70"/>
      <c r="DP46" s="70"/>
      <c r="DQ46" s="70"/>
      <c r="DR46" s="70"/>
      <c r="DS46" s="70"/>
      <c r="DT46" s="70"/>
      <c r="DU46" s="70"/>
      <c r="DV46" s="70"/>
      <c r="DW46" s="70"/>
      <c r="DX46" s="70"/>
      <c r="DY46" s="70"/>
      <c r="DZ46" s="70"/>
      <c r="EA46" s="70"/>
      <c r="EB46" s="70"/>
      <c r="EC46" s="70"/>
      <c r="ED46" s="70"/>
      <c r="EE46" s="70"/>
      <c r="EF46" s="70"/>
      <c r="EG46" s="70"/>
      <c r="EH46" s="70"/>
      <c r="EI46" s="70"/>
      <c r="EJ46" s="70"/>
      <c r="EK46" s="70"/>
      <c r="EL46" s="70"/>
      <c r="EM46" s="70"/>
      <c r="EN46" s="70"/>
      <c r="EO46" s="70"/>
      <c r="EP46" s="70"/>
      <c r="EQ46" s="70"/>
      <c r="ER46" s="70"/>
      <c r="ES46" s="70"/>
      <c r="ET46" s="70"/>
      <c r="EU46" s="70"/>
      <c r="EV46" s="70"/>
      <c r="EW46" s="70"/>
      <c r="EX46" s="70"/>
      <c r="EY46" s="70"/>
      <c r="EZ46" s="70"/>
      <c r="FA46" s="70"/>
      <c r="FB46" s="70"/>
      <c r="FC46" s="70"/>
      <c r="FD46" s="70"/>
      <c r="FE46" s="70"/>
      <c r="FF46" s="70"/>
      <c r="FG46" s="70"/>
      <c r="FH46" s="70"/>
      <c r="FI46" s="70"/>
      <c r="FJ46" s="70"/>
      <c r="FK46" s="70"/>
      <c r="FL46" s="70"/>
      <c r="FM46" s="70"/>
      <c r="FN46" s="70"/>
      <c r="FO46" s="70"/>
      <c r="FP46" s="70"/>
      <c r="FQ46" s="70"/>
      <c r="FR46" s="70"/>
      <c r="FS46" s="70"/>
      <c r="FT46" s="70"/>
      <c r="FU46" s="70"/>
      <c r="FV46" s="70"/>
      <c r="FW46" s="70"/>
      <c r="FX46" s="70"/>
      <c r="FY46" s="70"/>
      <c r="FZ46" s="70"/>
      <c r="GA46" s="70"/>
      <c r="GB46" s="70"/>
      <c r="GC46" s="70"/>
      <c r="GD46" s="70"/>
      <c r="GE46" s="70"/>
      <c r="GF46" s="70"/>
      <c r="GG46" s="70"/>
      <c r="GH46" s="70"/>
      <c r="GI46" s="70"/>
      <c r="GJ46" s="70"/>
    </row>
    <row r="47" spans="1:192" ht="22.5" customHeight="1">
      <c r="A47" s="1195"/>
      <c r="B47" s="1205" t="s">
        <v>14967</v>
      </c>
      <c r="C47" s="1206" t="s">
        <v>14968</v>
      </c>
      <c r="D47" s="1207" t="s">
        <v>14969</v>
      </c>
      <c r="E47" s="1208" t="s">
        <v>1541</v>
      </c>
      <c r="F47" s="1223" t="s">
        <v>14970</v>
      </c>
      <c r="G47" s="1198" t="s">
        <v>14971</v>
      </c>
      <c r="H47" s="1251">
        <v>45383</v>
      </c>
      <c r="I47" s="1218">
        <v>45746</v>
      </c>
      <c r="J47" s="1191">
        <v>285000</v>
      </c>
      <c r="K47" s="201"/>
      <c r="L47" s="711" t="s">
        <v>240</v>
      </c>
      <c r="M47" s="804">
        <v>151000</v>
      </c>
      <c r="N47" s="1192" t="s">
        <v>14972</v>
      </c>
      <c r="O47" s="1075" t="s">
        <v>14973</v>
      </c>
      <c r="P47" s="761" t="s">
        <v>14859</v>
      </c>
      <c r="Q47" s="707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  <c r="AJ47" s="70"/>
      <c r="AK47" s="70"/>
      <c r="AL47" s="70"/>
      <c r="AM47" s="70"/>
      <c r="AN47" s="70"/>
      <c r="AO47" s="70"/>
      <c r="AP47" s="70"/>
      <c r="AQ47" s="70"/>
      <c r="AR47" s="70"/>
      <c r="AS47" s="70"/>
      <c r="AT47" s="70"/>
      <c r="AU47" s="70"/>
      <c r="AV47" s="70"/>
      <c r="AW47" s="70"/>
      <c r="AX47" s="70"/>
      <c r="AY47" s="70"/>
      <c r="AZ47" s="70"/>
      <c r="BA47" s="70"/>
      <c r="BB47" s="70"/>
      <c r="BC47" s="70"/>
      <c r="BD47" s="70"/>
      <c r="BE47" s="70"/>
      <c r="BF47" s="70"/>
      <c r="BG47" s="70"/>
      <c r="BH47" s="70"/>
      <c r="BI47" s="70"/>
      <c r="BJ47" s="70"/>
      <c r="BK47" s="70"/>
      <c r="BL47" s="70"/>
      <c r="BM47" s="70"/>
      <c r="BN47" s="70"/>
      <c r="BO47" s="70"/>
      <c r="BP47" s="70"/>
      <c r="BQ47" s="70"/>
      <c r="BR47" s="70"/>
      <c r="BS47" s="70"/>
      <c r="BT47" s="70"/>
      <c r="BU47" s="70"/>
      <c r="BV47" s="70"/>
      <c r="BW47" s="70"/>
      <c r="BX47" s="70"/>
      <c r="BY47" s="70"/>
      <c r="BZ47" s="70"/>
      <c r="CA47" s="70"/>
      <c r="CB47" s="70"/>
      <c r="CC47" s="70"/>
      <c r="CD47" s="70"/>
      <c r="CE47" s="70"/>
      <c r="CF47" s="70"/>
      <c r="CG47" s="70"/>
      <c r="CH47" s="70"/>
      <c r="CI47" s="70"/>
      <c r="CJ47" s="70"/>
      <c r="CK47" s="70"/>
      <c r="CL47" s="70"/>
      <c r="CM47" s="70"/>
      <c r="CN47" s="70"/>
      <c r="CO47" s="70"/>
      <c r="CP47" s="70"/>
      <c r="CQ47" s="70"/>
      <c r="CR47" s="70"/>
      <c r="CS47" s="70"/>
      <c r="CT47" s="70"/>
      <c r="CU47" s="70"/>
      <c r="CV47" s="70"/>
      <c r="CW47" s="70"/>
      <c r="CX47" s="70"/>
      <c r="CY47" s="70"/>
      <c r="CZ47" s="70"/>
      <c r="DA47" s="70"/>
      <c r="DB47" s="70"/>
      <c r="DC47" s="70"/>
      <c r="DD47" s="70"/>
      <c r="DE47" s="70"/>
      <c r="DF47" s="70"/>
      <c r="DG47" s="70"/>
      <c r="DH47" s="70"/>
      <c r="DI47" s="70"/>
      <c r="DJ47" s="70"/>
      <c r="DK47" s="70"/>
      <c r="DL47" s="70"/>
      <c r="DM47" s="70"/>
      <c r="DN47" s="70"/>
      <c r="DO47" s="70"/>
      <c r="DP47" s="70"/>
      <c r="DQ47" s="70"/>
      <c r="DR47" s="70"/>
      <c r="DS47" s="70"/>
      <c r="DT47" s="70"/>
      <c r="DU47" s="70"/>
      <c r="DV47" s="70"/>
      <c r="DW47" s="70"/>
      <c r="DX47" s="70"/>
      <c r="DY47" s="70"/>
      <c r="DZ47" s="70"/>
      <c r="EA47" s="70"/>
      <c r="EB47" s="70"/>
      <c r="EC47" s="70"/>
      <c r="ED47" s="70"/>
      <c r="EE47" s="70"/>
      <c r="EF47" s="70"/>
      <c r="EG47" s="70"/>
      <c r="EH47" s="70"/>
      <c r="EI47" s="70"/>
      <c r="EJ47" s="70"/>
      <c r="EK47" s="70"/>
      <c r="EL47" s="70"/>
      <c r="EM47" s="70"/>
      <c r="EN47" s="70"/>
      <c r="EO47" s="70"/>
      <c r="EP47" s="70"/>
      <c r="EQ47" s="70"/>
      <c r="ER47" s="70"/>
      <c r="ES47" s="70"/>
      <c r="ET47" s="70"/>
      <c r="EU47" s="70"/>
      <c r="EV47" s="70"/>
      <c r="EW47" s="70"/>
      <c r="EX47" s="70"/>
      <c r="EY47" s="70"/>
      <c r="EZ47" s="70"/>
      <c r="FA47" s="70"/>
      <c r="FB47" s="70"/>
      <c r="FC47" s="70"/>
      <c r="FD47" s="70"/>
      <c r="FE47" s="70"/>
      <c r="FF47" s="70"/>
      <c r="FG47" s="70"/>
      <c r="FH47" s="70"/>
      <c r="FI47" s="70"/>
      <c r="FJ47" s="70"/>
      <c r="FK47" s="70"/>
      <c r="FL47" s="70"/>
      <c r="FM47" s="70"/>
      <c r="FN47" s="70"/>
      <c r="FO47" s="70"/>
      <c r="FP47" s="70"/>
      <c r="FQ47" s="70"/>
      <c r="FR47" s="70"/>
      <c r="FS47" s="70"/>
      <c r="FT47" s="70"/>
      <c r="FU47" s="70"/>
      <c r="FV47" s="70"/>
      <c r="FW47" s="70"/>
      <c r="FX47" s="70"/>
      <c r="FY47" s="70"/>
      <c r="FZ47" s="70"/>
      <c r="GA47" s="70"/>
      <c r="GB47" s="70"/>
      <c r="GC47" s="70"/>
      <c r="GD47" s="70"/>
      <c r="GE47" s="70"/>
      <c r="GF47" s="70"/>
      <c r="GG47" s="70"/>
      <c r="GH47" s="70"/>
      <c r="GI47" s="70"/>
      <c r="GJ47" s="70"/>
    </row>
    <row r="48" spans="1:192" ht="22.5" customHeight="1">
      <c r="A48" s="1095"/>
      <c r="B48" s="1051"/>
      <c r="C48" s="1143"/>
      <c r="D48" s="1182"/>
      <c r="E48" s="1210"/>
      <c r="F48" s="1051"/>
      <c r="G48" s="1051"/>
      <c r="H48" s="1096"/>
      <c r="I48" s="1143"/>
      <c r="J48" s="1182"/>
      <c r="K48" s="703"/>
      <c r="L48" s="228" t="s">
        <v>240</v>
      </c>
      <c r="M48" s="780">
        <v>134000</v>
      </c>
      <c r="N48" s="1051"/>
      <c r="O48" s="1052"/>
      <c r="P48" s="805">
        <v>14304000</v>
      </c>
      <c r="Q48" s="707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  <c r="AH48" s="70"/>
      <c r="AI48" s="70"/>
      <c r="AJ48" s="70"/>
      <c r="AK48" s="70"/>
      <c r="AL48" s="70"/>
      <c r="AM48" s="70"/>
      <c r="AN48" s="70"/>
      <c r="AO48" s="70"/>
      <c r="AP48" s="70"/>
      <c r="AQ48" s="70"/>
      <c r="AR48" s="70"/>
      <c r="AS48" s="70"/>
      <c r="AT48" s="70"/>
      <c r="AU48" s="70"/>
      <c r="AV48" s="70"/>
      <c r="AW48" s="70"/>
      <c r="AX48" s="70"/>
      <c r="AY48" s="70"/>
      <c r="AZ48" s="70"/>
      <c r="BA48" s="70"/>
      <c r="BB48" s="70"/>
      <c r="BC48" s="70"/>
      <c r="BD48" s="70"/>
      <c r="BE48" s="70"/>
      <c r="BF48" s="70"/>
      <c r="BG48" s="70"/>
      <c r="BH48" s="70"/>
      <c r="BI48" s="70"/>
      <c r="BJ48" s="70"/>
      <c r="BK48" s="70"/>
      <c r="BL48" s="70"/>
      <c r="BM48" s="70"/>
      <c r="BN48" s="70"/>
      <c r="BO48" s="70"/>
      <c r="BP48" s="70"/>
      <c r="BQ48" s="70"/>
      <c r="BR48" s="70"/>
      <c r="BS48" s="70"/>
      <c r="BT48" s="70"/>
      <c r="BU48" s="70"/>
      <c r="BV48" s="70"/>
      <c r="BW48" s="70"/>
      <c r="BX48" s="70"/>
      <c r="BY48" s="70"/>
      <c r="BZ48" s="70"/>
      <c r="CA48" s="70"/>
      <c r="CB48" s="70"/>
      <c r="CC48" s="70"/>
      <c r="CD48" s="70"/>
      <c r="CE48" s="70"/>
      <c r="CF48" s="70"/>
      <c r="CG48" s="70"/>
      <c r="CH48" s="70"/>
      <c r="CI48" s="70"/>
      <c r="CJ48" s="70"/>
      <c r="CK48" s="70"/>
      <c r="CL48" s="70"/>
      <c r="CM48" s="70"/>
      <c r="CN48" s="70"/>
      <c r="CO48" s="70"/>
      <c r="CP48" s="70"/>
      <c r="CQ48" s="70"/>
      <c r="CR48" s="70"/>
      <c r="CS48" s="70"/>
      <c r="CT48" s="70"/>
      <c r="CU48" s="70"/>
      <c r="CV48" s="70"/>
      <c r="CW48" s="70"/>
      <c r="CX48" s="70"/>
      <c r="CY48" s="70"/>
      <c r="CZ48" s="70"/>
      <c r="DA48" s="70"/>
      <c r="DB48" s="70"/>
      <c r="DC48" s="70"/>
      <c r="DD48" s="70"/>
      <c r="DE48" s="70"/>
      <c r="DF48" s="70"/>
      <c r="DG48" s="70"/>
      <c r="DH48" s="70"/>
      <c r="DI48" s="70"/>
      <c r="DJ48" s="70"/>
      <c r="DK48" s="70"/>
      <c r="DL48" s="70"/>
      <c r="DM48" s="70"/>
      <c r="DN48" s="70"/>
      <c r="DO48" s="70"/>
      <c r="DP48" s="70"/>
      <c r="DQ48" s="70"/>
      <c r="DR48" s="70"/>
      <c r="DS48" s="70"/>
      <c r="DT48" s="70"/>
      <c r="DU48" s="70"/>
      <c r="DV48" s="70"/>
      <c r="DW48" s="70"/>
      <c r="DX48" s="70"/>
      <c r="DY48" s="70"/>
      <c r="DZ48" s="70"/>
      <c r="EA48" s="70"/>
      <c r="EB48" s="70"/>
      <c r="EC48" s="70"/>
      <c r="ED48" s="70"/>
      <c r="EE48" s="70"/>
      <c r="EF48" s="70"/>
      <c r="EG48" s="70"/>
      <c r="EH48" s="70"/>
      <c r="EI48" s="70"/>
      <c r="EJ48" s="70"/>
      <c r="EK48" s="70"/>
      <c r="EL48" s="70"/>
      <c r="EM48" s="70"/>
      <c r="EN48" s="70"/>
      <c r="EO48" s="70"/>
      <c r="EP48" s="70"/>
      <c r="EQ48" s="70"/>
      <c r="ER48" s="70"/>
      <c r="ES48" s="70"/>
      <c r="ET48" s="70"/>
      <c r="EU48" s="70"/>
      <c r="EV48" s="70"/>
      <c r="EW48" s="70"/>
      <c r="EX48" s="70"/>
      <c r="EY48" s="70"/>
      <c r="EZ48" s="70"/>
      <c r="FA48" s="70"/>
      <c r="FB48" s="70"/>
      <c r="FC48" s="70"/>
      <c r="FD48" s="70"/>
      <c r="FE48" s="70"/>
      <c r="FF48" s="70"/>
      <c r="FG48" s="70"/>
      <c r="FH48" s="70"/>
      <c r="FI48" s="70"/>
      <c r="FJ48" s="70"/>
      <c r="FK48" s="70"/>
      <c r="FL48" s="70"/>
      <c r="FM48" s="70"/>
      <c r="FN48" s="70"/>
      <c r="FO48" s="70"/>
      <c r="FP48" s="70"/>
      <c r="FQ48" s="70"/>
      <c r="FR48" s="70"/>
      <c r="FS48" s="70"/>
      <c r="FT48" s="70"/>
      <c r="FU48" s="70"/>
      <c r="FV48" s="70"/>
      <c r="FW48" s="70"/>
      <c r="FX48" s="70"/>
      <c r="FY48" s="70"/>
      <c r="FZ48" s="70"/>
      <c r="GA48" s="70"/>
      <c r="GB48" s="70"/>
      <c r="GC48" s="70"/>
      <c r="GD48" s="70"/>
      <c r="GE48" s="70"/>
      <c r="GF48" s="70"/>
      <c r="GG48" s="70"/>
      <c r="GH48" s="70"/>
      <c r="GI48" s="70"/>
      <c r="GJ48" s="70"/>
    </row>
    <row r="49" spans="1:192" ht="13">
      <c r="A49" s="785"/>
      <c r="B49" s="54" t="s">
        <v>6291</v>
      </c>
      <c r="C49" s="762" t="s">
        <v>14974</v>
      </c>
      <c r="D49" s="722" t="s">
        <v>14975</v>
      </c>
      <c r="E49" s="700" t="s">
        <v>1541</v>
      </c>
      <c r="F49" s="24" t="s">
        <v>14976</v>
      </c>
      <c r="G49" s="81" t="s">
        <v>14977</v>
      </c>
      <c r="H49" s="782">
        <v>45292</v>
      </c>
      <c r="I49" s="783">
        <v>45657</v>
      </c>
      <c r="J49" s="784">
        <v>10448660</v>
      </c>
      <c r="K49" s="703"/>
      <c r="L49" s="228"/>
      <c r="M49" s="780">
        <v>10448660</v>
      </c>
      <c r="N49" s="63" t="s">
        <v>14978</v>
      </c>
      <c r="O49" s="51" t="str">
        <f>'(AR)인프라사업팀'!K27</f>
        <v>ART241130김행주1410</v>
      </c>
      <c r="P49" s="707"/>
      <c r="Q49" s="707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  <c r="BL49" s="70"/>
      <c r="BM49" s="70"/>
      <c r="BN49" s="70"/>
      <c r="BO49" s="70"/>
      <c r="BP49" s="70"/>
      <c r="BQ49" s="70"/>
      <c r="BR49" s="70"/>
      <c r="BS49" s="70"/>
      <c r="BT49" s="70"/>
      <c r="BU49" s="70"/>
      <c r="BV49" s="70"/>
      <c r="BW49" s="70"/>
      <c r="BX49" s="70"/>
      <c r="BY49" s="70"/>
      <c r="BZ49" s="70"/>
      <c r="CA49" s="70"/>
      <c r="CB49" s="70"/>
      <c r="CC49" s="70"/>
      <c r="CD49" s="70"/>
      <c r="CE49" s="70"/>
      <c r="CF49" s="70"/>
      <c r="CG49" s="70"/>
      <c r="CH49" s="70"/>
      <c r="CI49" s="70"/>
      <c r="CJ49" s="70"/>
      <c r="CK49" s="70"/>
      <c r="CL49" s="70"/>
      <c r="CM49" s="70"/>
      <c r="CN49" s="70"/>
      <c r="CO49" s="70"/>
      <c r="CP49" s="70"/>
      <c r="CQ49" s="70"/>
      <c r="CR49" s="70"/>
      <c r="CS49" s="70"/>
      <c r="CT49" s="70"/>
      <c r="CU49" s="70"/>
      <c r="CV49" s="70"/>
      <c r="CW49" s="70"/>
      <c r="CX49" s="70"/>
      <c r="CY49" s="70"/>
      <c r="CZ49" s="70"/>
      <c r="DA49" s="70"/>
      <c r="DB49" s="70"/>
      <c r="DC49" s="70"/>
      <c r="DD49" s="70"/>
      <c r="DE49" s="70"/>
      <c r="DF49" s="70"/>
      <c r="DG49" s="70"/>
      <c r="DH49" s="70"/>
      <c r="DI49" s="70"/>
      <c r="DJ49" s="70"/>
      <c r="DK49" s="70"/>
      <c r="DL49" s="70"/>
      <c r="DM49" s="70"/>
      <c r="DN49" s="70"/>
      <c r="DO49" s="70"/>
      <c r="DP49" s="70"/>
      <c r="DQ49" s="70"/>
      <c r="DR49" s="70"/>
      <c r="DS49" s="70"/>
      <c r="DT49" s="70"/>
      <c r="DU49" s="70"/>
      <c r="DV49" s="70"/>
      <c r="DW49" s="70"/>
      <c r="DX49" s="70"/>
      <c r="DY49" s="70"/>
      <c r="DZ49" s="70"/>
      <c r="EA49" s="70"/>
      <c r="EB49" s="70"/>
      <c r="EC49" s="70"/>
      <c r="ED49" s="70"/>
      <c r="EE49" s="70"/>
      <c r="EF49" s="70"/>
      <c r="EG49" s="70"/>
      <c r="EH49" s="70"/>
      <c r="EI49" s="70"/>
      <c r="EJ49" s="70"/>
      <c r="EK49" s="70"/>
      <c r="EL49" s="70"/>
      <c r="EM49" s="70"/>
      <c r="EN49" s="70"/>
      <c r="EO49" s="70"/>
      <c r="EP49" s="70"/>
      <c r="EQ49" s="70"/>
      <c r="ER49" s="70"/>
      <c r="ES49" s="70"/>
      <c r="ET49" s="70"/>
      <c r="EU49" s="70"/>
      <c r="EV49" s="70"/>
      <c r="EW49" s="70"/>
      <c r="EX49" s="70"/>
      <c r="EY49" s="70"/>
      <c r="EZ49" s="70"/>
      <c r="FA49" s="70"/>
      <c r="FB49" s="70"/>
      <c r="FC49" s="70"/>
      <c r="FD49" s="70"/>
      <c r="FE49" s="70"/>
      <c r="FF49" s="70"/>
      <c r="FG49" s="70"/>
      <c r="FH49" s="70"/>
      <c r="FI49" s="70"/>
      <c r="FJ49" s="70"/>
      <c r="FK49" s="70"/>
      <c r="FL49" s="70"/>
      <c r="FM49" s="70"/>
      <c r="FN49" s="70"/>
      <c r="FO49" s="70"/>
      <c r="FP49" s="70"/>
      <c r="FQ49" s="70"/>
      <c r="FR49" s="70"/>
      <c r="FS49" s="70"/>
      <c r="FT49" s="70"/>
      <c r="FU49" s="70"/>
      <c r="FV49" s="70"/>
      <c r="FW49" s="70"/>
      <c r="FX49" s="70"/>
      <c r="FY49" s="70"/>
      <c r="FZ49" s="70"/>
      <c r="GA49" s="70"/>
      <c r="GB49" s="70"/>
      <c r="GC49" s="70"/>
      <c r="GD49" s="70"/>
      <c r="GE49" s="70"/>
      <c r="GF49" s="70"/>
      <c r="GG49" s="70"/>
      <c r="GH49" s="70"/>
      <c r="GI49" s="475"/>
      <c r="GJ49" s="475"/>
    </row>
    <row r="50" spans="1:192" ht="13">
      <c r="A50" s="24"/>
      <c r="B50" s="806" t="s">
        <v>14861</v>
      </c>
      <c r="C50" s="807" t="s">
        <v>14979</v>
      </c>
      <c r="D50" s="699" t="s">
        <v>14980</v>
      </c>
      <c r="E50" s="700" t="s">
        <v>1541</v>
      </c>
      <c r="F50" s="228" t="s">
        <v>14927</v>
      </c>
      <c r="G50" s="701" t="s">
        <v>14981</v>
      </c>
      <c r="H50" s="732">
        <v>44378</v>
      </c>
      <c r="I50" s="733">
        <v>46203</v>
      </c>
      <c r="J50" s="734">
        <v>400000</v>
      </c>
      <c r="K50" s="703"/>
      <c r="L50" s="228" t="s">
        <v>191</v>
      </c>
      <c r="M50" s="780">
        <v>400000</v>
      </c>
      <c r="N50" s="706" t="s">
        <v>14982</v>
      </c>
      <c r="O50" s="51" t="str">
        <f>'(AR)인프라사업팀'!K24</f>
        <v>ART241127김행주1105</v>
      </c>
      <c r="P50" s="707"/>
      <c r="Q50" s="707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0"/>
      <c r="AJ50" s="70"/>
      <c r="AK50" s="70"/>
      <c r="AL50" s="70"/>
      <c r="AM50" s="70"/>
      <c r="AN50" s="70"/>
      <c r="AO50" s="70"/>
      <c r="AP50" s="70"/>
      <c r="AQ50" s="70"/>
      <c r="AR50" s="70"/>
      <c r="AS50" s="70"/>
      <c r="AT50" s="70"/>
      <c r="AU50" s="70"/>
      <c r="AV50" s="70"/>
      <c r="AW50" s="70"/>
      <c r="AX50" s="70"/>
      <c r="AY50" s="70"/>
      <c r="AZ50" s="70"/>
      <c r="BA50" s="70"/>
      <c r="BB50" s="70"/>
      <c r="BC50" s="70"/>
      <c r="BD50" s="70"/>
      <c r="BE50" s="70"/>
      <c r="BF50" s="70"/>
      <c r="BG50" s="70"/>
      <c r="BH50" s="70"/>
      <c r="BI50" s="70"/>
      <c r="BJ50" s="70"/>
      <c r="BK50" s="70"/>
      <c r="BL50" s="70"/>
      <c r="BM50" s="70"/>
      <c r="BN50" s="70"/>
      <c r="BO50" s="70"/>
      <c r="BP50" s="70"/>
      <c r="BQ50" s="70"/>
      <c r="BR50" s="70"/>
      <c r="BS50" s="70"/>
      <c r="BT50" s="70"/>
      <c r="BU50" s="70"/>
      <c r="BV50" s="70"/>
      <c r="BW50" s="70"/>
      <c r="BX50" s="70"/>
      <c r="BY50" s="70"/>
      <c r="BZ50" s="70"/>
      <c r="CA50" s="70"/>
      <c r="CB50" s="70"/>
      <c r="CC50" s="70"/>
      <c r="CD50" s="70"/>
      <c r="CE50" s="70"/>
      <c r="CF50" s="70"/>
      <c r="CG50" s="70"/>
      <c r="CH50" s="70"/>
      <c r="CI50" s="70"/>
      <c r="CJ50" s="70"/>
      <c r="CK50" s="70"/>
      <c r="CL50" s="70"/>
      <c r="CM50" s="70"/>
      <c r="CN50" s="70"/>
      <c r="CO50" s="70"/>
      <c r="CP50" s="70"/>
      <c r="CQ50" s="70"/>
      <c r="CR50" s="70"/>
      <c r="CS50" s="70"/>
      <c r="CT50" s="70"/>
      <c r="CU50" s="70"/>
      <c r="CV50" s="70"/>
      <c r="CW50" s="70"/>
      <c r="CX50" s="70"/>
      <c r="CY50" s="70"/>
      <c r="CZ50" s="70"/>
      <c r="DA50" s="70"/>
      <c r="DB50" s="70"/>
      <c r="DC50" s="70"/>
      <c r="DD50" s="70"/>
      <c r="DE50" s="70"/>
      <c r="DF50" s="70"/>
      <c r="DG50" s="70"/>
      <c r="DH50" s="70"/>
      <c r="DI50" s="70"/>
      <c r="DJ50" s="70"/>
      <c r="DK50" s="70"/>
      <c r="DL50" s="70"/>
      <c r="DM50" s="70"/>
      <c r="DN50" s="70"/>
      <c r="DO50" s="70"/>
      <c r="DP50" s="70"/>
      <c r="DQ50" s="70"/>
      <c r="DR50" s="70"/>
      <c r="DS50" s="70"/>
      <c r="DT50" s="70"/>
      <c r="DU50" s="70"/>
      <c r="DV50" s="70"/>
      <c r="DW50" s="70"/>
      <c r="DX50" s="70"/>
      <c r="DY50" s="70"/>
      <c r="DZ50" s="70"/>
      <c r="EA50" s="70"/>
      <c r="EB50" s="70"/>
      <c r="EC50" s="70"/>
      <c r="ED50" s="70"/>
      <c r="EE50" s="70"/>
      <c r="EF50" s="70"/>
      <c r="EG50" s="70"/>
      <c r="EH50" s="70"/>
      <c r="EI50" s="70"/>
      <c r="EJ50" s="70"/>
      <c r="EK50" s="70"/>
      <c r="EL50" s="70"/>
      <c r="EM50" s="70"/>
      <c r="EN50" s="70"/>
      <c r="EO50" s="70"/>
      <c r="EP50" s="70"/>
      <c r="EQ50" s="70"/>
      <c r="ER50" s="70"/>
      <c r="ES50" s="70"/>
      <c r="ET50" s="70"/>
      <c r="EU50" s="70"/>
      <c r="EV50" s="70"/>
      <c r="EW50" s="70"/>
      <c r="EX50" s="70"/>
      <c r="EY50" s="70"/>
      <c r="EZ50" s="70"/>
      <c r="FA50" s="70"/>
      <c r="FB50" s="70"/>
      <c r="FC50" s="70"/>
      <c r="FD50" s="70"/>
      <c r="FE50" s="70"/>
      <c r="FF50" s="70"/>
      <c r="FG50" s="70"/>
      <c r="FH50" s="70"/>
      <c r="FI50" s="70"/>
      <c r="FJ50" s="70"/>
      <c r="FK50" s="70"/>
      <c r="FL50" s="70"/>
      <c r="FM50" s="70"/>
      <c r="FN50" s="70"/>
      <c r="FO50" s="70"/>
      <c r="FP50" s="70"/>
      <c r="FQ50" s="70"/>
      <c r="FR50" s="70"/>
      <c r="FS50" s="70"/>
      <c r="FT50" s="70"/>
      <c r="FU50" s="70"/>
      <c r="FV50" s="70"/>
      <c r="FW50" s="70"/>
      <c r="FX50" s="70"/>
      <c r="FY50" s="70"/>
      <c r="FZ50" s="70"/>
      <c r="GA50" s="70"/>
      <c r="GB50" s="70"/>
      <c r="GC50" s="70"/>
      <c r="GD50" s="70"/>
      <c r="GE50" s="70"/>
      <c r="GF50" s="70"/>
      <c r="GG50" s="70"/>
      <c r="GH50" s="70"/>
      <c r="GI50" s="475"/>
      <c r="GJ50" s="475"/>
    </row>
    <row r="51" spans="1:192" ht="13">
      <c r="A51" s="1244"/>
      <c r="B51" s="1245" t="s">
        <v>8723</v>
      </c>
      <c r="C51" s="1246" t="s">
        <v>14983</v>
      </c>
      <c r="D51" s="1247"/>
      <c r="E51" s="1248" t="s">
        <v>1541</v>
      </c>
      <c r="F51" s="1249" t="s">
        <v>14984</v>
      </c>
      <c r="G51" s="1250" t="s">
        <v>14985</v>
      </c>
      <c r="H51" s="1240">
        <v>44578</v>
      </c>
      <c r="I51" s="1241" t="s">
        <v>14986</v>
      </c>
      <c r="J51" s="1242">
        <v>6592500</v>
      </c>
      <c r="K51" s="468"/>
      <c r="L51" s="808">
        <v>0.22</v>
      </c>
      <c r="M51" s="809">
        <v>396000</v>
      </c>
      <c r="N51" s="1243" t="s">
        <v>14987</v>
      </c>
      <c r="O51" s="810"/>
      <c r="P51" s="811" t="s">
        <v>14988</v>
      </c>
      <c r="Q51" s="707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  <c r="BL51" s="70"/>
      <c r="BM51" s="70"/>
      <c r="BN51" s="70"/>
      <c r="BO51" s="70"/>
      <c r="BP51" s="70"/>
      <c r="BQ51" s="70"/>
      <c r="BR51" s="70"/>
      <c r="BS51" s="70"/>
      <c r="BT51" s="70"/>
      <c r="BU51" s="70"/>
      <c r="BV51" s="70"/>
      <c r="BW51" s="70"/>
      <c r="BX51" s="70"/>
      <c r="BY51" s="70"/>
      <c r="BZ51" s="70"/>
      <c r="CA51" s="70"/>
      <c r="CB51" s="70"/>
      <c r="CC51" s="70"/>
      <c r="CD51" s="70"/>
      <c r="CE51" s="70"/>
      <c r="CF51" s="70"/>
      <c r="CG51" s="70"/>
      <c r="CH51" s="70"/>
      <c r="CI51" s="70"/>
      <c r="CJ51" s="70"/>
      <c r="CK51" s="70"/>
      <c r="CL51" s="70"/>
      <c r="CM51" s="70"/>
      <c r="CN51" s="70"/>
      <c r="CO51" s="70"/>
      <c r="CP51" s="70"/>
      <c r="CQ51" s="70"/>
      <c r="CR51" s="70"/>
      <c r="CS51" s="70"/>
      <c r="CT51" s="70"/>
      <c r="CU51" s="70"/>
      <c r="CV51" s="70"/>
      <c r="CW51" s="70"/>
      <c r="CX51" s="70"/>
      <c r="CY51" s="70"/>
      <c r="CZ51" s="70"/>
      <c r="DA51" s="70"/>
      <c r="DB51" s="70"/>
      <c r="DC51" s="70"/>
      <c r="DD51" s="70"/>
      <c r="DE51" s="70"/>
      <c r="DF51" s="70"/>
      <c r="DG51" s="70"/>
      <c r="DH51" s="70"/>
      <c r="DI51" s="70"/>
      <c r="DJ51" s="70"/>
      <c r="DK51" s="70"/>
      <c r="DL51" s="70"/>
      <c r="DM51" s="70"/>
      <c r="DN51" s="70"/>
      <c r="DO51" s="70"/>
      <c r="DP51" s="70"/>
      <c r="DQ51" s="70"/>
      <c r="DR51" s="70"/>
      <c r="DS51" s="70"/>
      <c r="DT51" s="70"/>
      <c r="DU51" s="70"/>
      <c r="DV51" s="70"/>
      <c r="DW51" s="70"/>
      <c r="DX51" s="70"/>
      <c r="DY51" s="70"/>
      <c r="DZ51" s="70"/>
      <c r="EA51" s="70"/>
      <c r="EB51" s="70"/>
      <c r="EC51" s="70"/>
      <c r="ED51" s="70"/>
      <c r="EE51" s="70"/>
      <c r="EF51" s="70"/>
      <c r="EG51" s="70"/>
      <c r="EH51" s="70"/>
      <c r="EI51" s="70"/>
      <c r="EJ51" s="70"/>
      <c r="EK51" s="70"/>
      <c r="EL51" s="70"/>
      <c r="EM51" s="70"/>
      <c r="EN51" s="70"/>
      <c r="EO51" s="70"/>
      <c r="EP51" s="70"/>
      <c r="EQ51" s="70"/>
      <c r="ER51" s="70"/>
      <c r="ES51" s="70"/>
      <c r="ET51" s="70"/>
      <c r="EU51" s="70"/>
      <c r="EV51" s="70"/>
      <c r="EW51" s="70"/>
      <c r="EX51" s="70"/>
      <c r="EY51" s="70"/>
      <c r="EZ51" s="70"/>
      <c r="FA51" s="70"/>
      <c r="FB51" s="70"/>
      <c r="FC51" s="70"/>
      <c r="FD51" s="70"/>
      <c r="FE51" s="70"/>
      <c r="FF51" s="70"/>
      <c r="FG51" s="70"/>
      <c r="FH51" s="70"/>
      <c r="FI51" s="70"/>
      <c r="FJ51" s="70"/>
      <c r="FK51" s="70"/>
      <c r="FL51" s="70"/>
      <c r="FM51" s="70"/>
      <c r="FN51" s="70"/>
      <c r="FO51" s="70"/>
      <c r="FP51" s="70"/>
      <c r="FQ51" s="70"/>
      <c r="FR51" s="70"/>
      <c r="FS51" s="70"/>
      <c r="FT51" s="70"/>
      <c r="FU51" s="70"/>
      <c r="FV51" s="70"/>
      <c r="FW51" s="70"/>
      <c r="FX51" s="70"/>
      <c r="FY51" s="70"/>
      <c r="FZ51" s="70"/>
      <c r="GA51" s="70"/>
      <c r="GB51" s="70"/>
      <c r="GC51" s="70"/>
      <c r="GD51" s="70"/>
      <c r="GE51" s="70"/>
      <c r="GF51" s="70"/>
      <c r="GG51" s="70"/>
      <c r="GH51" s="70"/>
      <c r="GI51" s="70"/>
      <c r="GJ51" s="70"/>
    </row>
    <row r="52" spans="1:192" ht="13">
      <c r="A52" s="1095"/>
      <c r="B52" s="1051"/>
      <c r="C52" s="1143"/>
      <c r="D52" s="1182"/>
      <c r="E52" s="1209"/>
      <c r="F52" s="1051"/>
      <c r="G52" s="1051"/>
      <c r="H52" s="1051"/>
      <c r="I52" s="1143"/>
      <c r="J52" s="1209"/>
      <c r="K52" s="468"/>
      <c r="L52" s="808">
        <v>0.11</v>
      </c>
      <c r="M52" s="809">
        <v>198000</v>
      </c>
      <c r="N52" s="1051"/>
      <c r="O52" s="810"/>
      <c r="P52" s="812" t="s">
        <v>14989</v>
      </c>
      <c r="Q52" s="707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0"/>
      <c r="BR52" s="70"/>
      <c r="BS52" s="70"/>
      <c r="BT52" s="70"/>
      <c r="BU52" s="70"/>
      <c r="BV52" s="70"/>
      <c r="BW52" s="70"/>
      <c r="BX52" s="70"/>
      <c r="BY52" s="70"/>
      <c r="BZ52" s="70"/>
      <c r="CA52" s="70"/>
      <c r="CB52" s="70"/>
      <c r="CC52" s="70"/>
      <c r="CD52" s="70"/>
      <c r="CE52" s="70"/>
      <c r="CF52" s="70"/>
      <c r="CG52" s="70"/>
      <c r="CH52" s="70"/>
      <c r="CI52" s="70"/>
      <c r="CJ52" s="70"/>
      <c r="CK52" s="70"/>
      <c r="CL52" s="70"/>
      <c r="CM52" s="70"/>
      <c r="CN52" s="70"/>
      <c r="CO52" s="70"/>
      <c r="CP52" s="70"/>
      <c r="CQ52" s="70"/>
      <c r="CR52" s="70"/>
      <c r="CS52" s="70"/>
      <c r="CT52" s="70"/>
      <c r="CU52" s="70"/>
      <c r="CV52" s="70"/>
      <c r="CW52" s="70"/>
      <c r="CX52" s="70"/>
      <c r="CY52" s="70"/>
      <c r="CZ52" s="70"/>
      <c r="DA52" s="70"/>
      <c r="DB52" s="70"/>
      <c r="DC52" s="70"/>
      <c r="DD52" s="70"/>
      <c r="DE52" s="70"/>
      <c r="DF52" s="70"/>
      <c r="DG52" s="70"/>
      <c r="DH52" s="70"/>
      <c r="DI52" s="70"/>
      <c r="DJ52" s="70"/>
      <c r="DK52" s="70"/>
      <c r="DL52" s="70"/>
      <c r="DM52" s="70"/>
      <c r="DN52" s="70"/>
      <c r="DO52" s="70"/>
      <c r="DP52" s="70"/>
      <c r="DQ52" s="70"/>
      <c r="DR52" s="70"/>
      <c r="DS52" s="70"/>
      <c r="DT52" s="70"/>
      <c r="DU52" s="70"/>
      <c r="DV52" s="70"/>
      <c r="DW52" s="70"/>
      <c r="DX52" s="70"/>
      <c r="DY52" s="70"/>
      <c r="DZ52" s="70"/>
      <c r="EA52" s="70"/>
      <c r="EB52" s="70"/>
      <c r="EC52" s="70"/>
      <c r="ED52" s="70"/>
      <c r="EE52" s="70"/>
      <c r="EF52" s="70"/>
      <c r="EG52" s="70"/>
      <c r="EH52" s="70"/>
      <c r="EI52" s="70"/>
      <c r="EJ52" s="70"/>
      <c r="EK52" s="70"/>
      <c r="EL52" s="70"/>
      <c r="EM52" s="70"/>
      <c r="EN52" s="70"/>
      <c r="EO52" s="70"/>
      <c r="EP52" s="70"/>
      <c r="EQ52" s="70"/>
      <c r="ER52" s="70"/>
      <c r="ES52" s="70"/>
      <c r="ET52" s="70"/>
      <c r="EU52" s="70"/>
      <c r="EV52" s="70"/>
      <c r="EW52" s="70"/>
      <c r="EX52" s="70"/>
      <c r="EY52" s="70"/>
      <c r="EZ52" s="70"/>
      <c r="FA52" s="70"/>
      <c r="FB52" s="70"/>
      <c r="FC52" s="70"/>
      <c r="FD52" s="70"/>
      <c r="FE52" s="70"/>
      <c r="FF52" s="70"/>
      <c r="FG52" s="70"/>
      <c r="FH52" s="70"/>
      <c r="FI52" s="70"/>
      <c r="FJ52" s="70"/>
      <c r="FK52" s="70"/>
      <c r="FL52" s="70"/>
      <c r="FM52" s="70"/>
      <c r="FN52" s="70"/>
      <c r="FO52" s="70"/>
      <c r="FP52" s="70"/>
      <c r="FQ52" s="70"/>
      <c r="FR52" s="70"/>
      <c r="FS52" s="70"/>
      <c r="FT52" s="70"/>
      <c r="FU52" s="70"/>
      <c r="FV52" s="70"/>
      <c r="FW52" s="70"/>
      <c r="FX52" s="70"/>
      <c r="FY52" s="70"/>
      <c r="FZ52" s="70"/>
      <c r="GA52" s="70"/>
      <c r="GB52" s="70"/>
      <c r="GC52" s="70"/>
      <c r="GD52" s="70"/>
      <c r="GE52" s="70"/>
      <c r="GF52" s="70"/>
      <c r="GG52" s="70"/>
      <c r="GH52" s="70"/>
      <c r="GI52" s="70"/>
      <c r="GJ52" s="70"/>
    </row>
    <row r="53" spans="1:192" ht="13">
      <c r="A53" s="1095"/>
      <c r="B53" s="1051"/>
      <c r="C53" s="1143"/>
      <c r="D53" s="1182"/>
      <c r="E53" s="1209"/>
      <c r="F53" s="1051"/>
      <c r="G53" s="1051"/>
      <c r="H53" s="1051"/>
      <c r="I53" s="1143"/>
      <c r="J53" s="1209"/>
      <c r="K53" s="468"/>
      <c r="L53" s="808">
        <v>0.67</v>
      </c>
      <c r="M53" s="809">
        <v>1206000</v>
      </c>
      <c r="N53" s="1051"/>
      <c r="O53" s="810"/>
      <c r="P53" s="761" t="s">
        <v>14990</v>
      </c>
      <c r="Q53" s="707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70"/>
      <c r="BC53" s="70"/>
      <c r="BD53" s="70"/>
      <c r="BE53" s="70"/>
      <c r="BF53" s="70"/>
      <c r="BG53" s="70"/>
      <c r="BH53" s="70"/>
      <c r="BI53" s="70"/>
      <c r="BJ53" s="70"/>
      <c r="BK53" s="70"/>
      <c r="BL53" s="70"/>
      <c r="BM53" s="70"/>
      <c r="BN53" s="70"/>
      <c r="BO53" s="70"/>
      <c r="BP53" s="70"/>
      <c r="BQ53" s="70"/>
      <c r="BR53" s="70"/>
      <c r="BS53" s="70"/>
      <c r="BT53" s="70"/>
      <c r="BU53" s="70"/>
      <c r="BV53" s="70"/>
      <c r="BW53" s="70"/>
      <c r="BX53" s="70"/>
      <c r="BY53" s="70"/>
      <c r="BZ53" s="70"/>
      <c r="CA53" s="70"/>
      <c r="CB53" s="70"/>
      <c r="CC53" s="70"/>
      <c r="CD53" s="70"/>
      <c r="CE53" s="70"/>
      <c r="CF53" s="70"/>
      <c r="CG53" s="70"/>
      <c r="CH53" s="70"/>
      <c r="CI53" s="70"/>
      <c r="CJ53" s="70"/>
      <c r="CK53" s="70"/>
      <c r="CL53" s="70"/>
      <c r="CM53" s="70"/>
      <c r="CN53" s="70"/>
      <c r="CO53" s="70"/>
      <c r="CP53" s="70"/>
      <c r="CQ53" s="70"/>
      <c r="CR53" s="70"/>
      <c r="CS53" s="70"/>
      <c r="CT53" s="70"/>
      <c r="CU53" s="70"/>
      <c r="CV53" s="70"/>
      <c r="CW53" s="70"/>
      <c r="CX53" s="70"/>
      <c r="CY53" s="70"/>
      <c r="CZ53" s="70"/>
      <c r="DA53" s="70"/>
      <c r="DB53" s="70"/>
      <c r="DC53" s="70"/>
      <c r="DD53" s="70"/>
      <c r="DE53" s="70"/>
      <c r="DF53" s="70"/>
      <c r="DG53" s="70"/>
      <c r="DH53" s="70"/>
      <c r="DI53" s="70"/>
      <c r="DJ53" s="70"/>
      <c r="DK53" s="70"/>
      <c r="DL53" s="70"/>
      <c r="DM53" s="70"/>
      <c r="DN53" s="70"/>
      <c r="DO53" s="70"/>
      <c r="DP53" s="70"/>
      <c r="DQ53" s="70"/>
      <c r="DR53" s="70"/>
      <c r="DS53" s="70"/>
      <c r="DT53" s="70"/>
      <c r="DU53" s="70"/>
      <c r="DV53" s="70"/>
      <c r="DW53" s="70"/>
      <c r="DX53" s="70"/>
      <c r="DY53" s="70"/>
      <c r="DZ53" s="70"/>
      <c r="EA53" s="70"/>
      <c r="EB53" s="70"/>
      <c r="EC53" s="70"/>
      <c r="ED53" s="70"/>
      <c r="EE53" s="70"/>
      <c r="EF53" s="70"/>
      <c r="EG53" s="70"/>
      <c r="EH53" s="70"/>
      <c r="EI53" s="70"/>
      <c r="EJ53" s="70"/>
      <c r="EK53" s="70"/>
      <c r="EL53" s="70"/>
      <c r="EM53" s="70"/>
      <c r="EN53" s="70"/>
      <c r="EO53" s="70"/>
      <c r="EP53" s="70"/>
      <c r="EQ53" s="70"/>
      <c r="ER53" s="70"/>
      <c r="ES53" s="70"/>
      <c r="ET53" s="70"/>
      <c r="EU53" s="70"/>
      <c r="EV53" s="70"/>
      <c r="EW53" s="70"/>
      <c r="EX53" s="70"/>
      <c r="EY53" s="70"/>
      <c r="EZ53" s="70"/>
      <c r="FA53" s="70"/>
      <c r="FB53" s="70"/>
      <c r="FC53" s="70"/>
      <c r="FD53" s="70"/>
      <c r="FE53" s="70"/>
      <c r="FF53" s="70"/>
      <c r="FG53" s="70"/>
      <c r="FH53" s="70"/>
      <c r="FI53" s="70"/>
      <c r="FJ53" s="70"/>
      <c r="FK53" s="70"/>
      <c r="FL53" s="70"/>
      <c r="FM53" s="70"/>
      <c r="FN53" s="70"/>
      <c r="FO53" s="70"/>
      <c r="FP53" s="70"/>
      <c r="FQ53" s="70"/>
      <c r="FR53" s="70"/>
      <c r="FS53" s="70"/>
      <c r="FT53" s="70"/>
      <c r="FU53" s="70"/>
      <c r="FV53" s="70"/>
      <c r="FW53" s="70"/>
      <c r="FX53" s="70"/>
      <c r="FY53" s="70"/>
      <c r="FZ53" s="70"/>
      <c r="GA53" s="70"/>
      <c r="GB53" s="70"/>
      <c r="GC53" s="70"/>
      <c r="GD53" s="70"/>
      <c r="GE53" s="70"/>
      <c r="GF53" s="70"/>
      <c r="GG53" s="70"/>
      <c r="GH53" s="70"/>
      <c r="GI53" s="70"/>
      <c r="GJ53" s="70"/>
    </row>
    <row r="54" spans="1:192" ht="13">
      <c r="A54" s="1095"/>
      <c r="B54" s="1051"/>
      <c r="C54" s="1143"/>
      <c r="D54" s="1182"/>
      <c r="E54" s="1209"/>
      <c r="F54" s="1051"/>
      <c r="G54" s="1051"/>
      <c r="H54" s="1051"/>
      <c r="I54" s="1143"/>
      <c r="J54" s="1209"/>
      <c r="K54" s="468"/>
      <c r="L54" s="808">
        <v>0.22</v>
      </c>
      <c r="M54" s="809">
        <v>1054350</v>
      </c>
      <c r="N54" s="1051"/>
      <c r="O54" s="810" t="s">
        <v>14991</v>
      </c>
      <c r="P54" s="811" t="s">
        <v>14988</v>
      </c>
      <c r="Q54" s="707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70"/>
      <c r="BB54" s="70"/>
      <c r="BC54" s="70"/>
      <c r="BD54" s="70"/>
      <c r="BE54" s="70"/>
      <c r="BF54" s="70"/>
      <c r="BG54" s="70"/>
      <c r="BH54" s="70"/>
      <c r="BI54" s="70"/>
      <c r="BJ54" s="70"/>
      <c r="BK54" s="70"/>
      <c r="BL54" s="70"/>
      <c r="BM54" s="70"/>
      <c r="BN54" s="70"/>
      <c r="BO54" s="70"/>
      <c r="BP54" s="70"/>
      <c r="BQ54" s="70"/>
      <c r="BR54" s="70"/>
      <c r="BS54" s="70"/>
      <c r="BT54" s="70"/>
      <c r="BU54" s="70"/>
      <c r="BV54" s="70"/>
      <c r="BW54" s="70"/>
      <c r="BX54" s="70"/>
      <c r="BY54" s="70"/>
      <c r="BZ54" s="70"/>
      <c r="CA54" s="70"/>
      <c r="CB54" s="70"/>
      <c r="CC54" s="70"/>
      <c r="CD54" s="70"/>
      <c r="CE54" s="70"/>
      <c r="CF54" s="70"/>
      <c r="CG54" s="70"/>
      <c r="CH54" s="70"/>
      <c r="CI54" s="70"/>
      <c r="CJ54" s="70"/>
      <c r="CK54" s="70"/>
      <c r="CL54" s="70"/>
      <c r="CM54" s="70"/>
      <c r="CN54" s="70"/>
      <c r="CO54" s="70"/>
      <c r="CP54" s="70"/>
      <c r="CQ54" s="70"/>
      <c r="CR54" s="70"/>
      <c r="CS54" s="70"/>
      <c r="CT54" s="70"/>
      <c r="CU54" s="70"/>
      <c r="CV54" s="70"/>
      <c r="CW54" s="70"/>
      <c r="CX54" s="70"/>
      <c r="CY54" s="70"/>
      <c r="CZ54" s="70"/>
      <c r="DA54" s="70"/>
      <c r="DB54" s="70"/>
      <c r="DC54" s="70"/>
      <c r="DD54" s="70"/>
      <c r="DE54" s="70"/>
      <c r="DF54" s="70"/>
      <c r="DG54" s="70"/>
      <c r="DH54" s="70"/>
      <c r="DI54" s="70"/>
      <c r="DJ54" s="70"/>
      <c r="DK54" s="70"/>
      <c r="DL54" s="70"/>
      <c r="DM54" s="70"/>
      <c r="DN54" s="70"/>
      <c r="DO54" s="70"/>
      <c r="DP54" s="70"/>
      <c r="DQ54" s="70"/>
      <c r="DR54" s="70"/>
      <c r="DS54" s="70"/>
      <c r="DT54" s="70"/>
      <c r="DU54" s="70"/>
      <c r="DV54" s="70"/>
      <c r="DW54" s="70"/>
      <c r="DX54" s="70"/>
      <c r="DY54" s="70"/>
      <c r="DZ54" s="70"/>
      <c r="EA54" s="70"/>
      <c r="EB54" s="70"/>
      <c r="EC54" s="70"/>
      <c r="ED54" s="70"/>
      <c r="EE54" s="70"/>
      <c r="EF54" s="70"/>
      <c r="EG54" s="70"/>
      <c r="EH54" s="70"/>
      <c r="EI54" s="70"/>
      <c r="EJ54" s="70"/>
      <c r="EK54" s="70"/>
      <c r="EL54" s="70"/>
      <c r="EM54" s="70"/>
      <c r="EN54" s="70"/>
      <c r="EO54" s="70"/>
      <c r="EP54" s="70"/>
      <c r="EQ54" s="70"/>
      <c r="ER54" s="70"/>
      <c r="ES54" s="70"/>
      <c r="ET54" s="70"/>
      <c r="EU54" s="70"/>
      <c r="EV54" s="70"/>
      <c r="EW54" s="70"/>
      <c r="EX54" s="70"/>
      <c r="EY54" s="70"/>
      <c r="EZ54" s="70"/>
      <c r="FA54" s="70"/>
      <c r="FB54" s="70"/>
      <c r="FC54" s="70"/>
      <c r="FD54" s="70"/>
      <c r="FE54" s="70"/>
      <c r="FF54" s="70"/>
      <c r="FG54" s="70"/>
      <c r="FH54" s="70"/>
      <c r="FI54" s="70"/>
      <c r="FJ54" s="70"/>
      <c r="FK54" s="70"/>
      <c r="FL54" s="70"/>
      <c r="FM54" s="70"/>
      <c r="FN54" s="70"/>
      <c r="FO54" s="70"/>
      <c r="FP54" s="70"/>
      <c r="FQ54" s="70"/>
      <c r="FR54" s="70"/>
      <c r="FS54" s="70"/>
      <c r="FT54" s="70"/>
      <c r="FU54" s="70"/>
      <c r="FV54" s="70"/>
      <c r="FW54" s="70"/>
      <c r="FX54" s="70"/>
      <c r="FY54" s="70"/>
      <c r="FZ54" s="70"/>
      <c r="GA54" s="70"/>
      <c r="GB54" s="70"/>
      <c r="GC54" s="70"/>
      <c r="GD54" s="70"/>
      <c r="GE54" s="70"/>
      <c r="GF54" s="70"/>
      <c r="GG54" s="70"/>
      <c r="GH54" s="70"/>
      <c r="GI54" s="70"/>
      <c r="GJ54" s="70"/>
    </row>
    <row r="55" spans="1:192" ht="13">
      <c r="A55" s="1095"/>
      <c r="B55" s="1051"/>
      <c r="C55" s="1143"/>
      <c r="D55" s="1182"/>
      <c r="E55" s="1209"/>
      <c r="F55" s="1051"/>
      <c r="G55" s="1051"/>
      <c r="H55" s="1051"/>
      <c r="I55" s="1143"/>
      <c r="J55" s="1209"/>
      <c r="K55" s="468"/>
      <c r="L55" s="808">
        <v>0.11</v>
      </c>
      <c r="M55" s="809">
        <v>527175</v>
      </c>
      <c r="N55" s="1051"/>
      <c r="O55" s="810"/>
      <c r="P55" s="812" t="s">
        <v>14989</v>
      </c>
      <c r="Q55" s="707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70"/>
      <c r="AX55" s="70"/>
      <c r="AY55" s="70"/>
      <c r="AZ55" s="70"/>
      <c r="BA55" s="70"/>
      <c r="BB55" s="70"/>
      <c r="BC55" s="70"/>
      <c r="BD55" s="70"/>
      <c r="BE55" s="70"/>
      <c r="BF55" s="7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70"/>
      <c r="BR55" s="70"/>
      <c r="BS55" s="70"/>
      <c r="BT55" s="70"/>
      <c r="BU55" s="70"/>
      <c r="BV55" s="70"/>
      <c r="BW55" s="70"/>
      <c r="BX55" s="70"/>
      <c r="BY55" s="70"/>
      <c r="BZ55" s="70"/>
      <c r="CA55" s="70"/>
      <c r="CB55" s="70"/>
      <c r="CC55" s="70"/>
      <c r="CD55" s="70"/>
      <c r="CE55" s="70"/>
      <c r="CF55" s="70"/>
      <c r="CG55" s="70"/>
      <c r="CH55" s="70"/>
      <c r="CI55" s="70"/>
      <c r="CJ55" s="70"/>
      <c r="CK55" s="70"/>
      <c r="CL55" s="70"/>
      <c r="CM55" s="70"/>
      <c r="CN55" s="70"/>
      <c r="CO55" s="70"/>
      <c r="CP55" s="70"/>
      <c r="CQ55" s="70"/>
      <c r="CR55" s="70"/>
      <c r="CS55" s="70"/>
      <c r="CT55" s="70"/>
      <c r="CU55" s="70"/>
      <c r="CV55" s="70"/>
      <c r="CW55" s="70"/>
      <c r="CX55" s="70"/>
      <c r="CY55" s="70"/>
      <c r="CZ55" s="70"/>
      <c r="DA55" s="70"/>
      <c r="DB55" s="70"/>
      <c r="DC55" s="70"/>
      <c r="DD55" s="70"/>
      <c r="DE55" s="70"/>
      <c r="DF55" s="70"/>
      <c r="DG55" s="70"/>
      <c r="DH55" s="70"/>
      <c r="DI55" s="70"/>
      <c r="DJ55" s="70"/>
      <c r="DK55" s="70"/>
      <c r="DL55" s="70"/>
      <c r="DM55" s="70"/>
      <c r="DN55" s="70"/>
      <c r="DO55" s="70"/>
      <c r="DP55" s="70"/>
      <c r="DQ55" s="70"/>
      <c r="DR55" s="70"/>
      <c r="DS55" s="70"/>
      <c r="DT55" s="70"/>
      <c r="DU55" s="70"/>
      <c r="DV55" s="70"/>
      <c r="DW55" s="70"/>
      <c r="DX55" s="70"/>
      <c r="DY55" s="70"/>
      <c r="DZ55" s="70"/>
      <c r="EA55" s="70"/>
      <c r="EB55" s="70"/>
      <c r="EC55" s="70"/>
      <c r="ED55" s="70"/>
      <c r="EE55" s="70"/>
      <c r="EF55" s="70"/>
      <c r="EG55" s="70"/>
      <c r="EH55" s="70"/>
      <c r="EI55" s="70"/>
      <c r="EJ55" s="70"/>
      <c r="EK55" s="70"/>
      <c r="EL55" s="70"/>
      <c r="EM55" s="70"/>
      <c r="EN55" s="70"/>
      <c r="EO55" s="70"/>
      <c r="EP55" s="70"/>
      <c r="EQ55" s="70"/>
      <c r="ER55" s="70"/>
      <c r="ES55" s="70"/>
      <c r="ET55" s="70"/>
      <c r="EU55" s="70"/>
      <c r="EV55" s="70"/>
      <c r="EW55" s="70"/>
      <c r="EX55" s="70"/>
      <c r="EY55" s="70"/>
      <c r="EZ55" s="70"/>
      <c r="FA55" s="70"/>
      <c r="FB55" s="70"/>
      <c r="FC55" s="70"/>
      <c r="FD55" s="70"/>
      <c r="FE55" s="70"/>
      <c r="FF55" s="70"/>
      <c r="FG55" s="70"/>
      <c r="FH55" s="70"/>
      <c r="FI55" s="70"/>
      <c r="FJ55" s="70"/>
      <c r="FK55" s="70"/>
      <c r="FL55" s="70"/>
      <c r="FM55" s="70"/>
      <c r="FN55" s="70"/>
      <c r="FO55" s="70"/>
      <c r="FP55" s="70"/>
      <c r="FQ55" s="70"/>
      <c r="FR55" s="70"/>
      <c r="FS55" s="70"/>
      <c r="FT55" s="70"/>
      <c r="FU55" s="70"/>
      <c r="FV55" s="70"/>
      <c r="FW55" s="70"/>
      <c r="FX55" s="70"/>
      <c r="FY55" s="70"/>
      <c r="FZ55" s="70"/>
      <c r="GA55" s="70"/>
      <c r="GB55" s="70"/>
      <c r="GC55" s="70"/>
      <c r="GD55" s="70"/>
      <c r="GE55" s="70"/>
      <c r="GF55" s="70"/>
      <c r="GG55" s="70"/>
      <c r="GH55" s="70"/>
      <c r="GI55" s="70"/>
      <c r="GJ55" s="70"/>
    </row>
    <row r="56" spans="1:192" ht="13">
      <c r="A56" s="1095"/>
      <c r="B56" s="1051"/>
      <c r="C56" s="1143"/>
      <c r="D56" s="1182"/>
      <c r="E56" s="1209"/>
      <c r="F56" s="1051"/>
      <c r="G56" s="1051"/>
      <c r="H56" s="1051"/>
      <c r="I56" s="1143"/>
      <c r="J56" s="1209"/>
      <c r="K56" s="468"/>
      <c r="L56" s="808">
        <v>0.67</v>
      </c>
      <c r="M56" s="809">
        <v>3210975</v>
      </c>
      <c r="N56" s="1051"/>
      <c r="O56" s="810"/>
      <c r="P56" s="761" t="s">
        <v>14990</v>
      </c>
      <c r="Q56" s="707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  <c r="BL56" s="70"/>
      <c r="BM56" s="70"/>
      <c r="BN56" s="70"/>
      <c r="BO56" s="70"/>
      <c r="BP56" s="70"/>
      <c r="BQ56" s="70"/>
      <c r="BR56" s="70"/>
      <c r="BS56" s="70"/>
      <c r="BT56" s="70"/>
      <c r="BU56" s="70"/>
      <c r="BV56" s="70"/>
      <c r="BW56" s="70"/>
      <c r="BX56" s="70"/>
      <c r="BY56" s="70"/>
      <c r="BZ56" s="70"/>
      <c r="CA56" s="70"/>
      <c r="CB56" s="70"/>
      <c r="CC56" s="70"/>
      <c r="CD56" s="70"/>
      <c r="CE56" s="70"/>
      <c r="CF56" s="70"/>
      <c r="CG56" s="70"/>
      <c r="CH56" s="70"/>
      <c r="CI56" s="70"/>
      <c r="CJ56" s="70"/>
      <c r="CK56" s="70"/>
      <c r="CL56" s="70"/>
      <c r="CM56" s="70"/>
      <c r="CN56" s="70"/>
      <c r="CO56" s="70"/>
      <c r="CP56" s="70"/>
      <c r="CQ56" s="70"/>
      <c r="CR56" s="70"/>
      <c r="CS56" s="70"/>
      <c r="CT56" s="70"/>
      <c r="CU56" s="70"/>
      <c r="CV56" s="70"/>
      <c r="CW56" s="70"/>
      <c r="CX56" s="70"/>
      <c r="CY56" s="70"/>
      <c r="CZ56" s="70"/>
      <c r="DA56" s="70"/>
      <c r="DB56" s="70"/>
      <c r="DC56" s="70"/>
      <c r="DD56" s="70"/>
      <c r="DE56" s="70"/>
      <c r="DF56" s="70"/>
      <c r="DG56" s="70"/>
      <c r="DH56" s="70"/>
      <c r="DI56" s="70"/>
      <c r="DJ56" s="70"/>
      <c r="DK56" s="70"/>
      <c r="DL56" s="70"/>
      <c r="DM56" s="70"/>
      <c r="DN56" s="70"/>
      <c r="DO56" s="70"/>
      <c r="DP56" s="70"/>
      <c r="DQ56" s="70"/>
      <c r="DR56" s="70"/>
      <c r="DS56" s="70"/>
      <c r="DT56" s="70"/>
      <c r="DU56" s="70"/>
      <c r="DV56" s="70"/>
      <c r="DW56" s="70"/>
      <c r="DX56" s="70"/>
      <c r="DY56" s="70"/>
      <c r="DZ56" s="70"/>
      <c r="EA56" s="70"/>
      <c r="EB56" s="70"/>
      <c r="EC56" s="70"/>
      <c r="ED56" s="70"/>
      <c r="EE56" s="70"/>
      <c r="EF56" s="70"/>
      <c r="EG56" s="70"/>
      <c r="EH56" s="70"/>
      <c r="EI56" s="70"/>
      <c r="EJ56" s="70"/>
      <c r="EK56" s="70"/>
      <c r="EL56" s="70"/>
      <c r="EM56" s="70"/>
      <c r="EN56" s="70"/>
      <c r="EO56" s="70"/>
      <c r="EP56" s="70"/>
      <c r="EQ56" s="70"/>
      <c r="ER56" s="70"/>
      <c r="ES56" s="70"/>
      <c r="ET56" s="70"/>
      <c r="EU56" s="70"/>
      <c r="EV56" s="70"/>
      <c r="EW56" s="70"/>
      <c r="EX56" s="70"/>
      <c r="EY56" s="70"/>
      <c r="EZ56" s="70"/>
      <c r="FA56" s="70"/>
      <c r="FB56" s="70"/>
      <c r="FC56" s="70"/>
      <c r="FD56" s="70"/>
      <c r="FE56" s="70"/>
      <c r="FF56" s="70"/>
      <c r="FG56" s="70"/>
      <c r="FH56" s="70"/>
      <c r="FI56" s="70"/>
      <c r="FJ56" s="70"/>
      <c r="FK56" s="70"/>
      <c r="FL56" s="70"/>
      <c r="FM56" s="70"/>
      <c r="FN56" s="70"/>
      <c r="FO56" s="70"/>
      <c r="FP56" s="70"/>
      <c r="FQ56" s="70"/>
      <c r="FR56" s="70"/>
      <c r="FS56" s="70"/>
      <c r="FT56" s="70"/>
      <c r="FU56" s="70"/>
      <c r="FV56" s="70"/>
      <c r="FW56" s="70"/>
      <c r="FX56" s="70"/>
      <c r="FY56" s="70"/>
      <c r="FZ56" s="70"/>
      <c r="GA56" s="70"/>
      <c r="GB56" s="70"/>
      <c r="GC56" s="70"/>
      <c r="GD56" s="70"/>
      <c r="GE56" s="70"/>
      <c r="GF56" s="70"/>
      <c r="GG56" s="70"/>
      <c r="GH56" s="70"/>
      <c r="GI56" s="70"/>
      <c r="GJ56" s="70"/>
    </row>
    <row r="57" spans="1:192" ht="13">
      <c r="A57" s="1096"/>
      <c r="B57" s="1052"/>
      <c r="C57" s="1082"/>
      <c r="D57" s="1183"/>
      <c r="E57" s="1210"/>
      <c r="F57" s="1052"/>
      <c r="G57" s="1052"/>
      <c r="H57" s="1052"/>
      <c r="I57" s="1082"/>
      <c r="J57" s="1210"/>
      <c r="K57" s="468"/>
      <c r="L57" s="813"/>
      <c r="M57" s="809">
        <v>6592500</v>
      </c>
      <c r="N57" s="1052"/>
      <c r="O57" s="814"/>
      <c r="P57" s="707"/>
      <c r="Q57" s="707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70"/>
      <c r="AX57" s="70"/>
      <c r="AY57" s="70"/>
      <c r="AZ57" s="70"/>
      <c r="BA57" s="70"/>
      <c r="BB57" s="70"/>
      <c r="BC57" s="70"/>
      <c r="BD57" s="70"/>
      <c r="BE57" s="70"/>
      <c r="BF57" s="70"/>
      <c r="BG57" s="70"/>
      <c r="BH57" s="70"/>
      <c r="BI57" s="70"/>
      <c r="BJ57" s="70"/>
      <c r="BK57" s="70"/>
      <c r="BL57" s="70"/>
      <c r="BM57" s="70"/>
      <c r="BN57" s="70"/>
      <c r="BO57" s="70"/>
      <c r="BP57" s="70"/>
      <c r="BQ57" s="70"/>
      <c r="BR57" s="70"/>
      <c r="BS57" s="70"/>
      <c r="BT57" s="70"/>
      <c r="BU57" s="70"/>
      <c r="BV57" s="70"/>
      <c r="BW57" s="70"/>
      <c r="BX57" s="70"/>
      <c r="BY57" s="70"/>
      <c r="BZ57" s="70"/>
      <c r="CA57" s="70"/>
      <c r="CB57" s="70"/>
      <c r="CC57" s="70"/>
      <c r="CD57" s="70"/>
      <c r="CE57" s="70"/>
      <c r="CF57" s="70"/>
      <c r="CG57" s="70"/>
      <c r="CH57" s="70"/>
      <c r="CI57" s="70"/>
      <c r="CJ57" s="70"/>
      <c r="CK57" s="70"/>
      <c r="CL57" s="70"/>
      <c r="CM57" s="70"/>
      <c r="CN57" s="70"/>
      <c r="CO57" s="70"/>
      <c r="CP57" s="70"/>
      <c r="CQ57" s="70"/>
      <c r="CR57" s="70"/>
      <c r="CS57" s="70"/>
      <c r="CT57" s="70"/>
      <c r="CU57" s="70"/>
      <c r="CV57" s="70"/>
      <c r="CW57" s="70"/>
      <c r="CX57" s="70"/>
      <c r="CY57" s="70"/>
      <c r="CZ57" s="70"/>
      <c r="DA57" s="70"/>
      <c r="DB57" s="70"/>
      <c r="DC57" s="70"/>
      <c r="DD57" s="70"/>
      <c r="DE57" s="70"/>
      <c r="DF57" s="70"/>
      <c r="DG57" s="70"/>
      <c r="DH57" s="70"/>
      <c r="DI57" s="70"/>
      <c r="DJ57" s="70"/>
      <c r="DK57" s="70"/>
      <c r="DL57" s="70"/>
      <c r="DM57" s="70"/>
      <c r="DN57" s="70"/>
      <c r="DO57" s="70"/>
      <c r="DP57" s="70"/>
      <c r="DQ57" s="70"/>
      <c r="DR57" s="70"/>
      <c r="DS57" s="70"/>
      <c r="DT57" s="70"/>
      <c r="DU57" s="70"/>
      <c r="DV57" s="70"/>
      <c r="DW57" s="70"/>
      <c r="DX57" s="70"/>
      <c r="DY57" s="70"/>
      <c r="DZ57" s="70"/>
      <c r="EA57" s="70"/>
      <c r="EB57" s="70"/>
      <c r="EC57" s="70"/>
      <c r="ED57" s="70"/>
      <c r="EE57" s="70"/>
      <c r="EF57" s="70"/>
      <c r="EG57" s="70"/>
      <c r="EH57" s="70"/>
      <c r="EI57" s="70"/>
      <c r="EJ57" s="70"/>
      <c r="EK57" s="70"/>
      <c r="EL57" s="70"/>
      <c r="EM57" s="70"/>
      <c r="EN57" s="70"/>
      <c r="EO57" s="70"/>
      <c r="EP57" s="70"/>
      <c r="EQ57" s="70"/>
      <c r="ER57" s="70"/>
      <c r="ES57" s="70"/>
      <c r="ET57" s="70"/>
      <c r="EU57" s="70"/>
      <c r="EV57" s="70"/>
      <c r="EW57" s="70"/>
      <c r="EX57" s="70"/>
      <c r="EY57" s="70"/>
      <c r="EZ57" s="70"/>
      <c r="FA57" s="70"/>
      <c r="FB57" s="70"/>
      <c r="FC57" s="70"/>
      <c r="FD57" s="70"/>
      <c r="FE57" s="70"/>
      <c r="FF57" s="70"/>
      <c r="FG57" s="70"/>
      <c r="FH57" s="70"/>
      <c r="FI57" s="70"/>
      <c r="FJ57" s="70"/>
      <c r="FK57" s="70"/>
      <c r="FL57" s="70"/>
      <c r="FM57" s="70"/>
      <c r="FN57" s="70"/>
      <c r="FO57" s="70"/>
      <c r="FP57" s="70"/>
      <c r="FQ57" s="70"/>
      <c r="FR57" s="70"/>
      <c r="FS57" s="70"/>
      <c r="FT57" s="70"/>
      <c r="FU57" s="70"/>
      <c r="FV57" s="70"/>
      <c r="FW57" s="70"/>
      <c r="FX57" s="70"/>
      <c r="FY57" s="70"/>
      <c r="FZ57" s="70"/>
      <c r="GA57" s="70"/>
      <c r="GB57" s="70"/>
      <c r="GC57" s="70"/>
      <c r="GD57" s="70"/>
      <c r="GE57" s="70"/>
      <c r="GF57" s="70"/>
      <c r="GG57" s="70"/>
      <c r="GH57" s="70"/>
      <c r="GI57" s="70"/>
      <c r="GJ57" s="70"/>
    </row>
    <row r="58" spans="1:192" ht="13">
      <c r="A58" s="24"/>
      <c r="B58" s="806" t="s">
        <v>516</v>
      </c>
      <c r="C58" s="762" t="s">
        <v>14992</v>
      </c>
      <c r="D58" s="699" t="s">
        <v>14993</v>
      </c>
      <c r="E58" s="700" t="s">
        <v>1541</v>
      </c>
      <c r="F58" s="228" t="s">
        <v>14863</v>
      </c>
      <c r="G58" s="701" t="s">
        <v>14994</v>
      </c>
      <c r="H58" s="732">
        <v>44578</v>
      </c>
      <c r="I58" s="733">
        <v>46568</v>
      </c>
      <c r="J58" s="734">
        <v>3100000</v>
      </c>
      <c r="K58" s="703"/>
      <c r="L58" s="228" t="s">
        <v>1433</v>
      </c>
      <c r="M58" s="780">
        <v>3100000</v>
      </c>
      <c r="N58" s="706" t="s">
        <v>14995</v>
      </c>
      <c r="O58" s="815" t="str">
        <f>O21</f>
        <v>ART241130김태훈0932</v>
      </c>
      <c r="P58" s="707"/>
      <c r="Q58" s="707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70"/>
      <c r="AX58" s="70"/>
      <c r="AY58" s="70"/>
      <c r="AZ58" s="70"/>
      <c r="BA58" s="70"/>
      <c r="BB58" s="70"/>
      <c r="BC58" s="70"/>
      <c r="BD58" s="70"/>
      <c r="BE58" s="70"/>
      <c r="BF58" s="70"/>
      <c r="BG58" s="70"/>
      <c r="BH58" s="70"/>
      <c r="BI58" s="70"/>
      <c r="BJ58" s="70"/>
      <c r="BK58" s="70"/>
      <c r="BL58" s="70"/>
      <c r="BM58" s="70"/>
      <c r="BN58" s="70"/>
      <c r="BO58" s="70"/>
      <c r="BP58" s="70"/>
      <c r="BQ58" s="70"/>
      <c r="BR58" s="70"/>
      <c r="BS58" s="70"/>
      <c r="BT58" s="70"/>
      <c r="BU58" s="70"/>
      <c r="BV58" s="70"/>
      <c r="BW58" s="70"/>
      <c r="BX58" s="70"/>
      <c r="BY58" s="70"/>
      <c r="BZ58" s="70"/>
      <c r="CA58" s="70"/>
      <c r="CB58" s="70"/>
      <c r="CC58" s="70"/>
      <c r="CD58" s="70"/>
      <c r="CE58" s="70"/>
      <c r="CF58" s="70"/>
      <c r="CG58" s="70"/>
      <c r="CH58" s="70"/>
      <c r="CI58" s="70"/>
      <c r="CJ58" s="70"/>
      <c r="CK58" s="70"/>
      <c r="CL58" s="70"/>
      <c r="CM58" s="70"/>
      <c r="CN58" s="70"/>
      <c r="CO58" s="70"/>
      <c r="CP58" s="70"/>
      <c r="CQ58" s="70"/>
      <c r="CR58" s="70"/>
      <c r="CS58" s="70"/>
      <c r="CT58" s="70"/>
      <c r="CU58" s="70"/>
      <c r="CV58" s="70"/>
      <c r="CW58" s="70"/>
      <c r="CX58" s="70"/>
      <c r="CY58" s="70"/>
      <c r="CZ58" s="70"/>
      <c r="DA58" s="70"/>
      <c r="DB58" s="70"/>
      <c r="DC58" s="70"/>
      <c r="DD58" s="70"/>
      <c r="DE58" s="70"/>
      <c r="DF58" s="70"/>
      <c r="DG58" s="70"/>
      <c r="DH58" s="70"/>
      <c r="DI58" s="70"/>
      <c r="DJ58" s="70"/>
      <c r="DK58" s="70"/>
      <c r="DL58" s="70"/>
      <c r="DM58" s="70"/>
      <c r="DN58" s="70"/>
      <c r="DO58" s="70"/>
      <c r="DP58" s="70"/>
      <c r="DQ58" s="70"/>
      <c r="DR58" s="70"/>
      <c r="DS58" s="70"/>
      <c r="DT58" s="70"/>
      <c r="DU58" s="70"/>
      <c r="DV58" s="70"/>
      <c r="DW58" s="70"/>
      <c r="DX58" s="70"/>
      <c r="DY58" s="70"/>
      <c r="DZ58" s="70"/>
      <c r="EA58" s="70"/>
      <c r="EB58" s="70"/>
      <c r="EC58" s="70"/>
      <c r="ED58" s="70"/>
      <c r="EE58" s="70"/>
      <c r="EF58" s="70"/>
      <c r="EG58" s="70"/>
      <c r="EH58" s="70"/>
      <c r="EI58" s="70"/>
      <c r="EJ58" s="70"/>
      <c r="EK58" s="70"/>
      <c r="EL58" s="70"/>
      <c r="EM58" s="70"/>
      <c r="EN58" s="70"/>
      <c r="EO58" s="70"/>
      <c r="EP58" s="70"/>
      <c r="EQ58" s="70"/>
      <c r="ER58" s="70"/>
      <c r="ES58" s="70"/>
      <c r="ET58" s="70"/>
      <c r="EU58" s="70"/>
      <c r="EV58" s="70"/>
      <c r="EW58" s="70"/>
      <c r="EX58" s="70"/>
      <c r="EY58" s="70"/>
      <c r="EZ58" s="70"/>
      <c r="FA58" s="70"/>
      <c r="FB58" s="70"/>
      <c r="FC58" s="70"/>
      <c r="FD58" s="70"/>
      <c r="FE58" s="70"/>
      <c r="FF58" s="70"/>
      <c r="FG58" s="70"/>
      <c r="FH58" s="70"/>
      <c r="FI58" s="70"/>
      <c r="FJ58" s="70"/>
      <c r="FK58" s="70"/>
      <c r="FL58" s="70"/>
      <c r="FM58" s="70"/>
      <c r="FN58" s="70"/>
      <c r="FO58" s="70"/>
      <c r="FP58" s="70"/>
      <c r="FQ58" s="70"/>
      <c r="FR58" s="70"/>
      <c r="FS58" s="70"/>
      <c r="FT58" s="70"/>
      <c r="FU58" s="70"/>
      <c r="FV58" s="70"/>
      <c r="FW58" s="70"/>
      <c r="FX58" s="70"/>
      <c r="FY58" s="70"/>
      <c r="FZ58" s="70"/>
      <c r="GA58" s="70"/>
      <c r="GB58" s="70"/>
      <c r="GC58" s="70"/>
      <c r="GD58" s="70"/>
      <c r="GE58" s="70"/>
      <c r="GF58" s="70"/>
      <c r="GG58" s="70"/>
      <c r="GH58" s="70"/>
      <c r="GI58" s="475"/>
      <c r="GJ58" s="475"/>
    </row>
    <row r="59" spans="1:192" ht="13">
      <c r="A59" s="24"/>
      <c r="B59" s="54" t="s">
        <v>14996</v>
      </c>
      <c r="C59" s="762" t="s">
        <v>14997</v>
      </c>
      <c r="D59" s="699" t="s">
        <v>14998</v>
      </c>
      <c r="E59" s="700" t="s">
        <v>1541</v>
      </c>
      <c r="F59" s="228" t="s">
        <v>14999</v>
      </c>
      <c r="G59" s="701" t="s">
        <v>15000</v>
      </c>
      <c r="H59" s="732">
        <v>45383</v>
      </c>
      <c r="I59" s="733">
        <v>45747</v>
      </c>
      <c r="J59" s="816">
        <v>1666700</v>
      </c>
      <c r="K59" s="703"/>
      <c r="L59" s="228" t="s">
        <v>10639</v>
      </c>
      <c r="M59" s="780">
        <v>1666700</v>
      </c>
      <c r="N59" s="706" t="s">
        <v>15001</v>
      </c>
      <c r="O59" s="736" t="str">
        <f>'(AR)인프라사업팀'!K4</f>
        <v xml:space="preserve">ART241130김행주1421
                </v>
      </c>
      <c r="P59" s="707"/>
      <c r="Q59" s="707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/>
      <c r="AV59" s="70"/>
      <c r="AW59" s="70"/>
      <c r="AX59" s="70"/>
      <c r="AY59" s="70"/>
      <c r="AZ59" s="70"/>
      <c r="BA59" s="70"/>
      <c r="BB59" s="70"/>
      <c r="BC59" s="70"/>
      <c r="BD59" s="70"/>
      <c r="BE59" s="70"/>
      <c r="BF59" s="70"/>
      <c r="BG59" s="70"/>
      <c r="BH59" s="70"/>
      <c r="BI59" s="70"/>
      <c r="BJ59" s="70"/>
      <c r="BK59" s="70"/>
      <c r="BL59" s="70"/>
      <c r="BM59" s="70"/>
      <c r="BN59" s="70"/>
      <c r="BO59" s="70"/>
      <c r="BP59" s="70"/>
      <c r="BQ59" s="70"/>
      <c r="BR59" s="70"/>
      <c r="BS59" s="70"/>
      <c r="BT59" s="70"/>
      <c r="BU59" s="70"/>
      <c r="BV59" s="70"/>
      <c r="BW59" s="70"/>
      <c r="BX59" s="70"/>
      <c r="BY59" s="70"/>
      <c r="BZ59" s="70"/>
      <c r="CA59" s="70"/>
      <c r="CB59" s="70"/>
      <c r="CC59" s="70"/>
      <c r="CD59" s="70"/>
      <c r="CE59" s="70"/>
      <c r="CF59" s="70"/>
      <c r="CG59" s="70"/>
      <c r="CH59" s="70"/>
      <c r="CI59" s="70"/>
      <c r="CJ59" s="70"/>
      <c r="CK59" s="70"/>
      <c r="CL59" s="70"/>
      <c r="CM59" s="70"/>
      <c r="CN59" s="70"/>
      <c r="CO59" s="70"/>
      <c r="CP59" s="70"/>
      <c r="CQ59" s="70"/>
      <c r="CR59" s="70"/>
      <c r="CS59" s="70"/>
      <c r="CT59" s="70"/>
      <c r="CU59" s="70"/>
      <c r="CV59" s="70"/>
      <c r="CW59" s="70"/>
      <c r="CX59" s="70"/>
      <c r="CY59" s="70"/>
      <c r="CZ59" s="70"/>
      <c r="DA59" s="70"/>
      <c r="DB59" s="70"/>
      <c r="DC59" s="70"/>
      <c r="DD59" s="70"/>
      <c r="DE59" s="70"/>
      <c r="DF59" s="70"/>
      <c r="DG59" s="70"/>
      <c r="DH59" s="70"/>
      <c r="DI59" s="70"/>
      <c r="DJ59" s="70"/>
      <c r="DK59" s="70"/>
      <c r="DL59" s="70"/>
      <c r="DM59" s="70"/>
      <c r="DN59" s="70"/>
      <c r="DO59" s="70"/>
      <c r="DP59" s="70"/>
      <c r="DQ59" s="70"/>
      <c r="DR59" s="70"/>
      <c r="DS59" s="70"/>
      <c r="DT59" s="70"/>
      <c r="DU59" s="70"/>
      <c r="DV59" s="70"/>
      <c r="DW59" s="70"/>
      <c r="DX59" s="70"/>
      <c r="DY59" s="70"/>
      <c r="DZ59" s="70"/>
      <c r="EA59" s="70"/>
      <c r="EB59" s="70"/>
      <c r="EC59" s="70"/>
      <c r="ED59" s="70"/>
      <c r="EE59" s="70"/>
      <c r="EF59" s="70"/>
      <c r="EG59" s="70"/>
      <c r="EH59" s="70"/>
      <c r="EI59" s="70"/>
      <c r="EJ59" s="70"/>
      <c r="EK59" s="70"/>
      <c r="EL59" s="70"/>
      <c r="EM59" s="70"/>
      <c r="EN59" s="70"/>
      <c r="EO59" s="70"/>
      <c r="EP59" s="70"/>
      <c r="EQ59" s="70"/>
      <c r="ER59" s="70"/>
      <c r="ES59" s="70"/>
      <c r="ET59" s="70"/>
      <c r="EU59" s="70"/>
      <c r="EV59" s="70"/>
      <c r="EW59" s="70"/>
      <c r="EX59" s="70"/>
      <c r="EY59" s="70"/>
      <c r="EZ59" s="70"/>
      <c r="FA59" s="70"/>
      <c r="FB59" s="70"/>
      <c r="FC59" s="70"/>
      <c r="FD59" s="70"/>
      <c r="FE59" s="70"/>
      <c r="FF59" s="70"/>
      <c r="FG59" s="70"/>
      <c r="FH59" s="70"/>
      <c r="FI59" s="70"/>
      <c r="FJ59" s="70"/>
      <c r="FK59" s="70"/>
      <c r="FL59" s="70"/>
      <c r="FM59" s="70"/>
      <c r="FN59" s="70"/>
      <c r="FO59" s="70"/>
      <c r="FP59" s="70"/>
      <c r="FQ59" s="70"/>
      <c r="FR59" s="70"/>
      <c r="FS59" s="70"/>
      <c r="FT59" s="70"/>
      <c r="FU59" s="70"/>
      <c r="FV59" s="70"/>
      <c r="FW59" s="70"/>
      <c r="FX59" s="70"/>
      <c r="FY59" s="70"/>
      <c r="FZ59" s="70"/>
      <c r="GA59" s="70"/>
      <c r="GB59" s="70"/>
      <c r="GC59" s="70"/>
      <c r="GD59" s="70"/>
      <c r="GE59" s="70"/>
      <c r="GF59" s="70"/>
      <c r="GG59" s="70"/>
      <c r="GH59" s="70"/>
      <c r="GI59" s="475"/>
      <c r="GJ59" s="475"/>
    </row>
    <row r="60" spans="1:192" ht="13">
      <c r="A60" s="24"/>
      <c r="B60" s="806" t="s">
        <v>516</v>
      </c>
      <c r="C60" s="762" t="s">
        <v>15002</v>
      </c>
      <c r="D60" s="699" t="s">
        <v>15003</v>
      </c>
      <c r="E60" s="700" t="s">
        <v>1541</v>
      </c>
      <c r="F60" s="228" t="s">
        <v>15004</v>
      </c>
      <c r="G60" s="701" t="s">
        <v>15005</v>
      </c>
      <c r="H60" s="732">
        <v>45323</v>
      </c>
      <c r="I60" s="733">
        <v>45688</v>
      </c>
      <c r="J60" s="734">
        <v>6355000</v>
      </c>
      <c r="K60" s="703"/>
      <c r="L60" s="228" t="s">
        <v>240</v>
      </c>
      <c r="M60" s="780">
        <v>6355000</v>
      </c>
      <c r="N60" s="706" t="s">
        <v>15006</v>
      </c>
      <c r="O60" s="790" t="str">
        <f>'(AR)인프라사업팀'!K55</f>
        <v>ART241130이수임1732</v>
      </c>
      <c r="P60" s="707"/>
      <c r="Q60" s="707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70"/>
      <c r="AX60" s="70"/>
      <c r="AY60" s="70"/>
      <c r="AZ60" s="70"/>
      <c r="BA60" s="70"/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70"/>
      <c r="BR60" s="70"/>
      <c r="BS60" s="70"/>
      <c r="BT60" s="70"/>
      <c r="BU60" s="70"/>
      <c r="BV60" s="70"/>
      <c r="BW60" s="70"/>
      <c r="BX60" s="70"/>
      <c r="BY60" s="70"/>
      <c r="BZ60" s="70"/>
      <c r="CA60" s="70"/>
      <c r="CB60" s="70"/>
      <c r="CC60" s="70"/>
      <c r="CD60" s="70"/>
      <c r="CE60" s="70"/>
      <c r="CF60" s="70"/>
      <c r="CG60" s="70"/>
      <c r="CH60" s="70"/>
      <c r="CI60" s="70"/>
      <c r="CJ60" s="70"/>
      <c r="CK60" s="70"/>
      <c r="CL60" s="70"/>
      <c r="CM60" s="70"/>
      <c r="CN60" s="70"/>
      <c r="CO60" s="70"/>
      <c r="CP60" s="70"/>
      <c r="CQ60" s="70"/>
      <c r="CR60" s="70"/>
      <c r="CS60" s="70"/>
      <c r="CT60" s="70"/>
      <c r="CU60" s="70"/>
      <c r="CV60" s="70"/>
      <c r="CW60" s="70"/>
      <c r="CX60" s="70"/>
      <c r="CY60" s="70"/>
      <c r="CZ60" s="70"/>
      <c r="DA60" s="70"/>
      <c r="DB60" s="70"/>
      <c r="DC60" s="70"/>
      <c r="DD60" s="70"/>
      <c r="DE60" s="70"/>
      <c r="DF60" s="70"/>
      <c r="DG60" s="70"/>
      <c r="DH60" s="70"/>
      <c r="DI60" s="70"/>
      <c r="DJ60" s="70"/>
      <c r="DK60" s="70"/>
      <c r="DL60" s="70"/>
      <c r="DM60" s="70"/>
      <c r="DN60" s="70"/>
      <c r="DO60" s="70"/>
      <c r="DP60" s="70"/>
      <c r="DQ60" s="70"/>
      <c r="DR60" s="70"/>
      <c r="DS60" s="70"/>
      <c r="DT60" s="70"/>
      <c r="DU60" s="70"/>
      <c r="DV60" s="70"/>
      <c r="DW60" s="70"/>
      <c r="DX60" s="70"/>
      <c r="DY60" s="70"/>
      <c r="DZ60" s="70"/>
      <c r="EA60" s="70"/>
      <c r="EB60" s="70"/>
      <c r="EC60" s="70"/>
      <c r="ED60" s="70"/>
      <c r="EE60" s="70"/>
      <c r="EF60" s="70"/>
      <c r="EG60" s="70"/>
      <c r="EH60" s="70"/>
      <c r="EI60" s="70"/>
      <c r="EJ60" s="70"/>
      <c r="EK60" s="70"/>
      <c r="EL60" s="70"/>
      <c r="EM60" s="70"/>
      <c r="EN60" s="70"/>
      <c r="EO60" s="70"/>
      <c r="EP60" s="70"/>
      <c r="EQ60" s="70"/>
      <c r="ER60" s="70"/>
      <c r="ES60" s="70"/>
      <c r="ET60" s="70"/>
      <c r="EU60" s="70"/>
      <c r="EV60" s="70"/>
      <c r="EW60" s="70"/>
      <c r="EX60" s="70"/>
      <c r="EY60" s="70"/>
      <c r="EZ60" s="70"/>
      <c r="FA60" s="70"/>
      <c r="FB60" s="70"/>
      <c r="FC60" s="70"/>
      <c r="FD60" s="70"/>
      <c r="FE60" s="70"/>
      <c r="FF60" s="70"/>
      <c r="FG60" s="70"/>
      <c r="FH60" s="70"/>
      <c r="FI60" s="70"/>
      <c r="FJ60" s="70"/>
      <c r="FK60" s="70"/>
      <c r="FL60" s="70"/>
      <c r="FM60" s="70"/>
      <c r="FN60" s="70"/>
      <c r="FO60" s="70"/>
      <c r="FP60" s="70"/>
      <c r="FQ60" s="70"/>
      <c r="FR60" s="70"/>
      <c r="FS60" s="70"/>
      <c r="FT60" s="70"/>
      <c r="FU60" s="70"/>
      <c r="FV60" s="70"/>
      <c r="FW60" s="70"/>
      <c r="FX60" s="70"/>
      <c r="FY60" s="70"/>
      <c r="FZ60" s="70"/>
      <c r="GA60" s="70"/>
      <c r="GB60" s="70"/>
      <c r="GC60" s="70"/>
      <c r="GD60" s="70"/>
      <c r="GE60" s="70"/>
      <c r="GF60" s="70"/>
      <c r="GG60" s="70"/>
      <c r="GH60" s="70"/>
      <c r="GI60" s="475"/>
      <c r="GJ60" s="475"/>
    </row>
    <row r="61" spans="1:192" ht="13">
      <c r="A61" s="1050"/>
      <c r="B61" s="1205" t="s">
        <v>14936</v>
      </c>
      <c r="C61" s="1206" t="s">
        <v>15007</v>
      </c>
      <c r="D61" s="1207" t="s">
        <v>15008</v>
      </c>
      <c r="E61" s="1208" t="s">
        <v>1541</v>
      </c>
      <c r="F61" s="1050" t="s">
        <v>15004</v>
      </c>
      <c r="G61" s="1211" t="s">
        <v>15009</v>
      </c>
      <c r="H61" s="1215">
        <v>45413</v>
      </c>
      <c r="I61" s="1216">
        <v>45777</v>
      </c>
      <c r="J61" s="1203">
        <v>784150</v>
      </c>
      <c r="K61" s="703" t="s">
        <v>15010</v>
      </c>
      <c r="L61" s="228" t="s">
        <v>172</v>
      </c>
      <c r="M61" s="780">
        <v>83330</v>
      </c>
      <c r="N61" s="1204" t="s">
        <v>15011</v>
      </c>
      <c r="O61" s="156"/>
      <c r="P61" s="707"/>
      <c r="Q61" s="707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  <c r="BM61" s="70"/>
      <c r="BN61" s="70"/>
      <c r="BO61" s="70"/>
      <c r="BP61" s="70"/>
      <c r="BQ61" s="70"/>
      <c r="BR61" s="70"/>
      <c r="BS61" s="70"/>
      <c r="BT61" s="70"/>
      <c r="BU61" s="70"/>
      <c r="BV61" s="70"/>
      <c r="BW61" s="70"/>
      <c r="BX61" s="70"/>
      <c r="BY61" s="70"/>
      <c r="BZ61" s="70"/>
      <c r="CA61" s="70"/>
      <c r="CB61" s="70"/>
      <c r="CC61" s="70"/>
      <c r="CD61" s="70"/>
      <c r="CE61" s="70"/>
      <c r="CF61" s="70"/>
      <c r="CG61" s="70"/>
      <c r="CH61" s="70"/>
      <c r="CI61" s="70"/>
      <c r="CJ61" s="70"/>
      <c r="CK61" s="70"/>
      <c r="CL61" s="70"/>
      <c r="CM61" s="70"/>
      <c r="CN61" s="70"/>
      <c r="CO61" s="70"/>
      <c r="CP61" s="70"/>
      <c r="CQ61" s="70"/>
      <c r="CR61" s="70"/>
      <c r="CS61" s="70"/>
      <c r="CT61" s="70"/>
      <c r="CU61" s="70"/>
      <c r="CV61" s="70"/>
      <c r="CW61" s="70"/>
      <c r="CX61" s="70"/>
      <c r="CY61" s="70"/>
      <c r="CZ61" s="70"/>
      <c r="DA61" s="70"/>
      <c r="DB61" s="70"/>
      <c r="DC61" s="70"/>
      <c r="DD61" s="70"/>
      <c r="DE61" s="70"/>
      <c r="DF61" s="70"/>
      <c r="DG61" s="70"/>
      <c r="DH61" s="70"/>
      <c r="DI61" s="70"/>
      <c r="DJ61" s="70"/>
      <c r="DK61" s="70"/>
      <c r="DL61" s="70"/>
      <c r="DM61" s="70"/>
      <c r="DN61" s="70"/>
      <c r="DO61" s="70"/>
      <c r="DP61" s="70"/>
      <c r="DQ61" s="70"/>
      <c r="DR61" s="70"/>
      <c r="DS61" s="70"/>
      <c r="DT61" s="70"/>
      <c r="DU61" s="70"/>
      <c r="DV61" s="70"/>
      <c r="DW61" s="70"/>
      <c r="DX61" s="70"/>
      <c r="DY61" s="70"/>
      <c r="DZ61" s="70"/>
      <c r="EA61" s="70"/>
      <c r="EB61" s="70"/>
      <c r="EC61" s="70"/>
      <c r="ED61" s="70"/>
      <c r="EE61" s="70"/>
      <c r="EF61" s="70"/>
      <c r="EG61" s="70"/>
      <c r="EH61" s="70"/>
      <c r="EI61" s="70"/>
      <c r="EJ61" s="70"/>
      <c r="EK61" s="70"/>
      <c r="EL61" s="70"/>
      <c r="EM61" s="70"/>
      <c r="EN61" s="70"/>
      <c r="EO61" s="70"/>
      <c r="EP61" s="70"/>
      <c r="EQ61" s="70"/>
      <c r="ER61" s="70"/>
      <c r="ES61" s="70"/>
      <c r="ET61" s="70"/>
      <c r="EU61" s="70"/>
      <c r="EV61" s="70"/>
      <c r="EW61" s="70"/>
      <c r="EX61" s="70"/>
      <c r="EY61" s="70"/>
      <c r="EZ61" s="70"/>
      <c r="FA61" s="70"/>
      <c r="FB61" s="70"/>
      <c r="FC61" s="70"/>
      <c r="FD61" s="70"/>
      <c r="FE61" s="70"/>
      <c r="FF61" s="70"/>
      <c r="FG61" s="70"/>
      <c r="FH61" s="70"/>
      <c r="FI61" s="70"/>
      <c r="FJ61" s="70"/>
      <c r="FK61" s="70"/>
      <c r="FL61" s="70"/>
      <c r="FM61" s="70"/>
      <c r="FN61" s="70"/>
      <c r="FO61" s="70"/>
      <c r="FP61" s="70"/>
      <c r="FQ61" s="70"/>
      <c r="FR61" s="70"/>
      <c r="FS61" s="70"/>
      <c r="FT61" s="70"/>
      <c r="FU61" s="70"/>
      <c r="FV61" s="70"/>
      <c r="FW61" s="70"/>
      <c r="FX61" s="70"/>
      <c r="FY61" s="70"/>
      <c r="FZ61" s="70"/>
      <c r="GA61" s="70"/>
      <c r="GB61" s="70"/>
      <c r="GC61" s="70"/>
      <c r="GD61" s="70"/>
      <c r="GE61" s="70"/>
      <c r="GF61" s="70"/>
      <c r="GG61" s="70"/>
      <c r="GH61" s="70"/>
      <c r="GI61" s="475"/>
      <c r="GJ61" s="475"/>
    </row>
    <row r="62" spans="1:192" ht="13">
      <c r="A62" s="1051"/>
      <c r="B62" s="1051"/>
      <c r="C62" s="1143"/>
      <c r="D62" s="1182"/>
      <c r="E62" s="1209"/>
      <c r="F62" s="1051"/>
      <c r="G62" s="1095"/>
      <c r="H62" s="1095"/>
      <c r="I62" s="1106"/>
      <c r="J62" s="1182"/>
      <c r="K62" s="703" t="s">
        <v>15012</v>
      </c>
      <c r="L62" s="228" t="s">
        <v>240</v>
      </c>
      <c r="M62" s="780">
        <v>83330</v>
      </c>
      <c r="N62" s="1095"/>
      <c r="O62" s="790" t="s">
        <v>172</v>
      </c>
      <c r="P62" s="707"/>
      <c r="Q62" s="707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/>
      <c r="AV62" s="70"/>
      <c r="AW62" s="70"/>
      <c r="AX62" s="70"/>
      <c r="AY62" s="70"/>
      <c r="AZ62" s="70"/>
      <c r="BA62" s="70"/>
      <c r="BB62" s="70"/>
      <c r="BC62" s="70"/>
      <c r="BD62" s="70"/>
      <c r="BE62" s="70"/>
      <c r="BF62" s="70"/>
      <c r="BG62" s="70"/>
      <c r="BH62" s="70"/>
      <c r="BI62" s="70"/>
      <c r="BJ62" s="70"/>
      <c r="BK62" s="70"/>
      <c r="BL62" s="70"/>
      <c r="BM62" s="70"/>
      <c r="BN62" s="70"/>
      <c r="BO62" s="70"/>
      <c r="BP62" s="70"/>
      <c r="BQ62" s="70"/>
      <c r="BR62" s="70"/>
      <c r="BS62" s="70"/>
      <c r="BT62" s="70"/>
      <c r="BU62" s="70"/>
      <c r="BV62" s="70"/>
      <c r="BW62" s="70"/>
      <c r="BX62" s="70"/>
      <c r="BY62" s="70"/>
      <c r="BZ62" s="70"/>
      <c r="CA62" s="70"/>
      <c r="CB62" s="70"/>
      <c r="CC62" s="70"/>
      <c r="CD62" s="70"/>
      <c r="CE62" s="70"/>
      <c r="CF62" s="70"/>
      <c r="CG62" s="70"/>
      <c r="CH62" s="70"/>
      <c r="CI62" s="70"/>
      <c r="CJ62" s="70"/>
      <c r="CK62" s="70"/>
      <c r="CL62" s="70"/>
      <c r="CM62" s="70"/>
      <c r="CN62" s="70"/>
      <c r="CO62" s="70"/>
      <c r="CP62" s="70"/>
      <c r="CQ62" s="70"/>
      <c r="CR62" s="70"/>
      <c r="CS62" s="70"/>
      <c r="CT62" s="70"/>
      <c r="CU62" s="70"/>
      <c r="CV62" s="70"/>
      <c r="CW62" s="70"/>
      <c r="CX62" s="70"/>
      <c r="CY62" s="70"/>
      <c r="CZ62" s="70"/>
      <c r="DA62" s="70"/>
      <c r="DB62" s="70"/>
      <c r="DC62" s="70"/>
      <c r="DD62" s="70"/>
      <c r="DE62" s="70"/>
      <c r="DF62" s="70"/>
      <c r="DG62" s="70"/>
      <c r="DH62" s="70"/>
      <c r="DI62" s="70"/>
      <c r="DJ62" s="70"/>
      <c r="DK62" s="70"/>
      <c r="DL62" s="70"/>
      <c r="DM62" s="70"/>
      <c r="DN62" s="70"/>
      <c r="DO62" s="70"/>
      <c r="DP62" s="70"/>
      <c r="DQ62" s="70"/>
      <c r="DR62" s="70"/>
      <c r="DS62" s="70"/>
      <c r="DT62" s="70"/>
      <c r="DU62" s="70"/>
      <c r="DV62" s="70"/>
      <c r="DW62" s="70"/>
      <c r="DX62" s="70"/>
      <c r="DY62" s="70"/>
      <c r="DZ62" s="70"/>
      <c r="EA62" s="70"/>
      <c r="EB62" s="70"/>
      <c r="EC62" s="70"/>
      <c r="ED62" s="70"/>
      <c r="EE62" s="70"/>
      <c r="EF62" s="70"/>
      <c r="EG62" s="70"/>
      <c r="EH62" s="70"/>
      <c r="EI62" s="70"/>
      <c r="EJ62" s="70"/>
      <c r="EK62" s="70"/>
      <c r="EL62" s="70"/>
      <c r="EM62" s="70"/>
      <c r="EN62" s="70"/>
      <c r="EO62" s="70"/>
      <c r="EP62" s="70"/>
      <c r="EQ62" s="70"/>
      <c r="ER62" s="70"/>
      <c r="ES62" s="70"/>
      <c r="ET62" s="70"/>
      <c r="EU62" s="70"/>
      <c r="EV62" s="70"/>
      <c r="EW62" s="70"/>
      <c r="EX62" s="70"/>
      <c r="EY62" s="70"/>
      <c r="EZ62" s="70"/>
      <c r="FA62" s="70"/>
      <c r="FB62" s="70"/>
      <c r="FC62" s="70"/>
      <c r="FD62" s="70"/>
      <c r="FE62" s="70"/>
      <c r="FF62" s="70"/>
      <c r="FG62" s="70"/>
      <c r="FH62" s="70"/>
      <c r="FI62" s="70"/>
      <c r="FJ62" s="70"/>
      <c r="FK62" s="70"/>
      <c r="FL62" s="70"/>
      <c r="FM62" s="70"/>
      <c r="FN62" s="70"/>
      <c r="FO62" s="70"/>
      <c r="FP62" s="70"/>
      <c r="FQ62" s="70"/>
      <c r="FR62" s="70"/>
      <c r="FS62" s="70"/>
      <c r="FT62" s="70"/>
      <c r="FU62" s="70"/>
      <c r="FV62" s="70"/>
      <c r="FW62" s="70"/>
      <c r="FX62" s="70"/>
      <c r="FY62" s="70"/>
      <c r="FZ62" s="70"/>
      <c r="GA62" s="70"/>
      <c r="GB62" s="70"/>
      <c r="GC62" s="70"/>
      <c r="GD62" s="70"/>
      <c r="GE62" s="70"/>
      <c r="GF62" s="70"/>
      <c r="GG62" s="70"/>
      <c r="GH62" s="70"/>
      <c r="GI62" s="475"/>
      <c r="GJ62" s="475"/>
    </row>
    <row r="63" spans="1:192" ht="13">
      <c r="A63" s="1051"/>
      <c r="B63" s="1051"/>
      <c r="C63" s="1143"/>
      <c r="D63" s="1182"/>
      <c r="E63" s="1209"/>
      <c r="F63" s="1051"/>
      <c r="G63" s="1095"/>
      <c r="H63" s="1095"/>
      <c r="I63" s="1106"/>
      <c r="J63" s="1182"/>
      <c r="K63" s="703" t="s">
        <v>15013</v>
      </c>
      <c r="L63" s="228" t="s">
        <v>240</v>
      </c>
      <c r="M63" s="780">
        <v>135000</v>
      </c>
      <c r="N63" s="1095"/>
      <c r="O63" s="790" t="s">
        <v>240</v>
      </c>
      <c r="P63" s="707"/>
      <c r="Q63" s="707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70"/>
      <c r="AX63" s="70"/>
      <c r="AY63" s="70"/>
      <c r="AZ63" s="70"/>
      <c r="BA63" s="70"/>
      <c r="BB63" s="70"/>
      <c r="BC63" s="70"/>
      <c r="BD63" s="70"/>
      <c r="BE63" s="70"/>
      <c r="BF63" s="70"/>
      <c r="BG63" s="70"/>
      <c r="BH63" s="70"/>
      <c r="BI63" s="70"/>
      <c r="BJ63" s="70"/>
      <c r="BK63" s="70"/>
      <c r="BL63" s="70"/>
      <c r="BM63" s="70"/>
      <c r="BN63" s="70"/>
      <c r="BO63" s="70"/>
      <c r="BP63" s="70"/>
      <c r="BQ63" s="70"/>
      <c r="BR63" s="70"/>
      <c r="BS63" s="70"/>
      <c r="BT63" s="70"/>
      <c r="BU63" s="70"/>
      <c r="BV63" s="70"/>
      <c r="BW63" s="70"/>
      <c r="BX63" s="70"/>
      <c r="BY63" s="70"/>
      <c r="BZ63" s="70"/>
      <c r="CA63" s="70"/>
      <c r="CB63" s="70"/>
      <c r="CC63" s="70"/>
      <c r="CD63" s="70"/>
      <c r="CE63" s="70"/>
      <c r="CF63" s="70"/>
      <c r="CG63" s="70"/>
      <c r="CH63" s="70"/>
      <c r="CI63" s="70"/>
      <c r="CJ63" s="70"/>
      <c r="CK63" s="70"/>
      <c r="CL63" s="70"/>
      <c r="CM63" s="70"/>
      <c r="CN63" s="70"/>
      <c r="CO63" s="70"/>
      <c r="CP63" s="70"/>
      <c r="CQ63" s="70"/>
      <c r="CR63" s="70"/>
      <c r="CS63" s="70"/>
      <c r="CT63" s="70"/>
      <c r="CU63" s="70"/>
      <c r="CV63" s="70"/>
      <c r="CW63" s="70"/>
      <c r="CX63" s="70"/>
      <c r="CY63" s="70"/>
      <c r="CZ63" s="70"/>
      <c r="DA63" s="70"/>
      <c r="DB63" s="70"/>
      <c r="DC63" s="70"/>
      <c r="DD63" s="70"/>
      <c r="DE63" s="70"/>
      <c r="DF63" s="70"/>
      <c r="DG63" s="70"/>
      <c r="DH63" s="70"/>
      <c r="DI63" s="70"/>
      <c r="DJ63" s="70"/>
      <c r="DK63" s="70"/>
      <c r="DL63" s="70"/>
      <c r="DM63" s="70"/>
      <c r="DN63" s="70"/>
      <c r="DO63" s="70"/>
      <c r="DP63" s="70"/>
      <c r="DQ63" s="70"/>
      <c r="DR63" s="70"/>
      <c r="DS63" s="70"/>
      <c r="DT63" s="70"/>
      <c r="DU63" s="70"/>
      <c r="DV63" s="70"/>
      <c r="DW63" s="70"/>
      <c r="DX63" s="70"/>
      <c r="DY63" s="70"/>
      <c r="DZ63" s="70"/>
      <c r="EA63" s="70"/>
      <c r="EB63" s="70"/>
      <c r="EC63" s="70"/>
      <c r="ED63" s="70"/>
      <c r="EE63" s="70"/>
      <c r="EF63" s="70"/>
      <c r="EG63" s="70"/>
      <c r="EH63" s="70"/>
      <c r="EI63" s="70"/>
      <c r="EJ63" s="70"/>
      <c r="EK63" s="70"/>
      <c r="EL63" s="70"/>
      <c r="EM63" s="70"/>
      <c r="EN63" s="70"/>
      <c r="EO63" s="70"/>
      <c r="EP63" s="70"/>
      <c r="EQ63" s="70"/>
      <c r="ER63" s="70"/>
      <c r="ES63" s="70"/>
      <c r="ET63" s="70"/>
      <c r="EU63" s="70"/>
      <c r="EV63" s="70"/>
      <c r="EW63" s="70"/>
      <c r="EX63" s="70"/>
      <c r="EY63" s="70"/>
      <c r="EZ63" s="70"/>
      <c r="FA63" s="70"/>
      <c r="FB63" s="70"/>
      <c r="FC63" s="70"/>
      <c r="FD63" s="70"/>
      <c r="FE63" s="70"/>
      <c r="FF63" s="70"/>
      <c r="FG63" s="70"/>
      <c r="FH63" s="70"/>
      <c r="FI63" s="70"/>
      <c r="FJ63" s="70"/>
      <c r="FK63" s="70"/>
      <c r="FL63" s="70"/>
      <c r="FM63" s="70"/>
      <c r="FN63" s="70"/>
      <c r="FO63" s="70"/>
      <c r="FP63" s="70"/>
      <c r="FQ63" s="70"/>
      <c r="FR63" s="70"/>
      <c r="FS63" s="70"/>
      <c r="FT63" s="70"/>
      <c r="FU63" s="70"/>
      <c r="FV63" s="70"/>
      <c r="FW63" s="70"/>
      <c r="FX63" s="70"/>
      <c r="FY63" s="70"/>
      <c r="FZ63" s="70"/>
      <c r="GA63" s="70"/>
      <c r="GB63" s="70"/>
      <c r="GC63" s="70"/>
      <c r="GD63" s="70"/>
      <c r="GE63" s="70"/>
      <c r="GF63" s="70"/>
      <c r="GG63" s="70"/>
      <c r="GH63" s="70"/>
      <c r="GI63" s="475"/>
      <c r="GJ63" s="475"/>
    </row>
    <row r="64" spans="1:192" ht="13">
      <c r="A64" s="1051"/>
      <c r="B64" s="1051"/>
      <c r="C64" s="1143"/>
      <c r="D64" s="1182"/>
      <c r="E64" s="1209"/>
      <c r="F64" s="1051"/>
      <c r="G64" s="1095"/>
      <c r="H64" s="1095"/>
      <c r="I64" s="1106"/>
      <c r="J64" s="1182"/>
      <c r="K64" s="703" t="s">
        <v>15014</v>
      </c>
      <c r="L64" s="228" t="s">
        <v>172</v>
      </c>
      <c r="M64" s="780">
        <v>47490</v>
      </c>
      <c r="N64" s="1095"/>
      <c r="O64" s="790" t="s">
        <v>240</v>
      </c>
      <c r="P64" s="707"/>
      <c r="Q64" s="707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70"/>
      <c r="AX64" s="70"/>
      <c r="AY64" s="70"/>
      <c r="AZ64" s="70"/>
      <c r="BA64" s="70"/>
      <c r="BB64" s="70"/>
      <c r="BC64" s="70"/>
      <c r="BD64" s="70"/>
      <c r="BE64" s="70"/>
      <c r="BF64" s="70"/>
      <c r="BG64" s="70"/>
      <c r="BH64" s="70"/>
      <c r="BI64" s="70"/>
      <c r="BJ64" s="70"/>
      <c r="BK64" s="70"/>
      <c r="BL64" s="70"/>
      <c r="BM64" s="70"/>
      <c r="BN64" s="70"/>
      <c r="BO64" s="70"/>
      <c r="BP64" s="70"/>
      <c r="BQ64" s="70"/>
      <c r="BR64" s="70"/>
      <c r="BS64" s="70"/>
      <c r="BT64" s="70"/>
      <c r="BU64" s="70"/>
      <c r="BV64" s="70"/>
      <c r="BW64" s="70"/>
      <c r="BX64" s="70"/>
      <c r="BY64" s="70"/>
      <c r="BZ64" s="70"/>
      <c r="CA64" s="70"/>
      <c r="CB64" s="70"/>
      <c r="CC64" s="70"/>
      <c r="CD64" s="70"/>
      <c r="CE64" s="70"/>
      <c r="CF64" s="70"/>
      <c r="CG64" s="70"/>
      <c r="CH64" s="70"/>
      <c r="CI64" s="70"/>
      <c r="CJ64" s="70"/>
      <c r="CK64" s="70"/>
      <c r="CL64" s="70"/>
      <c r="CM64" s="70"/>
      <c r="CN64" s="70"/>
      <c r="CO64" s="70"/>
      <c r="CP64" s="70"/>
      <c r="CQ64" s="70"/>
      <c r="CR64" s="70"/>
      <c r="CS64" s="70"/>
      <c r="CT64" s="70"/>
      <c r="CU64" s="70"/>
      <c r="CV64" s="70"/>
      <c r="CW64" s="70"/>
      <c r="CX64" s="70"/>
      <c r="CY64" s="70"/>
      <c r="CZ64" s="70"/>
      <c r="DA64" s="70"/>
      <c r="DB64" s="70"/>
      <c r="DC64" s="70"/>
      <c r="DD64" s="70"/>
      <c r="DE64" s="70"/>
      <c r="DF64" s="70"/>
      <c r="DG64" s="70"/>
      <c r="DH64" s="70"/>
      <c r="DI64" s="70"/>
      <c r="DJ64" s="70"/>
      <c r="DK64" s="70"/>
      <c r="DL64" s="70"/>
      <c r="DM64" s="70"/>
      <c r="DN64" s="70"/>
      <c r="DO64" s="70"/>
      <c r="DP64" s="70"/>
      <c r="DQ64" s="70"/>
      <c r="DR64" s="70"/>
      <c r="DS64" s="70"/>
      <c r="DT64" s="70"/>
      <c r="DU64" s="70"/>
      <c r="DV64" s="70"/>
      <c r="DW64" s="70"/>
      <c r="DX64" s="70"/>
      <c r="DY64" s="70"/>
      <c r="DZ64" s="70"/>
      <c r="EA64" s="70"/>
      <c r="EB64" s="70"/>
      <c r="EC64" s="70"/>
      <c r="ED64" s="70"/>
      <c r="EE64" s="70"/>
      <c r="EF64" s="70"/>
      <c r="EG64" s="70"/>
      <c r="EH64" s="70"/>
      <c r="EI64" s="70"/>
      <c r="EJ64" s="70"/>
      <c r="EK64" s="70"/>
      <c r="EL64" s="70"/>
      <c r="EM64" s="70"/>
      <c r="EN64" s="70"/>
      <c r="EO64" s="70"/>
      <c r="EP64" s="70"/>
      <c r="EQ64" s="70"/>
      <c r="ER64" s="70"/>
      <c r="ES64" s="70"/>
      <c r="ET64" s="70"/>
      <c r="EU64" s="70"/>
      <c r="EV64" s="70"/>
      <c r="EW64" s="70"/>
      <c r="EX64" s="70"/>
      <c r="EY64" s="70"/>
      <c r="EZ64" s="70"/>
      <c r="FA64" s="70"/>
      <c r="FB64" s="70"/>
      <c r="FC64" s="70"/>
      <c r="FD64" s="70"/>
      <c r="FE64" s="70"/>
      <c r="FF64" s="70"/>
      <c r="FG64" s="70"/>
      <c r="FH64" s="70"/>
      <c r="FI64" s="70"/>
      <c r="FJ64" s="70"/>
      <c r="FK64" s="70"/>
      <c r="FL64" s="70"/>
      <c r="FM64" s="70"/>
      <c r="FN64" s="70"/>
      <c r="FO64" s="70"/>
      <c r="FP64" s="70"/>
      <c r="FQ64" s="70"/>
      <c r="FR64" s="70"/>
      <c r="FS64" s="70"/>
      <c r="FT64" s="70"/>
      <c r="FU64" s="70"/>
      <c r="FV64" s="70"/>
      <c r="FW64" s="70"/>
      <c r="FX64" s="70"/>
      <c r="FY64" s="70"/>
      <c r="FZ64" s="70"/>
      <c r="GA64" s="70"/>
      <c r="GB64" s="70"/>
      <c r="GC64" s="70"/>
      <c r="GD64" s="70"/>
      <c r="GE64" s="70"/>
      <c r="GF64" s="70"/>
      <c r="GG64" s="70"/>
      <c r="GH64" s="70"/>
      <c r="GI64" s="475"/>
      <c r="GJ64" s="475"/>
    </row>
    <row r="65" spans="1:192" ht="13">
      <c r="A65" s="1051"/>
      <c r="B65" s="1051"/>
      <c r="C65" s="1143"/>
      <c r="D65" s="1182"/>
      <c r="E65" s="1209"/>
      <c r="F65" s="1051"/>
      <c r="G65" s="1095"/>
      <c r="H65" s="1095"/>
      <c r="I65" s="1106"/>
      <c r="J65" s="1182"/>
      <c r="K65" s="703" t="s">
        <v>15015</v>
      </c>
      <c r="L65" s="228" t="s">
        <v>172</v>
      </c>
      <c r="M65" s="780">
        <v>135000</v>
      </c>
      <c r="N65" s="1095"/>
      <c r="O65" s="790" t="s">
        <v>172</v>
      </c>
      <c r="P65" s="707"/>
      <c r="Q65" s="707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70"/>
      <c r="AX65" s="70"/>
      <c r="AY65" s="70"/>
      <c r="AZ65" s="70"/>
      <c r="BA65" s="70"/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70"/>
      <c r="BR65" s="70"/>
      <c r="BS65" s="70"/>
      <c r="BT65" s="70"/>
      <c r="BU65" s="70"/>
      <c r="BV65" s="70"/>
      <c r="BW65" s="70"/>
      <c r="BX65" s="70"/>
      <c r="BY65" s="70"/>
      <c r="BZ65" s="70"/>
      <c r="CA65" s="70"/>
      <c r="CB65" s="70"/>
      <c r="CC65" s="70"/>
      <c r="CD65" s="70"/>
      <c r="CE65" s="70"/>
      <c r="CF65" s="70"/>
      <c r="CG65" s="70"/>
      <c r="CH65" s="70"/>
      <c r="CI65" s="70"/>
      <c r="CJ65" s="70"/>
      <c r="CK65" s="70"/>
      <c r="CL65" s="70"/>
      <c r="CM65" s="70"/>
      <c r="CN65" s="70"/>
      <c r="CO65" s="70"/>
      <c r="CP65" s="70"/>
      <c r="CQ65" s="70"/>
      <c r="CR65" s="70"/>
      <c r="CS65" s="70"/>
      <c r="CT65" s="70"/>
      <c r="CU65" s="70"/>
      <c r="CV65" s="70"/>
      <c r="CW65" s="70"/>
      <c r="CX65" s="70"/>
      <c r="CY65" s="70"/>
      <c r="CZ65" s="70"/>
      <c r="DA65" s="70"/>
      <c r="DB65" s="70"/>
      <c r="DC65" s="70"/>
      <c r="DD65" s="70"/>
      <c r="DE65" s="70"/>
      <c r="DF65" s="70"/>
      <c r="DG65" s="70"/>
      <c r="DH65" s="70"/>
      <c r="DI65" s="70"/>
      <c r="DJ65" s="70"/>
      <c r="DK65" s="70"/>
      <c r="DL65" s="70"/>
      <c r="DM65" s="70"/>
      <c r="DN65" s="70"/>
      <c r="DO65" s="70"/>
      <c r="DP65" s="70"/>
      <c r="DQ65" s="70"/>
      <c r="DR65" s="70"/>
      <c r="DS65" s="70"/>
      <c r="DT65" s="70"/>
      <c r="DU65" s="70"/>
      <c r="DV65" s="70"/>
      <c r="DW65" s="70"/>
      <c r="DX65" s="70"/>
      <c r="DY65" s="70"/>
      <c r="DZ65" s="70"/>
      <c r="EA65" s="70"/>
      <c r="EB65" s="70"/>
      <c r="EC65" s="70"/>
      <c r="ED65" s="70"/>
      <c r="EE65" s="70"/>
      <c r="EF65" s="70"/>
      <c r="EG65" s="70"/>
      <c r="EH65" s="70"/>
      <c r="EI65" s="70"/>
      <c r="EJ65" s="70"/>
      <c r="EK65" s="70"/>
      <c r="EL65" s="70"/>
      <c r="EM65" s="70"/>
      <c r="EN65" s="70"/>
      <c r="EO65" s="70"/>
      <c r="EP65" s="70"/>
      <c r="EQ65" s="70"/>
      <c r="ER65" s="70"/>
      <c r="ES65" s="70"/>
      <c r="ET65" s="70"/>
      <c r="EU65" s="70"/>
      <c r="EV65" s="70"/>
      <c r="EW65" s="70"/>
      <c r="EX65" s="70"/>
      <c r="EY65" s="70"/>
      <c r="EZ65" s="70"/>
      <c r="FA65" s="70"/>
      <c r="FB65" s="70"/>
      <c r="FC65" s="70"/>
      <c r="FD65" s="70"/>
      <c r="FE65" s="70"/>
      <c r="FF65" s="70"/>
      <c r="FG65" s="70"/>
      <c r="FH65" s="70"/>
      <c r="FI65" s="70"/>
      <c r="FJ65" s="70"/>
      <c r="FK65" s="70"/>
      <c r="FL65" s="70"/>
      <c r="FM65" s="70"/>
      <c r="FN65" s="70"/>
      <c r="FO65" s="70"/>
      <c r="FP65" s="70"/>
      <c r="FQ65" s="70"/>
      <c r="FR65" s="70"/>
      <c r="FS65" s="70"/>
      <c r="FT65" s="70"/>
      <c r="FU65" s="70"/>
      <c r="FV65" s="70"/>
      <c r="FW65" s="70"/>
      <c r="FX65" s="70"/>
      <c r="FY65" s="70"/>
      <c r="FZ65" s="70"/>
      <c r="GA65" s="70"/>
      <c r="GB65" s="70"/>
      <c r="GC65" s="70"/>
      <c r="GD65" s="70"/>
      <c r="GE65" s="70"/>
      <c r="GF65" s="70"/>
      <c r="GG65" s="70"/>
      <c r="GH65" s="70"/>
      <c r="GI65" s="475"/>
      <c r="GJ65" s="475"/>
    </row>
    <row r="66" spans="1:192" ht="13">
      <c r="A66" s="1051"/>
      <c r="B66" s="1051"/>
      <c r="C66" s="1143"/>
      <c r="D66" s="1182"/>
      <c r="E66" s="1209"/>
      <c r="F66" s="1051"/>
      <c r="G66" s="1095"/>
      <c r="H66" s="1095"/>
      <c r="I66" s="1106"/>
      <c r="J66" s="1182"/>
      <c r="K66" s="703" t="s">
        <v>15016</v>
      </c>
      <c r="L66" s="228" t="s">
        <v>240</v>
      </c>
      <c r="M66" s="780">
        <v>102000</v>
      </c>
      <c r="N66" s="1095"/>
      <c r="O66" s="790" t="s">
        <v>172</v>
      </c>
      <c r="P66" s="707"/>
      <c r="Q66" s="707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70"/>
      <c r="BV66" s="70"/>
      <c r="BW66" s="70"/>
      <c r="BX66" s="70"/>
      <c r="BY66" s="70"/>
      <c r="BZ66" s="70"/>
      <c r="CA66" s="70"/>
      <c r="CB66" s="70"/>
      <c r="CC66" s="70"/>
      <c r="CD66" s="70"/>
      <c r="CE66" s="70"/>
      <c r="CF66" s="70"/>
      <c r="CG66" s="70"/>
      <c r="CH66" s="70"/>
      <c r="CI66" s="70"/>
      <c r="CJ66" s="70"/>
      <c r="CK66" s="70"/>
      <c r="CL66" s="70"/>
      <c r="CM66" s="70"/>
      <c r="CN66" s="70"/>
      <c r="CO66" s="70"/>
      <c r="CP66" s="70"/>
      <c r="CQ66" s="70"/>
      <c r="CR66" s="70"/>
      <c r="CS66" s="70"/>
      <c r="CT66" s="70"/>
      <c r="CU66" s="70"/>
      <c r="CV66" s="70"/>
      <c r="CW66" s="70"/>
      <c r="CX66" s="70"/>
      <c r="CY66" s="70"/>
      <c r="CZ66" s="70"/>
      <c r="DA66" s="70"/>
      <c r="DB66" s="70"/>
      <c r="DC66" s="70"/>
      <c r="DD66" s="70"/>
      <c r="DE66" s="70"/>
      <c r="DF66" s="70"/>
      <c r="DG66" s="70"/>
      <c r="DH66" s="70"/>
      <c r="DI66" s="70"/>
      <c r="DJ66" s="70"/>
      <c r="DK66" s="70"/>
      <c r="DL66" s="70"/>
      <c r="DM66" s="70"/>
      <c r="DN66" s="70"/>
      <c r="DO66" s="70"/>
      <c r="DP66" s="70"/>
      <c r="DQ66" s="70"/>
      <c r="DR66" s="70"/>
      <c r="DS66" s="70"/>
      <c r="DT66" s="70"/>
      <c r="DU66" s="70"/>
      <c r="DV66" s="70"/>
      <c r="DW66" s="70"/>
      <c r="DX66" s="70"/>
      <c r="DY66" s="70"/>
      <c r="DZ66" s="70"/>
      <c r="EA66" s="70"/>
      <c r="EB66" s="70"/>
      <c r="EC66" s="70"/>
      <c r="ED66" s="70"/>
      <c r="EE66" s="70"/>
      <c r="EF66" s="70"/>
      <c r="EG66" s="70"/>
      <c r="EH66" s="70"/>
      <c r="EI66" s="70"/>
      <c r="EJ66" s="70"/>
      <c r="EK66" s="70"/>
      <c r="EL66" s="70"/>
      <c r="EM66" s="70"/>
      <c r="EN66" s="70"/>
      <c r="EO66" s="70"/>
      <c r="EP66" s="70"/>
      <c r="EQ66" s="70"/>
      <c r="ER66" s="70"/>
      <c r="ES66" s="70"/>
      <c r="ET66" s="70"/>
      <c r="EU66" s="70"/>
      <c r="EV66" s="70"/>
      <c r="EW66" s="70"/>
      <c r="EX66" s="70"/>
      <c r="EY66" s="70"/>
      <c r="EZ66" s="70"/>
      <c r="FA66" s="70"/>
      <c r="FB66" s="70"/>
      <c r="FC66" s="70"/>
      <c r="FD66" s="70"/>
      <c r="FE66" s="70"/>
      <c r="FF66" s="70"/>
      <c r="FG66" s="70"/>
      <c r="FH66" s="70"/>
      <c r="FI66" s="70"/>
      <c r="FJ66" s="70"/>
      <c r="FK66" s="70"/>
      <c r="FL66" s="70"/>
      <c r="FM66" s="70"/>
      <c r="FN66" s="70"/>
      <c r="FO66" s="70"/>
      <c r="FP66" s="70"/>
      <c r="FQ66" s="70"/>
      <c r="FR66" s="70"/>
      <c r="FS66" s="70"/>
      <c r="FT66" s="70"/>
      <c r="FU66" s="70"/>
      <c r="FV66" s="70"/>
      <c r="FW66" s="70"/>
      <c r="FX66" s="70"/>
      <c r="FY66" s="70"/>
      <c r="FZ66" s="70"/>
      <c r="GA66" s="70"/>
      <c r="GB66" s="70"/>
      <c r="GC66" s="70"/>
      <c r="GD66" s="70"/>
      <c r="GE66" s="70"/>
      <c r="GF66" s="70"/>
      <c r="GG66" s="70"/>
      <c r="GH66" s="70"/>
      <c r="GI66" s="475"/>
      <c r="GJ66" s="475"/>
    </row>
    <row r="67" spans="1:192" ht="13">
      <c r="A67" s="1051"/>
      <c r="B67" s="1051"/>
      <c r="C67" s="1143"/>
      <c r="D67" s="1182"/>
      <c r="E67" s="1209"/>
      <c r="F67" s="1051"/>
      <c r="G67" s="1095"/>
      <c r="H67" s="1095"/>
      <c r="I67" s="1106"/>
      <c r="J67" s="1182"/>
      <c r="K67" s="703" t="s">
        <v>15016</v>
      </c>
      <c r="L67" s="228" t="s">
        <v>172</v>
      </c>
      <c r="M67" s="780">
        <v>99000</v>
      </c>
      <c r="N67" s="1095"/>
      <c r="O67" s="790" t="s">
        <v>240</v>
      </c>
      <c r="P67" s="707"/>
      <c r="Q67" s="707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70"/>
      <c r="CA67" s="70"/>
      <c r="CB67" s="70"/>
      <c r="CC67" s="70"/>
      <c r="CD67" s="70"/>
      <c r="CE67" s="70"/>
      <c r="CF67" s="70"/>
      <c r="CG67" s="70"/>
      <c r="CH67" s="70"/>
      <c r="CI67" s="70"/>
      <c r="CJ67" s="70"/>
      <c r="CK67" s="70"/>
      <c r="CL67" s="70"/>
      <c r="CM67" s="70"/>
      <c r="CN67" s="70"/>
      <c r="CO67" s="70"/>
      <c r="CP67" s="70"/>
      <c r="CQ67" s="70"/>
      <c r="CR67" s="70"/>
      <c r="CS67" s="70"/>
      <c r="CT67" s="70"/>
      <c r="CU67" s="70"/>
      <c r="CV67" s="70"/>
      <c r="CW67" s="70"/>
      <c r="CX67" s="70"/>
      <c r="CY67" s="70"/>
      <c r="CZ67" s="70"/>
      <c r="DA67" s="70"/>
      <c r="DB67" s="70"/>
      <c r="DC67" s="70"/>
      <c r="DD67" s="70"/>
      <c r="DE67" s="70"/>
      <c r="DF67" s="70"/>
      <c r="DG67" s="70"/>
      <c r="DH67" s="70"/>
      <c r="DI67" s="70"/>
      <c r="DJ67" s="70"/>
      <c r="DK67" s="70"/>
      <c r="DL67" s="70"/>
      <c r="DM67" s="70"/>
      <c r="DN67" s="70"/>
      <c r="DO67" s="70"/>
      <c r="DP67" s="70"/>
      <c r="DQ67" s="70"/>
      <c r="DR67" s="70"/>
      <c r="DS67" s="70"/>
      <c r="DT67" s="70"/>
      <c r="DU67" s="70"/>
      <c r="DV67" s="70"/>
      <c r="DW67" s="70"/>
      <c r="DX67" s="70"/>
      <c r="DY67" s="70"/>
      <c r="DZ67" s="70"/>
      <c r="EA67" s="70"/>
      <c r="EB67" s="70"/>
      <c r="EC67" s="70"/>
      <c r="ED67" s="70"/>
      <c r="EE67" s="70"/>
      <c r="EF67" s="70"/>
      <c r="EG67" s="70"/>
      <c r="EH67" s="70"/>
      <c r="EI67" s="70"/>
      <c r="EJ67" s="70"/>
      <c r="EK67" s="70"/>
      <c r="EL67" s="70"/>
      <c r="EM67" s="70"/>
      <c r="EN67" s="70"/>
      <c r="EO67" s="70"/>
      <c r="EP67" s="70"/>
      <c r="EQ67" s="70"/>
      <c r="ER67" s="70"/>
      <c r="ES67" s="70"/>
      <c r="ET67" s="70"/>
      <c r="EU67" s="70"/>
      <c r="EV67" s="70"/>
      <c r="EW67" s="70"/>
      <c r="EX67" s="70"/>
      <c r="EY67" s="70"/>
      <c r="EZ67" s="70"/>
      <c r="FA67" s="70"/>
      <c r="FB67" s="70"/>
      <c r="FC67" s="70"/>
      <c r="FD67" s="70"/>
      <c r="FE67" s="70"/>
      <c r="FF67" s="70"/>
      <c r="FG67" s="70"/>
      <c r="FH67" s="70"/>
      <c r="FI67" s="70"/>
      <c r="FJ67" s="70"/>
      <c r="FK67" s="70"/>
      <c r="FL67" s="70"/>
      <c r="FM67" s="70"/>
      <c r="FN67" s="70"/>
      <c r="FO67" s="70"/>
      <c r="FP67" s="70"/>
      <c r="FQ67" s="70"/>
      <c r="FR67" s="70"/>
      <c r="FS67" s="70"/>
      <c r="FT67" s="70"/>
      <c r="FU67" s="70"/>
      <c r="FV67" s="70"/>
      <c r="FW67" s="70"/>
      <c r="FX67" s="70"/>
      <c r="FY67" s="70"/>
      <c r="FZ67" s="70"/>
      <c r="GA67" s="70"/>
      <c r="GB67" s="70"/>
      <c r="GC67" s="70"/>
      <c r="GD67" s="70"/>
      <c r="GE67" s="70"/>
      <c r="GF67" s="70"/>
      <c r="GG67" s="70"/>
      <c r="GH67" s="70"/>
      <c r="GI67" s="475"/>
      <c r="GJ67" s="475"/>
    </row>
    <row r="68" spans="1:192" ht="13">
      <c r="A68" s="1052"/>
      <c r="B68" s="1052"/>
      <c r="C68" s="1082"/>
      <c r="D68" s="1183"/>
      <c r="E68" s="1210"/>
      <c r="F68" s="1052"/>
      <c r="G68" s="1096"/>
      <c r="H68" s="1096"/>
      <c r="I68" s="1138"/>
      <c r="J68" s="1183"/>
      <c r="K68" s="703" t="s">
        <v>15016</v>
      </c>
      <c r="L68" s="228" t="s">
        <v>263</v>
      </c>
      <c r="M68" s="780">
        <v>99000</v>
      </c>
      <c r="N68" s="1096"/>
      <c r="O68" s="790" t="s">
        <v>172</v>
      </c>
      <c r="P68" s="707"/>
      <c r="Q68" s="707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70"/>
      <c r="CH68" s="70"/>
      <c r="CI68" s="70"/>
      <c r="CJ68" s="70"/>
      <c r="CK68" s="70"/>
      <c r="CL68" s="70"/>
      <c r="CM68" s="70"/>
      <c r="CN68" s="70"/>
      <c r="CO68" s="70"/>
      <c r="CP68" s="70"/>
      <c r="CQ68" s="70"/>
      <c r="CR68" s="70"/>
      <c r="CS68" s="70"/>
      <c r="CT68" s="70"/>
      <c r="CU68" s="70"/>
      <c r="CV68" s="70"/>
      <c r="CW68" s="70"/>
      <c r="CX68" s="70"/>
      <c r="CY68" s="70"/>
      <c r="CZ68" s="70"/>
      <c r="DA68" s="70"/>
      <c r="DB68" s="70"/>
      <c r="DC68" s="70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70"/>
      <c r="DR68" s="70"/>
      <c r="DS68" s="70"/>
      <c r="DT68" s="70"/>
      <c r="DU68" s="70"/>
      <c r="DV68" s="70"/>
      <c r="DW68" s="70"/>
      <c r="DX68" s="70"/>
      <c r="DY68" s="70"/>
      <c r="DZ68" s="70"/>
      <c r="EA68" s="70"/>
      <c r="EB68" s="70"/>
      <c r="EC68" s="70"/>
      <c r="ED68" s="70"/>
      <c r="EE68" s="70"/>
      <c r="EF68" s="70"/>
      <c r="EG68" s="70"/>
      <c r="EH68" s="70"/>
      <c r="EI68" s="70"/>
      <c r="EJ68" s="70"/>
      <c r="EK68" s="70"/>
      <c r="EL68" s="70"/>
      <c r="EM68" s="70"/>
      <c r="EN68" s="70"/>
      <c r="EO68" s="70"/>
      <c r="EP68" s="70"/>
      <c r="EQ68" s="70"/>
      <c r="ER68" s="70"/>
      <c r="ES68" s="70"/>
      <c r="ET68" s="70"/>
      <c r="EU68" s="70"/>
      <c r="EV68" s="70"/>
      <c r="EW68" s="70"/>
      <c r="EX68" s="70"/>
      <c r="EY68" s="70"/>
      <c r="EZ68" s="70"/>
      <c r="FA68" s="70"/>
      <c r="FB68" s="70"/>
      <c r="FC68" s="70"/>
      <c r="FD68" s="70"/>
      <c r="FE68" s="70"/>
      <c r="FF68" s="70"/>
      <c r="FG68" s="70"/>
      <c r="FH68" s="70"/>
      <c r="FI68" s="70"/>
      <c r="FJ68" s="70"/>
      <c r="FK68" s="70"/>
      <c r="FL68" s="70"/>
      <c r="FM68" s="70"/>
      <c r="FN68" s="70"/>
      <c r="FO68" s="70"/>
      <c r="FP68" s="70"/>
      <c r="FQ68" s="70"/>
      <c r="FR68" s="70"/>
      <c r="FS68" s="70"/>
      <c r="FT68" s="70"/>
      <c r="FU68" s="70"/>
      <c r="FV68" s="70"/>
      <c r="FW68" s="70"/>
      <c r="FX68" s="70"/>
      <c r="FY68" s="70"/>
      <c r="FZ68" s="70"/>
      <c r="GA68" s="70"/>
      <c r="GB68" s="70"/>
      <c r="GC68" s="70"/>
      <c r="GD68" s="70"/>
      <c r="GE68" s="70"/>
      <c r="GF68" s="70"/>
      <c r="GG68" s="70"/>
      <c r="GH68" s="70"/>
      <c r="GI68" s="475"/>
      <c r="GJ68" s="475"/>
    </row>
    <row r="69" spans="1:192" ht="13">
      <c r="A69" s="785"/>
      <c r="B69" s="817" t="s">
        <v>15017</v>
      </c>
      <c r="C69" s="762" t="s">
        <v>15018</v>
      </c>
      <c r="D69" s="722" t="s">
        <v>15019</v>
      </c>
      <c r="E69" s="463" t="s">
        <v>15020</v>
      </c>
      <c r="F69" s="24" t="s">
        <v>14999</v>
      </c>
      <c r="G69" s="803" t="s">
        <v>15021</v>
      </c>
      <c r="H69" s="782">
        <v>45383</v>
      </c>
      <c r="I69" s="783">
        <v>45747</v>
      </c>
      <c r="J69" s="784">
        <v>560000</v>
      </c>
      <c r="K69" s="463"/>
      <c r="L69" s="24" t="s">
        <v>1767</v>
      </c>
      <c r="M69" s="818">
        <v>560000</v>
      </c>
      <c r="N69" s="803" t="s">
        <v>15022</v>
      </c>
      <c r="O69" s="697"/>
      <c r="P69" s="707"/>
      <c r="Q69" s="707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70"/>
      <c r="DR69" s="70"/>
      <c r="DS69" s="70"/>
      <c r="DT69" s="70"/>
      <c r="DU69" s="70"/>
      <c r="DV69" s="70"/>
      <c r="DW69" s="70"/>
      <c r="DX69" s="70"/>
      <c r="DY69" s="70"/>
      <c r="DZ69" s="70"/>
      <c r="EA69" s="70"/>
      <c r="EB69" s="70"/>
      <c r="EC69" s="70"/>
      <c r="ED69" s="70"/>
      <c r="EE69" s="70"/>
      <c r="EF69" s="70"/>
      <c r="EG69" s="70"/>
      <c r="EH69" s="70"/>
      <c r="EI69" s="70"/>
      <c r="EJ69" s="70"/>
      <c r="EK69" s="70"/>
      <c r="EL69" s="70"/>
      <c r="EM69" s="70"/>
      <c r="EN69" s="70"/>
      <c r="EO69" s="70"/>
      <c r="EP69" s="70"/>
      <c r="EQ69" s="70"/>
      <c r="ER69" s="70"/>
      <c r="ES69" s="70"/>
      <c r="ET69" s="70"/>
      <c r="EU69" s="70"/>
      <c r="EV69" s="70"/>
      <c r="EW69" s="70"/>
      <c r="EX69" s="70"/>
      <c r="EY69" s="70"/>
      <c r="EZ69" s="70"/>
      <c r="FA69" s="70"/>
      <c r="FB69" s="70"/>
      <c r="FC69" s="70"/>
      <c r="FD69" s="70"/>
      <c r="FE69" s="70"/>
      <c r="FF69" s="70"/>
      <c r="FG69" s="70"/>
      <c r="FH69" s="70"/>
      <c r="FI69" s="70"/>
      <c r="FJ69" s="70"/>
      <c r="FK69" s="70"/>
      <c r="FL69" s="70"/>
      <c r="FM69" s="70"/>
      <c r="FN69" s="70"/>
      <c r="FO69" s="70"/>
      <c r="FP69" s="70"/>
      <c r="FQ69" s="70"/>
      <c r="FR69" s="70"/>
      <c r="FS69" s="70"/>
      <c r="FT69" s="70"/>
      <c r="FU69" s="70"/>
      <c r="FV69" s="70"/>
      <c r="FW69" s="70"/>
      <c r="FX69" s="70"/>
      <c r="FY69" s="70"/>
      <c r="FZ69" s="70"/>
      <c r="GA69" s="70"/>
      <c r="GB69" s="70"/>
      <c r="GC69" s="70"/>
      <c r="GD69" s="70"/>
      <c r="GE69" s="70"/>
      <c r="GF69" s="70"/>
      <c r="GG69" s="70"/>
      <c r="GH69" s="70"/>
      <c r="GI69" s="475"/>
      <c r="GJ69" s="475"/>
    </row>
    <row r="70" spans="1:192" ht="13">
      <c r="A70" s="1237"/>
      <c r="B70" s="1188" t="s">
        <v>15023</v>
      </c>
      <c r="C70" s="1238" t="s">
        <v>15024</v>
      </c>
      <c r="D70" s="1190" t="s">
        <v>15025</v>
      </c>
      <c r="E70" s="1145" t="s">
        <v>15020</v>
      </c>
      <c r="F70" s="1197" t="s">
        <v>15026</v>
      </c>
      <c r="G70" s="1239" t="s">
        <v>15027</v>
      </c>
      <c r="H70" s="1233">
        <v>45339</v>
      </c>
      <c r="I70" s="1234">
        <v>45704</v>
      </c>
      <c r="J70" s="1235">
        <v>385000</v>
      </c>
      <c r="K70" s="157" t="s">
        <v>15028</v>
      </c>
      <c r="L70" s="24"/>
      <c r="M70" s="819">
        <v>63000</v>
      </c>
      <c r="N70" s="1236" t="s">
        <v>15029</v>
      </c>
      <c r="O70" s="707" t="s">
        <v>15030</v>
      </c>
      <c r="P70" s="1074" t="s">
        <v>14913</v>
      </c>
      <c r="Q70" s="820">
        <v>756000</v>
      </c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70"/>
      <c r="DR70" s="70"/>
      <c r="DS70" s="70"/>
      <c r="DT70" s="70"/>
      <c r="DU70" s="70"/>
      <c r="DV70" s="70"/>
      <c r="DW70" s="70"/>
      <c r="DX70" s="70"/>
      <c r="DY70" s="70"/>
      <c r="DZ70" s="70"/>
      <c r="EA70" s="70"/>
      <c r="EB70" s="70"/>
      <c r="EC70" s="70"/>
      <c r="ED70" s="70"/>
      <c r="EE70" s="70"/>
      <c r="EF70" s="70"/>
      <c r="EG70" s="70"/>
      <c r="EH70" s="70"/>
      <c r="EI70" s="70"/>
      <c r="EJ70" s="70"/>
      <c r="EK70" s="70"/>
      <c r="EL70" s="70"/>
      <c r="EM70" s="70"/>
      <c r="EN70" s="70"/>
      <c r="EO70" s="70"/>
      <c r="EP70" s="70"/>
      <c r="EQ70" s="70"/>
      <c r="ER70" s="70"/>
      <c r="ES70" s="70"/>
      <c r="ET70" s="70"/>
      <c r="EU70" s="70"/>
      <c r="EV70" s="70"/>
      <c r="EW70" s="70"/>
      <c r="EX70" s="70"/>
      <c r="EY70" s="70"/>
      <c r="EZ70" s="70"/>
      <c r="FA70" s="70"/>
      <c r="FB70" s="70"/>
      <c r="FC70" s="70"/>
      <c r="FD70" s="70"/>
      <c r="FE70" s="70"/>
      <c r="FF70" s="70"/>
      <c r="FG70" s="70"/>
      <c r="FH70" s="70"/>
      <c r="FI70" s="70"/>
      <c r="FJ70" s="70"/>
      <c r="FK70" s="70"/>
      <c r="FL70" s="70"/>
      <c r="FM70" s="70"/>
      <c r="FN70" s="70"/>
      <c r="FO70" s="70"/>
      <c r="FP70" s="70"/>
      <c r="FQ70" s="70"/>
      <c r="FR70" s="70"/>
      <c r="FS70" s="70"/>
      <c r="FT70" s="70"/>
      <c r="FU70" s="70"/>
      <c r="FV70" s="70"/>
      <c r="FW70" s="70"/>
      <c r="FX70" s="70"/>
      <c r="FY70" s="70"/>
      <c r="FZ70" s="70"/>
      <c r="GA70" s="70"/>
      <c r="GB70" s="70"/>
      <c r="GC70" s="70"/>
      <c r="GD70" s="70"/>
      <c r="GE70" s="70"/>
      <c r="GF70" s="70"/>
      <c r="GG70" s="70"/>
      <c r="GH70" s="70"/>
      <c r="GI70" s="70"/>
      <c r="GJ70" s="70"/>
    </row>
    <row r="71" spans="1:192" ht="13">
      <c r="A71" s="1051"/>
      <c r="B71" s="1051"/>
      <c r="C71" s="1106"/>
      <c r="D71" s="1182"/>
      <c r="E71" s="1095"/>
      <c r="F71" s="1051"/>
      <c r="G71" s="1106"/>
      <c r="H71" s="1051"/>
      <c r="I71" s="1143"/>
      <c r="J71" s="1182"/>
      <c r="K71" s="157" t="s">
        <v>15031</v>
      </c>
      <c r="L71" s="24"/>
      <c r="M71" s="819">
        <v>14000</v>
      </c>
      <c r="N71" s="1051"/>
      <c r="O71" s="707"/>
      <c r="P71" s="1051"/>
      <c r="Q71" s="820">
        <v>168000</v>
      </c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  <c r="EE71" s="70"/>
      <c r="EF71" s="70"/>
      <c r="EG71" s="70"/>
      <c r="EH71" s="70"/>
      <c r="EI71" s="70"/>
      <c r="EJ71" s="70"/>
      <c r="EK71" s="70"/>
      <c r="EL71" s="70"/>
      <c r="EM71" s="70"/>
      <c r="EN71" s="70"/>
      <c r="EO71" s="70"/>
      <c r="EP71" s="70"/>
      <c r="EQ71" s="70"/>
      <c r="ER71" s="70"/>
      <c r="ES71" s="70"/>
      <c r="ET71" s="70"/>
      <c r="EU71" s="70"/>
      <c r="EV71" s="70"/>
      <c r="EW71" s="70"/>
      <c r="EX71" s="70"/>
      <c r="EY71" s="70"/>
      <c r="EZ71" s="70"/>
      <c r="FA71" s="70"/>
      <c r="FB71" s="70"/>
      <c r="FC71" s="70"/>
      <c r="FD71" s="70"/>
      <c r="FE71" s="70"/>
      <c r="FF71" s="70"/>
      <c r="FG71" s="70"/>
      <c r="FH71" s="70"/>
      <c r="FI71" s="70"/>
      <c r="FJ71" s="70"/>
      <c r="FK71" s="70"/>
      <c r="FL71" s="70"/>
      <c r="FM71" s="70"/>
      <c r="FN71" s="70"/>
      <c r="FO71" s="70"/>
      <c r="FP71" s="70"/>
      <c r="FQ71" s="70"/>
      <c r="FR71" s="70"/>
      <c r="FS71" s="70"/>
      <c r="FT71" s="70"/>
      <c r="FU71" s="70"/>
      <c r="FV71" s="70"/>
      <c r="FW71" s="70"/>
      <c r="FX71" s="70"/>
      <c r="FY71" s="70"/>
      <c r="FZ71" s="70"/>
      <c r="GA71" s="70"/>
      <c r="GB71" s="70"/>
      <c r="GC71" s="70"/>
      <c r="GD71" s="70"/>
      <c r="GE71" s="70"/>
      <c r="GF71" s="70"/>
      <c r="GG71" s="70"/>
      <c r="GH71" s="70"/>
      <c r="GI71" s="70"/>
      <c r="GJ71" s="70"/>
    </row>
    <row r="72" spans="1:192" ht="13">
      <c r="A72" s="1051"/>
      <c r="B72" s="1051"/>
      <c r="C72" s="1106"/>
      <c r="D72" s="1182"/>
      <c r="E72" s="1095"/>
      <c r="F72" s="1051"/>
      <c r="G72" s="1106"/>
      <c r="H72" s="1051"/>
      <c r="I72" s="1143"/>
      <c r="J72" s="1182"/>
      <c r="K72" s="157" t="s">
        <v>15031</v>
      </c>
      <c r="L72" s="24"/>
      <c r="M72" s="819">
        <v>16000</v>
      </c>
      <c r="N72" s="1051"/>
      <c r="O72" s="707"/>
      <c r="P72" s="1051"/>
      <c r="Q72" s="820">
        <v>192000</v>
      </c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  <c r="EE72" s="70"/>
      <c r="EF72" s="70"/>
      <c r="EG72" s="70"/>
      <c r="EH72" s="70"/>
      <c r="EI72" s="70"/>
      <c r="EJ72" s="70"/>
      <c r="EK72" s="70"/>
      <c r="EL72" s="70"/>
      <c r="EM72" s="70"/>
      <c r="EN72" s="70"/>
      <c r="EO72" s="70"/>
      <c r="EP72" s="70"/>
      <c r="EQ72" s="70"/>
      <c r="ER72" s="70"/>
      <c r="ES72" s="70"/>
      <c r="ET72" s="70"/>
      <c r="EU72" s="70"/>
      <c r="EV72" s="70"/>
      <c r="EW72" s="70"/>
      <c r="EX72" s="70"/>
      <c r="EY72" s="70"/>
      <c r="EZ72" s="70"/>
      <c r="FA72" s="70"/>
      <c r="FB72" s="70"/>
      <c r="FC72" s="70"/>
      <c r="FD72" s="70"/>
      <c r="FE72" s="70"/>
      <c r="FF72" s="70"/>
      <c r="FG72" s="70"/>
      <c r="FH72" s="70"/>
      <c r="FI72" s="70"/>
      <c r="FJ72" s="70"/>
      <c r="FK72" s="70"/>
      <c r="FL72" s="70"/>
      <c r="FM72" s="70"/>
      <c r="FN72" s="70"/>
      <c r="FO72" s="70"/>
      <c r="FP72" s="70"/>
      <c r="FQ72" s="70"/>
      <c r="FR72" s="70"/>
      <c r="FS72" s="70"/>
      <c r="FT72" s="70"/>
      <c r="FU72" s="70"/>
      <c r="FV72" s="70"/>
      <c r="FW72" s="70"/>
      <c r="FX72" s="70"/>
      <c r="FY72" s="70"/>
      <c r="FZ72" s="70"/>
      <c r="GA72" s="70"/>
      <c r="GB72" s="70"/>
      <c r="GC72" s="70"/>
      <c r="GD72" s="70"/>
      <c r="GE72" s="70"/>
      <c r="GF72" s="70"/>
      <c r="GG72" s="70"/>
      <c r="GH72" s="70"/>
      <c r="GI72" s="70"/>
      <c r="GJ72" s="70"/>
    </row>
    <row r="73" spans="1:192" ht="13">
      <c r="A73" s="1051"/>
      <c r="B73" s="1051"/>
      <c r="C73" s="1106"/>
      <c r="D73" s="1182"/>
      <c r="E73" s="1095"/>
      <c r="F73" s="1051"/>
      <c r="G73" s="1106"/>
      <c r="H73" s="1051"/>
      <c r="I73" s="1143"/>
      <c r="J73" s="1182"/>
      <c r="K73" s="157" t="s">
        <v>15028</v>
      </c>
      <c r="L73" s="24"/>
      <c r="M73" s="819">
        <v>30000</v>
      </c>
      <c r="N73" s="1051"/>
      <c r="O73" s="707"/>
      <c r="P73" s="1051"/>
      <c r="Q73" s="820">
        <v>360000</v>
      </c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  <c r="EE73" s="70"/>
      <c r="EF73" s="70"/>
      <c r="EG73" s="70"/>
      <c r="EH73" s="70"/>
      <c r="EI73" s="70"/>
      <c r="EJ73" s="70"/>
      <c r="EK73" s="70"/>
      <c r="EL73" s="70"/>
      <c r="EM73" s="70"/>
      <c r="EN73" s="70"/>
      <c r="EO73" s="70"/>
      <c r="EP73" s="70"/>
      <c r="EQ73" s="70"/>
      <c r="ER73" s="70"/>
      <c r="ES73" s="70"/>
      <c r="ET73" s="70"/>
      <c r="EU73" s="70"/>
      <c r="EV73" s="70"/>
      <c r="EW73" s="70"/>
      <c r="EX73" s="70"/>
      <c r="EY73" s="70"/>
      <c r="EZ73" s="70"/>
      <c r="FA73" s="70"/>
      <c r="FB73" s="70"/>
      <c r="FC73" s="70"/>
      <c r="FD73" s="70"/>
      <c r="FE73" s="70"/>
      <c r="FF73" s="70"/>
      <c r="FG73" s="70"/>
      <c r="FH73" s="70"/>
      <c r="FI73" s="70"/>
      <c r="FJ73" s="70"/>
      <c r="FK73" s="70"/>
      <c r="FL73" s="70"/>
      <c r="FM73" s="70"/>
      <c r="FN73" s="70"/>
      <c r="FO73" s="70"/>
      <c r="FP73" s="70"/>
      <c r="FQ73" s="70"/>
      <c r="FR73" s="70"/>
      <c r="FS73" s="70"/>
      <c r="FT73" s="70"/>
      <c r="FU73" s="70"/>
      <c r="FV73" s="70"/>
      <c r="FW73" s="70"/>
      <c r="FX73" s="70"/>
      <c r="FY73" s="70"/>
      <c r="FZ73" s="70"/>
      <c r="GA73" s="70"/>
      <c r="GB73" s="70"/>
      <c r="GC73" s="70"/>
      <c r="GD73" s="70"/>
      <c r="GE73" s="70"/>
      <c r="GF73" s="70"/>
      <c r="GG73" s="70"/>
      <c r="GH73" s="70"/>
      <c r="GI73" s="70"/>
      <c r="GJ73" s="70"/>
    </row>
    <row r="74" spans="1:192" ht="13">
      <c r="A74" s="1051"/>
      <c r="B74" s="1051"/>
      <c r="C74" s="1106"/>
      <c r="D74" s="1182"/>
      <c r="E74" s="1095"/>
      <c r="F74" s="1051"/>
      <c r="G74" s="1106"/>
      <c r="H74" s="1051"/>
      <c r="I74" s="1143"/>
      <c r="J74" s="1182"/>
      <c r="K74" s="157" t="s">
        <v>15032</v>
      </c>
      <c r="L74" s="24"/>
      <c r="M74" s="819">
        <v>32000</v>
      </c>
      <c r="N74" s="1051"/>
      <c r="O74" s="707"/>
      <c r="P74" s="1051"/>
      <c r="Q74" s="820">
        <v>384000</v>
      </c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  <c r="EE74" s="70"/>
      <c r="EF74" s="70"/>
      <c r="EG74" s="70"/>
      <c r="EH74" s="70"/>
      <c r="EI74" s="70"/>
      <c r="EJ74" s="70"/>
      <c r="EK74" s="70"/>
      <c r="EL74" s="70"/>
      <c r="EM74" s="70"/>
      <c r="EN74" s="70"/>
      <c r="EO74" s="70"/>
      <c r="EP74" s="70"/>
      <c r="EQ74" s="70"/>
      <c r="ER74" s="70"/>
      <c r="ES74" s="70"/>
      <c r="ET74" s="70"/>
      <c r="EU74" s="70"/>
      <c r="EV74" s="70"/>
      <c r="EW74" s="70"/>
      <c r="EX74" s="70"/>
      <c r="EY74" s="70"/>
      <c r="EZ74" s="70"/>
      <c r="FA74" s="70"/>
      <c r="FB74" s="70"/>
      <c r="FC74" s="70"/>
      <c r="FD74" s="70"/>
      <c r="FE74" s="70"/>
      <c r="FF74" s="70"/>
      <c r="FG74" s="70"/>
      <c r="FH74" s="70"/>
      <c r="FI74" s="70"/>
      <c r="FJ74" s="70"/>
      <c r="FK74" s="70"/>
      <c r="FL74" s="70"/>
      <c r="FM74" s="70"/>
      <c r="FN74" s="70"/>
      <c r="FO74" s="70"/>
      <c r="FP74" s="70"/>
      <c r="FQ74" s="70"/>
      <c r="FR74" s="70"/>
      <c r="FS74" s="70"/>
      <c r="FT74" s="70"/>
      <c r="FU74" s="70"/>
      <c r="FV74" s="70"/>
      <c r="FW74" s="70"/>
      <c r="FX74" s="70"/>
      <c r="FY74" s="70"/>
      <c r="FZ74" s="70"/>
      <c r="GA74" s="70"/>
      <c r="GB74" s="70"/>
      <c r="GC74" s="70"/>
      <c r="GD74" s="70"/>
      <c r="GE74" s="70"/>
      <c r="GF74" s="70"/>
      <c r="GG74" s="70"/>
      <c r="GH74" s="70"/>
      <c r="GI74" s="70"/>
      <c r="GJ74" s="70"/>
    </row>
    <row r="75" spans="1:192" ht="13">
      <c r="A75" s="1052"/>
      <c r="B75" s="1051"/>
      <c r="C75" s="1138"/>
      <c r="D75" s="1183"/>
      <c r="E75" s="1096"/>
      <c r="F75" s="1052"/>
      <c r="G75" s="1138"/>
      <c r="H75" s="1052"/>
      <c r="I75" s="1082"/>
      <c r="J75" s="1183"/>
      <c r="K75" s="157" t="s">
        <v>15033</v>
      </c>
      <c r="L75" s="24"/>
      <c r="M75" s="819">
        <v>230000</v>
      </c>
      <c r="N75" s="1052"/>
      <c r="O75" s="707"/>
      <c r="P75" s="1052"/>
      <c r="Q75" s="820">
        <v>2760000</v>
      </c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  <c r="EE75" s="70"/>
      <c r="EF75" s="70"/>
      <c r="EG75" s="70"/>
      <c r="EH75" s="70"/>
      <c r="EI75" s="70"/>
      <c r="EJ75" s="70"/>
      <c r="EK75" s="70"/>
      <c r="EL75" s="70"/>
      <c r="EM75" s="70"/>
      <c r="EN75" s="70"/>
      <c r="EO75" s="70"/>
      <c r="EP75" s="70"/>
      <c r="EQ75" s="70"/>
      <c r="ER75" s="70"/>
      <c r="ES75" s="70"/>
      <c r="ET75" s="70"/>
      <c r="EU75" s="70"/>
      <c r="EV75" s="70"/>
      <c r="EW75" s="70"/>
      <c r="EX75" s="70"/>
      <c r="EY75" s="70"/>
      <c r="EZ75" s="70"/>
      <c r="FA75" s="70"/>
      <c r="FB75" s="70"/>
      <c r="FC75" s="70"/>
      <c r="FD75" s="70"/>
      <c r="FE75" s="70"/>
      <c r="FF75" s="70"/>
      <c r="FG75" s="70"/>
      <c r="FH75" s="70"/>
      <c r="FI75" s="70"/>
      <c r="FJ75" s="70"/>
      <c r="FK75" s="70"/>
      <c r="FL75" s="70"/>
      <c r="FM75" s="70"/>
      <c r="FN75" s="70"/>
      <c r="FO75" s="70"/>
      <c r="FP75" s="70"/>
      <c r="FQ75" s="70"/>
      <c r="FR75" s="70"/>
      <c r="FS75" s="70"/>
      <c r="FT75" s="70"/>
      <c r="FU75" s="70"/>
      <c r="FV75" s="70"/>
      <c r="FW75" s="70"/>
      <c r="FX75" s="70"/>
      <c r="FY75" s="70"/>
      <c r="FZ75" s="70"/>
      <c r="GA75" s="70"/>
      <c r="GB75" s="70"/>
      <c r="GC75" s="70"/>
      <c r="GD75" s="70"/>
      <c r="GE75" s="70"/>
      <c r="GF75" s="70"/>
      <c r="GG75" s="70"/>
      <c r="GH75" s="70"/>
      <c r="GI75" s="70"/>
      <c r="GJ75" s="70"/>
    </row>
    <row r="76" spans="1:192" ht="13">
      <c r="A76" s="24"/>
      <c r="B76" s="821" t="s">
        <v>15034</v>
      </c>
      <c r="C76" s="807" t="s">
        <v>15035</v>
      </c>
      <c r="D76" s="722" t="s">
        <v>15036</v>
      </c>
      <c r="E76" s="463" t="s">
        <v>15020</v>
      </c>
      <c r="F76" s="24" t="s">
        <v>942</v>
      </c>
      <c r="G76" s="724" t="s">
        <v>15037</v>
      </c>
      <c r="H76" s="782">
        <v>45292</v>
      </c>
      <c r="I76" s="783">
        <v>45657</v>
      </c>
      <c r="J76" s="784">
        <v>2342000</v>
      </c>
      <c r="K76" s="463"/>
      <c r="L76" s="702" t="s">
        <v>240</v>
      </c>
      <c r="M76" s="822">
        <v>2342000</v>
      </c>
      <c r="N76" s="803" t="s">
        <v>15038</v>
      </c>
      <c r="O76" s="228" t="str">
        <f>'(AR)인프라사업팀'!K49</f>
        <v>ART241130이수임1719</v>
      </c>
      <c r="P76" s="707"/>
      <c r="Q76" s="707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  <c r="EE76" s="70"/>
      <c r="EF76" s="70"/>
      <c r="EG76" s="70"/>
      <c r="EH76" s="70"/>
      <c r="EI76" s="70"/>
      <c r="EJ76" s="70"/>
      <c r="EK76" s="70"/>
      <c r="EL76" s="70"/>
      <c r="EM76" s="70"/>
      <c r="EN76" s="70"/>
      <c r="EO76" s="70"/>
      <c r="EP76" s="70"/>
      <c r="EQ76" s="70"/>
      <c r="ER76" s="70"/>
      <c r="ES76" s="70"/>
      <c r="ET76" s="70"/>
      <c r="EU76" s="70"/>
      <c r="EV76" s="70"/>
      <c r="EW76" s="70"/>
      <c r="EX76" s="70"/>
      <c r="EY76" s="70"/>
      <c r="EZ76" s="70"/>
      <c r="FA76" s="70"/>
      <c r="FB76" s="70"/>
      <c r="FC76" s="70"/>
      <c r="FD76" s="70"/>
      <c r="FE76" s="70"/>
      <c r="FF76" s="70"/>
      <c r="FG76" s="70"/>
      <c r="FH76" s="70"/>
      <c r="FI76" s="70"/>
      <c r="FJ76" s="70"/>
      <c r="FK76" s="70"/>
      <c r="FL76" s="70"/>
      <c r="FM76" s="70"/>
      <c r="FN76" s="70"/>
      <c r="FO76" s="70"/>
      <c r="FP76" s="70"/>
      <c r="FQ76" s="70"/>
      <c r="FR76" s="70"/>
      <c r="FS76" s="70"/>
      <c r="FT76" s="70"/>
      <c r="FU76" s="70"/>
      <c r="FV76" s="70"/>
      <c r="FW76" s="70"/>
      <c r="FX76" s="70"/>
      <c r="FY76" s="70"/>
      <c r="FZ76" s="70"/>
      <c r="GA76" s="70"/>
      <c r="GB76" s="70"/>
      <c r="GC76" s="70"/>
      <c r="GD76" s="70"/>
      <c r="GE76" s="70"/>
      <c r="GF76" s="70"/>
      <c r="GG76" s="70"/>
      <c r="GH76" s="70"/>
      <c r="GI76" s="70"/>
      <c r="GJ76" s="70"/>
    </row>
    <row r="77" spans="1:192" ht="43.5" customHeight="1">
      <c r="A77" s="1195"/>
      <c r="B77" s="1196" t="s">
        <v>15039</v>
      </c>
      <c r="C77" s="1189" t="s">
        <v>15040</v>
      </c>
      <c r="D77" s="1190" t="s">
        <v>15041</v>
      </c>
      <c r="E77" s="1145" t="s">
        <v>15020</v>
      </c>
      <c r="F77" s="1197" t="s">
        <v>15042</v>
      </c>
      <c r="G77" s="1202" t="s">
        <v>15043</v>
      </c>
      <c r="H77" s="1217">
        <v>45413</v>
      </c>
      <c r="I77" s="1218">
        <v>45777</v>
      </c>
      <c r="J77" s="1191">
        <v>4600000</v>
      </c>
      <c r="K77" s="463" t="s">
        <v>15044</v>
      </c>
      <c r="L77" s="24" t="s">
        <v>240</v>
      </c>
      <c r="M77" s="33">
        <v>4600000</v>
      </c>
      <c r="N77" s="1192" t="s">
        <v>15045</v>
      </c>
      <c r="O77" s="1050" t="str">
        <f>O76</f>
        <v>ART241130이수임1719</v>
      </c>
      <c r="P77" s="1200"/>
      <c r="Q77" s="1187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  <c r="EE77" s="70"/>
      <c r="EF77" s="70"/>
      <c r="EG77" s="70"/>
      <c r="EH77" s="70"/>
      <c r="EI77" s="70"/>
      <c r="EJ77" s="70"/>
      <c r="EK77" s="70"/>
      <c r="EL77" s="70"/>
      <c r="EM77" s="70"/>
      <c r="EN77" s="70"/>
      <c r="EO77" s="70"/>
      <c r="EP77" s="70"/>
      <c r="EQ77" s="70"/>
      <c r="ER77" s="70"/>
      <c r="ES77" s="70"/>
      <c r="ET77" s="70"/>
      <c r="EU77" s="70"/>
      <c r="EV77" s="70"/>
      <c r="EW77" s="70"/>
      <c r="EX77" s="70"/>
      <c r="EY77" s="70"/>
      <c r="EZ77" s="70"/>
      <c r="FA77" s="70"/>
      <c r="FB77" s="70"/>
      <c r="FC77" s="70"/>
      <c r="FD77" s="70"/>
      <c r="FE77" s="70"/>
      <c r="FF77" s="70"/>
      <c r="FG77" s="70"/>
      <c r="FH77" s="70"/>
      <c r="FI77" s="70"/>
      <c r="FJ77" s="70"/>
      <c r="FK77" s="70"/>
      <c r="FL77" s="70"/>
      <c r="FM77" s="70"/>
      <c r="FN77" s="70"/>
      <c r="FO77" s="70"/>
      <c r="FP77" s="70"/>
      <c r="FQ77" s="70"/>
      <c r="FR77" s="70"/>
      <c r="FS77" s="70"/>
      <c r="FT77" s="70"/>
      <c r="FU77" s="70"/>
      <c r="FV77" s="70"/>
      <c r="FW77" s="70"/>
      <c r="FX77" s="70"/>
      <c r="FY77" s="70"/>
      <c r="FZ77" s="70"/>
      <c r="GA77" s="70"/>
      <c r="GB77" s="70"/>
      <c r="GC77" s="70"/>
      <c r="GD77" s="70"/>
      <c r="GE77" s="70"/>
      <c r="GF77" s="70"/>
      <c r="GG77" s="70"/>
      <c r="GH77" s="70"/>
      <c r="GI77" s="70"/>
      <c r="GJ77" s="70"/>
    </row>
    <row r="78" spans="1:192" ht="43.5" customHeight="1">
      <c r="A78" s="1096"/>
      <c r="B78" s="1052"/>
      <c r="C78" s="1082"/>
      <c r="D78" s="1183"/>
      <c r="E78" s="1096"/>
      <c r="F78" s="1052"/>
      <c r="G78" s="1052"/>
      <c r="H78" s="1052"/>
      <c r="I78" s="1082"/>
      <c r="J78" s="1183"/>
      <c r="K78" s="1201" t="s">
        <v>15046</v>
      </c>
      <c r="L78" s="1064"/>
      <c r="M78" s="1065"/>
      <c r="N78" s="1052"/>
      <c r="O78" s="1052"/>
      <c r="P78" s="1051"/>
      <c r="Q78" s="1051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  <c r="EE78" s="70"/>
      <c r="EF78" s="70"/>
      <c r="EG78" s="70"/>
      <c r="EH78" s="70"/>
      <c r="EI78" s="70"/>
      <c r="EJ78" s="70"/>
      <c r="EK78" s="70"/>
      <c r="EL78" s="70"/>
      <c r="EM78" s="70"/>
      <c r="EN78" s="70"/>
      <c r="EO78" s="70"/>
      <c r="EP78" s="70"/>
      <c r="EQ78" s="70"/>
      <c r="ER78" s="70"/>
      <c r="ES78" s="70"/>
      <c r="ET78" s="70"/>
      <c r="EU78" s="70"/>
      <c r="EV78" s="70"/>
      <c r="EW78" s="70"/>
      <c r="EX78" s="70"/>
      <c r="EY78" s="70"/>
      <c r="EZ78" s="70"/>
      <c r="FA78" s="70"/>
      <c r="FB78" s="70"/>
      <c r="FC78" s="70"/>
      <c r="FD78" s="70"/>
      <c r="FE78" s="70"/>
      <c r="FF78" s="70"/>
      <c r="FG78" s="70"/>
      <c r="FH78" s="70"/>
      <c r="FI78" s="70"/>
      <c r="FJ78" s="70"/>
      <c r="FK78" s="70"/>
      <c r="FL78" s="70"/>
      <c r="FM78" s="70"/>
      <c r="FN78" s="70"/>
      <c r="FO78" s="70"/>
      <c r="FP78" s="70"/>
      <c r="FQ78" s="70"/>
      <c r="FR78" s="70"/>
      <c r="FS78" s="70"/>
      <c r="FT78" s="70"/>
      <c r="FU78" s="70"/>
      <c r="FV78" s="70"/>
      <c r="FW78" s="70"/>
      <c r="FX78" s="70"/>
      <c r="FY78" s="70"/>
      <c r="FZ78" s="70"/>
      <c r="GA78" s="70"/>
      <c r="GB78" s="70"/>
      <c r="GC78" s="70"/>
      <c r="GD78" s="70"/>
      <c r="GE78" s="70"/>
      <c r="GF78" s="70"/>
      <c r="GG78" s="70"/>
      <c r="GH78" s="70"/>
      <c r="GI78" s="70"/>
      <c r="GJ78" s="70"/>
    </row>
    <row r="79" spans="1:192" ht="13">
      <c r="A79" s="1050"/>
      <c r="B79" s="1188" t="s">
        <v>6291</v>
      </c>
      <c r="C79" s="1189" t="s">
        <v>15047</v>
      </c>
      <c r="D79" s="1190" t="s">
        <v>15048</v>
      </c>
      <c r="E79" s="1145" t="s">
        <v>15020</v>
      </c>
      <c r="F79" s="1197" t="s">
        <v>15042</v>
      </c>
      <c r="G79" s="1075" t="s">
        <v>15049</v>
      </c>
      <c r="H79" s="1219">
        <v>45413</v>
      </c>
      <c r="I79" s="1220">
        <v>45777</v>
      </c>
      <c r="J79" s="1181">
        <v>3171500</v>
      </c>
      <c r="K79" s="463"/>
      <c r="L79" s="24"/>
      <c r="M79" s="464">
        <v>1807755</v>
      </c>
      <c r="N79" s="1184" t="s">
        <v>15050</v>
      </c>
      <c r="O79" s="1199"/>
      <c r="P79" s="1074" t="s">
        <v>14913</v>
      </c>
      <c r="Q79" s="387">
        <v>21693060</v>
      </c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  <c r="EE79" s="70"/>
      <c r="EF79" s="70"/>
      <c r="EG79" s="70"/>
      <c r="EH79" s="70"/>
      <c r="EI79" s="70"/>
      <c r="EJ79" s="70"/>
      <c r="EK79" s="70"/>
      <c r="EL79" s="70"/>
      <c r="EM79" s="70"/>
      <c r="EN79" s="70"/>
      <c r="EO79" s="70"/>
      <c r="EP79" s="70"/>
      <c r="EQ79" s="70"/>
      <c r="ER79" s="70"/>
      <c r="ES79" s="70"/>
      <c r="ET79" s="70"/>
      <c r="EU79" s="70"/>
      <c r="EV79" s="70"/>
      <c r="EW79" s="70"/>
      <c r="EX79" s="70"/>
      <c r="EY79" s="70"/>
      <c r="EZ79" s="70"/>
      <c r="FA79" s="70"/>
      <c r="FB79" s="70"/>
      <c r="FC79" s="70"/>
      <c r="FD79" s="70"/>
      <c r="FE79" s="70"/>
      <c r="FF79" s="70"/>
      <c r="FG79" s="70"/>
      <c r="FH79" s="70"/>
      <c r="FI79" s="70"/>
      <c r="FJ79" s="70"/>
      <c r="FK79" s="70"/>
      <c r="FL79" s="70"/>
      <c r="FM79" s="70"/>
      <c r="FN79" s="70"/>
      <c r="FO79" s="70"/>
      <c r="FP79" s="70"/>
      <c r="FQ79" s="70"/>
      <c r="FR79" s="70"/>
      <c r="FS79" s="70"/>
      <c r="FT79" s="70"/>
      <c r="FU79" s="70"/>
      <c r="FV79" s="70"/>
      <c r="FW79" s="70"/>
      <c r="FX79" s="70"/>
      <c r="FY79" s="70"/>
      <c r="FZ79" s="70"/>
      <c r="GA79" s="70"/>
      <c r="GB79" s="70"/>
      <c r="GC79" s="70"/>
      <c r="GD79" s="70"/>
      <c r="GE79" s="70"/>
      <c r="GF79" s="70"/>
      <c r="GG79" s="70"/>
      <c r="GH79" s="70"/>
      <c r="GI79" s="70"/>
      <c r="GJ79" s="475"/>
    </row>
    <row r="80" spans="1:192" ht="15.75" customHeight="1">
      <c r="A80" s="1051"/>
      <c r="B80" s="1051"/>
      <c r="C80" s="1143"/>
      <c r="D80" s="1182"/>
      <c r="E80" s="1095"/>
      <c r="F80" s="1051"/>
      <c r="G80" s="1051"/>
      <c r="H80" s="1051"/>
      <c r="I80" s="1143"/>
      <c r="J80" s="1182"/>
      <c r="K80" s="463"/>
      <c r="L80" s="24"/>
      <c r="M80" s="464">
        <v>253720</v>
      </c>
      <c r="N80" s="1051"/>
      <c r="O80" s="1051"/>
      <c r="P80" s="1051"/>
      <c r="Q80" s="387">
        <v>3044640</v>
      </c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  <c r="EE80" s="70"/>
      <c r="EF80" s="70"/>
      <c r="EG80" s="70"/>
      <c r="EH80" s="70"/>
      <c r="EI80" s="70"/>
      <c r="EJ80" s="70"/>
      <c r="EK80" s="70"/>
      <c r="EL80" s="70"/>
      <c r="EM80" s="70"/>
      <c r="EN80" s="70"/>
      <c r="EO80" s="70"/>
      <c r="EP80" s="70"/>
      <c r="EQ80" s="70"/>
      <c r="ER80" s="70"/>
      <c r="ES80" s="70"/>
      <c r="ET80" s="70"/>
      <c r="EU80" s="70"/>
      <c r="EV80" s="70"/>
      <c r="EW80" s="70"/>
      <c r="EX80" s="70"/>
      <c r="EY80" s="70"/>
      <c r="EZ80" s="70"/>
      <c r="FA80" s="70"/>
      <c r="FB80" s="70"/>
      <c r="FC80" s="70"/>
      <c r="FD80" s="70"/>
      <c r="FE80" s="70"/>
      <c r="FF80" s="70"/>
      <c r="FG80" s="70"/>
      <c r="FH80" s="70"/>
      <c r="FI80" s="70"/>
      <c r="FJ80" s="70"/>
      <c r="FK80" s="70"/>
      <c r="FL80" s="70"/>
      <c r="FM80" s="70"/>
      <c r="FN80" s="70"/>
      <c r="FO80" s="70"/>
      <c r="FP80" s="70"/>
      <c r="FQ80" s="70"/>
      <c r="FR80" s="70"/>
      <c r="FS80" s="70"/>
      <c r="FT80" s="70"/>
      <c r="FU80" s="70"/>
      <c r="FV80" s="70"/>
      <c r="FW80" s="70"/>
      <c r="FX80" s="70"/>
      <c r="FY80" s="70"/>
      <c r="FZ80" s="70"/>
      <c r="GA80" s="70"/>
      <c r="GB80" s="70"/>
      <c r="GC80" s="70"/>
      <c r="GD80" s="70"/>
      <c r="GE80" s="70"/>
      <c r="GF80" s="70"/>
      <c r="GG80" s="70"/>
      <c r="GH80" s="70"/>
      <c r="GI80" s="70"/>
      <c r="GJ80" s="475"/>
    </row>
    <row r="81" spans="1:192" ht="13">
      <c r="A81" s="1051"/>
      <c r="B81" s="1051"/>
      <c r="C81" s="1143"/>
      <c r="D81" s="1182"/>
      <c r="E81" s="1095"/>
      <c r="F81" s="1051"/>
      <c r="G81" s="1051"/>
      <c r="H81" s="1051"/>
      <c r="I81" s="1143"/>
      <c r="J81" s="1182"/>
      <c r="K81" s="463"/>
      <c r="L81" s="24"/>
      <c r="M81" s="464">
        <v>158575</v>
      </c>
      <c r="N81" s="1051"/>
      <c r="O81" s="1051"/>
      <c r="P81" s="1051"/>
      <c r="Q81" s="387">
        <v>1902900</v>
      </c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  <c r="EE81" s="70"/>
      <c r="EF81" s="70"/>
      <c r="EG81" s="70"/>
      <c r="EH81" s="70"/>
      <c r="EI81" s="70"/>
      <c r="EJ81" s="70"/>
      <c r="EK81" s="70"/>
      <c r="EL81" s="70"/>
      <c r="EM81" s="70"/>
      <c r="EN81" s="70"/>
      <c r="EO81" s="70"/>
      <c r="EP81" s="70"/>
      <c r="EQ81" s="70"/>
      <c r="ER81" s="70"/>
      <c r="ES81" s="70"/>
      <c r="ET81" s="70"/>
      <c r="EU81" s="70"/>
      <c r="EV81" s="70"/>
      <c r="EW81" s="70"/>
      <c r="EX81" s="70"/>
      <c r="EY81" s="70"/>
      <c r="EZ81" s="70"/>
      <c r="FA81" s="70"/>
      <c r="FB81" s="70"/>
      <c r="FC81" s="70"/>
      <c r="FD81" s="70"/>
      <c r="FE81" s="70"/>
      <c r="FF81" s="70"/>
      <c r="FG81" s="70"/>
      <c r="FH81" s="70"/>
      <c r="FI81" s="70"/>
      <c r="FJ81" s="70"/>
      <c r="FK81" s="70"/>
      <c r="FL81" s="70"/>
      <c r="FM81" s="70"/>
      <c r="FN81" s="70"/>
      <c r="FO81" s="70"/>
      <c r="FP81" s="70"/>
      <c r="FQ81" s="70"/>
      <c r="FR81" s="70"/>
      <c r="FS81" s="70"/>
      <c r="FT81" s="70"/>
      <c r="FU81" s="70"/>
      <c r="FV81" s="70"/>
      <c r="FW81" s="70"/>
      <c r="FX81" s="70"/>
      <c r="FY81" s="70"/>
      <c r="FZ81" s="70"/>
      <c r="GA81" s="70"/>
      <c r="GB81" s="70"/>
      <c r="GC81" s="70"/>
      <c r="GD81" s="70"/>
      <c r="GE81" s="70"/>
      <c r="GF81" s="70"/>
      <c r="GG81" s="70"/>
      <c r="GH81" s="70"/>
      <c r="GI81" s="70"/>
      <c r="GJ81" s="475"/>
    </row>
    <row r="82" spans="1:192" ht="13">
      <c r="A82" s="1051"/>
      <c r="B82" s="1051"/>
      <c r="C82" s="1143"/>
      <c r="D82" s="1182"/>
      <c r="E82" s="1095"/>
      <c r="F82" s="1051"/>
      <c r="G82" s="1051"/>
      <c r="H82" s="1051"/>
      <c r="I82" s="1143"/>
      <c r="J82" s="1182"/>
      <c r="K82" s="463"/>
      <c r="L82" s="24"/>
      <c r="M82" s="464">
        <v>317150</v>
      </c>
      <c r="N82" s="1051"/>
      <c r="O82" s="1051"/>
      <c r="P82" s="1051"/>
      <c r="Q82" s="387">
        <v>3805800</v>
      </c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  <c r="EE82" s="70"/>
      <c r="EF82" s="70"/>
      <c r="EG82" s="70"/>
      <c r="EH82" s="70"/>
      <c r="EI82" s="70"/>
      <c r="EJ82" s="70"/>
      <c r="EK82" s="70"/>
      <c r="EL82" s="70"/>
      <c r="EM82" s="70"/>
      <c r="EN82" s="70"/>
      <c r="EO82" s="70"/>
      <c r="EP82" s="70"/>
      <c r="EQ82" s="70"/>
      <c r="ER82" s="70"/>
      <c r="ES82" s="70"/>
      <c r="ET82" s="70"/>
      <c r="EU82" s="70"/>
      <c r="EV82" s="70"/>
      <c r="EW82" s="70"/>
      <c r="EX82" s="70"/>
      <c r="EY82" s="70"/>
      <c r="EZ82" s="70"/>
      <c r="FA82" s="70"/>
      <c r="FB82" s="70"/>
      <c r="FC82" s="70"/>
      <c r="FD82" s="70"/>
      <c r="FE82" s="70"/>
      <c r="FF82" s="70"/>
      <c r="FG82" s="70"/>
      <c r="FH82" s="70"/>
      <c r="FI82" s="70"/>
      <c r="FJ82" s="70"/>
      <c r="FK82" s="70"/>
      <c r="FL82" s="70"/>
      <c r="FM82" s="70"/>
      <c r="FN82" s="70"/>
      <c r="FO82" s="70"/>
      <c r="FP82" s="70"/>
      <c r="FQ82" s="70"/>
      <c r="FR82" s="70"/>
      <c r="FS82" s="70"/>
      <c r="FT82" s="70"/>
      <c r="FU82" s="70"/>
      <c r="FV82" s="70"/>
      <c r="FW82" s="70"/>
      <c r="FX82" s="70"/>
      <c r="FY82" s="70"/>
      <c r="FZ82" s="70"/>
      <c r="GA82" s="70"/>
      <c r="GB82" s="70"/>
      <c r="GC82" s="70"/>
      <c r="GD82" s="70"/>
      <c r="GE82" s="70"/>
      <c r="GF82" s="70"/>
      <c r="GG82" s="70"/>
      <c r="GH82" s="70"/>
      <c r="GI82" s="70"/>
      <c r="GJ82" s="475"/>
    </row>
    <row r="83" spans="1:192" ht="13">
      <c r="A83" s="1051"/>
      <c r="B83" s="1051"/>
      <c r="C83" s="1143"/>
      <c r="D83" s="1182"/>
      <c r="E83" s="1095"/>
      <c r="F83" s="1051"/>
      <c r="G83" s="1051"/>
      <c r="H83" s="1051"/>
      <c r="I83" s="1143"/>
      <c r="J83" s="1182"/>
      <c r="K83" s="463"/>
      <c r="L83" s="24"/>
      <c r="M83" s="464">
        <v>317150</v>
      </c>
      <c r="N83" s="1051"/>
      <c r="O83" s="1051"/>
      <c r="P83" s="1051"/>
      <c r="Q83" s="387">
        <v>3805800</v>
      </c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  <c r="EE83" s="70"/>
      <c r="EF83" s="70"/>
      <c r="EG83" s="70"/>
      <c r="EH83" s="70"/>
      <c r="EI83" s="70"/>
      <c r="EJ83" s="70"/>
      <c r="EK83" s="70"/>
      <c r="EL83" s="70"/>
      <c r="EM83" s="70"/>
      <c r="EN83" s="70"/>
      <c r="EO83" s="70"/>
      <c r="EP83" s="70"/>
      <c r="EQ83" s="70"/>
      <c r="ER83" s="70"/>
      <c r="ES83" s="70"/>
      <c r="ET83" s="70"/>
      <c r="EU83" s="70"/>
      <c r="EV83" s="70"/>
      <c r="EW83" s="70"/>
      <c r="EX83" s="70"/>
      <c r="EY83" s="70"/>
      <c r="EZ83" s="70"/>
      <c r="FA83" s="70"/>
      <c r="FB83" s="70"/>
      <c r="FC83" s="70"/>
      <c r="FD83" s="70"/>
      <c r="FE83" s="70"/>
      <c r="FF83" s="70"/>
      <c r="FG83" s="70"/>
      <c r="FH83" s="70"/>
      <c r="FI83" s="70"/>
      <c r="FJ83" s="70"/>
      <c r="FK83" s="70"/>
      <c r="FL83" s="70"/>
      <c r="FM83" s="70"/>
      <c r="FN83" s="70"/>
      <c r="FO83" s="70"/>
      <c r="FP83" s="70"/>
      <c r="FQ83" s="70"/>
      <c r="FR83" s="70"/>
      <c r="FS83" s="70"/>
      <c r="FT83" s="70"/>
      <c r="FU83" s="70"/>
      <c r="FV83" s="70"/>
      <c r="FW83" s="70"/>
      <c r="FX83" s="70"/>
      <c r="FY83" s="70"/>
      <c r="FZ83" s="70"/>
      <c r="GA83" s="70"/>
      <c r="GB83" s="70"/>
      <c r="GC83" s="70"/>
      <c r="GD83" s="70"/>
      <c r="GE83" s="70"/>
      <c r="GF83" s="70"/>
      <c r="GG83" s="70"/>
      <c r="GH83" s="70"/>
      <c r="GI83" s="70"/>
      <c r="GJ83" s="475"/>
    </row>
    <row r="84" spans="1:192" ht="13">
      <c r="A84" s="1052"/>
      <c r="B84" s="1052"/>
      <c r="C84" s="1082"/>
      <c r="D84" s="1183"/>
      <c r="E84" s="1096"/>
      <c r="F84" s="1052"/>
      <c r="G84" s="1052"/>
      <c r="H84" s="1052"/>
      <c r="I84" s="1082"/>
      <c r="J84" s="1183"/>
      <c r="K84" s="463"/>
      <c r="L84" s="24"/>
      <c r="M84" s="464">
        <v>317150</v>
      </c>
      <c r="N84" s="1052"/>
      <c r="O84" s="1052"/>
      <c r="P84" s="1052"/>
      <c r="Q84" s="387">
        <v>3805800</v>
      </c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  <c r="EE84" s="70"/>
      <c r="EF84" s="70"/>
      <c r="EG84" s="70"/>
      <c r="EH84" s="70"/>
      <c r="EI84" s="70"/>
      <c r="EJ84" s="70"/>
      <c r="EK84" s="70"/>
      <c r="EL84" s="70"/>
      <c r="EM84" s="70"/>
      <c r="EN84" s="70"/>
      <c r="EO84" s="70"/>
      <c r="EP84" s="70"/>
      <c r="EQ84" s="70"/>
      <c r="ER84" s="70"/>
      <c r="ES84" s="70"/>
      <c r="ET84" s="70"/>
      <c r="EU84" s="70"/>
      <c r="EV84" s="70"/>
      <c r="EW84" s="70"/>
      <c r="EX84" s="70"/>
      <c r="EY84" s="70"/>
      <c r="EZ84" s="70"/>
      <c r="FA84" s="70"/>
      <c r="FB84" s="70"/>
      <c r="FC84" s="70"/>
      <c r="FD84" s="70"/>
      <c r="FE84" s="70"/>
      <c r="FF84" s="70"/>
      <c r="FG84" s="70"/>
      <c r="FH84" s="70"/>
      <c r="FI84" s="70"/>
      <c r="FJ84" s="70"/>
      <c r="FK84" s="70"/>
      <c r="FL84" s="70"/>
      <c r="FM84" s="70"/>
      <c r="FN84" s="70"/>
      <c r="FO84" s="70"/>
      <c r="FP84" s="70"/>
      <c r="FQ84" s="70"/>
      <c r="FR84" s="70"/>
      <c r="FS84" s="70"/>
      <c r="FT84" s="70"/>
      <c r="FU84" s="70"/>
      <c r="FV84" s="70"/>
      <c r="FW84" s="70"/>
      <c r="FX84" s="70"/>
      <c r="FY84" s="70"/>
      <c r="FZ84" s="70"/>
      <c r="GA84" s="70"/>
      <c r="GB84" s="70"/>
      <c r="GC84" s="70"/>
      <c r="GD84" s="70"/>
      <c r="GE84" s="70"/>
      <c r="GF84" s="70"/>
      <c r="GG84" s="70"/>
      <c r="GH84" s="70"/>
      <c r="GI84" s="70"/>
      <c r="GJ84" s="475"/>
    </row>
    <row r="85" spans="1:192" ht="27" customHeight="1">
      <c r="A85" s="1195"/>
      <c r="B85" s="1196" t="s">
        <v>15051</v>
      </c>
      <c r="C85" s="1189" t="s">
        <v>15052</v>
      </c>
      <c r="D85" s="1190" t="s">
        <v>15053</v>
      </c>
      <c r="E85" s="1145" t="s">
        <v>15020</v>
      </c>
      <c r="F85" s="1197" t="s">
        <v>15042</v>
      </c>
      <c r="G85" s="1198" t="s">
        <v>15054</v>
      </c>
      <c r="H85" s="1217">
        <v>45413</v>
      </c>
      <c r="I85" s="1218">
        <v>45777</v>
      </c>
      <c r="J85" s="1191">
        <v>1534000</v>
      </c>
      <c r="K85" s="463"/>
      <c r="L85" s="24"/>
      <c r="M85" s="713">
        <v>906400</v>
      </c>
      <c r="N85" s="1192" t="s">
        <v>15055</v>
      </c>
      <c r="O85" s="1193" t="s">
        <v>15056</v>
      </c>
      <c r="P85" s="1194" t="s">
        <v>15057</v>
      </c>
      <c r="Q85" s="707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  <c r="EE85" s="70"/>
      <c r="EF85" s="70"/>
      <c r="EG85" s="70"/>
      <c r="EH85" s="70"/>
      <c r="EI85" s="70"/>
      <c r="EJ85" s="70"/>
      <c r="EK85" s="70"/>
      <c r="EL85" s="70"/>
      <c r="EM85" s="70"/>
      <c r="EN85" s="70"/>
      <c r="EO85" s="70"/>
      <c r="EP85" s="70"/>
      <c r="EQ85" s="70"/>
      <c r="ER85" s="70"/>
      <c r="ES85" s="70"/>
      <c r="ET85" s="70"/>
      <c r="EU85" s="70"/>
      <c r="EV85" s="70"/>
      <c r="EW85" s="70"/>
      <c r="EX85" s="70"/>
      <c r="EY85" s="70"/>
      <c r="EZ85" s="70"/>
      <c r="FA85" s="70"/>
      <c r="FB85" s="70"/>
      <c r="FC85" s="70"/>
      <c r="FD85" s="70"/>
      <c r="FE85" s="70"/>
      <c r="FF85" s="70"/>
      <c r="FG85" s="70"/>
      <c r="FH85" s="70"/>
      <c r="FI85" s="70"/>
      <c r="FJ85" s="70"/>
      <c r="FK85" s="70"/>
      <c r="FL85" s="70"/>
      <c r="FM85" s="70"/>
      <c r="FN85" s="70"/>
      <c r="FO85" s="70"/>
      <c r="FP85" s="70"/>
      <c r="FQ85" s="70"/>
      <c r="FR85" s="70"/>
      <c r="FS85" s="70"/>
      <c r="FT85" s="70"/>
      <c r="FU85" s="70"/>
      <c r="FV85" s="70"/>
      <c r="FW85" s="70"/>
      <c r="FX85" s="70"/>
      <c r="FY85" s="70"/>
      <c r="FZ85" s="70"/>
      <c r="GA85" s="70"/>
      <c r="GB85" s="70"/>
      <c r="GC85" s="70"/>
      <c r="GD85" s="70"/>
      <c r="GE85" s="70"/>
      <c r="GF85" s="70"/>
      <c r="GG85" s="70"/>
      <c r="GH85" s="70"/>
      <c r="GI85" s="70"/>
      <c r="GJ85" s="70"/>
    </row>
    <row r="86" spans="1:192" ht="27" customHeight="1">
      <c r="A86" s="1095"/>
      <c r="B86" s="1051"/>
      <c r="C86" s="1143"/>
      <c r="D86" s="1182"/>
      <c r="E86" s="1095"/>
      <c r="F86" s="1051"/>
      <c r="G86" s="1051"/>
      <c r="H86" s="1051"/>
      <c r="I86" s="1143"/>
      <c r="J86" s="1182"/>
      <c r="K86" s="463"/>
      <c r="L86" s="24"/>
      <c r="M86" s="713">
        <v>156900</v>
      </c>
      <c r="N86" s="1051"/>
      <c r="O86" s="1051"/>
      <c r="P86" s="1051"/>
      <c r="Q86" s="707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  <c r="EE86" s="70"/>
      <c r="EF86" s="70"/>
      <c r="EG86" s="70"/>
      <c r="EH86" s="70"/>
      <c r="EI86" s="70"/>
      <c r="EJ86" s="70"/>
      <c r="EK86" s="70"/>
      <c r="EL86" s="70"/>
      <c r="EM86" s="70"/>
      <c r="EN86" s="70"/>
      <c r="EO86" s="70"/>
      <c r="EP86" s="70"/>
      <c r="EQ86" s="70"/>
      <c r="ER86" s="70"/>
      <c r="ES86" s="70"/>
      <c r="ET86" s="70"/>
      <c r="EU86" s="70"/>
      <c r="EV86" s="70"/>
      <c r="EW86" s="70"/>
      <c r="EX86" s="70"/>
      <c r="EY86" s="70"/>
      <c r="EZ86" s="70"/>
      <c r="FA86" s="70"/>
      <c r="FB86" s="70"/>
      <c r="FC86" s="70"/>
      <c r="FD86" s="70"/>
      <c r="FE86" s="70"/>
      <c r="FF86" s="70"/>
      <c r="FG86" s="70"/>
      <c r="FH86" s="70"/>
      <c r="FI86" s="70"/>
      <c r="FJ86" s="70"/>
      <c r="FK86" s="70"/>
      <c r="FL86" s="70"/>
      <c r="FM86" s="70"/>
      <c r="FN86" s="70"/>
      <c r="FO86" s="70"/>
      <c r="FP86" s="70"/>
      <c r="FQ86" s="70"/>
      <c r="FR86" s="70"/>
      <c r="FS86" s="70"/>
      <c r="FT86" s="70"/>
      <c r="FU86" s="70"/>
      <c r="FV86" s="70"/>
      <c r="FW86" s="70"/>
      <c r="FX86" s="70"/>
      <c r="FY86" s="70"/>
      <c r="FZ86" s="70"/>
      <c r="GA86" s="70"/>
      <c r="GB86" s="70"/>
      <c r="GC86" s="70"/>
      <c r="GD86" s="70"/>
      <c r="GE86" s="70"/>
      <c r="GF86" s="70"/>
      <c r="GG86" s="70"/>
      <c r="GH86" s="70"/>
      <c r="GI86" s="70"/>
      <c r="GJ86" s="70"/>
    </row>
    <row r="87" spans="1:192" ht="27" customHeight="1">
      <c r="A87" s="1095"/>
      <c r="B87" s="1052"/>
      <c r="C87" s="1082"/>
      <c r="D87" s="1183"/>
      <c r="E87" s="1096"/>
      <c r="F87" s="1052"/>
      <c r="G87" s="1052"/>
      <c r="H87" s="1052"/>
      <c r="I87" s="1082"/>
      <c r="J87" s="1183"/>
      <c r="K87" s="463"/>
      <c r="L87" s="24"/>
      <c r="M87" s="713">
        <v>470700</v>
      </c>
      <c r="N87" s="1052"/>
      <c r="O87" s="1052"/>
      <c r="P87" s="1051"/>
      <c r="Q87" s="707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  <c r="EE87" s="70"/>
      <c r="EF87" s="70"/>
      <c r="EG87" s="70"/>
      <c r="EH87" s="70"/>
      <c r="EI87" s="70"/>
      <c r="EJ87" s="70"/>
      <c r="EK87" s="70"/>
      <c r="EL87" s="70"/>
      <c r="EM87" s="70"/>
      <c r="EN87" s="70"/>
      <c r="EO87" s="70"/>
      <c r="EP87" s="70"/>
      <c r="EQ87" s="70"/>
      <c r="ER87" s="70"/>
      <c r="ES87" s="70"/>
      <c r="ET87" s="70"/>
      <c r="EU87" s="70"/>
      <c r="EV87" s="70"/>
      <c r="EW87" s="70"/>
      <c r="EX87" s="70"/>
      <c r="EY87" s="70"/>
      <c r="EZ87" s="70"/>
      <c r="FA87" s="70"/>
      <c r="FB87" s="70"/>
      <c r="FC87" s="70"/>
      <c r="FD87" s="70"/>
      <c r="FE87" s="70"/>
      <c r="FF87" s="70"/>
      <c r="FG87" s="70"/>
      <c r="FH87" s="70"/>
      <c r="FI87" s="70"/>
      <c r="FJ87" s="70"/>
      <c r="FK87" s="70"/>
      <c r="FL87" s="70"/>
      <c r="FM87" s="70"/>
      <c r="FN87" s="70"/>
      <c r="FO87" s="70"/>
      <c r="FP87" s="70"/>
      <c r="FQ87" s="70"/>
      <c r="FR87" s="70"/>
      <c r="FS87" s="70"/>
      <c r="FT87" s="70"/>
      <c r="FU87" s="70"/>
      <c r="FV87" s="70"/>
      <c r="FW87" s="70"/>
      <c r="FX87" s="70"/>
      <c r="FY87" s="70"/>
      <c r="FZ87" s="70"/>
      <c r="GA87" s="70"/>
      <c r="GB87" s="70"/>
      <c r="GC87" s="70"/>
      <c r="GD87" s="70"/>
      <c r="GE87" s="70"/>
      <c r="GF87" s="70"/>
      <c r="GG87" s="70"/>
      <c r="GH87" s="70"/>
      <c r="GI87" s="70"/>
      <c r="GJ87" s="70"/>
    </row>
    <row r="88" spans="1:192" ht="13">
      <c r="A88" s="1187"/>
      <c r="B88" s="1188" t="s">
        <v>3801</v>
      </c>
      <c r="C88" s="1189" t="s">
        <v>15058</v>
      </c>
      <c r="D88" s="1190" t="s">
        <v>15059</v>
      </c>
      <c r="E88" s="1145" t="s">
        <v>15020</v>
      </c>
      <c r="F88" s="1050" t="s">
        <v>942</v>
      </c>
      <c r="G88" s="1075" t="s">
        <v>15060</v>
      </c>
      <c r="H88" s="1219">
        <v>45413</v>
      </c>
      <c r="I88" s="1220">
        <v>45777</v>
      </c>
      <c r="J88" s="1181">
        <v>4248000</v>
      </c>
      <c r="K88" s="702" t="s">
        <v>15061</v>
      </c>
      <c r="L88" s="24"/>
      <c r="M88" s="464">
        <v>1025220</v>
      </c>
      <c r="N88" s="1184" t="s">
        <v>15062</v>
      </c>
      <c r="O88" s="1185"/>
      <c r="P88" s="126" t="s">
        <v>15063</v>
      </c>
      <c r="Q88" s="126" t="s">
        <v>15063</v>
      </c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  <c r="EE88" s="70"/>
      <c r="EF88" s="70"/>
      <c r="EG88" s="70"/>
      <c r="EH88" s="70"/>
      <c r="EI88" s="70"/>
      <c r="EJ88" s="70"/>
      <c r="EK88" s="70"/>
      <c r="EL88" s="70"/>
      <c r="EM88" s="70"/>
      <c r="EN88" s="70"/>
      <c r="EO88" s="70"/>
      <c r="EP88" s="70"/>
      <c r="EQ88" s="70"/>
      <c r="ER88" s="70"/>
      <c r="ES88" s="70"/>
      <c r="ET88" s="70"/>
      <c r="EU88" s="70"/>
      <c r="EV88" s="70"/>
      <c r="EW88" s="70"/>
      <c r="EX88" s="70"/>
      <c r="EY88" s="70"/>
      <c r="EZ88" s="70"/>
      <c r="FA88" s="70"/>
      <c r="FB88" s="70"/>
      <c r="FC88" s="70"/>
      <c r="FD88" s="70"/>
      <c r="FE88" s="70"/>
      <c r="FF88" s="70"/>
      <c r="FG88" s="70"/>
      <c r="FH88" s="70"/>
      <c r="FI88" s="70"/>
      <c r="FJ88" s="70"/>
      <c r="FK88" s="70"/>
      <c r="FL88" s="70"/>
      <c r="FM88" s="70"/>
      <c r="FN88" s="70"/>
      <c r="FO88" s="70"/>
      <c r="FP88" s="70"/>
      <c r="FQ88" s="70"/>
      <c r="FR88" s="70"/>
      <c r="FS88" s="70"/>
      <c r="FT88" s="70"/>
      <c r="FU88" s="70"/>
      <c r="FV88" s="70"/>
      <c r="FW88" s="70"/>
      <c r="FX88" s="70"/>
      <c r="FY88" s="70"/>
      <c r="FZ88" s="70"/>
      <c r="GA88" s="70"/>
      <c r="GB88" s="70"/>
      <c r="GC88" s="70"/>
      <c r="GD88" s="70"/>
      <c r="GE88" s="70"/>
      <c r="GF88" s="70"/>
      <c r="GG88" s="70"/>
      <c r="GH88" s="70"/>
      <c r="GI88" s="70"/>
      <c r="GJ88" s="475"/>
    </row>
    <row r="89" spans="1:192" ht="13">
      <c r="A89" s="1051"/>
      <c r="B89" s="1051"/>
      <c r="C89" s="1143"/>
      <c r="D89" s="1182"/>
      <c r="E89" s="1095"/>
      <c r="F89" s="1051"/>
      <c r="G89" s="1051"/>
      <c r="H89" s="1051"/>
      <c r="I89" s="1143"/>
      <c r="J89" s="1182"/>
      <c r="K89" s="463"/>
      <c r="L89" s="24"/>
      <c r="M89" s="464">
        <v>214852</v>
      </c>
      <c r="N89" s="1051"/>
      <c r="O89" s="1095"/>
      <c r="P89" s="81" t="s">
        <v>15064</v>
      </c>
      <c r="Q89" s="81" t="s">
        <v>15065</v>
      </c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  <c r="EE89" s="70"/>
      <c r="EF89" s="70"/>
      <c r="EG89" s="70"/>
      <c r="EH89" s="70"/>
      <c r="EI89" s="70"/>
      <c r="EJ89" s="70"/>
      <c r="EK89" s="70"/>
      <c r="EL89" s="70"/>
      <c r="EM89" s="70"/>
      <c r="EN89" s="70"/>
      <c r="EO89" s="70"/>
      <c r="EP89" s="70"/>
      <c r="EQ89" s="70"/>
      <c r="ER89" s="70"/>
      <c r="ES89" s="70"/>
      <c r="ET89" s="70"/>
      <c r="EU89" s="70"/>
      <c r="EV89" s="70"/>
      <c r="EW89" s="70"/>
      <c r="EX89" s="70"/>
      <c r="EY89" s="70"/>
      <c r="EZ89" s="70"/>
      <c r="FA89" s="70"/>
      <c r="FB89" s="70"/>
      <c r="FC89" s="70"/>
      <c r="FD89" s="70"/>
      <c r="FE89" s="70"/>
      <c r="FF89" s="70"/>
      <c r="FG89" s="70"/>
      <c r="FH89" s="70"/>
      <c r="FI89" s="70"/>
      <c r="FJ89" s="70"/>
      <c r="FK89" s="70"/>
      <c r="FL89" s="70"/>
      <c r="FM89" s="70"/>
      <c r="FN89" s="70"/>
      <c r="FO89" s="70"/>
      <c r="FP89" s="70"/>
      <c r="FQ89" s="70"/>
      <c r="FR89" s="70"/>
      <c r="FS89" s="70"/>
      <c r="FT89" s="70"/>
      <c r="FU89" s="70"/>
      <c r="FV89" s="70"/>
      <c r="FW89" s="70"/>
      <c r="FX89" s="70"/>
      <c r="FY89" s="70"/>
      <c r="FZ89" s="70"/>
      <c r="GA89" s="70"/>
      <c r="GB89" s="70"/>
      <c r="GC89" s="70"/>
      <c r="GD89" s="70"/>
      <c r="GE89" s="70"/>
      <c r="GF89" s="70"/>
      <c r="GG89" s="70"/>
      <c r="GH89" s="70"/>
      <c r="GI89" s="70"/>
      <c r="GJ89" s="475"/>
    </row>
    <row r="90" spans="1:192" ht="13">
      <c r="A90" s="1051"/>
      <c r="B90" s="1051"/>
      <c r="C90" s="1143"/>
      <c r="D90" s="1182"/>
      <c r="E90" s="1095"/>
      <c r="F90" s="1051"/>
      <c r="G90" s="1051"/>
      <c r="H90" s="1051"/>
      <c r="I90" s="1143"/>
      <c r="J90" s="1182"/>
      <c r="K90" s="463"/>
      <c r="L90" s="24"/>
      <c r="M90" s="464">
        <v>1460993.5999999999</v>
      </c>
      <c r="N90" s="1051"/>
      <c r="O90" s="1095"/>
      <c r="P90" s="387">
        <v>1025220</v>
      </c>
      <c r="Q90" s="387">
        <v>1283220</v>
      </c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  <c r="EE90" s="70"/>
      <c r="EF90" s="70"/>
      <c r="EG90" s="70"/>
      <c r="EH90" s="70"/>
      <c r="EI90" s="70"/>
      <c r="EJ90" s="70"/>
      <c r="EK90" s="70"/>
      <c r="EL90" s="70"/>
      <c r="EM90" s="70"/>
      <c r="EN90" s="70"/>
      <c r="EO90" s="70"/>
      <c r="EP90" s="70"/>
      <c r="EQ90" s="70"/>
      <c r="ER90" s="70"/>
      <c r="ES90" s="70"/>
      <c r="ET90" s="70"/>
      <c r="EU90" s="70"/>
      <c r="EV90" s="70"/>
      <c r="EW90" s="70"/>
      <c r="EX90" s="70"/>
      <c r="EY90" s="70"/>
      <c r="EZ90" s="70"/>
      <c r="FA90" s="70"/>
      <c r="FB90" s="70"/>
      <c r="FC90" s="70"/>
      <c r="FD90" s="70"/>
      <c r="FE90" s="70"/>
      <c r="FF90" s="70"/>
      <c r="FG90" s="70"/>
      <c r="FH90" s="70"/>
      <c r="FI90" s="70"/>
      <c r="FJ90" s="70"/>
      <c r="FK90" s="70"/>
      <c r="FL90" s="70"/>
      <c r="FM90" s="70"/>
      <c r="FN90" s="70"/>
      <c r="FO90" s="70"/>
      <c r="FP90" s="70"/>
      <c r="FQ90" s="70"/>
      <c r="FR90" s="70"/>
      <c r="FS90" s="70"/>
      <c r="FT90" s="70"/>
      <c r="FU90" s="70"/>
      <c r="FV90" s="70"/>
      <c r="FW90" s="70"/>
      <c r="FX90" s="70"/>
      <c r="FY90" s="70"/>
      <c r="FZ90" s="70"/>
      <c r="GA90" s="70"/>
      <c r="GB90" s="70"/>
      <c r="GC90" s="70"/>
      <c r="GD90" s="70"/>
      <c r="GE90" s="70"/>
      <c r="GF90" s="70"/>
      <c r="GG90" s="70"/>
      <c r="GH90" s="70"/>
      <c r="GI90" s="70"/>
      <c r="GJ90" s="475"/>
    </row>
    <row r="91" spans="1:192" ht="13">
      <c r="A91" s="1051"/>
      <c r="B91" s="1051"/>
      <c r="C91" s="1143"/>
      <c r="D91" s="1182"/>
      <c r="E91" s="1095"/>
      <c r="F91" s="1051"/>
      <c r="G91" s="1051"/>
      <c r="H91" s="1051"/>
      <c r="I91" s="1143"/>
      <c r="J91" s="1182"/>
      <c r="K91" s="463"/>
      <c r="L91" s="24"/>
      <c r="M91" s="464">
        <v>472674.39999999997</v>
      </c>
      <c r="N91" s="1051"/>
      <c r="O91" s="1095"/>
      <c r="P91" s="707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  <c r="EE91" s="70"/>
      <c r="EF91" s="70"/>
      <c r="EG91" s="70"/>
      <c r="EH91" s="70"/>
      <c r="EI91" s="70"/>
      <c r="EJ91" s="70"/>
      <c r="EK91" s="70"/>
      <c r="EL91" s="70"/>
      <c r="EM91" s="70"/>
      <c r="EN91" s="70"/>
      <c r="EO91" s="70"/>
      <c r="EP91" s="70"/>
      <c r="EQ91" s="70"/>
      <c r="ER91" s="70"/>
      <c r="ES91" s="70"/>
      <c r="ET91" s="70"/>
      <c r="EU91" s="70"/>
      <c r="EV91" s="70"/>
      <c r="EW91" s="70"/>
      <c r="EX91" s="70"/>
      <c r="EY91" s="70"/>
      <c r="EZ91" s="70"/>
      <c r="FA91" s="70"/>
      <c r="FB91" s="70"/>
      <c r="FC91" s="70"/>
      <c r="FD91" s="70"/>
      <c r="FE91" s="70"/>
      <c r="FF91" s="70"/>
      <c r="FG91" s="70"/>
      <c r="FH91" s="70"/>
      <c r="FI91" s="70"/>
      <c r="FJ91" s="70"/>
      <c r="FK91" s="70"/>
      <c r="FL91" s="70"/>
      <c r="FM91" s="70"/>
      <c r="FN91" s="70"/>
      <c r="FO91" s="70"/>
      <c r="FP91" s="70"/>
      <c r="FQ91" s="70"/>
      <c r="FR91" s="70"/>
      <c r="FS91" s="70"/>
      <c r="FT91" s="70"/>
      <c r="FU91" s="70"/>
      <c r="FV91" s="70"/>
      <c r="FW91" s="70"/>
      <c r="FX91" s="70"/>
      <c r="FY91" s="70"/>
      <c r="FZ91" s="70"/>
      <c r="GA91" s="70"/>
      <c r="GB91" s="70"/>
      <c r="GC91" s="70"/>
      <c r="GD91" s="70"/>
      <c r="GE91" s="70"/>
      <c r="GF91" s="70"/>
      <c r="GG91" s="70"/>
      <c r="GH91" s="70"/>
      <c r="GI91" s="70"/>
      <c r="GJ91" s="475"/>
    </row>
    <row r="92" spans="1:192" ht="13">
      <c r="A92" s="1051"/>
      <c r="B92" s="1051"/>
      <c r="C92" s="1143"/>
      <c r="D92" s="1182"/>
      <c r="E92" s="1095"/>
      <c r="F92" s="1051"/>
      <c r="G92" s="1051"/>
      <c r="H92" s="1051"/>
      <c r="I92" s="1143"/>
      <c r="J92" s="1182"/>
      <c r="K92" s="463"/>
      <c r="L92" s="24"/>
      <c r="M92" s="464">
        <v>472674.39999999997</v>
      </c>
      <c r="N92" s="1051"/>
      <c r="O92" s="1095"/>
      <c r="P92" s="707"/>
      <c r="Q92" s="707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  <c r="EE92" s="70"/>
      <c r="EF92" s="70"/>
      <c r="EG92" s="70"/>
      <c r="EH92" s="70"/>
      <c r="EI92" s="70"/>
      <c r="EJ92" s="70"/>
      <c r="EK92" s="70"/>
      <c r="EL92" s="70"/>
      <c r="EM92" s="70"/>
      <c r="EN92" s="70"/>
      <c r="EO92" s="70"/>
      <c r="EP92" s="70"/>
      <c r="EQ92" s="70"/>
      <c r="ER92" s="70"/>
      <c r="ES92" s="70"/>
      <c r="ET92" s="70"/>
      <c r="EU92" s="70"/>
      <c r="EV92" s="70"/>
      <c r="EW92" s="70"/>
      <c r="EX92" s="70"/>
      <c r="EY92" s="70"/>
      <c r="EZ92" s="70"/>
      <c r="FA92" s="70"/>
      <c r="FB92" s="70"/>
      <c r="FC92" s="70"/>
      <c r="FD92" s="70"/>
      <c r="FE92" s="70"/>
      <c r="FF92" s="70"/>
      <c r="FG92" s="70"/>
      <c r="FH92" s="70"/>
      <c r="FI92" s="70"/>
      <c r="FJ92" s="70"/>
      <c r="FK92" s="70"/>
      <c r="FL92" s="70"/>
      <c r="FM92" s="70"/>
      <c r="FN92" s="70"/>
      <c r="FO92" s="70"/>
      <c r="FP92" s="70"/>
      <c r="FQ92" s="70"/>
      <c r="FR92" s="70"/>
      <c r="FS92" s="70"/>
      <c r="FT92" s="70"/>
      <c r="FU92" s="70"/>
      <c r="FV92" s="70"/>
      <c r="FW92" s="70"/>
      <c r="FX92" s="70"/>
      <c r="FY92" s="70"/>
      <c r="FZ92" s="70"/>
      <c r="GA92" s="70"/>
      <c r="GB92" s="70"/>
      <c r="GC92" s="70"/>
      <c r="GD92" s="70"/>
      <c r="GE92" s="70"/>
      <c r="GF92" s="70"/>
      <c r="GG92" s="70"/>
      <c r="GH92" s="70"/>
      <c r="GI92" s="70"/>
      <c r="GJ92" s="475"/>
    </row>
    <row r="93" spans="1:192" ht="13">
      <c r="A93" s="1051"/>
      <c r="B93" s="1052"/>
      <c r="C93" s="1082"/>
      <c r="D93" s="1183"/>
      <c r="E93" s="1096"/>
      <c r="F93" s="1052"/>
      <c r="G93" s="1052"/>
      <c r="H93" s="1052"/>
      <c r="I93" s="1082"/>
      <c r="J93" s="1183"/>
      <c r="K93" s="463"/>
      <c r="L93" s="24"/>
      <c r="M93" s="464">
        <v>601585.6</v>
      </c>
      <c r="N93" s="1052"/>
      <c r="O93" s="1096"/>
      <c r="P93" s="707"/>
      <c r="Q93" s="707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  <c r="EE93" s="70"/>
      <c r="EF93" s="70"/>
      <c r="EG93" s="70"/>
      <c r="EH93" s="70"/>
      <c r="EI93" s="70"/>
      <c r="EJ93" s="70"/>
      <c r="EK93" s="70"/>
      <c r="EL93" s="70"/>
      <c r="EM93" s="70"/>
      <c r="EN93" s="70"/>
      <c r="EO93" s="70"/>
      <c r="EP93" s="70"/>
      <c r="EQ93" s="70"/>
      <c r="ER93" s="70"/>
      <c r="ES93" s="70"/>
      <c r="ET93" s="70"/>
      <c r="EU93" s="70"/>
      <c r="EV93" s="70"/>
      <c r="EW93" s="70"/>
      <c r="EX93" s="70"/>
      <c r="EY93" s="70"/>
      <c r="EZ93" s="70"/>
      <c r="FA93" s="70"/>
      <c r="FB93" s="70"/>
      <c r="FC93" s="70"/>
      <c r="FD93" s="70"/>
      <c r="FE93" s="70"/>
      <c r="FF93" s="70"/>
      <c r="FG93" s="70"/>
      <c r="FH93" s="70"/>
      <c r="FI93" s="70"/>
      <c r="FJ93" s="70"/>
      <c r="FK93" s="70"/>
      <c r="FL93" s="70"/>
      <c r="FM93" s="70"/>
      <c r="FN93" s="70"/>
      <c r="FO93" s="70"/>
      <c r="FP93" s="70"/>
      <c r="FQ93" s="70"/>
      <c r="FR93" s="70"/>
      <c r="FS93" s="70"/>
      <c r="FT93" s="70"/>
      <c r="FU93" s="70"/>
      <c r="FV93" s="70"/>
      <c r="FW93" s="70"/>
      <c r="FX93" s="70"/>
      <c r="FY93" s="70"/>
      <c r="FZ93" s="70"/>
      <c r="GA93" s="70"/>
      <c r="GB93" s="70"/>
      <c r="GC93" s="70"/>
      <c r="GD93" s="70"/>
      <c r="GE93" s="70"/>
      <c r="GF93" s="70"/>
      <c r="GG93" s="70"/>
      <c r="GH93" s="70"/>
      <c r="GI93" s="70"/>
      <c r="GJ93" s="475"/>
    </row>
    <row r="94" spans="1:192" ht="13">
      <c r="A94" s="448"/>
      <c r="B94" s="817" t="s">
        <v>15066</v>
      </c>
      <c r="C94" s="823" t="s">
        <v>15067</v>
      </c>
      <c r="D94" s="722" t="s">
        <v>15068</v>
      </c>
      <c r="E94" s="463" t="s">
        <v>15020</v>
      </c>
      <c r="F94" s="24" t="s">
        <v>15069</v>
      </c>
      <c r="G94" s="724" t="s">
        <v>15070</v>
      </c>
      <c r="H94" s="800">
        <v>45413</v>
      </c>
      <c r="I94" s="801">
        <v>45777</v>
      </c>
      <c r="J94" s="784">
        <v>511500</v>
      </c>
      <c r="K94" s="463"/>
      <c r="L94" s="463" t="s">
        <v>240</v>
      </c>
      <c r="M94" s="818">
        <v>511500</v>
      </c>
      <c r="N94" s="803" t="s">
        <v>15071</v>
      </c>
      <c r="O94" s="51" t="str">
        <f>O76</f>
        <v>ART241130이수임1719</v>
      </c>
      <c r="P94" s="148"/>
      <c r="Q94" s="148"/>
      <c r="R94" s="605"/>
      <c r="S94" s="605"/>
      <c r="T94" s="605"/>
      <c r="U94" s="605"/>
      <c r="V94" s="605"/>
      <c r="W94" s="605"/>
      <c r="X94" s="605"/>
      <c r="Y94" s="605"/>
      <c r="Z94" s="605"/>
      <c r="AA94" s="605"/>
      <c r="AB94" s="605"/>
      <c r="AC94" s="605"/>
      <c r="AD94" s="605"/>
      <c r="AE94" s="605"/>
      <c r="AF94" s="605"/>
      <c r="AG94" s="605"/>
      <c r="AH94" s="605"/>
      <c r="AI94" s="605"/>
      <c r="AJ94" s="605"/>
      <c r="AK94" s="605"/>
      <c r="AL94" s="605"/>
      <c r="AM94" s="605"/>
      <c r="AN94" s="605"/>
      <c r="AO94" s="605"/>
      <c r="AP94" s="605"/>
      <c r="AQ94" s="605"/>
      <c r="AR94" s="605"/>
      <c r="AS94" s="605"/>
      <c r="AT94" s="605"/>
      <c r="AU94" s="605"/>
      <c r="AV94" s="605"/>
      <c r="AW94" s="605"/>
      <c r="AX94" s="605"/>
      <c r="AY94" s="605"/>
      <c r="AZ94" s="605"/>
      <c r="BA94" s="605"/>
      <c r="BB94" s="605"/>
      <c r="BC94" s="605"/>
      <c r="BD94" s="605"/>
      <c r="BE94" s="605"/>
      <c r="BF94" s="605"/>
      <c r="BG94" s="605"/>
      <c r="BH94" s="605"/>
      <c r="BI94" s="605"/>
      <c r="BJ94" s="605"/>
      <c r="BK94" s="605"/>
      <c r="BL94" s="605"/>
      <c r="BM94" s="605"/>
      <c r="BN94" s="605"/>
      <c r="BO94" s="605"/>
      <c r="BP94" s="605"/>
      <c r="BQ94" s="605"/>
      <c r="BR94" s="605"/>
      <c r="BS94" s="605"/>
      <c r="BT94" s="605"/>
      <c r="BU94" s="605"/>
      <c r="BV94" s="605"/>
      <c r="BW94" s="605"/>
      <c r="BX94" s="605"/>
      <c r="BY94" s="605"/>
      <c r="BZ94" s="605"/>
      <c r="CA94" s="605"/>
      <c r="CB94" s="605"/>
      <c r="CC94" s="605"/>
      <c r="CD94" s="605"/>
      <c r="CE94" s="605"/>
      <c r="CF94" s="605"/>
      <c r="CG94" s="605"/>
      <c r="CH94" s="605"/>
      <c r="CI94" s="605"/>
      <c r="CJ94" s="605"/>
      <c r="CK94" s="605"/>
      <c r="CL94" s="605"/>
      <c r="CM94" s="605"/>
      <c r="CN94" s="605"/>
      <c r="CO94" s="605"/>
      <c r="CP94" s="605"/>
      <c r="CQ94" s="605"/>
      <c r="CR94" s="605"/>
      <c r="CS94" s="605"/>
      <c r="CT94" s="605"/>
      <c r="CU94" s="605"/>
      <c r="CV94" s="605"/>
      <c r="CW94" s="605"/>
      <c r="CX94" s="605"/>
      <c r="CY94" s="605"/>
      <c r="CZ94" s="605"/>
      <c r="DA94" s="605"/>
      <c r="DB94" s="605"/>
      <c r="DC94" s="605"/>
      <c r="DD94" s="605"/>
      <c r="DE94" s="605"/>
      <c r="DF94" s="605"/>
      <c r="DG94" s="605"/>
      <c r="DH94" s="605"/>
      <c r="DI94" s="605"/>
      <c r="DJ94" s="605"/>
      <c r="DK94" s="605"/>
      <c r="DL94" s="605"/>
      <c r="DM94" s="605"/>
      <c r="DN94" s="605"/>
      <c r="DO94" s="605"/>
      <c r="DP94" s="605"/>
      <c r="DQ94" s="605"/>
      <c r="DR94" s="605"/>
      <c r="DS94" s="605"/>
      <c r="DT94" s="605"/>
      <c r="DU94" s="605"/>
      <c r="DV94" s="605"/>
      <c r="DW94" s="605"/>
      <c r="DX94" s="605"/>
      <c r="DY94" s="605"/>
      <c r="DZ94" s="605"/>
      <c r="EA94" s="605"/>
      <c r="EB94" s="605"/>
      <c r="EC94" s="605"/>
      <c r="ED94" s="605"/>
      <c r="EE94" s="605"/>
      <c r="EF94" s="605"/>
      <c r="EG94" s="605"/>
      <c r="EH94" s="605"/>
      <c r="EI94" s="605"/>
      <c r="EJ94" s="605"/>
      <c r="EK94" s="605"/>
      <c r="EL94" s="605"/>
      <c r="EM94" s="605"/>
      <c r="EN94" s="605"/>
      <c r="EO94" s="605"/>
      <c r="EP94" s="605"/>
      <c r="EQ94" s="605"/>
      <c r="ER94" s="605"/>
      <c r="ES94" s="605"/>
      <c r="ET94" s="605"/>
      <c r="EU94" s="605"/>
      <c r="EV94" s="605"/>
      <c r="EW94" s="605"/>
      <c r="EX94" s="605"/>
      <c r="EY94" s="605"/>
      <c r="EZ94" s="605"/>
      <c r="FA94" s="605"/>
      <c r="FB94" s="605"/>
      <c r="FC94" s="605"/>
      <c r="FD94" s="605"/>
      <c r="FE94" s="605"/>
      <c r="FF94" s="605"/>
      <c r="FG94" s="605"/>
      <c r="FH94" s="605"/>
      <c r="FI94" s="605"/>
      <c r="FJ94" s="605"/>
      <c r="FK94" s="605"/>
      <c r="FL94" s="605"/>
      <c r="FM94" s="605"/>
      <c r="FN94" s="605"/>
      <c r="FO94" s="605"/>
      <c r="FP94" s="605"/>
      <c r="FQ94" s="605"/>
      <c r="FR94" s="605"/>
      <c r="FS94" s="605"/>
      <c r="FT94" s="605"/>
      <c r="FU94" s="605"/>
      <c r="FV94" s="605"/>
      <c r="FW94" s="605"/>
      <c r="FX94" s="605"/>
      <c r="FY94" s="605"/>
      <c r="FZ94" s="605"/>
      <c r="GA94" s="605"/>
      <c r="GB94" s="605"/>
      <c r="GC94" s="605"/>
      <c r="GD94" s="605"/>
      <c r="GE94" s="605"/>
      <c r="GF94" s="605"/>
      <c r="GG94" s="605"/>
      <c r="GH94" s="605"/>
      <c r="GI94" s="605"/>
      <c r="GJ94" s="824"/>
    </row>
    <row r="95" spans="1:192" ht="13">
      <c r="A95" s="1050"/>
      <c r="B95" s="1188" t="s">
        <v>516</v>
      </c>
      <c r="C95" s="1232" t="s">
        <v>15072</v>
      </c>
      <c r="D95" s="1190" t="s">
        <v>15073</v>
      </c>
      <c r="E95" s="1145" t="s">
        <v>15020</v>
      </c>
      <c r="F95" s="1050" t="s">
        <v>15004</v>
      </c>
      <c r="G95" s="1184" t="s">
        <v>15074</v>
      </c>
      <c r="H95" s="1229">
        <v>45566</v>
      </c>
      <c r="I95" s="1230">
        <v>45930</v>
      </c>
      <c r="J95" s="1181">
        <v>2544100</v>
      </c>
      <c r="K95" s="772">
        <v>24423360</v>
      </c>
      <c r="L95" s="825">
        <v>0.8</v>
      </c>
      <c r="M95" s="464">
        <f t="shared" ref="M95:M100" si="1">K95/12</f>
        <v>2035280</v>
      </c>
      <c r="N95" s="1184" t="s">
        <v>15075</v>
      </c>
      <c r="O95" s="1231"/>
      <c r="P95" s="1074" t="s">
        <v>14913</v>
      </c>
      <c r="Q95" s="34">
        <v>23897280</v>
      </c>
      <c r="R95" s="70"/>
      <c r="S95" s="1186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  <c r="EE95" s="70"/>
      <c r="EF95" s="70"/>
      <c r="EG95" s="70"/>
      <c r="EH95" s="70"/>
      <c r="EI95" s="70"/>
      <c r="EJ95" s="70"/>
      <c r="EK95" s="70"/>
      <c r="EL95" s="70"/>
      <c r="EM95" s="70"/>
      <c r="EN95" s="70"/>
      <c r="EO95" s="70"/>
      <c r="EP95" s="70"/>
      <c r="EQ95" s="70"/>
      <c r="ER95" s="70"/>
      <c r="ES95" s="70"/>
      <c r="ET95" s="70"/>
      <c r="EU95" s="70"/>
      <c r="EV95" s="70"/>
      <c r="EW95" s="70"/>
      <c r="EX95" s="70"/>
      <c r="EY95" s="70"/>
      <c r="EZ95" s="70"/>
      <c r="FA95" s="70"/>
      <c r="FB95" s="70"/>
      <c r="FC95" s="70"/>
      <c r="FD95" s="70"/>
      <c r="FE95" s="70"/>
      <c r="FF95" s="70"/>
      <c r="FG95" s="70"/>
      <c r="FH95" s="70"/>
      <c r="FI95" s="70"/>
      <c r="FJ95" s="70"/>
      <c r="FK95" s="70"/>
      <c r="FL95" s="70"/>
      <c r="FM95" s="70"/>
      <c r="FN95" s="70"/>
      <c r="FO95" s="70"/>
      <c r="FP95" s="70"/>
      <c r="FQ95" s="70"/>
      <c r="FR95" s="70"/>
      <c r="FS95" s="70"/>
      <c r="FT95" s="70"/>
      <c r="FU95" s="70"/>
      <c r="FV95" s="70"/>
      <c r="FW95" s="70"/>
      <c r="FX95" s="70"/>
      <c r="FY95" s="70"/>
      <c r="FZ95" s="70"/>
      <c r="GA95" s="70"/>
      <c r="GB95" s="70"/>
      <c r="GC95" s="70"/>
      <c r="GD95" s="70"/>
      <c r="GE95" s="70"/>
      <c r="GF95" s="70"/>
      <c r="GG95" s="70"/>
      <c r="GH95" s="70"/>
      <c r="GI95" s="70"/>
      <c r="GJ95" s="70"/>
    </row>
    <row r="96" spans="1:192" ht="13">
      <c r="A96" s="1051"/>
      <c r="B96" s="1051"/>
      <c r="C96" s="1143"/>
      <c r="D96" s="1182"/>
      <c r="E96" s="1095"/>
      <c r="F96" s="1051"/>
      <c r="G96" s="1051"/>
      <c r="H96" s="1051"/>
      <c r="I96" s="1143"/>
      <c r="J96" s="1182"/>
      <c r="K96" s="772">
        <v>3968796</v>
      </c>
      <c r="L96" s="826">
        <v>0.13</v>
      </c>
      <c r="M96" s="464">
        <f t="shared" si="1"/>
        <v>330733</v>
      </c>
      <c r="N96" s="1051"/>
      <c r="O96" s="1143"/>
      <c r="P96" s="1051"/>
      <c r="Q96" s="34">
        <v>3883308</v>
      </c>
      <c r="R96" s="70"/>
      <c r="S96" s="1106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  <c r="EE96" s="70"/>
      <c r="EF96" s="70"/>
      <c r="EG96" s="70"/>
      <c r="EH96" s="70"/>
      <c r="EI96" s="70"/>
      <c r="EJ96" s="70"/>
      <c r="EK96" s="70"/>
      <c r="EL96" s="70"/>
      <c r="EM96" s="70"/>
      <c r="EN96" s="70"/>
      <c r="EO96" s="70"/>
      <c r="EP96" s="70"/>
      <c r="EQ96" s="70"/>
      <c r="ER96" s="70"/>
      <c r="ES96" s="70"/>
      <c r="ET96" s="70"/>
      <c r="EU96" s="70"/>
      <c r="EV96" s="70"/>
      <c r="EW96" s="70"/>
      <c r="EX96" s="70"/>
      <c r="EY96" s="70"/>
      <c r="EZ96" s="70"/>
      <c r="FA96" s="70"/>
      <c r="FB96" s="70"/>
      <c r="FC96" s="70"/>
      <c r="FD96" s="70"/>
      <c r="FE96" s="70"/>
      <c r="FF96" s="70"/>
      <c r="FG96" s="70"/>
      <c r="FH96" s="70"/>
      <c r="FI96" s="70"/>
      <c r="FJ96" s="70"/>
      <c r="FK96" s="70"/>
      <c r="FL96" s="70"/>
      <c r="FM96" s="70"/>
      <c r="FN96" s="70"/>
      <c r="FO96" s="70"/>
      <c r="FP96" s="70"/>
      <c r="FQ96" s="70"/>
      <c r="FR96" s="70"/>
      <c r="FS96" s="70"/>
      <c r="FT96" s="70"/>
      <c r="FU96" s="70"/>
      <c r="FV96" s="70"/>
      <c r="FW96" s="70"/>
      <c r="FX96" s="70"/>
      <c r="FY96" s="70"/>
      <c r="FZ96" s="70"/>
      <c r="GA96" s="70"/>
      <c r="GB96" s="70"/>
      <c r="GC96" s="70"/>
      <c r="GD96" s="70"/>
      <c r="GE96" s="70"/>
      <c r="GF96" s="70"/>
      <c r="GG96" s="70"/>
      <c r="GH96" s="70"/>
      <c r="GI96" s="70"/>
      <c r="GJ96" s="70"/>
    </row>
    <row r="97" spans="1:192" ht="13">
      <c r="A97" s="1051"/>
      <c r="B97" s="1051"/>
      <c r="C97" s="1143"/>
      <c r="D97" s="1182"/>
      <c r="E97" s="1095"/>
      <c r="F97" s="1051"/>
      <c r="G97" s="1051"/>
      <c r="H97" s="1051"/>
      <c r="I97" s="1143"/>
      <c r="J97" s="1182"/>
      <c r="K97" s="772">
        <v>1221168</v>
      </c>
      <c r="L97" s="826">
        <v>0.04</v>
      </c>
      <c r="M97" s="464">
        <f t="shared" si="1"/>
        <v>101764</v>
      </c>
      <c r="N97" s="1051"/>
      <c r="O97" s="1143"/>
      <c r="P97" s="1051"/>
      <c r="Q97" s="34">
        <v>1194864</v>
      </c>
      <c r="R97" s="70"/>
      <c r="S97" s="1106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  <c r="EE97" s="70"/>
      <c r="EF97" s="70"/>
      <c r="EG97" s="70"/>
      <c r="EH97" s="70"/>
      <c r="EI97" s="70"/>
      <c r="EJ97" s="70"/>
      <c r="EK97" s="70"/>
      <c r="EL97" s="70"/>
      <c r="EM97" s="70"/>
      <c r="EN97" s="70"/>
      <c r="EO97" s="70"/>
      <c r="EP97" s="70"/>
      <c r="EQ97" s="70"/>
      <c r="ER97" s="70"/>
      <c r="ES97" s="70"/>
      <c r="ET97" s="70"/>
      <c r="EU97" s="70"/>
      <c r="EV97" s="70"/>
      <c r="EW97" s="70"/>
      <c r="EX97" s="70"/>
      <c r="EY97" s="70"/>
      <c r="EZ97" s="70"/>
      <c r="FA97" s="70"/>
      <c r="FB97" s="70"/>
      <c r="FC97" s="70"/>
      <c r="FD97" s="70"/>
      <c r="FE97" s="70"/>
      <c r="FF97" s="70"/>
      <c r="FG97" s="70"/>
      <c r="FH97" s="70"/>
      <c r="FI97" s="70"/>
      <c r="FJ97" s="70"/>
      <c r="FK97" s="70"/>
      <c r="FL97" s="70"/>
      <c r="FM97" s="70"/>
      <c r="FN97" s="70"/>
      <c r="FO97" s="70"/>
      <c r="FP97" s="70"/>
      <c r="FQ97" s="70"/>
      <c r="FR97" s="70"/>
      <c r="FS97" s="70"/>
      <c r="FT97" s="70"/>
      <c r="FU97" s="70"/>
      <c r="FV97" s="70"/>
      <c r="FW97" s="70"/>
      <c r="FX97" s="70"/>
      <c r="FY97" s="70"/>
      <c r="FZ97" s="70"/>
      <c r="GA97" s="70"/>
      <c r="GB97" s="70"/>
      <c r="GC97" s="70"/>
      <c r="GD97" s="70"/>
      <c r="GE97" s="70"/>
      <c r="GF97" s="70"/>
      <c r="GG97" s="70"/>
      <c r="GH97" s="70"/>
      <c r="GI97" s="70"/>
      <c r="GJ97" s="70"/>
    </row>
    <row r="98" spans="1:192" ht="13">
      <c r="A98" s="1051"/>
      <c r="B98" s="1051"/>
      <c r="C98" s="1143"/>
      <c r="D98" s="1182"/>
      <c r="E98" s="1095"/>
      <c r="F98" s="1051"/>
      <c r="G98" s="1051"/>
      <c r="H98" s="1051"/>
      <c r="I98" s="1143"/>
      <c r="J98" s="1182"/>
      <c r="K98" s="772">
        <v>305292</v>
      </c>
      <c r="L98" s="826">
        <v>0.01</v>
      </c>
      <c r="M98" s="464">
        <f t="shared" si="1"/>
        <v>25441</v>
      </c>
      <c r="N98" s="1051"/>
      <c r="O98" s="1143"/>
      <c r="P98" s="1051"/>
      <c r="Q98" s="34">
        <v>298716</v>
      </c>
      <c r="R98" s="70"/>
      <c r="S98" s="1106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  <c r="EE98" s="70"/>
      <c r="EF98" s="70"/>
      <c r="EG98" s="70"/>
      <c r="EH98" s="70"/>
      <c r="EI98" s="70"/>
      <c r="EJ98" s="70"/>
      <c r="EK98" s="70"/>
      <c r="EL98" s="70"/>
      <c r="EM98" s="70"/>
      <c r="EN98" s="70"/>
      <c r="EO98" s="70"/>
      <c r="EP98" s="70"/>
      <c r="EQ98" s="70"/>
      <c r="ER98" s="70"/>
      <c r="ES98" s="70"/>
      <c r="ET98" s="70"/>
      <c r="EU98" s="70"/>
      <c r="EV98" s="70"/>
      <c r="EW98" s="70"/>
      <c r="EX98" s="70"/>
      <c r="EY98" s="70"/>
      <c r="EZ98" s="70"/>
      <c r="FA98" s="70"/>
      <c r="FB98" s="70"/>
      <c r="FC98" s="70"/>
      <c r="FD98" s="70"/>
      <c r="FE98" s="70"/>
      <c r="FF98" s="70"/>
      <c r="FG98" s="70"/>
      <c r="FH98" s="70"/>
      <c r="FI98" s="70"/>
      <c r="FJ98" s="70"/>
      <c r="FK98" s="70"/>
      <c r="FL98" s="70"/>
      <c r="FM98" s="70"/>
      <c r="FN98" s="70"/>
      <c r="FO98" s="70"/>
      <c r="FP98" s="70"/>
      <c r="FQ98" s="70"/>
      <c r="FR98" s="70"/>
      <c r="FS98" s="70"/>
      <c r="FT98" s="70"/>
      <c r="FU98" s="70"/>
      <c r="FV98" s="70"/>
      <c r="FW98" s="70"/>
      <c r="FX98" s="70"/>
      <c r="FY98" s="70"/>
      <c r="FZ98" s="70"/>
      <c r="GA98" s="70"/>
      <c r="GB98" s="70"/>
      <c r="GC98" s="70"/>
      <c r="GD98" s="70"/>
      <c r="GE98" s="70"/>
      <c r="GF98" s="70"/>
      <c r="GG98" s="70"/>
      <c r="GH98" s="70"/>
      <c r="GI98" s="70"/>
      <c r="GJ98" s="70"/>
    </row>
    <row r="99" spans="1:192" ht="13">
      <c r="A99" s="1051"/>
      <c r="B99" s="1051"/>
      <c r="C99" s="1143"/>
      <c r="D99" s="1182"/>
      <c r="E99" s="1095"/>
      <c r="F99" s="1051"/>
      <c r="G99" s="1051"/>
      <c r="H99" s="1051"/>
      <c r="I99" s="1143"/>
      <c r="J99" s="1182"/>
      <c r="K99" s="772">
        <v>305292</v>
      </c>
      <c r="L99" s="826">
        <v>0.01</v>
      </c>
      <c r="M99" s="464">
        <f t="shared" si="1"/>
        <v>25441</v>
      </c>
      <c r="N99" s="1051"/>
      <c r="O99" s="1143"/>
      <c r="P99" s="1051"/>
      <c r="Q99" s="34">
        <v>298716</v>
      </c>
      <c r="R99" s="70"/>
      <c r="S99" s="1106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  <c r="EE99" s="70"/>
      <c r="EF99" s="70"/>
      <c r="EG99" s="70"/>
      <c r="EH99" s="70"/>
      <c r="EI99" s="70"/>
      <c r="EJ99" s="70"/>
      <c r="EK99" s="70"/>
      <c r="EL99" s="70"/>
      <c r="EM99" s="70"/>
      <c r="EN99" s="70"/>
      <c r="EO99" s="70"/>
      <c r="EP99" s="70"/>
      <c r="EQ99" s="70"/>
      <c r="ER99" s="70"/>
      <c r="ES99" s="70"/>
      <c r="ET99" s="70"/>
      <c r="EU99" s="70"/>
      <c r="EV99" s="70"/>
      <c r="EW99" s="70"/>
      <c r="EX99" s="70"/>
      <c r="EY99" s="70"/>
      <c r="EZ99" s="70"/>
      <c r="FA99" s="70"/>
      <c r="FB99" s="70"/>
      <c r="FC99" s="70"/>
      <c r="FD99" s="70"/>
      <c r="FE99" s="70"/>
      <c r="FF99" s="70"/>
      <c r="FG99" s="70"/>
      <c r="FH99" s="70"/>
      <c r="FI99" s="70"/>
      <c r="FJ99" s="70"/>
      <c r="FK99" s="70"/>
      <c r="FL99" s="70"/>
      <c r="FM99" s="70"/>
      <c r="FN99" s="70"/>
      <c r="FO99" s="70"/>
      <c r="FP99" s="70"/>
      <c r="FQ99" s="70"/>
      <c r="FR99" s="70"/>
      <c r="FS99" s="70"/>
      <c r="FT99" s="70"/>
      <c r="FU99" s="70"/>
      <c r="FV99" s="70"/>
      <c r="FW99" s="70"/>
      <c r="FX99" s="70"/>
      <c r="FY99" s="70"/>
      <c r="FZ99" s="70"/>
      <c r="GA99" s="70"/>
      <c r="GB99" s="70"/>
      <c r="GC99" s="70"/>
      <c r="GD99" s="70"/>
      <c r="GE99" s="70"/>
      <c r="GF99" s="70"/>
      <c r="GG99" s="70"/>
      <c r="GH99" s="70"/>
      <c r="GI99" s="70"/>
      <c r="GJ99" s="70"/>
    </row>
    <row r="100" spans="1:192" ht="13">
      <c r="A100" s="1051"/>
      <c r="B100" s="1051"/>
      <c r="C100" s="1143"/>
      <c r="D100" s="1182"/>
      <c r="E100" s="1095"/>
      <c r="F100" s="1051"/>
      <c r="G100" s="1051"/>
      <c r="H100" s="1051"/>
      <c r="I100" s="1143"/>
      <c r="J100" s="1182"/>
      <c r="K100" s="772">
        <v>305292</v>
      </c>
      <c r="L100" s="826">
        <v>0.01</v>
      </c>
      <c r="M100" s="464">
        <f t="shared" si="1"/>
        <v>25441</v>
      </c>
      <c r="N100" s="1051"/>
      <c r="O100" s="1143"/>
      <c r="P100" s="1051"/>
      <c r="Q100" s="34">
        <v>298716</v>
      </c>
      <c r="R100" s="70"/>
      <c r="S100" s="1106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70"/>
      <c r="DR100" s="70"/>
      <c r="DS100" s="70"/>
      <c r="DT100" s="70"/>
      <c r="DU100" s="70"/>
      <c r="DV100" s="70"/>
      <c r="DW100" s="70"/>
      <c r="DX100" s="70"/>
      <c r="DY100" s="70"/>
      <c r="DZ100" s="70"/>
      <c r="EA100" s="70"/>
      <c r="EB100" s="70"/>
      <c r="EC100" s="70"/>
      <c r="ED100" s="70"/>
      <c r="EE100" s="70"/>
      <c r="EF100" s="70"/>
      <c r="EG100" s="70"/>
      <c r="EH100" s="70"/>
      <c r="EI100" s="70"/>
      <c r="EJ100" s="70"/>
      <c r="EK100" s="70"/>
      <c r="EL100" s="70"/>
      <c r="EM100" s="70"/>
      <c r="EN100" s="70"/>
      <c r="EO100" s="70"/>
      <c r="EP100" s="70"/>
      <c r="EQ100" s="70"/>
      <c r="ER100" s="70"/>
      <c r="ES100" s="70"/>
      <c r="ET100" s="70"/>
      <c r="EU100" s="70"/>
      <c r="EV100" s="70"/>
      <c r="EW100" s="70"/>
      <c r="EX100" s="70"/>
      <c r="EY100" s="70"/>
      <c r="EZ100" s="70"/>
      <c r="FA100" s="70"/>
      <c r="FB100" s="70"/>
      <c r="FC100" s="70"/>
      <c r="FD100" s="70"/>
      <c r="FE100" s="70"/>
      <c r="FF100" s="70"/>
      <c r="FG100" s="70"/>
      <c r="FH100" s="70"/>
      <c r="FI100" s="70"/>
      <c r="FJ100" s="70"/>
      <c r="FK100" s="70"/>
      <c r="FL100" s="70"/>
      <c r="FM100" s="70"/>
      <c r="FN100" s="70"/>
      <c r="FO100" s="70"/>
      <c r="FP100" s="70"/>
      <c r="FQ100" s="70"/>
      <c r="FR100" s="70"/>
      <c r="FS100" s="70"/>
      <c r="FT100" s="70"/>
      <c r="FU100" s="70"/>
      <c r="FV100" s="70"/>
      <c r="FW100" s="70"/>
      <c r="FX100" s="70"/>
      <c r="FY100" s="70"/>
      <c r="FZ100" s="70"/>
      <c r="GA100" s="70"/>
      <c r="GB100" s="70"/>
      <c r="GC100" s="70"/>
      <c r="GD100" s="70"/>
      <c r="GE100" s="70"/>
      <c r="GF100" s="70"/>
      <c r="GG100" s="70"/>
      <c r="GH100" s="70"/>
      <c r="GI100" s="70"/>
      <c r="GJ100" s="70"/>
    </row>
    <row r="101" spans="1:192" ht="13">
      <c r="A101" s="1052"/>
      <c r="B101" s="1052"/>
      <c r="C101" s="1082"/>
      <c r="D101" s="1183"/>
      <c r="E101" s="1096"/>
      <c r="F101" s="1052"/>
      <c r="G101" s="1052"/>
      <c r="H101" s="1052"/>
      <c r="I101" s="1082"/>
      <c r="J101" s="1183"/>
      <c r="K101" s="463"/>
      <c r="L101" s="826"/>
      <c r="M101" s="827"/>
      <c r="N101" s="1052"/>
      <c r="O101" s="1082"/>
      <c r="P101" s="1052"/>
      <c r="Q101" s="802">
        <v>26689200</v>
      </c>
      <c r="R101" s="70"/>
      <c r="S101" s="1106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  <c r="EE101" s="70"/>
      <c r="EF101" s="70"/>
      <c r="EG101" s="70"/>
      <c r="EH101" s="70"/>
      <c r="EI101" s="70"/>
      <c r="EJ101" s="70"/>
      <c r="EK101" s="70"/>
      <c r="EL101" s="70"/>
      <c r="EM101" s="70"/>
      <c r="EN101" s="70"/>
      <c r="EO101" s="70"/>
      <c r="EP101" s="70"/>
      <c r="EQ101" s="70"/>
      <c r="ER101" s="70"/>
      <c r="ES101" s="70"/>
      <c r="ET101" s="70"/>
      <c r="EU101" s="70"/>
      <c r="EV101" s="70"/>
      <c r="EW101" s="70"/>
      <c r="EX101" s="70"/>
      <c r="EY101" s="70"/>
      <c r="EZ101" s="70"/>
      <c r="FA101" s="70"/>
      <c r="FB101" s="70"/>
      <c r="FC101" s="70"/>
      <c r="FD101" s="70"/>
      <c r="FE101" s="70"/>
      <c r="FF101" s="70"/>
      <c r="FG101" s="70"/>
      <c r="FH101" s="70"/>
      <c r="FI101" s="70"/>
      <c r="FJ101" s="70"/>
      <c r="FK101" s="70"/>
      <c r="FL101" s="70"/>
      <c r="FM101" s="70"/>
      <c r="FN101" s="70"/>
      <c r="FO101" s="70"/>
      <c r="FP101" s="70"/>
      <c r="FQ101" s="70"/>
      <c r="FR101" s="70"/>
      <c r="FS101" s="70"/>
      <c r="FT101" s="70"/>
      <c r="FU101" s="70"/>
      <c r="FV101" s="70"/>
      <c r="FW101" s="70"/>
      <c r="FX101" s="70"/>
      <c r="FY101" s="70"/>
      <c r="FZ101" s="70"/>
      <c r="GA101" s="70"/>
      <c r="GB101" s="70"/>
      <c r="GC101" s="70"/>
      <c r="GD101" s="70"/>
      <c r="GE101" s="70"/>
      <c r="GF101" s="70"/>
      <c r="GG101" s="70"/>
      <c r="GH101" s="70"/>
      <c r="GI101" s="70"/>
      <c r="GJ101" s="70"/>
    </row>
    <row r="102" spans="1:192" ht="13">
      <c r="A102" s="24"/>
      <c r="B102" s="828" t="s">
        <v>15076</v>
      </c>
      <c r="C102" s="807" t="s">
        <v>15077</v>
      </c>
      <c r="D102" s="722" t="s">
        <v>15078</v>
      </c>
      <c r="E102" s="463" t="s">
        <v>15020</v>
      </c>
      <c r="F102" s="24" t="s">
        <v>15004</v>
      </c>
      <c r="G102" s="701" t="s">
        <v>15079</v>
      </c>
      <c r="H102" s="702" t="s">
        <v>14780</v>
      </c>
      <c r="I102" s="703" t="s">
        <v>14780</v>
      </c>
      <c r="J102" s="734">
        <v>1400000</v>
      </c>
      <c r="K102" s="463" t="s">
        <v>15080</v>
      </c>
      <c r="L102" s="24" t="s">
        <v>240</v>
      </c>
      <c r="M102" s="829"/>
      <c r="N102" s="63" t="s">
        <v>15081</v>
      </c>
      <c r="O102" s="830" t="str">
        <f t="shared" ref="O102:O103" si="2">O76</f>
        <v>ART241130이수임1719</v>
      </c>
      <c r="P102" s="707"/>
      <c r="Q102" s="707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70"/>
      <c r="DR102" s="70"/>
      <c r="DS102" s="70"/>
      <c r="DT102" s="70"/>
      <c r="DU102" s="70"/>
      <c r="DV102" s="70"/>
      <c r="DW102" s="70"/>
      <c r="DX102" s="70"/>
      <c r="DY102" s="70"/>
      <c r="DZ102" s="70"/>
      <c r="EA102" s="70"/>
      <c r="EB102" s="70"/>
      <c r="EC102" s="70"/>
      <c r="ED102" s="70"/>
      <c r="EE102" s="70"/>
      <c r="EF102" s="70"/>
      <c r="EG102" s="70"/>
      <c r="EH102" s="70"/>
      <c r="EI102" s="70"/>
      <c r="EJ102" s="70"/>
      <c r="EK102" s="70"/>
      <c r="EL102" s="70"/>
      <c r="EM102" s="70"/>
      <c r="EN102" s="70"/>
      <c r="EO102" s="70"/>
      <c r="EP102" s="70"/>
      <c r="EQ102" s="70"/>
      <c r="ER102" s="70"/>
      <c r="ES102" s="70"/>
      <c r="ET102" s="70"/>
      <c r="EU102" s="70"/>
      <c r="EV102" s="70"/>
      <c r="EW102" s="70"/>
      <c r="EX102" s="70"/>
      <c r="EY102" s="70"/>
      <c r="EZ102" s="70"/>
      <c r="FA102" s="70"/>
      <c r="FB102" s="70"/>
      <c r="FC102" s="70"/>
      <c r="FD102" s="70"/>
      <c r="FE102" s="70"/>
      <c r="FF102" s="70"/>
      <c r="FG102" s="70"/>
      <c r="FH102" s="70"/>
      <c r="FI102" s="70"/>
      <c r="FJ102" s="70"/>
      <c r="FK102" s="70"/>
      <c r="FL102" s="70"/>
      <c r="FM102" s="70"/>
      <c r="FN102" s="70"/>
      <c r="FO102" s="70"/>
      <c r="FP102" s="70"/>
      <c r="FQ102" s="70"/>
      <c r="FR102" s="70"/>
      <c r="FS102" s="70"/>
      <c r="FT102" s="70"/>
      <c r="FU102" s="70"/>
      <c r="FV102" s="70"/>
      <c r="FW102" s="70"/>
      <c r="FX102" s="70"/>
      <c r="FY102" s="70"/>
      <c r="FZ102" s="70"/>
      <c r="GA102" s="70"/>
      <c r="GB102" s="70"/>
      <c r="GC102" s="70"/>
      <c r="GD102" s="70"/>
      <c r="GE102" s="70"/>
      <c r="GF102" s="70"/>
      <c r="GG102" s="70"/>
      <c r="GH102" s="70"/>
      <c r="GI102" s="70"/>
      <c r="GJ102" s="70"/>
    </row>
    <row r="103" spans="1:192" ht="13">
      <c r="A103" s="24"/>
      <c r="B103" s="828" t="s">
        <v>15082</v>
      </c>
      <c r="C103" s="807" t="s">
        <v>15083</v>
      </c>
      <c r="D103" s="722" t="s">
        <v>15084</v>
      </c>
      <c r="E103" s="463" t="s">
        <v>15020</v>
      </c>
      <c r="F103" s="24" t="s">
        <v>15085</v>
      </c>
      <c r="G103" s="701" t="s">
        <v>15086</v>
      </c>
      <c r="H103" s="782">
        <v>45292</v>
      </c>
      <c r="I103" s="733">
        <v>45657</v>
      </c>
      <c r="J103" s="734">
        <v>264000</v>
      </c>
      <c r="K103" s="463"/>
      <c r="L103" s="24" t="s">
        <v>240</v>
      </c>
      <c r="M103" s="829"/>
      <c r="N103" s="63" t="s">
        <v>15087</v>
      </c>
      <c r="O103" s="830" t="str">
        <f t="shared" si="2"/>
        <v>ART241130이수임1719</v>
      </c>
      <c r="P103" s="707"/>
      <c r="Q103" s="707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70"/>
      <c r="DR103" s="70"/>
      <c r="DS103" s="70"/>
      <c r="DT103" s="70"/>
      <c r="DU103" s="70"/>
      <c r="DV103" s="70"/>
      <c r="DW103" s="70"/>
      <c r="DX103" s="70"/>
      <c r="DY103" s="70"/>
      <c r="DZ103" s="70"/>
      <c r="EA103" s="70"/>
      <c r="EB103" s="70"/>
      <c r="EC103" s="70"/>
      <c r="ED103" s="70"/>
      <c r="EE103" s="70"/>
      <c r="EF103" s="70"/>
      <c r="EG103" s="70"/>
      <c r="EH103" s="70"/>
      <c r="EI103" s="70"/>
      <c r="EJ103" s="70"/>
      <c r="EK103" s="70"/>
      <c r="EL103" s="70"/>
      <c r="EM103" s="70"/>
      <c r="EN103" s="70"/>
      <c r="EO103" s="70"/>
      <c r="EP103" s="70"/>
      <c r="EQ103" s="70"/>
      <c r="ER103" s="70"/>
      <c r="ES103" s="70"/>
      <c r="ET103" s="70"/>
      <c r="EU103" s="70"/>
      <c r="EV103" s="70"/>
      <c r="EW103" s="70"/>
      <c r="EX103" s="70"/>
      <c r="EY103" s="70"/>
      <c r="EZ103" s="70"/>
      <c r="FA103" s="70"/>
      <c r="FB103" s="70"/>
      <c r="FC103" s="70"/>
      <c r="FD103" s="70"/>
      <c r="FE103" s="70"/>
      <c r="FF103" s="70"/>
      <c r="FG103" s="70"/>
      <c r="FH103" s="70"/>
      <c r="FI103" s="70"/>
      <c r="FJ103" s="70"/>
      <c r="FK103" s="70"/>
      <c r="FL103" s="70"/>
      <c r="FM103" s="70"/>
      <c r="FN103" s="70"/>
      <c r="FO103" s="70"/>
      <c r="FP103" s="70"/>
      <c r="FQ103" s="70"/>
      <c r="FR103" s="70"/>
      <c r="FS103" s="70"/>
      <c r="FT103" s="70"/>
      <c r="FU103" s="70"/>
      <c r="FV103" s="70"/>
      <c r="FW103" s="70"/>
      <c r="FX103" s="70"/>
      <c r="FY103" s="70"/>
      <c r="FZ103" s="70"/>
      <c r="GA103" s="70"/>
      <c r="GB103" s="70"/>
      <c r="GC103" s="70"/>
      <c r="GD103" s="70"/>
      <c r="GE103" s="70"/>
      <c r="GF103" s="70"/>
      <c r="GG103" s="70"/>
      <c r="GH103" s="70"/>
      <c r="GI103" s="70"/>
      <c r="GJ103" s="70"/>
    </row>
    <row r="104" spans="1:192" ht="13">
      <c r="A104" s="703"/>
      <c r="B104" s="817" t="s">
        <v>15088</v>
      </c>
      <c r="C104" s="762" t="s">
        <v>15089</v>
      </c>
      <c r="D104" s="722" t="s">
        <v>15090</v>
      </c>
      <c r="E104" s="463" t="s">
        <v>15020</v>
      </c>
      <c r="F104" s="24" t="s">
        <v>15085</v>
      </c>
      <c r="G104" s="81" t="s">
        <v>15091</v>
      </c>
      <c r="H104" s="732">
        <v>45017</v>
      </c>
      <c r="I104" s="733">
        <v>45747</v>
      </c>
      <c r="J104" s="734">
        <v>360000</v>
      </c>
      <c r="K104" s="463"/>
      <c r="L104" s="24" t="s">
        <v>221</v>
      </c>
      <c r="M104" s="829"/>
      <c r="N104" s="63" t="s">
        <v>15092</v>
      </c>
      <c r="O104" s="51" t="str">
        <f>'(AR)인프라사업팀'!K40</f>
        <v>ART241120이수임1416</v>
      </c>
      <c r="P104" s="707"/>
      <c r="Q104" s="707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70"/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70"/>
      <c r="BV104" s="70"/>
      <c r="BW104" s="70"/>
      <c r="BX104" s="70"/>
      <c r="BY104" s="70"/>
      <c r="BZ104" s="70"/>
      <c r="CA104" s="70"/>
      <c r="CB104" s="70"/>
      <c r="CC104" s="70"/>
      <c r="CD104" s="70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70"/>
      <c r="DH104" s="70"/>
      <c r="DI104" s="70"/>
      <c r="DJ104" s="70"/>
      <c r="DK104" s="70"/>
      <c r="DL104" s="70"/>
      <c r="DM104" s="70"/>
      <c r="DN104" s="70"/>
      <c r="DO104" s="70"/>
      <c r="DP104" s="70"/>
      <c r="DQ104" s="70"/>
      <c r="DR104" s="70"/>
      <c r="DS104" s="70"/>
      <c r="DT104" s="70"/>
      <c r="DU104" s="70"/>
      <c r="DV104" s="70"/>
      <c r="DW104" s="70"/>
      <c r="DX104" s="70"/>
      <c r="DY104" s="70"/>
      <c r="DZ104" s="70"/>
      <c r="EA104" s="70"/>
      <c r="EB104" s="70"/>
      <c r="EC104" s="70"/>
      <c r="ED104" s="70"/>
      <c r="EE104" s="70"/>
      <c r="EF104" s="70"/>
      <c r="EG104" s="70"/>
      <c r="EH104" s="70"/>
      <c r="EI104" s="70"/>
      <c r="EJ104" s="70"/>
      <c r="EK104" s="70"/>
      <c r="EL104" s="70"/>
      <c r="EM104" s="70"/>
      <c r="EN104" s="70"/>
      <c r="EO104" s="70"/>
      <c r="EP104" s="70"/>
      <c r="EQ104" s="70"/>
      <c r="ER104" s="70"/>
      <c r="ES104" s="70"/>
      <c r="ET104" s="70"/>
      <c r="EU104" s="70"/>
      <c r="EV104" s="70"/>
      <c r="EW104" s="70"/>
      <c r="EX104" s="70"/>
      <c r="EY104" s="70"/>
      <c r="EZ104" s="70"/>
      <c r="FA104" s="70"/>
      <c r="FB104" s="70"/>
      <c r="FC104" s="70"/>
      <c r="FD104" s="70"/>
      <c r="FE104" s="70"/>
      <c r="FF104" s="70"/>
      <c r="FG104" s="70"/>
      <c r="FH104" s="70"/>
      <c r="FI104" s="70"/>
      <c r="FJ104" s="70"/>
      <c r="FK104" s="70"/>
      <c r="FL104" s="70"/>
      <c r="FM104" s="70"/>
      <c r="FN104" s="70"/>
      <c r="FO104" s="70"/>
      <c r="FP104" s="70"/>
      <c r="FQ104" s="70"/>
      <c r="FR104" s="70"/>
      <c r="FS104" s="70"/>
      <c r="FT104" s="70"/>
      <c r="FU104" s="70"/>
      <c r="FV104" s="70"/>
      <c r="FW104" s="70"/>
      <c r="FX104" s="70"/>
      <c r="FY104" s="70"/>
      <c r="FZ104" s="70"/>
      <c r="GA104" s="70"/>
      <c r="GB104" s="70"/>
      <c r="GC104" s="70"/>
      <c r="GD104" s="70"/>
      <c r="GE104" s="70"/>
      <c r="GF104" s="70"/>
      <c r="GG104" s="70"/>
      <c r="GH104" s="70"/>
      <c r="GI104" s="70"/>
      <c r="GJ104" s="70"/>
    </row>
    <row r="105" spans="1:192" ht="13">
      <c r="A105" s="703"/>
      <c r="B105" s="817" t="s">
        <v>3801</v>
      </c>
      <c r="C105" s="762" t="s">
        <v>15093</v>
      </c>
      <c r="D105" s="722" t="s">
        <v>15094</v>
      </c>
      <c r="E105" s="463" t="s">
        <v>15020</v>
      </c>
      <c r="F105" s="24" t="s">
        <v>15085</v>
      </c>
      <c r="G105" s="81" t="s">
        <v>15091</v>
      </c>
      <c r="H105" s="732">
        <v>45017</v>
      </c>
      <c r="I105" s="733">
        <v>45747</v>
      </c>
      <c r="J105" s="734">
        <v>1950750</v>
      </c>
      <c r="K105" s="463"/>
      <c r="L105" s="24" t="s">
        <v>221</v>
      </c>
      <c r="M105" s="829"/>
      <c r="N105" s="63" t="s">
        <v>15095</v>
      </c>
      <c r="O105" s="51" t="str">
        <f t="shared" ref="O105:O106" si="3">O104</f>
        <v>ART241120이수임1416</v>
      </c>
      <c r="P105" s="707"/>
      <c r="Q105" s="707"/>
      <c r="R105" s="70"/>
      <c r="S105" s="70"/>
      <c r="T105" s="70"/>
      <c r="U105" s="70"/>
      <c r="V105" s="70"/>
      <c r="W105" s="70"/>
      <c r="X105" s="70"/>
      <c r="Y105" s="70"/>
      <c r="Z105" s="70"/>
      <c r="AA105" s="70"/>
      <c r="AB105" s="70"/>
      <c r="AC105" s="70"/>
      <c r="AD105" s="70"/>
      <c r="AE105" s="70"/>
      <c r="AF105" s="70"/>
      <c r="AG105" s="70"/>
      <c r="AH105" s="70"/>
      <c r="AI105" s="70"/>
      <c r="AJ105" s="70"/>
      <c r="AK105" s="70"/>
      <c r="AL105" s="70"/>
      <c r="AM105" s="70"/>
      <c r="AN105" s="70"/>
      <c r="AO105" s="70"/>
      <c r="AP105" s="70"/>
      <c r="AQ105" s="70"/>
      <c r="AR105" s="70"/>
      <c r="AS105" s="70"/>
      <c r="AT105" s="70"/>
      <c r="AU105" s="70"/>
      <c r="AV105" s="70"/>
      <c r="AW105" s="70"/>
      <c r="AX105" s="70"/>
      <c r="AY105" s="70"/>
      <c r="AZ105" s="70"/>
      <c r="BA105" s="70"/>
      <c r="BB105" s="70"/>
      <c r="BC105" s="70"/>
      <c r="BD105" s="70"/>
      <c r="BE105" s="70"/>
      <c r="BF105" s="70"/>
      <c r="BG105" s="70"/>
      <c r="BH105" s="70"/>
      <c r="BI105" s="70"/>
      <c r="BJ105" s="70"/>
      <c r="BK105" s="70"/>
      <c r="BL105" s="70"/>
      <c r="BM105" s="70"/>
      <c r="BN105" s="70"/>
      <c r="BO105" s="70"/>
      <c r="BP105" s="70"/>
      <c r="BQ105" s="70"/>
      <c r="BR105" s="70"/>
      <c r="BS105" s="70"/>
      <c r="BT105" s="70"/>
      <c r="BU105" s="70"/>
      <c r="BV105" s="70"/>
      <c r="BW105" s="70"/>
      <c r="BX105" s="70"/>
      <c r="BY105" s="70"/>
      <c r="BZ105" s="70"/>
      <c r="CA105" s="70"/>
      <c r="CB105" s="70"/>
      <c r="CC105" s="70"/>
      <c r="CD105" s="70"/>
      <c r="CE105" s="70"/>
      <c r="CF105" s="70"/>
      <c r="CG105" s="70"/>
      <c r="CH105" s="70"/>
      <c r="CI105" s="70"/>
      <c r="CJ105" s="70"/>
      <c r="CK105" s="70"/>
      <c r="CL105" s="70"/>
      <c r="CM105" s="70"/>
      <c r="CN105" s="70"/>
      <c r="CO105" s="70"/>
      <c r="CP105" s="70"/>
      <c r="CQ105" s="70"/>
      <c r="CR105" s="70"/>
      <c r="CS105" s="70"/>
      <c r="CT105" s="70"/>
      <c r="CU105" s="70"/>
      <c r="CV105" s="70"/>
      <c r="CW105" s="70"/>
      <c r="CX105" s="70"/>
      <c r="CY105" s="70"/>
      <c r="CZ105" s="70"/>
      <c r="DA105" s="70"/>
      <c r="DB105" s="70"/>
      <c r="DC105" s="70"/>
      <c r="DD105" s="70"/>
      <c r="DE105" s="70"/>
      <c r="DF105" s="70"/>
      <c r="DG105" s="70"/>
      <c r="DH105" s="70"/>
      <c r="DI105" s="70"/>
      <c r="DJ105" s="70"/>
      <c r="DK105" s="70"/>
      <c r="DL105" s="70"/>
      <c r="DM105" s="70"/>
      <c r="DN105" s="70"/>
      <c r="DO105" s="70"/>
      <c r="DP105" s="70"/>
      <c r="DQ105" s="70"/>
      <c r="DR105" s="70"/>
      <c r="DS105" s="70"/>
      <c r="DT105" s="70"/>
      <c r="DU105" s="70"/>
      <c r="DV105" s="70"/>
      <c r="DW105" s="70"/>
      <c r="DX105" s="70"/>
      <c r="DY105" s="70"/>
      <c r="DZ105" s="70"/>
      <c r="EA105" s="70"/>
      <c r="EB105" s="70"/>
      <c r="EC105" s="70"/>
      <c r="ED105" s="70"/>
      <c r="EE105" s="70"/>
      <c r="EF105" s="70"/>
      <c r="EG105" s="70"/>
      <c r="EH105" s="70"/>
      <c r="EI105" s="70"/>
      <c r="EJ105" s="70"/>
      <c r="EK105" s="70"/>
      <c r="EL105" s="70"/>
      <c r="EM105" s="70"/>
      <c r="EN105" s="70"/>
      <c r="EO105" s="70"/>
      <c r="EP105" s="70"/>
      <c r="EQ105" s="70"/>
      <c r="ER105" s="70"/>
      <c r="ES105" s="70"/>
      <c r="ET105" s="70"/>
      <c r="EU105" s="70"/>
      <c r="EV105" s="70"/>
      <c r="EW105" s="70"/>
      <c r="EX105" s="70"/>
      <c r="EY105" s="70"/>
      <c r="EZ105" s="70"/>
      <c r="FA105" s="70"/>
      <c r="FB105" s="70"/>
      <c r="FC105" s="70"/>
      <c r="FD105" s="70"/>
      <c r="FE105" s="70"/>
      <c r="FF105" s="70"/>
      <c r="FG105" s="70"/>
      <c r="FH105" s="70"/>
      <c r="FI105" s="70"/>
      <c r="FJ105" s="70"/>
      <c r="FK105" s="70"/>
      <c r="FL105" s="70"/>
      <c r="FM105" s="70"/>
      <c r="FN105" s="70"/>
      <c r="FO105" s="70"/>
      <c r="FP105" s="70"/>
      <c r="FQ105" s="70"/>
      <c r="FR105" s="70"/>
      <c r="FS105" s="70"/>
      <c r="FT105" s="70"/>
      <c r="FU105" s="70"/>
      <c r="FV105" s="70"/>
      <c r="FW105" s="70"/>
      <c r="FX105" s="70"/>
      <c r="FY105" s="70"/>
      <c r="FZ105" s="70"/>
      <c r="GA105" s="70"/>
      <c r="GB105" s="70"/>
      <c r="GC105" s="70"/>
      <c r="GD105" s="70"/>
      <c r="GE105" s="70"/>
      <c r="GF105" s="70"/>
      <c r="GG105" s="70"/>
      <c r="GH105" s="70"/>
      <c r="GI105" s="70"/>
      <c r="GJ105" s="70"/>
    </row>
    <row r="106" spans="1:192" ht="13">
      <c r="A106" s="703"/>
      <c r="B106" s="817" t="s">
        <v>14847</v>
      </c>
      <c r="C106" s="762" t="s">
        <v>15096</v>
      </c>
      <c r="D106" s="722" t="s">
        <v>15097</v>
      </c>
      <c r="E106" s="463" t="s">
        <v>15020</v>
      </c>
      <c r="F106" s="24" t="s">
        <v>15085</v>
      </c>
      <c r="G106" s="81" t="s">
        <v>15098</v>
      </c>
      <c r="H106" s="732">
        <v>45017</v>
      </c>
      <c r="I106" s="733">
        <v>45747</v>
      </c>
      <c r="J106" s="734">
        <v>13380000</v>
      </c>
      <c r="K106" s="463"/>
      <c r="L106" s="24" t="s">
        <v>221</v>
      </c>
      <c r="M106" s="829"/>
      <c r="N106" s="63" t="s">
        <v>15099</v>
      </c>
      <c r="O106" s="51" t="str">
        <f t="shared" si="3"/>
        <v>ART241120이수임1416</v>
      </c>
      <c r="P106" s="707"/>
      <c r="Q106" s="707"/>
      <c r="R106" s="70"/>
      <c r="S106" s="70"/>
      <c r="T106" s="70"/>
      <c r="U106" s="70"/>
      <c r="V106" s="70"/>
      <c r="W106" s="70"/>
      <c r="X106" s="70"/>
      <c r="Y106" s="70"/>
      <c r="Z106" s="70"/>
      <c r="AA106" s="70"/>
      <c r="AB106" s="70"/>
      <c r="AC106" s="70"/>
      <c r="AD106" s="70"/>
      <c r="AE106" s="70"/>
      <c r="AF106" s="70"/>
      <c r="AG106" s="70"/>
      <c r="AH106" s="70"/>
      <c r="AI106" s="70"/>
      <c r="AJ106" s="70"/>
      <c r="AK106" s="70"/>
      <c r="AL106" s="70"/>
      <c r="AM106" s="70"/>
      <c r="AN106" s="70"/>
      <c r="AO106" s="70"/>
      <c r="AP106" s="70"/>
      <c r="AQ106" s="70"/>
      <c r="AR106" s="70"/>
      <c r="AS106" s="70"/>
      <c r="AT106" s="70"/>
      <c r="AU106" s="70"/>
      <c r="AV106" s="70"/>
      <c r="AW106" s="70"/>
      <c r="AX106" s="70"/>
      <c r="AY106" s="70"/>
      <c r="AZ106" s="70"/>
      <c r="BA106" s="70"/>
      <c r="BB106" s="70"/>
      <c r="BC106" s="70"/>
      <c r="BD106" s="70"/>
      <c r="BE106" s="70"/>
      <c r="BF106" s="70"/>
      <c r="BG106" s="70"/>
      <c r="BH106" s="70"/>
      <c r="BI106" s="70"/>
      <c r="BJ106" s="70"/>
      <c r="BK106" s="70"/>
      <c r="BL106" s="70"/>
      <c r="BM106" s="70"/>
      <c r="BN106" s="70"/>
      <c r="BO106" s="70"/>
      <c r="BP106" s="70"/>
      <c r="BQ106" s="70"/>
      <c r="BR106" s="70"/>
      <c r="BS106" s="70"/>
      <c r="BT106" s="70"/>
      <c r="BU106" s="70"/>
      <c r="BV106" s="70"/>
      <c r="BW106" s="70"/>
      <c r="BX106" s="70"/>
      <c r="BY106" s="70"/>
      <c r="BZ106" s="70"/>
      <c r="CA106" s="70"/>
      <c r="CB106" s="70"/>
      <c r="CC106" s="70"/>
      <c r="CD106" s="70"/>
      <c r="CE106" s="70"/>
      <c r="CF106" s="70"/>
      <c r="CG106" s="70"/>
      <c r="CH106" s="70"/>
      <c r="CI106" s="70"/>
      <c r="CJ106" s="70"/>
      <c r="CK106" s="70"/>
      <c r="CL106" s="70"/>
      <c r="CM106" s="70"/>
      <c r="CN106" s="70"/>
      <c r="CO106" s="70"/>
      <c r="CP106" s="70"/>
      <c r="CQ106" s="70"/>
      <c r="CR106" s="70"/>
      <c r="CS106" s="70"/>
      <c r="CT106" s="70"/>
      <c r="CU106" s="70"/>
      <c r="CV106" s="70"/>
      <c r="CW106" s="70"/>
      <c r="CX106" s="70"/>
      <c r="CY106" s="70"/>
      <c r="CZ106" s="70"/>
      <c r="DA106" s="70"/>
      <c r="DB106" s="70"/>
      <c r="DC106" s="70"/>
      <c r="DD106" s="70"/>
      <c r="DE106" s="70"/>
      <c r="DF106" s="70"/>
      <c r="DG106" s="70"/>
      <c r="DH106" s="70"/>
      <c r="DI106" s="70"/>
      <c r="DJ106" s="70"/>
      <c r="DK106" s="70"/>
      <c r="DL106" s="70"/>
      <c r="DM106" s="70"/>
      <c r="DN106" s="70"/>
      <c r="DO106" s="70"/>
      <c r="DP106" s="70"/>
      <c r="DQ106" s="70"/>
      <c r="DR106" s="70"/>
      <c r="DS106" s="70"/>
      <c r="DT106" s="70"/>
      <c r="DU106" s="70"/>
      <c r="DV106" s="70"/>
      <c r="DW106" s="70"/>
      <c r="DX106" s="70"/>
      <c r="DY106" s="70"/>
      <c r="DZ106" s="70"/>
      <c r="EA106" s="70"/>
      <c r="EB106" s="70"/>
      <c r="EC106" s="70"/>
      <c r="ED106" s="70"/>
      <c r="EE106" s="70"/>
      <c r="EF106" s="70"/>
      <c r="EG106" s="70"/>
      <c r="EH106" s="70"/>
      <c r="EI106" s="70"/>
      <c r="EJ106" s="70"/>
      <c r="EK106" s="70"/>
      <c r="EL106" s="70"/>
      <c r="EM106" s="70"/>
      <c r="EN106" s="70"/>
      <c r="EO106" s="70"/>
      <c r="EP106" s="70"/>
      <c r="EQ106" s="70"/>
      <c r="ER106" s="70"/>
      <c r="ES106" s="70"/>
      <c r="ET106" s="70"/>
      <c r="EU106" s="70"/>
      <c r="EV106" s="70"/>
      <c r="EW106" s="70"/>
      <c r="EX106" s="70"/>
      <c r="EY106" s="70"/>
      <c r="EZ106" s="70"/>
      <c r="FA106" s="70"/>
      <c r="FB106" s="70"/>
      <c r="FC106" s="70"/>
      <c r="FD106" s="70"/>
      <c r="FE106" s="70"/>
      <c r="FF106" s="70"/>
      <c r="FG106" s="70"/>
      <c r="FH106" s="70"/>
      <c r="FI106" s="70"/>
      <c r="FJ106" s="70"/>
      <c r="FK106" s="70"/>
      <c r="FL106" s="70"/>
      <c r="FM106" s="70"/>
      <c r="FN106" s="70"/>
      <c r="FO106" s="70"/>
      <c r="FP106" s="70"/>
      <c r="FQ106" s="70"/>
      <c r="FR106" s="70"/>
      <c r="FS106" s="70"/>
      <c r="FT106" s="70"/>
      <c r="FU106" s="70"/>
      <c r="FV106" s="70"/>
      <c r="FW106" s="70"/>
      <c r="FX106" s="70"/>
      <c r="FY106" s="70"/>
      <c r="FZ106" s="70"/>
      <c r="GA106" s="70"/>
      <c r="GB106" s="70"/>
      <c r="GC106" s="70"/>
      <c r="GD106" s="70"/>
      <c r="GE106" s="70"/>
      <c r="GF106" s="70"/>
      <c r="GG106" s="70"/>
      <c r="GH106" s="70"/>
      <c r="GI106" s="70"/>
      <c r="GJ106" s="70"/>
    </row>
    <row r="107" spans="1:192" ht="13">
      <c r="A107" s="201"/>
      <c r="B107" s="828" t="s">
        <v>14861</v>
      </c>
      <c r="C107" s="698" t="s">
        <v>15100</v>
      </c>
      <c r="D107" s="722" t="s">
        <v>15101</v>
      </c>
      <c r="E107" s="463" t="s">
        <v>15020</v>
      </c>
      <c r="F107" s="24" t="s">
        <v>15102</v>
      </c>
      <c r="G107" s="701" t="s">
        <v>15103</v>
      </c>
      <c r="H107" s="732">
        <v>45474</v>
      </c>
      <c r="I107" s="733">
        <v>45838</v>
      </c>
      <c r="J107" s="734">
        <v>121000</v>
      </c>
      <c r="K107" s="463" t="s">
        <v>14873</v>
      </c>
      <c r="L107" s="24" t="s">
        <v>2092</v>
      </c>
      <c r="M107" s="829"/>
      <c r="N107" s="63" t="s">
        <v>15104</v>
      </c>
      <c r="O107" s="51" t="s">
        <v>15105</v>
      </c>
      <c r="P107" s="707"/>
      <c r="Q107" s="707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B107" s="70"/>
      <c r="AC107" s="70"/>
      <c r="AD107" s="70"/>
      <c r="AE107" s="70"/>
      <c r="AF107" s="70"/>
      <c r="AG107" s="70"/>
      <c r="AH107" s="70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70"/>
      <c r="AT107" s="70"/>
      <c r="AU107" s="70"/>
      <c r="AV107" s="70"/>
      <c r="AW107" s="70"/>
      <c r="AX107" s="70"/>
      <c r="AY107" s="70"/>
      <c r="AZ107" s="70"/>
      <c r="BA107" s="70"/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0"/>
      <c r="BR107" s="70"/>
      <c r="BS107" s="70"/>
      <c r="BT107" s="70"/>
      <c r="BU107" s="70"/>
      <c r="BV107" s="70"/>
      <c r="BW107" s="70"/>
      <c r="BX107" s="70"/>
      <c r="BY107" s="70"/>
      <c r="BZ107" s="70"/>
      <c r="CA107" s="70"/>
      <c r="CB107" s="70"/>
      <c r="CC107" s="70"/>
      <c r="CD107" s="70"/>
      <c r="CE107" s="70"/>
      <c r="CF107" s="70"/>
      <c r="CG107" s="70"/>
      <c r="CH107" s="70"/>
      <c r="CI107" s="70"/>
      <c r="CJ107" s="70"/>
      <c r="CK107" s="70"/>
      <c r="CL107" s="70"/>
      <c r="CM107" s="70"/>
      <c r="CN107" s="70"/>
      <c r="CO107" s="70"/>
      <c r="CP107" s="70"/>
      <c r="CQ107" s="70"/>
      <c r="CR107" s="70"/>
      <c r="CS107" s="70"/>
      <c r="CT107" s="70"/>
      <c r="CU107" s="70"/>
      <c r="CV107" s="70"/>
      <c r="CW107" s="70"/>
      <c r="CX107" s="70"/>
      <c r="CY107" s="70"/>
      <c r="CZ107" s="70"/>
      <c r="DA107" s="70"/>
      <c r="DB107" s="70"/>
      <c r="DC107" s="70"/>
      <c r="DD107" s="70"/>
      <c r="DE107" s="70"/>
      <c r="DF107" s="70"/>
      <c r="DG107" s="70"/>
      <c r="DH107" s="70"/>
      <c r="DI107" s="70"/>
      <c r="DJ107" s="70"/>
      <c r="DK107" s="70"/>
      <c r="DL107" s="70"/>
      <c r="DM107" s="70"/>
      <c r="DN107" s="70"/>
      <c r="DO107" s="70"/>
      <c r="DP107" s="70"/>
      <c r="DQ107" s="70"/>
      <c r="DR107" s="70"/>
      <c r="DS107" s="70"/>
      <c r="DT107" s="70"/>
      <c r="DU107" s="70"/>
      <c r="DV107" s="70"/>
      <c r="DW107" s="70"/>
      <c r="DX107" s="70"/>
      <c r="DY107" s="70"/>
      <c r="DZ107" s="70"/>
      <c r="EA107" s="70"/>
      <c r="EB107" s="70"/>
      <c r="EC107" s="70"/>
      <c r="ED107" s="70"/>
      <c r="EE107" s="70"/>
      <c r="EF107" s="70"/>
      <c r="EG107" s="70"/>
      <c r="EH107" s="70"/>
      <c r="EI107" s="70"/>
      <c r="EJ107" s="70"/>
      <c r="EK107" s="70"/>
      <c r="EL107" s="70"/>
      <c r="EM107" s="70"/>
      <c r="EN107" s="70"/>
      <c r="EO107" s="70"/>
      <c r="EP107" s="70"/>
      <c r="EQ107" s="70"/>
      <c r="ER107" s="70"/>
      <c r="ES107" s="70"/>
      <c r="ET107" s="70"/>
      <c r="EU107" s="70"/>
      <c r="EV107" s="70"/>
      <c r="EW107" s="70"/>
      <c r="EX107" s="70"/>
      <c r="EY107" s="70"/>
      <c r="EZ107" s="70"/>
      <c r="FA107" s="70"/>
      <c r="FB107" s="70"/>
      <c r="FC107" s="70"/>
      <c r="FD107" s="70"/>
      <c r="FE107" s="70"/>
      <c r="FF107" s="70"/>
      <c r="FG107" s="70"/>
      <c r="FH107" s="70"/>
      <c r="FI107" s="70"/>
      <c r="FJ107" s="70"/>
      <c r="FK107" s="70"/>
      <c r="FL107" s="70"/>
      <c r="FM107" s="70"/>
      <c r="FN107" s="70"/>
      <c r="FO107" s="70"/>
      <c r="FP107" s="70"/>
      <c r="FQ107" s="70"/>
      <c r="FR107" s="70"/>
      <c r="FS107" s="70"/>
      <c r="FT107" s="70"/>
      <c r="FU107" s="70"/>
      <c r="FV107" s="70"/>
      <c r="FW107" s="70"/>
      <c r="FX107" s="70"/>
      <c r="FY107" s="70"/>
      <c r="FZ107" s="70"/>
      <c r="GA107" s="70"/>
      <c r="GB107" s="70"/>
      <c r="GC107" s="70"/>
      <c r="GD107" s="70"/>
      <c r="GE107" s="70"/>
      <c r="GF107" s="70"/>
      <c r="GG107" s="70"/>
      <c r="GH107" s="70"/>
      <c r="GI107" s="70"/>
      <c r="GJ107" s="70"/>
    </row>
    <row r="108" spans="1:192" ht="13">
      <c r="A108" s="463"/>
      <c r="B108" s="828" t="s">
        <v>15106</v>
      </c>
      <c r="C108" s="823" t="s">
        <v>15107</v>
      </c>
      <c r="D108" s="769" t="s">
        <v>15108</v>
      </c>
      <c r="E108" s="463" t="s">
        <v>15020</v>
      </c>
      <c r="F108" s="24" t="s">
        <v>15102</v>
      </c>
      <c r="G108" s="775" t="s">
        <v>15109</v>
      </c>
      <c r="H108" s="732">
        <v>45505</v>
      </c>
      <c r="I108" s="733">
        <v>45869</v>
      </c>
      <c r="J108" s="831">
        <v>629400</v>
      </c>
      <c r="K108" s="463" t="s">
        <v>15110</v>
      </c>
      <c r="L108" s="24"/>
      <c r="M108" s="832"/>
      <c r="N108" s="63" t="s">
        <v>15111</v>
      </c>
      <c r="O108" s="51" t="str">
        <f>'(AR)인프라사업팀'!K15</f>
        <v>ART241130김행주1414</v>
      </c>
      <c r="P108" s="81"/>
      <c r="Q108" s="229"/>
      <c r="R108" s="70"/>
      <c r="S108" s="70"/>
      <c r="T108" s="70"/>
      <c r="U108" s="70"/>
      <c r="V108" s="70"/>
      <c r="W108" s="70"/>
      <c r="X108" s="70"/>
      <c r="Y108" s="70"/>
      <c r="Z108" s="70"/>
      <c r="AA108" s="70"/>
      <c r="AB108" s="70"/>
      <c r="AC108" s="70"/>
      <c r="AD108" s="70"/>
      <c r="AE108" s="70"/>
      <c r="AF108" s="70"/>
      <c r="AG108" s="70"/>
      <c r="AH108" s="70"/>
      <c r="AI108" s="70"/>
      <c r="AJ108" s="70"/>
      <c r="AK108" s="70"/>
      <c r="AL108" s="70"/>
      <c r="AM108" s="70"/>
      <c r="AN108" s="70"/>
      <c r="AO108" s="70"/>
      <c r="AP108" s="70"/>
      <c r="AQ108" s="70"/>
      <c r="AR108" s="70"/>
      <c r="AS108" s="70"/>
      <c r="AT108" s="70"/>
      <c r="AU108" s="70"/>
      <c r="AV108" s="70"/>
      <c r="AW108" s="70"/>
      <c r="AX108" s="70"/>
      <c r="AY108" s="70"/>
      <c r="AZ108" s="70"/>
      <c r="BA108" s="70"/>
      <c r="BB108" s="70"/>
      <c r="BC108" s="70"/>
      <c r="BD108" s="70"/>
      <c r="BE108" s="70"/>
      <c r="BF108" s="70"/>
      <c r="BG108" s="70"/>
      <c r="BH108" s="70"/>
      <c r="BI108" s="70"/>
      <c r="BJ108" s="70"/>
      <c r="BK108" s="70"/>
      <c r="BL108" s="70"/>
      <c r="BM108" s="70"/>
      <c r="BN108" s="70"/>
      <c r="BO108" s="70"/>
      <c r="BP108" s="70"/>
      <c r="BQ108" s="70"/>
      <c r="BR108" s="70"/>
      <c r="BS108" s="70"/>
      <c r="BT108" s="70"/>
      <c r="BU108" s="70"/>
      <c r="BV108" s="70"/>
      <c r="BW108" s="70"/>
      <c r="BX108" s="70"/>
      <c r="BY108" s="70"/>
      <c r="BZ108" s="70"/>
      <c r="CA108" s="70"/>
      <c r="CB108" s="70"/>
      <c r="CC108" s="70"/>
      <c r="CD108" s="70"/>
      <c r="CE108" s="70"/>
      <c r="CF108" s="70"/>
      <c r="CG108" s="70"/>
      <c r="CH108" s="70"/>
      <c r="CI108" s="70"/>
      <c r="CJ108" s="70"/>
      <c r="CK108" s="70"/>
      <c r="CL108" s="70"/>
      <c r="CM108" s="70"/>
      <c r="CN108" s="70"/>
      <c r="CO108" s="70"/>
      <c r="CP108" s="70"/>
      <c r="CQ108" s="70"/>
      <c r="CR108" s="70"/>
      <c r="CS108" s="70"/>
      <c r="CT108" s="70"/>
      <c r="CU108" s="70"/>
      <c r="CV108" s="70"/>
      <c r="CW108" s="70"/>
      <c r="CX108" s="70"/>
      <c r="CY108" s="70"/>
      <c r="CZ108" s="70"/>
      <c r="DA108" s="70"/>
      <c r="DB108" s="70"/>
      <c r="DC108" s="70"/>
      <c r="DD108" s="70"/>
      <c r="DE108" s="70"/>
      <c r="DF108" s="70"/>
      <c r="DG108" s="70"/>
      <c r="DH108" s="70"/>
      <c r="DI108" s="70"/>
      <c r="DJ108" s="70"/>
      <c r="DK108" s="70"/>
      <c r="DL108" s="70"/>
      <c r="DM108" s="70"/>
      <c r="DN108" s="70"/>
      <c r="DO108" s="70"/>
      <c r="DP108" s="70"/>
      <c r="DQ108" s="70"/>
      <c r="DR108" s="70"/>
      <c r="DS108" s="70"/>
      <c r="DT108" s="70"/>
      <c r="DU108" s="70"/>
      <c r="DV108" s="70"/>
      <c r="DW108" s="70"/>
      <c r="DX108" s="70"/>
      <c r="DY108" s="70"/>
      <c r="DZ108" s="70"/>
      <c r="EA108" s="70"/>
      <c r="EB108" s="70"/>
      <c r="EC108" s="70"/>
      <c r="ED108" s="70"/>
      <c r="EE108" s="70"/>
      <c r="EF108" s="70"/>
      <c r="EG108" s="70"/>
      <c r="EH108" s="70"/>
      <c r="EI108" s="70"/>
      <c r="EJ108" s="70"/>
      <c r="EK108" s="70"/>
      <c r="EL108" s="70"/>
      <c r="EM108" s="70"/>
      <c r="EN108" s="70"/>
      <c r="EO108" s="70"/>
      <c r="EP108" s="70"/>
      <c r="EQ108" s="70"/>
      <c r="ER108" s="70"/>
      <c r="ES108" s="70"/>
      <c r="ET108" s="70"/>
      <c r="EU108" s="70"/>
      <c r="EV108" s="70"/>
      <c r="EW108" s="70"/>
      <c r="EX108" s="70"/>
      <c r="EY108" s="70"/>
      <c r="EZ108" s="70"/>
      <c r="FA108" s="70"/>
      <c r="FB108" s="70"/>
      <c r="FC108" s="70"/>
      <c r="FD108" s="70"/>
      <c r="FE108" s="70"/>
      <c r="FF108" s="70"/>
      <c r="FG108" s="70"/>
      <c r="FH108" s="70"/>
      <c r="FI108" s="70"/>
      <c r="FJ108" s="70"/>
      <c r="FK108" s="70"/>
      <c r="FL108" s="70"/>
      <c r="FM108" s="70"/>
      <c r="FN108" s="70"/>
      <c r="FO108" s="70"/>
      <c r="FP108" s="70"/>
      <c r="FQ108" s="70"/>
      <c r="FR108" s="70"/>
      <c r="FS108" s="70"/>
      <c r="FT108" s="70"/>
      <c r="FU108" s="70"/>
      <c r="FV108" s="70"/>
      <c r="FW108" s="70"/>
      <c r="FX108" s="70"/>
      <c r="FY108" s="70"/>
      <c r="FZ108" s="70"/>
      <c r="GA108" s="70"/>
      <c r="GB108" s="70"/>
      <c r="GC108" s="70"/>
      <c r="GD108" s="70"/>
      <c r="GE108" s="70"/>
      <c r="GF108" s="70"/>
      <c r="GG108" s="70"/>
      <c r="GH108" s="70"/>
      <c r="GI108" s="475"/>
      <c r="GJ108" s="475"/>
    </row>
    <row r="109" spans="1:192" ht="13">
      <c r="A109" s="70"/>
      <c r="B109" s="106" t="s">
        <v>15112</v>
      </c>
      <c r="C109" s="106" t="s">
        <v>15113</v>
      </c>
      <c r="D109" s="154" t="s">
        <v>15114</v>
      </c>
      <c r="E109" s="106" t="s">
        <v>1541</v>
      </c>
      <c r="F109" s="106" t="s">
        <v>15115</v>
      </c>
      <c r="G109" s="143" t="s">
        <v>15116</v>
      </c>
      <c r="H109" s="267"/>
      <c r="I109" s="267"/>
      <c r="J109" s="833">
        <v>15200000</v>
      </c>
      <c r="K109" s="834"/>
      <c r="L109" s="834" t="s">
        <v>77</v>
      </c>
      <c r="M109" s="833">
        <v>15200000</v>
      </c>
      <c r="N109" s="835" t="s">
        <v>15117</v>
      </c>
      <c r="O109" s="143" t="str">
        <f>'(AR)물류사업부'!K5</f>
        <v xml:space="preserve">ART241201김행주1334
                </v>
      </c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B109" s="70"/>
      <c r="AC109" s="70"/>
      <c r="AD109" s="70"/>
      <c r="AE109" s="70"/>
      <c r="AF109" s="70"/>
      <c r="AG109" s="70"/>
      <c r="AH109" s="70"/>
      <c r="AI109" s="70"/>
      <c r="AJ109" s="70"/>
      <c r="AK109" s="70"/>
      <c r="AL109" s="70"/>
      <c r="AM109" s="70"/>
      <c r="AN109" s="70"/>
      <c r="AO109" s="70"/>
      <c r="AP109" s="70"/>
      <c r="AQ109" s="70"/>
      <c r="AR109" s="70"/>
      <c r="AS109" s="70"/>
      <c r="AT109" s="70"/>
      <c r="AU109" s="70"/>
      <c r="AV109" s="70"/>
      <c r="AW109" s="70"/>
      <c r="AX109" s="70"/>
      <c r="AY109" s="70"/>
      <c r="AZ109" s="70"/>
      <c r="BA109" s="70"/>
      <c r="BB109" s="70"/>
      <c r="BC109" s="70"/>
      <c r="BD109" s="70"/>
      <c r="BE109" s="70"/>
      <c r="BF109" s="70"/>
      <c r="BG109" s="70"/>
      <c r="BH109" s="70"/>
      <c r="BI109" s="70"/>
      <c r="BJ109" s="70"/>
      <c r="BK109" s="70"/>
      <c r="BL109" s="70"/>
      <c r="BM109" s="70"/>
      <c r="BN109" s="70"/>
      <c r="BO109" s="70"/>
      <c r="BP109" s="70"/>
      <c r="BQ109" s="70"/>
      <c r="BR109" s="70"/>
      <c r="BS109" s="70"/>
      <c r="BT109" s="70"/>
      <c r="BU109" s="70"/>
      <c r="BV109" s="70"/>
      <c r="BW109" s="70"/>
      <c r="BX109" s="70"/>
      <c r="BY109" s="70"/>
      <c r="BZ109" s="70"/>
      <c r="CA109" s="70"/>
      <c r="CB109" s="70"/>
      <c r="CC109" s="70"/>
      <c r="CD109" s="70"/>
      <c r="CE109" s="70"/>
      <c r="CF109" s="70"/>
      <c r="CG109" s="70"/>
      <c r="CH109" s="70"/>
      <c r="CI109" s="70"/>
      <c r="CJ109" s="70"/>
      <c r="CK109" s="70"/>
      <c r="CL109" s="70"/>
      <c r="CM109" s="70"/>
      <c r="CN109" s="70"/>
      <c r="CO109" s="70"/>
      <c r="CP109" s="70"/>
      <c r="CQ109" s="70"/>
      <c r="CR109" s="70"/>
      <c r="CS109" s="70"/>
      <c r="CT109" s="70"/>
      <c r="CU109" s="70"/>
      <c r="CV109" s="70"/>
      <c r="CW109" s="70"/>
      <c r="CX109" s="70"/>
      <c r="CY109" s="70"/>
      <c r="CZ109" s="70"/>
      <c r="DA109" s="70"/>
      <c r="DB109" s="70"/>
      <c r="DC109" s="70"/>
      <c r="DD109" s="70"/>
      <c r="DE109" s="70"/>
      <c r="DF109" s="70"/>
      <c r="DG109" s="70"/>
      <c r="DH109" s="70"/>
      <c r="DI109" s="70"/>
      <c r="DJ109" s="70"/>
      <c r="DK109" s="70"/>
      <c r="DL109" s="70"/>
      <c r="DM109" s="70"/>
      <c r="DN109" s="70"/>
      <c r="DO109" s="70"/>
      <c r="DP109" s="70"/>
      <c r="DQ109" s="70"/>
      <c r="DR109" s="70"/>
      <c r="DS109" s="70"/>
      <c r="DT109" s="70"/>
      <c r="DU109" s="70"/>
      <c r="DV109" s="70"/>
      <c r="DW109" s="70"/>
      <c r="DX109" s="70"/>
      <c r="DY109" s="70"/>
      <c r="DZ109" s="70"/>
      <c r="EA109" s="70"/>
      <c r="EB109" s="70"/>
      <c r="EC109" s="70"/>
      <c r="ED109" s="70"/>
      <c r="EE109" s="70"/>
      <c r="EF109" s="70"/>
      <c r="EG109" s="70"/>
      <c r="EH109" s="70"/>
      <c r="EI109" s="70"/>
      <c r="EJ109" s="70"/>
      <c r="EK109" s="70"/>
      <c r="EL109" s="70"/>
      <c r="EM109" s="70"/>
      <c r="EN109" s="70"/>
      <c r="EO109" s="70"/>
      <c r="EP109" s="70"/>
      <c r="EQ109" s="70"/>
      <c r="ER109" s="70"/>
      <c r="ES109" s="70"/>
      <c r="ET109" s="70"/>
      <c r="EU109" s="70"/>
      <c r="EV109" s="70"/>
      <c r="EW109" s="70"/>
      <c r="EX109" s="70"/>
      <c r="EY109" s="70"/>
      <c r="EZ109" s="70"/>
      <c r="FA109" s="70"/>
      <c r="FB109" s="70"/>
      <c r="FC109" s="70"/>
      <c r="FD109" s="70"/>
      <c r="FE109" s="70"/>
      <c r="FF109" s="70"/>
      <c r="FG109" s="70"/>
      <c r="FH109" s="70"/>
      <c r="FI109" s="70"/>
      <c r="FJ109" s="70"/>
      <c r="FK109" s="70"/>
      <c r="FL109" s="70"/>
      <c r="FM109" s="70"/>
      <c r="FN109" s="70"/>
      <c r="FO109" s="70"/>
      <c r="FP109" s="70"/>
      <c r="FQ109" s="70"/>
      <c r="FR109" s="70"/>
      <c r="FS109" s="70"/>
      <c r="FT109" s="70"/>
      <c r="FU109" s="70"/>
      <c r="FV109" s="70"/>
      <c r="FW109" s="70"/>
      <c r="FX109" s="70"/>
      <c r="FY109" s="70"/>
      <c r="FZ109" s="70"/>
      <c r="GA109" s="70"/>
      <c r="GB109" s="70"/>
      <c r="GC109" s="70"/>
      <c r="GD109" s="70"/>
      <c r="GE109" s="70"/>
      <c r="GF109" s="70"/>
      <c r="GG109" s="70"/>
      <c r="GH109" s="70"/>
      <c r="GI109" s="70"/>
      <c r="GJ109" s="70"/>
    </row>
    <row r="110" spans="1:192" ht="13">
      <c r="A110" s="70"/>
      <c r="B110" s="468" t="s">
        <v>15118</v>
      </c>
      <c r="C110" s="468"/>
      <c r="D110" s="92"/>
      <c r="E110" s="468" t="s">
        <v>1541</v>
      </c>
      <c r="F110" s="468" t="s">
        <v>15115</v>
      </c>
      <c r="G110" s="836" t="s">
        <v>15119</v>
      </c>
      <c r="H110" s="837"/>
      <c r="I110" s="837"/>
      <c r="J110" s="838" t="s">
        <v>15120</v>
      </c>
      <c r="K110" s="839"/>
      <c r="L110" s="839" t="s">
        <v>15121</v>
      </c>
      <c r="M110" s="838">
        <v>302182</v>
      </c>
      <c r="N110" s="742" t="s">
        <v>15122</v>
      </c>
      <c r="O110" s="148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  <c r="AB110" s="70"/>
      <c r="AC110" s="70"/>
      <c r="AD110" s="70"/>
      <c r="AE110" s="70"/>
      <c r="AF110" s="70"/>
      <c r="AG110" s="70"/>
      <c r="AH110" s="70"/>
      <c r="AI110" s="70"/>
      <c r="AJ110" s="70"/>
      <c r="AK110" s="70"/>
      <c r="AL110" s="70"/>
      <c r="AM110" s="70"/>
      <c r="AN110" s="70"/>
      <c r="AO110" s="70"/>
      <c r="AP110" s="70"/>
      <c r="AQ110" s="70"/>
      <c r="AR110" s="70"/>
      <c r="AS110" s="70"/>
      <c r="AT110" s="70"/>
      <c r="AU110" s="70"/>
      <c r="AV110" s="70"/>
      <c r="AW110" s="70"/>
      <c r="AX110" s="70"/>
      <c r="AY110" s="70"/>
      <c r="AZ110" s="70"/>
      <c r="BA110" s="70"/>
      <c r="BB110" s="70"/>
      <c r="BC110" s="70"/>
      <c r="BD110" s="70"/>
      <c r="BE110" s="70"/>
      <c r="BF110" s="70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0"/>
      <c r="BR110" s="70"/>
      <c r="BS110" s="70"/>
      <c r="BT110" s="70"/>
      <c r="BU110" s="70"/>
      <c r="BV110" s="70"/>
      <c r="BW110" s="70"/>
      <c r="BX110" s="70"/>
      <c r="BY110" s="70"/>
      <c r="BZ110" s="70"/>
      <c r="CA110" s="70"/>
      <c r="CB110" s="70"/>
      <c r="CC110" s="70"/>
      <c r="CD110" s="70"/>
      <c r="CE110" s="70"/>
      <c r="CF110" s="70"/>
      <c r="CG110" s="70"/>
      <c r="CH110" s="70"/>
      <c r="CI110" s="70"/>
      <c r="CJ110" s="70"/>
      <c r="CK110" s="70"/>
      <c r="CL110" s="70"/>
      <c r="CM110" s="70"/>
      <c r="CN110" s="70"/>
      <c r="CO110" s="70"/>
      <c r="CP110" s="70"/>
      <c r="CQ110" s="70"/>
      <c r="CR110" s="70"/>
      <c r="CS110" s="70"/>
      <c r="CT110" s="70"/>
      <c r="CU110" s="70"/>
      <c r="CV110" s="70"/>
      <c r="CW110" s="70"/>
      <c r="CX110" s="70"/>
      <c r="CY110" s="70"/>
      <c r="CZ110" s="70"/>
      <c r="DA110" s="70"/>
      <c r="DB110" s="70"/>
      <c r="DC110" s="70"/>
      <c r="DD110" s="70"/>
      <c r="DE110" s="70"/>
      <c r="DF110" s="70"/>
      <c r="DG110" s="70"/>
      <c r="DH110" s="70"/>
      <c r="DI110" s="70"/>
      <c r="DJ110" s="70"/>
      <c r="DK110" s="70"/>
      <c r="DL110" s="70"/>
      <c r="DM110" s="70"/>
      <c r="DN110" s="70"/>
      <c r="DO110" s="70"/>
      <c r="DP110" s="70"/>
      <c r="DQ110" s="70"/>
      <c r="DR110" s="70"/>
      <c r="DS110" s="70"/>
      <c r="DT110" s="70"/>
      <c r="DU110" s="70"/>
      <c r="DV110" s="70"/>
      <c r="DW110" s="70"/>
      <c r="DX110" s="70"/>
      <c r="DY110" s="70"/>
      <c r="DZ110" s="70"/>
      <c r="EA110" s="70"/>
      <c r="EB110" s="70"/>
      <c r="EC110" s="70"/>
      <c r="ED110" s="70"/>
      <c r="EE110" s="70"/>
      <c r="EF110" s="70"/>
      <c r="EG110" s="70"/>
      <c r="EH110" s="70"/>
      <c r="EI110" s="70"/>
      <c r="EJ110" s="70"/>
      <c r="EK110" s="70"/>
      <c r="EL110" s="70"/>
      <c r="EM110" s="70"/>
      <c r="EN110" s="70"/>
      <c r="EO110" s="70"/>
      <c r="EP110" s="70"/>
      <c r="EQ110" s="70"/>
      <c r="ER110" s="70"/>
      <c r="ES110" s="70"/>
      <c r="ET110" s="70"/>
      <c r="EU110" s="70"/>
      <c r="EV110" s="70"/>
      <c r="EW110" s="70"/>
      <c r="EX110" s="70"/>
      <c r="EY110" s="70"/>
      <c r="EZ110" s="70"/>
      <c r="FA110" s="70"/>
      <c r="FB110" s="70"/>
      <c r="FC110" s="70"/>
      <c r="FD110" s="70"/>
      <c r="FE110" s="70"/>
      <c r="FF110" s="70"/>
      <c r="FG110" s="70"/>
      <c r="FH110" s="70"/>
      <c r="FI110" s="70"/>
      <c r="FJ110" s="70"/>
      <c r="FK110" s="70"/>
      <c r="FL110" s="70"/>
      <c r="FM110" s="70"/>
      <c r="FN110" s="70"/>
      <c r="FO110" s="70"/>
      <c r="FP110" s="70"/>
      <c r="FQ110" s="70"/>
      <c r="FR110" s="70"/>
      <c r="FS110" s="70"/>
      <c r="FT110" s="70"/>
      <c r="FU110" s="70"/>
      <c r="FV110" s="70"/>
      <c r="FW110" s="70"/>
      <c r="FX110" s="70"/>
      <c r="FY110" s="70"/>
      <c r="FZ110" s="70"/>
      <c r="GA110" s="70"/>
      <c r="GB110" s="70"/>
      <c r="GC110" s="70"/>
      <c r="GD110" s="70"/>
      <c r="GE110" s="70"/>
      <c r="GF110" s="70"/>
      <c r="GG110" s="70"/>
      <c r="GH110" s="70"/>
      <c r="GI110" s="70"/>
      <c r="GJ110" s="70"/>
    </row>
    <row r="111" spans="1:192" ht="13" hidden="1">
      <c r="A111" s="70"/>
      <c r="B111" s="468" t="s">
        <v>15123</v>
      </c>
      <c r="C111" s="468" t="s">
        <v>15124</v>
      </c>
      <c r="D111" s="836"/>
      <c r="E111" s="468" t="s">
        <v>1541</v>
      </c>
      <c r="F111" s="468" t="s">
        <v>15115</v>
      </c>
      <c r="G111" s="836"/>
      <c r="H111" s="837"/>
      <c r="I111" s="837"/>
      <c r="J111" s="838" t="s">
        <v>15125</v>
      </c>
      <c r="K111" s="839"/>
      <c r="L111" s="839" t="s">
        <v>81</v>
      </c>
      <c r="M111" s="838" t="s">
        <v>15125</v>
      </c>
      <c r="N111" s="742" t="s">
        <v>15126</v>
      </c>
      <c r="O111" s="148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70"/>
      <c r="AX111" s="70"/>
      <c r="AY111" s="70"/>
      <c r="AZ111" s="70"/>
      <c r="BA111" s="70"/>
      <c r="BB111" s="70"/>
      <c r="BC111" s="70"/>
      <c r="BD111" s="70"/>
      <c r="BE111" s="70"/>
      <c r="BF111" s="70"/>
      <c r="BG111" s="70"/>
      <c r="BH111" s="70"/>
      <c r="BI111" s="70"/>
      <c r="BJ111" s="70"/>
      <c r="BK111" s="70"/>
      <c r="BL111" s="70"/>
      <c r="BM111" s="70"/>
      <c r="BN111" s="70"/>
      <c r="BO111" s="70"/>
      <c r="BP111" s="70"/>
      <c r="BQ111" s="70"/>
      <c r="BR111" s="70"/>
      <c r="BS111" s="70"/>
      <c r="BT111" s="70"/>
      <c r="BU111" s="70"/>
      <c r="BV111" s="70"/>
      <c r="BW111" s="70"/>
      <c r="BX111" s="70"/>
      <c r="BY111" s="70"/>
      <c r="BZ111" s="70"/>
      <c r="CA111" s="70"/>
      <c r="CB111" s="70"/>
      <c r="CC111" s="70"/>
      <c r="CD111" s="70"/>
      <c r="CE111" s="70"/>
      <c r="CF111" s="70"/>
      <c r="CG111" s="70"/>
      <c r="CH111" s="70"/>
      <c r="CI111" s="70"/>
      <c r="CJ111" s="70"/>
      <c r="CK111" s="70"/>
      <c r="CL111" s="70"/>
      <c r="CM111" s="70"/>
      <c r="CN111" s="70"/>
      <c r="CO111" s="70"/>
      <c r="CP111" s="70"/>
      <c r="CQ111" s="70"/>
      <c r="CR111" s="70"/>
      <c r="CS111" s="70"/>
      <c r="CT111" s="70"/>
      <c r="CU111" s="70"/>
      <c r="CV111" s="70"/>
      <c r="CW111" s="70"/>
      <c r="CX111" s="70"/>
      <c r="CY111" s="70"/>
      <c r="CZ111" s="70"/>
      <c r="DA111" s="70"/>
      <c r="DB111" s="70"/>
      <c r="DC111" s="70"/>
      <c r="DD111" s="70"/>
      <c r="DE111" s="70"/>
      <c r="DF111" s="70"/>
      <c r="DG111" s="70"/>
      <c r="DH111" s="70"/>
      <c r="DI111" s="70"/>
      <c r="DJ111" s="70"/>
      <c r="DK111" s="70"/>
      <c r="DL111" s="70"/>
      <c r="DM111" s="70"/>
      <c r="DN111" s="70"/>
      <c r="DO111" s="70"/>
      <c r="DP111" s="70"/>
      <c r="DQ111" s="70"/>
      <c r="DR111" s="70"/>
      <c r="DS111" s="70"/>
      <c r="DT111" s="70"/>
      <c r="DU111" s="70"/>
      <c r="DV111" s="70"/>
      <c r="DW111" s="70"/>
      <c r="DX111" s="70"/>
      <c r="DY111" s="70"/>
      <c r="DZ111" s="70"/>
      <c r="EA111" s="70"/>
      <c r="EB111" s="70"/>
      <c r="EC111" s="70"/>
      <c r="ED111" s="70"/>
      <c r="EE111" s="70"/>
      <c r="EF111" s="70"/>
      <c r="EG111" s="70"/>
      <c r="EH111" s="70"/>
      <c r="EI111" s="70"/>
      <c r="EJ111" s="70"/>
      <c r="EK111" s="70"/>
      <c r="EL111" s="70"/>
      <c r="EM111" s="70"/>
      <c r="EN111" s="70"/>
      <c r="EO111" s="70"/>
      <c r="EP111" s="70"/>
      <c r="EQ111" s="70"/>
      <c r="ER111" s="70"/>
      <c r="ES111" s="70"/>
      <c r="ET111" s="70"/>
      <c r="EU111" s="70"/>
      <c r="EV111" s="70"/>
      <c r="EW111" s="70"/>
      <c r="EX111" s="70"/>
      <c r="EY111" s="70"/>
      <c r="EZ111" s="70"/>
      <c r="FA111" s="70"/>
      <c r="FB111" s="70"/>
      <c r="FC111" s="70"/>
      <c r="FD111" s="70"/>
      <c r="FE111" s="70"/>
      <c r="FF111" s="70"/>
      <c r="FG111" s="70"/>
      <c r="FH111" s="70"/>
      <c r="FI111" s="70"/>
      <c r="FJ111" s="70"/>
      <c r="FK111" s="70"/>
      <c r="FL111" s="70"/>
      <c r="FM111" s="70"/>
      <c r="FN111" s="70"/>
      <c r="FO111" s="70"/>
      <c r="FP111" s="70"/>
      <c r="FQ111" s="70"/>
      <c r="FR111" s="70"/>
      <c r="FS111" s="70"/>
      <c r="FT111" s="70"/>
      <c r="FU111" s="70"/>
      <c r="FV111" s="70"/>
      <c r="FW111" s="70"/>
      <c r="FX111" s="70"/>
      <c r="FY111" s="70"/>
      <c r="FZ111" s="70"/>
      <c r="GA111" s="70"/>
      <c r="GB111" s="70"/>
      <c r="GC111" s="70"/>
      <c r="GD111" s="70"/>
      <c r="GE111" s="70"/>
      <c r="GF111" s="70"/>
      <c r="GG111" s="70"/>
      <c r="GH111" s="70"/>
      <c r="GI111" s="70"/>
      <c r="GJ111" s="70"/>
    </row>
    <row r="112" spans="1:192" ht="13" hidden="1">
      <c r="A112" s="70"/>
      <c r="B112" s="1178" t="s">
        <v>14936</v>
      </c>
      <c r="C112" s="1178" t="s">
        <v>15127</v>
      </c>
      <c r="D112" s="1179"/>
      <c r="E112" s="1178" t="s">
        <v>1541</v>
      </c>
      <c r="F112" s="1178" t="s">
        <v>15115</v>
      </c>
      <c r="G112" s="1179"/>
      <c r="H112" s="1180"/>
      <c r="I112" s="1180"/>
      <c r="J112" s="1175" t="s">
        <v>15125</v>
      </c>
      <c r="K112" s="1176"/>
      <c r="L112" s="1176" t="s">
        <v>81</v>
      </c>
      <c r="M112" s="1175" t="s">
        <v>15125</v>
      </c>
      <c r="N112" s="1177" t="s">
        <v>15128</v>
      </c>
      <c r="O112" s="148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  <c r="AB112" s="70"/>
      <c r="AC112" s="70"/>
      <c r="AD112" s="70"/>
      <c r="AE112" s="70"/>
      <c r="AF112" s="70"/>
      <c r="AG112" s="70"/>
      <c r="AH112" s="70"/>
      <c r="AI112" s="70"/>
      <c r="AJ112" s="70"/>
      <c r="AK112" s="70"/>
      <c r="AL112" s="70"/>
      <c r="AM112" s="70"/>
      <c r="AN112" s="70"/>
      <c r="AO112" s="70"/>
      <c r="AP112" s="70"/>
      <c r="AQ112" s="70"/>
      <c r="AR112" s="70"/>
      <c r="AS112" s="70"/>
      <c r="AT112" s="70"/>
      <c r="AU112" s="70"/>
      <c r="AV112" s="70"/>
      <c r="AW112" s="70"/>
      <c r="AX112" s="70"/>
      <c r="AY112" s="70"/>
      <c r="AZ112" s="70"/>
      <c r="BA112" s="70"/>
      <c r="BB112" s="70"/>
      <c r="BC112" s="70"/>
      <c r="BD112" s="70"/>
      <c r="BE112" s="70"/>
      <c r="BF112" s="70"/>
      <c r="BG112" s="70"/>
      <c r="BH112" s="70"/>
      <c r="BI112" s="70"/>
      <c r="BJ112" s="70"/>
      <c r="BK112" s="70"/>
      <c r="BL112" s="70"/>
      <c r="BM112" s="70"/>
      <c r="BN112" s="70"/>
      <c r="BO112" s="70"/>
      <c r="BP112" s="70"/>
      <c r="BQ112" s="70"/>
      <c r="BR112" s="70"/>
      <c r="BS112" s="70"/>
      <c r="BT112" s="70"/>
      <c r="BU112" s="70"/>
      <c r="BV112" s="70"/>
      <c r="BW112" s="70"/>
      <c r="BX112" s="70"/>
      <c r="BY112" s="70"/>
      <c r="BZ112" s="70"/>
      <c r="CA112" s="70"/>
      <c r="CB112" s="70"/>
      <c r="CC112" s="70"/>
      <c r="CD112" s="70"/>
      <c r="CE112" s="70"/>
      <c r="CF112" s="70"/>
      <c r="CG112" s="70"/>
      <c r="CH112" s="70"/>
      <c r="CI112" s="70"/>
      <c r="CJ112" s="70"/>
      <c r="CK112" s="70"/>
      <c r="CL112" s="70"/>
      <c r="CM112" s="70"/>
      <c r="CN112" s="70"/>
      <c r="CO112" s="70"/>
      <c r="CP112" s="70"/>
      <c r="CQ112" s="70"/>
      <c r="CR112" s="70"/>
      <c r="CS112" s="70"/>
      <c r="CT112" s="70"/>
      <c r="CU112" s="70"/>
      <c r="CV112" s="70"/>
      <c r="CW112" s="70"/>
      <c r="CX112" s="70"/>
      <c r="CY112" s="70"/>
      <c r="CZ112" s="70"/>
      <c r="DA112" s="70"/>
      <c r="DB112" s="70"/>
      <c r="DC112" s="70"/>
      <c r="DD112" s="70"/>
      <c r="DE112" s="70"/>
      <c r="DF112" s="70"/>
      <c r="DG112" s="70"/>
      <c r="DH112" s="70"/>
      <c r="DI112" s="70"/>
      <c r="DJ112" s="70"/>
      <c r="DK112" s="70"/>
      <c r="DL112" s="70"/>
      <c r="DM112" s="70"/>
      <c r="DN112" s="70"/>
      <c r="DO112" s="70"/>
      <c r="DP112" s="70"/>
      <c r="DQ112" s="70"/>
      <c r="DR112" s="70"/>
      <c r="DS112" s="70"/>
      <c r="DT112" s="70"/>
      <c r="DU112" s="70"/>
      <c r="DV112" s="70"/>
      <c r="DW112" s="70"/>
      <c r="DX112" s="70"/>
      <c r="DY112" s="70"/>
      <c r="DZ112" s="70"/>
      <c r="EA112" s="70"/>
      <c r="EB112" s="70"/>
      <c r="EC112" s="70"/>
      <c r="ED112" s="70"/>
      <c r="EE112" s="70"/>
      <c r="EF112" s="70"/>
      <c r="EG112" s="70"/>
      <c r="EH112" s="70"/>
      <c r="EI112" s="70"/>
      <c r="EJ112" s="70"/>
      <c r="EK112" s="70"/>
      <c r="EL112" s="70"/>
      <c r="EM112" s="70"/>
      <c r="EN112" s="70"/>
      <c r="EO112" s="70"/>
      <c r="EP112" s="70"/>
      <c r="EQ112" s="70"/>
      <c r="ER112" s="70"/>
      <c r="ES112" s="70"/>
      <c r="ET112" s="70"/>
      <c r="EU112" s="70"/>
      <c r="EV112" s="70"/>
      <c r="EW112" s="70"/>
      <c r="EX112" s="70"/>
      <c r="EY112" s="70"/>
      <c r="EZ112" s="70"/>
      <c r="FA112" s="70"/>
      <c r="FB112" s="70"/>
      <c r="FC112" s="70"/>
      <c r="FD112" s="70"/>
      <c r="FE112" s="70"/>
      <c r="FF112" s="70"/>
      <c r="FG112" s="70"/>
      <c r="FH112" s="70"/>
      <c r="FI112" s="70"/>
      <c r="FJ112" s="70"/>
      <c r="FK112" s="70"/>
      <c r="FL112" s="70"/>
      <c r="FM112" s="70"/>
      <c r="FN112" s="70"/>
      <c r="FO112" s="70"/>
      <c r="FP112" s="70"/>
      <c r="FQ112" s="70"/>
      <c r="FR112" s="70"/>
      <c r="FS112" s="70"/>
      <c r="FT112" s="70"/>
      <c r="FU112" s="70"/>
      <c r="FV112" s="70"/>
      <c r="FW112" s="70"/>
      <c r="FX112" s="70"/>
      <c r="FY112" s="70"/>
      <c r="FZ112" s="70"/>
      <c r="GA112" s="70"/>
      <c r="GB112" s="70"/>
      <c r="GC112" s="70"/>
      <c r="GD112" s="70"/>
      <c r="GE112" s="70"/>
      <c r="GF112" s="70"/>
      <c r="GG112" s="70"/>
      <c r="GH112" s="70"/>
      <c r="GI112" s="70"/>
      <c r="GJ112" s="70"/>
    </row>
    <row r="113" spans="1:192" ht="13" hidden="1">
      <c r="A113" s="70"/>
      <c r="B113" s="1051"/>
      <c r="C113" s="1051"/>
      <c r="D113" s="1051"/>
      <c r="E113" s="1051"/>
      <c r="F113" s="1051"/>
      <c r="G113" s="1051"/>
      <c r="H113" s="1051"/>
      <c r="I113" s="1051"/>
      <c r="J113" s="1095"/>
      <c r="K113" s="1095"/>
      <c r="L113" s="1095"/>
      <c r="M113" s="1095"/>
      <c r="N113" s="1095"/>
      <c r="O113" s="148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  <c r="AE113" s="70"/>
      <c r="AF113" s="70"/>
      <c r="AG113" s="70"/>
      <c r="AH113" s="70"/>
      <c r="AI113" s="70"/>
      <c r="AJ113" s="70"/>
      <c r="AK113" s="70"/>
      <c r="AL113" s="70"/>
      <c r="AM113" s="70"/>
      <c r="AN113" s="70"/>
      <c r="AO113" s="70"/>
      <c r="AP113" s="70"/>
      <c r="AQ113" s="70"/>
      <c r="AR113" s="70"/>
      <c r="AS113" s="70"/>
      <c r="AT113" s="70"/>
      <c r="AU113" s="70"/>
      <c r="AV113" s="70"/>
      <c r="AW113" s="70"/>
      <c r="AX113" s="70"/>
      <c r="AY113" s="70"/>
      <c r="AZ113" s="70"/>
      <c r="BA113" s="70"/>
      <c r="BB113" s="70"/>
      <c r="BC113" s="70"/>
      <c r="BD113" s="70"/>
      <c r="BE113" s="70"/>
      <c r="BF113" s="70"/>
      <c r="BG113" s="70"/>
      <c r="BH113" s="70"/>
      <c r="BI113" s="70"/>
      <c r="BJ113" s="70"/>
      <c r="BK113" s="70"/>
      <c r="BL113" s="70"/>
      <c r="BM113" s="70"/>
      <c r="BN113" s="70"/>
      <c r="BO113" s="70"/>
      <c r="BP113" s="70"/>
      <c r="BQ113" s="70"/>
      <c r="BR113" s="70"/>
      <c r="BS113" s="70"/>
      <c r="BT113" s="70"/>
      <c r="BU113" s="70"/>
      <c r="BV113" s="70"/>
      <c r="BW113" s="70"/>
      <c r="BX113" s="70"/>
      <c r="BY113" s="70"/>
      <c r="BZ113" s="70"/>
      <c r="CA113" s="70"/>
      <c r="CB113" s="70"/>
      <c r="CC113" s="70"/>
      <c r="CD113" s="70"/>
      <c r="CE113" s="70"/>
      <c r="CF113" s="70"/>
      <c r="CG113" s="70"/>
      <c r="CH113" s="70"/>
      <c r="CI113" s="70"/>
      <c r="CJ113" s="70"/>
      <c r="CK113" s="70"/>
      <c r="CL113" s="70"/>
      <c r="CM113" s="70"/>
      <c r="CN113" s="70"/>
      <c r="CO113" s="70"/>
      <c r="CP113" s="70"/>
      <c r="CQ113" s="70"/>
      <c r="CR113" s="70"/>
      <c r="CS113" s="70"/>
      <c r="CT113" s="70"/>
      <c r="CU113" s="70"/>
      <c r="CV113" s="70"/>
      <c r="CW113" s="70"/>
      <c r="CX113" s="70"/>
      <c r="CY113" s="70"/>
      <c r="CZ113" s="70"/>
      <c r="DA113" s="70"/>
      <c r="DB113" s="70"/>
      <c r="DC113" s="70"/>
      <c r="DD113" s="70"/>
      <c r="DE113" s="70"/>
      <c r="DF113" s="70"/>
      <c r="DG113" s="70"/>
      <c r="DH113" s="70"/>
      <c r="DI113" s="70"/>
      <c r="DJ113" s="70"/>
      <c r="DK113" s="70"/>
      <c r="DL113" s="70"/>
      <c r="DM113" s="70"/>
      <c r="DN113" s="70"/>
      <c r="DO113" s="70"/>
      <c r="DP113" s="70"/>
      <c r="DQ113" s="70"/>
      <c r="DR113" s="70"/>
      <c r="DS113" s="70"/>
      <c r="DT113" s="70"/>
      <c r="DU113" s="70"/>
      <c r="DV113" s="70"/>
      <c r="DW113" s="70"/>
      <c r="DX113" s="70"/>
      <c r="DY113" s="70"/>
      <c r="DZ113" s="70"/>
      <c r="EA113" s="70"/>
      <c r="EB113" s="70"/>
      <c r="EC113" s="70"/>
      <c r="ED113" s="70"/>
      <c r="EE113" s="70"/>
      <c r="EF113" s="70"/>
      <c r="EG113" s="70"/>
      <c r="EH113" s="70"/>
      <c r="EI113" s="70"/>
      <c r="EJ113" s="70"/>
      <c r="EK113" s="70"/>
      <c r="EL113" s="70"/>
      <c r="EM113" s="70"/>
      <c r="EN113" s="70"/>
      <c r="EO113" s="70"/>
      <c r="EP113" s="70"/>
      <c r="EQ113" s="70"/>
      <c r="ER113" s="70"/>
      <c r="ES113" s="70"/>
      <c r="ET113" s="70"/>
      <c r="EU113" s="70"/>
      <c r="EV113" s="70"/>
      <c r="EW113" s="70"/>
      <c r="EX113" s="70"/>
      <c r="EY113" s="70"/>
      <c r="EZ113" s="70"/>
      <c r="FA113" s="70"/>
      <c r="FB113" s="70"/>
      <c r="FC113" s="70"/>
      <c r="FD113" s="70"/>
      <c r="FE113" s="70"/>
      <c r="FF113" s="70"/>
      <c r="FG113" s="70"/>
      <c r="FH113" s="70"/>
      <c r="FI113" s="70"/>
      <c r="FJ113" s="70"/>
      <c r="FK113" s="70"/>
      <c r="FL113" s="70"/>
      <c r="FM113" s="70"/>
      <c r="FN113" s="70"/>
      <c r="FO113" s="70"/>
      <c r="FP113" s="70"/>
      <c r="FQ113" s="70"/>
      <c r="FR113" s="70"/>
      <c r="FS113" s="70"/>
      <c r="FT113" s="70"/>
      <c r="FU113" s="70"/>
      <c r="FV113" s="70"/>
      <c r="FW113" s="70"/>
      <c r="FX113" s="70"/>
      <c r="FY113" s="70"/>
      <c r="FZ113" s="70"/>
      <c r="GA113" s="70"/>
      <c r="GB113" s="70"/>
      <c r="GC113" s="70"/>
      <c r="GD113" s="70"/>
      <c r="GE113" s="70"/>
      <c r="GF113" s="70"/>
      <c r="GG113" s="70"/>
      <c r="GH113" s="70"/>
      <c r="GI113" s="70"/>
      <c r="GJ113" s="70"/>
    </row>
    <row r="114" spans="1:192" ht="13" hidden="1">
      <c r="A114" s="70"/>
      <c r="B114" s="1052"/>
      <c r="C114" s="1052"/>
      <c r="D114" s="1052"/>
      <c r="E114" s="1052"/>
      <c r="F114" s="1052"/>
      <c r="G114" s="1052"/>
      <c r="H114" s="1052"/>
      <c r="I114" s="1052"/>
      <c r="J114" s="1096"/>
      <c r="K114" s="1096"/>
      <c r="L114" s="1096"/>
      <c r="M114" s="1096"/>
      <c r="N114" s="1096"/>
      <c r="O114" s="148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  <c r="AE114" s="70"/>
      <c r="AF114" s="70"/>
      <c r="AG114" s="70"/>
      <c r="AH114" s="70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70"/>
      <c r="AT114" s="70"/>
      <c r="AU114" s="70"/>
      <c r="AV114" s="70"/>
      <c r="AW114" s="70"/>
      <c r="AX114" s="70"/>
      <c r="AY114" s="70"/>
      <c r="AZ114" s="70"/>
      <c r="BA114" s="70"/>
      <c r="BB114" s="70"/>
      <c r="BC114" s="70"/>
      <c r="BD114" s="70"/>
      <c r="BE114" s="70"/>
      <c r="BF114" s="70"/>
      <c r="BG114" s="70"/>
      <c r="BH114" s="70"/>
      <c r="BI114" s="70"/>
      <c r="BJ114" s="70"/>
      <c r="BK114" s="70"/>
      <c r="BL114" s="70"/>
      <c r="BM114" s="70"/>
      <c r="BN114" s="70"/>
      <c r="BO114" s="70"/>
      <c r="BP114" s="70"/>
      <c r="BQ114" s="70"/>
      <c r="BR114" s="70"/>
      <c r="BS114" s="70"/>
      <c r="BT114" s="70"/>
      <c r="BU114" s="70"/>
      <c r="BV114" s="70"/>
      <c r="BW114" s="70"/>
      <c r="BX114" s="70"/>
      <c r="BY114" s="70"/>
      <c r="BZ114" s="70"/>
      <c r="CA114" s="70"/>
      <c r="CB114" s="70"/>
      <c r="CC114" s="70"/>
      <c r="CD114" s="70"/>
      <c r="CE114" s="70"/>
      <c r="CF114" s="70"/>
      <c r="CG114" s="70"/>
      <c r="CH114" s="70"/>
      <c r="CI114" s="70"/>
      <c r="CJ114" s="70"/>
      <c r="CK114" s="70"/>
      <c r="CL114" s="70"/>
      <c r="CM114" s="70"/>
      <c r="CN114" s="70"/>
      <c r="CO114" s="70"/>
      <c r="CP114" s="70"/>
      <c r="CQ114" s="70"/>
      <c r="CR114" s="70"/>
      <c r="CS114" s="70"/>
      <c r="CT114" s="70"/>
      <c r="CU114" s="70"/>
      <c r="CV114" s="70"/>
      <c r="CW114" s="70"/>
      <c r="CX114" s="70"/>
      <c r="CY114" s="70"/>
      <c r="CZ114" s="70"/>
      <c r="DA114" s="70"/>
      <c r="DB114" s="70"/>
      <c r="DC114" s="70"/>
      <c r="DD114" s="70"/>
      <c r="DE114" s="70"/>
      <c r="DF114" s="70"/>
      <c r="DG114" s="70"/>
      <c r="DH114" s="70"/>
      <c r="DI114" s="70"/>
      <c r="DJ114" s="70"/>
      <c r="DK114" s="70"/>
      <c r="DL114" s="70"/>
      <c r="DM114" s="70"/>
      <c r="DN114" s="70"/>
      <c r="DO114" s="70"/>
      <c r="DP114" s="70"/>
      <c r="DQ114" s="70"/>
      <c r="DR114" s="70"/>
      <c r="DS114" s="70"/>
      <c r="DT114" s="70"/>
      <c r="DU114" s="70"/>
      <c r="DV114" s="70"/>
      <c r="DW114" s="70"/>
      <c r="DX114" s="70"/>
      <c r="DY114" s="70"/>
      <c r="DZ114" s="70"/>
      <c r="EA114" s="70"/>
      <c r="EB114" s="70"/>
      <c r="EC114" s="70"/>
      <c r="ED114" s="70"/>
      <c r="EE114" s="70"/>
      <c r="EF114" s="70"/>
      <c r="EG114" s="70"/>
      <c r="EH114" s="70"/>
      <c r="EI114" s="70"/>
      <c r="EJ114" s="70"/>
      <c r="EK114" s="70"/>
      <c r="EL114" s="70"/>
      <c r="EM114" s="70"/>
      <c r="EN114" s="70"/>
      <c r="EO114" s="70"/>
      <c r="EP114" s="70"/>
      <c r="EQ114" s="70"/>
      <c r="ER114" s="70"/>
      <c r="ES114" s="70"/>
      <c r="ET114" s="70"/>
      <c r="EU114" s="70"/>
      <c r="EV114" s="70"/>
      <c r="EW114" s="70"/>
      <c r="EX114" s="70"/>
      <c r="EY114" s="70"/>
      <c r="EZ114" s="70"/>
      <c r="FA114" s="70"/>
      <c r="FB114" s="70"/>
      <c r="FC114" s="70"/>
      <c r="FD114" s="70"/>
      <c r="FE114" s="70"/>
      <c r="FF114" s="70"/>
      <c r="FG114" s="70"/>
      <c r="FH114" s="70"/>
      <c r="FI114" s="70"/>
      <c r="FJ114" s="70"/>
      <c r="FK114" s="70"/>
      <c r="FL114" s="70"/>
      <c r="FM114" s="70"/>
      <c r="FN114" s="70"/>
      <c r="FO114" s="70"/>
      <c r="FP114" s="70"/>
      <c r="FQ114" s="70"/>
      <c r="FR114" s="70"/>
      <c r="FS114" s="70"/>
      <c r="FT114" s="70"/>
      <c r="FU114" s="70"/>
      <c r="FV114" s="70"/>
      <c r="FW114" s="70"/>
      <c r="FX114" s="70"/>
      <c r="FY114" s="70"/>
      <c r="FZ114" s="70"/>
      <c r="GA114" s="70"/>
      <c r="GB114" s="70"/>
      <c r="GC114" s="70"/>
      <c r="GD114" s="70"/>
      <c r="GE114" s="70"/>
      <c r="GF114" s="70"/>
      <c r="GG114" s="70"/>
      <c r="GH114" s="70"/>
      <c r="GI114" s="70"/>
      <c r="GJ114" s="70"/>
    </row>
    <row r="115" spans="1:192" ht="14">
      <c r="A115" s="70"/>
      <c r="B115" s="106" t="s">
        <v>15112</v>
      </c>
      <c r="C115" s="106" t="s">
        <v>15129</v>
      </c>
      <c r="D115" s="154" t="s">
        <v>15130</v>
      </c>
      <c r="E115" s="106" t="s">
        <v>1541</v>
      </c>
      <c r="F115" s="106" t="s">
        <v>15115</v>
      </c>
      <c r="G115" s="840" t="s">
        <v>15131</v>
      </c>
      <c r="H115" s="267"/>
      <c r="I115" s="267"/>
      <c r="J115" s="833">
        <v>8000000</v>
      </c>
      <c r="K115" s="834"/>
      <c r="L115" s="834" t="s">
        <v>15132</v>
      </c>
      <c r="M115" s="833">
        <v>8000000</v>
      </c>
      <c r="N115" s="835" t="s">
        <v>15133</v>
      </c>
      <c r="O115" s="841" t="str">
        <f>'(AR)물류사업부'!K7</f>
        <v>ART241114김행주1704</v>
      </c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B115" s="70"/>
      <c r="AC115" s="70"/>
      <c r="AD115" s="70"/>
      <c r="AE115" s="70"/>
      <c r="AF115" s="70"/>
      <c r="AG115" s="70"/>
      <c r="AH115" s="70"/>
      <c r="AI115" s="70"/>
      <c r="AJ115" s="70"/>
      <c r="AK115" s="70"/>
      <c r="AL115" s="70"/>
      <c r="AM115" s="70"/>
      <c r="AN115" s="70"/>
      <c r="AO115" s="70"/>
      <c r="AP115" s="70"/>
      <c r="AQ115" s="70"/>
      <c r="AR115" s="70"/>
      <c r="AS115" s="70"/>
      <c r="AT115" s="70"/>
      <c r="AU115" s="70"/>
      <c r="AV115" s="70"/>
      <c r="AW115" s="70"/>
      <c r="AX115" s="70"/>
      <c r="AY115" s="70"/>
      <c r="AZ115" s="70"/>
      <c r="BA115" s="70"/>
      <c r="BB115" s="70"/>
      <c r="BC115" s="70"/>
      <c r="BD115" s="70"/>
      <c r="BE115" s="70"/>
      <c r="BF115" s="70"/>
      <c r="BG115" s="70"/>
      <c r="BH115" s="70"/>
      <c r="BI115" s="70"/>
      <c r="BJ115" s="70"/>
      <c r="BK115" s="70"/>
      <c r="BL115" s="70"/>
      <c r="BM115" s="70"/>
      <c r="BN115" s="70"/>
      <c r="BO115" s="70"/>
      <c r="BP115" s="70"/>
      <c r="BQ115" s="70"/>
      <c r="BR115" s="70"/>
      <c r="BS115" s="70"/>
      <c r="BT115" s="70"/>
      <c r="BU115" s="70"/>
      <c r="BV115" s="70"/>
      <c r="BW115" s="70"/>
      <c r="BX115" s="70"/>
      <c r="BY115" s="70"/>
      <c r="BZ115" s="70"/>
      <c r="CA115" s="70"/>
      <c r="CB115" s="70"/>
      <c r="CC115" s="70"/>
      <c r="CD115" s="70"/>
      <c r="CE115" s="70"/>
      <c r="CF115" s="70"/>
      <c r="CG115" s="70"/>
      <c r="CH115" s="70"/>
      <c r="CI115" s="70"/>
      <c r="CJ115" s="70"/>
      <c r="CK115" s="70"/>
      <c r="CL115" s="70"/>
      <c r="CM115" s="70"/>
      <c r="CN115" s="70"/>
      <c r="CO115" s="70"/>
      <c r="CP115" s="70"/>
      <c r="CQ115" s="70"/>
      <c r="CR115" s="70"/>
      <c r="CS115" s="70"/>
      <c r="CT115" s="70"/>
      <c r="CU115" s="70"/>
      <c r="CV115" s="70"/>
      <c r="CW115" s="70"/>
      <c r="CX115" s="70"/>
      <c r="CY115" s="70"/>
      <c r="CZ115" s="70"/>
      <c r="DA115" s="70"/>
      <c r="DB115" s="70"/>
      <c r="DC115" s="70"/>
      <c r="DD115" s="70"/>
      <c r="DE115" s="70"/>
      <c r="DF115" s="70"/>
      <c r="DG115" s="70"/>
      <c r="DH115" s="70"/>
      <c r="DI115" s="70"/>
      <c r="DJ115" s="70"/>
      <c r="DK115" s="70"/>
      <c r="DL115" s="70"/>
      <c r="DM115" s="70"/>
      <c r="DN115" s="70"/>
      <c r="DO115" s="70"/>
      <c r="DP115" s="70"/>
      <c r="DQ115" s="70"/>
      <c r="DR115" s="70"/>
      <c r="DS115" s="70"/>
      <c r="DT115" s="70"/>
      <c r="DU115" s="70"/>
      <c r="DV115" s="70"/>
      <c r="DW115" s="70"/>
      <c r="DX115" s="70"/>
      <c r="DY115" s="70"/>
      <c r="DZ115" s="70"/>
      <c r="EA115" s="70"/>
      <c r="EB115" s="70"/>
      <c r="EC115" s="70"/>
      <c r="ED115" s="70"/>
      <c r="EE115" s="70"/>
      <c r="EF115" s="70"/>
      <c r="EG115" s="70"/>
      <c r="EH115" s="70"/>
      <c r="EI115" s="70"/>
      <c r="EJ115" s="70"/>
      <c r="EK115" s="70"/>
      <c r="EL115" s="70"/>
      <c r="EM115" s="70"/>
      <c r="EN115" s="70"/>
      <c r="EO115" s="70"/>
      <c r="EP115" s="70"/>
      <c r="EQ115" s="70"/>
      <c r="ER115" s="70"/>
      <c r="ES115" s="70"/>
      <c r="ET115" s="70"/>
      <c r="EU115" s="70"/>
      <c r="EV115" s="70"/>
      <c r="EW115" s="70"/>
      <c r="EX115" s="70"/>
      <c r="EY115" s="70"/>
      <c r="EZ115" s="70"/>
      <c r="FA115" s="70"/>
      <c r="FB115" s="70"/>
      <c r="FC115" s="70"/>
      <c r="FD115" s="70"/>
      <c r="FE115" s="70"/>
      <c r="FF115" s="70"/>
      <c r="FG115" s="70"/>
      <c r="FH115" s="70"/>
      <c r="FI115" s="70"/>
      <c r="FJ115" s="70"/>
      <c r="FK115" s="70"/>
      <c r="FL115" s="70"/>
      <c r="FM115" s="70"/>
      <c r="FN115" s="70"/>
      <c r="FO115" s="70"/>
      <c r="FP115" s="70"/>
      <c r="FQ115" s="70"/>
      <c r="FR115" s="70"/>
      <c r="FS115" s="70"/>
      <c r="FT115" s="70"/>
      <c r="FU115" s="70"/>
      <c r="FV115" s="70"/>
      <c r="FW115" s="70"/>
      <c r="FX115" s="70"/>
      <c r="FY115" s="70"/>
      <c r="FZ115" s="70"/>
      <c r="GA115" s="70"/>
      <c r="GB115" s="70"/>
      <c r="GC115" s="70"/>
      <c r="GD115" s="70"/>
      <c r="GE115" s="70"/>
      <c r="GF115" s="70"/>
      <c r="GG115" s="70"/>
      <c r="GH115" s="70"/>
      <c r="GI115" s="70"/>
      <c r="GJ115" s="70"/>
    </row>
    <row r="116" spans="1:192" ht="14">
      <c r="A116" s="70"/>
      <c r="B116" s="842" t="s">
        <v>15134</v>
      </c>
      <c r="C116" s="698" t="s">
        <v>15135</v>
      </c>
      <c r="D116" s="843" t="s">
        <v>15136</v>
      </c>
      <c r="E116" s="844" t="s">
        <v>1541</v>
      </c>
      <c r="F116" s="54" t="s">
        <v>15115</v>
      </c>
      <c r="G116" s="845" t="s">
        <v>15137</v>
      </c>
      <c r="H116" s="763">
        <v>45505</v>
      </c>
      <c r="I116" s="763">
        <v>45869</v>
      </c>
      <c r="J116" s="130">
        <v>2496000</v>
      </c>
      <c r="K116" s="846" t="s">
        <v>671</v>
      </c>
      <c r="L116" s="846" t="s">
        <v>828</v>
      </c>
      <c r="M116" s="847"/>
      <c r="N116" s="701" t="s">
        <v>15138</v>
      </c>
      <c r="O116" s="794" t="str">
        <f>'(AR)물류사업부'!K55</f>
        <v xml:space="preserve">ART241130김행주1403
		</v>
      </c>
      <c r="P116" s="848">
        <v>18458</v>
      </c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  <c r="AE116" s="70"/>
      <c r="AF116" s="70"/>
      <c r="AG116" s="70"/>
      <c r="AH116" s="70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70"/>
      <c r="AX116" s="70"/>
      <c r="AY116" s="70"/>
      <c r="AZ116" s="70"/>
      <c r="BA116" s="70"/>
      <c r="BB116" s="70"/>
      <c r="BC116" s="70"/>
      <c r="BD116" s="70"/>
      <c r="BE116" s="70"/>
      <c r="BF116" s="70"/>
      <c r="BG116" s="70"/>
      <c r="BH116" s="70"/>
      <c r="BI116" s="70"/>
      <c r="BJ116" s="70"/>
      <c r="BK116" s="70"/>
      <c r="BL116" s="70"/>
      <c r="BM116" s="70"/>
      <c r="BN116" s="70"/>
      <c r="BO116" s="70"/>
      <c r="BP116" s="70"/>
      <c r="BQ116" s="70"/>
      <c r="BR116" s="70"/>
      <c r="BS116" s="70"/>
      <c r="BT116" s="70"/>
      <c r="BU116" s="70"/>
      <c r="BV116" s="70"/>
      <c r="BW116" s="70"/>
      <c r="BX116" s="70"/>
      <c r="BY116" s="70"/>
      <c r="BZ116" s="70"/>
      <c r="CA116" s="70"/>
      <c r="CB116" s="70"/>
      <c r="CC116" s="70"/>
      <c r="CD116" s="70"/>
      <c r="CE116" s="70"/>
      <c r="CF116" s="70"/>
      <c r="CG116" s="70"/>
      <c r="CH116" s="70"/>
      <c r="CI116" s="70"/>
      <c r="CJ116" s="70"/>
      <c r="CK116" s="70"/>
      <c r="CL116" s="70"/>
      <c r="CM116" s="70"/>
      <c r="CN116" s="70"/>
      <c r="CO116" s="70"/>
      <c r="CP116" s="70"/>
      <c r="CQ116" s="70"/>
      <c r="CR116" s="70"/>
      <c r="CS116" s="70"/>
      <c r="CT116" s="70"/>
      <c r="CU116" s="70"/>
      <c r="CV116" s="70"/>
      <c r="CW116" s="70"/>
      <c r="CX116" s="70"/>
      <c r="CY116" s="70"/>
      <c r="CZ116" s="70"/>
      <c r="DA116" s="70"/>
      <c r="DB116" s="70"/>
      <c r="DC116" s="70"/>
      <c r="DD116" s="70"/>
      <c r="DE116" s="70"/>
      <c r="DF116" s="70"/>
      <c r="DG116" s="70"/>
      <c r="DH116" s="70"/>
      <c r="DI116" s="70"/>
      <c r="DJ116" s="70"/>
      <c r="DK116" s="70"/>
      <c r="DL116" s="70"/>
      <c r="DM116" s="70"/>
      <c r="DN116" s="70"/>
      <c r="DO116" s="70"/>
      <c r="DP116" s="70"/>
      <c r="DQ116" s="70"/>
      <c r="DR116" s="70"/>
      <c r="DS116" s="70"/>
      <c r="DT116" s="70"/>
      <c r="DU116" s="70"/>
      <c r="DV116" s="70"/>
      <c r="DW116" s="70"/>
      <c r="DX116" s="70"/>
      <c r="DY116" s="70"/>
      <c r="DZ116" s="70"/>
      <c r="EA116" s="70"/>
      <c r="EB116" s="70"/>
      <c r="EC116" s="70"/>
      <c r="ED116" s="70"/>
      <c r="EE116" s="70"/>
      <c r="EF116" s="70"/>
      <c r="EG116" s="70"/>
      <c r="EH116" s="70"/>
      <c r="EI116" s="70"/>
      <c r="EJ116" s="70"/>
      <c r="EK116" s="70"/>
      <c r="EL116" s="70"/>
      <c r="EM116" s="70"/>
      <c r="EN116" s="70"/>
      <c r="EO116" s="70"/>
      <c r="EP116" s="70"/>
      <c r="EQ116" s="70"/>
      <c r="ER116" s="70"/>
      <c r="ES116" s="70"/>
      <c r="ET116" s="70"/>
      <c r="EU116" s="70"/>
      <c r="EV116" s="70"/>
      <c r="EW116" s="70"/>
      <c r="EX116" s="70"/>
      <c r="EY116" s="70"/>
      <c r="EZ116" s="70"/>
      <c r="FA116" s="70"/>
      <c r="FB116" s="70"/>
      <c r="FC116" s="70"/>
      <c r="FD116" s="70"/>
      <c r="FE116" s="70"/>
      <c r="FF116" s="70"/>
      <c r="FG116" s="70"/>
      <c r="FH116" s="70"/>
      <c r="FI116" s="70"/>
      <c r="FJ116" s="70"/>
      <c r="FK116" s="70"/>
      <c r="FL116" s="70"/>
      <c r="FM116" s="70"/>
      <c r="FN116" s="70"/>
      <c r="FO116" s="70"/>
      <c r="FP116" s="70"/>
      <c r="FQ116" s="70"/>
      <c r="FR116" s="70"/>
      <c r="FS116" s="70"/>
      <c r="FT116" s="70"/>
      <c r="FU116" s="70"/>
      <c r="FV116" s="70"/>
      <c r="FW116" s="70"/>
      <c r="FX116" s="70"/>
      <c r="FY116" s="70"/>
      <c r="FZ116" s="70"/>
      <c r="GA116" s="70"/>
      <c r="GB116" s="70"/>
      <c r="GC116" s="70"/>
      <c r="GD116" s="70"/>
      <c r="GE116" s="70"/>
      <c r="GF116" s="70"/>
      <c r="GG116" s="70"/>
      <c r="GH116" s="70"/>
      <c r="GI116" s="70"/>
      <c r="GJ116" s="70"/>
    </row>
    <row r="117" spans="1:192" ht="14">
      <c r="A117" s="70"/>
      <c r="B117" s="842" t="s">
        <v>15139</v>
      </c>
      <c r="C117" s="698" t="s">
        <v>15140</v>
      </c>
      <c r="D117" s="843" t="s">
        <v>15141</v>
      </c>
      <c r="E117" s="844" t="s">
        <v>1541</v>
      </c>
      <c r="F117" s="54" t="s">
        <v>15115</v>
      </c>
      <c r="G117" s="845" t="s">
        <v>15137</v>
      </c>
      <c r="H117" s="763">
        <v>45505</v>
      </c>
      <c r="I117" s="763">
        <v>45869</v>
      </c>
      <c r="J117" s="130">
        <v>3473000</v>
      </c>
      <c r="K117" s="846" t="s">
        <v>671</v>
      </c>
      <c r="L117" s="846" t="s">
        <v>831</v>
      </c>
      <c r="M117" s="847"/>
      <c r="N117" s="701" t="s">
        <v>15142</v>
      </c>
      <c r="O117" s="794" t="str">
        <f t="shared" ref="O117:O124" si="4">O116</f>
        <v xml:space="preserve">ART241130김행주1403
		</v>
      </c>
      <c r="P117" s="70">
        <v>18459</v>
      </c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  <c r="AE117" s="70"/>
      <c r="AF117" s="70"/>
      <c r="AG117" s="70"/>
      <c r="AH117" s="70"/>
      <c r="AI117" s="70"/>
      <c r="AJ117" s="70"/>
      <c r="AK117" s="70"/>
      <c r="AL117" s="70"/>
      <c r="AM117" s="70"/>
      <c r="AN117" s="70"/>
      <c r="AO117" s="70"/>
      <c r="AP117" s="70"/>
      <c r="AQ117" s="70"/>
      <c r="AR117" s="70"/>
      <c r="AS117" s="70"/>
      <c r="AT117" s="70"/>
      <c r="AU117" s="70"/>
      <c r="AV117" s="70"/>
      <c r="AW117" s="70"/>
      <c r="AX117" s="70"/>
      <c r="AY117" s="70"/>
      <c r="AZ117" s="70"/>
      <c r="BA117" s="70"/>
      <c r="BB117" s="70"/>
      <c r="BC117" s="70"/>
      <c r="BD117" s="70"/>
      <c r="BE117" s="70"/>
      <c r="BF117" s="70"/>
      <c r="BG117" s="70"/>
      <c r="BH117" s="70"/>
      <c r="BI117" s="70"/>
      <c r="BJ117" s="70"/>
      <c r="BK117" s="70"/>
      <c r="BL117" s="70"/>
      <c r="BM117" s="70"/>
      <c r="BN117" s="70"/>
      <c r="BO117" s="70"/>
      <c r="BP117" s="70"/>
      <c r="BQ117" s="70"/>
      <c r="BR117" s="70"/>
      <c r="BS117" s="70"/>
      <c r="BT117" s="70"/>
      <c r="BU117" s="70"/>
      <c r="BV117" s="70"/>
      <c r="BW117" s="70"/>
      <c r="BX117" s="70"/>
      <c r="BY117" s="70"/>
      <c r="BZ117" s="70"/>
      <c r="CA117" s="70"/>
      <c r="CB117" s="70"/>
      <c r="CC117" s="70"/>
      <c r="CD117" s="70"/>
      <c r="CE117" s="70"/>
      <c r="CF117" s="70"/>
      <c r="CG117" s="70"/>
      <c r="CH117" s="70"/>
      <c r="CI117" s="70"/>
      <c r="CJ117" s="70"/>
      <c r="CK117" s="70"/>
      <c r="CL117" s="70"/>
      <c r="CM117" s="70"/>
      <c r="CN117" s="70"/>
      <c r="CO117" s="70"/>
      <c r="CP117" s="70"/>
      <c r="CQ117" s="70"/>
      <c r="CR117" s="70"/>
      <c r="CS117" s="70"/>
      <c r="CT117" s="70"/>
      <c r="CU117" s="70"/>
      <c r="CV117" s="70"/>
      <c r="CW117" s="70"/>
      <c r="CX117" s="70"/>
      <c r="CY117" s="70"/>
      <c r="CZ117" s="70"/>
      <c r="DA117" s="70"/>
      <c r="DB117" s="70"/>
      <c r="DC117" s="70"/>
      <c r="DD117" s="70"/>
      <c r="DE117" s="70"/>
      <c r="DF117" s="70"/>
      <c r="DG117" s="70"/>
      <c r="DH117" s="70"/>
      <c r="DI117" s="70"/>
      <c r="DJ117" s="70"/>
      <c r="DK117" s="70"/>
      <c r="DL117" s="70"/>
      <c r="DM117" s="70"/>
      <c r="DN117" s="70"/>
      <c r="DO117" s="70"/>
      <c r="DP117" s="70"/>
      <c r="DQ117" s="70"/>
      <c r="DR117" s="70"/>
      <c r="DS117" s="70"/>
      <c r="DT117" s="70"/>
      <c r="DU117" s="70"/>
      <c r="DV117" s="70"/>
      <c r="DW117" s="70"/>
      <c r="DX117" s="70"/>
      <c r="DY117" s="70"/>
      <c r="DZ117" s="70"/>
      <c r="EA117" s="70"/>
      <c r="EB117" s="70"/>
      <c r="EC117" s="70"/>
      <c r="ED117" s="70"/>
      <c r="EE117" s="70"/>
      <c r="EF117" s="70"/>
      <c r="EG117" s="70"/>
      <c r="EH117" s="70"/>
      <c r="EI117" s="70"/>
      <c r="EJ117" s="70"/>
      <c r="EK117" s="70"/>
      <c r="EL117" s="70"/>
      <c r="EM117" s="70"/>
      <c r="EN117" s="70"/>
      <c r="EO117" s="70"/>
      <c r="EP117" s="70"/>
      <c r="EQ117" s="70"/>
      <c r="ER117" s="70"/>
      <c r="ES117" s="70"/>
      <c r="ET117" s="70"/>
      <c r="EU117" s="70"/>
      <c r="EV117" s="70"/>
      <c r="EW117" s="70"/>
      <c r="EX117" s="70"/>
      <c r="EY117" s="70"/>
      <c r="EZ117" s="70"/>
      <c r="FA117" s="70"/>
      <c r="FB117" s="70"/>
      <c r="FC117" s="70"/>
      <c r="FD117" s="70"/>
      <c r="FE117" s="70"/>
      <c r="FF117" s="70"/>
      <c r="FG117" s="70"/>
      <c r="FH117" s="70"/>
      <c r="FI117" s="70"/>
      <c r="FJ117" s="70"/>
      <c r="FK117" s="70"/>
      <c r="FL117" s="70"/>
      <c r="FM117" s="70"/>
      <c r="FN117" s="70"/>
      <c r="FO117" s="70"/>
      <c r="FP117" s="70"/>
      <c r="FQ117" s="70"/>
      <c r="FR117" s="70"/>
      <c r="FS117" s="70"/>
      <c r="FT117" s="70"/>
      <c r="FU117" s="70"/>
      <c r="FV117" s="70"/>
      <c r="FW117" s="70"/>
      <c r="FX117" s="70"/>
      <c r="FY117" s="70"/>
      <c r="FZ117" s="70"/>
      <c r="GA117" s="70"/>
      <c r="GB117" s="70"/>
      <c r="GC117" s="70"/>
      <c r="GD117" s="70"/>
      <c r="GE117" s="70"/>
      <c r="GF117" s="70"/>
      <c r="GG117" s="70"/>
      <c r="GH117" s="70"/>
      <c r="GI117" s="70"/>
      <c r="GJ117" s="70"/>
    </row>
    <row r="118" spans="1:192" ht="14">
      <c r="A118" s="70"/>
      <c r="B118" s="842" t="s">
        <v>15143</v>
      </c>
      <c r="C118" s="698" t="s">
        <v>15144</v>
      </c>
      <c r="D118" s="843" t="s">
        <v>15145</v>
      </c>
      <c r="E118" s="844" t="s">
        <v>1541</v>
      </c>
      <c r="F118" s="54" t="s">
        <v>15115</v>
      </c>
      <c r="G118" s="845" t="s">
        <v>15137</v>
      </c>
      <c r="H118" s="763">
        <v>45505</v>
      </c>
      <c r="I118" s="763">
        <v>45869</v>
      </c>
      <c r="J118" s="130">
        <v>650000</v>
      </c>
      <c r="K118" s="846" t="s">
        <v>671</v>
      </c>
      <c r="L118" s="846" t="s">
        <v>828</v>
      </c>
      <c r="M118" s="847"/>
      <c r="N118" s="701" t="s">
        <v>15146</v>
      </c>
      <c r="O118" s="794" t="str">
        <f t="shared" si="4"/>
        <v xml:space="preserve">ART241130김행주1403
		</v>
      </c>
      <c r="P118" s="70">
        <v>18460</v>
      </c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  <c r="AB118" s="70"/>
      <c r="AC118" s="70"/>
      <c r="AD118" s="70"/>
      <c r="AE118" s="70"/>
      <c r="AF118" s="70"/>
      <c r="AG118" s="70"/>
      <c r="AH118" s="70"/>
      <c r="AI118" s="70"/>
      <c r="AJ118" s="70"/>
      <c r="AK118" s="70"/>
      <c r="AL118" s="70"/>
      <c r="AM118" s="70"/>
      <c r="AN118" s="70"/>
      <c r="AO118" s="70"/>
      <c r="AP118" s="70"/>
      <c r="AQ118" s="70"/>
      <c r="AR118" s="70"/>
      <c r="AS118" s="70"/>
      <c r="AT118" s="70"/>
      <c r="AU118" s="70"/>
      <c r="AV118" s="70"/>
      <c r="AW118" s="70"/>
      <c r="AX118" s="70"/>
      <c r="AY118" s="70"/>
      <c r="AZ118" s="70"/>
      <c r="BA118" s="70"/>
      <c r="BB118" s="70"/>
      <c r="BC118" s="70"/>
      <c r="BD118" s="70"/>
      <c r="BE118" s="70"/>
      <c r="BF118" s="70"/>
      <c r="BG118" s="70"/>
      <c r="BH118" s="70"/>
      <c r="BI118" s="70"/>
      <c r="BJ118" s="70"/>
      <c r="BK118" s="70"/>
      <c r="BL118" s="70"/>
      <c r="BM118" s="70"/>
      <c r="BN118" s="70"/>
      <c r="BO118" s="70"/>
      <c r="BP118" s="70"/>
      <c r="BQ118" s="70"/>
      <c r="BR118" s="70"/>
      <c r="BS118" s="70"/>
      <c r="BT118" s="70"/>
      <c r="BU118" s="70"/>
      <c r="BV118" s="70"/>
      <c r="BW118" s="70"/>
      <c r="BX118" s="70"/>
      <c r="BY118" s="70"/>
      <c r="BZ118" s="70"/>
      <c r="CA118" s="70"/>
      <c r="CB118" s="70"/>
      <c r="CC118" s="70"/>
      <c r="CD118" s="70"/>
      <c r="CE118" s="70"/>
      <c r="CF118" s="70"/>
      <c r="CG118" s="70"/>
      <c r="CH118" s="70"/>
      <c r="CI118" s="70"/>
      <c r="CJ118" s="70"/>
      <c r="CK118" s="70"/>
      <c r="CL118" s="70"/>
      <c r="CM118" s="70"/>
      <c r="CN118" s="70"/>
      <c r="CO118" s="70"/>
      <c r="CP118" s="70"/>
      <c r="CQ118" s="70"/>
      <c r="CR118" s="70"/>
      <c r="CS118" s="70"/>
      <c r="CT118" s="70"/>
      <c r="CU118" s="70"/>
      <c r="CV118" s="70"/>
      <c r="CW118" s="70"/>
      <c r="CX118" s="70"/>
      <c r="CY118" s="70"/>
      <c r="CZ118" s="70"/>
      <c r="DA118" s="70"/>
      <c r="DB118" s="70"/>
      <c r="DC118" s="70"/>
      <c r="DD118" s="70"/>
      <c r="DE118" s="70"/>
      <c r="DF118" s="70"/>
      <c r="DG118" s="70"/>
      <c r="DH118" s="70"/>
      <c r="DI118" s="70"/>
      <c r="DJ118" s="70"/>
      <c r="DK118" s="70"/>
      <c r="DL118" s="70"/>
      <c r="DM118" s="70"/>
      <c r="DN118" s="70"/>
      <c r="DO118" s="70"/>
      <c r="DP118" s="70"/>
      <c r="DQ118" s="70"/>
      <c r="DR118" s="70"/>
      <c r="DS118" s="70"/>
      <c r="DT118" s="70"/>
      <c r="DU118" s="70"/>
      <c r="DV118" s="70"/>
      <c r="DW118" s="70"/>
      <c r="DX118" s="70"/>
      <c r="DY118" s="70"/>
      <c r="DZ118" s="70"/>
      <c r="EA118" s="70"/>
      <c r="EB118" s="70"/>
      <c r="EC118" s="70"/>
      <c r="ED118" s="70"/>
      <c r="EE118" s="70"/>
      <c r="EF118" s="70"/>
      <c r="EG118" s="70"/>
      <c r="EH118" s="70"/>
      <c r="EI118" s="70"/>
      <c r="EJ118" s="70"/>
      <c r="EK118" s="70"/>
      <c r="EL118" s="70"/>
      <c r="EM118" s="70"/>
      <c r="EN118" s="70"/>
      <c r="EO118" s="70"/>
      <c r="EP118" s="70"/>
      <c r="EQ118" s="70"/>
      <c r="ER118" s="70"/>
      <c r="ES118" s="70"/>
      <c r="ET118" s="70"/>
      <c r="EU118" s="70"/>
      <c r="EV118" s="70"/>
      <c r="EW118" s="70"/>
      <c r="EX118" s="70"/>
      <c r="EY118" s="70"/>
      <c r="EZ118" s="70"/>
      <c r="FA118" s="70"/>
      <c r="FB118" s="70"/>
      <c r="FC118" s="70"/>
      <c r="FD118" s="70"/>
      <c r="FE118" s="70"/>
      <c r="FF118" s="70"/>
      <c r="FG118" s="70"/>
      <c r="FH118" s="70"/>
      <c r="FI118" s="70"/>
      <c r="FJ118" s="70"/>
      <c r="FK118" s="70"/>
      <c r="FL118" s="70"/>
      <c r="FM118" s="70"/>
      <c r="FN118" s="70"/>
      <c r="FO118" s="70"/>
      <c r="FP118" s="70"/>
      <c r="FQ118" s="70"/>
      <c r="FR118" s="70"/>
      <c r="FS118" s="70"/>
      <c r="FT118" s="70"/>
      <c r="FU118" s="70"/>
      <c r="FV118" s="70"/>
      <c r="FW118" s="70"/>
      <c r="FX118" s="70"/>
      <c r="FY118" s="70"/>
      <c r="FZ118" s="70"/>
      <c r="GA118" s="70"/>
      <c r="GB118" s="70"/>
      <c r="GC118" s="70"/>
      <c r="GD118" s="70"/>
      <c r="GE118" s="70"/>
      <c r="GF118" s="70"/>
      <c r="GG118" s="70"/>
      <c r="GH118" s="70"/>
      <c r="GI118" s="70"/>
      <c r="GJ118" s="70"/>
    </row>
    <row r="119" spans="1:192" ht="14">
      <c r="A119" s="70"/>
      <c r="B119" s="842" t="s">
        <v>3801</v>
      </c>
      <c r="C119" s="698" t="s">
        <v>15147</v>
      </c>
      <c r="D119" s="843" t="s">
        <v>15148</v>
      </c>
      <c r="E119" s="844" t="s">
        <v>1541</v>
      </c>
      <c r="F119" s="54" t="s">
        <v>15115</v>
      </c>
      <c r="G119" s="845" t="s">
        <v>15137</v>
      </c>
      <c r="H119" s="763">
        <v>45505</v>
      </c>
      <c r="I119" s="763">
        <v>45869</v>
      </c>
      <c r="J119" s="130">
        <v>1950000</v>
      </c>
      <c r="K119" s="846" t="s">
        <v>671</v>
      </c>
      <c r="L119" s="846" t="s">
        <v>831</v>
      </c>
      <c r="M119" s="847"/>
      <c r="N119" s="701" t="s">
        <v>15149</v>
      </c>
      <c r="O119" s="794" t="str">
        <f t="shared" si="4"/>
        <v xml:space="preserve">ART241130김행주1403
		</v>
      </c>
      <c r="P119" s="70">
        <v>18461</v>
      </c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70"/>
      <c r="AX119" s="70"/>
      <c r="AY119" s="70"/>
      <c r="AZ119" s="70"/>
      <c r="BA119" s="70"/>
      <c r="BB119" s="70"/>
      <c r="BC119" s="70"/>
      <c r="BD119" s="70"/>
      <c r="BE119" s="70"/>
      <c r="BF119" s="70"/>
      <c r="BG119" s="70"/>
      <c r="BH119" s="70"/>
      <c r="BI119" s="70"/>
      <c r="BJ119" s="70"/>
      <c r="BK119" s="70"/>
      <c r="BL119" s="70"/>
      <c r="BM119" s="70"/>
      <c r="BN119" s="70"/>
      <c r="BO119" s="70"/>
      <c r="BP119" s="70"/>
      <c r="BQ119" s="70"/>
      <c r="BR119" s="70"/>
      <c r="BS119" s="70"/>
      <c r="BT119" s="70"/>
      <c r="BU119" s="70"/>
      <c r="BV119" s="70"/>
      <c r="BW119" s="70"/>
      <c r="BX119" s="70"/>
      <c r="BY119" s="70"/>
      <c r="BZ119" s="70"/>
      <c r="CA119" s="70"/>
      <c r="CB119" s="70"/>
      <c r="CC119" s="70"/>
      <c r="CD119" s="70"/>
      <c r="CE119" s="70"/>
      <c r="CF119" s="70"/>
      <c r="CG119" s="70"/>
      <c r="CH119" s="70"/>
      <c r="CI119" s="70"/>
      <c r="CJ119" s="70"/>
      <c r="CK119" s="70"/>
      <c r="CL119" s="70"/>
      <c r="CM119" s="70"/>
      <c r="CN119" s="70"/>
      <c r="CO119" s="70"/>
      <c r="CP119" s="70"/>
      <c r="CQ119" s="70"/>
      <c r="CR119" s="70"/>
      <c r="CS119" s="70"/>
      <c r="CT119" s="70"/>
      <c r="CU119" s="70"/>
      <c r="CV119" s="70"/>
      <c r="CW119" s="70"/>
      <c r="CX119" s="70"/>
      <c r="CY119" s="70"/>
      <c r="CZ119" s="70"/>
      <c r="DA119" s="70"/>
      <c r="DB119" s="70"/>
      <c r="DC119" s="70"/>
      <c r="DD119" s="70"/>
      <c r="DE119" s="70"/>
      <c r="DF119" s="70"/>
      <c r="DG119" s="70"/>
      <c r="DH119" s="70"/>
      <c r="DI119" s="70"/>
      <c r="DJ119" s="70"/>
      <c r="DK119" s="70"/>
      <c r="DL119" s="70"/>
      <c r="DM119" s="70"/>
      <c r="DN119" s="70"/>
      <c r="DO119" s="70"/>
      <c r="DP119" s="70"/>
      <c r="DQ119" s="70"/>
      <c r="DR119" s="70"/>
      <c r="DS119" s="70"/>
      <c r="DT119" s="70"/>
      <c r="DU119" s="70"/>
      <c r="DV119" s="70"/>
      <c r="DW119" s="70"/>
      <c r="DX119" s="70"/>
      <c r="DY119" s="70"/>
      <c r="DZ119" s="70"/>
      <c r="EA119" s="70"/>
      <c r="EB119" s="70"/>
      <c r="EC119" s="70"/>
      <c r="ED119" s="70"/>
      <c r="EE119" s="70"/>
      <c r="EF119" s="70"/>
      <c r="EG119" s="70"/>
      <c r="EH119" s="70"/>
      <c r="EI119" s="70"/>
      <c r="EJ119" s="70"/>
      <c r="EK119" s="70"/>
      <c r="EL119" s="70"/>
      <c r="EM119" s="70"/>
      <c r="EN119" s="70"/>
      <c r="EO119" s="70"/>
      <c r="EP119" s="70"/>
      <c r="EQ119" s="70"/>
      <c r="ER119" s="70"/>
      <c r="ES119" s="70"/>
      <c r="ET119" s="70"/>
      <c r="EU119" s="70"/>
      <c r="EV119" s="70"/>
      <c r="EW119" s="70"/>
      <c r="EX119" s="70"/>
      <c r="EY119" s="70"/>
      <c r="EZ119" s="70"/>
      <c r="FA119" s="70"/>
      <c r="FB119" s="70"/>
      <c r="FC119" s="70"/>
      <c r="FD119" s="70"/>
      <c r="FE119" s="70"/>
      <c r="FF119" s="70"/>
      <c r="FG119" s="70"/>
      <c r="FH119" s="70"/>
      <c r="FI119" s="70"/>
      <c r="FJ119" s="70"/>
      <c r="FK119" s="70"/>
      <c r="FL119" s="70"/>
      <c r="FM119" s="70"/>
      <c r="FN119" s="70"/>
      <c r="FO119" s="70"/>
      <c r="FP119" s="70"/>
      <c r="FQ119" s="70"/>
      <c r="FR119" s="70"/>
      <c r="FS119" s="70"/>
      <c r="FT119" s="70"/>
      <c r="FU119" s="70"/>
      <c r="FV119" s="70"/>
      <c r="FW119" s="70"/>
      <c r="FX119" s="70"/>
      <c r="FY119" s="70"/>
      <c r="FZ119" s="70"/>
      <c r="GA119" s="70"/>
      <c r="GB119" s="70"/>
      <c r="GC119" s="70"/>
      <c r="GD119" s="70"/>
      <c r="GE119" s="70"/>
      <c r="GF119" s="70"/>
      <c r="GG119" s="70"/>
      <c r="GH119" s="70"/>
      <c r="GI119" s="70"/>
      <c r="GJ119" s="70"/>
    </row>
    <row r="120" spans="1:192" ht="14">
      <c r="A120" s="70"/>
      <c r="B120" s="842" t="s">
        <v>15082</v>
      </c>
      <c r="C120" s="698" t="s">
        <v>15150</v>
      </c>
      <c r="D120" s="843" t="s">
        <v>15151</v>
      </c>
      <c r="E120" s="844" t="s">
        <v>1541</v>
      </c>
      <c r="F120" s="54" t="s">
        <v>15115</v>
      </c>
      <c r="G120" s="845" t="s">
        <v>15137</v>
      </c>
      <c r="H120" s="763">
        <v>45505</v>
      </c>
      <c r="I120" s="763">
        <v>45869</v>
      </c>
      <c r="J120" s="130">
        <v>163000</v>
      </c>
      <c r="K120" s="846" t="s">
        <v>671</v>
      </c>
      <c r="L120" s="846" t="s">
        <v>828</v>
      </c>
      <c r="M120" s="847"/>
      <c r="N120" s="701" t="s">
        <v>15152</v>
      </c>
      <c r="O120" s="794" t="str">
        <f t="shared" si="4"/>
        <v xml:space="preserve">ART241130김행주1403
		</v>
      </c>
      <c r="P120" s="70">
        <v>18462</v>
      </c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  <c r="AE120" s="70"/>
      <c r="AF120" s="70"/>
      <c r="AG120" s="70"/>
      <c r="AH120" s="70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70"/>
      <c r="AT120" s="70"/>
      <c r="AU120" s="70"/>
      <c r="AV120" s="70"/>
      <c r="AW120" s="70"/>
      <c r="AX120" s="70"/>
      <c r="AY120" s="70"/>
      <c r="AZ120" s="70"/>
      <c r="BA120" s="70"/>
      <c r="BB120" s="70"/>
      <c r="BC120" s="70"/>
      <c r="BD120" s="70"/>
      <c r="BE120" s="70"/>
      <c r="BF120" s="70"/>
      <c r="BG120" s="70"/>
      <c r="BH120" s="70"/>
      <c r="BI120" s="70"/>
      <c r="BJ120" s="70"/>
      <c r="BK120" s="70"/>
      <c r="BL120" s="70"/>
      <c r="BM120" s="70"/>
      <c r="BN120" s="70"/>
      <c r="BO120" s="70"/>
      <c r="BP120" s="70"/>
      <c r="BQ120" s="70"/>
      <c r="BR120" s="70"/>
      <c r="BS120" s="70"/>
      <c r="BT120" s="70"/>
      <c r="BU120" s="70"/>
      <c r="BV120" s="70"/>
      <c r="BW120" s="70"/>
      <c r="BX120" s="70"/>
      <c r="BY120" s="70"/>
      <c r="BZ120" s="70"/>
      <c r="CA120" s="70"/>
      <c r="CB120" s="70"/>
      <c r="CC120" s="70"/>
      <c r="CD120" s="70"/>
      <c r="CE120" s="70"/>
      <c r="CF120" s="70"/>
      <c r="CG120" s="70"/>
      <c r="CH120" s="70"/>
      <c r="CI120" s="70"/>
      <c r="CJ120" s="70"/>
      <c r="CK120" s="70"/>
      <c r="CL120" s="70"/>
      <c r="CM120" s="70"/>
      <c r="CN120" s="70"/>
      <c r="CO120" s="70"/>
      <c r="CP120" s="70"/>
      <c r="CQ120" s="70"/>
      <c r="CR120" s="70"/>
      <c r="CS120" s="70"/>
      <c r="CT120" s="70"/>
      <c r="CU120" s="70"/>
      <c r="CV120" s="70"/>
      <c r="CW120" s="70"/>
      <c r="CX120" s="70"/>
      <c r="CY120" s="70"/>
      <c r="CZ120" s="70"/>
      <c r="DA120" s="70"/>
      <c r="DB120" s="70"/>
      <c r="DC120" s="70"/>
      <c r="DD120" s="70"/>
      <c r="DE120" s="70"/>
      <c r="DF120" s="70"/>
      <c r="DG120" s="70"/>
      <c r="DH120" s="70"/>
      <c r="DI120" s="70"/>
      <c r="DJ120" s="70"/>
      <c r="DK120" s="70"/>
      <c r="DL120" s="70"/>
      <c r="DM120" s="70"/>
      <c r="DN120" s="70"/>
      <c r="DO120" s="70"/>
      <c r="DP120" s="70"/>
      <c r="DQ120" s="70"/>
      <c r="DR120" s="70"/>
      <c r="DS120" s="70"/>
      <c r="DT120" s="70"/>
      <c r="DU120" s="70"/>
      <c r="DV120" s="70"/>
      <c r="DW120" s="70"/>
      <c r="DX120" s="70"/>
      <c r="DY120" s="70"/>
      <c r="DZ120" s="70"/>
      <c r="EA120" s="70"/>
      <c r="EB120" s="70"/>
      <c r="EC120" s="70"/>
      <c r="ED120" s="70"/>
      <c r="EE120" s="70"/>
      <c r="EF120" s="70"/>
      <c r="EG120" s="70"/>
      <c r="EH120" s="70"/>
      <c r="EI120" s="70"/>
      <c r="EJ120" s="70"/>
      <c r="EK120" s="70"/>
      <c r="EL120" s="70"/>
      <c r="EM120" s="70"/>
      <c r="EN120" s="70"/>
      <c r="EO120" s="70"/>
      <c r="EP120" s="70"/>
      <c r="EQ120" s="70"/>
      <c r="ER120" s="70"/>
      <c r="ES120" s="70"/>
      <c r="ET120" s="70"/>
      <c r="EU120" s="70"/>
      <c r="EV120" s="70"/>
      <c r="EW120" s="70"/>
      <c r="EX120" s="70"/>
      <c r="EY120" s="70"/>
      <c r="EZ120" s="70"/>
      <c r="FA120" s="70"/>
      <c r="FB120" s="70"/>
      <c r="FC120" s="70"/>
      <c r="FD120" s="70"/>
      <c r="FE120" s="70"/>
      <c r="FF120" s="70"/>
      <c r="FG120" s="70"/>
      <c r="FH120" s="70"/>
      <c r="FI120" s="70"/>
      <c r="FJ120" s="70"/>
      <c r="FK120" s="70"/>
      <c r="FL120" s="70"/>
      <c r="FM120" s="70"/>
      <c r="FN120" s="70"/>
      <c r="FO120" s="70"/>
      <c r="FP120" s="70"/>
      <c r="FQ120" s="70"/>
      <c r="FR120" s="70"/>
      <c r="FS120" s="70"/>
      <c r="FT120" s="70"/>
      <c r="FU120" s="70"/>
      <c r="FV120" s="70"/>
      <c r="FW120" s="70"/>
      <c r="FX120" s="70"/>
      <c r="FY120" s="70"/>
      <c r="FZ120" s="70"/>
      <c r="GA120" s="70"/>
      <c r="GB120" s="70"/>
      <c r="GC120" s="70"/>
      <c r="GD120" s="70"/>
      <c r="GE120" s="70"/>
      <c r="GF120" s="70"/>
      <c r="GG120" s="70"/>
      <c r="GH120" s="70"/>
      <c r="GI120" s="70"/>
      <c r="GJ120" s="70"/>
    </row>
    <row r="121" spans="1:192" ht="14">
      <c r="A121" s="70"/>
      <c r="B121" s="842" t="s">
        <v>15153</v>
      </c>
      <c r="C121" s="698" t="s">
        <v>15154</v>
      </c>
      <c r="D121" s="843" t="s">
        <v>15155</v>
      </c>
      <c r="E121" s="844" t="s">
        <v>1541</v>
      </c>
      <c r="F121" s="54" t="s">
        <v>15115</v>
      </c>
      <c r="G121" s="845" t="s">
        <v>15137</v>
      </c>
      <c r="H121" s="763">
        <v>45505</v>
      </c>
      <c r="I121" s="763">
        <v>45869</v>
      </c>
      <c r="J121" s="130">
        <v>7465700</v>
      </c>
      <c r="K121" s="846" t="s">
        <v>15156</v>
      </c>
      <c r="L121" s="846" t="s">
        <v>824</v>
      </c>
      <c r="M121" s="847"/>
      <c r="N121" s="701" t="s">
        <v>15157</v>
      </c>
      <c r="O121" s="794" t="str">
        <f t="shared" si="4"/>
        <v xml:space="preserve">ART241130김행주1403
		</v>
      </c>
      <c r="P121" s="70">
        <v>18463</v>
      </c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  <c r="AE121" s="70"/>
      <c r="AF121" s="70"/>
      <c r="AG121" s="70"/>
      <c r="AH121" s="70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70"/>
      <c r="AX121" s="70"/>
      <c r="AY121" s="70"/>
      <c r="AZ121" s="70"/>
      <c r="BA121" s="70"/>
      <c r="BB121" s="70"/>
      <c r="BC121" s="70"/>
      <c r="BD121" s="70"/>
      <c r="BE121" s="70"/>
      <c r="BF121" s="70"/>
      <c r="BG121" s="70"/>
      <c r="BH121" s="70"/>
      <c r="BI121" s="70"/>
      <c r="BJ121" s="70"/>
      <c r="BK121" s="70"/>
      <c r="BL121" s="70"/>
      <c r="BM121" s="70"/>
      <c r="BN121" s="70"/>
      <c r="BO121" s="70"/>
      <c r="BP121" s="70"/>
      <c r="BQ121" s="70"/>
      <c r="BR121" s="70"/>
      <c r="BS121" s="70"/>
      <c r="BT121" s="70"/>
      <c r="BU121" s="70"/>
      <c r="BV121" s="70"/>
      <c r="BW121" s="70"/>
      <c r="BX121" s="70"/>
      <c r="BY121" s="70"/>
      <c r="BZ121" s="70"/>
      <c r="CA121" s="70"/>
      <c r="CB121" s="70"/>
      <c r="CC121" s="70"/>
      <c r="CD121" s="70"/>
      <c r="CE121" s="70"/>
      <c r="CF121" s="70"/>
      <c r="CG121" s="70"/>
      <c r="CH121" s="70"/>
      <c r="CI121" s="70"/>
      <c r="CJ121" s="70"/>
      <c r="CK121" s="70"/>
      <c r="CL121" s="70"/>
      <c r="CM121" s="70"/>
      <c r="CN121" s="70"/>
      <c r="CO121" s="70"/>
      <c r="CP121" s="70"/>
      <c r="CQ121" s="70"/>
      <c r="CR121" s="70"/>
      <c r="CS121" s="70"/>
      <c r="CT121" s="70"/>
      <c r="CU121" s="70"/>
      <c r="CV121" s="70"/>
      <c r="CW121" s="70"/>
      <c r="CX121" s="70"/>
      <c r="CY121" s="70"/>
      <c r="CZ121" s="70"/>
      <c r="DA121" s="70"/>
      <c r="DB121" s="70"/>
      <c r="DC121" s="70"/>
      <c r="DD121" s="70"/>
      <c r="DE121" s="70"/>
      <c r="DF121" s="70"/>
      <c r="DG121" s="70"/>
      <c r="DH121" s="70"/>
      <c r="DI121" s="70"/>
      <c r="DJ121" s="70"/>
      <c r="DK121" s="70"/>
      <c r="DL121" s="70"/>
      <c r="DM121" s="70"/>
      <c r="DN121" s="70"/>
      <c r="DO121" s="70"/>
      <c r="DP121" s="70"/>
      <c r="DQ121" s="70"/>
      <c r="DR121" s="70"/>
      <c r="DS121" s="70"/>
      <c r="DT121" s="70"/>
      <c r="DU121" s="70"/>
      <c r="DV121" s="70"/>
      <c r="DW121" s="70"/>
      <c r="DX121" s="70"/>
      <c r="DY121" s="70"/>
      <c r="DZ121" s="70"/>
      <c r="EA121" s="70"/>
      <c r="EB121" s="70"/>
      <c r="EC121" s="70"/>
      <c r="ED121" s="70"/>
      <c r="EE121" s="70"/>
      <c r="EF121" s="70"/>
      <c r="EG121" s="70"/>
      <c r="EH121" s="70"/>
      <c r="EI121" s="70"/>
      <c r="EJ121" s="70"/>
      <c r="EK121" s="70"/>
      <c r="EL121" s="70"/>
      <c r="EM121" s="70"/>
      <c r="EN121" s="70"/>
      <c r="EO121" s="70"/>
      <c r="EP121" s="70"/>
      <c r="EQ121" s="70"/>
      <c r="ER121" s="70"/>
      <c r="ES121" s="70"/>
      <c r="ET121" s="70"/>
      <c r="EU121" s="70"/>
      <c r="EV121" s="70"/>
      <c r="EW121" s="70"/>
      <c r="EX121" s="70"/>
      <c r="EY121" s="70"/>
      <c r="EZ121" s="70"/>
      <c r="FA121" s="70"/>
      <c r="FB121" s="70"/>
      <c r="FC121" s="70"/>
      <c r="FD121" s="70"/>
      <c r="FE121" s="70"/>
      <c r="FF121" s="70"/>
      <c r="FG121" s="70"/>
      <c r="FH121" s="70"/>
      <c r="FI121" s="70"/>
      <c r="FJ121" s="70"/>
      <c r="FK121" s="70"/>
      <c r="FL121" s="70"/>
      <c r="FM121" s="70"/>
      <c r="FN121" s="70"/>
      <c r="FO121" s="70"/>
      <c r="FP121" s="70"/>
      <c r="FQ121" s="70"/>
      <c r="FR121" s="70"/>
      <c r="FS121" s="70"/>
      <c r="FT121" s="70"/>
      <c r="FU121" s="70"/>
      <c r="FV121" s="70"/>
      <c r="FW121" s="70"/>
      <c r="FX121" s="70"/>
      <c r="FY121" s="70"/>
      <c r="FZ121" s="70"/>
      <c r="GA121" s="70"/>
      <c r="GB121" s="70"/>
      <c r="GC121" s="70"/>
      <c r="GD121" s="70"/>
      <c r="GE121" s="70"/>
      <c r="GF121" s="70"/>
      <c r="GG121" s="70"/>
      <c r="GH121" s="70"/>
      <c r="GI121" s="70"/>
      <c r="GJ121" s="70"/>
    </row>
    <row r="122" spans="1:192" ht="14">
      <c r="A122" s="70"/>
      <c r="B122" s="842" t="s">
        <v>15158</v>
      </c>
      <c r="C122" s="698" t="s">
        <v>15159</v>
      </c>
      <c r="D122" s="843" t="s">
        <v>15160</v>
      </c>
      <c r="E122" s="844" t="s">
        <v>1541</v>
      </c>
      <c r="F122" s="54" t="s">
        <v>15115</v>
      </c>
      <c r="G122" s="845" t="s">
        <v>15137</v>
      </c>
      <c r="H122" s="763">
        <v>45505</v>
      </c>
      <c r="I122" s="763">
        <v>45869</v>
      </c>
      <c r="J122" s="130">
        <v>9840000</v>
      </c>
      <c r="K122" s="849" t="s">
        <v>15161</v>
      </c>
      <c r="L122" s="846" t="s">
        <v>824</v>
      </c>
      <c r="M122" s="847"/>
      <c r="N122" s="701" t="s">
        <v>15162</v>
      </c>
      <c r="O122" s="794" t="str">
        <f t="shared" si="4"/>
        <v xml:space="preserve">ART241130김행주1403
		</v>
      </c>
      <c r="P122" s="70">
        <v>18464</v>
      </c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  <c r="AB122" s="70"/>
      <c r="AC122" s="70"/>
      <c r="AD122" s="70"/>
      <c r="AE122" s="70"/>
      <c r="AF122" s="70"/>
      <c r="AG122" s="70"/>
      <c r="AH122" s="70"/>
      <c r="AI122" s="70"/>
      <c r="AJ122" s="70"/>
      <c r="AK122" s="70"/>
      <c r="AL122" s="70"/>
      <c r="AM122" s="70"/>
      <c r="AN122" s="70"/>
      <c r="AO122" s="70"/>
      <c r="AP122" s="70"/>
      <c r="AQ122" s="70"/>
      <c r="AR122" s="70"/>
      <c r="AS122" s="70"/>
      <c r="AT122" s="70"/>
      <c r="AU122" s="70"/>
      <c r="AV122" s="70"/>
      <c r="AW122" s="70"/>
      <c r="AX122" s="70"/>
      <c r="AY122" s="70"/>
      <c r="AZ122" s="70"/>
      <c r="BA122" s="70"/>
      <c r="BB122" s="70"/>
      <c r="BC122" s="70"/>
      <c r="BD122" s="70"/>
      <c r="BE122" s="70"/>
      <c r="BF122" s="70"/>
      <c r="BG122" s="70"/>
      <c r="BH122" s="70"/>
      <c r="BI122" s="70"/>
      <c r="BJ122" s="70"/>
      <c r="BK122" s="70"/>
      <c r="BL122" s="70"/>
      <c r="BM122" s="70"/>
      <c r="BN122" s="70"/>
      <c r="BO122" s="70"/>
      <c r="BP122" s="70"/>
      <c r="BQ122" s="70"/>
      <c r="BR122" s="70"/>
      <c r="BS122" s="70"/>
      <c r="BT122" s="70"/>
      <c r="BU122" s="70"/>
      <c r="BV122" s="70"/>
      <c r="BW122" s="70"/>
      <c r="BX122" s="70"/>
      <c r="BY122" s="70"/>
      <c r="BZ122" s="70"/>
      <c r="CA122" s="70"/>
      <c r="CB122" s="70"/>
      <c r="CC122" s="70"/>
      <c r="CD122" s="70"/>
      <c r="CE122" s="70"/>
      <c r="CF122" s="70"/>
      <c r="CG122" s="70"/>
      <c r="CH122" s="70"/>
      <c r="CI122" s="70"/>
      <c r="CJ122" s="70"/>
      <c r="CK122" s="70"/>
      <c r="CL122" s="70"/>
      <c r="CM122" s="70"/>
      <c r="CN122" s="70"/>
      <c r="CO122" s="70"/>
      <c r="CP122" s="70"/>
      <c r="CQ122" s="70"/>
      <c r="CR122" s="70"/>
      <c r="CS122" s="70"/>
      <c r="CT122" s="70"/>
      <c r="CU122" s="70"/>
      <c r="CV122" s="70"/>
      <c r="CW122" s="70"/>
      <c r="CX122" s="70"/>
      <c r="CY122" s="70"/>
      <c r="CZ122" s="70"/>
      <c r="DA122" s="70"/>
      <c r="DB122" s="70"/>
      <c r="DC122" s="70"/>
      <c r="DD122" s="70"/>
      <c r="DE122" s="70"/>
      <c r="DF122" s="70"/>
      <c r="DG122" s="70"/>
      <c r="DH122" s="70"/>
      <c r="DI122" s="70"/>
      <c r="DJ122" s="70"/>
      <c r="DK122" s="70"/>
      <c r="DL122" s="70"/>
      <c r="DM122" s="70"/>
      <c r="DN122" s="70"/>
      <c r="DO122" s="70"/>
      <c r="DP122" s="70"/>
      <c r="DQ122" s="70"/>
      <c r="DR122" s="70"/>
      <c r="DS122" s="70"/>
      <c r="DT122" s="70"/>
      <c r="DU122" s="70"/>
      <c r="DV122" s="70"/>
      <c r="DW122" s="70"/>
      <c r="DX122" s="70"/>
      <c r="DY122" s="70"/>
      <c r="DZ122" s="70"/>
      <c r="EA122" s="70"/>
      <c r="EB122" s="70"/>
      <c r="EC122" s="70"/>
      <c r="ED122" s="70"/>
      <c r="EE122" s="70"/>
      <c r="EF122" s="70"/>
      <c r="EG122" s="70"/>
      <c r="EH122" s="70"/>
      <c r="EI122" s="70"/>
      <c r="EJ122" s="70"/>
      <c r="EK122" s="70"/>
      <c r="EL122" s="70"/>
      <c r="EM122" s="70"/>
      <c r="EN122" s="70"/>
      <c r="EO122" s="70"/>
      <c r="EP122" s="70"/>
      <c r="EQ122" s="70"/>
      <c r="ER122" s="70"/>
      <c r="ES122" s="70"/>
      <c r="ET122" s="70"/>
      <c r="EU122" s="70"/>
      <c r="EV122" s="70"/>
      <c r="EW122" s="70"/>
      <c r="EX122" s="70"/>
      <c r="EY122" s="70"/>
      <c r="EZ122" s="70"/>
      <c r="FA122" s="70"/>
      <c r="FB122" s="70"/>
      <c r="FC122" s="70"/>
      <c r="FD122" s="70"/>
      <c r="FE122" s="70"/>
      <c r="FF122" s="70"/>
      <c r="FG122" s="70"/>
      <c r="FH122" s="70"/>
      <c r="FI122" s="70"/>
      <c r="FJ122" s="70"/>
      <c r="FK122" s="70"/>
      <c r="FL122" s="70"/>
      <c r="FM122" s="70"/>
      <c r="FN122" s="70"/>
      <c r="FO122" s="70"/>
      <c r="FP122" s="70"/>
      <c r="FQ122" s="70"/>
      <c r="FR122" s="70"/>
      <c r="FS122" s="70"/>
      <c r="FT122" s="70"/>
      <c r="FU122" s="70"/>
      <c r="FV122" s="70"/>
      <c r="FW122" s="70"/>
      <c r="FX122" s="70"/>
      <c r="FY122" s="70"/>
      <c r="FZ122" s="70"/>
      <c r="GA122" s="70"/>
      <c r="GB122" s="70"/>
      <c r="GC122" s="70"/>
      <c r="GD122" s="70"/>
      <c r="GE122" s="70"/>
      <c r="GF122" s="70"/>
      <c r="GG122" s="70"/>
      <c r="GH122" s="70"/>
      <c r="GI122" s="70"/>
      <c r="GJ122" s="70"/>
    </row>
    <row r="123" spans="1:192" ht="14">
      <c r="A123" s="814"/>
      <c r="B123" s="453" t="s">
        <v>429</v>
      </c>
      <c r="C123" s="850" t="s">
        <v>15163</v>
      </c>
      <c r="D123" s="851"/>
      <c r="E123" s="852" t="s">
        <v>1541</v>
      </c>
      <c r="F123" s="453" t="s">
        <v>15115</v>
      </c>
      <c r="G123" s="853" t="s">
        <v>15137</v>
      </c>
      <c r="H123" s="854">
        <v>45505</v>
      </c>
      <c r="I123" s="854">
        <v>45869</v>
      </c>
      <c r="J123" s="855">
        <v>7034000</v>
      </c>
      <c r="K123" s="856" t="s">
        <v>15120</v>
      </c>
      <c r="L123" s="856" t="s">
        <v>15164</v>
      </c>
      <c r="M123" s="857"/>
      <c r="N123" s="742" t="s">
        <v>15165</v>
      </c>
      <c r="O123" s="858" t="str">
        <f t="shared" si="4"/>
        <v xml:space="preserve">ART241130김행주1403
		</v>
      </c>
      <c r="P123" s="814"/>
      <c r="Q123" s="814"/>
      <c r="R123" s="814"/>
      <c r="S123" s="814"/>
      <c r="T123" s="814"/>
      <c r="U123" s="814"/>
      <c r="V123" s="814"/>
      <c r="W123" s="814"/>
      <c r="X123" s="814"/>
      <c r="Y123" s="814"/>
      <c r="Z123" s="814"/>
      <c r="AA123" s="814"/>
      <c r="AB123" s="814"/>
      <c r="AC123" s="814"/>
      <c r="AD123" s="814"/>
      <c r="AE123" s="814"/>
      <c r="AF123" s="814"/>
      <c r="AG123" s="814"/>
      <c r="AH123" s="814"/>
      <c r="AI123" s="814"/>
      <c r="AJ123" s="814"/>
      <c r="AK123" s="814"/>
      <c r="AL123" s="814"/>
      <c r="AM123" s="814"/>
      <c r="AN123" s="814"/>
      <c r="AO123" s="814"/>
      <c r="AP123" s="814"/>
      <c r="AQ123" s="814"/>
      <c r="AR123" s="814"/>
      <c r="AS123" s="814"/>
      <c r="AT123" s="814"/>
      <c r="AU123" s="814"/>
      <c r="AV123" s="814"/>
      <c r="AW123" s="814"/>
      <c r="AX123" s="814"/>
      <c r="AY123" s="814"/>
      <c r="AZ123" s="814"/>
      <c r="BA123" s="814"/>
      <c r="BB123" s="814"/>
      <c r="BC123" s="814"/>
      <c r="BD123" s="814"/>
      <c r="BE123" s="814"/>
      <c r="BF123" s="814"/>
      <c r="BG123" s="814"/>
      <c r="BH123" s="814"/>
      <c r="BI123" s="814"/>
      <c r="BJ123" s="814"/>
      <c r="BK123" s="814"/>
      <c r="BL123" s="814"/>
      <c r="BM123" s="814"/>
      <c r="BN123" s="814"/>
      <c r="BO123" s="814"/>
      <c r="BP123" s="814"/>
      <c r="BQ123" s="814"/>
      <c r="BR123" s="814"/>
      <c r="BS123" s="814"/>
      <c r="BT123" s="814"/>
      <c r="BU123" s="814"/>
      <c r="BV123" s="814"/>
      <c r="BW123" s="814"/>
      <c r="BX123" s="814"/>
      <c r="BY123" s="814"/>
      <c r="BZ123" s="814"/>
      <c r="CA123" s="814"/>
      <c r="CB123" s="814"/>
      <c r="CC123" s="814"/>
      <c r="CD123" s="814"/>
      <c r="CE123" s="814"/>
      <c r="CF123" s="814"/>
      <c r="CG123" s="814"/>
      <c r="CH123" s="814"/>
      <c r="CI123" s="814"/>
      <c r="CJ123" s="814"/>
      <c r="CK123" s="814"/>
      <c r="CL123" s="814"/>
      <c r="CM123" s="814"/>
      <c r="CN123" s="814"/>
      <c r="CO123" s="814"/>
      <c r="CP123" s="814"/>
      <c r="CQ123" s="814"/>
      <c r="CR123" s="814"/>
      <c r="CS123" s="814"/>
      <c r="CT123" s="814"/>
      <c r="CU123" s="814"/>
      <c r="CV123" s="814"/>
      <c r="CW123" s="814"/>
      <c r="CX123" s="814"/>
      <c r="CY123" s="814"/>
      <c r="CZ123" s="814"/>
      <c r="DA123" s="814"/>
      <c r="DB123" s="814"/>
      <c r="DC123" s="814"/>
      <c r="DD123" s="814"/>
      <c r="DE123" s="814"/>
      <c r="DF123" s="814"/>
      <c r="DG123" s="814"/>
      <c r="DH123" s="814"/>
      <c r="DI123" s="814"/>
      <c r="DJ123" s="814"/>
      <c r="DK123" s="814"/>
      <c r="DL123" s="814"/>
      <c r="DM123" s="814"/>
      <c r="DN123" s="814"/>
      <c r="DO123" s="814"/>
      <c r="DP123" s="814"/>
      <c r="DQ123" s="814"/>
      <c r="DR123" s="814"/>
      <c r="DS123" s="814"/>
      <c r="DT123" s="814"/>
      <c r="DU123" s="814"/>
      <c r="DV123" s="814"/>
      <c r="DW123" s="814"/>
      <c r="DX123" s="814"/>
      <c r="DY123" s="814"/>
      <c r="DZ123" s="814"/>
      <c r="EA123" s="814"/>
      <c r="EB123" s="814"/>
      <c r="EC123" s="814"/>
      <c r="ED123" s="814"/>
      <c r="EE123" s="814"/>
      <c r="EF123" s="814"/>
      <c r="EG123" s="814"/>
      <c r="EH123" s="814"/>
      <c r="EI123" s="814"/>
      <c r="EJ123" s="814"/>
      <c r="EK123" s="814"/>
      <c r="EL123" s="814"/>
      <c r="EM123" s="814"/>
      <c r="EN123" s="814"/>
      <c r="EO123" s="814"/>
      <c r="EP123" s="814"/>
      <c r="EQ123" s="814"/>
      <c r="ER123" s="814"/>
      <c r="ES123" s="814"/>
      <c r="ET123" s="814"/>
      <c r="EU123" s="814"/>
      <c r="EV123" s="814"/>
      <c r="EW123" s="814"/>
      <c r="EX123" s="814"/>
      <c r="EY123" s="814"/>
      <c r="EZ123" s="814"/>
      <c r="FA123" s="814"/>
      <c r="FB123" s="814"/>
      <c r="FC123" s="814"/>
      <c r="FD123" s="814"/>
      <c r="FE123" s="814"/>
      <c r="FF123" s="814"/>
      <c r="FG123" s="814"/>
      <c r="FH123" s="814"/>
      <c r="FI123" s="814"/>
      <c r="FJ123" s="814"/>
      <c r="FK123" s="814"/>
      <c r="FL123" s="814"/>
      <c r="FM123" s="814"/>
      <c r="FN123" s="814"/>
      <c r="FO123" s="814"/>
      <c r="FP123" s="814"/>
      <c r="FQ123" s="814"/>
      <c r="FR123" s="814"/>
      <c r="FS123" s="814"/>
      <c r="FT123" s="814"/>
      <c r="FU123" s="814"/>
      <c r="FV123" s="814"/>
      <c r="FW123" s="814"/>
      <c r="FX123" s="814"/>
      <c r="FY123" s="814"/>
      <c r="FZ123" s="814"/>
      <c r="GA123" s="814"/>
      <c r="GB123" s="814"/>
      <c r="GC123" s="814"/>
      <c r="GD123" s="814"/>
      <c r="GE123" s="814"/>
      <c r="GF123" s="814"/>
      <c r="GG123" s="814"/>
      <c r="GH123" s="814"/>
      <c r="GI123" s="814"/>
      <c r="GJ123" s="814"/>
    </row>
    <row r="124" spans="1:192" ht="14">
      <c r="A124" s="814"/>
      <c r="B124" s="453" t="s">
        <v>366</v>
      </c>
      <c r="C124" s="850" t="s">
        <v>15166</v>
      </c>
      <c r="D124" s="851"/>
      <c r="E124" s="852" t="s">
        <v>1541</v>
      </c>
      <c r="F124" s="453" t="s">
        <v>15115</v>
      </c>
      <c r="G124" s="853" t="s">
        <v>15137</v>
      </c>
      <c r="H124" s="854">
        <v>45505</v>
      </c>
      <c r="I124" s="854">
        <v>45869</v>
      </c>
      <c r="J124" s="855">
        <v>3887500</v>
      </c>
      <c r="K124" s="856" t="s">
        <v>15120</v>
      </c>
      <c r="L124" s="856" t="s">
        <v>15164</v>
      </c>
      <c r="M124" s="857"/>
      <c r="N124" s="742" t="s">
        <v>15167</v>
      </c>
      <c r="O124" s="858" t="str">
        <f t="shared" si="4"/>
        <v xml:space="preserve">ART241130김행주1403
		</v>
      </c>
      <c r="P124" s="814"/>
      <c r="Q124" s="814"/>
      <c r="R124" s="814"/>
      <c r="S124" s="814"/>
      <c r="T124" s="814"/>
      <c r="U124" s="814"/>
      <c r="V124" s="814"/>
      <c r="W124" s="814"/>
      <c r="X124" s="814"/>
      <c r="Y124" s="814"/>
      <c r="Z124" s="814"/>
      <c r="AA124" s="814"/>
      <c r="AB124" s="814"/>
      <c r="AC124" s="814"/>
      <c r="AD124" s="814"/>
      <c r="AE124" s="814"/>
      <c r="AF124" s="814"/>
      <c r="AG124" s="814"/>
      <c r="AH124" s="814"/>
      <c r="AI124" s="814"/>
      <c r="AJ124" s="814"/>
      <c r="AK124" s="814"/>
      <c r="AL124" s="814"/>
      <c r="AM124" s="814"/>
      <c r="AN124" s="814"/>
      <c r="AO124" s="814"/>
      <c r="AP124" s="814"/>
      <c r="AQ124" s="814"/>
      <c r="AR124" s="814"/>
      <c r="AS124" s="814"/>
      <c r="AT124" s="814"/>
      <c r="AU124" s="814"/>
      <c r="AV124" s="814"/>
      <c r="AW124" s="814"/>
      <c r="AX124" s="814"/>
      <c r="AY124" s="814"/>
      <c r="AZ124" s="814"/>
      <c r="BA124" s="814"/>
      <c r="BB124" s="814"/>
      <c r="BC124" s="814"/>
      <c r="BD124" s="814"/>
      <c r="BE124" s="814"/>
      <c r="BF124" s="814"/>
      <c r="BG124" s="814"/>
      <c r="BH124" s="814"/>
      <c r="BI124" s="814"/>
      <c r="BJ124" s="814"/>
      <c r="BK124" s="814"/>
      <c r="BL124" s="814"/>
      <c r="BM124" s="814"/>
      <c r="BN124" s="814"/>
      <c r="BO124" s="814"/>
      <c r="BP124" s="814"/>
      <c r="BQ124" s="814"/>
      <c r="BR124" s="814"/>
      <c r="BS124" s="814"/>
      <c r="BT124" s="814"/>
      <c r="BU124" s="814"/>
      <c r="BV124" s="814"/>
      <c r="BW124" s="814"/>
      <c r="BX124" s="814"/>
      <c r="BY124" s="814"/>
      <c r="BZ124" s="814"/>
      <c r="CA124" s="814"/>
      <c r="CB124" s="814"/>
      <c r="CC124" s="814"/>
      <c r="CD124" s="814"/>
      <c r="CE124" s="814"/>
      <c r="CF124" s="814"/>
      <c r="CG124" s="814"/>
      <c r="CH124" s="814"/>
      <c r="CI124" s="814"/>
      <c r="CJ124" s="814"/>
      <c r="CK124" s="814"/>
      <c r="CL124" s="814"/>
      <c r="CM124" s="814"/>
      <c r="CN124" s="814"/>
      <c r="CO124" s="814"/>
      <c r="CP124" s="814"/>
      <c r="CQ124" s="814"/>
      <c r="CR124" s="814"/>
      <c r="CS124" s="814"/>
      <c r="CT124" s="814"/>
      <c r="CU124" s="814"/>
      <c r="CV124" s="814"/>
      <c r="CW124" s="814"/>
      <c r="CX124" s="814"/>
      <c r="CY124" s="814"/>
      <c r="CZ124" s="814"/>
      <c r="DA124" s="814"/>
      <c r="DB124" s="814"/>
      <c r="DC124" s="814"/>
      <c r="DD124" s="814"/>
      <c r="DE124" s="814"/>
      <c r="DF124" s="814"/>
      <c r="DG124" s="814"/>
      <c r="DH124" s="814"/>
      <c r="DI124" s="814"/>
      <c r="DJ124" s="814"/>
      <c r="DK124" s="814"/>
      <c r="DL124" s="814"/>
      <c r="DM124" s="814"/>
      <c r="DN124" s="814"/>
      <c r="DO124" s="814"/>
      <c r="DP124" s="814"/>
      <c r="DQ124" s="814"/>
      <c r="DR124" s="814"/>
      <c r="DS124" s="814"/>
      <c r="DT124" s="814"/>
      <c r="DU124" s="814"/>
      <c r="DV124" s="814"/>
      <c r="DW124" s="814"/>
      <c r="DX124" s="814"/>
      <c r="DY124" s="814"/>
      <c r="DZ124" s="814"/>
      <c r="EA124" s="814"/>
      <c r="EB124" s="814"/>
      <c r="EC124" s="814"/>
      <c r="ED124" s="814"/>
      <c r="EE124" s="814"/>
      <c r="EF124" s="814"/>
      <c r="EG124" s="814"/>
      <c r="EH124" s="814"/>
      <c r="EI124" s="814"/>
      <c r="EJ124" s="814"/>
      <c r="EK124" s="814"/>
      <c r="EL124" s="814"/>
      <c r="EM124" s="814"/>
      <c r="EN124" s="814"/>
      <c r="EO124" s="814"/>
      <c r="EP124" s="814"/>
      <c r="EQ124" s="814"/>
      <c r="ER124" s="814"/>
      <c r="ES124" s="814"/>
      <c r="ET124" s="814"/>
      <c r="EU124" s="814"/>
      <c r="EV124" s="814"/>
      <c r="EW124" s="814"/>
      <c r="EX124" s="814"/>
      <c r="EY124" s="814"/>
      <c r="EZ124" s="814"/>
      <c r="FA124" s="814"/>
      <c r="FB124" s="814"/>
      <c r="FC124" s="814"/>
      <c r="FD124" s="814"/>
      <c r="FE124" s="814"/>
      <c r="FF124" s="814"/>
      <c r="FG124" s="814"/>
      <c r="FH124" s="814"/>
      <c r="FI124" s="814"/>
      <c r="FJ124" s="814"/>
      <c r="FK124" s="814"/>
      <c r="FL124" s="814"/>
      <c r="FM124" s="814"/>
      <c r="FN124" s="814"/>
      <c r="FO124" s="814"/>
      <c r="FP124" s="814"/>
      <c r="FQ124" s="814"/>
      <c r="FR124" s="814"/>
      <c r="FS124" s="814"/>
      <c r="FT124" s="814"/>
      <c r="FU124" s="814"/>
      <c r="FV124" s="814"/>
      <c r="FW124" s="814"/>
      <c r="FX124" s="814"/>
      <c r="FY124" s="814"/>
      <c r="FZ124" s="814"/>
      <c r="GA124" s="814"/>
      <c r="GB124" s="814"/>
      <c r="GC124" s="814"/>
      <c r="GD124" s="814"/>
      <c r="GE124" s="814"/>
      <c r="GF124" s="814"/>
      <c r="GG124" s="814"/>
      <c r="GH124" s="814"/>
      <c r="GI124" s="814"/>
      <c r="GJ124" s="814"/>
    </row>
    <row r="125" spans="1:192" ht="14">
      <c r="A125" s="70"/>
      <c r="B125" s="842" t="s">
        <v>15168</v>
      </c>
      <c r="C125" s="698" t="s">
        <v>15169</v>
      </c>
      <c r="D125" s="843" t="s">
        <v>15170</v>
      </c>
      <c r="E125" s="844" t="s">
        <v>1541</v>
      </c>
      <c r="F125" s="54" t="s">
        <v>15171</v>
      </c>
      <c r="G125" s="845" t="s">
        <v>15172</v>
      </c>
      <c r="H125" s="763">
        <v>45346</v>
      </c>
      <c r="I125" s="763">
        <v>45711</v>
      </c>
      <c r="J125" s="130">
        <v>7900000</v>
      </c>
      <c r="K125" s="859" t="s">
        <v>15173</v>
      </c>
      <c r="L125" s="846" t="s">
        <v>127</v>
      </c>
      <c r="M125" s="847"/>
      <c r="N125" s="701" t="s">
        <v>15174</v>
      </c>
      <c r="O125" s="81"/>
      <c r="P125" s="70">
        <v>18450</v>
      </c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  <c r="AB125" s="70"/>
      <c r="AC125" s="70"/>
      <c r="AD125" s="70"/>
      <c r="AE125" s="70"/>
      <c r="AF125" s="70"/>
      <c r="AG125" s="70"/>
      <c r="AH125" s="70"/>
      <c r="AI125" s="70"/>
      <c r="AJ125" s="70"/>
      <c r="AK125" s="70"/>
      <c r="AL125" s="70"/>
      <c r="AM125" s="70"/>
      <c r="AN125" s="70"/>
      <c r="AO125" s="70"/>
      <c r="AP125" s="70"/>
      <c r="AQ125" s="70"/>
      <c r="AR125" s="70"/>
      <c r="AS125" s="70"/>
      <c r="AT125" s="70"/>
      <c r="AU125" s="70"/>
      <c r="AV125" s="70"/>
      <c r="AW125" s="70"/>
      <c r="AX125" s="70"/>
      <c r="AY125" s="70"/>
      <c r="AZ125" s="70"/>
      <c r="BA125" s="70"/>
      <c r="BB125" s="70"/>
      <c r="BC125" s="70"/>
      <c r="BD125" s="70"/>
      <c r="BE125" s="70"/>
      <c r="BF125" s="70"/>
      <c r="BG125" s="70"/>
      <c r="BH125" s="70"/>
      <c r="BI125" s="70"/>
      <c r="BJ125" s="70"/>
      <c r="BK125" s="70"/>
      <c r="BL125" s="70"/>
      <c r="BM125" s="70"/>
      <c r="BN125" s="70"/>
      <c r="BO125" s="70"/>
      <c r="BP125" s="70"/>
      <c r="BQ125" s="70"/>
      <c r="BR125" s="70"/>
      <c r="BS125" s="70"/>
      <c r="BT125" s="70"/>
      <c r="BU125" s="70"/>
      <c r="BV125" s="70"/>
      <c r="BW125" s="70"/>
      <c r="BX125" s="70"/>
      <c r="BY125" s="70"/>
      <c r="BZ125" s="70"/>
      <c r="CA125" s="70"/>
      <c r="CB125" s="70"/>
      <c r="CC125" s="70"/>
      <c r="CD125" s="70"/>
      <c r="CE125" s="70"/>
      <c r="CF125" s="70"/>
      <c r="CG125" s="70"/>
      <c r="CH125" s="70"/>
      <c r="CI125" s="70"/>
      <c r="CJ125" s="70"/>
      <c r="CK125" s="70"/>
      <c r="CL125" s="70"/>
      <c r="CM125" s="70"/>
      <c r="CN125" s="70"/>
      <c r="CO125" s="70"/>
      <c r="CP125" s="70"/>
      <c r="CQ125" s="70"/>
      <c r="CR125" s="70"/>
      <c r="CS125" s="70"/>
      <c r="CT125" s="70"/>
      <c r="CU125" s="70"/>
      <c r="CV125" s="70"/>
      <c r="CW125" s="70"/>
      <c r="CX125" s="70"/>
      <c r="CY125" s="70"/>
      <c r="CZ125" s="70"/>
      <c r="DA125" s="70"/>
      <c r="DB125" s="70"/>
      <c r="DC125" s="70"/>
      <c r="DD125" s="70"/>
      <c r="DE125" s="70"/>
      <c r="DF125" s="70"/>
      <c r="DG125" s="70"/>
      <c r="DH125" s="70"/>
      <c r="DI125" s="70"/>
      <c r="DJ125" s="70"/>
      <c r="DK125" s="70"/>
      <c r="DL125" s="70"/>
      <c r="DM125" s="70"/>
      <c r="DN125" s="70"/>
      <c r="DO125" s="70"/>
      <c r="DP125" s="70"/>
      <c r="DQ125" s="70"/>
      <c r="DR125" s="70"/>
      <c r="DS125" s="70"/>
      <c r="DT125" s="70"/>
      <c r="DU125" s="70"/>
      <c r="DV125" s="70"/>
      <c r="DW125" s="70"/>
      <c r="DX125" s="70"/>
      <c r="DY125" s="70"/>
      <c r="DZ125" s="70"/>
      <c r="EA125" s="70"/>
      <c r="EB125" s="70"/>
      <c r="EC125" s="70"/>
      <c r="ED125" s="70"/>
      <c r="EE125" s="70"/>
      <c r="EF125" s="70"/>
      <c r="EG125" s="70"/>
      <c r="EH125" s="70"/>
      <c r="EI125" s="70"/>
      <c r="EJ125" s="70"/>
      <c r="EK125" s="70"/>
      <c r="EL125" s="70"/>
      <c r="EM125" s="70"/>
      <c r="EN125" s="70"/>
      <c r="EO125" s="70"/>
      <c r="EP125" s="70"/>
      <c r="EQ125" s="70"/>
      <c r="ER125" s="70"/>
      <c r="ES125" s="70"/>
      <c r="ET125" s="70"/>
      <c r="EU125" s="70"/>
      <c r="EV125" s="70"/>
      <c r="EW125" s="70"/>
      <c r="EX125" s="70"/>
      <c r="EY125" s="70"/>
      <c r="EZ125" s="70"/>
      <c r="FA125" s="70"/>
      <c r="FB125" s="70"/>
      <c r="FC125" s="70"/>
      <c r="FD125" s="70"/>
      <c r="FE125" s="70"/>
      <c r="FF125" s="70"/>
      <c r="FG125" s="70"/>
      <c r="FH125" s="70"/>
      <c r="FI125" s="70"/>
      <c r="FJ125" s="70"/>
      <c r="FK125" s="70"/>
      <c r="FL125" s="70"/>
      <c r="FM125" s="70"/>
      <c r="FN125" s="70"/>
      <c r="FO125" s="70"/>
      <c r="FP125" s="70"/>
      <c r="FQ125" s="70"/>
      <c r="FR125" s="70"/>
      <c r="FS125" s="70"/>
      <c r="FT125" s="70"/>
      <c r="FU125" s="70"/>
      <c r="FV125" s="70"/>
      <c r="FW125" s="70"/>
      <c r="FX125" s="70"/>
      <c r="FY125" s="70"/>
      <c r="FZ125" s="70"/>
      <c r="GA125" s="70"/>
      <c r="GB125" s="70"/>
      <c r="GC125" s="70"/>
      <c r="GD125" s="70"/>
      <c r="GE125" s="70"/>
      <c r="GF125" s="70"/>
      <c r="GG125" s="70"/>
      <c r="GH125" s="70"/>
      <c r="GI125" s="70"/>
      <c r="GJ125" s="70"/>
    </row>
    <row r="126" spans="1:192" ht="14">
      <c r="A126" s="70"/>
      <c r="B126" s="842" t="s">
        <v>15168</v>
      </c>
      <c r="C126" s="698" t="s">
        <v>15175</v>
      </c>
      <c r="D126" s="843" t="s">
        <v>15176</v>
      </c>
      <c r="E126" s="844" t="s">
        <v>1541</v>
      </c>
      <c r="F126" s="54" t="s">
        <v>15171</v>
      </c>
      <c r="G126" s="845" t="s">
        <v>15177</v>
      </c>
      <c r="H126" s="763">
        <v>45387</v>
      </c>
      <c r="I126" s="763">
        <v>46116</v>
      </c>
      <c r="J126" s="130">
        <v>9557700</v>
      </c>
      <c r="K126" s="846" t="s">
        <v>15178</v>
      </c>
      <c r="L126" s="846" t="s">
        <v>87</v>
      </c>
      <c r="M126" s="847"/>
      <c r="N126" s="701" t="s">
        <v>15179</v>
      </c>
      <c r="O126" s="81"/>
      <c r="P126" s="70">
        <v>18452</v>
      </c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  <c r="AB126" s="70"/>
      <c r="AC126" s="70"/>
      <c r="AD126" s="70"/>
      <c r="AE126" s="70"/>
      <c r="AF126" s="70"/>
      <c r="AG126" s="70"/>
      <c r="AH126" s="70"/>
      <c r="AI126" s="70"/>
      <c r="AJ126" s="70"/>
      <c r="AK126" s="70"/>
      <c r="AL126" s="70"/>
      <c r="AM126" s="70"/>
      <c r="AN126" s="70"/>
      <c r="AO126" s="70"/>
      <c r="AP126" s="70"/>
      <c r="AQ126" s="70"/>
      <c r="AR126" s="70"/>
      <c r="AS126" s="70"/>
      <c r="AT126" s="70"/>
      <c r="AU126" s="70"/>
      <c r="AV126" s="70"/>
      <c r="AW126" s="70"/>
      <c r="AX126" s="70"/>
      <c r="AY126" s="70"/>
      <c r="AZ126" s="70"/>
      <c r="BA126" s="70"/>
      <c r="BB126" s="70"/>
      <c r="BC126" s="70"/>
      <c r="BD126" s="70"/>
      <c r="BE126" s="70"/>
      <c r="BF126" s="70"/>
      <c r="BG126" s="70"/>
      <c r="BH126" s="70"/>
      <c r="BI126" s="70"/>
      <c r="BJ126" s="70"/>
      <c r="BK126" s="70"/>
      <c r="BL126" s="70"/>
      <c r="BM126" s="70"/>
      <c r="BN126" s="70"/>
      <c r="BO126" s="70"/>
      <c r="BP126" s="70"/>
      <c r="BQ126" s="70"/>
      <c r="BR126" s="70"/>
      <c r="BS126" s="70"/>
      <c r="BT126" s="70"/>
      <c r="BU126" s="70"/>
      <c r="BV126" s="70"/>
      <c r="BW126" s="70"/>
      <c r="BX126" s="70"/>
      <c r="BY126" s="70"/>
      <c r="BZ126" s="70"/>
      <c r="CA126" s="70"/>
      <c r="CB126" s="70"/>
      <c r="CC126" s="70"/>
      <c r="CD126" s="70"/>
      <c r="CE126" s="70"/>
      <c r="CF126" s="70"/>
      <c r="CG126" s="70"/>
      <c r="CH126" s="70"/>
      <c r="CI126" s="70"/>
      <c r="CJ126" s="70"/>
      <c r="CK126" s="70"/>
      <c r="CL126" s="70"/>
      <c r="CM126" s="70"/>
      <c r="CN126" s="70"/>
      <c r="CO126" s="70"/>
      <c r="CP126" s="70"/>
      <c r="CQ126" s="70"/>
      <c r="CR126" s="70"/>
      <c r="CS126" s="70"/>
      <c r="CT126" s="70"/>
      <c r="CU126" s="70"/>
      <c r="CV126" s="70"/>
      <c r="CW126" s="70"/>
      <c r="CX126" s="70"/>
      <c r="CY126" s="70"/>
      <c r="CZ126" s="70"/>
      <c r="DA126" s="70"/>
      <c r="DB126" s="70"/>
      <c r="DC126" s="70"/>
      <c r="DD126" s="70"/>
      <c r="DE126" s="70"/>
      <c r="DF126" s="70"/>
      <c r="DG126" s="70"/>
      <c r="DH126" s="70"/>
      <c r="DI126" s="70"/>
      <c r="DJ126" s="70"/>
      <c r="DK126" s="70"/>
      <c r="DL126" s="70"/>
      <c r="DM126" s="70"/>
      <c r="DN126" s="70"/>
      <c r="DO126" s="70"/>
      <c r="DP126" s="70"/>
      <c r="DQ126" s="70"/>
      <c r="DR126" s="70"/>
      <c r="DS126" s="70"/>
      <c r="DT126" s="70"/>
      <c r="DU126" s="70"/>
      <c r="DV126" s="70"/>
      <c r="DW126" s="70"/>
      <c r="DX126" s="70"/>
      <c r="DY126" s="70"/>
      <c r="DZ126" s="70"/>
      <c r="EA126" s="70"/>
      <c r="EB126" s="70"/>
      <c r="EC126" s="70"/>
      <c r="ED126" s="70"/>
      <c r="EE126" s="70"/>
      <c r="EF126" s="70"/>
      <c r="EG126" s="70"/>
      <c r="EH126" s="70"/>
      <c r="EI126" s="70"/>
      <c r="EJ126" s="70"/>
      <c r="EK126" s="70"/>
      <c r="EL126" s="70"/>
      <c r="EM126" s="70"/>
      <c r="EN126" s="70"/>
      <c r="EO126" s="70"/>
      <c r="EP126" s="70"/>
      <c r="EQ126" s="70"/>
      <c r="ER126" s="70"/>
      <c r="ES126" s="70"/>
      <c r="ET126" s="70"/>
      <c r="EU126" s="70"/>
      <c r="EV126" s="70"/>
      <c r="EW126" s="70"/>
      <c r="EX126" s="70"/>
      <c r="EY126" s="70"/>
      <c r="EZ126" s="70"/>
      <c r="FA126" s="70"/>
      <c r="FB126" s="70"/>
      <c r="FC126" s="70"/>
      <c r="FD126" s="70"/>
      <c r="FE126" s="70"/>
      <c r="FF126" s="70"/>
      <c r="FG126" s="70"/>
      <c r="FH126" s="70"/>
      <c r="FI126" s="70"/>
      <c r="FJ126" s="70"/>
      <c r="FK126" s="70"/>
      <c r="FL126" s="70"/>
      <c r="FM126" s="70"/>
      <c r="FN126" s="70"/>
      <c r="FO126" s="70"/>
      <c r="FP126" s="70"/>
      <c r="FQ126" s="70"/>
      <c r="FR126" s="70"/>
      <c r="FS126" s="70"/>
      <c r="FT126" s="70"/>
      <c r="FU126" s="70"/>
      <c r="FV126" s="70"/>
      <c r="FW126" s="70"/>
      <c r="FX126" s="70"/>
      <c r="FY126" s="70"/>
      <c r="FZ126" s="70"/>
      <c r="GA126" s="70"/>
      <c r="GB126" s="70"/>
      <c r="GC126" s="70"/>
      <c r="GD126" s="70"/>
      <c r="GE126" s="70"/>
      <c r="GF126" s="70"/>
      <c r="GG126" s="70"/>
      <c r="GH126" s="70"/>
      <c r="GI126" s="70"/>
      <c r="GJ126" s="70"/>
    </row>
    <row r="127" spans="1:192" ht="14">
      <c r="A127" s="70"/>
      <c r="B127" s="842" t="s">
        <v>15168</v>
      </c>
      <c r="C127" s="698" t="s">
        <v>15180</v>
      </c>
      <c r="D127" s="843" t="s">
        <v>15181</v>
      </c>
      <c r="E127" s="844" t="s">
        <v>1541</v>
      </c>
      <c r="F127" s="54" t="s">
        <v>15171</v>
      </c>
      <c r="G127" s="845" t="s">
        <v>15182</v>
      </c>
      <c r="H127" s="763">
        <v>45444</v>
      </c>
      <c r="I127" s="763">
        <v>45808</v>
      </c>
      <c r="J127" s="130">
        <v>975000</v>
      </c>
      <c r="K127" s="846" t="s">
        <v>15178</v>
      </c>
      <c r="L127" s="846" t="s">
        <v>87</v>
      </c>
      <c r="M127" s="847" t="s">
        <v>15183</v>
      </c>
      <c r="N127" s="701" t="s">
        <v>15184</v>
      </c>
      <c r="O127" s="81"/>
      <c r="P127" s="70">
        <v>18453</v>
      </c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  <c r="AB127" s="70"/>
      <c r="AC127" s="70"/>
      <c r="AD127" s="70"/>
      <c r="AE127" s="70"/>
      <c r="AF127" s="70"/>
      <c r="AG127" s="70"/>
      <c r="AH127" s="70"/>
      <c r="AI127" s="70"/>
      <c r="AJ127" s="70"/>
      <c r="AK127" s="70"/>
      <c r="AL127" s="70"/>
      <c r="AM127" s="70"/>
      <c r="AN127" s="70"/>
      <c r="AO127" s="70"/>
      <c r="AP127" s="70"/>
      <c r="AQ127" s="70"/>
      <c r="AR127" s="70"/>
      <c r="AS127" s="70"/>
      <c r="AT127" s="70"/>
      <c r="AU127" s="70"/>
      <c r="AV127" s="70"/>
      <c r="AW127" s="70"/>
      <c r="AX127" s="70"/>
      <c r="AY127" s="70"/>
      <c r="AZ127" s="70"/>
      <c r="BA127" s="70"/>
      <c r="BB127" s="70"/>
      <c r="BC127" s="70"/>
      <c r="BD127" s="70"/>
      <c r="BE127" s="70"/>
      <c r="BF127" s="70"/>
      <c r="BG127" s="70"/>
      <c r="BH127" s="70"/>
      <c r="BI127" s="70"/>
      <c r="BJ127" s="70"/>
      <c r="BK127" s="70"/>
      <c r="BL127" s="70"/>
      <c r="BM127" s="70"/>
      <c r="BN127" s="70"/>
      <c r="BO127" s="70"/>
      <c r="BP127" s="70"/>
      <c r="BQ127" s="70"/>
      <c r="BR127" s="70"/>
      <c r="BS127" s="70"/>
      <c r="BT127" s="70"/>
      <c r="BU127" s="70"/>
      <c r="BV127" s="70"/>
      <c r="BW127" s="70"/>
      <c r="BX127" s="70"/>
      <c r="BY127" s="70"/>
      <c r="BZ127" s="70"/>
      <c r="CA127" s="70"/>
      <c r="CB127" s="70"/>
      <c r="CC127" s="70"/>
      <c r="CD127" s="70"/>
      <c r="CE127" s="70"/>
      <c r="CF127" s="70"/>
      <c r="CG127" s="70"/>
      <c r="CH127" s="70"/>
      <c r="CI127" s="70"/>
      <c r="CJ127" s="70"/>
      <c r="CK127" s="70"/>
      <c r="CL127" s="70"/>
      <c r="CM127" s="70"/>
      <c r="CN127" s="70"/>
      <c r="CO127" s="70"/>
      <c r="CP127" s="70"/>
      <c r="CQ127" s="70"/>
      <c r="CR127" s="70"/>
      <c r="CS127" s="70"/>
      <c r="CT127" s="70"/>
      <c r="CU127" s="70"/>
      <c r="CV127" s="70"/>
      <c r="CW127" s="70"/>
      <c r="CX127" s="70"/>
      <c r="CY127" s="70"/>
      <c r="CZ127" s="70"/>
      <c r="DA127" s="70"/>
      <c r="DB127" s="70"/>
      <c r="DC127" s="70"/>
      <c r="DD127" s="70"/>
      <c r="DE127" s="70"/>
      <c r="DF127" s="70"/>
      <c r="DG127" s="70"/>
      <c r="DH127" s="70"/>
      <c r="DI127" s="70"/>
      <c r="DJ127" s="70"/>
      <c r="DK127" s="70"/>
      <c r="DL127" s="70"/>
      <c r="DM127" s="70"/>
      <c r="DN127" s="70"/>
      <c r="DO127" s="70"/>
      <c r="DP127" s="70"/>
      <c r="DQ127" s="70"/>
      <c r="DR127" s="70"/>
      <c r="DS127" s="70"/>
      <c r="DT127" s="70"/>
      <c r="DU127" s="70"/>
      <c r="DV127" s="70"/>
      <c r="DW127" s="70"/>
      <c r="DX127" s="70"/>
      <c r="DY127" s="70"/>
      <c r="DZ127" s="70"/>
      <c r="EA127" s="70"/>
      <c r="EB127" s="70"/>
      <c r="EC127" s="70"/>
      <c r="ED127" s="70"/>
      <c r="EE127" s="70"/>
      <c r="EF127" s="70"/>
      <c r="EG127" s="70"/>
      <c r="EH127" s="70"/>
      <c r="EI127" s="70"/>
      <c r="EJ127" s="70"/>
      <c r="EK127" s="70"/>
      <c r="EL127" s="70"/>
      <c r="EM127" s="70"/>
      <c r="EN127" s="70"/>
      <c r="EO127" s="70"/>
      <c r="EP127" s="70"/>
      <c r="EQ127" s="70"/>
      <c r="ER127" s="70"/>
      <c r="ES127" s="70"/>
      <c r="ET127" s="70"/>
      <c r="EU127" s="70"/>
      <c r="EV127" s="70"/>
      <c r="EW127" s="70"/>
      <c r="EX127" s="70"/>
      <c r="EY127" s="70"/>
      <c r="EZ127" s="70"/>
      <c r="FA127" s="70"/>
      <c r="FB127" s="70"/>
      <c r="FC127" s="70"/>
      <c r="FD127" s="70"/>
      <c r="FE127" s="70"/>
      <c r="FF127" s="70"/>
      <c r="FG127" s="70"/>
      <c r="FH127" s="70"/>
      <c r="FI127" s="70"/>
      <c r="FJ127" s="70"/>
      <c r="FK127" s="70"/>
      <c r="FL127" s="70"/>
      <c r="FM127" s="70"/>
      <c r="FN127" s="70"/>
      <c r="FO127" s="70"/>
      <c r="FP127" s="70"/>
      <c r="FQ127" s="70"/>
      <c r="FR127" s="70"/>
      <c r="FS127" s="70"/>
      <c r="FT127" s="70"/>
      <c r="FU127" s="70"/>
      <c r="FV127" s="70"/>
      <c r="FW127" s="70"/>
      <c r="FX127" s="70"/>
      <c r="FY127" s="70"/>
      <c r="FZ127" s="70"/>
      <c r="GA127" s="70"/>
      <c r="GB127" s="70"/>
      <c r="GC127" s="70"/>
      <c r="GD127" s="70"/>
      <c r="GE127" s="70"/>
      <c r="GF127" s="70"/>
      <c r="GG127" s="70"/>
      <c r="GH127" s="70"/>
      <c r="GI127" s="70"/>
      <c r="GJ127" s="70"/>
    </row>
    <row r="128" spans="1:192" ht="14">
      <c r="A128" s="70"/>
      <c r="B128" s="842" t="s">
        <v>15168</v>
      </c>
      <c r="C128" s="698" t="s">
        <v>15185</v>
      </c>
      <c r="D128" s="843" t="s">
        <v>15186</v>
      </c>
      <c r="E128" s="844" t="s">
        <v>1541</v>
      </c>
      <c r="F128" s="54" t="s">
        <v>15171</v>
      </c>
      <c r="G128" s="845" t="s">
        <v>15187</v>
      </c>
      <c r="H128" s="763">
        <v>45474</v>
      </c>
      <c r="I128" s="763">
        <v>45838</v>
      </c>
      <c r="J128" s="130">
        <v>7900000</v>
      </c>
      <c r="K128" s="859" t="s">
        <v>15173</v>
      </c>
      <c r="L128" s="846" t="s">
        <v>87</v>
      </c>
      <c r="M128" s="847"/>
      <c r="N128" s="701" t="s">
        <v>15188</v>
      </c>
      <c r="O128" s="81"/>
      <c r="P128" s="70">
        <v>18454</v>
      </c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  <c r="AC128" s="70"/>
      <c r="AD128" s="70"/>
      <c r="AE128" s="70"/>
      <c r="AF128" s="70"/>
      <c r="AG128" s="70"/>
      <c r="AH128" s="70"/>
      <c r="AI128" s="70"/>
      <c r="AJ128" s="70"/>
      <c r="AK128" s="70"/>
      <c r="AL128" s="70"/>
      <c r="AM128" s="70"/>
      <c r="AN128" s="70"/>
      <c r="AO128" s="70"/>
      <c r="AP128" s="70"/>
      <c r="AQ128" s="70"/>
      <c r="AR128" s="70"/>
      <c r="AS128" s="70"/>
      <c r="AT128" s="70"/>
      <c r="AU128" s="70"/>
      <c r="AV128" s="70"/>
      <c r="AW128" s="70"/>
      <c r="AX128" s="70"/>
      <c r="AY128" s="70"/>
      <c r="AZ128" s="70"/>
      <c r="BA128" s="70"/>
      <c r="BB128" s="70"/>
      <c r="BC128" s="70"/>
      <c r="BD128" s="70"/>
      <c r="BE128" s="70"/>
      <c r="BF128" s="70"/>
      <c r="BG128" s="70"/>
      <c r="BH128" s="70"/>
      <c r="BI128" s="70"/>
      <c r="BJ128" s="70"/>
      <c r="BK128" s="70"/>
      <c r="BL128" s="70"/>
      <c r="BM128" s="70"/>
      <c r="BN128" s="70"/>
      <c r="BO128" s="70"/>
      <c r="BP128" s="70"/>
      <c r="BQ128" s="70"/>
      <c r="BR128" s="70"/>
      <c r="BS128" s="70"/>
      <c r="BT128" s="70"/>
      <c r="BU128" s="70"/>
      <c r="BV128" s="70"/>
      <c r="BW128" s="70"/>
      <c r="BX128" s="70"/>
      <c r="BY128" s="70"/>
      <c r="BZ128" s="70"/>
      <c r="CA128" s="70"/>
      <c r="CB128" s="70"/>
      <c r="CC128" s="70"/>
      <c r="CD128" s="70"/>
      <c r="CE128" s="70"/>
      <c r="CF128" s="70"/>
      <c r="CG128" s="70"/>
      <c r="CH128" s="70"/>
      <c r="CI128" s="70"/>
      <c r="CJ128" s="70"/>
      <c r="CK128" s="70"/>
      <c r="CL128" s="70"/>
      <c r="CM128" s="70"/>
      <c r="CN128" s="70"/>
      <c r="CO128" s="70"/>
      <c r="CP128" s="70"/>
      <c r="CQ128" s="70"/>
      <c r="CR128" s="70"/>
      <c r="CS128" s="70"/>
      <c r="CT128" s="70"/>
      <c r="CU128" s="70"/>
      <c r="CV128" s="70"/>
      <c r="CW128" s="70"/>
      <c r="CX128" s="70"/>
      <c r="CY128" s="70"/>
      <c r="CZ128" s="70"/>
      <c r="DA128" s="70"/>
      <c r="DB128" s="70"/>
      <c r="DC128" s="70"/>
      <c r="DD128" s="70"/>
      <c r="DE128" s="70"/>
      <c r="DF128" s="70"/>
      <c r="DG128" s="70"/>
      <c r="DH128" s="70"/>
      <c r="DI128" s="70"/>
      <c r="DJ128" s="70"/>
      <c r="DK128" s="70"/>
      <c r="DL128" s="70"/>
      <c r="DM128" s="70"/>
      <c r="DN128" s="70"/>
      <c r="DO128" s="70"/>
      <c r="DP128" s="70"/>
      <c r="DQ128" s="70"/>
      <c r="DR128" s="70"/>
      <c r="DS128" s="70"/>
      <c r="DT128" s="70"/>
      <c r="DU128" s="70"/>
      <c r="DV128" s="70"/>
      <c r="DW128" s="70"/>
      <c r="DX128" s="70"/>
      <c r="DY128" s="70"/>
      <c r="DZ128" s="70"/>
      <c r="EA128" s="70"/>
      <c r="EB128" s="70"/>
      <c r="EC128" s="70"/>
      <c r="ED128" s="70"/>
      <c r="EE128" s="70"/>
      <c r="EF128" s="70"/>
      <c r="EG128" s="70"/>
      <c r="EH128" s="70"/>
      <c r="EI128" s="70"/>
      <c r="EJ128" s="70"/>
      <c r="EK128" s="70"/>
      <c r="EL128" s="70"/>
      <c r="EM128" s="70"/>
      <c r="EN128" s="70"/>
      <c r="EO128" s="70"/>
      <c r="EP128" s="70"/>
      <c r="EQ128" s="70"/>
      <c r="ER128" s="70"/>
      <c r="ES128" s="70"/>
      <c r="ET128" s="70"/>
      <c r="EU128" s="70"/>
      <c r="EV128" s="70"/>
      <c r="EW128" s="70"/>
      <c r="EX128" s="70"/>
      <c r="EY128" s="70"/>
      <c r="EZ128" s="70"/>
      <c r="FA128" s="70"/>
      <c r="FB128" s="70"/>
      <c r="FC128" s="70"/>
      <c r="FD128" s="70"/>
      <c r="FE128" s="70"/>
      <c r="FF128" s="70"/>
      <c r="FG128" s="70"/>
      <c r="FH128" s="70"/>
      <c r="FI128" s="70"/>
      <c r="FJ128" s="70"/>
      <c r="FK128" s="70"/>
      <c r="FL128" s="70"/>
      <c r="FM128" s="70"/>
      <c r="FN128" s="70"/>
      <c r="FO128" s="70"/>
      <c r="FP128" s="70"/>
      <c r="FQ128" s="70"/>
      <c r="FR128" s="70"/>
      <c r="FS128" s="70"/>
      <c r="FT128" s="70"/>
      <c r="FU128" s="70"/>
      <c r="FV128" s="70"/>
      <c r="FW128" s="70"/>
      <c r="FX128" s="70"/>
      <c r="FY128" s="70"/>
      <c r="FZ128" s="70"/>
      <c r="GA128" s="70"/>
      <c r="GB128" s="70"/>
      <c r="GC128" s="70"/>
      <c r="GD128" s="70"/>
      <c r="GE128" s="70"/>
      <c r="GF128" s="70"/>
      <c r="GG128" s="70"/>
      <c r="GH128" s="70"/>
      <c r="GI128" s="70"/>
      <c r="GJ128" s="70"/>
    </row>
    <row r="129" spans="1:192" ht="14">
      <c r="A129" s="70"/>
      <c r="B129" s="842" t="s">
        <v>15168</v>
      </c>
      <c r="C129" s="698" t="s">
        <v>15189</v>
      </c>
      <c r="D129" s="843" t="s">
        <v>15190</v>
      </c>
      <c r="E129" s="844" t="s">
        <v>1541</v>
      </c>
      <c r="F129" s="54" t="s">
        <v>15171</v>
      </c>
      <c r="G129" s="845" t="s">
        <v>15191</v>
      </c>
      <c r="H129" s="763">
        <v>45432</v>
      </c>
      <c r="I129" s="763">
        <v>45796</v>
      </c>
      <c r="J129" s="130">
        <v>1602000</v>
      </c>
      <c r="K129" s="846" t="s">
        <v>15178</v>
      </c>
      <c r="L129" s="846" t="s">
        <v>135</v>
      </c>
      <c r="M129" s="847"/>
      <c r="N129" s="701" t="s">
        <v>15192</v>
      </c>
      <c r="O129" s="81"/>
      <c r="P129" s="70">
        <v>18455</v>
      </c>
      <c r="Q129" s="70"/>
      <c r="R129" s="70"/>
      <c r="S129" s="70"/>
      <c r="T129" s="70"/>
      <c r="U129" s="70"/>
      <c r="V129" s="70"/>
      <c r="W129" s="70"/>
      <c r="X129" s="70"/>
      <c r="Y129" s="70"/>
      <c r="Z129" s="70"/>
      <c r="AA129" s="70"/>
      <c r="AB129" s="70"/>
      <c r="AC129" s="70"/>
      <c r="AD129" s="70"/>
      <c r="AE129" s="70"/>
      <c r="AF129" s="70"/>
      <c r="AG129" s="70"/>
      <c r="AH129" s="70"/>
      <c r="AI129" s="70"/>
      <c r="AJ129" s="70"/>
      <c r="AK129" s="70"/>
      <c r="AL129" s="70"/>
      <c r="AM129" s="70"/>
      <c r="AN129" s="70"/>
      <c r="AO129" s="70"/>
      <c r="AP129" s="70"/>
      <c r="AQ129" s="70"/>
      <c r="AR129" s="70"/>
      <c r="AS129" s="70"/>
      <c r="AT129" s="70"/>
      <c r="AU129" s="70"/>
      <c r="AV129" s="70"/>
      <c r="AW129" s="70"/>
      <c r="AX129" s="70"/>
      <c r="AY129" s="70"/>
      <c r="AZ129" s="70"/>
      <c r="BA129" s="70"/>
      <c r="BB129" s="70"/>
      <c r="BC129" s="70"/>
      <c r="BD129" s="70"/>
      <c r="BE129" s="70"/>
      <c r="BF129" s="70"/>
      <c r="BG129" s="70"/>
      <c r="BH129" s="70"/>
      <c r="BI129" s="70"/>
      <c r="BJ129" s="70"/>
      <c r="BK129" s="70"/>
      <c r="BL129" s="70"/>
      <c r="BM129" s="70"/>
      <c r="BN129" s="70"/>
      <c r="BO129" s="70"/>
      <c r="BP129" s="70"/>
      <c r="BQ129" s="70"/>
      <c r="BR129" s="70"/>
      <c r="BS129" s="70"/>
      <c r="BT129" s="70"/>
      <c r="BU129" s="70"/>
      <c r="BV129" s="70"/>
      <c r="BW129" s="70"/>
      <c r="BX129" s="70"/>
      <c r="BY129" s="70"/>
      <c r="BZ129" s="70"/>
      <c r="CA129" s="70"/>
      <c r="CB129" s="70"/>
      <c r="CC129" s="70"/>
      <c r="CD129" s="70"/>
      <c r="CE129" s="70"/>
      <c r="CF129" s="70"/>
      <c r="CG129" s="70"/>
      <c r="CH129" s="70"/>
      <c r="CI129" s="70"/>
      <c r="CJ129" s="70"/>
      <c r="CK129" s="70"/>
      <c r="CL129" s="70"/>
      <c r="CM129" s="70"/>
      <c r="CN129" s="70"/>
      <c r="CO129" s="70"/>
      <c r="CP129" s="70"/>
      <c r="CQ129" s="70"/>
      <c r="CR129" s="70"/>
      <c r="CS129" s="70"/>
      <c r="CT129" s="70"/>
      <c r="CU129" s="70"/>
      <c r="CV129" s="70"/>
      <c r="CW129" s="70"/>
      <c r="CX129" s="70"/>
      <c r="CY129" s="70"/>
      <c r="CZ129" s="70"/>
      <c r="DA129" s="70"/>
      <c r="DB129" s="70"/>
      <c r="DC129" s="70"/>
      <c r="DD129" s="70"/>
      <c r="DE129" s="70"/>
      <c r="DF129" s="70"/>
      <c r="DG129" s="70"/>
      <c r="DH129" s="70"/>
      <c r="DI129" s="70"/>
      <c r="DJ129" s="70"/>
      <c r="DK129" s="70"/>
      <c r="DL129" s="70"/>
      <c r="DM129" s="70"/>
      <c r="DN129" s="70"/>
      <c r="DO129" s="70"/>
      <c r="DP129" s="70"/>
      <c r="DQ129" s="70"/>
      <c r="DR129" s="70"/>
      <c r="DS129" s="70"/>
      <c r="DT129" s="70"/>
      <c r="DU129" s="70"/>
      <c r="DV129" s="70"/>
      <c r="DW129" s="70"/>
      <c r="DX129" s="70"/>
      <c r="DY129" s="70"/>
      <c r="DZ129" s="70"/>
      <c r="EA129" s="70"/>
      <c r="EB129" s="70"/>
      <c r="EC129" s="70"/>
      <c r="ED129" s="70"/>
      <c r="EE129" s="70"/>
      <c r="EF129" s="70"/>
      <c r="EG129" s="70"/>
      <c r="EH129" s="70"/>
      <c r="EI129" s="70"/>
      <c r="EJ129" s="70"/>
      <c r="EK129" s="70"/>
      <c r="EL129" s="70"/>
      <c r="EM129" s="70"/>
      <c r="EN129" s="70"/>
      <c r="EO129" s="70"/>
      <c r="EP129" s="70"/>
      <c r="EQ129" s="70"/>
      <c r="ER129" s="70"/>
      <c r="ES129" s="70"/>
      <c r="ET129" s="70"/>
      <c r="EU129" s="70"/>
      <c r="EV129" s="70"/>
      <c r="EW129" s="70"/>
      <c r="EX129" s="70"/>
      <c r="EY129" s="70"/>
      <c r="EZ129" s="70"/>
      <c r="FA129" s="70"/>
      <c r="FB129" s="70"/>
      <c r="FC129" s="70"/>
      <c r="FD129" s="70"/>
      <c r="FE129" s="70"/>
      <c r="FF129" s="70"/>
      <c r="FG129" s="70"/>
      <c r="FH129" s="70"/>
      <c r="FI129" s="70"/>
      <c r="FJ129" s="70"/>
      <c r="FK129" s="70"/>
      <c r="FL129" s="70"/>
      <c r="FM129" s="70"/>
      <c r="FN129" s="70"/>
      <c r="FO129" s="70"/>
      <c r="FP129" s="70"/>
      <c r="FQ129" s="70"/>
      <c r="FR129" s="70"/>
      <c r="FS129" s="70"/>
      <c r="FT129" s="70"/>
      <c r="FU129" s="70"/>
      <c r="FV129" s="70"/>
      <c r="FW129" s="70"/>
      <c r="FX129" s="70"/>
      <c r="FY129" s="70"/>
      <c r="FZ129" s="70"/>
      <c r="GA129" s="70"/>
      <c r="GB129" s="70"/>
      <c r="GC129" s="70"/>
      <c r="GD129" s="70"/>
      <c r="GE129" s="70"/>
      <c r="GF129" s="70"/>
      <c r="GG129" s="70"/>
      <c r="GH129" s="70"/>
      <c r="GI129" s="70"/>
      <c r="GJ129" s="70"/>
    </row>
    <row r="130" spans="1:192" ht="14">
      <c r="A130" s="70"/>
      <c r="B130" s="842" t="s">
        <v>15168</v>
      </c>
      <c r="C130" s="698" t="s">
        <v>15193</v>
      </c>
      <c r="D130" s="843" t="s">
        <v>15194</v>
      </c>
      <c r="E130" s="844" t="s">
        <v>1541</v>
      </c>
      <c r="F130" s="54" t="s">
        <v>15171</v>
      </c>
      <c r="G130" s="845" t="s">
        <v>15195</v>
      </c>
      <c r="H130" s="763">
        <v>45383</v>
      </c>
      <c r="I130" s="763">
        <v>45747</v>
      </c>
      <c r="J130" s="130">
        <v>440000</v>
      </c>
      <c r="K130" s="846" t="s">
        <v>15178</v>
      </c>
      <c r="L130" s="846" t="s">
        <v>102</v>
      </c>
      <c r="M130" s="847"/>
      <c r="N130" s="701" t="s">
        <v>15196</v>
      </c>
      <c r="O130" s="81"/>
      <c r="P130" s="70">
        <v>18456</v>
      </c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  <c r="AC130" s="70"/>
      <c r="AD130" s="70"/>
      <c r="AE130" s="70"/>
      <c r="AF130" s="70"/>
      <c r="AG130" s="70"/>
      <c r="AH130" s="70"/>
      <c r="AI130" s="70"/>
      <c r="AJ130" s="70"/>
      <c r="AK130" s="70"/>
      <c r="AL130" s="70"/>
      <c r="AM130" s="70"/>
      <c r="AN130" s="70"/>
      <c r="AO130" s="70"/>
      <c r="AP130" s="70"/>
      <c r="AQ130" s="70"/>
      <c r="AR130" s="70"/>
      <c r="AS130" s="70"/>
      <c r="AT130" s="70"/>
      <c r="AU130" s="70"/>
      <c r="AV130" s="70"/>
      <c r="AW130" s="70"/>
      <c r="AX130" s="70"/>
      <c r="AY130" s="70"/>
      <c r="AZ130" s="70"/>
      <c r="BA130" s="70"/>
      <c r="BB130" s="70"/>
      <c r="BC130" s="70"/>
      <c r="BD130" s="70"/>
      <c r="BE130" s="70"/>
      <c r="BF130" s="70"/>
      <c r="BG130" s="70"/>
      <c r="BH130" s="70"/>
      <c r="BI130" s="70"/>
      <c r="BJ130" s="70"/>
      <c r="BK130" s="70"/>
      <c r="BL130" s="70"/>
      <c r="BM130" s="70"/>
      <c r="BN130" s="70"/>
      <c r="BO130" s="70"/>
      <c r="BP130" s="70"/>
      <c r="BQ130" s="70"/>
      <c r="BR130" s="70"/>
      <c r="BS130" s="70"/>
      <c r="BT130" s="70"/>
      <c r="BU130" s="70"/>
      <c r="BV130" s="70"/>
      <c r="BW130" s="70"/>
      <c r="BX130" s="70"/>
      <c r="BY130" s="70"/>
      <c r="BZ130" s="70"/>
      <c r="CA130" s="70"/>
      <c r="CB130" s="70"/>
      <c r="CC130" s="70"/>
      <c r="CD130" s="70"/>
      <c r="CE130" s="70"/>
      <c r="CF130" s="70"/>
      <c r="CG130" s="70"/>
      <c r="CH130" s="70"/>
      <c r="CI130" s="70"/>
      <c r="CJ130" s="70"/>
      <c r="CK130" s="70"/>
      <c r="CL130" s="70"/>
      <c r="CM130" s="70"/>
      <c r="CN130" s="70"/>
      <c r="CO130" s="70"/>
      <c r="CP130" s="70"/>
      <c r="CQ130" s="70"/>
      <c r="CR130" s="70"/>
      <c r="CS130" s="70"/>
      <c r="CT130" s="70"/>
      <c r="CU130" s="70"/>
      <c r="CV130" s="70"/>
      <c r="CW130" s="70"/>
      <c r="CX130" s="70"/>
      <c r="CY130" s="70"/>
      <c r="CZ130" s="70"/>
      <c r="DA130" s="70"/>
      <c r="DB130" s="70"/>
      <c r="DC130" s="70"/>
      <c r="DD130" s="70"/>
      <c r="DE130" s="70"/>
      <c r="DF130" s="70"/>
      <c r="DG130" s="70"/>
      <c r="DH130" s="70"/>
      <c r="DI130" s="70"/>
      <c r="DJ130" s="70"/>
      <c r="DK130" s="70"/>
      <c r="DL130" s="70"/>
      <c r="DM130" s="70"/>
      <c r="DN130" s="70"/>
      <c r="DO130" s="70"/>
      <c r="DP130" s="70"/>
      <c r="DQ130" s="70"/>
      <c r="DR130" s="70"/>
      <c r="DS130" s="70"/>
      <c r="DT130" s="70"/>
      <c r="DU130" s="70"/>
      <c r="DV130" s="70"/>
      <c r="DW130" s="70"/>
      <c r="DX130" s="70"/>
      <c r="DY130" s="70"/>
      <c r="DZ130" s="70"/>
      <c r="EA130" s="70"/>
      <c r="EB130" s="70"/>
      <c r="EC130" s="70"/>
      <c r="ED130" s="70"/>
      <c r="EE130" s="70"/>
      <c r="EF130" s="70"/>
      <c r="EG130" s="70"/>
      <c r="EH130" s="70"/>
      <c r="EI130" s="70"/>
      <c r="EJ130" s="70"/>
      <c r="EK130" s="70"/>
      <c r="EL130" s="70"/>
      <c r="EM130" s="70"/>
      <c r="EN130" s="70"/>
      <c r="EO130" s="70"/>
      <c r="EP130" s="70"/>
      <c r="EQ130" s="70"/>
      <c r="ER130" s="70"/>
      <c r="ES130" s="70"/>
      <c r="ET130" s="70"/>
      <c r="EU130" s="70"/>
      <c r="EV130" s="70"/>
      <c r="EW130" s="70"/>
      <c r="EX130" s="70"/>
      <c r="EY130" s="70"/>
      <c r="EZ130" s="70"/>
      <c r="FA130" s="70"/>
      <c r="FB130" s="70"/>
      <c r="FC130" s="70"/>
      <c r="FD130" s="70"/>
      <c r="FE130" s="70"/>
      <c r="FF130" s="70"/>
      <c r="FG130" s="70"/>
      <c r="FH130" s="70"/>
      <c r="FI130" s="70"/>
      <c r="FJ130" s="70"/>
      <c r="FK130" s="70"/>
      <c r="FL130" s="70"/>
      <c r="FM130" s="70"/>
      <c r="FN130" s="70"/>
      <c r="FO130" s="70"/>
      <c r="FP130" s="70"/>
      <c r="FQ130" s="70"/>
      <c r="FR130" s="70"/>
      <c r="FS130" s="70"/>
      <c r="FT130" s="70"/>
      <c r="FU130" s="70"/>
      <c r="FV130" s="70"/>
      <c r="FW130" s="70"/>
      <c r="FX130" s="70"/>
      <c r="FY130" s="70"/>
      <c r="FZ130" s="70"/>
      <c r="GA130" s="70"/>
      <c r="GB130" s="70"/>
      <c r="GC130" s="70"/>
      <c r="GD130" s="70"/>
      <c r="GE130" s="70"/>
      <c r="GF130" s="70"/>
      <c r="GG130" s="70"/>
      <c r="GH130" s="70"/>
      <c r="GI130" s="70"/>
      <c r="GJ130" s="70"/>
    </row>
    <row r="131" spans="1:192" ht="14">
      <c r="A131" s="682"/>
      <c r="B131" s="842" t="s">
        <v>14784</v>
      </c>
      <c r="C131" s="698" t="s">
        <v>15197</v>
      </c>
      <c r="D131" s="860" t="s">
        <v>15198</v>
      </c>
      <c r="E131" s="844" t="s">
        <v>1541</v>
      </c>
      <c r="F131" s="54" t="s">
        <v>15171</v>
      </c>
      <c r="G131" s="845" t="s">
        <v>15199</v>
      </c>
      <c r="H131" s="763">
        <v>45231</v>
      </c>
      <c r="I131" s="763">
        <v>45596</v>
      </c>
      <c r="J131" s="130">
        <v>6600000</v>
      </c>
      <c r="K131" s="846"/>
      <c r="L131" s="846" t="s">
        <v>102</v>
      </c>
      <c r="M131" s="847"/>
      <c r="N131" s="706" t="s">
        <v>15200</v>
      </c>
      <c r="O131" s="63"/>
      <c r="P131" s="682"/>
      <c r="Q131" s="682"/>
      <c r="R131" s="682"/>
      <c r="S131" s="682"/>
      <c r="T131" s="682"/>
      <c r="U131" s="682"/>
      <c r="V131" s="682"/>
      <c r="W131" s="682"/>
      <c r="X131" s="682"/>
      <c r="Y131" s="682"/>
      <c r="Z131" s="682"/>
      <c r="AA131" s="682"/>
      <c r="AB131" s="682"/>
      <c r="AC131" s="682"/>
      <c r="AD131" s="682"/>
      <c r="AE131" s="682"/>
      <c r="AF131" s="682"/>
      <c r="AG131" s="682"/>
      <c r="AH131" s="682"/>
      <c r="AI131" s="682"/>
      <c r="AJ131" s="682"/>
      <c r="AK131" s="682"/>
      <c r="AL131" s="682"/>
      <c r="AM131" s="682"/>
      <c r="AN131" s="682"/>
      <c r="AO131" s="682"/>
      <c r="AP131" s="682"/>
      <c r="AQ131" s="682"/>
      <c r="AR131" s="682"/>
      <c r="AS131" s="682"/>
      <c r="AT131" s="682"/>
      <c r="AU131" s="682"/>
      <c r="AV131" s="682"/>
      <c r="AW131" s="682"/>
      <c r="AX131" s="682"/>
      <c r="AY131" s="682"/>
      <c r="AZ131" s="682"/>
      <c r="BA131" s="682"/>
      <c r="BB131" s="682"/>
      <c r="BC131" s="682"/>
      <c r="BD131" s="682"/>
      <c r="BE131" s="682"/>
      <c r="BF131" s="682"/>
      <c r="BG131" s="682"/>
      <c r="BH131" s="682"/>
      <c r="BI131" s="682"/>
      <c r="BJ131" s="682"/>
      <c r="BK131" s="682"/>
      <c r="BL131" s="682"/>
      <c r="BM131" s="682"/>
      <c r="BN131" s="682"/>
      <c r="BO131" s="682"/>
      <c r="BP131" s="682"/>
      <c r="BQ131" s="682"/>
      <c r="BR131" s="682"/>
      <c r="BS131" s="682"/>
      <c r="BT131" s="682"/>
      <c r="BU131" s="682"/>
      <c r="BV131" s="682"/>
      <c r="BW131" s="682"/>
      <c r="BX131" s="682"/>
      <c r="BY131" s="682"/>
      <c r="BZ131" s="682"/>
      <c r="CA131" s="682"/>
      <c r="CB131" s="682"/>
      <c r="CC131" s="682"/>
      <c r="CD131" s="682"/>
      <c r="CE131" s="682"/>
      <c r="CF131" s="682"/>
      <c r="CG131" s="682"/>
      <c r="CH131" s="682"/>
      <c r="CI131" s="682"/>
      <c r="CJ131" s="682"/>
      <c r="CK131" s="682"/>
      <c r="CL131" s="682"/>
      <c r="CM131" s="682"/>
      <c r="CN131" s="682"/>
      <c r="CO131" s="682"/>
      <c r="CP131" s="682"/>
      <c r="CQ131" s="682"/>
      <c r="CR131" s="682"/>
      <c r="CS131" s="682"/>
      <c r="CT131" s="682"/>
      <c r="CU131" s="682"/>
      <c r="CV131" s="682"/>
      <c r="CW131" s="682"/>
      <c r="CX131" s="682"/>
      <c r="CY131" s="682"/>
      <c r="CZ131" s="682"/>
      <c r="DA131" s="682"/>
      <c r="DB131" s="682"/>
      <c r="DC131" s="682"/>
      <c r="DD131" s="682"/>
      <c r="DE131" s="682"/>
      <c r="DF131" s="682"/>
      <c r="DG131" s="682"/>
      <c r="DH131" s="682"/>
      <c r="DI131" s="682"/>
      <c r="DJ131" s="682"/>
      <c r="DK131" s="682"/>
      <c r="DL131" s="682"/>
      <c r="DM131" s="682"/>
      <c r="DN131" s="682"/>
      <c r="DO131" s="682"/>
      <c r="DP131" s="682"/>
      <c r="DQ131" s="682"/>
      <c r="DR131" s="682"/>
      <c r="DS131" s="682"/>
      <c r="DT131" s="682"/>
      <c r="DU131" s="682"/>
      <c r="DV131" s="682"/>
      <c r="DW131" s="682"/>
      <c r="DX131" s="682"/>
      <c r="DY131" s="682"/>
      <c r="DZ131" s="682"/>
      <c r="EA131" s="682"/>
      <c r="EB131" s="682"/>
      <c r="EC131" s="682"/>
      <c r="ED131" s="682"/>
      <c r="EE131" s="682"/>
      <c r="EF131" s="682"/>
      <c r="EG131" s="682"/>
      <c r="EH131" s="682"/>
      <c r="EI131" s="682"/>
      <c r="EJ131" s="682"/>
      <c r="EK131" s="682"/>
      <c r="EL131" s="682"/>
      <c r="EM131" s="682"/>
      <c r="EN131" s="682"/>
      <c r="EO131" s="682"/>
      <c r="EP131" s="682"/>
      <c r="EQ131" s="682"/>
      <c r="ER131" s="682"/>
      <c r="ES131" s="682"/>
      <c r="ET131" s="682"/>
      <c r="EU131" s="682"/>
      <c r="EV131" s="682"/>
      <c r="EW131" s="682"/>
      <c r="EX131" s="682"/>
      <c r="EY131" s="682"/>
      <c r="EZ131" s="682"/>
      <c r="FA131" s="682"/>
      <c r="FB131" s="682"/>
      <c r="FC131" s="682"/>
      <c r="FD131" s="682"/>
      <c r="FE131" s="682"/>
      <c r="FF131" s="682"/>
      <c r="FG131" s="682"/>
      <c r="FH131" s="682"/>
      <c r="FI131" s="682"/>
      <c r="FJ131" s="682"/>
      <c r="FK131" s="682"/>
      <c r="FL131" s="682"/>
      <c r="FM131" s="682"/>
      <c r="FN131" s="682"/>
      <c r="FO131" s="682"/>
      <c r="FP131" s="682"/>
      <c r="FQ131" s="682"/>
      <c r="FR131" s="682"/>
      <c r="FS131" s="682"/>
      <c r="FT131" s="682"/>
      <c r="FU131" s="682"/>
      <c r="FV131" s="682"/>
      <c r="FW131" s="682"/>
      <c r="FX131" s="682"/>
      <c r="FY131" s="682"/>
      <c r="FZ131" s="682"/>
      <c r="GA131" s="682"/>
      <c r="GB131" s="682"/>
      <c r="GC131" s="682"/>
      <c r="GD131" s="682"/>
      <c r="GE131" s="682"/>
      <c r="GF131" s="682"/>
      <c r="GG131" s="682"/>
      <c r="GH131" s="682"/>
      <c r="GI131" s="682"/>
      <c r="GJ131" s="682"/>
    </row>
    <row r="132" spans="1:192" ht="14">
      <c r="A132" s="70"/>
      <c r="B132" s="453" t="s">
        <v>15201</v>
      </c>
      <c r="C132" s="850" t="s">
        <v>15202</v>
      </c>
      <c r="D132" s="851"/>
      <c r="E132" s="852" t="s">
        <v>1541</v>
      </c>
      <c r="F132" s="453" t="s">
        <v>15203</v>
      </c>
      <c r="G132" s="853" t="s">
        <v>15204</v>
      </c>
      <c r="H132" s="854"/>
      <c r="I132" s="854"/>
      <c r="J132" s="855">
        <v>220000</v>
      </c>
      <c r="K132" s="856"/>
      <c r="L132" s="856"/>
      <c r="M132" s="857"/>
      <c r="N132" s="742"/>
      <c r="O132" s="92">
        <v>17973</v>
      </c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  <c r="AB132" s="70"/>
      <c r="AC132" s="70"/>
      <c r="AD132" s="70"/>
      <c r="AE132" s="70"/>
      <c r="AF132" s="70"/>
      <c r="AG132" s="70"/>
      <c r="AH132" s="70"/>
      <c r="AI132" s="70"/>
      <c r="AJ132" s="70"/>
      <c r="AK132" s="70"/>
      <c r="AL132" s="70"/>
      <c r="AM132" s="70"/>
      <c r="AN132" s="70"/>
      <c r="AO132" s="70"/>
      <c r="AP132" s="70"/>
      <c r="AQ132" s="70"/>
      <c r="AR132" s="70"/>
      <c r="AS132" s="70"/>
      <c r="AT132" s="70"/>
      <c r="AU132" s="70"/>
      <c r="AV132" s="70"/>
      <c r="AW132" s="70"/>
      <c r="AX132" s="70"/>
      <c r="AY132" s="70"/>
      <c r="AZ132" s="70"/>
      <c r="BA132" s="70"/>
      <c r="BB132" s="70"/>
      <c r="BC132" s="70"/>
      <c r="BD132" s="70"/>
      <c r="BE132" s="70"/>
      <c r="BF132" s="70"/>
      <c r="BG132" s="70"/>
      <c r="BH132" s="70"/>
      <c r="BI132" s="70"/>
      <c r="BJ132" s="70"/>
      <c r="BK132" s="70"/>
      <c r="BL132" s="70"/>
      <c r="BM132" s="70"/>
      <c r="BN132" s="70"/>
      <c r="BO132" s="70"/>
      <c r="BP132" s="70"/>
      <c r="BQ132" s="70"/>
      <c r="BR132" s="70"/>
      <c r="BS132" s="70"/>
      <c r="BT132" s="70"/>
      <c r="BU132" s="70"/>
      <c r="BV132" s="70"/>
      <c r="BW132" s="70"/>
      <c r="BX132" s="70"/>
      <c r="BY132" s="70"/>
      <c r="BZ132" s="70"/>
      <c r="CA132" s="70"/>
      <c r="CB132" s="70"/>
      <c r="CC132" s="70"/>
      <c r="CD132" s="70"/>
      <c r="CE132" s="70"/>
      <c r="CF132" s="70"/>
      <c r="CG132" s="70"/>
      <c r="CH132" s="70"/>
      <c r="CI132" s="70"/>
      <c r="CJ132" s="70"/>
      <c r="CK132" s="70"/>
      <c r="CL132" s="70"/>
      <c r="CM132" s="70"/>
      <c r="CN132" s="70"/>
      <c r="CO132" s="70"/>
      <c r="CP132" s="70"/>
      <c r="CQ132" s="70"/>
      <c r="CR132" s="70"/>
      <c r="CS132" s="70"/>
      <c r="CT132" s="70"/>
      <c r="CU132" s="70"/>
      <c r="CV132" s="70"/>
      <c r="CW132" s="70"/>
      <c r="CX132" s="70"/>
      <c r="CY132" s="70"/>
      <c r="CZ132" s="70"/>
      <c r="DA132" s="70"/>
      <c r="DB132" s="70"/>
      <c r="DC132" s="70"/>
      <c r="DD132" s="70"/>
      <c r="DE132" s="70"/>
      <c r="DF132" s="70"/>
      <c r="DG132" s="70"/>
      <c r="DH132" s="70"/>
      <c r="DI132" s="70"/>
      <c r="DJ132" s="70"/>
      <c r="DK132" s="70"/>
      <c r="DL132" s="70"/>
      <c r="DM132" s="70"/>
      <c r="DN132" s="70"/>
      <c r="DO132" s="70"/>
      <c r="DP132" s="70"/>
      <c r="DQ132" s="70"/>
      <c r="DR132" s="70"/>
      <c r="DS132" s="70"/>
      <c r="DT132" s="70"/>
      <c r="DU132" s="70"/>
      <c r="DV132" s="70"/>
      <c r="DW132" s="70"/>
      <c r="DX132" s="70"/>
      <c r="DY132" s="70"/>
      <c r="DZ132" s="70"/>
      <c r="EA132" s="70"/>
      <c r="EB132" s="70"/>
      <c r="EC132" s="70"/>
      <c r="ED132" s="70"/>
      <c r="EE132" s="70"/>
      <c r="EF132" s="70"/>
      <c r="EG132" s="70"/>
      <c r="EH132" s="70"/>
      <c r="EI132" s="70"/>
      <c r="EJ132" s="70"/>
      <c r="EK132" s="70"/>
      <c r="EL132" s="70"/>
      <c r="EM132" s="70"/>
      <c r="EN132" s="70"/>
      <c r="EO132" s="70"/>
      <c r="EP132" s="70"/>
      <c r="EQ132" s="70"/>
      <c r="ER132" s="70"/>
      <c r="ES132" s="70"/>
      <c r="ET132" s="70"/>
      <c r="EU132" s="70"/>
      <c r="EV132" s="70"/>
      <c r="EW132" s="70"/>
      <c r="EX132" s="70"/>
      <c r="EY132" s="70"/>
      <c r="EZ132" s="70"/>
      <c r="FA132" s="70"/>
      <c r="FB132" s="70"/>
      <c r="FC132" s="70"/>
      <c r="FD132" s="70"/>
      <c r="FE132" s="70"/>
      <c r="FF132" s="70"/>
      <c r="FG132" s="70"/>
      <c r="FH132" s="70"/>
      <c r="FI132" s="70"/>
      <c r="FJ132" s="70"/>
      <c r="FK132" s="70"/>
      <c r="FL132" s="70"/>
      <c r="FM132" s="70"/>
      <c r="FN132" s="70"/>
      <c r="FO132" s="70"/>
      <c r="FP132" s="70"/>
      <c r="FQ132" s="70"/>
      <c r="FR132" s="70"/>
      <c r="FS132" s="70"/>
      <c r="FT132" s="70"/>
      <c r="FU132" s="70"/>
      <c r="FV132" s="70"/>
      <c r="FW132" s="70"/>
      <c r="FX132" s="70"/>
      <c r="FY132" s="70"/>
      <c r="FZ132" s="70"/>
      <c r="GA132" s="70"/>
      <c r="GB132" s="70"/>
      <c r="GC132" s="70"/>
      <c r="GD132" s="70"/>
      <c r="GE132" s="70"/>
      <c r="GF132" s="70"/>
      <c r="GG132" s="70"/>
      <c r="GH132" s="70"/>
      <c r="GI132" s="70"/>
      <c r="GJ132" s="70"/>
    </row>
    <row r="133" spans="1:192" ht="14">
      <c r="A133" s="70"/>
      <c r="B133" s="842" t="s">
        <v>15201</v>
      </c>
      <c r="C133" s="698" t="s">
        <v>15205</v>
      </c>
      <c r="D133" s="843" t="s">
        <v>15206</v>
      </c>
      <c r="E133" s="844" t="s">
        <v>1541</v>
      </c>
      <c r="F133" s="54" t="s">
        <v>15207</v>
      </c>
      <c r="G133" s="845" t="s">
        <v>15208</v>
      </c>
      <c r="H133" s="763"/>
      <c r="I133" s="763"/>
      <c r="J133" s="130">
        <v>120000</v>
      </c>
      <c r="K133" s="846"/>
      <c r="L133" s="846"/>
      <c r="M133" s="847"/>
      <c r="N133" s="701"/>
      <c r="O133" s="81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  <c r="AE133" s="70"/>
      <c r="AF133" s="70"/>
      <c r="AG133" s="70"/>
      <c r="AH133" s="70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70"/>
      <c r="AT133" s="70"/>
      <c r="AU133" s="70"/>
      <c r="AV133" s="70"/>
      <c r="AW133" s="70"/>
      <c r="AX133" s="70"/>
      <c r="AY133" s="70"/>
      <c r="AZ133" s="70"/>
      <c r="BA133" s="70"/>
      <c r="BB133" s="70"/>
      <c r="BC133" s="70"/>
      <c r="BD133" s="70"/>
      <c r="BE133" s="70"/>
      <c r="BF133" s="70"/>
      <c r="BG133" s="70"/>
      <c r="BH133" s="70"/>
      <c r="BI133" s="70"/>
      <c r="BJ133" s="70"/>
      <c r="BK133" s="70"/>
      <c r="BL133" s="70"/>
      <c r="BM133" s="70"/>
      <c r="BN133" s="70"/>
      <c r="BO133" s="70"/>
      <c r="BP133" s="70"/>
      <c r="BQ133" s="70"/>
      <c r="BR133" s="70"/>
      <c r="BS133" s="70"/>
      <c r="BT133" s="70"/>
      <c r="BU133" s="70"/>
      <c r="BV133" s="70"/>
      <c r="BW133" s="70"/>
      <c r="BX133" s="70"/>
      <c r="BY133" s="70"/>
      <c r="BZ133" s="70"/>
      <c r="CA133" s="70"/>
      <c r="CB133" s="70"/>
      <c r="CC133" s="70"/>
      <c r="CD133" s="70"/>
      <c r="CE133" s="70"/>
      <c r="CF133" s="70"/>
      <c r="CG133" s="70"/>
      <c r="CH133" s="70"/>
      <c r="CI133" s="70"/>
      <c r="CJ133" s="70"/>
      <c r="CK133" s="70"/>
      <c r="CL133" s="70"/>
      <c r="CM133" s="70"/>
      <c r="CN133" s="70"/>
      <c r="CO133" s="70"/>
      <c r="CP133" s="70"/>
      <c r="CQ133" s="70"/>
      <c r="CR133" s="70"/>
      <c r="CS133" s="70"/>
      <c r="CT133" s="70"/>
      <c r="CU133" s="70"/>
      <c r="CV133" s="70"/>
      <c r="CW133" s="70"/>
      <c r="CX133" s="70"/>
      <c r="CY133" s="70"/>
      <c r="CZ133" s="70"/>
      <c r="DA133" s="70"/>
      <c r="DB133" s="70"/>
      <c r="DC133" s="70"/>
      <c r="DD133" s="70"/>
      <c r="DE133" s="70"/>
      <c r="DF133" s="70"/>
      <c r="DG133" s="70"/>
      <c r="DH133" s="70"/>
      <c r="DI133" s="70"/>
      <c r="DJ133" s="70"/>
      <c r="DK133" s="70"/>
      <c r="DL133" s="70"/>
      <c r="DM133" s="70"/>
      <c r="DN133" s="70"/>
      <c r="DO133" s="70"/>
      <c r="DP133" s="70"/>
      <c r="DQ133" s="70"/>
      <c r="DR133" s="70"/>
      <c r="DS133" s="70"/>
      <c r="DT133" s="70"/>
      <c r="DU133" s="70"/>
      <c r="DV133" s="70"/>
      <c r="DW133" s="70"/>
      <c r="DX133" s="70"/>
      <c r="DY133" s="70"/>
      <c r="DZ133" s="70"/>
      <c r="EA133" s="70"/>
      <c r="EB133" s="70"/>
      <c r="EC133" s="70"/>
      <c r="ED133" s="70"/>
      <c r="EE133" s="70"/>
      <c r="EF133" s="70"/>
      <c r="EG133" s="70"/>
      <c r="EH133" s="70"/>
      <c r="EI133" s="70"/>
      <c r="EJ133" s="70"/>
      <c r="EK133" s="70"/>
      <c r="EL133" s="70"/>
      <c r="EM133" s="70"/>
      <c r="EN133" s="70"/>
      <c r="EO133" s="70"/>
      <c r="EP133" s="70"/>
      <c r="EQ133" s="70"/>
      <c r="ER133" s="70"/>
      <c r="ES133" s="70"/>
      <c r="ET133" s="70"/>
      <c r="EU133" s="70"/>
      <c r="EV133" s="70"/>
      <c r="EW133" s="70"/>
      <c r="EX133" s="70"/>
      <c r="EY133" s="70"/>
      <c r="EZ133" s="70"/>
      <c r="FA133" s="70"/>
      <c r="FB133" s="70"/>
      <c r="FC133" s="70"/>
      <c r="FD133" s="70"/>
      <c r="FE133" s="70"/>
      <c r="FF133" s="70"/>
      <c r="FG133" s="70"/>
      <c r="FH133" s="70"/>
      <c r="FI133" s="70"/>
      <c r="FJ133" s="70"/>
      <c r="FK133" s="70"/>
      <c r="FL133" s="70"/>
      <c r="FM133" s="70"/>
      <c r="FN133" s="70"/>
      <c r="FO133" s="70"/>
      <c r="FP133" s="70"/>
      <c r="FQ133" s="70"/>
      <c r="FR133" s="70"/>
      <c r="FS133" s="70"/>
      <c r="FT133" s="70"/>
      <c r="FU133" s="70"/>
      <c r="FV133" s="70"/>
      <c r="FW133" s="70"/>
      <c r="FX133" s="70"/>
      <c r="FY133" s="70"/>
      <c r="FZ133" s="70"/>
      <c r="GA133" s="70"/>
      <c r="GB133" s="70"/>
      <c r="GC133" s="70"/>
      <c r="GD133" s="70"/>
      <c r="GE133" s="70"/>
      <c r="GF133" s="70"/>
      <c r="GG133" s="70"/>
      <c r="GH133" s="70"/>
      <c r="GI133" s="70"/>
      <c r="GJ133" s="70"/>
    </row>
    <row r="134" spans="1:192" ht="14">
      <c r="A134" s="70"/>
      <c r="B134" s="842" t="s">
        <v>15209</v>
      </c>
      <c r="C134" s="698" t="s">
        <v>15210</v>
      </c>
      <c r="D134" s="843" t="s">
        <v>15211</v>
      </c>
      <c r="E134" s="844" t="s">
        <v>1541</v>
      </c>
      <c r="F134" s="24" t="s">
        <v>15212</v>
      </c>
      <c r="G134" s="845" t="s">
        <v>15213</v>
      </c>
      <c r="H134" s="763">
        <v>45593</v>
      </c>
      <c r="I134" s="763">
        <v>45808</v>
      </c>
      <c r="J134" s="130">
        <v>360000</v>
      </c>
      <c r="K134" s="846"/>
      <c r="L134" s="846" t="s">
        <v>1132</v>
      </c>
      <c r="M134" s="861" t="s">
        <v>15214</v>
      </c>
      <c r="N134" s="701" t="s">
        <v>15215</v>
      </c>
      <c r="O134" s="81" t="s">
        <v>15216</v>
      </c>
      <c r="P134" s="70">
        <v>18538</v>
      </c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  <c r="AB134" s="70"/>
      <c r="AC134" s="70"/>
      <c r="AD134" s="70"/>
      <c r="AE134" s="70"/>
      <c r="AF134" s="70"/>
      <c r="AG134" s="70"/>
      <c r="AH134" s="70"/>
      <c r="AI134" s="70"/>
      <c r="AJ134" s="70"/>
      <c r="AK134" s="70"/>
      <c r="AL134" s="70"/>
      <c r="AM134" s="70"/>
      <c r="AN134" s="70"/>
      <c r="AO134" s="70"/>
      <c r="AP134" s="70"/>
      <c r="AQ134" s="70"/>
      <c r="AR134" s="70"/>
      <c r="AS134" s="70"/>
      <c r="AT134" s="70"/>
      <c r="AU134" s="70"/>
      <c r="AV134" s="70"/>
      <c r="AW134" s="70"/>
      <c r="AX134" s="70"/>
      <c r="AY134" s="70"/>
      <c r="AZ134" s="70"/>
      <c r="BA134" s="70"/>
      <c r="BB134" s="70"/>
      <c r="BC134" s="70"/>
      <c r="BD134" s="70"/>
      <c r="BE134" s="70"/>
      <c r="BF134" s="70"/>
      <c r="BG134" s="70"/>
      <c r="BH134" s="70"/>
      <c r="BI134" s="70"/>
      <c r="BJ134" s="70"/>
      <c r="BK134" s="70"/>
      <c r="BL134" s="70"/>
      <c r="BM134" s="70"/>
      <c r="BN134" s="70"/>
      <c r="BO134" s="70"/>
      <c r="BP134" s="70"/>
      <c r="BQ134" s="70"/>
      <c r="BR134" s="70"/>
      <c r="BS134" s="70"/>
      <c r="BT134" s="70"/>
      <c r="BU134" s="70"/>
      <c r="BV134" s="70"/>
      <c r="BW134" s="70"/>
      <c r="BX134" s="70"/>
      <c r="BY134" s="70"/>
      <c r="BZ134" s="70"/>
      <c r="CA134" s="70"/>
      <c r="CB134" s="70"/>
      <c r="CC134" s="70"/>
      <c r="CD134" s="70"/>
      <c r="CE134" s="70"/>
      <c r="CF134" s="70"/>
      <c r="CG134" s="70"/>
      <c r="CH134" s="70"/>
      <c r="CI134" s="70"/>
      <c r="CJ134" s="70"/>
      <c r="CK134" s="70"/>
      <c r="CL134" s="70"/>
      <c r="CM134" s="70"/>
      <c r="CN134" s="70"/>
      <c r="CO134" s="70"/>
      <c r="CP134" s="70"/>
      <c r="CQ134" s="70"/>
      <c r="CR134" s="70"/>
      <c r="CS134" s="70"/>
      <c r="CT134" s="70"/>
      <c r="CU134" s="70"/>
      <c r="CV134" s="70"/>
      <c r="CW134" s="70"/>
      <c r="CX134" s="70"/>
      <c r="CY134" s="70"/>
      <c r="CZ134" s="70"/>
      <c r="DA134" s="70"/>
      <c r="DB134" s="70"/>
      <c r="DC134" s="70"/>
      <c r="DD134" s="70"/>
      <c r="DE134" s="70"/>
      <c r="DF134" s="70"/>
      <c r="DG134" s="70"/>
      <c r="DH134" s="70"/>
      <c r="DI134" s="70"/>
      <c r="DJ134" s="70"/>
      <c r="DK134" s="70"/>
      <c r="DL134" s="70"/>
      <c r="DM134" s="70"/>
      <c r="DN134" s="70"/>
      <c r="DO134" s="70"/>
      <c r="DP134" s="70"/>
      <c r="DQ134" s="70"/>
      <c r="DR134" s="70"/>
      <c r="DS134" s="70"/>
      <c r="DT134" s="70"/>
      <c r="DU134" s="70"/>
      <c r="DV134" s="70"/>
      <c r="DW134" s="70"/>
      <c r="DX134" s="70"/>
      <c r="DY134" s="70"/>
      <c r="DZ134" s="70"/>
      <c r="EA134" s="70"/>
      <c r="EB134" s="70"/>
      <c r="EC134" s="70"/>
      <c r="ED134" s="70"/>
      <c r="EE134" s="70"/>
      <c r="EF134" s="70"/>
      <c r="EG134" s="70"/>
      <c r="EH134" s="70"/>
      <c r="EI134" s="70"/>
      <c r="EJ134" s="70"/>
      <c r="EK134" s="70"/>
      <c r="EL134" s="70"/>
      <c r="EM134" s="70"/>
      <c r="EN134" s="70"/>
      <c r="EO134" s="70"/>
      <c r="EP134" s="70"/>
      <c r="EQ134" s="70"/>
      <c r="ER134" s="70"/>
      <c r="ES134" s="70"/>
      <c r="ET134" s="70"/>
      <c r="EU134" s="70"/>
      <c r="EV134" s="70"/>
      <c r="EW134" s="70"/>
      <c r="EX134" s="70"/>
      <c r="EY134" s="70"/>
      <c r="EZ134" s="70"/>
      <c r="FA134" s="70"/>
      <c r="FB134" s="70"/>
      <c r="FC134" s="70"/>
      <c r="FD134" s="70"/>
      <c r="FE134" s="70"/>
      <c r="FF134" s="70"/>
      <c r="FG134" s="70"/>
      <c r="FH134" s="70"/>
      <c r="FI134" s="70"/>
      <c r="FJ134" s="70"/>
      <c r="FK134" s="70"/>
      <c r="FL134" s="70"/>
      <c r="FM134" s="70"/>
      <c r="FN134" s="70"/>
      <c r="FO134" s="70"/>
      <c r="FP134" s="70"/>
      <c r="FQ134" s="70"/>
      <c r="FR134" s="70"/>
      <c r="FS134" s="70"/>
      <c r="FT134" s="70"/>
      <c r="FU134" s="70"/>
      <c r="FV134" s="70"/>
      <c r="FW134" s="70"/>
      <c r="FX134" s="70"/>
      <c r="FY134" s="70"/>
      <c r="FZ134" s="70"/>
      <c r="GA134" s="70"/>
      <c r="GB134" s="70"/>
      <c r="GC134" s="70"/>
      <c r="GD134" s="70"/>
      <c r="GE134" s="70"/>
      <c r="GF134" s="70"/>
      <c r="GG134" s="70"/>
      <c r="GH134" s="70"/>
      <c r="GI134" s="70"/>
      <c r="GJ134" s="70"/>
    </row>
    <row r="135" spans="1:192" ht="14">
      <c r="A135" s="70"/>
      <c r="B135" s="842" t="s">
        <v>850</v>
      </c>
      <c r="C135" s="698" t="s">
        <v>15217</v>
      </c>
      <c r="D135" s="843" t="s">
        <v>15218</v>
      </c>
      <c r="E135" s="844" t="s">
        <v>1541</v>
      </c>
      <c r="F135" s="54" t="s">
        <v>15219</v>
      </c>
      <c r="G135" s="845" t="s">
        <v>15220</v>
      </c>
      <c r="H135" s="763">
        <v>45609</v>
      </c>
      <c r="I135" s="763">
        <v>45850</v>
      </c>
      <c r="J135" s="130">
        <v>128874000</v>
      </c>
      <c r="K135" s="846" t="s">
        <v>15221</v>
      </c>
      <c r="L135" s="846" t="s">
        <v>841</v>
      </c>
      <c r="M135" s="130">
        <v>128874000</v>
      </c>
      <c r="N135" s="701"/>
      <c r="O135" s="794" t="s">
        <v>15222</v>
      </c>
      <c r="P135" s="70" t="s">
        <v>15223</v>
      </c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  <c r="AE135" s="70"/>
      <c r="AF135" s="70"/>
      <c r="AG135" s="70"/>
      <c r="AH135" s="70"/>
      <c r="AI135" s="70"/>
      <c r="AJ135" s="70"/>
      <c r="AK135" s="70"/>
      <c r="AL135" s="70"/>
      <c r="AM135" s="70"/>
      <c r="AN135" s="70"/>
      <c r="AO135" s="70"/>
      <c r="AP135" s="70"/>
      <c r="AQ135" s="70"/>
      <c r="AR135" s="70"/>
      <c r="AS135" s="70"/>
      <c r="AT135" s="70"/>
      <c r="AU135" s="70"/>
      <c r="AV135" s="70"/>
      <c r="AW135" s="70"/>
      <c r="AX135" s="70"/>
      <c r="AY135" s="70"/>
      <c r="AZ135" s="70"/>
      <c r="BA135" s="70"/>
      <c r="BB135" s="70"/>
      <c r="BC135" s="70"/>
      <c r="BD135" s="70"/>
      <c r="BE135" s="70"/>
      <c r="BF135" s="70"/>
      <c r="BG135" s="70"/>
      <c r="BH135" s="70"/>
      <c r="BI135" s="70"/>
      <c r="BJ135" s="70"/>
      <c r="BK135" s="70"/>
      <c r="BL135" s="70"/>
      <c r="BM135" s="70"/>
      <c r="BN135" s="70"/>
      <c r="BO135" s="70"/>
      <c r="BP135" s="70"/>
      <c r="BQ135" s="70"/>
      <c r="BR135" s="70"/>
      <c r="BS135" s="70"/>
      <c r="BT135" s="70"/>
      <c r="BU135" s="70"/>
      <c r="BV135" s="70"/>
      <c r="BW135" s="70"/>
      <c r="BX135" s="70"/>
      <c r="BY135" s="70"/>
      <c r="BZ135" s="70"/>
      <c r="CA135" s="70"/>
      <c r="CB135" s="70"/>
      <c r="CC135" s="70"/>
      <c r="CD135" s="70"/>
      <c r="CE135" s="70"/>
      <c r="CF135" s="70"/>
      <c r="CG135" s="70"/>
      <c r="CH135" s="70"/>
      <c r="CI135" s="70"/>
      <c r="CJ135" s="70"/>
      <c r="CK135" s="70"/>
      <c r="CL135" s="70"/>
      <c r="CM135" s="70"/>
      <c r="CN135" s="70"/>
      <c r="CO135" s="70"/>
      <c r="CP135" s="70"/>
      <c r="CQ135" s="70"/>
      <c r="CR135" s="70"/>
      <c r="CS135" s="70"/>
      <c r="CT135" s="70"/>
      <c r="CU135" s="70"/>
      <c r="CV135" s="70"/>
      <c r="CW135" s="70"/>
      <c r="CX135" s="70"/>
      <c r="CY135" s="70"/>
      <c r="CZ135" s="70"/>
      <c r="DA135" s="70"/>
      <c r="DB135" s="70"/>
      <c r="DC135" s="70"/>
      <c r="DD135" s="70"/>
      <c r="DE135" s="70"/>
      <c r="DF135" s="70"/>
      <c r="DG135" s="70"/>
      <c r="DH135" s="70"/>
      <c r="DI135" s="70"/>
      <c r="DJ135" s="70"/>
      <c r="DK135" s="70"/>
      <c r="DL135" s="70"/>
      <c r="DM135" s="70"/>
      <c r="DN135" s="70"/>
      <c r="DO135" s="70"/>
      <c r="DP135" s="70"/>
      <c r="DQ135" s="70"/>
      <c r="DR135" s="70"/>
      <c r="DS135" s="70"/>
      <c r="DT135" s="70"/>
      <c r="DU135" s="70"/>
      <c r="DV135" s="70"/>
      <c r="DW135" s="70"/>
      <c r="DX135" s="70"/>
      <c r="DY135" s="70"/>
      <c r="DZ135" s="70"/>
      <c r="EA135" s="70"/>
      <c r="EB135" s="70"/>
      <c r="EC135" s="70"/>
      <c r="ED135" s="70"/>
      <c r="EE135" s="70"/>
      <c r="EF135" s="70"/>
      <c r="EG135" s="70"/>
      <c r="EH135" s="70"/>
      <c r="EI135" s="70"/>
      <c r="EJ135" s="70"/>
      <c r="EK135" s="70"/>
      <c r="EL135" s="70"/>
      <c r="EM135" s="70"/>
      <c r="EN135" s="70"/>
      <c r="EO135" s="70"/>
      <c r="EP135" s="70"/>
      <c r="EQ135" s="70"/>
      <c r="ER135" s="70"/>
      <c r="ES135" s="70"/>
      <c r="ET135" s="70"/>
      <c r="EU135" s="70"/>
      <c r="EV135" s="70"/>
      <c r="EW135" s="70"/>
      <c r="EX135" s="70"/>
      <c r="EY135" s="70"/>
      <c r="EZ135" s="70"/>
      <c r="FA135" s="70"/>
      <c r="FB135" s="70"/>
      <c r="FC135" s="70"/>
      <c r="FD135" s="70"/>
      <c r="FE135" s="70"/>
      <c r="FF135" s="70"/>
      <c r="FG135" s="70"/>
      <c r="FH135" s="70"/>
      <c r="FI135" s="70"/>
      <c r="FJ135" s="70"/>
      <c r="FK135" s="70"/>
      <c r="FL135" s="70"/>
      <c r="FM135" s="70"/>
      <c r="FN135" s="70"/>
      <c r="FO135" s="70"/>
      <c r="FP135" s="70"/>
      <c r="FQ135" s="70"/>
      <c r="FR135" s="70"/>
      <c r="FS135" s="70"/>
      <c r="FT135" s="70"/>
      <c r="FU135" s="70"/>
      <c r="FV135" s="70"/>
      <c r="FW135" s="70"/>
      <c r="FX135" s="70"/>
      <c r="FY135" s="70"/>
      <c r="FZ135" s="70"/>
      <c r="GA135" s="70"/>
      <c r="GB135" s="70"/>
      <c r="GC135" s="70"/>
      <c r="GD135" s="70"/>
      <c r="GE135" s="70"/>
      <c r="GF135" s="70"/>
      <c r="GG135" s="70"/>
      <c r="GH135" s="70"/>
      <c r="GI135" s="70"/>
      <c r="GJ135" s="70"/>
    </row>
    <row r="136" spans="1:192" ht="14">
      <c r="A136" s="70"/>
      <c r="B136" s="842" t="s">
        <v>15224</v>
      </c>
      <c r="C136" s="698" t="s">
        <v>15225</v>
      </c>
      <c r="D136" s="843" t="s">
        <v>15226</v>
      </c>
      <c r="E136" s="844" t="s">
        <v>1541</v>
      </c>
      <c r="F136" s="54" t="s">
        <v>15219</v>
      </c>
      <c r="G136" s="845" t="s">
        <v>15220</v>
      </c>
      <c r="H136" s="763">
        <v>45609</v>
      </c>
      <c r="I136" s="763">
        <v>45850</v>
      </c>
      <c r="J136" s="130">
        <v>57000000</v>
      </c>
      <c r="K136" s="846" t="s">
        <v>15221</v>
      </c>
      <c r="L136" s="846" t="s">
        <v>841</v>
      </c>
      <c r="M136" s="130">
        <v>57000000</v>
      </c>
      <c r="N136" s="701"/>
      <c r="O136" s="794" t="str">
        <f t="shared" ref="O136:O137" si="5">O135</f>
        <v>ART241125김행주1303</v>
      </c>
      <c r="P136" s="70" t="s">
        <v>15223</v>
      </c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  <c r="AB136" s="70"/>
      <c r="AC136" s="70"/>
      <c r="AD136" s="70"/>
      <c r="AE136" s="70"/>
      <c r="AF136" s="70"/>
      <c r="AG136" s="70"/>
      <c r="AH136" s="70"/>
      <c r="AI136" s="70"/>
      <c r="AJ136" s="70"/>
      <c r="AK136" s="70"/>
      <c r="AL136" s="70"/>
      <c r="AM136" s="70"/>
      <c r="AN136" s="70"/>
      <c r="AO136" s="70"/>
      <c r="AP136" s="70"/>
      <c r="AQ136" s="70"/>
      <c r="AR136" s="70"/>
      <c r="AS136" s="70"/>
      <c r="AT136" s="70"/>
      <c r="AU136" s="70"/>
      <c r="AV136" s="70"/>
      <c r="AW136" s="70"/>
      <c r="AX136" s="70"/>
      <c r="AY136" s="70"/>
      <c r="AZ136" s="70"/>
      <c r="BA136" s="70"/>
      <c r="BB136" s="70"/>
      <c r="BC136" s="70"/>
      <c r="BD136" s="70"/>
      <c r="BE136" s="70"/>
      <c r="BF136" s="70"/>
      <c r="BG136" s="70"/>
      <c r="BH136" s="70"/>
      <c r="BI136" s="70"/>
      <c r="BJ136" s="70"/>
      <c r="BK136" s="70"/>
      <c r="BL136" s="70"/>
      <c r="BM136" s="70"/>
      <c r="BN136" s="70"/>
      <c r="BO136" s="70"/>
      <c r="BP136" s="70"/>
      <c r="BQ136" s="70"/>
      <c r="BR136" s="70"/>
      <c r="BS136" s="70"/>
      <c r="BT136" s="70"/>
      <c r="BU136" s="70"/>
      <c r="BV136" s="70"/>
      <c r="BW136" s="70"/>
      <c r="BX136" s="70"/>
      <c r="BY136" s="70"/>
      <c r="BZ136" s="70"/>
      <c r="CA136" s="70"/>
      <c r="CB136" s="70"/>
      <c r="CC136" s="70"/>
      <c r="CD136" s="70"/>
      <c r="CE136" s="70"/>
      <c r="CF136" s="70"/>
      <c r="CG136" s="70"/>
      <c r="CH136" s="70"/>
      <c r="CI136" s="70"/>
      <c r="CJ136" s="70"/>
      <c r="CK136" s="70"/>
      <c r="CL136" s="70"/>
      <c r="CM136" s="70"/>
      <c r="CN136" s="70"/>
      <c r="CO136" s="70"/>
      <c r="CP136" s="70"/>
      <c r="CQ136" s="70"/>
      <c r="CR136" s="70"/>
      <c r="CS136" s="70"/>
      <c r="CT136" s="70"/>
      <c r="CU136" s="70"/>
      <c r="CV136" s="70"/>
      <c r="CW136" s="70"/>
      <c r="CX136" s="70"/>
      <c r="CY136" s="70"/>
      <c r="CZ136" s="70"/>
      <c r="DA136" s="70"/>
      <c r="DB136" s="70"/>
      <c r="DC136" s="70"/>
      <c r="DD136" s="70"/>
      <c r="DE136" s="70"/>
      <c r="DF136" s="70"/>
      <c r="DG136" s="70"/>
      <c r="DH136" s="70"/>
      <c r="DI136" s="70"/>
      <c r="DJ136" s="70"/>
      <c r="DK136" s="70"/>
      <c r="DL136" s="70"/>
      <c r="DM136" s="70"/>
      <c r="DN136" s="70"/>
      <c r="DO136" s="70"/>
      <c r="DP136" s="70"/>
      <c r="DQ136" s="70"/>
      <c r="DR136" s="70"/>
      <c r="DS136" s="70"/>
      <c r="DT136" s="70"/>
      <c r="DU136" s="70"/>
      <c r="DV136" s="70"/>
      <c r="DW136" s="70"/>
      <c r="DX136" s="70"/>
      <c r="DY136" s="70"/>
      <c r="DZ136" s="70"/>
      <c r="EA136" s="70"/>
      <c r="EB136" s="70"/>
      <c r="EC136" s="70"/>
      <c r="ED136" s="70"/>
      <c r="EE136" s="70"/>
      <c r="EF136" s="70"/>
      <c r="EG136" s="70"/>
      <c r="EH136" s="70"/>
      <c r="EI136" s="70"/>
      <c r="EJ136" s="70"/>
      <c r="EK136" s="70"/>
      <c r="EL136" s="70"/>
      <c r="EM136" s="70"/>
      <c r="EN136" s="70"/>
      <c r="EO136" s="70"/>
      <c r="EP136" s="70"/>
      <c r="EQ136" s="70"/>
      <c r="ER136" s="70"/>
      <c r="ES136" s="70"/>
      <c r="ET136" s="70"/>
      <c r="EU136" s="70"/>
      <c r="EV136" s="70"/>
      <c r="EW136" s="70"/>
      <c r="EX136" s="70"/>
      <c r="EY136" s="70"/>
      <c r="EZ136" s="70"/>
      <c r="FA136" s="70"/>
      <c r="FB136" s="70"/>
      <c r="FC136" s="70"/>
      <c r="FD136" s="70"/>
      <c r="FE136" s="70"/>
      <c r="FF136" s="70"/>
      <c r="FG136" s="70"/>
      <c r="FH136" s="70"/>
      <c r="FI136" s="70"/>
      <c r="FJ136" s="70"/>
      <c r="FK136" s="70"/>
      <c r="FL136" s="70"/>
      <c r="FM136" s="70"/>
      <c r="FN136" s="70"/>
      <c r="FO136" s="70"/>
      <c r="FP136" s="70"/>
      <c r="FQ136" s="70"/>
      <c r="FR136" s="70"/>
      <c r="FS136" s="70"/>
      <c r="FT136" s="70"/>
      <c r="FU136" s="70"/>
      <c r="FV136" s="70"/>
      <c r="FW136" s="70"/>
      <c r="FX136" s="70"/>
      <c r="FY136" s="70"/>
      <c r="FZ136" s="70"/>
      <c r="GA136" s="70"/>
      <c r="GB136" s="70"/>
      <c r="GC136" s="70"/>
      <c r="GD136" s="70"/>
      <c r="GE136" s="70"/>
      <c r="GF136" s="70"/>
      <c r="GG136" s="70"/>
      <c r="GH136" s="70"/>
      <c r="GI136" s="70"/>
      <c r="GJ136" s="70"/>
    </row>
    <row r="137" spans="1:192" ht="14">
      <c r="A137" s="70"/>
      <c r="B137" s="842" t="s">
        <v>15227</v>
      </c>
      <c r="C137" s="862" t="s">
        <v>15228</v>
      </c>
      <c r="D137" s="863" t="s">
        <v>15229</v>
      </c>
      <c r="E137" s="864" t="s">
        <v>1541</v>
      </c>
      <c r="F137" s="842" t="s">
        <v>15219</v>
      </c>
      <c r="G137" s="865" t="s">
        <v>15220</v>
      </c>
      <c r="H137" s="866">
        <v>45627</v>
      </c>
      <c r="I137" s="866">
        <v>45747</v>
      </c>
      <c r="J137" s="867">
        <v>8400000</v>
      </c>
      <c r="K137" s="868" t="s">
        <v>15221</v>
      </c>
      <c r="L137" s="868" t="s">
        <v>841</v>
      </c>
      <c r="M137" s="867"/>
      <c r="N137" s="835"/>
      <c r="O137" s="249" t="str">
        <f t="shared" si="5"/>
        <v>ART241125김행주1303</v>
      </c>
      <c r="P137" s="70" t="s">
        <v>15223</v>
      </c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  <c r="AB137" s="70"/>
      <c r="AC137" s="70"/>
      <c r="AD137" s="70"/>
      <c r="AE137" s="70"/>
      <c r="AF137" s="70"/>
      <c r="AG137" s="70"/>
      <c r="AH137" s="70"/>
      <c r="AI137" s="70"/>
      <c r="AJ137" s="70"/>
      <c r="AK137" s="70"/>
      <c r="AL137" s="70"/>
      <c r="AM137" s="70"/>
      <c r="AN137" s="70"/>
      <c r="AO137" s="70"/>
      <c r="AP137" s="70"/>
      <c r="AQ137" s="70"/>
      <c r="AR137" s="70"/>
      <c r="AS137" s="70"/>
      <c r="AT137" s="70"/>
      <c r="AU137" s="70"/>
      <c r="AV137" s="70"/>
      <c r="AW137" s="70"/>
      <c r="AX137" s="70"/>
      <c r="AY137" s="70"/>
      <c r="AZ137" s="70"/>
      <c r="BA137" s="70"/>
      <c r="BB137" s="70"/>
      <c r="BC137" s="70"/>
      <c r="BD137" s="70"/>
      <c r="BE137" s="70"/>
      <c r="BF137" s="70"/>
      <c r="BG137" s="70"/>
      <c r="BH137" s="70"/>
      <c r="BI137" s="70"/>
      <c r="BJ137" s="70"/>
      <c r="BK137" s="70"/>
      <c r="BL137" s="70"/>
      <c r="BM137" s="70"/>
      <c r="BN137" s="70"/>
      <c r="BO137" s="70"/>
      <c r="BP137" s="70"/>
      <c r="BQ137" s="70"/>
      <c r="BR137" s="70"/>
      <c r="BS137" s="70"/>
      <c r="BT137" s="70"/>
      <c r="BU137" s="70"/>
      <c r="BV137" s="70"/>
      <c r="BW137" s="70"/>
      <c r="BX137" s="70"/>
      <c r="BY137" s="70"/>
      <c r="BZ137" s="70"/>
      <c r="CA137" s="70"/>
      <c r="CB137" s="70"/>
      <c r="CC137" s="70"/>
      <c r="CD137" s="70"/>
      <c r="CE137" s="70"/>
      <c r="CF137" s="70"/>
      <c r="CG137" s="70"/>
      <c r="CH137" s="70"/>
      <c r="CI137" s="70"/>
      <c r="CJ137" s="70"/>
      <c r="CK137" s="70"/>
      <c r="CL137" s="70"/>
      <c r="CM137" s="70"/>
      <c r="CN137" s="70"/>
      <c r="CO137" s="70"/>
      <c r="CP137" s="70"/>
      <c r="CQ137" s="70"/>
      <c r="CR137" s="70"/>
      <c r="CS137" s="70"/>
      <c r="CT137" s="70"/>
      <c r="CU137" s="70"/>
      <c r="CV137" s="70"/>
      <c r="CW137" s="70"/>
      <c r="CX137" s="70"/>
      <c r="CY137" s="70"/>
      <c r="CZ137" s="70"/>
      <c r="DA137" s="70"/>
      <c r="DB137" s="70"/>
      <c r="DC137" s="70"/>
      <c r="DD137" s="70"/>
      <c r="DE137" s="70"/>
      <c r="DF137" s="70"/>
      <c r="DG137" s="70"/>
      <c r="DH137" s="70"/>
      <c r="DI137" s="70"/>
      <c r="DJ137" s="70"/>
      <c r="DK137" s="70"/>
      <c r="DL137" s="70"/>
      <c r="DM137" s="70"/>
      <c r="DN137" s="70"/>
      <c r="DO137" s="70"/>
      <c r="DP137" s="70"/>
      <c r="DQ137" s="70"/>
      <c r="DR137" s="70"/>
      <c r="DS137" s="70"/>
      <c r="DT137" s="70"/>
      <c r="DU137" s="70"/>
      <c r="DV137" s="70"/>
      <c r="DW137" s="70"/>
      <c r="DX137" s="70"/>
      <c r="DY137" s="70"/>
      <c r="DZ137" s="70"/>
      <c r="EA137" s="70"/>
      <c r="EB137" s="70"/>
      <c r="EC137" s="70"/>
      <c r="ED137" s="70"/>
      <c r="EE137" s="70"/>
      <c r="EF137" s="70"/>
      <c r="EG137" s="70"/>
      <c r="EH137" s="70"/>
      <c r="EI137" s="70"/>
      <c r="EJ137" s="70"/>
      <c r="EK137" s="70"/>
      <c r="EL137" s="70"/>
      <c r="EM137" s="70"/>
      <c r="EN137" s="70"/>
      <c r="EO137" s="70"/>
      <c r="EP137" s="70"/>
      <c r="EQ137" s="70"/>
      <c r="ER137" s="70"/>
      <c r="ES137" s="70"/>
      <c r="ET137" s="70"/>
      <c r="EU137" s="70"/>
      <c r="EV137" s="70"/>
      <c r="EW137" s="70"/>
      <c r="EX137" s="70"/>
      <c r="EY137" s="70"/>
      <c r="EZ137" s="70"/>
      <c r="FA137" s="70"/>
      <c r="FB137" s="70"/>
      <c r="FC137" s="70"/>
      <c r="FD137" s="70"/>
      <c r="FE137" s="70"/>
      <c r="FF137" s="70"/>
      <c r="FG137" s="70"/>
      <c r="FH137" s="70"/>
      <c r="FI137" s="70"/>
      <c r="FJ137" s="70"/>
      <c r="FK137" s="70"/>
      <c r="FL137" s="70"/>
      <c r="FM137" s="70"/>
      <c r="FN137" s="70"/>
      <c r="FO137" s="70"/>
      <c r="FP137" s="70"/>
      <c r="FQ137" s="70"/>
      <c r="FR137" s="70"/>
      <c r="FS137" s="70"/>
      <c r="FT137" s="70"/>
      <c r="FU137" s="70"/>
      <c r="FV137" s="70"/>
      <c r="FW137" s="70"/>
      <c r="FX137" s="70"/>
      <c r="FY137" s="70"/>
      <c r="FZ137" s="70"/>
      <c r="GA137" s="70"/>
      <c r="GB137" s="70"/>
      <c r="GC137" s="70"/>
      <c r="GD137" s="70"/>
      <c r="GE137" s="70"/>
      <c r="GF137" s="70"/>
      <c r="GG137" s="70"/>
      <c r="GH137" s="70"/>
      <c r="GI137" s="70"/>
      <c r="GJ137" s="70"/>
    </row>
    <row r="138" spans="1:192" ht="14">
      <c r="A138" s="70"/>
      <c r="B138" s="842" t="s">
        <v>15230</v>
      </c>
      <c r="C138" s="698" t="s">
        <v>15231</v>
      </c>
      <c r="D138" s="843" t="s">
        <v>15232</v>
      </c>
      <c r="E138" s="844" t="s">
        <v>1541</v>
      </c>
      <c r="F138" s="54" t="s">
        <v>15233</v>
      </c>
      <c r="G138" s="845" t="s">
        <v>15234</v>
      </c>
      <c r="H138" s="763">
        <v>45383</v>
      </c>
      <c r="I138" s="763">
        <v>45747</v>
      </c>
      <c r="J138" s="130">
        <v>117500000</v>
      </c>
      <c r="K138" s="846" t="s">
        <v>15221</v>
      </c>
      <c r="L138" s="846" t="s">
        <v>846</v>
      </c>
      <c r="M138" s="130">
        <v>117500000</v>
      </c>
      <c r="N138" s="701"/>
      <c r="O138" s="794" t="s">
        <v>15235</v>
      </c>
      <c r="P138" s="70" t="s">
        <v>15223</v>
      </c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  <c r="AB138" s="70"/>
      <c r="AC138" s="70"/>
      <c r="AD138" s="70"/>
      <c r="AE138" s="70"/>
      <c r="AF138" s="70"/>
      <c r="AG138" s="70"/>
      <c r="AH138" s="70"/>
      <c r="AI138" s="70"/>
      <c r="AJ138" s="70"/>
      <c r="AK138" s="70"/>
      <c r="AL138" s="70"/>
      <c r="AM138" s="70"/>
      <c r="AN138" s="70"/>
      <c r="AO138" s="70"/>
      <c r="AP138" s="70"/>
      <c r="AQ138" s="70"/>
      <c r="AR138" s="70"/>
      <c r="AS138" s="70"/>
      <c r="AT138" s="70"/>
      <c r="AU138" s="70"/>
      <c r="AV138" s="70"/>
      <c r="AW138" s="70"/>
      <c r="AX138" s="70"/>
      <c r="AY138" s="70"/>
      <c r="AZ138" s="70"/>
      <c r="BA138" s="70"/>
      <c r="BB138" s="70"/>
      <c r="BC138" s="70"/>
      <c r="BD138" s="70"/>
      <c r="BE138" s="70"/>
      <c r="BF138" s="70"/>
      <c r="BG138" s="70"/>
      <c r="BH138" s="70"/>
      <c r="BI138" s="70"/>
      <c r="BJ138" s="70"/>
      <c r="BK138" s="70"/>
      <c r="BL138" s="70"/>
      <c r="BM138" s="70"/>
      <c r="BN138" s="70"/>
      <c r="BO138" s="70"/>
      <c r="BP138" s="70"/>
      <c r="BQ138" s="70"/>
      <c r="BR138" s="70"/>
      <c r="BS138" s="70"/>
      <c r="BT138" s="70"/>
      <c r="BU138" s="70"/>
      <c r="BV138" s="70"/>
      <c r="BW138" s="70"/>
      <c r="BX138" s="70"/>
      <c r="BY138" s="70"/>
      <c r="BZ138" s="70"/>
      <c r="CA138" s="70"/>
      <c r="CB138" s="70"/>
      <c r="CC138" s="70"/>
      <c r="CD138" s="70"/>
      <c r="CE138" s="70"/>
      <c r="CF138" s="70"/>
      <c r="CG138" s="70"/>
      <c r="CH138" s="70"/>
      <c r="CI138" s="70"/>
      <c r="CJ138" s="70"/>
      <c r="CK138" s="70"/>
      <c r="CL138" s="70"/>
      <c r="CM138" s="70"/>
      <c r="CN138" s="70"/>
      <c r="CO138" s="70"/>
      <c r="CP138" s="70"/>
      <c r="CQ138" s="70"/>
      <c r="CR138" s="70"/>
      <c r="CS138" s="70"/>
      <c r="CT138" s="70"/>
      <c r="CU138" s="70"/>
      <c r="CV138" s="70"/>
      <c r="CW138" s="70"/>
      <c r="CX138" s="70"/>
      <c r="CY138" s="70"/>
      <c r="CZ138" s="70"/>
      <c r="DA138" s="70"/>
      <c r="DB138" s="70"/>
      <c r="DC138" s="70"/>
      <c r="DD138" s="70"/>
      <c r="DE138" s="70"/>
      <c r="DF138" s="70"/>
      <c r="DG138" s="70"/>
      <c r="DH138" s="70"/>
      <c r="DI138" s="70"/>
      <c r="DJ138" s="70"/>
      <c r="DK138" s="70"/>
      <c r="DL138" s="70"/>
      <c r="DM138" s="70"/>
      <c r="DN138" s="70"/>
      <c r="DO138" s="70"/>
      <c r="DP138" s="70"/>
      <c r="DQ138" s="70"/>
      <c r="DR138" s="70"/>
      <c r="DS138" s="70"/>
      <c r="DT138" s="70"/>
      <c r="DU138" s="70"/>
      <c r="DV138" s="70"/>
      <c r="DW138" s="70"/>
      <c r="DX138" s="70"/>
      <c r="DY138" s="70"/>
      <c r="DZ138" s="70"/>
      <c r="EA138" s="70"/>
      <c r="EB138" s="70"/>
      <c r="EC138" s="70"/>
      <c r="ED138" s="70"/>
      <c r="EE138" s="70"/>
      <c r="EF138" s="70"/>
      <c r="EG138" s="70"/>
      <c r="EH138" s="70"/>
      <c r="EI138" s="70"/>
      <c r="EJ138" s="70"/>
      <c r="EK138" s="70"/>
      <c r="EL138" s="70"/>
      <c r="EM138" s="70"/>
      <c r="EN138" s="70"/>
      <c r="EO138" s="70"/>
      <c r="EP138" s="70"/>
      <c r="EQ138" s="70"/>
      <c r="ER138" s="70"/>
      <c r="ES138" s="70"/>
      <c r="ET138" s="70"/>
      <c r="EU138" s="70"/>
      <c r="EV138" s="70"/>
      <c r="EW138" s="70"/>
      <c r="EX138" s="70"/>
      <c r="EY138" s="70"/>
      <c r="EZ138" s="70"/>
      <c r="FA138" s="70"/>
      <c r="FB138" s="70"/>
      <c r="FC138" s="70"/>
      <c r="FD138" s="70"/>
      <c r="FE138" s="70"/>
      <c r="FF138" s="70"/>
      <c r="FG138" s="70"/>
      <c r="FH138" s="70"/>
      <c r="FI138" s="70"/>
      <c r="FJ138" s="70"/>
      <c r="FK138" s="70"/>
      <c r="FL138" s="70"/>
      <c r="FM138" s="70"/>
      <c r="FN138" s="70"/>
      <c r="FO138" s="70"/>
      <c r="FP138" s="70"/>
      <c r="FQ138" s="70"/>
      <c r="FR138" s="70"/>
      <c r="FS138" s="70"/>
      <c r="FT138" s="70"/>
      <c r="FU138" s="70"/>
      <c r="FV138" s="70"/>
      <c r="FW138" s="70"/>
      <c r="FX138" s="70"/>
      <c r="FY138" s="70"/>
      <c r="FZ138" s="70"/>
      <c r="GA138" s="70"/>
      <c r="GB138" s="70"/>
      <c r="GC138" s="70"/>
      <c r="GD138" s="70"/>
      <c r="GE138" s="70"/>
      <c r="GF138" s="70"/>
      <c r="GG138" s="70"/>
      <c r="GH138" s="70"/>
      <c r="GI138" s="70"/>
      <c r="GJ138" s="70"/>
    </row>
    <row r="139" spans="1:192" ht="14">
      <c r="A139" s="70"/>
      <c r="B139" s="842" t="s">
        <v>3801</v>
      </c>
      <c r="C139" s="698" t="s">
        <v>15236</v>
      </c>
      <c r="D139" s="843" t="s">
        <v>15237</v>
      </c>
      <c r="E139" s="844" t="s">
        <v>1541</v>
      </c>
      <c r="F139" s="54" t="s">
        <v>15238</v>
      </c>
      <c r="G139" s="845" t="s">
        <v>15239</v>
      </c>
      <c r="H139" s="763"/>
      <c r="I139" s="763"/>
      <c r="J139" s="130">
        <v>7050000</v>
      </c>
      <c r="K139" s="846"/>
      <c r="L139" s="846" t="s">
        <v>10622</v>
      </c>
      <c r="M139" s="130">
        <v>7050000</v>
      </c>
      <c r="N139" s="701"/>
      <c r="O139" s="794" t="s">
        <v>15240</v>
      </c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  <c r="AB139" s="70"/>
      <c r="AC139" s="70"/>
      <c r="AD139" s="70"/>
      <c r="AE139" s="70"/>
      <c r="AF139" s="70"/>
      <c r="AG139" s="70"/>
      <c r="AH139" s="70"/>
      <c r="AI139" s="70"/>
      <c r="AJ139" s="70"/>
      <c r="AK139" s="70"/>
      <c r="AL139" s="70"/>
      <c r="AM139" s="70"/>
      <c r="AN139" s="70"/>
      <c r="AO139" s="70"/>
      <c r="AP139" s="70"/>
      <c r="AQ139" s="70"/>
      <c r="AR139" s="70"/>
      <c r="AS139" s="70"/>
      <c r="AT139" s="70"/>
      <c r="AU139" s="70"/>
      <c r="AV139" s="70"/>
      <c r="AW139" s="70"/>
      <c r="AX139" s="70"/>
      <c r="AY139" s="70"/>
      <c r="AZ139" s="70"/>
      <c r="BA139" s="70"/>
      <c r="BB139" s="70"/>
      <c r="BC139" s="70"/>
      <c r="BD139" s="70"/>
      <c r="BE139" s="70"/>
      <c r="BF139" s="70"/>
      <c r="BG139" s="70"/>
      <c r="BH139" s="70"/>
      <c r="BI139" s="70"/>
      <c r="BJ139" s="70"/>
      <c r="BK139" s="70"/>
      <c r="BL139" s="70"/>
      <c r="BM139" s="70"/>
      <c r="BN139" s="70"/>
      <c r="BO139" s="70"/>
      <c r="BP139" s="70"/>
      <c r="BQ139" s="70"/>
      <c r="BR139" s="70"/>
      <c r="BS139" s="70"/>
      <c r="BT139" s="70"/>
      <c r="BU139" s="70"/>
      <c r="BV139" s="70"/>
      <c r="BW139" s="70"/>
      <c r="BX139" s="70"/>
      <c r="BY139" s="70"/>
      <c r="BZ139" s="70"/>
      <c r="CA139" s="70"/>
      <c r="CB139" s="70"/>
      <c r="CC139" s="70"/>
      <c r="CD139" s="70"/>
      <c r="CE139" s="70"/>
      <c r="CF139" s="70"/>
      <c r="CG139" s="70"/>
      <c r="CH139" s="70"/>
      <c r="CI139" s="70"/>
      <c r="CJ139" s="70"/>
      <c r="CK139" s="70"/>
      <c r="CL139" s="70"/>
      <c r="CM139" s="70"/>
      <c r="CN139" s="70"/>
      <c r="CO139" s="70"/>
      <c r="CP139" s="70"/>
      <c r="CQ139" s="70"/>
      <c r="CR139" s="70"/>
      <c r="CS139" s="70"/>
      <c r="CT139" s="70"/>
      <c r="CU139" s="70"/>
      <c r="CV139" s="70"/>
      <c r="CW139" s="70"/>
      <c r="CX139" s="70"/>
      <c r="CY139" s="70"/>
      <c r="CZ139" s="70"/>
      <c r="DA139" s="70"/>
      <c r="DB139" s="70"/>
      <c r="DC139" s="70"/>
      <c r="DD139" s="70"/>
      <c r="DE139" s="70"/>
      <c r="DF139" s="70"/>
      <c r="DG139" s="70"/>
      <c r="DH139" s="70"/>
      <c r="DI139" s="70"/>
      <c r="DJ139" s="70"/>
      <c r="DK139" s="70"/>
      <c r="DL139" s="70"/>
      <c r="DM139" s="70"/>
      <c r="DN139" s="70"/>
      <c r="DO139" s="70"/>
      <c r="DP139" s="70"/>
      <c r="DQ139" s="70"/>
      <c r="DR139" s="70"/>
      <c r="DS139" s="70"/>
      <c r="DT139" s="70"/>
      <c r="DU139" s="70"/>
      <c r="DV139" s="70"/>
      <c r="DW139" s="70"/>
      <c r="DX139" s="70"/>
      <c r="DY139" s="70"/>
      <c r="DZ139" s="70"/>
      <c r="EA139" s="70"/>
      <c r="EB139" s="70"/>
      <c r="EC139" s="70"/>
      <c r="ED139" s="70"/>
      <c r="EE139" s="70"/>
      <c r="EF139" s="70"/>
      <c r="EG139" s="70"/>
      <c r="EH139" s="70"/>
      <c r="EI139" s="70"/>
      <c r="EJ139" s="70"/>
      <c r="EK139" s="70"/>
      <c r="EL139" s="70"/>
      <c r="EM139" s="70"/>
      <c r="EN139" s="70"/>
      <c r="EO139" s="70"/>
      <c r="EP139" s="70"/>
      <c r="EQ139" s="70"/>
      <c r="ER139" s="70"/>
      <c r="ES139" s="70"/>
      <c r="ET139" s="70"/>
      <c r="EU139" s="70"/>
      <c r="EV139" s="70"/>
      <c r="EW139" s="70"/>
      <c r="EX139" s="70"/>
      <c r="EY139" s="70"/>
      <c r="EZ139" s="70"/>
      <c r="FA139" s="70"/>
      <c r="FB139" s="70"/>
      <c r="FC139" s="70"/>
      <c r="FD139" s="70"/>
      <c r="FE139" s="70"/>
      <c r="FF139" s="70"/>
      <c r="FG139" s="70"/>
      <c r="FH139" s="70"/>
      <c r="FI139" s="70"/>
      <c r="FJ139" s="70"/>
      <c r="FK139" s="70"/>
      <c r="FL139" s="70"/>
      <c r="FM139" s="70"/>
      <c r="FN139" s="70"/>
      <c r="FO139" s="70"/>
      <c r="FP139" s="70"/>
      <c r="FQ139" s="70"/>
      <c r="FR139" s="70"/>
      <c r="FS139" s="70"/>
      <c r="FT139" s="70"/>
      <c r="FU139" s="70"/>
      <c r="FV139" s="70"/>
      <c r="FW139" s="70"/>
      <c r="FX139" s="70"/>
      <c r="FY139" s="70"/>
      <c r="FZ139" s="70"/>
      <c r="GA139" s="70"/>
      <c r="GB139" s="70"/>
      <c r="GC139" s="70"/>
      <c r="GD139" s="70"/>
      <c r="GE139" s="70"/>
      <c r="GF139" s="70"/>
      <c r="GG139" s="70"/>
      <c r="GH139" s="70"/>
      <c r="GI139" s="70"/>
      <c r="GJ139" s="70"/>
    </row>
    <row r="140" spans="1:192" ht="14">
      <c r="A140" s="70"/>
      <c r="B140" s="842" t="s">
        <v>15201</v>
      </c>
      <c r="C140" s="698" t="s">
        <v>15241</v>
      </c>
      <c r="D140" s="843" t="s">
        <v>15242</v>
      </c>
      <c r="E140" s="844" t="s">
        <v>1541</v>
      </c>
      <c r="F140" s="54" t="s">
        <v>15243</v>
      </c>
      <c r="G140" s="845" t="s">
        <v>15244</v>
      </c>
      <c r="H140" s="763"/>
      <c r="I140" s="763"/>
      <c r="J140" s="130">
        <v>520000</v>
      </c>
      <c r="K140" s="846"/>
      <c r="L140" s="846"/>
      <c r="M140" s="130"/>
      <c r="N140" s="701"/>
      <c r="O140" s="794"/>
      <c r="P140" s="70">
        <v>18467</v>
      </c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  <c r="AB140" s="70"/>
      <c r="AC140" s="70"/>
      <c r="AD140" s="70"/>
      <c r="AE140" s="70"/>
      <c r="AF140" s="70"/>
      <c r="AG140" s="70"/>
      <c r="AH140" s="70"/>
      <c r="AI140" s="70"/>
      <c r="AJ140" s="70"/>
      <c r="AK140" s="70"/>
      <c r="AL140" s="70"/>
      <c r="AM140" s="70"/>
      <c r="AN140" s="70"/>
      <c r="AO140" s="70"/>
      <c r="AP140" s="70"/>
      <c r="AQ140" s="70"/>
      <c r="AR140" s="70"/>
      <c r="AS140" s="70"/>
      <c r="AT140" s="70"/>
      <c r="AU140" s="70"/>
      <c r="AV140" s="70"/>
      <c r="AW140" s="70"/>
      <c r="AX140" s="70"/>
      <c r="AY140" s="70"/>
      <c r="AZ140" s="70"/>
      <c r="BA140" s="70"/>
      <c r="BB140" s="70"/>
      <c r="BC140" s="70"/>
      <c r="BD140" s="70"/>
      <c r="BE140" s="70"/>
      <c r="BF140" s="70"/>
      <c r="BG140" s="70"/>
      <c r="BH140" s="70"/>
      <c r="BI140" s="70"/>
      <c r="BJ140" s="70"/>
      <c r="BK140" s="70"/>
      <c r="BL140" s="70"/>
      <c r="BM140" s="70"/>
      <c r="BN140" s="70"/>
      <c r="BO140" s="70"/>
      <c r="BP140" s="70"/>
      <c r="BQ140" s="70"/>
      <c r="BR140" s="70"/>
      <c r="BS140" s="70"/>
      <c r="BT140" s="70"/>
      <c r="BU140" s="70"/>
      <c r="BV140" s="70"/>
      <c r="BW140" s="70"/>
      <c r="BX140" s="70"/>
      <c r="BY140" s="70"/>
      <c r="BZ140" s="70"/>
      <c r="CA140" s="70"/>
      <c r="CB140" s="70"/>
      <c r="CC140" s="70"/>
      <c r="CD140" s="70"/>
      <c r="CE140" s="70"/>
      <c r="CF140" s="70"/>
      <c r="CG140" s="70"/>
      <c r="CH140" s="70"/>
      <c r="CI140" s="70"/>
      <c r="CJ140" s="70"/>
      <c r="CK140" s="70"/>
      <c r="CL140" s="70"/>
      <c r="CM140" s="70"/>
      <c r="CN140" s="70"/>
      <c r="CO140" s="70"/>
      <c r="CP140" s="70"/>
      <c r="CQ140" s="70"/>
      <c r="CR140" s="70"/>
      <c r="CS140" s="70"/>
      <c r="CT140" s="70"/>
      <c r="CU140" s="70"/>
      <c r="CV140" s="70"/>
      <c r="CW140" s="70"/>
      <c r="CX140" s="70"/>
      <c r="CY140" s="70"/>
      <c r="CZ140" s="70"/>
      <c r="DA140" s="70"/>
      <c r="DB140" s="70"/>
      <c r="DC140" s="70"/>
      <c r="DD140" s="70"/>
      <c r="DE140" s="70"/>
      <c r="DF140" s="70"/>
      <c r="DG140" s="70"/>
      <c r="DH140" s="70"/>
      <c r="DI140" s="70"/>
      <c r="DJ140" s="70"/>
      <c r="DK140" s="70"/>
      <c r="DL140" s="70"/>
      <c r="DM140" s="70"/>
      <c r="DN140" s="70"/>
      <c r="DO140" s="70"/>
      <c r="DP140" s="70"/>
      <c r="DQ140" s="70"/>
      <c r="DR140" s="70"/>
      <c r="DS140" s="70"/>
      <c r="DT140" s="70"/>
      <c r="DU140" s="70"/>
      <c r="DV140" s="70"/>
      <c r="DW140" s="70"/>
      <c r="DX140" s="70"/>
      <c r="DY140" s="70"/>
      <c r="DZ140" s="70"/>
      <c r="EA140" s="70"/>
      <c r="EB140" s="70"/>
      <c r="EC140" s="70"/>
      <c r="ED140" s="70"/>
      <c r="EE140" s="70"/>
      <c r="EF140" s="70"/>
      <c r="EG140" s="70"/>
      <c r="EH140" s="70"/>
      <c r="EI140" s="70"/>
      <c r="EJ140" s="70"/>
      <c r="EK140" s="70"/>
      <c r="EL140" s="70"/>
      <c r="EM140" s="70"/>
      <c r="EN140" s="70"/>
      <c r="EO140" s="70"/>
      <c r="EP140" s="70"/>
      <c r="EQ140" s="70"/>
      <c r="ER140" s="70"/>
      <c r="ES140" s="70"/>
      <c r="ET140" s="70"/>
      <c r="EU140" s="70"/>
      <c r="EV140" s="70"/>
      <c r="EW140" s="70"/>
      <c r="EX140" s="70"/>
      <c r="EY140" s="70"/>
      <c r="EZ140" s="70"/>
      <c r="FA140" s="70"/>
      <c r="FB140" s="70"/>
      <c r="FC140" s="70"/>
      <c r="FD140" s="70"/>
      <c r="FE140" s="70"/>
      <c r="FF140" s="70"/>
      <c r="FG140" s="70"/>
      <c r="FH140" s="70"/>
      <c r="FI140" s="70"/>
      <c r="FJ140" s="70"/>
      <c r="FK140" s="70"/>
      <c r="FL140" s="70"/>
      <c r="FM140" s="70"/>
      <c r="FN140" s="70"/>
      <c r="FO140" s="70"/>
      <c r="FP140" s="70"/>
      <c r="FQ140" s="70"/>
      <c r="FR140" s="70"/>
      <c r="FS140" s="70"/>
      <c r="FT140" s="70"/>
      <c r="FU140" s="70"/>
      <c r="FV140" s="70"/>
      <c r="FW140" s="70"/>
      <c r="FX140" s="70"/>
      <c r="FY140" s="70"/>
      <c r="FZ140" s="70"/>
      <c r="GA140" s="70"/>
      <c r="GB140" s="70"/>
      <c r="GC140" s="70"/>
      <c r="GD140" s="70"/>
      <c r="GE140" s="70"/>
      <c r="GF140" s="70"/>
      <c r="GG140" s="70"/>
      <c r="GH140" s="70"/>
      <c r="GI140" s="70"/>
      <c r="GJ140" s="70"/>
    </row>
    <row r="141" spans="1:192" ht="14">
      <c r="A141" s="70"/>
      <c r="B141" s="842" t="s">
        <v>15245</v>
      </c>
      <c r="C141" s="698" t="s">
        <v>15246</v>
      </c>
      <c r="D141" s="843" t="s">
        <v>15247</v>
      </c>
      <c r="E141" s="844" t="s">
        <v>1541</v>
      </c>
      <c r="F141" s="54" t="s">
        <v>15248</v>
      </c>
      <c r="G141" s="845" t="s">
        <v>15249</v>
      </c>
      <c r="H141" s="763"/>
      <c r="I141" s="763"/>
      <c r="J141" s="130">
        <v>85200000</v>
      </c>
      <c r="K141" s="846"/>
      <c r="L141" s="846"/>
      <c r="M141" s="130"/>
      <c r="N141" s="701"/>
      <c r="O141" s="794"/>
      <c r="P141" s="70">
        <v>18469</v>
      </c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  <c r="AB141" s="70"/>
      <c r="AC141" s="70"/>
      <c r="AD141" s="70"/>
      <c r="AE141" s="70"/>
      <c r="AF141" s="70"/>
      <c r="AG141" s="70"/>
      <c r="AH141" s="70"/>
      <c r="AI141" s="70"/>
      <c r="AJ141" s="70"/>
      <c r="AK141" s="70"/>
      <c r="AL141" s="70"/>
      <c r="AM141" s="70"/>
      <c r="AN141" s="70"/>
      <c r="AO141" s="70"/>
      <c r="AP141" s="70"/>
      <c r="AQ141" s="70"/>
      <c r="AR141" s="70"/>
      <c r="AS141" s="70"/>
      <c r="AT141" s="70"/>
      <c r="AU141" s="70"/>
      <c r="AV141" s="70"/>
      <c r="AW141" s="70"/>
      <c r="AX141" s="70"/>
      <c r="AY141" s="70"/>
      <c r="AZ141" s="70"/>
      <c r="BA141" s="70"/>
      <c r="BB141" s="70"/>
      <c r="BC141" s="70"/>
      <c r="BD141" s="70"/>
      <c r="BE141" s="70"/>
      <c r="BF141" s="70"/>
      <c r="BG141" s="70"/>
      <c r="BH141" s="70"/>
      <c r="BI141" s="70"/>
      <c r="BJ141" s="70"/>
      <c r="BK141" s="70"/>
      <c r="BL141" s="70"/>
      <c r="BM141" s="70"/>
      <c r="BN141" s="70"/>
      <c r="BO141" s="70"/>
      <c r="BP141" s="70"/>
      <c r="BQ141" s="70"/>
      <c r="BR141" s="70"/>
      <c r="BS141" s="70"/>
      <c r="BT141" s="70"/>
      <c r="BU141" s="70"/>
      <c r="BV141" s="70"/>
      <c r="BW141" s="70"/>
      <c r="BX141" s="70"/>
      <c r="BY141" s="70"/>
      <c r="BZ141" s="70"/>
      <c r="CA141" s="70"/>
      <c r="CB141" s="70"/>
      <c r="CC141" s="70"/>
      <c r="CD141" s="70"/>
      <c r="CE141" s="70"/>
      <c r="CF141" s="70"/>
      <c r="CG141" s="70"/>
      <c r="CH141" s="70"/>
      <c r="CI141" s="70"/>
      <c r="CJ141" s="70"/>
      <c r="CK141" s="70"/>
      <c r="CL141" s="70"/>
      <c r="CM141" s="70"/>
      <c r="CN141" s="70"/>
      <c r="CO141" s="70"/>
      <c r="CP141" s="70"/>
      <c r="CQ141" s="70"/>
      <c r="CR141" s="70"/>
      <c r="CS141" s="70"/>
      <c r="CT141" s="70"/>
      <c r="CU141" s="70"/>
      <c r="CV141" s="70"/>
      <c r="CW141" s="70"/>
      <c r="CX141" s="70"/>
      <c r="CY141" s="70"/>
      <c r="CZ141" s="70"/>
      <c r="DA141" s="70"/>
      <c r="DB141" s="70"/>
      <c r="DC141" s="70"/>
      <c r="DD141" s="70"/>
      <c r="DE141" s="70"/>
      <c r="DF141" s="70"/>
      <c r="DG141" s="70"/>
      <c r="DH141" s="70"/>
      <c r="DI141" s="70"/>
      <c r="DJ141" s="70"/>
      <c r="DK141" s="70"/>
      <c r="DL141" s="70"/>
      <c r="DM141" s="70"/>
      <c r="DN141" s="70"/>
      <c r="DO141" s="70"/>
      <c r="DP141" s="70"/>
      <c r="DQ141" s="70"/>
      <c r="DR141" s="70"/>
      <c r="DS141" s="70"/>
      <c r="DT141" s="70"/>
      <c r="DU141" s="70"/>
      <c r="DV141" s="70"/>
      <c r="DW141" s="70"/>
      <c r="DX141" s="70"/>
      <c r="DY141" s="70"/>
      <c r="DZ141" s="70"/>
      <c r="EA141" s="70"/>
      <c r="EB141" s="70"/>
      <c r="EC141" s="70"/>
      <c r="ED141" s="70"/>
      <c r="EE141" s="70"/>
      <c r="EF141" s="70"/>
      <c r="EG141" s="70"/>
      <c r="EH141" s="70"/>
      <c r="EI141" s="70"/>
      <c r="EJ141" s="70"/>
      <c r="EK141" s="70"/>
      <c r="EL141" s="70"/>
      <c r="EM141" s="70"/>
      <c r="EN141" s="70"/>
      <c r="EO141" s="70"/>
      <c r="EP141" s="70"/>
      <c r="EQ141" s="70"/>
      <c r="ER141" s="70"/>
      <c r="ES141" s="70"/>
      <c r="ET141" s="70"/>
      <c r="EU141" s="70"/>
      <c r="EV141" s="70"/>
      <c r="EW141" s="70"/>
      <c r="EX141" s="70"/>
      <c r="EY141" s="70"/>
      <c r="EZ141" s="70"/>
      <c r="FA141" s="70"/>
      <c r="FB141" s="70"/>
      <c r="FC141" s="70"/>
      <c r="FD141" s="70"/>
      <c r="FE141" s="70"/>
      <c r="FF141" s="70"/>
      <c r="FG141" s="70"/>
      <c r="FH141" s="70"/>
      <c r="FI141" s="70"/>
      <c r="FJ141" s="70"/>
      <c r="FK141" s="70"/>
      <c r="FL141" s="70"/>
      <c r="FM141" s="70"/>
      <c r="FN141" s="70"/>
      <c r="FO141" s="70"/>
      <c r="FP141" s="70"/>
      <c r="FQ141" s="70"/>
      <c r="FR141" s="70"/>
      <c r="FS141" s="70"/>
      <c r="FT141" s="70"/>
      <c r="FU141" s="70"/>
      <c r="FV141" s="70"/>
      <c r="FW141" s="70"/>
      <c r="FX141" s="70"/>
      <c r="FY141" s="70"/>
      <c r="FZ141" s="70"/>
      <c r="GA141" s="70"/>
      <c r="GB141" s="70"/>
      <c r="GC141" s="70"/>
      <c r="GD141" s="70"/>
      <c r="GE141" s="70"/>
      <c r="GF141" s="70"/>
      <c r="GG141" s="70"/>
      <c r="GH141" s="70"/>
      <c r="GI141" s="70"/>
      <c r="GJ141" s="70"/>
    </row>
    <row r="142" spans="1:192" ht="13">
      <c r="A142" s="2"/>
      <c r="B142" s="869"/>
      <c r="C142" s="682"/>
      <c r="D142" s="390"/>
      <c r="E142" s="390"/>
      <c r="F142" s="390"/>
      <c r="G142" s="70"/>
      <c r="H142" s="390"/>
      <c r="I142" s="390"/>
      <c r="J142" s="70"/>
      <c r="K142" s="390"/>
      <c r="L142" s="390"/>
      <c r="M142" s="870"/>
      <c r="N142" s="682"/>
      <c r="O142" s="70"/>
      <c r="P142" s="70"/>
      <c r="Q142" s="70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</row>
    <row r="143" spans="1:192" ht="13">
      <c r="A143" s="2"/>
      <c r="B143" s="869"/>
      <c r="C143" s="682"/>
      <c r="D143" s="390"/>
      <c r="E143" s="390"/>
      <c r="F143" s="390"/>
      <c r="G143" s="70"/>
      <c r="H143" s="390"/>
      <c r="I143" s="390"/>
      <c r="J143" s="70"/>
      <c r="K143" s="390"/>
      <c r="L143" s="390"/>
      <c r="M143" s="870"/>
      <c r="N143" s="682"/>
      <c r="O143" s="70"/>
      <c r="P143" s="70"/>
      <c r="Q143" s="70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</row>
    <row r="144" spans="1:192" ht="13">
      <c r="A144" s="2"/>
      <c r="B144" s="871" t="s">
        <v>15250</v>
      </c>
      <c r="C144" s="871"/>
      <c r="D144" s="871"/>
      <c r="E144" s="871"/>
      <c r="F144" s="871"/>
      <c r="G144" s="70"/>
      <c r="H144" s="390"/>
      <c r="I144" s="390"/>
      <c r="J144" s="70"/>
      <c r="K144" s="390"/>
      <c r="L144" s="390"/>
      <c r="M144" s="870"/>
      <c r="N144" s="682"/>
      <c r="O144" s="70"/>
      <c r="P144" s="70"/>
      <c r="Q144" s="70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</row>
    <row r="145" spans="1:192" ht="14">
      <c r="A145" s="2"/>
      <c r="B145" s="872" t="s">
        <v>280</v>
      </c>
      <c r="C145" s="872" t="s">
        <v>15251</v>
      </c>
      <c r="D145" s="1212" t="s">
        <v>15252</v>
      </c>
      <c r="E145" s="1064"/>
      <c r="F145" s="1065"/>
      <c r="G145" s="70"/>
      <c r="H145" s="390"/>
      <c r="I145" s="390"/>
      <c r="J145" s="70"/>
      <c r="K145" s="390"/>
      <c r="L145" s="390"/>
      <c r="M145" s="870"/>
      <c r="N145" s="682"/>
      <c r="O145" s="70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</row>
    <row r="146" spans="1:192" ht="14">
      <c r="A146" s="2"/>
      <c r="B146" s="873" t="s">
        <v>1604</v>
      </c>
      <c r="C146" s="874" t="s">
        <v>15253</v>
      </c>
      <c r="D146" s="1213" t="s">
        <v>15254</v>
      </c>
      <c r="E146" s="1064"/>
      <c r="F146" s="1065"/>
      <c r="G146" s="70"/>
      <c r="H146" s="390"/>
      <c r="I146" s="390"/>
      <c r="J146" s="70"/>
      <c r="K146" s="390"/>
      <c r="L146" s="390"/>
      <c r="M146" s="870"/>
      <c r="N146" s="682"/>
      <c r="O146" s="70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</row>
    <row r="147" spans="1:192" ht="14">
      <c r="A147" s="2"/>
      <c r="B147" s="875" t="s">
        <v>1541</v>
      </c>
      <c r="C147" s="876" t="s">
        <v>15255</v>
      </c>
      <c r="D147" s="1174" t="s">
        <v>15256</v>
      </c>
      <c r="E147" s="1064"/>
      <c r="F147" s="1065"/>
      <c r="G147" s="70"/>
      <c r="H147" s="390"/>
      <c r="I147" s="390"/>
      <c r="J147" s="70"/>
      <c r="K147" s="390"/>
      <c r="L147" s="390"/>
      <c r="M147" s="870"/>
      <c r="N147" s="682"/>
      <c r="O147" s="70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</row>
    <row r="148" spans="1:192" ht="13">
      <c r="A148" s="2"/>
      <c r="B148" s="479"/>
      <c r="C148" s="479"/>
      <c r="D148" s="479"/>
      <c r="E148" s="482"/>
      <c r="F148" s="479"/>
      <c r="G148" s="70"/>
      <c r="H148" s="390"/>
      <c r="I148" s="390"/>
      <c r="J148" s="70"/>
      <c r="K148" s="390"/>
      <c r="L148" s="390"/>
      <c r="M148" s="870"/>
      <c r="N148" s="682"/>
      <c r="O148" s="70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</row>
    <row r="149" spans="1:192" ht="14">
      <c r="A149" s="2"/>
      <c r="B149" s="875" t="s">
        <v>1458</v>
      </c>
      <c r="C149" s="876" t="s">
        <v>15257</v>
      </c>
      <c r="D149" s="1174" t="s">
        <v>15258</v>
      </c>
      <c r="E149" s="1064"/>
      <c r="F149" s="1065"/>
      <c r="G149" s="70"/>
      <c r="H149" s="390"/>
      <c r="I149" s="390"/>
      <c r="J149" s="70"/>
      <c r="K149" s="390"/>
      <c r="L149" s="390"/>
      <c r="M149" s="870"/>
      <c r="N149" s="682"/>
      <c r="O149" s="70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</row>
    <row r="150" spans="1:192" ht="14">
      <c r="A150" s="2"/>
      <c r="B150" s="875" t="s">
        <v>1298</v>
      </c>
      <c r="C150" s="876" t="s">
        <v>15259</v>
      </c>
      <c r="D150" s="1214" t="s">
        <v>15260</v>
      </c>
      <c r="E150" s="1064"/>
      <c r="F150" s="1065"/>
      <c r="G150" s="70"/>
      <c r="H150" s="390"/>
      <c r="I150" s="390"/>
      <c r="J150" s="70"/>
      <c r="K150" s="390"/>
      <c r="L150" s="390"/>
      <c r="M150" s="870"/>
      <c r="N150" s="682"/>
      <c r="O150" s="70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</row>
    <row r="151" spans="1:192" ht="14">
      <c r="A151" s="2"/>
      <c r="B151" s="875" t="s">
        <v>1182</v>
      </c>
      <c r="C151" s="876" t="s">
        <v>15261</v>
      </c>
      <c r="D151" s="1174" t="s">
        <v>15262</v>
      </c>
      <c r="E151" s="1064"/>
      <c r="F151" s="1065"/>
      <c r="G151" s="2"/>
      <c r="H151" s="3"/>
      <c r="I151" s="3"/>
      <c r="J151" s="2"/>
      <c r="K151" s="3"/>
      <c r="L151" s="3"/>
      <c r="M151" s="877"/>
      <c r="N151" s="869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</row>
    <row r="152" spans="1:192" ht="14">
      <c r="A152" s="2"/>
      <c r="B152" s="875" t="s">
        <v>2142</v>
      </c>
      <c r="C152" s="876" t="s">
        <v>15263</v>
      </c>
      <c r="D152" s="1174" t="s">
        <v>15264</v>
      </c>
      <c r="E152" s="1064"/>
      <c r="F152" s="1065"/>
      <c r="G152" s="2"/>
      <c r="H152" s="3"/>
      <c r="I152" s="3"/>
      <c r="J152" s="2"/>
      <c r="K152" s="3"/>
      <c r="L152" s="3"/>
      <c r="M152" s="877"/>
      <c r="N152" s="869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</row>
    <row r="153" spans="1:192" ht="14">
      <c r="A153" s="2"/>
      <c r="B153" s="875" t="s">
        <v>297</v>
      </c>
      <c r="C153" s="878" t="s">
        <v>351</v>
      </c>
      <c r="D153" s="1173" t="s">
        <v>15265</v>
      </c>
      <c r="E153" s="1138"/>
      <c r="F153" s="1096"/>
      <c r="G153" s="2"/>
      <c r="H153" s="3"/>
      <c r="I153" s="3"/>
      <c r="J153" s="2"/>
      <c r="K153" s="3"/>
      <c r="L153" s="3"/>
      <c r="M153" s="877"/>
      <c r="N153" s="869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</row>
    <row r="154" spans="1:192" ht="14">
      <c r="A154" s="2"/>
      <c r="B154" s="875" t="s">
        <v>291</v>
      </c>
      <c r="C154" s="876" t="s">
        <v>15266</v>
      </c>
      <c r="D154" s="1174" t="s">
        <v>15267</v>
      </c>
      <c r="E154" s="1064"/>
      <c r="F154" s="1065"/>
      <c r="G154" s="2"/>
      <c r="H154" s="3"/>
      <c r="I154" s="3"/>
      <c r="J154" s="2"/>
      <c r="K154" s="3"/>
      <c r="L154" s="3"/>
      <c r="M154" s="877"/>
      <c r="N154" s="869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</row>
    <row r="155" spans="1:192" ht="14">
      <c r="A155" s="2"/>
      <c r="B155" s="875" t="s">
        <v>1032</v>
      </c>
      <c r="C155" s="876" t="s">
        <v>15268</v>
      </c>
      <c r="D155" s="1174" t="s">
        <v>15258</v>
      </c>
      <c r="E155" s="1064"/>
      <c r="F155" s="1065"/>
      <c r="G155" s="2"/>
      <c r="H155" s="3"/>
      <c r="I155" s="3"/>
      <c r="J155" s="2"/>
      <c r="K155" s="3"/>
      <c r="L155" s="3"/>
      <c r="M155" s="877"/>
      <c r="N155" s="869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</row>
    <row r="156" spans="1:192" ht="14">
      <c r="A156" s="2"/>
      <c r="B156" s="875" t="s">
        <v>15020</v>
      </c>
      <c r="C156" s="875" t="s">
        <v>15269</v>
      </c>
      <c r="D156" s="1174" t="s">
        <v>15270</v>
      </c>
      <c r="E156" s="1064"/>
      <c r="F156" s="1065"/>
      <c r="G156" s="2"/>
      <c r="H156" s="3"/>
      <c r="I156" s="3"/>
      <c r="J156" s="2"/>
      <c r="K156" s="3"/>
      <c r="L156" s="3"/>
      <c r="M156" s="877"/>
      <c r="N156" s="869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</row>
    <row r="157" spans="1:192" ht="14">
      <c r="A157" s="2"/>
      <c r="B157" s="875" t="s">
        <v>1128</v>
      </c>
      <c r="C157" s="875" t="s">
        <v>346</v>
      </c>
      <c r="D157" s="1174" t="s">
        <v>15271</v>
      </c>
      <c r="E157" s="1064"/>
      <c r="F157" s="1065"/>
      <c r="G157" s="2"/>
      <c r="H157" s="3"/>
      <c r="I157" s="3"/>
      <c r="J157" s="2"/>
      <c r="K157" s="3"/>
      <c r="L157" s="3"/>
      <c r="M157" s="877"/>
      <c r="N157" s="869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</row>
    <row r="158" spans="1:192" ht="14">
      <c r="A158" s="2"/>
      <c r="B158" s="875" t="s">
        <v>1187</v>
      </c>
      <c r="C158" s="875" t="s">
        <v>15272</v>
      </c>
      <c r="D158" s="1174" t="s">
        <v>15273</v>
      </c>
      <c r="E158" s="1064"/>
      <c r="F158" s="1065"/>
      <c r="G158" s="2"/>
      <c r="H158" s="3"/>
      <c r="I158" s="3"/>
      <c r="J158" s="2"/>
      <c r="K158" s="3"/>
      <c r="L158" s="3"/>
      <c r="M158" s="877"/>
      <c r="N158" s="869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</row>
    <row r="159" spans="1:192" ht="14">
      <c r="A159" s="2"/>
      <c r="B159" s="875" t="s">
        <v>803</v>
      </c>
      <c r="C159" s="879" t="s">
        <v>15274</v>
      </c>
      <c r="D159" s="1174" t="s">
        <v>15275</v>
      </c>
      <c r="E159" s="1064"/>
      <c r="F159" s="1065"/>
      <c r="G159" s="2"/>
      <c r="H159" s="3"/>
      <c r="I159" s="3"/>
      <c r="J159" s="2"/>
      <c r="K159" s="3"/>
      <c r="L159" s="3"/>
      <c r="M159" s="877"/>
      <c r="N159" s="869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</row>
    <row r="160" spans="1:192" ht="14">
      <c r="A160" s="2"/>
      <c r="B160" s="875" t="s">
        <v>1116</v>
      </c>
      <c r="C160" s="875" t="s">
        <v>15276</v>
      </c>
      <c r="D160" s="1171" t="s">
        <v>15277</v>
      </c>
      <c r="E160" s="1064"/>
      <c r="F160" s="1065"/>
      <c r="G160" s="2"/>
      <c r="H160" s="3"/>
      <c r="I160" s="3"/>
      <c r="J160" s="2"/>
      <c r="K160" s="3"/>
      <c r="L160" s="3"/>
      <c r="M160" s="877"/>
      <c r="N160" s="869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</row>
    <row r="161" spans="1:192" ht="14">
      <c r="A161" s="2"/>
      <c r="B161" s="875" t="s">
        <v>674</v>
      </c>
      <c r="C161" s="875" t="s">
        <v>671</v>
      </c>
      <c r="D161" s="1171" t="s">
        <v>672</v>
      </c>
      <c r="E161" s="1064"/>
      <c r="F161" s="1065"/>
      <c r="G161" s="2"/>
      <c r="H161" s="3"/>
      <c r="I161" s="3"/>
      <c r="J161" s="2"/>
      <c r="K161" s="3"/>
      <c r="L161" s="3"/>
      <c r="M161" s="877"/>
      <c r="N161" s="869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</row>
    <row r="162" spans="1:192" ht="14">
      <c r="A162" s="2"/>
      <c r="B162" s="880" t="s">
        <v>15278</v>
      </c>
      <c r="C162" s="881" t="s">
        <v>15279</v>
      </c>
      <c r="D162" s="1172" t="s">
        <v>15280</v>
      </c>
      <c r="E162" s="1064"/>
      <c r="F162" s="1065"/>
      <c r="G162" s="2"/>
      <c r="H162" s="3"/>
      <c r="I162" s="3"/>
      <c r="J162" s="2"/>
      <c r="K162" s="3"/>
      <c r="L162" s="3"/>
      <c r="M162" s="877"/>
      <c r="N162" s="869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</row>
    <row r="163" spans="1:192" ht="14">
      <c r="A163" s="2"/>
      <c r="B163" s="880" t="s">
        <v>1123</v>
      </c>
      <c r="C163" s="881" t="s">
        <v>15281</v>
      </c>
      <c r="D163" s="1172" t="s">
        <v>15282</v>
      </c>
      <c r="E163" s="1064"/>
      <c r="F163" s="1065"/>
      <c r="G163" s="2"/>
      <c r="H163" s="3"/>
      <c r="I163" s="3"/>
      <c r="J163" s="2"/>
      <c r="K163" s="3"/>
      <c r="L163" s="3"/>
      <c r="M163" s="877"/>
      <c r="N163" s="869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</row>
    <row r="164" spans="1:192" ht="14">
      <c r="A164" s="2"/>
      <c r="B164" s="880" t="s">
        <v>15283</v>
      </c>
      <c r="C164" s="881" t="s">
        <v>15284</v>
      </c>
      <c r="D164" s="1172" t="s">
        <v>15285</v>
      </c>
      <c r="E164" s="1064"/>
      <c r="F164" s="1065"/>
      <c r="G164" s="2"/>
      <c r="H164" s="3"/>
      <c r="I164" s="3"/>
      <c r="J164" s="2"/>
      <c r="K164" s="3"/>
      <c r="L164" s="3"/>
      <c r="M164" s="877"/>
      <c r="N164" s="869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</row>
    <row r="165" spans="1:192" ht="13">
      <c r="A165" s="2"/>
      <c r="B165" s="869"/>
      <c r="C165" s="869"/>
      <c r="D165" s="3"/>
      <c r="E165" s="3"/>
      <c r="F165" s="3"/>
      <c r="G165" s="2"/>
      <c r="H165" s="3"/>
      <c r="I165" s="3"/>
      <c r="J165" s="2"/>
      <c r="K165" s="3"/>
      <c r="L165" s="3"/>
      <c r="M165" s="877"/>
      <c r="N165" s="869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</row>
    <row r="166" spans="1:192" ht="13">
      <c r="A166" s="2"/>
      <c r="B166" s="869"/>
      <c r="C166" s="869"/>
      <c r="D166" s="3"/>
      <c r="E166" s="3"/>
      <c r="F166" s="3"/>
      <c r="G166" s="2"/>
      <c r="H166" s="3"/>
      <c r="I166" s="3"/>
      <c r="J166" s="2"/>
      <c r="K166" s="3"/>
      <c r="L166" s="3"/>
      <c r="M166" s="877"/>
      <c r="N166" s="869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</row>
    <row r="167" spans="1:192" ht="13">
      <c r="A167" s="2"/>
      <c r="B167" s="869"/>
      <c r="C167" s="869"/>
      <c r="D167" s="3"/>
      <c r="E167" s="3"/>
      <c r="F167" s="3"/>
      <c r="G167" s="2"/>
      <c r="H167" s="3"/>
      <c r="I167" s="3"/>
      <c r="J167" s="2"/>
      <c r="K167" s="3"/>
      <c r="L167" s="3"/>
      <c r="M167" s="877"/>
      <c r="N167" s="869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</row>
    <row r="168" spans="1:192" ht="13">
      <c r="A168" s="2"/>
      <c r="B168" s="869"/>
      <c r="C168" s="869"/>
      <c r="D168" s="3"/>
      <c r="E168" s="3"/>
      <c r="F168" s="3"/>
      <c r="G168" s="2"/>
      <c r="H168" s="3"/>
      <c r="I168" s="3"/>
      <c r="J168" s="2"/>
      <c r="K168" s="3"/>
      <c r="L168" s="3"/>
      <c r="M168" s="877"/>
      <c r="N168" s="869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</row>
    <row r="169" spans="1:192" ht="13">
      <c r="A169" s="2"/>
      <c r="B169" s="869"/>
      <c r="C169" s="869"/>
      <c r="D169" s="3"/>
      <c r="E169" s="3"/>
      <c r="F169" s="3"/>
      <c r="G169" s="2"/>
      <c r="H169" s="3"/>
      <c r="I169" s="3"/>
      <c r="J169" s="2"/>
      <c r="K169" s="3"/>
      <c r="L169" s="3"/>
      <c r="M169" s="877"/>
      <c r="N169" s="869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</row>
    <row r="170" spans="1:192" ht="13">
      <c r="A170" s="2"/>
      <c r="B170" s="869"/>
      <c r="C170" s="869"/>
      <c r="D170" s="3"/>
      <c r="E170" s="3"/>
      <c r="F170" s="3"/>
      <c r="G170" s="2"/>
      <c r="H170" s="3"/>
      <c r="I170" s="3"/>
      <c r="J170" s="2"/>
      <c r="K170" s="3"/>
      <c r="L170" s="3"/>
      <c r="M170" s="877"/>
      <c r="N170" s="869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</row>
    <row r="171" spans="1:192" ht="13">
      <c r="A171" s="2"/>
      <c r="B171" s="869"/>
      <c r="C171" s="869"/>
      <c r="D171" s="3"/>
      <c r="E171" s="3"/>
      <c r="F171" s="3"/>
      <c r="G171" s="2"/>
      <c r="H171" s="3"/>
      <c r="I171" s="3"/>
      <c r="J171" s="2"/>
      <c r="K171" s="3"/>
      <c r="L171" s="3"/>
      <c r="M171" s="877"/>
      <c r="N171" s="869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</row>
    <row r="172" spans="1:192" ht="13">
      <c r="A172" s="2"/>
      <c r="B172" s="869"/>
      <c r="C172" s="869"/>
      <c r="D172" s="3"/>
      <c r="E172" s="3"/>
      <c r="F172" s="3"/>
      <c r="G172" s="2"/>
      <c r="H172" s="3"/>
      <c r="I172" s="3"/>
      <c r="J172" s="2"/>
      <c r="K172" s="3"/>
      <c r="L172" s="3"/>
      <c r="M172" s="877"/>
      <c r="N172" s="869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</row>
    <row r="173" spans="1:192" ht="13">
      <c r="A173" s="2"/>
      <c r="B173" s="869"/>
      <c r="C173" s="869"/>
      <c r="D173" s="3"/>
      <c r="E173" s="3"/>
      <c r="F173" s="3"/>
      <c r="G173" s="2"/>
      <c r="H173" s="3"/>
      <c r="I173" s="3"/>
      <c r="J173" s="2"/>
      <c r="K173" s="3"/>
      <c r="L173" s="3"/>
      <c r="M173" s="877"/>
      <c r="N173" s="869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</row>
    <row r="174" spans="1:192" ht="13">
      <c r="A174" s="2"/>
      <c r="B174" s="869"/>
      <c r="C174" s="869"/>
      <c r="D174" s="3"/>
      <c r="E174" s="3"/>
      <c r="F174" s="3"/>
      <c r="G174" s="2"/>
      <c r="H174" s="3"/>
      <c r="I174" s="3"/>
      <c r="J174" s="2"/>
      <c r="K174" s="3"/>
      <c r="L174" s="3"/>
      <c r="M174" s="877"/>
      <c r="N174" s="869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</row>
    <row r="175" spans="1:192" ht="13">
      <c r="A175" s="2"/>
      <c r="B175" s="869"/>
      <c r="C175" s="869"/>
      <c r="D175" s="3"/>
      <c r="E175" s="3"/>
      <c r="F175" s="3"/>
      <c r="G175" s="2"/>
      <c r="H175" s="3"/>
      <c r="I175" s="3"/>
      <c r="J175" s="2"/>
      <c r="K175" s="3"/>
      <c r="L175" s="3"/>
      <c r="M175" s="877"/>
      <c r="N175" s="869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</row>
    <row r="176" spans="1:192" ht="13">
      <c r="A176" s="2"/>
      <c r="B176" s="869"/>
      <c r="C176" s="869"/>
      <c r="D176" s="3"/>
      <c r="E176" s="3"/>
      <c r="F176" s="3"/>
      <c r="G176" s="2"/>
      <c r="H176" s="3"/>
      <c r="I176" s="3"/>
      <c r="J176" s="2"/>
      <c r="K176" s="3"/>
      <c r="L176" s="3"/>
      <c r="M176" s="877"/>
      <c r="N176" s="869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</row>
    <row r="177" spans="1:192" ht="13">
      <c r="A177" s="2"/>
      <c r="B177" s="869"/>
      <c r="C177" s="869"/>
      <c r="D177" s="3"/>
      <c r="E177" s="3"/>
      <c r="F177" s="3"/>
      <c r="G177" s="2"/>
      <c r="H177" s="3"/>
      <c r="I177" s="3"/>
      <c r="J177" s="2"/>
      <c r="K177" s="3"/>
      <c r="L177" s="3"/>
      <c r="M177" s="877"/>
      <c r="N177" s="869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</row>
    <row r="178" spans="1:192" ht="13">
      <c r="A178" s="2"/>
      <c r="B178" s="869"/>
      <c r="C178" s="869"/>
      <c r="D178" s="3"/>
      <c r="E178" s="3"/>
      <c r="F178" s="3"/>
      <c r="G178" s="2"/>
      <c r="H178" s="3"/>
      <c r="I178" s="3"/>
      <c r="J178" s="2"/>
      <c r="K178" s="3"/>
      <c r="L178" s="3"/>
      <c r="M178" s="877"/>
      <c r="N178" s="869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</row>
    <row r="179" spans="1:192" ht="13">
      <c r="A179" s="2"/>
      <c r="B179" s="869"/>
      <c r="C179" s="869"/>
      <c r="D179" s="3"/>
      <c r="E179" s="3"/>
      <c r="F179" s="3"/>
      <c r="G179" s="2"/>
      <c r="H179" s="3"/>
      <c r="I179" s="3"/>
      <c r="J179" s="2"/>
      <c r="K179" s="3"/>
      <c r="L179" s="3"/>
      <c r="M179" s="877"/>
      <c r="N179" s="869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</row>
    <row r="180" spans="1:192" ht="13">
      <c r="A180" s="2"/>
      <c r="B180" s="869"/>
      <c r="C180" s="869"/>
      <c r="D180" s="3"/>
      <c r="E180" s="3"/>
      <c r="F180" s="3"/>
      <c r="G180" s="2"/>
      <c r="H180" s="3"/>
      <c r="I180" s="3"/>
      <c r="J180" s="2"/>
      <c r="K180" s="3"/>
      <c r="L180" s="3"/>
      <c r="M180" s="877"/>
      <c r="N180" s="869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</row>
    <row r="181" spans="1:192" ht="13">
      <c r="A181" s="2"/>
      <c r="B181" s="869"/>
      <c r="C181" s="869"/>
      <c r="D181" s="3"/>
      <c r="E181" s="3"/>
      <c r="F181" s="3"/>
      <c r="G181" s="2"/>
      <c r="H181" s="3"/>
      <c r="I181" s="3"/>
      <c r="J181" s="2"/>
      <c r="K181" s="3"/>
      <c r="L181" s="3"/>
      <c r="M181" s="877"/>
      <c r="N181" s="869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</row>
    <row r="182" spans="1:192" ht="13">
      <c r="A182" s="2"/>
      <c r="B182" s="869"/>
      <c r="C182" s="869"/>
      <c r="D182" s="3"/>
      <c r="E182" s="3"/>
      <c r="F182" s="3"/>
      <c r="G182" s="2"/>
      <c r="H182" s="3"/>
      <c r="I182" s="3"/>
      <c r="J182" s="2"/>
      <c r="K182" s="3"/>
      <c r="L182" s="3"/>
      <c r="M182" s="877"/>
      <c r="N182" s="869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</row>
    <row r="183" spans="1:192" ht="13">
      <c r="A183" s="2"/>
      <c r="B183" s="869"/>
      <c r="C183" s="869"/>
      <c r="D183" s="3"/>
      <c r="E183" s="3"/>
      <c r="F183" s="3"/>
      <c r="G183" s="2"/>
      <c r="H183" s="3"/>
      <c r="I183" s="3"/>
      <c r="J183" s="2"/>
      <c r="K183" s="3"/>
      <c r="L183" s="3"/>
      <c r="M183" s="877"/>
      <c r="N183" s="869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</row>
    <row r="184" spans="1:192" ht="13">
      <c r="A184" s="2"/>
      <c r="B184" s="869"/>
      <c r="C184" s="869"/>
      <c r="D184" s="3"/>
      <c r="E184" s="3"/>
      <c r="F184" s="3"/>
      <c r="G184" s="2"/>
      <c r="H184" s="3"/>
      <c r="I184" s="3"/>
      <c r="J184" s="2"/>
      <c r="K184" s="3"/>
      <c r="L184" s="3"/>
      <c r="M184" s="877"/>
      <c r="N184" s="869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</row>
    <row r="185" spans="1:192" ht="13">
      <c r="A185" s="2"/>
      <c r="B185" s="869"/>
      <c r="C185" s="869"/>
      <c r="D185" s="3"/>
      <c r="E185" s="3"/>
      <c r="F185" s="3"/>
      <c r="G185" s="2"/>
      <c r="H185" s="3"/>
      <c r="I185" s="3"/>
      <c r="J185" s="2"/>
      <c r="K185" s="3"/>
      <c r="L185" s="3"/>
      <c r="M185" s="877"/>
      <c r="N185" s="869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</row>
    <row r="186" spans="1:192" ht="13">
      <c r="A186" s="2"/>
      <c r="B186" s="869"/>
      <c r="C186" s="869"/>
      <c r="D186" s="3"/>
      <c r="E186" s="3"/>
      <c r="F186" s="3"/>
      <c r="G186" s="2"/>
      <c r="H186" s="3"/>
      <c r="I186" s="3"/>
      <c r="J186" s="2"/>
      <c r="K186" s="3"/>
      <c r="L186" s="3"/>
      <c r="M186" s="877"/>
      <c r="N186" s="869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</row>
    <row r="187" spans="1:192" ht="13">
      <c r="A187" s="2"/>
      <c r="B187" s="869"/>
      <c r="C187" s="869"/>
      <c r="D187" s="3"/>
      <c r="E187" s="3"/>
      <c r="F187" s="3"/>
      <c r="G187" s="2"/>
      <c r="H187" s="3"/>
      <c r="I187" s="3"/>
      <c r="J187" s="2"/>
      <c r="K187" s="3"/>
      <c r="L187" s="3"/>
      <c r="M187" s="877"/>
      <c r="N187" s="869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</row>
    <row r="188" spans="1:192" ht="13">
      <c r="A188" s="2"/>
      <c r="B188" s="869"/>
      <c r="C188" s="869"/>
      <c r="D188" s="3"/>
      <c r="E188" s="3"/>
      <c r="F188" s="3"/>
      <c r="G188" s="2"/>
      <c r="H188" s="3"/>
      <c r="I188" s="3"/>
      <c r="J188" s="2"/>
      <c r="K188" s="3"/>
      <c r="L188" s="3"/>
      <c r="M188" s="877"/>
      <c r="N188" s="869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</row>
    <row r="189" spans="1:192" ht="13">
      <c r="A189" s="2"/>
      <c r="B189" s="869"/>
      <c r="C189" s="869"/>
      <c r="D189" s="3"/>
      <c r="E189" s="3"/>
      <c r="F189" s="3"/>
      <c r="G189" s="2"/>
      <c r="H189" s="3"/>
      <c r="I189" s="3"/>
      <c r="J189" s="2"/>
      <c r="K189" s="3"/>
      <c r="L189" s="3"/>
      <c r="M189" s="877"/>
      <c r="N189" s="869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</row>
    <row r="190" spans="1:192" ht="13">
      <c r="A190" s="2"/>
      <c r="B190" s="869"/>
      <c r="C190" s="869"/>
      <c r="D190" s="3"/>
      <c r="E190" s="3"/>
      <c r="F190" s="3"/>
      <c r="G190" s="2"/>
      <c r="H190" s="3"/>
      <c r="I190" s="3"/>
      <c r="J190" s="2"/>
      <c r="K190" s="3"/>
      <c r="L190" s="3"/>
      <c r="M190" s="877"/>
      <c r="N190" s="869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</row>
    <row r="191" spans="1:192" ht="13">
      <c r="A191" s="2"/>
      <c r="B191" s="869"/>
      <c r="C191" s="869"/>
      <c r="D191" s="3"/>
      <c r="E191" s="3"/>
      <c r="F191" s="3"/>
      <c r="G191" s="2"/>
      <c r="H191" s="3"/>
      <c r="I191" s="3"/>
      <c r="J191" s="2"/>
      <c r="K191" s="3"/>
      <c r="L191" s="3"/>
      <c r="M191" s="877"/>
      <c r="N191" s="869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</row>
    <row r="192" spans="1:192" ht="13">
      <c r="A192" s="2"/>
      <c r="B192" s="869"/>
      <c r="C192" s="869"/>
      <c r="D192" s="3"/>
      <c r="E192" s="3"/>
      <c r="F192" s="3"/>
      <c r="G192" s="2"/>
      <c r="H192" s="3"/>
      <c r="I192" s="3"/>
      <c r="J192" s="2"/>
      <c r="K192" s="3"/>
      <c r="L192" s="3"/>
      <c r="M192" s="877"/>
      <c r="N192" s="869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</row>
    <row r="193" spans="1:192" ht="13">
      <c r="A193" s="2"/>
      <c r="B193" s="869"/>
      <c r="C193" s="869"/>
      <c r="D193" s="3"/>
      <c r="E193" s="3"/>
      <c r="F193" s="3"/>
      <c r="G193" s="2"/>
      <c r="H193" s="3"/>
      <c r="I193" s="3"/>
      <c r="J193" s="2"/>
      <c r="K193" s="3"/>
      <c r="L193" s="3"/>
      <c r="M193" s="877"/>
      <c r="N193" s="869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</row>
    <row r="194" spans="1:192" ht="13">
      <c r="A194" s="2"/>
      <c r="B194" s="869"/>
      <c r="C194" s="869"/>
      <c r="D194" s="3"/>
      <c r="E194" s="3"/>
      <c r="F194" s="3"/>
      <c r="G194" s="2"/>
      <c r="H194" s="3"/>
      <c r="I194" s="3"/>
      <c r="J194" s="2"/>
      <c r="K194" s="3"/>
      <c r="L194" s="3"/>
      <c r="M194" s="877"/>
      <c r="N194" s="869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</row>
    <row r="195" spans="1:192" ht="13">
      <c r="A195" s="2"/>
      <c r="B195" s="869"/>
      <c r="C195" s="869"/>
      <c r="D195" s="3"/>
      <c r="E195" s="3"/>
      <c r="F195" s="3"/>
      <c r="G195" s="2"/>
      <c r="H195" s="3"/>
      <c r="I195" s="3"/>
      <c r="J195" s="2"/>
      <c r="K195" s="3"/>
      <c r="L195" s="3"/>
      <c r="M195" s="877"/>
      <c r="N195" s="869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</row>
    <row r="196" spans="1:192" ht="13">
      <c r="A196" s="2"/>
      <c r="B196" s="869"/>
      <c r="C196" s="869"/>
      <c r="D196" s="3"/>
      <c r="E196" s="3"/>
      <c r="F196" s="3"/>
      <c r="G196" s="2"/>
      <c r="H196" s="3"/>
      <c r="I196" s="3"/>
      <c r="J196" s="2"/>
      <c r="K196" s="3"/>
      <c r="L196" s="3"/>
      <c r="M196" s="877"/>
      <c r="N196" s="869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</row>
    <row r="197" spans="1:192" ht="13">
      <c r="A197" s="2"/>
      <c r="B197" s="869"/>
      <c r="C197" s="869"/>
      <c r="D197" s="3"/>
      <c r="E197" s="3"/>
      <c r="F197" s="3"/>
      <c r="G197" s="2"/>
      <c r="H197" s="3"/>
      <c r="I197" s="3"/>
      <c r="J197" s="2"/>
      <c r="K197" s="3"/>
      <c r="L197" s="3"/>
      <c r="M197" s="877"/>
      <c r="N197" s="869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</row>
    <row r="198" spans="1:192" ht="13">
      <c r="A198" s="2"/>
      <c r="B198" s="869"/>
      <c r="C198" s="869"/>
      <c r="D198" s="3"/>
      <c r="E198" s="3"/>
      <c r="F198" s="3"/>
      <c r="G198" s="2"/>
      <c r="H198" s="3"/>
      <c r="I198" s="3"/>
      <c r="J198" s="2"/>
      <c r="K198" s="3"/>
      <c r="L198" s="3"/>
      <c r="M198" s="877"/>
      <c r="N198" s="869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</row>
    <row r="199" spans="1:192" ht="13">
      <c r="A199" s="2"/>
      <c r="B199" s="869"/>
      <c r="C199" s="869"/>
      <c r="D199" s="3"/>
      <c r="E199" s="3"/>
      <c r="F199" s="3"/>
      <c r="G199" s="2"/>
      <c r="H199" s="3"/>
      <c r="I199" s="3"/>
      <c r="J199" s="2"/>
      <c r="K199" s="3"/>
      <c r="L199" s="3"/>
      <c r="M199" s="877"/>
      <c r="N199" s="869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</row>
    <row r="200" spans="1:192" ht="13">
      <c r="A200" s="2"/>
      <c r="B200" s="869"/>
      <c r="C200" s="869"/>
      <c r="D200" s="3"/>
      <c r="E200" s="3"/>
      <c r="F200" s="3"/>
      <c r="G200" s="2"/>
      <c r="H200" s="3"/>
      <c r="I200" s="3"/>
      <c r="J200" s="2"/>
      <c r="K200" s="3"/>
      <c r="L200" s="3"/>
      <c r="M200" s="877"/>
      <c r="N200" s="869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</row>
    <row r="201" spans="1:192" ht="13">
      <c r="A201" s="2"/>
      <c r="B201" s="869"/>
      <c r="C201" s="869"/>
      <c r="D201" s="3"/>
      <c r="E201" s="3"/>
      <c r="F201" s="3"/>
      <c r="G201" s="2"/>
      <c r="H201" s="3"/>
      <c r="I201" s="3"/>
      <c r="J201" s="2"/>
      <c r="K201" s="3"/>
      <c r="L201" s="3"/>
      <c r="M201" s="877"/>
      <c r="N201" s="869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</row>
    <row r="202" spans="1:192" ht="13">
      <c r="A202" s="2"/>
      <c r="B202" s="869"/>
      <c r="C202" s="869"/>
      <c r="D202" s="3"/>
      <c r="E202" s="3"/>
      <c r="F202" s="3"/>
      <c r="G202" s="2"/>
      <c r="H202" s="3"/>
      <c r="I202" s="3"/>
      <c r="J202" s="2"/>
      <c r="K202" s="3"/>
      <c r="L202" s="3"/>
      <c r="M202" s="877"/>
      <c r="N202" s="869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</row>
    <row r="203" spans="1:192" ht="13">
      <c r="A203" s="2"/>
      <c r="B203" s="869"/>
      <c r="C203" s="869"/>
      <c r="D203" s="3"/>
      <c r="E203" s="3"/>
      <c r="F203" s="3"/>
      <c r="G203" s="2"/>
      <c r="H203" s="3"/>
      <c r="I203" s="3"/>
      <c r="J203" s="2"/>
      <c r="K203" s="3"/>
      <c r="L203" s="3"/>
      <c r="M203" s="877"/>
      <c r="N203" s="869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</row>
    <row r="204" spans="1:192" ht="13">
      <c r="A204" s="2"/>
      <c r="B204" s="869"/>
      <c r="C204" s="869"/>
      <c r="D204" s="3"/>
      <c r="E204" s="3"/>
      <c r="F204" s="3"/>
      <c r="G204" s="2"/>
      <c r="H204" s="3"/>
      <c r="I204" s="3"/>
      <c r="J204" s="2"/>
      <c r="K204" s="3"/>
      <c r="L204" s="3"/>
      <c r="M204" s="877"/>
      <c r="N204" s="869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</row>
    <row r="205" spans="1:192" ht="13">
      <c r="A205" s="2"/>
      <c r="B205" s="869"/>
      <c r="C205" s="869"/>
      <c r="D205" s="3"/>
      <c r="E205" s="3"/>
      <c r="F205" s="3"/>
      <c r="G205" s="2"/>
      <c r="H205" s="3"/>
      <c r="I205" s="3"/>
      <c r="J205" s="2"/>
      <c r="K205" s="3"/>
      <c r="L205" s="3"/>
      <c r="M205" s="877"/>
      <c r="N205" s="869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</row>
    <row r="206" spans="1:192" ht="13">
      <c r="A206" s="2"/>
      <c r="B206" s="869"/>
      <c r="C206" s="869"/>
      <c r="D206" s="3"/>
      <c r="E206" s="3"/>
      <c r="F206" s="3"/>
      <c r="G206" s="2"/>
      <c r="H206" s="3"/>
      <c r="I206" s="3"/>
      <c r="J206" s="2"/>
      <c r="K206" s="3"/>
      <c r="L206" s="3"/>
      <c r="M206" s="877"/>
      <c r="N206" s="869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</row>
    <row r="207" spans="1:192" ht="13">
      <c r="A207" s="2"/>
      <c r="B207" s="869"/>
      <c r="C207" s="869"/>
      <c r="D207" s="3"/>
      <c r="E207" s="3"/>
      <c r="F207" s="3"/>
      <c r="G207" s="2"/>
      <c r="H207" s="3"/>
      <c r="I207" s="3"/>
      <c r="J207" s="2"/>
      <c r="K207" s="3"/>
      <c r="L207" s="3"/>
      <c r="M207" s="877"/>
      <c r="N207" s="869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</row>
    <row r="208" spans="1:192" ht="13">
      <c r="A208" s="2"/>
      <c r="B208" s="869"/>
      <c r="C208" s="869"/>
      <c r="D208" s="3"/>
      <c r="E208" s="3"/>
      <c r="F208" s="3"/>
      <c r="G208" s="2"/>
      <c r="H208" s="3"/>
      <c r="I208" s="3"/>
      <c r="J208" s="2"/>
      <c r="K208" s="3"/>
      <c r="L208" s="3"/>
      <c r="M208" s="877"/>
      <c r="N208" s="869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</row>
    <row r="209" spans="1:192" ht="13">
      <c r="A209" s="2"/>
      <c r="B209" s="869"/>
      <c r="C209" s="869"/>
      <c r="D209" s="3"/>
      <c r="E209" s="3"/>
      <c r="F209" s="3"/>
      <c r="G209" s="2"/>
      <c r="H209" s="3"/>
      <c r="I209" s="3"/>
      <c r="J209" s="2"/>
      <c r="K209" s="3"/>
      <c r="L209" s="3"/>
      <c r="M209" s="877"/>
      <c r="N209" s="869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</row>
    <row r="210" spans="1:192" ht="13">
      <c r="A210" s="2"/>
      <c r="B210" s="869"/>
      <c r="C210" s="869"/>
      <c r="D210" s="3"/>
      <c r="E210" s="3"/>
      <c r="F210" s="3"/>
      <c r="G210" s="2"/>
      <c r="H210" s="3"/>
      <c r="I210" s="3"/>
      <c r="J210" s="2"/>
      <c r="K210" s="3"/>
      <c r="L210" s="3"/>
      <c r="M210" s="877"/>
      <c r="N210" s="869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</row>
    <row r="211" spans="1:192" ht="13">
      <c r="A211" s="2"/>
      <c r="B211" s="869"/>
      <c r="C211" s="869"/>
      <c r="D211" s="3"/>
      <c r="E211" s="3"/>
      <c r="F211" s="3"/>
      <c r="G211" s="2"/>
      <c r="H211" s="3"/>
      <c r="I211" s="3"/>
      <c r="J211" s="2"/>
      <c r="K211" s="3"/>
      <c r="L211" s="3"/>
      <c r="M211" s="877"/>
      <c r="N211" s="869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</row>
    <row r="212" spans="1:192" ht="13">
      <c r="A212" s="2"/>
      <c r="B212" s="869"/>
      <c r="C212" s="869"/>
      <c r="D212" s="3"/>
      <c r="E212" s="3"/>
      <c r="F212" s="3"/>
      <c r="G212" s="2"/>
      <c r="H212" s="3"/>
      <c r="I212" s="3"/>
      <c r="J212" s="2"/>
      <c r="K212" s="3"/>
      <c r="L212" s="3"/>
      <c r="M212" s="877"/>
      <c r="N212" s="869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</row>
    <row r="213" spans="1:192" ht="13">
      <c r="A213" s="2"/>
      <c r="B213" s="869"/>
      <c r="C213" s="869"/>
      <c r="D213" s="3"/>
      <c r="E213" s="3"/>
      <c r="F213" s="3"/>
      <c r="G213" s="2"/>
      <c r="H213" s="3"/>
      <c r="I213" s="3"/>
      <c r="J213" s="2"/>
      <c r="K213" s="3"/>
      <c r="L213" s="3"/>
      <c r="M213" s="877"/>
      <c r="N213" s="869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</row>
    <row r="214" spans="1:192" ht="13">
      <c r="A214" s="2"/>
      <c r="B214" s="869"/>
      <c r="C214" s="869"/>
      <c r="D214" s="3"/>
      <c r="E214" s="3"/>
      <c r="F214" s="3"/>
      <c r="G214" s="2"/>
      <c r="H214" s="3"/>
      <c r="I214" s="3"/>
      <c r="J214" s="2"/>
      <c r="K214" s="3"/>
      <c r="L214" s="3"/>
      <c r="M214" s="877"/>
      <c r="N214" s="869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</row>
    <row r="215" spans="1:192" ht="13">
      <c r="A215" s="2"/>
      <c r="B215" s="869"/>
      <c r="C215" s="869"/>
      <c r="D215" s="3"/>
      <c r="E215" s="3"/>
      <c r="F215" s="3"/>
      <c r="G215" s="2"/>
      <c r="H215" s="3"/>
      <c r="I215" s="3"/>
      <c r="J215" s="2"/>
      <c r="K215" s="3"/>
      <c r="L215" s="3"/>
      <c r="M215" s="877"/>
      <c r="N215" s="869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</row>
    <row r="216" spans="1:192" ht="13">
      <c r="A216" s="2"/>
      <c r="B216" s="869"/>
      <c r="C216" s="869"/>
      <c r="D216" s="3"/>
      <c r="E216" s="3"/>
      <c r="F216" s="3"/>
      <c r="G216" s="2"/>
      <c r="H216" s="3"/>
      <c r="I216" s="3"/>
      <c r="J216" s="2"/>
      <c r="K216" s="3"/>
      <c r="L216" s="3"/>
      <c r="M216" s="877"/>
      <c r="N216" s="869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</row>
    <row r="217" spans="1:192" ht="13">
      <c r="A217" s="2"/>
      <c r="B217" s="869"/>
      <c r="C217" s="869"/>
      <c r="D217" s="3"/>
      <c r="E217" s="3"/>
      <c r="F217" s="3"/>
      <c r="G217" s="2"/>
      <c r="H217" s="3"/>
      <c r="I217" s="3"/>
      <c r="J217" s="2"/>
      <c r="K217" s="3"/>
      <c r="L217" s="3"/>
      <c r="M217" s="877"/>
      <c r="N217" s="869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</row>
    <row r="218" spans="1:192" ht="13">
      <c r="A218" s="2"/>
      <c r="B218" s="869"/>
      <c r="C218" s="869"/>
      <c r="D218" s="3"/>
      <c r="E218" s="3"/>
      <c r="F218" s="3"/>
      <c r="G218" s="2"/>
      <c r="H218" s="3"/>
      <c r="I218" s="3"/>
      <c r="J218" s="2"/>
      <c r="K218" s="3"/>
      <c r="L218" s="3"/>
      <c r="M218" s="877"/>
      <c r="N218" s="869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</row>
    <row r="219" spans="1:192" ht="13">
      <c r="A219" s="2"/>
      <c r="B219" s="869"/>
      <c r="C219" s="869"/>
      <c r="D219" s="3"/>
      <c r="E219" s="3"/>
      <c r="F219" s="3"/>
      <c r="G219" s="2"/>
      <c r="H219" s="3"/>
      <c r="I219" s="3"/>
      <c r="J219" s="2"/>
      <c r="K219" s="3"/>
      <c r="L219" s="3"/>
      <c r="M219" s="877"/>
      <c r="N219" s="869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</row>
    <row r="220" spans="1:192" ht="13">
      <c r="A220" s="2"/>
      <c r="B220" s="869"/>
      <c r="C220" s="869"/>
      <c r="D220" s="3"/>
      <c r="E220" s="3"/>
      <c r="F220" s="3"/>
      <c r="G220" s="2"/>
      <c r="H220" s="3"/>
      <c r="I220" s="3"/>
      <c r="J220" s="2"/>
      <c r="K220" s="3"/>
      <c r="L220" s="3"/>
      <c r="M220" s="877"/>
      <c r="N220" s="869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</row>
    <row r="221" spans="1:192" ht="13">
      <c r="A221" s="2"/>
      <c r="B221" s="869"/>
      <c r="C221" s="869"/>
      <c r="D221" s="3"/>
      <c r="E221" s="3"/>
      <c r="F221" s="3"/>
      <c r="G221" s="2"/>
      <c r="H221" s="3"/>
      <c r="I221" s="3"/>
      <c r="J221" s="2"/>
      <c r="K221" s="3"/>
      <c r="L221" s="3"/>
      <c r="M221" s="877"/>
      <c r="N221" s="869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</row>
    <row r="222" spans="1:192" ht="13">
      <c r="A222" s="2"/>
      <c r="B222" s="869"/>
      <c r="C222" s="869"/>
      <c r="D222" s="3"/>
      <c r="E222" s="3"/>
      <c r="F222" s="3"/>
      <c r="G222" s="2"/>
      <c r="H222" s="3"/>
      <c r="I222" s="3"/>
      <c r="J222" s="2"/>
      <c r="K222" s="3"/>
      <c r="L222" s="3"/>
      <c r="M222" s="877"/>
      <c r="N222" s="869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</row>
    <row r="223" spans="1:192" ht="13">
      <c r="A223" s="2"/>
      <c r="B223" s="869"/>
      <c r="C223" s="869"/>
      <c r="D223" s="3"/>
      <c r="E223" s="3"/>
      <c r="F223" s="3"/>
      <c r="G223" s="2"/>
      <c r="H223" s="3"/>
      <c r="I223" s="3"/>
      <c r="J223" s="2"/>
      <c r="K223" s="3"/>
      <c r="L223" s="3"/>
      <c r="M223" s="877"/>
      <c r="N223" s="869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</row>
    <row r="224" spans="1:192" ht="13">
      <c r="A224" s="2"/>
      <c r="B224" s="869"/>
      <c r="C224" s="869"/>
      <c r="D224" s="3"/>
      <c r="E224" s="3"/>
      <c r="F224" s="3"/>
      <c r="G224" s="2"/>
      <c r="H224" s="3"/>
      <c r="I224" s="3"/>
      <c r="J224" s="2"/>
      <c r="K224" s="3"/>
      <c r="L224" s="3"/>
      <c r="M224" s="877"/>
      <c r="N224" s="869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</row>
    <row r="225" spans="1:192" ht="13">
      <c r="A225" s="2"/>
      <c r="B225" s="869"/>
      <c r="C225" s="869"/>
      <c r="D225" s="3"/>
      <c r="E225" s="3"/>
      <c r="F225" s="3"/>
      <c r="G225" s="2"/>
      <c r="H225" s="3"/>
      <c r="I225" s="3"/>
      <c r="J225" s="2"/>
      <c r="K225" s="3"/>
      <c r="L225" s="3"/>
      <c r="M225" s="877"/>
      <c r="N225" s="869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</row>
    <row r="226" spans="1:192" ht="13">
      <c r="A226" s="2"/>
      <c r="B226" s="869"/>
      <c r="C226" s="869"/>
      <c r="D226" s="3"/>
      <c r="E226" s="3"/>
      <c r="F226" s="3"/>
      <c r="G226" s="2"/>
      <c r="H226" s="3"/>
      <c r="I226" s="3"/>
      <c r="J226" s="2"/>
      <c r="K226" s="3"/>
      <c r="L226" s="3"/>
      <c r="M226" s="877"/>
      <c r="N226" s="869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</row>
    <row r="227" spans="1:192" ht="13">
      <c r="A227" s="2"/>
      <c r="B227" s="869"/>
      <c r="C227" s="869"/>
      <c r="D227" s="3"/>
      <c r="E227" s="3"/>
      <c r="F227" s="3"/>
      <c r="G227" s="2"/>
      <c r="H227" s="3"/>
      <c r="I227" s="3"/>
      <c r="J227" s="2"/>
      <c r="K227" s="3"/>
      <c r="L227" s="3"/>
      <c r="M227" s="877"/>
      <c r="N227" s="869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</row>
    <row r="228" spans="1:192" ht="13">
      <c r="A228" s="2"/>
      <c r="B228" s="869"/>
      <c r="C228" s="869"/>
      <c r="D228" s="3"/>
      <c r="E228" s="3"/>
      <c r="F228" s="3"/>
      <c r="G228" s="2"/>
      <c r="H228" s="3"/>
      <c r="I228" s="3"/>
      <c r="J228" s="2"/>
      <c r="K228" s="3"/>
      <c r="L228" s="3"/>
      <c r="M228" s="877"/>
      <c r="N228" s="869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</row>
    <row r="229" spans="1:192" ht="13">
      <c r="A229" s="2"/>
      <c r="B229" s="869"/>
      <c r="C229" s="869"/>
      <c r="D229" s="3"/>
      <c r="E229" s="3"/>
      <c r="F229" s="3"/>
      <c r="G229" s="2"/>
      <c r="H229" s="3"/>
      <c r="I229" s="3"/>
      <c r="J229" s="2"/>
      <c r="K229" s="3"/>
      <c r="L229" s="3"/>
      <c r="M229" s="877"/>
      <c r="N229" s="869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</row>
    <row r="230" spans="1:192" ht="13">
      <c r="A230" s="2"/>
      <c r="B230" s="869"/>
      <c r="C230" s="869"/>
      <c r="D230" s="3"/>
      <c r="E230" s="3"/>
      <c r="F230" s="3"/>
      <c r="G230" s="2"/>
      <c r="H230" s="3"/>
      <c r="I230" s="3"/>
      <c r="J230" s="2"/>
      <c r="K230" s="3"/>
      <c r="L230" s="3"/>
      <c r="M230" s="877"/>
      <c r="N230" s="869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</row>
    <row r="231" spans="1:192" ht="13">
      <c r="A231" s="2"/>
      <c r="B231" s="869"/>
      <c r="C231" s="869"/>
      <c r="D231" s="3"/>
      <c r="E231" s="3"/>
      <c r="F231" s="3"/>
      <c r="G231" s="2"/>
      <c r="H231" s="3"/>
      <c r="I231" s="3"/>
      <c r="J231" s="2"/>
      <c r="K231" s="3"/>
      <c r="L231" s="3"/>
      <c r="M231" s="877"/>
      <c r="N231" s="869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</row>
    <row r="232" spans="1:192" ht="13">
      <c r="A232" s="2"/>
      <c r="B232" s="869"/>
      <c r="C232" s="869"/>
      <c r="D232" s="3"/>
      <c r="E232" s="3"/>
      <c r="F232" s="3"/>
      <c r="G232" s="2"/>
      <c r="H232" s="3"/>
      <c r="I232" s="3"/>
      <c r="J232" s="2"/>
      <c r="K232" s="3"/>
      <c r="L232" s="3"/>
      <c r="M232" s="877"/>
      <c r="N232" s="869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</row>
    <row r="233" spans="1:192" ht="13">
      <c r="A233" s="2"/>
      <c r="B233" s="869"/>
      <c r="C233" s="869"/>
      <c r="D233" s="3"/>
      <c r="E233" s="3"/>
      <c r="F233" s="3"/>
      <c r="G233" s="2"/>
      <c r="H233" s="3"/>
      <c r="I233" s="3"/>
      <c r="J233" s="2"/>
      <c r="K233" s="3"/>
      <c r="L233" s="3"/>
      <c r="M233" s="877"/>
      <c r="N233" s="869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</row>
    <row r="234" spans="1:192" ht="13">
      <c r="A234" s="2"/>
      <c r="B234" s="869"/>
      <c r="C234" s="869"/>
      <c r="D234" s="3"/>
      <c r="E234" s="3"/>
      <c r="F234" s="3"/>
      <c r="G234" s="2"/>
      <c r="H234" s="3"/>
      <c r="I234" s="3"/>
      <c r="J234" s="2"/>
      <c r="K234" s="3"/>
      <c r="L234" s="3"/>
      <c r="M234" s="877"/>
      <c r="N234" s="869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</row>
    <row r="235" spans="1:192" ht="13">
      <c r="A235" s="2"/>
      <c r="B235" s="869"/>
      <c r="C235" s="869"/>
      <c r="D235" s="3"/>
      <c r="E235" s="3"/>
      <c r="F235" s="3"/>
      <c r="G235" s="2"/>
      <c r="H235" s="3"/>
      <c r="I235" s="3"/>
      <c r="J235" s="2"/>
      <c r="K235" s="3"/>
      <c r="L235" s="3"/>
      <c r="M235" s="877"/>
      <c r="N235" s="869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</row>
    <row r="236" spans="1:192" ht="13">
      <c r="A236" s="2"/>
      <c r="B236" s="869"/>
      <c r="C236" s="869"/>
      <c r="D236" s="3"/>
      <c r="E236" s="3"/>
      <c r="F236" s="3"/>
      <c r="G236" s="2"/>
      <c r="H236" s="3"/>
      <c r="I236" s="3"/>
      <c r="J236" s="2"/>
      <c r="K236" s="3"/>
      <c r="L236" s="3"/>
      <c r="M236" s="877"/>
      <c r="N236" s="869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</row>
    <row r="237" spans="1:192" ht="13">
      <c r="A237" s="2"/>
      <c r="B237" s="869"/>
      <c r="C237" s="869"/>
      <c r="D237" s="3"/>
      <c r="E237" s="3"/>
      <c r="F237" s="3"/>
      <c r="G237" s="2"/>
      <c r="H237" s="3"/>
      <c r="I237" s="3"/>
      <c r="J237" s="2"/>
      <c r="K237" s="3"/>
      <c r="L237" s="3"/>
      <c r="M237" s="877"/>
      <c r="N237" s="869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</row>
    <row r="238" spans="1:192" ht="13">
      <c r="A238" s="2"/>
      <c r="B238" s="869"/>
      <c r="C238" s="869"/>
      <c r="D238" s="3"/>
      <c r="E238" s="3"/>
      <c r="F238" s="3"/>
      <c r="G238" s="2"/>
      <c r="H238" s="3"/>
      <c r="I238" s="3"/>
      <c r="J238" s="2"/>
      <c r="K238" s="3"/>
      <c r="L238" s="3"/>
      <c r="M238" s="877"/>
      <c r="N238" s="869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</row>
    <row r="239" spans="1:192" ht="13">
      <c r="A239" s="2"/>
      <c r="B239" s="869"/>
      <c r="C239" s="869"/>
      <c r="D239" s="3"/>
      <c r="E239" s="3"/>
      <c r="F239" s="3"/>
      <c r="G239" s="2"/>
      <c r="H239" s="3"/>
      <c r="I239" s="3"/>
      <c r="J239" s="2"/>
      <c r="K239" s="3"/>
      <c r="L239" s="3"/>
      <c r="M239" s="877"/>
      <c r="N239" s="869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</row>
    <row r="240" spans="1:192" ht="13">
      <c r="A240" s="2"/>
      <c r="B240" s="869"/>
      <c r="C240" s="869"/>
      <c r="D240" s="3"/>
      <c r="E240" s="3"/>
      <c r="F240" s="3"/>
      <c r="G240" s="2"/>
      <c r="H240" s="3"/>
      <c r="I240" s="3"/>
      <c r="J240" s="2"/>
      <c r="K240" s="3"/>
      <c r="L240" s="3"/>
      <c r="M240" s="877"/>
      <c r="N240" s="869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</row>
    <row r="241" spans="1:192" ht="13">
      <c r="A241" s="2"/>
      <c r="B241" s="869"/>
      <c r="C241" s="869"/>
      <c r="D241" s="3"/>
      <c r="E241" s="3"/>
      <c r="F241" s="3"/>
      <c r="G241" s="2"/>
      <c r="H241" s="3"/>
      <c r="I241" s="3"/>
      <c r="J241" s="2"/>
      <c r="K241" s="3"/>
      <c r="L241" s="3"/>
      <c r="M241" s="877"/>
      <c r="N241" s="869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</row>
    <row r="242" spans="1:192" ht="13">
      <c r="A242" s="2"/>
      <c r="B242" s="869"/>
      <c r="C242" s="869"/>
      <c r="D242" s="3"/>
      <c r="E242" s="3"/>
      <c r="F242" s="3"/>
      <c r="G242" s="2"/>
      <c r="H242" s="3"/>
      <c r="I242" s="3"/>
      <c r="J242" s="2"/>
      <c r="K242" s="3"/>
      <c r="L242" s="3"/>
      <c r="M242" s="877"/>
      <c r="N242" s="869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</row>
    <row r="243" spans="1:192" ht="13">
      <c r="A243" s="2"/>
      <c r="B243" s="869"/>
      <c r="C243" s="869"/>
      <c r="D243" s="3"/>
      <c r="E243" s="3"/>
      <c r="F243" s="3"/>
      <c r="G243" s="2"/>
      <c r="H243" s="3"/>
      <c r="I243" s="3"/>
      <c r="J243" s="2"/>
      <c r="K243" s="3"/>
      <c r="L243" s="3"/>
      <c r="M243" s="877"/>
      <c r="N243" s="869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</row>
    <row r="244" spans="1:192" ht="13">
      <c r="A244" s="2"/>
      <c r="B244" s="869"/>
      <c r="C244" s="869"/>
      <c r="D244" s="3"/>
      <c r="E244" s="3"/>
      <c r="F244" s="3"/>
      <c r="G244" s="2"/>
      <c r="H244" s="3"/>
      <c r="I244" s="3"/>
      <c r="J244" s="2"/>
      <c r="K244" s="3"/>
      <c r="L244" s="3"/>
      <c r="M244" s="877"/>
      <c r="N244" s="869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</row>
    <row r="245" spans="1:192" ht="13">
      <c r="A245" s="2"/>
      <c r="B245" s="869"/>
      <c r="C245" s="869"/>
      <c r="D245" s="3"/>
      <c r="E245" s="3"/>
      <c r="F245" s="3"/>
      <c r="G245" s="2"/>
      <c r="H245" s="3"/>
      <c r="I245" s="3"/>
      <c r="J245" s="2"/>
      <c r="K245" s="3"/>
      <c r="L245" s="3"/>
      <c r="M245" s="877"/>
      <c r="N245" s="869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</row>
    <row r="246" spans="1:192" ht="13">
      <c r="A246" s="2"/>
      <c r="B246" s="869"/>
      <c r="C246" s="869"/>
      <c r="D246" s="3"/>
      <c r="E246" s="3"/>
      <c r="F246" s="3"/>
      <c r="G246" s="2"/>
      <c r="H246" s="3"/>
      <c r="I246" s="3"/>
      <c r="J246" s="2"/>
      <c r="K246" s="3"/>
      <c r="L246" s="3"/>
      <c r="M246" s="877"/>
      <c r="N246" s="869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</row>
    <row r="247" spans="1:192" ht="13">
      <c r="A247" s="2"/>
      <c r="B247" s="869"/>
      <c r="C247" s="869"/>
      <c r="D247" s="3"/>
      <c r="E247" s="3"/>
      <c r="F247" s="3"/>
      <c r="G247" s="2"/>
      <c r="H247" s="3"/>
      <c r="I247" s="3"/>
      <c r="J247" s="2"/>
      <c r="K247" s="3"/>
      <c r="L247" s="3"/>
      <c r="M247" s="877"/>
      <c r="N247" s="869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</row>
    <row r="248" spans="1:192" ht="13">
      <c r="A248" s="2"/>
      <c r="B248" s="869"/>
      <c r="C248" s="869"/>
      <c r="D248" s="3"/>
      <c r="E248" s="3"/>
      <c r="F248" s="3"/>
      <c r="G248" s="2"/>
      <c r="H248" s="3"/>
      <c r="I248" s="3"/>
      <c r="J248" s="2"/>
      <c r="K248" s="3"/>
      <c r="L248" s="3"/>
      <c r="M248" s="877"/>
      <c r="N248" s="869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</row>
    <row r="249" spans="1:192" ht="13">
      <c r="A249" s="2"/>
      <c r="B249" s="869"/>
      <c r="C249" s="869"/>
      <c r="D249" s="3"/>
      <c r="E249" s="3"/>
      <c r="F249" s="3"/>
      <c r="G249" s="2"/>
      <c r="H249" s="3"/>
      <c r="I249" s="3"/>
      <c r="J249" s="2"/>
      <c r="K249" s="3"/>
      <c r="L249" s="3"/>
      <c r="M249" s="877"/>
      <c r="N249" s="869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</row>
    <row r="250" spans="1:192" ht="13">
      <c r="A250" s="2"/>
      <c r="B250" s="869"/>
      <c r="C250" s="869"/>
      <c r="D250" s="3"/>
      <c r="E250" s="3"/>
      <c r="F250" s="3"/>
      <c r="G250" s="2"/>
      <c r="H250" s="3"/>
      <c r="I250" s="3"/>
      <c r="J250" s="2"/>
      <c r="K250" s="3"/>
      <c r="L250" s="3"/>
      <c r="M250" s="877"/>
      <c r="N250" s="869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</row>
    <row r="251" spans="1:192" ht="13">
      <c r="A251" s="2"/>
      <c r="B251" s="869"/>
      <c r="C251" s="869"/>
      <c r="D251" s="3"/>
      <c r="E251" s="3"/>
      <c r="F251" s="3"/>
      <c r="G251" s="2"/>
      <c r="H251" s="3"/>
      <c r="I251" s="3"/>
      <c r="J251" s="2"/>
      <c r="K251" s="3"/>
      <c r="L251" s="3"/>
      <c r="M251" s="877"/>
      <c r="N251" s="869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</row>
    <row r="252" spans="1:192" ht="13">
      <c r="A252" s="2"/>
      <c r="B252" s="869"/>
      <c r="C252" s="869"/>
      <c r="D252" s="3"/>
      <c r="E252" s="3"/>
      <c r="F252" s="3"/>
      <c r="G252" s="2"/>
      <c r="H252" s="3"/>
      <c r="I252" s="3"/>
      <c r="J252" s="2"/>
      <c r="K252" s="3"/>
      <c r="L252" s="3"/>
      <c r="M252" s="877"/>
      <c r="N252" s="869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</row>
    <row r="253" spans="1:192" ht="13">
      <c r="A253" s="2"/>
      <c r="B253" s="869"/>
      <c r="C253" s="869"/>
      <c r="D253" s="3"/>
      <c r="E253" s="3"/>
      <c r="F253" s="3"/>
      <c r="G253" s="2"/>
      <c r="H253" s="3"/>
      <c r="I253" s="3"/>
      <c r="J253" s="2"/>
      <c r="K253" s="3"/>
      <c r="L253" s="3"/>
      <c r="M253" s="877"/>
      <c r="N253" s="869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</row>
    <row r="254" spans="1:192" ht="13">
      <c r="A254" s="2"/>
      <c r="B254" s="869"/>
      <c r="C254" s="869"/>
      <c r="D254" s="3"/>
      <c r="E254" s="3"/>
      <c r="F254" s="3"/>
      <c r="G254" s="2"/>
      <c r="H254" s="3"/>
      <c r="I254" s="3"/>
      <c r="J254" s="2"/>
      <c r="K254" s="3"/>
      <c r="L254" s="3"/>
      <c r="M254" s="877"/>
      <c r="N254" s="869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</row>
    <row r="255" spans="1:192" ht="13">
      <c r="A255" s="2"/>
      <c r="B255" s="869"/>
      <c r="C255" s="869"/>
      <c r="D255" s="3"/>
      <c r="E255" s="3"/>
      <c r="F255" s="3"/>
      <c r="G255" s="2"/>
      <c r="H255" s="3"/>
      <c r="I255" s="3"/>
      <c r="J255" s="2"/>
      <c r="K255" s="3"/>
      <c r="L255" s="3"/>
      <c r="M255" s="877"/>
      <c r="N255" s="869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</row>
    <row r="256" spans="1:192" ht="13">
      <c r="A256" s="2"/>
      <c r="B256" s="869"/>
      <c r="C256" s="869"/>
      <c r="D256" s="3"/>
      <c r="E256" s="3"/>
      <c r="F256" s="3"/>
      <c r="G256" s="2"/>
      <c r="H256" s="3"/>
      <c r="I256" s="3"/>
      <c r="J256" s="2"/>
      <c r="K256" s="3"/>
      <c r="L256" s="3"/>
      <c r="M256" s="877"/>
      <c r="N256" s="869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</row>
    <row r="257" spans="1:192" ht="13">
      <c r="A257" s="2"/>
      <c r="B257" s="869"/>
      <c r="C257" s="869"/>
      <c r="D257" s="3"/>
      <c r="E257" s="3"/>
      <c r="F257" s="3"/>
      <c r="G257" s="2"/>
      <c r="H257" s="3"/>
      <c r="I257" s="3"/>
      <c r="J257" s="2"/>
      <c r="K257" s="3"/>
      <c r="L257" s="3"/>
      <c r="M257" s="877"/>
      <c r="N257" s="869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</row>
    <row r="258" spans="1:192" ht="13">
      <c r="A258" s="2"/>
      <c r="B258" s="869"/>
      <c r="C258" s="869"/>
      <c r="D258" s="3"/>
      <c r="E258" s="3"/>
      <c r="F258" s="3"/>
      <c r="G258" s="2"/>
      <c r="H258" s="3"/>
      <c r="I258" s="3"/>
      <c r="J258" s="2"/>
      <c r="K258" s="3"/>
      <c r="L258" s="3"/>
      <c r="M258" s="877"/>
      <c r="N258" s="869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</row>
    <row r="259" spans="1:192" ht="13">
      <c r="A259" s="2"/>
      <c r="B259" s="869"/>
      <c r="C259" s="869"/>
      <c r="D259" s="3"/>
      <c r="E259" s="3"/>
      <c r="F259" s="3"/>
      <c r="G259" s="2"/>
      <c r="H259" s="3"/>
      <c r="I259" s="3"/>
      <c r="J259" s="2"/>
      <c r="K259" s="3"/>
      <c r="L259" s="3"/>
      <c r="M259" s="877"/>
      <c r="N259" s="869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</row>
    <row r="260" spans="1:192" ht="13">
      <c r="A260" s="2"/>
      <c r="B260" s="869"/>
      <c r="C260" s="869"/>
      <c r="D260" s="3"/>
      <c r="E260" s="3"/>
      <c r="F260" s="3"/>
      <c r="G260" s="2"/>
      <c r="H260" s="3"/>
      <c r="I260" s="3"/>
      <c r="J260" s="2"/>
      <c r="K260" s="3"/>
      <c r="L260" s="3"/>
      <c r="M260" s="877"/>
      <c r="N260" s="869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</row>
    <row r="261" spans="1:192" ht="13">
      <c r="A261" s="2"/>
      <c r="B261" s="869"/>
      <c r="C261" s="869"/>
      <c r="D261" s="3"/>
      <c r="E261" s="3"/>
      <c r="F261" s="3"/>
      <c r="G261" s="2"/>
      <c r="H261" s="3"/>
      <c r="I261" s="3"/>
      <c r="J261" s="2"/>
      <c r="K261" s="3"/>
      <c r="L261" s="3"/>
      <c r="M261" s="877"/>
      <c r="N261" s="869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</row>
    <row r="262" spans="1:192" ht="13">
      <c r="A262" s="2"/>
      <c r="B262" s="869"/>
      <c r="C262" s="869"/>
      <c r="D262" s="3"/>
      <c r="E262" s="3"/>
      <c r="F262" s="3"/>
      <c r="G262" s="2"/>
      <c r="H262" s="3"/>
      <c r="I262" s="3"/>
      <c r="J262" s="2"/>
      <c r="K262" s="3"/>
      <c r="L262" s="3"/>
      <c r="M262" s="877"/>
      <c r="N262" s="869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</row>
    <row r="263" spans="1:192" ht="13">
      <c r="A263" s="2"/>
      <c r="B263" s="869"/>
      <c r="C263" s="869"/>
      <c r="D263" s="3"/>
      <c r="E263" s="3"/>
      <c r="F263" s="3"/>
      <c r="G263" s="2"/>
      <c r="H263" s="3"/>
      <c r="I263" s="3"/>
      <c r="J263" s="2"/>
      <c r="K263" s="3"/>
      <c r="L263" s="3"/>
      <c r="M263" s="877"/>
      <c r="N263" s="869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</row>
    <row r="264" spans="1:192" ht="13">
      <c r="A264" s="2"/>
      <c r="B264" s="869"/>
      <c r="C264" s="869"/>
      <c r="D264" s="3"/>
      <c r="E264" s="3"/>
      <c r="F264" s="3"/>
      <c r="G264" s="2"/>
      <c r="H264" s="3"/>
      <c r="I264" s="3"/>
      <c r="J264" s="2"/>
      <c r="K264" s="3"/>
      <c r="L264" s="3"/>
      <c r="M264" s="877"/>
      <c r="N264" s="869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</row>
    <row r="265" spans="1:192" ht="13">
      <c r="A265" s="2"/>
      <c r="B265" s="869"/>
      <c r="C265" s="869"/>
      <c r="D265" s="3"/>
      <c r="E265" s="3"/>
      <c r="F265" s="3"/>
      <c r="G265" s="2"/>
      <c r="H265" s="3"/>
      <c r="I265" s="3"/>
      <c r="J265" s="2"/>
      <c r="K265" s="3"/>
      <c r="L265" s="3"/>
      <c r="M265" s="877"/>
      <c r="N265" s="869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</row>
    <row r="266" spans="1:192" ht="13">
      <c r="A266" s="2"/>
      <c r="B266" s="869"/>
      <c r="C266" s="869"/>
      <c r="D266" s="3"/>
      <c r="E266" s="3"/>
      <c r="F266" s="3"/>
      <c r="G266" s="2"/>
      <c r="H266" s="3"/>
      <c r="I266" s="3"/>
      <c r="J266" s="2"/>
      <c r="K266" s="3"/>
      <c r="L266" s="3"/>
      <c r="M266" s="877"/>
      <c r="N266" s="869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</row>
    <row r="267" spans="1:192" ht="13">
      <c r="A267" s="2"/>
      <c r="B267" s="869"/>
      <c r="C267" s="869"/>
      <c r="D267" s="3"/>
      <c r="E267" s="3"/>
      <c r="F267" s="3"/>
      <c r="G267" s="2"/>
      <c r="H267" s="3"/>
      <c r="I267" s="3"/>
      <c r="J267" s="2"/>
      <c r="K267" s="3"/>
      <c r="L267" s="3"/>
      <c r="M267" s="877"/>
      <c r="N267" s="869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</row>
    <row r="268" spans="1:192" ht="13">
      <c r="A268" s="2"/>
      <c r="B268" s="869"/>
      <c r="C268" s="869"/>
      <c r="D268" s="3"/>
      <c r="E268" s="3"/>
      <c r="F268" s="3"/>
      <c r="G268" s="2"/>
      <c r="H268" s="3"/>
      <c r="I268" s="3"/>
      <c r="J268" s="2"/>
      <c r="K268" s="3"/>
      <c r="L268" s="3"/>
      <c r="M268" s="877"/>
      <c r="N268" s="869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</row>
    <row r="269" spans="1:192" ht="13">
      <c r="A269" s="2"/>
      <c r="B269" s="869"/>
      <c r="C269" s="869"/>
      <c r="D269" s="3"/>
      <c r="E269" s="3"/>
      <c r="F269" s="3"/>
      <c r="G269" s="2"/>
      <c r="H269" s="3"/>
      <c r="I269" s="3"/>
      <c r="J269" s="2"/>
      <c r="K269" s="3"/>
      <c r="L269" s="3"/>
      <c r="M269" s="877"/>
      <c r="N269" s="869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</row>
    <row r="270" spans="1:192" ht="13">
      <c r="A270" s="2"/>
      <c r="B270" s="869"/>
      <c r="C270" s="869"/>
      <c r="D270" s="3"/>
      <c r="E270" s="3"/>
      <c r="F270" s="3"/>
      <c r="G270" s="2"/>
      <c r="H270" s="3"/>
      <c r="I270" s="3"/>
      <c r="J270" s="2"/>
      <c r="K270" s="3"/>
      <c r="L270" s="3"/>
      <c r="M270" s="877"/>
      <c r="N270" s="869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</row>
    <row r="271" spans="1:192" ht="13">
      <c r="A271" s="2"/>
      <c r="B271" s="869"/>
      <c r="C271" s="869"/>
      <c r="D271" s="3"/>
      <c r="E271" s="3"/>
      <c r="F271" s="3"/>
      <c r="G271" s="2"/>
      <c r="H271" s="3"/>
      <c r="I271" s="3"/>
      <c r="J271" s="2"/>
      <c r="K271" s="3"/>
      <c r="L271" s="3"/>
      <c r="M271" s="877"/>
      <c r="N271" s="869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</row>
    <row r="272" spans="1:192" ht="13">
      <c r="A272" s="2"/>
      <c r="B272" s="869"/>
      <c r="C272" s="869"/>
      <c r="D272" s="3"/>
      <c r="E272" s="3"/>
      <c r="F272" s="3"/>
      <c r="G272" s="2"/>
      <c r="H272" s="3"/>
      <c r="I272" s="3"/>
      <c r="J272" s="2"/>
      <c r="K272" s="3"/>
      <c r="L272" s="3"/>
      <c r="M272" s="877"/>
      <c r="N272" s="869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</row>
    <row r="273" spans="1:192" ht="13">
      <c r="A273" s="2"/>
      <c r="B273" s="869"/>
      <c r="C273" s="869"/>
      <c r="D273" s="3"/>
      <c r="E273" s="3"/>
      <c r="F273" s="3"/>
      <c r="G273" s="2"/>
      <c r="H273" s="3"/>
      <c r="I273" s="3"/>
      <c r="J273" s="2"/>
      <c r="K273" s="3"/>
      <c r="L273" s="3"/>
      <c r="M273" s="877"/>
      <c r="N273" s="869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</row>
    <row r="274" spans="1:192" ht="13">
      <c r="A274" s="2"/>
      <c r="B274" s="869"/>
      <c r="C274" s="869"/>
      <c r="D274" s="3"/>
      <c r="E274" s="3"/>
      <c r="F274" s="3"/>
      <c r="G274" s="2"/>
      <c r="H274" s="3"/>
      <c r="I274" s="3"/>
      <c r="J274" s="2"/>
      <c r="K274" s="3"/>
      <c r="L274" s="3"/>
      <c r="M274" s="877"/>
      <c r="N274" s="869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</row>
    <row r="275" spans="1:192" ht="13">
      <c r="A275" s="2"/>
      <c r="B275" s="869"/>
      <c r="C275" s="869"/>
      <c r="D275" s="3"/>
      <c r="E275" s="3"/>
      <c r="F275" s="3"/>
      <c r="G275" s="2"/>
      <c r="H275" s="3"/>
      <c r="I275" s="3"/>
      <c r="J275" s="2"/>
      <c r="K275" s="3"/>
      <c r="L275" s="3"/>
      <c r="M275" s="877"/>
      <c r="N275" s="869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</row>
    <row r="276" spans="1:192" ht="13">
      <c r="A276" s="2"/>
      <c r="B276" s="869"/>
      <c r="C276" s="869"/>
      <c r="D276" s="3"/>
      <c r="E276" s="3"/>
      <c r="F276" s="3"/>
      <c r="G276" s="2"/>
      <c r="H276" s="3"/>
      <c r="I276" s="3"/>
      <c r="J276" s="2"/>
      <c r="K276" s="3"/>
      <c r="L276" s="3"/>
      <c r="M276" s="877"/>
      <c r="N276" s="869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</row>
    <row r="277" spans="1:192" ht="13">
      <c r="A277" s="2"/>
      <c r="B277" s="869"/>
      <c r="C277" s="869"/>
      <c r="D277" s="3"/>
      <c r="E277" s="3"/>
      <c r="F277" s="3"/>
      <c r="G277" s="2"/>
      <c r="H277" s="3"/>
      <c r="I277" s="3"/>
      <c r="J277" s="2"/>
      <c r="K277" s="3"/>
      <c r="L277" s="3"/>
      <c r="M277" s="877"/>
      <c r="N277" s="869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</row>
    <row r="278" spans="1:192" ht="13">
      <c r="A278" s="2"/>
      <c r="B278" s="869"/>
      <c r="C278" s="869"/>
      <c r="D278" s="3"/>
      <c r="E278" s="3"/>
      <c r="F278" s="3"/>
      <c r="G278" s="2"/>
      <c r="H278" s="3"/>
      <c r="I278" s="3"/>
      <c r="J278" s="2"/>
      <c r="K278" s="3"/>
      <c r="L278" s="3"/>
      <c r="M278" s="877"/>
      <c r="N278" s="869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</row>
    <row r="279" spans="1:192" ht="13">
      <c r="A279" s="2"/>
      <c r="B279" s="869"/>
      <c r="C279" s="869"/>
      <c r="D279" s="3"/>
      <c r="E279" s="3"/>
      <c r="F279" s="3"/>
      <c r="G279" s="2"/>
      <c r="H279" s="3"/>
      <c r="I279" s="3"/>
      <c r="J279" s="2"/>
      <c r="K279" s="3"/>
      <c r="L279" s="3"/>
      <c r="M279" s="877"/>
      <c r="N279" s="869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</row>
    <row r="280" spans="1:192" ht="13">
      <c r="A280" s="2"/>
      <c r="B280" s="869"/>
      <c r="C280" s="869"/>
      <c r="D280" s="3"/>
      <c r="E280" s="3"/>
      <c r="F280" s="3"/>
      <c r="G280" s="2"/>
      <c r="H280" s="3"/>
      <c r="I280" s="3"/>
      <c r="J280" s="2"/>
      <c r="K280" s="3"/>
      <c r="L280" s="3"/>
      <c r="M280" s="877"/>
      <c r="N280" s="869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</row>
    <row r="281" spans="1:192" ht="13">
      <c r="A281" s="2"/>
      <c r="B281" s="869"/>
      <c r="C281" s="869"/>
      <c r="D281" s="3"/>
      <c r="E281" s="3"/>
      <c r="F281" s="3"/>
      <c r="G281" s="2"/>
      <c r="H281" s="3"/>
      <c r="I281" s="3"/>
      <c r="J281" s="2"/>
      <c r="K281" s="3"/>
      <c r="L281" s="3"/>
      <c r="M281" s="877"/>
      <c r="N281" s="869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</row>
    <row r="282" spans="1:192" ht="13">
      <c r="A282" s="2"/>
      <c r="B282" s="869"/>
      <c r="C282" s="869"/>
      <c r="D282" s="3"/>
      <c r="E282" s="3"/>
      <c r="F282" s="3"/>
      <c r="G282" s="2"/>
      <c r="H282" s="3"/>
      <c r="I282" s="3"/>
      <c r="J282" s="2"/>
      <c r="K282" s="3"/>
      <c r="L282" s="3"/>
      <c r="M282" s="877"/>
      <c r="N282" s="869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</row>
    <row r="283" spans="1:192" ht="13">
      <c r="A283" s="2"/>
      <c r="B283" s="869"/>
      <c r="C283" s="869"/>
      <c r="D283" s="3"/>
      <c r="E283" s="3"/>
      <c r="F283" s="3"/>
      <c r="G283" s="2"/>
      <c r="H283" s="3"/>
      <c r="I283" s="3"/>
      <c r="J283" s="2"/>
      <c r="K283" s="3"/>
      <c r="L283" s="3"/>
      <c r="M283" s="877"/>
      <c r="N283" s="869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</row>
    <row r="284" spans="1:192" ht="13">
      <c r="A284" s="2"/>
      <c r="B284" s="869"/>
      <c r="C284" s="869"/>
      <c r="D284" s="3"/>
      <c r="E284" s="3"/>
      <c r="F284" s="3"/>
      <c r="G284" s="2"/>
      <c r="H284" s="3"/>
      <c r="I284" s="3"/>
      <c r="J284" s="2"/>
      <c r="K284" s="3"/>
      <c r="L284" s="3"/>
      <c r="M284" s="877"/>
      <c r="N284" s="869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</row>
    <row r="285" spans="1:192" ht="13">
      <c r="A285" s="2"/>
      <c r="B285" s="869"/>
      <c r="C285" s="869"/>
      <c r="D285" s="3"/>
      <c r="E285" s="3"/>
      <c r="F285" s="3"/>
      <c r="G285" s="2"/>
      <c r="H285" s="3"/>
      <c r="I285" s="3"/>
      <c r="J285" s="2"/>
      <c r="K285" s="3"/>
      <c r="L285" s="3"/>
      <c r="M285" s="877"/>
      <c r="N285" s="869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</row>
    <row r="286" spans="1:192" ht="13">
      <c r="A286" s="2"/>
      <c r="B286" s="869"/>
      <c r="C286" s="869"/>
      <c r="D286" s="3"/>
      <c r="E286" s="3"/>
      <c r="F286" s="3"/>
      <c r="G286" s="2"/>
      <c r="H286" s="3"/>
      <c r="I286" s="3"/>
      <c r="J286" s="2"/>
      <c r="K286" s="3"/>
      <c r="L286" s="3"/>
      <c r="M286" s="877"/>
      <c r="N286" s="869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</row>
    <row r="287" spans="1:192" ht="13">
      <c r="A287" s="2"/>
      <c r="B287" s="869"/>
      <c r="C287" s="869"/>
      <c r="D287" s="3"/>
      <c r="E287" s="3"/>
      <c r="F287" s="3"/>
      <c r="G287" s="2"/>
      <c r="H287" s="3"/>
      <c r="I287" s="3"/>
      <c r="J287" s="2"/>
      <c r="K287" s="3"/>
      <c r="L287" s="3"/>
      <c r="M287" s="877"/>
      <c r="N287" s="869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</row>
    <row r="288" spans="1:192" ht="13">
      <c r="A288" s="2"/>
      <c r="B288" s="869"/>
      <c r="C288" s="869"/>
      <c r="D288" s="3"/>
      <c r="E288" s="3"/>
      <c r="F288" s="3"/>
      <c r="G288" s="2"/>
      <c r="H288" s="3"/>
      <c r="I288" s="3"/>
      <c r="J288" s="2"/>
      <c r="K288" s="3"/>
      <c r="L288" s="3"/>
      <c r="M288" s="877"/>
      <c r="N288" s="869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</row>
    <row r="289" spans="1:192" ht="13">
      <c r="A289" s="2"/>
      <c r="B289" s="869"/>
      <c r="C289" s="869"/>
      <c r="D289" s="3"/>
      <c r="E289" s="3"/>
      <c r="F289" s="3"/>
      <c r="G289" s="2"/>
      <c r="H289" s="3"/>
      <c r="I289" s="3"/>
      <c r="J289" s="2"/>
      <c r="K289" s="3"/>
      <c r="L289" s="3"/>
      <c r="M289" s="877"/>
      <c r="N289" s="869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</row>
    <row r="290" spans="1:192" ht="13">
      <c r="A290" s="2"/>
      <c r="B290" s="869"/>
      <c r="C290" s="869"/>
      <c r="D290" s="3"/>
      <c r="E290" s="3"/>
      <c r="F290" s="3"/>
      <c r="G290" s="2"/>
      <c r="H290" s="3"/>
      <c r="I290" s="3"/>
      <c r="J290" s="2"/>
      <c r="K290" s="3"/>
      <c r="L290" s="3"/>
      <c r="M290" s="877"/>
      <c r="N290" s="869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</row>
    <row r="291" spans="1:192" ht="13">
      <c r="A291" s="2"/>
      <c r="B291" s="869"/>
      <c r="C291" s="869"/>
      <c r="D291" s="3"/>
      <c r="E291" s="3"/>
      <c r="F291" s="3"/>
      <c r="G291" s="2"/>
      <c r="H291" s="3"/>
      <c r="I291" s="3"/>
      <c r="J291" s="2"/>
      <c r="K291" s="3"/>
      <c r="L291" s="3"/>
      <c r="M291" s="877"/>
      <c r="N291" s="869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</row>
    <row r="292" spans="1:192" ht="13">
      <c r="A292" s="2"/>
      <c r="B292" s="869"/>
      <c r="C292" s="869"/>
      <c r="D292" s="3"/>
      <c r="E292" s="3"/>
      <c r="F292" s="3"/>
      <c r="G292" s="2"/>
      <c r="H292" s="3"/>
      <c r="I292" s="3"/>
      <c r="J292" s="2"/>
      <c r="K292" s="3"/>
      <c r="L292" s="3"/>
      <c r="M292" s="877"/>
      <c r="N292" s="869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</row>
    <row r="293" spans="1:192" ht="13">
      <c r="A293" s="2"/>
      <c r="B293" s="869"/>
      <c r="C293" s="869"/>
      <c r="D293" s="3"/>
      <c r="E293" s="3"/>
      <c r="F293" s="3"/>
      <c r="G293" s="2"/>
      <c r="H293" s="3"/>
      <c r="I293" s="3"/>
      <c r="J293" s="2"/>
      <c r="K293" s="3"/>
      <c r="L293" s="3"/>
      <c r="M293" s="877"/>
      <c r="N293" s="869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</row>
    <row r="294" spans="1:192" ht="13">
      <c r="A294" s="2"/>
      <c r="B294" s="869"/>
      <c r="C294" s="869"/>
      <c r="D294" s="3"/>
      <c r="E294" s="3"/>
      <c r="F294" s="3"/>
      <c r="G294" s="2"/>
      <c r="H294" s="3"/>
      <c r="I294" s="3"/>
      <c r="J294" s="2"/>
      <c r="K294" s="3"/>
      <c r="L294" s="3"/>
      <c r="M294" s="877"/>
      <c r="N294" s="869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</row>
    <row r="295" spans="1:192" ht="13">
      <c r="A295" s="2"/>
      <c r="B295" s="869"/>
      <c r="C295" s="869"/>
      <c r="D295" s="3"/>
      <c r="E295" s="3"/>
      <c r="F295" s="3"/>
      <c r="G295" s="2"/>
      <c r="H295" s="3"/>
      <c r="I295" s="3"/>
      <c r="J295" s="2"/>
      <c r="K295" s="3"/>
      <c r="L295" s="3"/>
      <c r="M295" s="877"/>
      <c r="N295" s="869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</row>
    <row r="296" spans="1:192" ht="13">
      <c r="A296" s="2"/>
      <c r="B296" s="869"/>
      <c r="C296" s="869"/>
      <c r="D296" s="3"/>
      <c r="E296" s="3"/>
      <c r="F296" s="3"/>
      <c r="G296" s="2"/>
      <c r="H296" s="3"/>
      <c r="I296" s="3"/>
      <c r="J296" s="2"/>
      <c r="K296" s="3"/>
      <c r="L296" s="3"/>
      <c r="M296" s="877"/>
      <c r="N296" s="869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</row>
    <row r="297" spans="1:192" ht="13">
      <c r="A297" s="2"/>
      <c r="B297" s="869"/>
      <c r="C297" s="869"/>
      <c r="D297" s="3"/>
      <c r="E297" s="3"/>
      <c r="F297" s="3"/>
      <c r="G297" s="2"/>
      <c r="H297" s="3"/>
      <c r="I297" s="3"/>
      <c r="J297" s="2"/>
      <c r="K297" s="3"/>
      <c r="L297" s="3"/>
      <c r="M297" s="877"/>
      <c r="N297" s="869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</row>
    <row r="298" spans="1:192" ht="13">
      <c r="A298" s="2"/>
      <c r="B298" s="869"/>
      <c r="C298" s="869"/>
      <c r="D298" s="3"/>
      <c r="E298" s="3"/>
      <c r="F298" s="3"/>
      <c r="G298" s="2"/>
      <c r="H298" s="3"/>
      <c r="I298" s="3"/>
      <c r="J298" s="2"/>
      <c r="K298" s="3"/>
      <c r="L298" s="3"/>
      <c r="M298" s="877"/>
      <c r="N298" s="869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</row>
    <row r="299" spans="1:192" ht="13">
      <c r="A299" s="2"/>
      <c r="B299" s="869"/>
      <c r="C299" s="869"/>
      <c r="D299" s="3"/>
      <c r="E299" s="3"/>
      <c r="F299" s="3"/>
      <c r="G299" s="2"/>
      <c r="H299" s="3"/>
      <c r="I299" s="3"/>
      <c r="J299" s="2"/>
      <c r="K299" s="3"/>
      <c r="L299" s="3"/>
      <c r="M299" s="877"/>
      <c r="N299" s="869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</row>
    <row r="300" spans="1:192" ht="13">
      <c r="A300" s="2"/>
      <c r="B300" s="869"/>
      <c r="C300" s="869"/>
      <c r="D300" s="3"/>
      <c r="E300" s="3"/>
      <c r="F300" s="3"/>
      <c r="G300" s="2"/>
      <c r="H300" s="3"/>
      <c r="I300" s="3"/>
      <c r="J300" s="2"/>
      <c r="K300" s="3"/>
      <c r="L300" s="3"/>
      <c r="M300" s="877"/>
      <c r="N300" s="869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</row>
    <row r="301" spans="1:192" ht="13">
      <c r="A301" s="2"/>
      <c r="B301" s="869"/>
      <c r="C301" s="869"/>
      <c r="D301" s="3"/>
      <c r="E301" s="3"/>
      <c r="F301" s="3"/>
      <c r="G301" s="2"/>
      <c r="H301" s="3"/>
      <c r="I301" s="3"/>
      <c r="J301" s="2"/>
      <c r="K301" s="3"/>
      <c r="L301" s="3"/>
      <c r="M301" s="877"/>
      <c r="N301" s="869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</row>
    <row r="302" spans="1:192" ht="13">
      <c r="A302" s="2"/>
      <c r="B302" s="869"/>
      <c r="C302" s="869"/>
      <c r="D302" s="3"/>
      <c r="E302" s="3"/>
      <c r="F302" s="3"/>
      <c r="G302" s="2"/>
      <c r="H302" s="3"/>
      <c r="I302" s="3"/>
      <c r="J302" s="2"/>
      <c r="K302" s="3"/>
      <c r="L302" s="3"/>
      <c r="M302" s="877"/>
      <c r="N302" s="869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</row>
    <row r="303" spans="1:192" ht="13">
      <c r="A303" s="2"/>
      <c r="B303" s="869"/>
      <c r="C303" s="869"/>
      <c r="D303" s="3"/>
      <c r="E303" s="3"/>
      <c r="F303" s="3"/>
      <c r="G303" s="2"/>
      <c r="H303" s="3"/>
      <c r="I303" s="3"/>
      <c r="J303" s="2"/>
      <c r="K303" s="3"/>
      <c r="L303" s="3"/>
      <c r="M303" s="877"/>
      <c r="N303" s="869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</row>
    <row r="304" spans="1:192" ht="13">
      <c r="A304" s="2"/>
      <c r="B304" s="869"/>
      <c r="C304" s="869"/>
      <c r="D304" s="3"/>
      <c r="E304" s="3"/>
      <c r="F304" s="3"/>
      <c r="G304" s="2"/>
      <c r="H304" s="3"/>
      <c r="I304" s="3"/>
      <c r="J304" s="2"/>
      <c r="K304" s="3"/>
      <c r="L304" s="3"/>
      <c r="M304" s="877"/>
      <c r="N304" s="869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</row>
    <row r="305" spans="1:192" ht="13">
      <c r="A305" s="2"/>
      <c r="B305" s="869"/>
      <c r="C305" s="869"/>
      <c r="D305" s="3"/>
      <c r="E305" s="3"/>
      <c r="F305" s="3"/>
      <c r="G305" s="2"/>
      <c r="H305" s="3"/>
      <c r="I305" s="3"/>
      <c r="J305" s="2"/>
      <c r="K305" s="3"/>
      <c r="L305" s="3"/>
      <c r="M305" s="877"/>
      <c r="N305" s="869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</row>
    <row r="306" spans="1:192" ht="13">
      <c r="A306" s="2"/>
      <c r="B306" s="869"/>
      <c r="C306" s="869"/>
      <c r="D306" s="3"/>
      <c r="E306" s="3"/>
      <c r="F306" s="3"/>
      <c r="G306" s="2"/>
      <c r="H306" s="3"/>
      <c r="I306" s="3"/>
      <c r="J306" s="2"/>
      <c r="K306" s="3"/>
      <c r="L306" s="3"/>
      <c r="M306" s="877"/>
      <c r="N306" s="869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</row>
    <row r="307" spans="1:192" ht="13">
      <c r="A307" s="2"/>
      <c r="B307" s="869"/>
      <c r="C307" s="869"/>
      <c r="D307" s="3"/>
      <c r="E307" s="3"/>
      <c r="F307" s="3"/>
      <c r="G307" s="2"/>
      <c r="H307" s="3"/>
      <c r="I307" s="3"/>
      <c r="J307" s="2"/>
      <c r="K307" s="3"/>
      <c r="L307" s="3"/>
      <c r="M307" s="877"/>
      <c r="N307" s="869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</row>
    <row r="308" spans="1:192" ht="13">
      <c r="A308" s="2"/>
      <c r="B308" s="869"/>
      <c r="C308" s="869"/>
      <c r="D308" s="3"/>
      <c r="E308" s="3"/>
      <c r="F308" s="3"/>
      <c r="G308" s="2"/>
      <c r="H308" s="3"/>
      <c r="I308" s="3"/>
      <c r="J308" s="2"/>
      <c r="K308" s="3"/>
      <c r="L308" s="3"/>
      <c r="M308" s="877"/>
      <c r="N308" s="869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</row>
    <row r="309" spans="1:192" ht="13">
      <c r="A309" s="2"/>
      <c r="B309" s="869"/>
      <c r="C309" s="869"/>
      <c r="D309" s="3"/>
      <c r="E309" s="3"/>
      <c r="F309" s="3"/>
      <c r="G309" s="2"/>
      <c r="H309" s="3"/>
      <c r="I309" s="3"/>
      <c r="J309" s="2"/>
      <c r="K309" s="3"/>
      <c r="L309" s="3"/>
      <c r="M309" s="877"/>
      <c r="N309" s="869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</row>
    <row r="310" spans="1:192" ht="13">
      <c r="A310" s="2"/>
      <c r="B310" s="869"/>
      <c r="C310" s="869"/>
      <c r="D310" s="3"/>
      <c r="E310" s="3"/>
      <c r="F310" s="3"/>
      <c r="G310" s="2"/>
      <c r="H310" s="3"/>
      <c r="I310" s="3"/>
      <c r="J310" s="2"/>
      <c r="K310" s="3"/>
      <c r="L310" s="3"/>
      <c r="M310" s="877"/>
      <c r="N310" s="869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</row>
    <row r="311" spans="1:192" ht="13">
      <c r="A311" s="2"/>
      <c r="B311" s="869"/>
      <c r="C311" s="869"/>
      <c r="D311" s="3"/>
      <c r="E311" s="3"/>
      <c r="F311" s="3"/>
      <c r="G311" s="2"/>
      <c r="H311" s="3"/>
      <c r="I311" s="3"/>
      <c r="J311" s="2"/>
      <c r="K311" s="3"/>
      <c r="L311" s="3"/>
      <c r="M311" s="877"/>
      <c r="N311" s="869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</row>
    <row r="312" spans="1:192" ht="13">
      <c r="A312" s="2"/>
      <c r="B312" s="869"/>
      <c r="C312" s="869"/>
      <c r="D312" s="3"/>
      <c r="E312" s="3"/>
      <c r="F312" s="3"/>
      <c r="G312" s="2"/>
      <c r="H312" s="3"/>
      <c r="I312" s="3"/>
      <c r="J312" s="2"/>
      <c r="K312" s="3"/>
      <c r="L312" s="3"/>
      <c r="M312" s="877"/>
      <c r="N312" s="869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</row>
    <row r="313" spans="1:192" ht="13">
      <c r="A313" s="2"/>
      <c r="B313" s="869"/>
      <c r="C313" s="869"/>
      <c r="D313" s="3"/>
      <c r="E313" s="3"/>
      <c r="F313" s="3"/>
      <c r="G313" s="2"/>
      <c r="H313" s="3"/>
      <c r="I313" s="3"/>
      <c r="J313" s="2"/>
      <c r="K313" s="3"/>
      <c r="L313" s="3"/>
      <c r="M313" s="877"/>
      <c r="N313" s="869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</row>
    <row r="314" spans="1:192" ht="13">
      <c r="A314" s="2"/>
      <c r="B314" s="869"/>
      <c r="C314" s="869"/>
      <c r="D314" s="3"/>
      <c r="E314" s="3"/>
      <c r="F314" s="3"/>
      <c r="G314" s="2"/>
      <c r="H314" s="3"/>
      <c r="I314" s="3"/>
      <c r="J314" s="2"/>
      <c r="K314" s="3"/>
      <c r="L314" s="3"/>
      <c r="M314" s="877"/>
      <c r="N314" s="869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</row>
    <row r="315" spans="1:192" ht="13">
      <c r="A315" s="2"/>
      <c r="B315" s="869"/>
      <c r="C315" s="869"/>
      <c r="D315" s="3"/>
      <c r="E315" s="3"/>
      <c r="F315" s="3"/>
      <c r="G315" s="2"/>
      <c r="H315" s="3"/>
      <c r="I315" s="3"/>
      <c r="J315" s="2"/>
      <c r="K315" s="3"/>
      <c r="L315" s="3"/>
      <c r="M315" s="877"/>
      <c r="N315" s="869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</row>
    <row r="316" spans="1:192" ht="13">
      <c r="A316" s="2"/>
      <c r="B316" s="869"/>
      <c r="C316" s="869"/>
      <c r="D316" s="3"/>
      <c r="E316" s="3"/>
      <c r="F316" s="3"/>
      <c r="G316" s="2"/>
      <c r="H316" s="3"/>
      <c r="I316" s="3"/>
      <c r="J316" s="2"/>
      <c r="K316" s="3"/>
      <c r="L316" s="3"/>
      <c r="M316" s="877"/>
      <c r="N316" s="869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</row>
    <row r="317" spans="1:192" ht="13">
      <c r="A317" s="2"/>
      <c r="B317" s="869"/>
      <c r="C317" s="869"/>
      <c r="D317" s="3"/>
      <c r="E317" s="3"/>
      <c r="F317" s="3"/>
      <c r="G317" s="2"/>
      <c r="H317" s="3"/>
      <c r="I317" s="3"/>
      <c r="J317" s="2"/>
      <c r="K317" s="3"/>
      <c r="L317" s="3"/>
      <c r="M317" s="877"/>
      <c r="N317" s="869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</row>
    <row r="318" spans="1:192" ht="13">
      <c r="A318" s="2"/>
      <c r="B318" s="869"/>
      <c r="C318" s="869"/>
      <c r="D318" s="3"/>
      <c r="E318" s="3"/>
      <c r="F318" s="3"/>
      <c r="G318" s="2"/>
      <c r="H318" s="3"/>
      <c r="I318" s="3"/>
      <c r="J318" s="2"/>
      <c r="K318" s="3"/>
      <c r="L318" s="3"/>
      <c r="M318" s="877"/>
      <c r="N318" s="869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</row>
    <row r="319" spans="1:192" ht="13">
      <c r="A319" s="2"/>
      <c r="B319" s="869"/>
      <c r="C319" s="869"/>
      <c r="D319" s="3"/>
      <c r="E319" s="3"/>
      <c r="F319" s="3"/>
      <c r="G319" s="2"/>
      <c r="H319" s="3"/>
      <c r="I319" s="3"/>
      <c r="J319" s="2"/>
      <c r="K319" s="3"/>
      <c r="L319" s="3"/>
      <c r="M319" s="877"/>
      <c r="N319" s="869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</row>
    <row r="320" spans="1:192" ht="13">
      <c r="A320" s="2"/>
      <c r="B320" s="869"/>
      <c r="C320" s="869"/>
      <c r="D320" s="3"/>
      <c r="E320" s="3"/>
      <c r="F320" s="3"/>
      <c r="G320" s="2"/>
      <c r="H320" s="3"/>
      <c r="I320" s="3"/>
      <c r="J320" s="2"/>
      <c r="K320" s="3"/>
      <c r="L320" s="3"/>
      <c r="M320" s="877"/>
      <c r="N320" s="869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</row>
    <row r="321" spans="1:192" ht="13">
      <c r="A321" s="2"/>
      <c r="B321" s="869"/>
      <c r="C321" s="869"/>
      <c r="D321" s="3"/>
      <c r="E321" s="3"/>
      <c r="F321" s="3"/>
      <c r="G321" s="2"/>
      <c r="H321" s="3"/>
      <c r="I321" s="3"/>
      <c r="J321" s="2"/>
      <c r="K321" s="3"/>
      <c r="L321" s="3"/>
      <c r="M321" s="877"/>
      <c r="N321" s="869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</row>
    <row r="322" spans="1:192" ht="13">
      <c r="A322" s="2"/>
      <c r="B322" s="869"/>
      <c r="C322" s="869"/>
      <c r="D322" s="3"/>
      <c r="E322" s="3"/>
      <c r="F322" s="3"/>
      <c r="G322" s="2"/>
      <c r="H322" s="3"/>
      <c r="I322" s="3"/>
      <c r="J322" s="2"/>
      <c r="K322" s="3"/>
      <c r="L322" s="3"/>
      <c r="M322" s="877"/>
      <c r="N322" s="869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</row>
    <row r="323" spans="1:192" ht="13">
      <c r="A323" s="2"/>
      <c r="B323" s="869"/>
      <c r="C323" s="869"/>
      <c r="D323" s="3"/>
      <c r="E323" s="3"/>
      <c r="F323" s="3"/>
      <c r="G323" s="2"/>
      <c r="H323" s="3"/>
      <c r="I323" s="3"/>
      <c r="J323" s="2"/>
      <c r="K323" s="3"/>
      <c r="L323" s="3"/>
      <c r="M323" s="877"/>
      <c r="N323" s="869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</row>
    <row r="324" spans="1:192" ht="13">
      <c r="A324" s="2"/>
      <c r="B324" s="869"/>
      <c r="C324" s="869"/>
      <c r="D324" s="3"/>
      <c r="E324" s="3"/>
      <c r="F324" s="3"/>
      <c r="G324" s="2"/>
      <c r="H324" s="3"/>
      <c r="I324" s="3"/>
      <c r="J324" s="2"/>
      <c r="K324" s="3"/>
      <c r="L324" s="3"/>
      <c r="M324" s="877"/>
      <c r="N324" s="869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</row>
    <row r="325" spans="1:192" ht="13">
      <c r="A325" s="2"/>
      <c r="B325" s="869"/>
      <c r="C325" s="869"/>
      <c r="D325" s="3"/>
      <c r="E325" s="3"/>
      <c r="F325" s="3"/>
      <c r="G325" s="2"/>
      <c r="H325" s="3"/>
      <c r="I325" s="3"/>
      <c r="J325" s="2"/>
      <c r="K325" s="3"/>
      <c r="L325" s="3"/>
      <c r="M325" s="877"/>
      <c r="N325" s="869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</row>
    <row r="326" spans="1:192" ht="13">
      <c r="A326" s="2"/>
      <c r="B326" s="869"/>
      <c r="C326" s="869"/>
      <c r="D326" s="3"/>
      <c r="E326" s="3"/>
      <c r="F326" s="3"/>
      <c r="G326" s="2"/>
      <c r="H326" s="3"/>
      <c r="I326" s="3"/>
      <c r="J326" s="2"/>
      <c r="K326" s="3"/>
      <c r="L326" s="3"/>
      <c r="M326" s="877"/>
      <c r="N326" s="869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</row>
    <row r="327" spans="1:192" ht="13">
      <c r="A327" s="2"/>
      <c r="B327" s="869"/>
      <c r="C327" s="869"/>
      <c r="D327" s="3"/>
      <c r="E327" s="3"/>
      <c r="F327" s="3"/>
      <c r="G327" s="2"/>
      <c r="H327" s="3"/>
      <c r="I327" s="3"/>
      <c r="J327" s="2"/>
      <c r="K327" s="3"/>
      <c r="L327" s="3"/>
      <c r="M327" s="877"/>
      <c r="N327" s="869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</row>
    <row r="328" spans="1:192" ht="13">
      <c r="A328" s="2"/>
      <c r="B328" s="869"/>
      <c r="C328" s="869"/>
      <c r="D328" s="3"/>
      <c r="E328" s="3"/>
      <c r="F328" s="3"/>
      <c r="G328" s="2"/>
      <c r="H328" s="3"/>
      <c r="I328" s="3"/>
      <c r="J328" s="2"/>
      <c r="K328" s="3"/>
      <c r="L328" s="3"/>
      <c r="M328" s="877"/>
      <c r="N328" s="869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</row>
    <row r="329" spans="1:192" ht="13">
      <c r="A329" s="2"/>
      <c r="B329" s="869"/>
      <c r="C329" s="869"/>
      <c r="D329" s="3"/>
      <c r="E329" s="3"/>
      <c r="F329" s="3"/>
      <c r="G329" s="2"/>
      <c r="H329" s="3"/>
      <c r="I329" s="3"/>
      <c r="J329" s="2"/>
      <c r="K329" s="3"/>
      <c r="L329" s="3"/>
      <c r="M329" s="877"/>
      <c r="N329" s="869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</row>
    <row r="330" spans="1:192" ht="13">
      <c r="A330" s="2"/>
      <c r="B330" s="869"/>
      <c r="C330" s="869"/>
      <c r="D330" s="3"/>
      <c r="E330" s="3"/>
      <c r="F330" s="3"/>
      <c r="G330" s="2"/>
      <c r="H330" s="3"/>
      <c r="I330" s="3"/>
      <c r="J330" s="2"/>
      <c r="K330" s="3"/>
      <c r="L330" s="3"/>
      <c r="M330" s="877"/>
      <c r="N330" s="869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</row>
    <row r="331" spans="1:192" ht="13">
      <c r="A331" s="2"/>
      <c r="B331" s="869"/>
      <c r="C331" s="869"/>
      <c r="D331" s="3"/>
      <c r="E331" s="3"/>
      <c r="F331" s="3"/>
      <c r="G331" s="2"/>
      <c r="H331" s="3"/>
      <c r="I331" s="3"/>
      <c r="J331" s="2"/>
      <c r="K331" s="3"/>
      <c r="L331" s="3"/>
      <c r="M331" s="877"/>
      <c r="N331" s="869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</row>
    <row r="332" spans="1:192" ht="13">
      <c r="A332" s="2"/>
      <c r="B332" s="869"/>
      <c r="C332" s="869"/>
      <c r="D332" s="3"/>
      <c r="E332" s="3"/>
      <c r="F332" s="3"/>
      <c r="G332" s="2"/>
      <c r="H332" s="3"/>
      <c r="I332" s="3"/>
      <c r="J332" s="2"/>
      <c r="K332" s="3"/>
      <c r="L332" s="3"/>
      <c r="M332" s="877"/>
      <c r="N332" s="869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</row>
    <row r="333" spans="1:192" ht="13">
      <c r="A333" s="2"/>
      <c r="B333" s="869"/>
      <c r="C333" s="869"/>
      <c r="D333" s="3"/>
      <c r="E333" s="3"/>
      <c r="F333" s="3"/>
      <c r="G333" s="2"/>
      <c r="H333" s="3"/>
      <c r="I333" s="3"/>
      <c r="J333" s="2"/>
      <c r="K333" s="3"/>
      <c r="L333" s="3"/>
      <c r="M333" s="877"/>
      <c r="N333" s="869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</row>
    <row r="334" spans="1:192" ht="13">
      <c r="A334" s="2"/>
      <c r="B334" s="869"/>
      <c r="C334" s="869"/>
      <c r="D334" s="3"/>
      <c r="E334" s="3"/>
      <c r="F334" s="3"/>
      <c r="G334" s="2"/>
      <c r="H334" s="3"/>
      <c r="I334" s="3"/>
      <c r="J334" s="2"/>
      <c r="K334" s="3"/>
      <c r="L334" s="3"/>
      <c r="M334" s="877"/>
      <c r="N334" s="869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</row>
    <row r="335" spans="1:192" ht="13">
      <c r="A335" s="2"/>
      <c r="B335" s="869"/>
      <c r="C335" s="869"/>
      <c r="D335" s="3"/>
      <c r="E335" s="3"/>
      <c r="F335" s="3"/>
      <c r="G335" s="2"/>
      <c r="H335" s="3"/>
      <c r="I335" s="3"/>
      <c r="J335" s="2"/>
      <c r="K335" s="3"/>
      <c r="L335" s="3"/>
      <c r="M335" s="877"/>
      <c r="N335" s="869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</row>
    <row r="336" spans="1:192" ht="13">
      <c r="A336" s="2"/>
      <c r="B336" s="869"/>
      <c r="C336" s="869"/>
      <c r="D336" s="3"/>
      <c r="E336" s="3"/>
      <c r="F336" s="3"/>
      <c r="G336" s="2"/>
      <c r="H336" s="3"/>
      <c r="I336" s="3"/>
      <c r="J336" s="2"/>
      <c r="K336" s="3"/>
      <c r="L336" s="3"/>
      <c r="M336" s="877"/>
      <c r="N336" s="869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</row>
    <row r="337" spans="1:192" ht="13">
      <c r="A337" s="2"/>
      <c r="B337" s="869"/>
      <c r="C337" s="869"/>
      <c r="D337" s="3"/>
      <c r="E337" s="3"/>
      <c r="F337" s="3"/>
      <c r="G337" s="2"/>
      <c r="H337" s="3"/>
      <c r="I337" s="3"/>
      <c r="J337" s="2"/>
      <c r="K337" s="3"/>
      <c r="L337" s="3"/>
      <c r="M337" s="877"/>
      <c r="N337" s="869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</row>
    <row r="338" spans="1:192" ht="13">
      <c r="A338" s="2"/>
      <c r="B338" s="869"/>
      <c r="C338" s="869"/>
      <c r="D338" s="3"/>
      <c r="E338" s="3"/>
      <c r="F338" s="3"/>
      <c r="G338" s="2"/>
      <c r="H338" s="3"/>
      <c r="I338" s="3"/>
      <c r="J338" s="2"/>
      <c r="K338" s="3"/>
      <c r="L338" s="3"/>
      <c r="M338" s="877"/>
      <c r="N338" s="869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</row>
    <row r="339" spans="1:192" ht="13">
      <c r="A339" s="2"/>
      <c r="B339" s="869"/>
      <c r="C339" s="869"/>
      <c r="D339" s="3"/>
      <c r="E339" s="3"/>
      <c r="F339" s="3"/>
      <c r="G339" s="2"/>
      <c r="H339" s="3"/>
      <c r="I339" s="3"/>
      <c r="J339" s="2"/>
      <c r="K339" s="3"/>
      <c r="L339" s="3"/>
      <c r="M339" s="877"/>
      <c r="N339" s="869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</row>
    <row r="340" spans="1:192" ht="13">
      <c r="A340" s="2"/>
      <c r="B340" s="869"/>
      <c r="C340" s="869"/>
      <c r="D340" s="3"/>
      <c r="E340" s="3"/>
      <c r="F340" s="3"/>
      <c r="G340" s="2"/>
      <c r="H340" s="3"/>
      <c r="I340" s="3"/>
      <c r="J340" s="2"/>
      <c r="K340" s="3"/>
      <c r="L340" s="3"/>
      <c r="M340" s="877"/>
      <c r="N340" s="869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</row>
    <row r="341" spans="1:192" ht="13">
      <c r="A341" s="2"/>
      <c r="B341" s="869"/>
      <c r="C341" s="869"/>
      <c r="D341" s="3"/>
      <c r="E341" s="3"/>
      <c r="F341" s="3"/>
      <c r="G341" s="2"/>
      <c r="H341" s="3"/>
      <c r="I341" s="3"/>
      <c r="J341" s="2"/>
      <c r="K341" s="3"/>
      <c r="L341" s="3"/>
      <c r="M341" s="877"/>
      <c r="N341" s="869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</row>
    <row r="342" spans="1:192" ht="13">
      <c r="A342" s="2"/>
      <c r="B342" s="869"/>
      <c r="C342" s="869"/>
      <c r="D342" s="3"/>
      <c r="E342" s="3"/>
      <c r="F342" s="3"/>
      <c r="G342" s="2"/>
      <c r="H342" s="3"/>
      <c r="I342" s="3"/>
      <c r="J342" s="2"/>
      <c r="K342" s="3"/>
      <c r="L342" s="3"/>
      <c r="M342" s="877"/>
      <c r="N342" s="869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</row>
    <row r="343" spans="1:192" ht="13">
      <c r="A343" s="2"/>
      <c r="B343" s="869"/>
      <c r="C343" s="869"/>
      <c r="D343" s="3"/>
      <c r="E343" s="3"/>
      <c r="F343" s="3"/>
      <c r="G343" s="2"/>
      <c r="H343" s="3"/>
      <c r="I343" s="3"/>
      <c r="J343" s="2"/>
      <c r="K343" s="3"/>
      <c r="L343" s="3"/>
      <c r="M343" s="877"/>
      <c r="N343" s="869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</row>
    <row r="344" spans="1:192" ht="13">
      <c r="A344" s="2"/>
      <c r="B344" s="869"/>
      <c r="C344" s="869"/>
      <c r="D344" s="3"/>
      <c r="E344" s="3"/>
      <c r="F344" s="3"/>
      <c r="G344" s="2"/>
      <c r="H344" s="3"/>
      <c r="I344" s="3"/>
      <c r="J344" s="2"/>
      <c r="K344" s="3"/>
      <c r="L344" s="3"/>
      <c r="M344" s="877"/>
      <c r="N344" s="869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</row>
    <row r="345" spans="1:192" ht="13">
      <c r="A345" s="2"/>
      <c r="B345" s="869"/>
      <c r="C345" s="869"/>
      <c r="D345" s="3"/>
      <c r="E345" s="3"/>
      <c r="F345" s="3"/>
      <c r="G345" s="2"/>
      <c r="H345" s="3"/>
      <c r="I345" s="3"/>
      <c r="J345" s="2"/>
      <c r="K345" s="3"/>
      <c r="L345" s="3"/>
      <c r="M345" s="877"/>
      <c r="N345" s="869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</row>
    <row r="346" spans="1:192" ht="13">
      <c r="A346" s="2"/>
      <c r="B346" s="869"/>
      <c r="C346" s="869"/>
      <c r="D346" s="3"/>
      <c r="E346" s="3"/>
      <c r="F346" s="3"/>
      <c r="G346" s="2"/>
      <c r="H346" s="3"/>
      <c r="I346" s="3"/>
      <c r="J346" s="2"/>
      <c r="K346" s="3"/>
      <c r="L346" s="3"/>
      <c r="M346" s="877"/>
      <c r="N346" s="869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</row>
    <row r="347" spans="1:192" ht="13">
      <c r="A347" s="2"/>
      <c r="B347" s="869"/>
      <c r="C347" s="869"/>
      <c r="D347" s="3"/>
      <c r="E347" s="3"/>
      <c r="F347" s="3"/>
      <c r="G347" s="2"/>
      <c r="H347" s="3"/>
      <c r="I347" s="3"/>
      <c r="J347" s="2"/>
      <c r="K347" s="3"/>
      <c r="L347" s="3"/>
      <c r="M347" s="877"/>
      <c r="N347" s="869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</row>
    <row r="348" spans="1:192" ht="13">
      <c r="A348" s="2"/>
      <c r="B348" s="869"/>
      <c r="C348" s="869"/>
      <c r="D348" s="3"/>
      <c r="E348" s="3"/>
      <c r="F348" s="3"/>
      <c r="G348" s="2"/>
      <c r="H348" s="3"/>
      <c r="I348" s="3"/>
      <c r="J348" s="2"/>
      <c r="K348" s="3"/>
      <c r="L348" s="3"/>
      <c r="M348" s="877"/>
      <c r="N348" s="869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</row>
    <row r="349" spans="1:192" ht="13">
      <c r="A349" s="2"/>
      <c r="B349" s="869"/>
      <c r="C349" s="869"/>
      <c r="D349" s="3"/>
      <c r="E349" s="3"/>
      <c r="F349" s="3"/>
      <c r="G349" s="2"/>
      <c r="H349" s="3"/>
      <c r="I349" s="3"/>
      <c r="J349" s="2"/>
      <c r="K349" s="3"/>
      <c r="L349" s="3"/>
      <c r="M349" s="877"/>
      <c r="N349" s="869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</row>
    <row r="350" spans="1:192" ht="13">
      <c r="A350" s="2"/>
      <c r="B350" s="869"/>
      <c r="C350" s="869"/>
      <c r="D350" s="3"/>
      <c r="E350" s="3"/>
      <c r="F350" s="3"/>
      <c r="G350" s="2"/>
      <c r="H350" s="3"/>
      <c r="I350" s="3"/>
      <c r="J350" s="2"/>
      <c r="K350" s="3"/>
      <c r="L350" s="3"/>
      <c r="M350" s="877"/>
      <c r="N350" s="869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</row>
    <row r="351" spans="1:192" ht="13">
      <c r="A351" s="2"/>
      <c r="B351" s="869"/>
      <c r="C351" s="869"/>
      <c r="D351" s="3"/>
      <c r="E351" s="3"/>
      <c r="F351" s="3"/>
      <c r="G351" s="2"/>
      <c r="H351" s="3"/>
      <c r="I351" s="3"/>
      <c r="J351" s="2"/>
      <c r="K351" s="3"/>
      <c r="L351" s="3"/>
      <c r="M351" s="877"/>
      <c r="N351" s="869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</row>
    <row r="352" spans="1:192" ht="13">
      <c r="A352" s="2"/>
      <c r="B352" s="869"/>
      <c r="C352" s="869"/>
      <c r="D352" s="3"/>
      <c r="E352" s="3"/>
      <c r="F352" s="3"/>
      <c r="G352" s="2"/>
      <c r="H352" s="3"/>
      <c r="I352" s="3"/>
      <c r="J352" s="2"/>
      <c r="K352" s="3"/>
      <c r="L352" s="3"/>
      <c r="M352" s="877"/>
      <c r="N352" s="869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</row>
    <row r="353" spans="1:192" ht="13">
      <c r="A353" s="2"/>
      <c r="B353" s="869"/>
      <c r="C353" s="869"/>
      <c r="D353" s="3"/>
      <c r="E353" s="3"/>
      <c r="F353" s="3"/>
      <c r="G353" s="2"/>
      <c r="H353" s="3"/>
      <c r="I353" s="3"/>
      <c r="J353" s="2"/>
      <c r="K353" s="3"/>
      <c r="L353" s="3"/>
      <c r="M353" s="877"/>
      <c r="N353" s="869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</row>
    <row r="354" spans="1:192" ht="13">
      <c r="A354" s="2"/>
      <c r="B354" s="869"/>
      <c r="C354" s="869"/>
      <c r="D354" s="3"/>
      <c r="E354" s="3"/>
      <c r="F354" s="3"/>
      <c r="G354" s="2"/>
      <c r="H354" s="3"/>
      <c r="I354" s="3"/>
      <c r="J354" s="2"/>
      <c r="K354" s="3"/>
      <c r="L354" s="3"/>
      <c r="M354" s="877"/>
      <c r="N354" s="869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</row>
    <row r="355" spans="1:192" ht="13">
      <c r="A355" s="2"/>
      <c r="B355" s="869"/>
      <c r="C355" s="869"/>
      <c r="D355" s="3"/>
      <c r="E355" s="3"/>
      <c r="F355" s="3"/>
      <c r="G355" s="2"/>
      <c r="H355" s="3"/>
      <c r="I355" s="3"/>
      <c r="J355" s="2"/>
      <c r="K355" s="3"/>
      <c r="L355" s="3"/>
      <c r="M355" s="877"/>
      <c r="N355" s="869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</row>
    <row r="356" spans="1:192" ht="13">
      <c r="A356" s="2"/>
      <c r="B356" s="869"/>
      <c r="C356" s="869"/>
      <c r="D356" s="3"/>
      <c r="E356" s="3"/>
      <c r="F356" s="3"/>
      <c r="G356" s="2"/>
      <c r="H356" s="3"/>
      <c r="I356" s="3"/>
      <c r="J356" s="2"/>
      <c r="K356" s="3"/>
      <c r="L356" s="3"/>
      <c r="M356" s="877"/>
      <c r="N356" s="869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</row>
    <row r="357" spans="1:192" ht="13">
      <c r="A357" s="2"/>
      <c r="B357" s="869"/>
      <c r="C357" s="869"/>
      <c r="D357" s="3"/>
      <c r="E357" s="3"/>
      <c r="F357" s="3"/>
      <c r="G357" s="2"/>
      <c r="H357" s="3"/>
      <c r="I357" s="3"/>
      <c r="J357" s="2"/>
      <c r="K357" s="3"/>
      <c r="L357" s="3"/>
      <c r="M357" s="877"/>
      <c r="N357" s="869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</row>
    <row r="358" spans="1:192" ht="13">
      <c r="A358" s="2"/>
      <c r="B358" s="869"/>
      <c r="C358" s="869"/>
      <c r="D358" s="3"/>
      <c r="E358" s="3"/>
      <c r="F358" s="3"/>
      <c r="G358" s="2"/>
      <c r="H358" s="3"/>
      <c r="I358" s="3"/>
      <c r="J358" s="2"/>
      <c r="K358" s="3"/>
      <c r="L358" s="3"/>
      <c r="M358" s="877"/>
      <c r="N358" s="869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</row>
    <row r="359" spans="1:192" ht="13">
      <c r="A359" s="2"/>
      <c r="B359" s="869"/>
      <c r="C359" s="869"/>
      <c r="D359" s="3"/>
      <c r="E359" s="3"/>
      <c r="F359" s="3"/>
      <c r="G359" s="2"/>
      <c r="H359" s="3"/>
      <c r="I359" s="3"/>
      <c r="J359" s="2"/>
      <c r="K359" s="3"/>
      <c r="L359" s="3"/>
      <c r="M359" s="877"/>
      <c r="N359" s="869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</row>
    <row r="360" spans="1:192" ht="13">
      <c r="A360" s="2"/>
      <c r="B360" s="869"/>
      <c r="C360" s="869"/>
      <c r="D360" s="3"/>
      <c r="E360" s="3"/>
      <c r="F360" s="3"/>
      <c r="G360" s="2"/>
      <c r="H360" s="3"/>
      <c r="I360" s="3"/>
      <c r="J360" s="2"/>
      <c r="K360" s="3"/>
      <c r="L360" s="3"/>
      <c r="M360" s="877"/>
      <c r="N360" s="869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</row>
    <row r="361" spans="1:192" ht="13">
      <c r="A361" s="2"/>
      <c r="B361" s="869"/>
      <c r="C361" s="869"/>
      <c r="D361" s="3"/>
      <c r="E361" s="3"/>
      <c r="F361" s="3"/>
      <c r="G361" s="2"/>
      <c r="H361" s="3"/>
      <c r="I361" s="3"/>
      <c r="J361" s="2"/>
      <c r="K361" s="3"/>
      <c r="L361" s="3"/>
      <c r="M361" s="877"/>
      <c r="N361" s="869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</row>
    <row r="362" spans="1:192" ht="13">
      <c r="A362" s="2"/>
      <c r="B362" s="869"/>
      <c r="C362" s="869"/>
      <c r="D362" s="3"/>
      <c r="E362" s="3"/>
      <c r="F362" s="3"/>
      <c r="G362" s="2"/>
      <c r="H362" s="3"/>
      <c r="I362" s="3"/>
      <c r="J362" s="2"/>
      <c r="K362" s="3"/>
      <c r="L362" s="3"/>
      <c r="M362" s="877"/>
      <c r="N362" s="869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</row>
    <row r="363" spans="1:192" ht="13">
      <c r="A363" s="2"/>
      <c r="B363" s="869"/>
      <c r="C363" s="869"/>
      <c r="D363" s="3"/>
      <c r="E363" s="3"/>
      <c r="F363" s="3"/>
      <c r="G363" s="2"/>
      <c r="H363" s="3"/>
      <c r="I363" s="3"/>
      <c r="J363" s="2"/>
      <c r="K363" s="3"/>
      <c r="L363" s="3"/>
      <c r="M363" s="877"/>
      <c r="N363" s="869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</row>
    <row r="364" spans="1:192" ht="13">
      <c r="A364" s="2"/>
      <c r="B364" s="869"/>
      <c r="C364" s="869"/>
      <c r="D364" s="3"/>
      <c r="E364" s="3"/>
      <c r="F364" s="3"/>
      <c r="G364" s="2"/>
      <c r="H364" s="3"/>
      <c r="I364" s="3"/>
      <c r="J364" s="2"/>
      <c r="K364" s="3"/>
      <c r="L364" s="3"/>
      <c r="M364" s="877"/>
      <c r="N364" s="869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</row>
    <row r="365" spans="1:192" ht="13">
      <c r="A365" s="2"/>
      <c r="B365" s="869"/>
      <c r="C365" s="869"/>
      <c r="D365" s="3"/>
      <c r="E365" s="3"/>
      <c r="F365" s="3"/>
      <c r="G365" s="2"/>
      <c r="H365" s="3"/>
      <c r="I365" s="3"/>
      <c r="J365" s="2"/>
      <c r="K365" s="3"/>
      <c r="L365" s="3"/>
      <c r="M365" s="877"/>
      <c r="N365" s="869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</row>
    <row r="366" spans="1:192" ht="13">
      <c r="A366" s="2"/>
      <c r="B366" s="869"/>
      <c r="C366" s="869"/>
      <c r="D366" s="3"/>
      <c r="E366" s="3"/>
      <c r="F366" s="3"/>
      <c r="G366" s="2"/>
      <c r="H366" s="3"/>
      <c r="I366" s="3"/>
      <c r="J366" s="2"/>
      <c r="K366" s="3"/>
      <c r="L366" s="3"/>
      <c r="M366" s="877"/>
      <c r="N366" s="869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</row>
    <row r="367" spans="1:192" ht="13">
      <c r="A367" s="2"/>
      <c r="B367" s="869"/>
      <c r="C367" s="869"/>
      <c r="D367" s="3"/>
      <c r="E367" s="3"/>
      <c r="F367" s="3"/>
      <c r="G367" s="2"/>
      <c r="H367" s="3"/>
      <c r="I367" s="3"/>
      <c r="J367" s="2"/>
      <c r="K367" s="3"/>
      <c r="L367" s="3"/>
      <c r="M367" s="877"/>
      <c r="N367" s="869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</row>
    <row r="368" spans="1:192" ht="13">
      <c r="A368" s="2"/>
      <c r="B368" s="869"/>
      <c r="C368" s="869"/>
      <c r="D368" s="3"/>
      <c r="E368" s="3"/>
      <c r="F368" s="3"/>
      <c r="G368" s="2"/>
      <c r="H368" s="3"/>
      <c r="I368" s="3"/>
      <c r="J368" s="2"/>
      <c r="K368" s="3"/>
      <c r="L368" s="3"/>
      <c r="M368" s="877"/>
      <c r="N368" s="869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</row>
    <row r="369" spans="1:192" ht="13">
      <c r="A369" s="2"/>
      <c r="B369" s="869"/>
      <c r="C369" s="869"/>
      <c r="D369" s="3"/>
      <c r="E369" s="3"/>
      <c r="F369" s="3"/>
      <c r="G369" s="2"/>
      <c r="H369" s="3"/>
      <c r="I369" s="3"/>
      <c r="J369" s="2"/>
      <c r="K369" s="3"/>
      <c r="L369" s="3"/>
      <c r="M369" s="877"/>
      <c r="N369" s="869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</row>
    <row r="370" spans="1:192" ht="13">
      <c r="A370" s="2"/>
      <c r="B370" s="869"/>
      <c r="C370" s="869"/>
      <c r="D370" s="3"/>
      <c r="E370" s="3"/>
      <c r="F370" s="3"/>
      <c r="G370" s="2"/>
      <c r="H370" s="3"/>
      <c r="I370" s="3"/>
      <c r="J370" s="2"/>
      <c r="K370" s="3"/>
      <c r="L370" s="3"/>
      <c r="M370" s="877"/>
      <c r="N370" s="869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</row>
    <row r="371" spans="1:192" ht="13">
      <c r="A371" s="2"/>
      <c r="B371" s="869"/>
      <c r="C371" s="869"/>
      <c r="D371" s="3"/>
      <c r="E371" s="3"/>
      <c r="F371" s="3"/>
      <c r="G371" s="2"/>
      <c r="H371" s="3"/>
      <c r="I371" s="3"/>
      <c r="J371" s="2"/>
      <c r="K371" s="3"/>
      <c r="L371" s="3"/>
      <c r="M371" s="877"/>
      <c r="N371" s="869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</row>
    <row r="372" spans="1:192" ht="13">
      <c r="A372" s="2"/>
      <c r="B372" s="869"/>
      <c r="C372" s="869"/>
      <c r="D372" s="3"/>
      <c r="E372" s="3"/>
      <c r="F372" s="3"/>
      <c r="G372" s="2"/>
      <c r="H372" s="3"/>
      <c r="I372" s="3"/>
      <c r="J372" s="2"/>
      <c r="K372" s="3"/>
      <c r="L372" s="3"/>
      <c r="M372" s="877"/>
      <c r="N372" s="869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</row>
    <row r="373" spans="1:192" ht="13">
      <c r="A373" s="2"/>
      <c r="B373" s="869"/>
      <c r="C373" s="869"/>
      <c r="D373" s="3"/>
      <c r="E373" s="3"/>
      <c r="F373" s="3"/>
      <c r="G373" s="2"/>
      <c r="H373" s="3"/>
      <c r="I373" s="3"/>
      <c r="J373" s="2"/>
      <c r="K373" s="3"/>
      <c r="L373" s="3"/>
      <c r="M373" s="877"/>
      <c r="N373" s="869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</row>
    <row r="374" spans="1:192" ht="13">
      <c r="A374" s="2"/>
      <c r="B374" s="869"/>
      <c r="C374" s="869"/>
      <c r="D374" s="3"/>
      <c r="E374" s="3"/>
      <c r="F374" s="3"/>
      <c r="G374" s="2"/>
      <c r="H374" s="3"/>
      <c r="I374" s="3"/>
      <c r="J374" s="2"/>
      <c r="K374" s="3"/>
      <c r="L374" s="3"/>
      <c r="M374" s="877"/>
      <c r="N374" s="869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</row>
    <row r="375" spans="1:192" ht="13">
      <c r="A375" s="2"/>
      <c r="B375" s="869"/>
      <c r="C375" s="869"/>
      <c r="D375" s="3"/>
      <c r="E375" s="3"/>
      <c r="F375" s="3"/>
      <c r="G375" s="2"/>
      <c r="H375" s="3"/>
      <c r="I375" s="3"/>
      <c r="J375" s="2"/>
      <c r="K375" s="3"/>
      <c r="L375" s="3"/>
      <c r="M375" s="877"/>
      <c r="N375" s="869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</row>
    <row r="376" spans="1:192" ht="13">
      <c r="A376" s="2"/>
      <c r="B376" s="869"/>
      <c r="C376" s="869"/>
      <c r="D376" s="3"/>
      <c r="E376" s="3"/>
      <c r="F376" s="3"/>
      <c r="G376" s="2"/>
      <c r="H376" s="3"/>
      <c r="I376" s="3"/>
      <c r="J376" s="2"/>
      <c r="K376" s="3"/>
      <c r="L376" s="3"/>
      <c r="M376" s="877"/>
      <c r="N376" s="869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</row>
    <row r="377" spans="1:192" ht="13">
      <c r="A377" s="2"/>
      <c r="B377" s="869"/>
      <c r="C377" s="869"/>
      <c r="D377" s="3"/>
      <c r="E377" s="3"/>
      <c r="F377" s="3"/>
      <c r="G377" s="2"/>
      <c r="H377" s="3"/>
      <c r="I377" s="3"/>
      <c r="J377" s="2"/>
      <c r="K377" s="3"/>
      <c r="L377" s="3"/>
      <c r="M377" s="877"/>
      <c r="N377" s="869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</row>
    <row r="378" spans="1:192" ht="13">
      <c r="A378" s="2"/>
      <c r="B378" s="869"/>
      <c r="C378" s="869"/>
      <c r="D378" s="3"/>
      <c r="E378" s="3"/>
      <c r="F378" s="3"/>
      <c r="G378" s="2"/>
      <c r="H378" s="3"/>
      <c r="I378" s="3"/>
      <c r="J378" s="2"/>
      <c r="K378" s="3"/>
      <c r="L378" s="3"/>
      <c r="M378" s="877"/>
      <c r="N378" s="869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</row>
    <row r="379" spans="1:192" ht="13">
      <c r="A379" s="2"/>
      <c r="B379" s="869"/>
      <c r="C379" s="869"/>
      <c r="D379" s="3"/>
      <c r="E379" s="3"/>
      <c r="F379" s="3"/>
      <c r="G379" s="2"/>
      <c r="H379" s="3"/>
      <c r="I379" s="3"/>
      <c r="J379" s="2"/>
      <c r="K379" s="3"/>
      <c r="L379" s="3"/>
      <c r="M379" s="877"/>
      <c r="N379" s="869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</row>
    <row r="380" spans="1:192" ht="13">
      <c r="A380" s="2"/>
      <c r="B380" s="869"/>
      <c r="C380" s="869"/>
      <c r="D380" s="3"/>
      <c r="E380" s="3"/>
      <c r="F380" s="3"/>
      <c r="G380" s="2"/>
      <c r="H380" s="3"/>
      <c r="I380" s="3"/>
      <c r="J380" s="2"/>
      <c r="K380" s="3"/>
      <c r="L380" s="3"/>
      <c r="M380" s="877"/>
      <c r="N380" s="869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</row>
    <row r="381" spans="1:192" ht="13">
      <c r="A381" s="2"/>
      <c r="B381" s="869"/>
      <c r="C381" s="869"/>
      <c r="D381" s="3"/>
      <c r="E381" s="3"/>
      <c r="F381" s="3"/>
      <c r="G381" s="2"/>
      <c r="H381" s="3"/>
      <c r="I381" s="3"/>
      <c r="J381" s="2"/>
      <c r="K381" s="3"/>
      <c r="L381" s="3"/>
      <c r="M381" s="877"/>
      <c r="N381" s="869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</row>
    <row r="382" spans="1:192" ht="13">
      <c r="A382" s="2"/>
      <c r="B382" s="869"/>
      <c r="C382" s="869"/>
      <c r="D382" s="3"/>
      <c r="E382" s="3"/>
      <c r="F382" s="3"/>
      <c r="G382" s="2"/>
      <c r="H382" s="3"/>
      <c r="I382" s="3"/>
      <c r="J382" s="2"/>
      <c r="K382" s="3"/>
      <c r="L382" s="3"/>
      <c r="M382" s="877"/>
      <c r="N382" s="869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</row>
    <row r="383" spans="1:192" ht="13">
      <c r="A383" s="2"/>
      <c r="B383" s="869"/>
      <c r="C383" s="869"/>
      <c r="D383" s="3"/>
      <c r="E383" s="3"/>
      <c r="F383" s="3"/>
      <c r="G383" s="2"/>
      <c r="H383" s="3"/>
      <c r="I383" s="3"/>
      <c r="J383" s="2"/>
      <c r="K383" s="3"/>
      <c r="L383" s="3"/>
      <c r="M383" s="877"/>
      <c r="N383" s="869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</row>
    <row r="384" spans="1:192" ht="13">
      <c r="A384" s="2"/>
      <c r="B384" s="869"/>
      <c r="C384" s="869"/>
      <c r="D384" s="3"/>
      <c r="E384" s="3"/>
      <c r="F384" s="3"/>
      <c r="G384" s="2"/>
      <c r="H384" s="3"/>
      <c r="I384" s="3"/>
      <c r="J384" s="2"/>
      <c r="K384" s="3"/>
      <c r="L384" s="3"/>
      <c r="M384" s="877"/>
      <c r="N384" s="869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</row>
    <row r="385" spans="1:192" ht="13">
      <c r="A385" s="2"/>
      <c r="B385" s="869"/>
      <c r="C385" s="869"/>
      <c r="D385" s="3"/>
      <c r="E385" s="3"/>
      <c r="F385" s="3"/>
      <c r="G385" s="2"/>
      <c r="H385" s="3"/>
      <c r="I385" s="3"/>
      <c r="J385" s="2"/>
      <c r="K385" s="3"/>
      <c r="L385" s="3"/>
      <c r="M385" s="877"/>
      <c r="N385" s="869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</row>
    <row r="386" spans="1:192" ht="13">
      <c r="A386" s="2"/>
      <c r="B386" s="869"/>
      <c r="C386" s="869"/>
      <c r="D386" s="3"/>
      <c r="E386" s="3"/>
      <c r="F386" s="3"/>
      <c r="G386" s="2"/>
      <c r="H386" s="3"/>
      <c r="I386" s="3"/>
      <c r="J386" s="2"/>
      <c r="K386" s="3"/>
      <c r="L386" s="3"/>
      <c r="M386" s="877"/>
      <c r="N386" s="869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</row>
    <row r="387" spans="1:192" ht="13">
      <c r="A387" s="2"/>
      <c r="B387" s="869"/>
      <c r="C387" s="869"/>
      <c r="D387" s="3"/>
      <c r="E387" s="3"/>
      <c r="F387" s="3"/>
      <c r="G387" s="2"/>
      <c r="H387" s="3"/>
      <c r="I387" s="3"/>
      <c r="J387" s="2"/>
      <c r="K387" s="3"/>
      <c r="L387" s="3"/>
      <c r="M387" s="877"/>
      <c r="N387" s="869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</row>
    <row r="388" spans="1:192" ht="13">
      <c r="A388" s="2"/>
      <c r="B388" s="869"/>
      <c r="C388" s="869"/>
      <c r="D388" s="3"/>
      <c r="E388" s="3"/>
      <c r="F388" s="3"/>
      <c r="G388" s="2"/>
      <c r="H388" s="3"/>
      <c r="I388" s="3"/>
      <c r="J388" s="2"/>
      <c r="K388" s="3"/>
      <c r="L388" s="3"/>
      <c r="M388" s="877"/>
      <c r="N388" s="869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</row>
    <row r="389" spans="1:192" ht="13">
      <c r="A389" s="2"/>
      <c r="B389" s="869"/>
      <c r="C389" s="869"/>
      <c r="D389" s="3"/>
      <c r="E389" s="3"/>
      <c r="F389" s="3"/>
      <c r="G389" s="2"/>
      <c r="H389" s="3"/>
      <c r="I389" s="3"/>
      <c r="J389" s="2"/>
      <c r="K389" s="3"/>
      <c r="L389" s="3"/>
      <c r="M389" s="877"/>
      <c r="N389" s="869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</row>
    <row r="390" spans="1:192" ht="13">
      <c r="A390" s="2"/>
      <c r="B390" s="869"/>
      <c r="C390" s="869"/>
      <c r="D390" s="3"/>
      <c r="E390" s="3"/>
      <c r="F390" s="3"/>
      <c r="G390" s="2"/>
      <c r="H390" s="3"/>
      <c r="I390" s="3"/>
      <c r="J390" s="2"/>
      <c r="K390" s="3"/>
      <c r="L390" s="3"/>
      <c r="M390" s="877"/>
      <c r="N390" s="869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</row>
    <row r="391" spans="1:192" ht="13">
      <c r="A391" s="2"/>
      <c r="B391" s="869"/>
      <c r="C391" s="869"/>
      <c r="D391" s="3"/>
      <c r="E391" s="3"/>
      <c r="F391" s="3"/>
      <c r="G391" s="2"/>
      <c r="H391" s="3"/>
      <c r="I391" s="3"/>
      <c r="J391" s="2"/>
      <c r="K391" s="3"/>
      <c r="L391" s="3"/>
      <c r="M391" s="877"/>
      <c r="N391" s="869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</row>
    <row r="392" spans="1:192" ht="13">
      <c r="A392" s="2"/>
      <c r="B392" s="869"/>
      <c r="C392" s="869"/>
      <c r="D392" s="3"/>
      <c r="E392" s="3"/>
      <c r="F392" s="3"/>
      <c r="G392" s="2"/>
      <c r="H392" s="3"/>
      <c r="I392" s="3"/>
      <c r="J392" s="2"/>
      <c r="K392" s="3"/>
      <c r="L392" s="3"/>
      <c r="M392" s="877"/>
      <c r="N392" s="869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</row>
    <row r="393" spans="1:192" ht="13">
      <c r="A393" s="2"/>
      <c r="B393" s="869"/>
      <c r="C393" s="869"/>
      <c r="D393" s="3"/>
      <c r="E393" s="3"/>
      <c r="F393" s="3"/>
      <c r="G393" s="2"/>
      <c r="H393" s="3"/>
      <c r="I393" s="3"/>
      <c r="J393" s="2"/>
      <c r="K393" s="3"/>
      <c r="L393" s="3"/>
      <c r="M393" s="877"/>
      <c r="N393" s="869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</row>
    <row r="394" spans="1:192" ht="13">
      <c r="A394" s="2"/>
      <c r="B394" s="869"/>
      <c r="C394" s="869"/>
      <c r="D394" s="3"/>
      <c r="E394" s="3"/>
      <c r="F394" s="3"/>
      <c r="G394" s="2"/>
      <c r="H394" s="3"/>
      <c r="I394" s="3"/>
      <c r="J394" s="2"/>
      <c r="K394" s="3"/>
      <c r="L394" s="3"/>
      <c r="M394" s="877"/>
      <c r="N394" s="869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</row>
    <row r="395" spans="1:192" ht="13">
      <c r="A395" s="2"/>
      <c r="B395" s="869"/>
      <c r="C395" s="869"/>
      <c r="D395" s="3"/>
      <c r="E395" s="3"/>
      <c r="F395" s="3"/>
      <c r="G395" s="2"/>
      <c r="H395" s="3"/>
      <c r="I395" s="3"/>
      <c r="J395" s="2"/>
      <c r="K395" s="3"/>
      <c r="L395" s="3"/>
      <c r="M395" s="877"/>
      <c r="N395" s="869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</row>
    <row r="396" spans="1:192" ht="13">
      <c r="A396" s="2"/>
      <c r="B396" s="869"/>
      <c r="C396" s="869"/>
      <c r="D396" s="3"/>
      <c r="E396" s="3"/>
      <c r="F396" s="3"/>
      <c r="G396" s="2"/>
      <c r="H396" s="3"/>
      <c r="I396" s="3"/>
      <c r="J396" s="2"/>
      <c r="K396" s="3"/>
      <c r="L396" s="3"/>
      <c r="M396" s="877"/>
      <c r="N396" s="869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</row>
    <row r="397" spans="1:192" ht="13">
      <c r="A397" s="2"/>
      <c r="B397" s="869"/>
      <c r="C397" s="869"/>
      <c r="D397" s="3"/>
      <c r="E397" s="3"/>
      <c r="F397" s="3"/>
      <c r="G397" s="2"/>
      <c r="H397" s="3"/>
      <c r="I397" s="3"/>
      <c r="J397" s="2"/>
      <c r="K397" s="3"/>
      <c r="L397" s="3"/>
      <c r="M397" s="877"/>
      <c r="N397" s="869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</row>
    <row r="398" spans="1:192" ht="13">
      <c r="A398" s="2"/>
      <c r="B398" s="869"/>
      <c r="C398" s="869"/>
      <c r="D398" s="3"/>
      <c r="E398" s="3"/>
      <c r="F398" s="3"/>
      <c r="G398" s="2"/>
      <c r="H398" s="3"/>
      <c r="I398" s="3"/>
      <c r="J398" s="2"/>
      <c r="K398" s="3"/>
      <c r="L398" s="3"/>
      <c r="M398" s="877"/>
      <c r="N398" s="869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</row>
    <row r="399" spans="1:192" ht="13">
      <c r="A399" s="2"/>
      <c r="B399" s="869"/>
      <c r="C399" s="869"/>
      <c r="D399" s="3"/>
      <c r="E399" s="3"/>
      <c r="F399" s="3"/>
      <c r="G399" s="2"/>
      <c r="H399" s="3"/>
      <c r="I399" s="3"/>
      <c r="J399" s="2"/>
      <c r="K399" s="3"/>
      <c r="L399" s="3"/>
      <c r="M399" s="877"/>
      <c r="N399" s="869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</row>
    <row r="400" spans="1:192" ht="13">
      <c r="A400" s="2"/>
      <c r="B400" s="869"/>
      <c r="C400" s="869"/>
      <c r="D400" s="3"/>
      <c r="E400" s="3"/>
      <c r="F400" s="3"/>
      <c r="G400" s="2"/>
      <c r="H400" s="3"/>
      <c r="I400" s="3"/>
      <c r="J400" s="2"/>
      <c r="K400" s="3"/>
      <c r="L400" s="3"/>
      <c r="M400" s="877"/>
      <c r="N400" s="869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</row>
    <row r="401" spans="1:192" ht="13">
      <c r="A401" s="2"/>
      <c r="B401" s="869"/>
      <c r="C401" s="869"/>
      <c r="D401" s="3"/>
      <c r="E401" s="3"/>
      <c r="F401" s="3"/>
      <c r="G401" s="2"/>
      <c r="H401" s="3"/>
      <c r="I401" s="3"/>
      <c r="J401" s="2"/>
      <c r="K401" s="3"/>
      <c r="L401" s="3"/>
      <c r="M401" s="877"/>
      <c r="N401" s="869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</row>
    <row r="402" spans="1:192" ht="13">
      <c r="A402" s="2"/>
      <c r="B402" s="869"/>
      <c r="C402" s="869"/>
      <c r="D402" s="3"/>
      <c r="E402" s="3"/>
      <c r="F402" s="3"/>
      <c r="G402" s="2"/>
      <c r="H402" s="3"/>
      <c r="I402" s="3"/>
      <c r="J402" s="2"/>
      <c r="K402" s="3"/>
      <c r="L402" s="3"/>
      <c r="M402" s="877"/>
      <c r="N402" s="869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</row>
    <row r="403" spans="1:192" ht="13">
      <c r="A403" s="2"/>
      <c r="B403" s="869"/>
      <c r="C403" s="869"/>
      <c r="D403" s="3"/>
      <c r="E403" s="3"/>
      <c r="F403" s="3"/>
      <c r="G403" s="2"/>
      <c r="H403" s="3"/>
      <c r="I403" s="3"/>
      <c r="J403" s="2"/>
      <c r="K403" s="3"/>
      <c r="L403" s="3"/>
      <c r="M403" s="877"/>
      <c r="N403" s="869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</row>
    <row r="404" spans="1:192" ht="13">
      <c r="A404" s="2"/>
      <c r="B404" s="869"/>
      <c r="C404" s="869"/>
      <c r="D404" s="3"/>
      <c r="E404" s="3"/>
      <c r="F404" s="3"/>
      <c r="G404" s="2"/>
      <c r="H404" s="3"/>
      <c r="I404" s="3"/>
      <c r="J404" s="2"/>
      <c r="K404" s="3"/>
      <c r="L404" s="3"/>
      <c r="M404" s="877"/>
      <c r="N404" s="869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</row>
    <row r="405" spans="1:192" ht="13">
      <c r="A405" s="2"/>
      <c r="B405" s="869"/>
      <c r="C405" s="869"/>
      <c r="D405" s="3"/>
      <c r="E405" s="3"/>
      <c r="F405" s="3"/>
      <c r="G405" s="2"/>
      <c r="H405" s="3"/>
      <c r="I405" s="3"/>
      <c r="J405" s="2"/>
      <c r="K405" s="3"/>
      <c r="L405" s="3"/>
      <c r="M405" s="877"/>
      <c r="N405" s="869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</row>
    <row r="406" spans="1:192" ht="13">
      <c r="A406" s="2"/>
      <c r="B406" s="869"/>
      <c r="C406" s="869"/>
      <c r="D406" s="3"/>
      <c r="E406" s="3"/>
      <c r="F406" s="3"/>
      <c r="G406" s="2"/>
      <c r="H406" s="3"/>
      <c r="I406" s="3"/>
      <c r="J406" s="2"/>
      <c r="K406" s="3"/>
      <c r="L406" s="3"/>
      <c r="M406" s="877"/>
      <c r="N406" s="869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</row>
    <row r="407" spans="1:192" ht="13">
      <c r="A407" s="2"/>
      <c r="B407" s="869"/>
      <c r="C407" s="869"/>
      <c r="D407" s="3"/>
      <c r="E407" s="3"/>
      <c r="F407" s="3"/>
      <c r="G407" s="2"/>
      <c r="H407" s="3"/>
      <c r="I407" s="3"/>
      <c r="J407" s="2"/>
      <c r="K407" s="3"/>
      <c r="L407" s="3"/>
      <c r="M407" s="877"/>
      <c r="N407" s="869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</row>
    <row r="408" spans="1:192" ht="13">
      <c r="A408" s="2"/>
      <c r="B408" s="869"/>
      <c r="C408" s="869"/>
      <c r="D408" s="3"/>
      <c r="E408" s="3"/>
      <c r="F408" s="3"/>
      <c r="G408" s="2"/>
      <c r="H408" s="3"/>
      <c r="I408" s="3"/>
      <c r="J408" s="2"/>
      <c r="K408" s="3"/>
      <c r="L408" s="3"/>
      <c r="M408" s="877"/>
      <c r="N408" s="869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</row>
    <row r="409" spans="1:192" ht="13">
      <c r="A409" s="2"/>
      <c r="B409" s="869"/>
      <c r="C409" s="869"/>
      <c r="D409" s="3"/>
      <c r="E409" s="3"/>
      <c r="F409" s="3"/>
      <c r="G409" s="2"/>
      <c r="H409" s="3"/>
      <c r="I409" s="3"/>
      <c r="J409" s="2"/>
      <c r="K409" s="3"/>
      <c r="L409" s="3"/>
      <c r="M409" s="877"/>
      <c r="N409" s="869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</row>
    <row r="410" spans="1:192" ht="13">
      <c r="A410" s="2"/>
      <c r="B410" s="869"/>
      <c r="C410" s="869"/>
      <c r="D410" s="3"/>
      <c r="E410" s="3"/>
      <c r="F410" s="3"/>
      <c r="G410" s="2"/>
      <c r="H410" s="3"/>
      <c r="I410" s="3"/>
      <c r="J410" s="2"/>
      <c r="K410" s="3"/>
      <c r="L410" s="3"/>
      <c r="M410" s="877"/>
      <c r="N410" s="869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</row>
    <row r="411" spans="1:192" ht="13">
      <c r="A411" s="2"/>
      <c r="B411" s="869"/>
      <c r="C411" s="869"/>
      <c r="D411" s="3"/>
      <c r="E411" s="3"/>
      <c r="F411" s="3"/>
      <c r="G411" s="2"/>
      <c r="H411" s="3"/>
      <c r="I411" s="3"/>
      <c r="J411" s="2"/>
      <c r="K411" s="3"/>
      <c r="L411" s="3"/>
      <c r="M411" s="877"/>
      <c r="N411" s="869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</row>
    <row r="412" spans="1:192" ht="13">
      <c r="A412" s="2"/>
      <c r="B412" s="869"/>
      <c r="C412" s="869"/>
      <c r="D412" s="3"/>
      <c r="E412" s="3"/>
      <c r="F412" s="3"/>
      <c r="G412" s="2"/>
      <c r="H412" s="3"/>
      <c r="I412" s="3"/>
      <c r="J412" s="2"/>
      <c r="K412" s="3"/>
      <c r="L412" s="3"/>
      <c r="M412" s="877"/>
      <c r="N412" s="869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</row>
    <row r="413" spans="1:192" ht="13">
      <c r="A413" s="2"/>
      <c r="B413" s="869"/>
      <c r="C413" s="869"/>
      <c r="D413" s="3"/>
      <c r="E413" s="3"/>
      <c r="F413" s="3"/>
      <c r="G413" s="2"/>
      <c r="H413" s="3"/>
      <c r="I413" s="3"/>
      <c r="J413" s="2"/>
      <c r="K413" s="3"/>
      <c r="L413" s="3"/>
      <c r="M413" s="877"/>
      <c r="N413" s="869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</row>
    <row r="414" spans="1:192" ht="13">
      <c r="A414" s="2"/>
      <c r="B414" s="869"/>
      <c r="C414" s="869"/>
      <c r="D414" s="3"/>
      <c r="E414" s="3"/>
      <c r="F414" s="3"/>
      <c r="G414" s="2"/>
      <c r="H414" s="3"/>
      <c r="I414" s="3"/>
      <c r="J414" s="2"/>
      <c r="K414" s="3"/>
      <c r="L414" s="3"/>
      <c r="M414" s="877"/>
      <c r="N414" s="869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</row>
    <row r="415" spans="1:192" ht="13">
      <c r="A415" s="2"/>
      <c r="B415" s="869"/>
      <c r="C415" s="869"/>
      <c r="D415" s="3"/>
      <c r="E415" s="3"/>
      <c r="F415" s="3"/>
      <c r="G415" s="2"/>
      <c r="H415" s="3"/>
      <c r="I415" s="3"/>
      <c r="J415" s="2"/>
      <c r="K415" s="3"/>
      <c r="L415" s="3"/>
      <c r="M415" s="877"/>
      <c r="N415" s="869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</row>
    <row r="416" spans="1:192" ht="13">
      <c r="A416" s="2"/>
      <c r="B416" s="869"/>
      <c r="C416" s="869"/>
      <c r="D416" s="3"/>
      <c r="E416" s="3"/>
      <c r="F416" s="3"/>
      <c r="G416" s="2"/>
      <c r="H416" s="3"/>
      <c r="I416" s="3"/>
      <c r="J416" s="2"/>
      <c r="K416" s="3"/>
      <c r="L416" s="3"/>
      <c r="M416" s="877"/>
      <c r="N416" s="869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</row>
    <row r="417" spans="1:192" ht="13">
      <c r="A417" s="2"/>
      <c r="B417" s="869"/>
      <c r="C417" s="869"/>
      <c r="D417" s="3"/>
      <c r="E417" s="3"/>
      <c r="F417" s="3"/>
      <c r="G417" s="2"/>
      <c r="H417" s="3"/>
      <c r="I417" s="3"/>
      <c r="J417" s="2"/>
      <c r="K417" s="3"/>
      <c r="L417" s="3"/>
      <c r="M417" s="877"/>
      <c r="N417" s="869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</row>
    <row r="418" spans="1:192" ht="13">
      <c r="A418" s="2"/>
      <c r="B418" s="869"/>
      <c r="C418" s="869"/>
      <c r="D418" s="3"/>
      <c r="E418" s="3"/>
      <c r="F418" s="3"/>
      <c r="G418" s="2"/>
      <c r="H418" s="3"/>
      <c r="I418" s="3"/>
      <c r="J418" s="2"/>
      <c r="K418" s="3"/>
      <c r="L418" s="3"/>
      <c r="M418" s="877"/>
      <c r="N418" s="869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</row>
    <row r="419" spans="1:192" ht="13">
      <c r="A419" s="2"/>
      <c r="B419" s="869"/>
      <c r="C419" s="869"/>
      <c r="D419" s="3"/>
      <c r="E419" s="3"/>
      <c r="F419" s="3"/>
      <c r="G419" s="2"/>
      <c r="H419" s="3"/>
      <c r="I419" s="3"/>
      <c r="J419" s="2"/>
      <c r="K419" s="3"/>
      <c r="L419" s="3"/>
      <c r="M419" s="877"/>
      <c r="N419" s="869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</row>
    <row r="420" spans="1:192" ht="13">
      <c r="A420" s="2"/>
      <c r="B420" s="869"/>
      <c r="C420" s="869"/>
      <c r="D420" s="3"/>
      <c r="E420" s="3"/>
      <c r="F420" s="3"/>
      <c r="G420" s="2"/>
      <c r="H420" s="3"/>
      <c r="I420" s="3"/>
      <c r="J420" s="2"/>
      <c r="K420" s="3"/>
      <c r="L420" s="3"/>
      <c r="M420" s="877"/>
      <c r="N420" s="869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</row>
    <row r="421" spans="1:192" ht="13">
      <c r="A421" s="2"/>
      <c r="B421" s="869"/>
      <c r="C421" s="869"/>
      <c r="D421" s="3"/>
      <c r="E421" s="3"/>
      <c r="F421" s="3"/>
      <c r="G421" s="2"/>
      <c r="H421" s="3"/>
      <c r="I421" s="3"/>
      <c r="J421" s="2"/>
      <c r="K421" s="3"/>
      <c r="L421" s="3"/>
      <c r="M421" s="877"/>
      <c r="N421" s="869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</row>
    <row r="422" spans="1:192" ht="13">
      <c r="A422" s="2"/>
      <c r="B422" s="869"/>
      <c r="C422" s="869"/>
      <c r="D422" s="3"/>
      <c r="E422" s="3"/>
      <c r="F422" s="3"/>
      <c r="G422" s="2"/>
      <c r="H422" s="3"/>
      <c r="I422" s="3"/>
      <c r="J422" s="2"/>
      <c r="K422" s="3"/>
      <c r="L422" s="3"/>
      <c r="M422" s="877"/>
      <c r="N422" s="869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</row>
    <row r="423" spans="1:192" ht="13">
      <c r="A423" s="2"/>
      <c r="B423" s="869"/>
      <c r="C423" s="869"/>
      <c r="D423" s="3"/>
      <c r="E423" s="3"/>
      <c r="F423" s="3"/>
      <c r="G423" s="2"/>
      <c r="H423" s="3"/>
      <c r="I423" s="3"/>
      <c r="J423" s="2"/>
      <c r="K423" s="3"/>
      <c r="L423" s="3"/>
      <c r="M423" s="877"/>
      <c r="N423" s="869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</row>
    <row r="424" spans="1:192" ht="13">
      <c r="A424" s="2"/>
      <c r="B424" s="869"/>
      <c r="C424" s="869"/>
      <c r="D424" s="3"/>
      <c r="E424" s="3"/>
      <c r="F424" s="3"/>
      <c r="G424" s="2"/>
      <c r="H424" s="3"/>
      <c r="I424" s="3"/>
      <c r="J424" s="2"/>
      <c r="K424" s="3"/>
      <c r="L424" s="3"/>
      <c r="M424" s="877"/>
      <c r="N424" s="869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</row>
    <row r="425" spans="1:192" ht="13">
      <c r="A425" s="2"/>
      <c r="B425" s="869"/>
      <c r="C425" s="869"/>
      <c r="D425" s="3"/>
      <c r="E425" s="3"/>
      <c r="F425" s="3"/>
      <c r="G425" s="2"/>
      <c r="H425" s="3"/>
      <c r="I425" s="3"/>
      <c r="J425" s="2"/>
      <c r="K425" s="3"/>
      <c r="L425" s="3"/>
      <c r="M425" s="877"/>
      <c r="N425" s="869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</row>
    <row r="426" spans="1:192" ht="13">
      <c r="A426" s="2"/>
      <c r="B426" s="869"/>
      <c r="C426" s="869"/>
      <c r="D426" s="3"/>
      <c r="E426" s="3"/>
      <c r="F426" s="3"/>
      <c r="G426" s="2"/>
      <c r="H426" s="3"/>
      <c r="I426" s="3"/>
      <c r="J426" s="2"/>
      <c r="K426" s="3"/>
      <c r="L426" s="3"/>
      <c r="M426" s="877"/>
      <c r="N426" s="869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</row>
    <row r="427" spans="1:192" ht="13">
      <c r="A427" s="2"/>
      <c r="B427" s="869"/>
      <c r="C427" s="869"/>
      <c r="D427" s="3"/>
      <c r="E427" s="3"/>
      <c r="F427" s="3"/>
      <c r="G427" s="2"/>
      <c r="H427" s="3"/>
      <c r="I427" s="3"/>
      <c r="J427" s="2"/>
      <c r="K427" s="3"/>
      <c r="L427" s="3"/>
      <c r="M427" s="877"/>
      <c r="N427" s="869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</row>
    <row r="428" spans="1:192" ht="13">
      <c r="A428" s="2"/>
      <c r="B428" s="869"/>
      <c r="C428" s="869"/>
      <c r="D428" s="3"/>
      <c r="E428" s="3"/>
      <c r="F428" s="3"/>
      <c r="G428" s="2"/>
      <c r="H428" s="3"/>
      <c r="I428" s="3"/>
      <c r="J428" s="2"/>
      <c r="K428" s="3"/>
      <c r="L428" s="3"/>
      <c r="M428" s="877"/>
      <c r="N428" s="869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</row>
    <row r="429" spans="1:192" ht="13">
      <c r="A429" s="2"/>
      <c r="B429" s="869"/>
      <c r="C429" s="869"/>
      <c r="D429" s="3"/>
      <c r="E429" s="3"/>
      <c r="F429" s="3"/>
      <c r="G429" s="2"/>
      <c r="H429" s="3"/>
      <c r="I429" s="3"/>
      <c r="J429" s="2"/>
      <c r="K429" s="3"/>
      <c r="L429" s="3"/>
      <c r="M429" s="877"/>
      <c r="N429" s="869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</row>
    <row r="430" spans="1:192" ht="13">
      <c r="A430" s="2"/>
      <c r="B430" s="869"/>
      <c r="C430" s="869"/>
      <c r="D430" s="3"/>
      <c r="E430" s="3"/>
      <c r="F430" s="3"/>
      <c r="G430" s="2"/>
      <c r="H430" s="3"/>
      <c r="I430" s="3"/>
      <c r="J430" s="2"/>
      <c r="K430" s="3"/>
      <c r="L430" s="3"/>
      <c r="M430" s="877"/>
      <c r="N430" s="869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</row>
    <row r="431" spans="1:192" ht="13">
      <c r="A431" s="2"/>
      <c r="B431" s="869"/>
      <c r="C431" s="869"/>
      <c r="D431" s="3"/>
      <c r="E431" s="3"/>
      <c r="F431" s="3"/>
      <c r="G431" s="2"/>
      <c r="H431" s="3"/>
      <c r="I431" s="3"/>
      <c r="J431" s="2"/>
      <c r="K431" s="3"/>
      <c r="L431" s="3"/>
      <c r="M431" s="877"/>
      <c r="N431" s="869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</row>
    <row r="432" spans="1:192" ht="13">
      <c r="A432" s="2"/>
      <c r="B432" s="869"/>
      <c r="C432" s="869"/>
      <c r="D432" s="3"/>
      <c r="E432" s="3"/>
      <c r="F432" s="3"/>
      <c r="G432" s="2"/>
      <c r="H432" s="3"/>
      <c r="I432" s="3"/>
      <c r="J432" s="2"/>
      <c r="K432" s="3"/>
      <c r="L432" s="3"/>
      <c r="M432" s="877"/>
      <c r="N432" s="869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</row>
    <row r="433" spans="1:192" ht="13">
      <c r="A433" s="2"/>
      <c r="B433" s="869"/>
      <c r="C433" s="869"/>
      <c r="D433" s="3"/>
      <c r="E433" s="3"/>
      <c r="F433" s="3"/>
      <c r="G433" s="2"/>
      <c r="H433" s="3"/>
      <c r="I433" s="3"/>
      <c r="J433" s="2"/>
      <c r="K433" s="3"/>
      <c r="L433" s="3"/>
      <c r="M433" s="877"/>
      <c r="N433" s="869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</row>
    <row r="434" spans="1:192" ht="13">
      <c r="A434" s="2"/>
      <c r="B434" s="869"/>
      <c r="C434" s="869"/>
      <c r="D434" s="3"/>
      <c r="E434" s="3"/>
      <c r="F434" s="3"/>
      <c r="G434" s="2"/>
      <c r="H434" s="3"/>
      <c r="I434" s="3"/>
      <c r="J434" s="2"/>
      <c r="K434" s="3"/>
      <c r="L434" s="3"/>
      <c r="M434" s="877"/>
      <c r="N434" s="869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</row>
    <row r="435" spans="1:192" ht="13">
      <c r="A435" s="2"/>
      <c r="B435" s="869"/>
      <c r="C435" s="869"/>
      <c r="D435" s="3"/>
      <c r="E435" s="3"/>
      <c r="F435" s="3"/>
      <c r="G435" s="2"/>
      <c r="H435" s="3"/>
      <c r="I435" s="3"/>
      <c r="J435" s="2"/>
      <c r="K435" s="3"/>
      <c r="L435" s="3"/>
      <c r="M435" s="877"/>
      <c r="N435" s="869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</row>
    <row r="436" spans="1:192" ht="13">
      <c r="A436" s="2"/>
      <c r="B436" s="869"/>
      <c r="C436" s="869"/>
      <c r="D436" s="3"/>
      <c r="E436" s="3"/>
      <c r="F436" s="3"/>
      <c r="G436" s="2"/>
      <c r="H436" s="3"/>
      <c r="I436" s="3"/>
      <c r="J436" s="2"/>
      <c r="K436" s="3"/>
      <c r="L436" s="3"/>
      <c r="M436" s="877"/>
      <c r="N436" s="869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</row>
    <row r="437" spans="1:192" ht="13">
      <c r="A437" s="2"/>
      <c r="B437" s="869"/>
      <c r="C437" s="869"/>
      <c r="D437" s="3"/>
      <c r="E437" s="3"/>
      <c r="F437" s="3"/>
      <c r="G437" s="2"/>
      <c r="H437" s="3"/>
      <c r="I437" s="3"/>
      <c r="J437" s="2"/>
      <c r="K437" s="3"/>
      <c r="L437" s="3"/>
      <c r="M437" s="877"/>
      <c r="N437" s="869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</row>
    <row r="438" spans="1:192" ht="13">
      <c r="A438" s="2"/>
      <c r="B438" s="869"/>
      <c r="C438" s="869"/>
      <c r="D438" s="3"/>
      <c r="E438" s="3"/>
      <c r="F438" s="3"/>
      <c r="G438" s="2"/>
      <c r="H438" s="3"/>
      <c r="I438" s="3"/>
      <c r="J438" s="2"/>
      <c r="K438" s="3"/>
      <c r="L438" s="3"/>
      <c r="M438" s="877"/>
      <c r="N438" s="869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</row>
    <row r="439" spans="1:192" ht="13">
      <c r="A439" s="2"/>
      <c r="B439" s="869"/>
      <c r="C439" s="869"/>
      <c r="D439" s="3"/>
      <c r="E439" s="3"/>
      <c r="F439" s="3"/>
      <c r="G439" s="2"/>
      <c r="H439" s="3"/>
      <c r="I439" s="3"/>
      <c r="J439" s="2"/>
      <c r="K439" s="3"/>
      <c r="L439" s="3"/>
      <c r="M439" s="877"/>
      <c r="N439" s="869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</row>
    <row r="440" spans="1:192" ht="13">
      <c r="A440" s="2"/>
      <c r="B440" s="869"/>
      <c r="C440" s="869"/>
      <c r="D440" s="3"/>
      <c r="E440" s="3"/>
      <c r="F440" s="3"/>
      <c r="G440" s="2"/>
      <c r="H440" s="3"/>
      <c r="I440" s="3"/>
      <c r="J440" s="2"/>
      <c r="K440" s="3"/>
      <c r="L440" s="3"/>
      <c r="M440" s="877"/>
      <c r="N440" s="869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</row>
    <row r="441" spans="1:192" ht="13">
      <c r="A441" s="2"/>
      <c r="B441" s="869"/>
      <c r="C441" s="869"/>
      <c r="D441" s="3"/>
      <c r="E441" s="3"/>
      <c r="F441" s="3"/>
      <c r="G441" s="2"/>
      <c r="H441" s="3"/>
      <c r="I441" s="3"/>
      <c r="J441" s="2"/>
      <c r="K441" s="3"/>
      <c r="L441" s="3"/>
      <c r="M441" s="877"/>
      <c r="N441" s="869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</row>
    <row r="442" spans="1:192" ht="13">
      <c r="A442" s="2"/>
      <c r="B442" s="869"/>
      <c r="C442" s="869"/>
      <c r="D442" s="3"/>
      <c r="E442" s="3"/>
      <c r="F442" s="3"/>
      <c r="G442" s="2"/>
      <c r="H442" s="3"/>
      <c r="I442" s="3"/>
      <c r="J442" s="2"/>
      <c r="K442" s="3"/>
      <c r="L442" s="3"/>
      <c r="M442" s="877"/>
      <c r="N442" s="869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</row>
    <row r="443" spans="1:192" ht="13">
      <c r="A443" s="2"/>
      <c r="B443" s="869"/>
      <c r="C443" s="869"/>
      <c r="D443" s="3"/>
      <c r="E443" s="3"/>
      <c r="F443" s="3"/>
      <c r="G443" s="2"/>
      <c r="H443" s="3"/>
      <c r="I443" s="3"/>
      <c r="J443" s="2"/>
      <c r="K443" s="3"/>
      <c r="L443" s="3"/>
      <c r="M443" s="877"/>
      <c r="N443" s="869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</row>
    <row r="444" spans="1:192" ht="13">
      <c r="A444" s="2"/>
      <c r="B444" s="869"/>
      <c r="C444" s="869"/>
      <c r="D444" s="3"/>
      <c r="E444" s="3"/>
      <c r="F444" s="3"/>
      <c r="G444" s="2"/>
      <c r="H444" s="3"/>
      <c r="I444" s="3"/>
      <c r="J444" s="2"/>
      <c r="K444" s="3"/>
      <c r="L444" s="3"/>
      <c r="M444" s="877"/>
      <c r="N444" s="869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</row>
    <row r="445" spans="1:192" ht="13">
      <c r="A445" s="2"/>
      <c r="B445" s="869"/>
      <c r="C445" s="869"/>
      <c r="D445" s="3"/>
      <c r="E445" s="3"/>
      <c r="F445" s="3"/>
      <c r="G445" s="2"/>
      <c r="H445" s="3"/>
      <c r="I445" s="3"/>
      <c r="J445" s="2"/>
      <c r="K445" s="3"/>
      <c r="L445" s="3"/>
      <c r="M445" s="877"/>
      <c r="N445" s="869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</row>
    <row r="446" spans="1:192" ht="13">
      <c r="A446" s="2"/>
      <c r="B446" s="869"/>
      <c r="C446" s="869"/>
      <c r="D446" s="3"/>
      <c r="E446" s="3"/>
      <c r="F446" s="3"/>
      <c r="G446" s="2"/>
      <c r="H446" s="3"/>
      <c r="I446" s="3"/>
      <c r="J446" s="2"/>
      <c r="K446" s="3"/>
      <c r="L446" s="3"/>
      <c r="M446" s="877"/>
      <c r="N446" s="869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</row>
    <row r="447" spans="1:192" ht="13">
      <c r="A447" s="2"/>
      <c r="B447" s="869"/>
      <c r="C447" s="869"/>
      <c r="D447" s="3"/>
      <c r="E447" s="3"/>
      <c r="F447" s="3"/>
      <c r="G447" s="2"/>
      <c r="H447" s="3"/>
      <c r="I447" s="3"/>
      <c r="J447" s="2"/>
      <c r="K447" s="3"/>
      <c r="L447" s="3"/>
      <c r="M447" s="877"/>
      <c r="N447" s="869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</row>
    <row r="448" spans="1:192" ht="13">
      <c r="A448" s="2"/>
      <c r="B448" s="869"/>
      <c r="C448" s="869"/>
      <c r="D448" s="3"/>
      <c r="E448" s="3"/>
      <c r="F448" s="3"/>
      <c r="G448" s="2"/>
      <c r="H448" s="3"/>
      <c r="I448" s="3"/>
      <c r="J448" s="2"/>
      <c r="K448" s="3"/>
      <c r="L448" s="3"/>
      <c r="M448" s="877"/>
      <c r="N448" s="869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</row>
    <row r="449" spans="1:192" ht="13">
      <c r="A449" s="2"/>
      <c r="B449" s="869"/>
      <c r="C449" s="869"/>
      <c r="D449" s="3"/>
      <c r="E449" s="3"/>
      <c r="F449" s="3"/>
      <c r="G449" s="2"/>
      <c r="H449" s="3"/>
      <c r="I449" s="3"/>
      <c r="J449" s="2"/>
      <c r="K449" s="3"/>
      <c r="L449" s="3"/>
      <c r="M449" s="877"/>
      <c r="N449" s="869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</row>
    <row r="450" spans="1:192" ht="13">
      <c r="A450" s="2"/>
      <c r="B450" s="869"/>
      <c r="C450" s="869"/>
      <c r="D450" s="3"/>
      <c r="E450" s="3"/>
      <c r="F450" s="3"/>
      <c r="G450" s="2"/>
      <c r="H450" s="3"/>
      <c r="I450" s="3"/>
      <c r="J450" s="2"/>
      <c r="K450" s="3"/>
      <c r="L450" s="3"/>
      <c r="M450" s="877"/>
      <c r="N450" s="869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</row>
    <row r="451" spans="1:192" ht="13">
      <c r="A451" s="2"/>
      <c r="B451" s="869"/>
      <c r="C451" s="869"/>
      <c r="D451" s="3"/>
      <c r="E451" s="3"/>
      <c r="F451" s="3"/>
      <c r="G451" s="2"/>
      <c r="H451" s="3"/>
      <c r="I451" s="3"/>
      <c r="J451" s="2"/>
      <c r="K451" s="3"/>
      <c r="L451" s="3"/>
      <c r="M451" s="877"/>
      <c r="N451" s="869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</row>
    <row r="452" spans="1:192" ht="13">
      <c r="A452" s="2"/>
      <c r="B452" s="869"/>
      <c r="C452" s="869"/>
      <c r="D452" s="3"/>
      <c r="E452" s="3"/>
      <c r="F452" s="3"/>
      <c r="G452" s="2"/>
      <c r="H452" s="3"/>
      <c r="I452" s="3"/>
      <c r="J452" s="2"/>
      <c r="K452" s="3"/>
      <c r="L452" s="3"/>
      <c r="M452" s="877"/>
      <c r="N452" s="869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</row>
    <row r="453" spans="1:192" ht="13">
      <c r="A453" s="2"/>
      <c r="B453" s="869"/>
      <c r="C453" s="869"/>
      <c r="D453" s="3"/>
      <c r="E453" s="3"/>
      <c r="F453" s="3"/>
      <c r="G453" s="2"/>
      <c r="H453" s="3"/>
      <c r="I453" s="3"/>
      <c r="J453" s="2"/>
      <c r="K453" s="3"/>
      <c r="L453" s="3"/>
      <c r="M453" s="877"/>
      <c r="N453" s="869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</row>
    <row r="454" spans="1:192" ht="13">
      <c r="A454" s="2"/>
      <c r="B454" s="869"/>
      <c r="C454" s="869"/>
      <c r="D454" s="3"/>
      <c r="E454" s="3"/>
      <c r="F454" s="3"/>
      <c r="G454" s="2"/>
      <c r="H454" s="3"/>
      <c r="I454" s="3"/>
      <c r="J454" s="2"/>
      <c r="K454" s="3"/>
      <c r="L454" s="3"/>
      <c r="M454" s="877"/>
      <c r="N454" s="869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</row>
    <row r="455" spans="1:192" ht="13">
      <c r="A455" s="2"/>
      <c r="B455" s="869"/>
      <c r="C455" s="869"/>
      <c r="D455" s="3"/>
      <c r="E455" s="3"/>
      <c r="F455" s="3"/>
      <c r="G455" s="2"/>
      <c r="H455" s="3"/>
      <c r="I455" s="3"/>
      <c r="J455" s="2"/>
      <c r="K455" s="3"/>
      <c r="L455" s="3"/>
      <c r="M455" s="877"/>
      <c r="N455" s="869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</row>
    <row r="456" spans="1:192" ht="13">
      <c r="A456" s="2"/>
      <c r="B456" s="869"/>
      <c r="C456" s="869"/>
      <c r="D456" s="3"/>
      <c r="E456" s="3"/>
      <c r="F456" s="3"/>
      <c r="G456" s="2"/>
      <c r="H456" s="3"/>
      <c r="I456" s="3"/>
      <c r="J456" s="2"/>
      <c r="K456" s="3"/>
      <c r="L456" s="3"/>
      <c r="M456" s="877"/>
      <c r="N456" s="869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</row>
    <row r="457" spans="1:192" ht="13">
      <c r="A457" s="2"/>
      <c r="B457" s="869"/>
      <c r="C457" s="869"/>
      <c r="D457" s="3"/>
      <c r="E457" s="3"/>
      <c r="F457" s="3"/>
      <c r="G457" s="2"/>
      <c r="H457" s="3"/>
      <c r="I457" s="3"/>
      <c r="J457" s="2"/>
      <c r="K457" s="3"/>
      <c r="L457" s="3"/>
      <c r="M457" s="877"/>
      <c r="N457" s="869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</row>
    <row r="458" spans="1:192" ht="13">
      <c r="A458" s="2"/>
      <c r="B458" s="869"/>
      <c r="C458" s="869"/>
      <c r="D458" s="3"/>
      <c r="E458" s="3"/>
      <c r="F458" s="3"/>
      <c r="G458" s="2"/>
      <c r="H458" s="3"/>
      <c r="I458" s="3"/>
      <c r="J458" s="2"/>
      <c r="K458" s="3"/>
      <c r="L458" s="3"/>
      <c r="M458" s="877"/>
      <c r="N458" s="869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</row>
    <row r="459" spans="1:192" ht="13">
      <c r="A459" s="2"/>
      <c r="B459" s="869"/>
      <c r="C459" s="869"/>
      <c r="D459" s="3"/>
      <c r="E459" s="3"/>
      <c r="F459" s="3"/>
      <c r="G459" s="2"/>
      <c r="H459" s="3"/>
      <c r="I459" s="3"/>
      <c r="J459" s="2"/>
      <c r="K459" s="3"/>
      <c r="L459" s="3"/>
      <c r="M459" s="877"/>
      <c r="N459" s="869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</row>
    <row r="460" spans="1:192" ht="13">
      <c r="A460" s="2"/>
      <c r="B460" s="869"/>
      <c r="C460" s="869"/>
      <c r="D460" s="3"/>
      <c r="E460" s="3"/>
      <c r="F460" s="3"/>
      <c r="G460" s="2"/>
      <c r="H460" s="3"/>
      <c r="I460" s="3"/>
      <c r="J460" s="2"/>
      <c r="K460" s="3"/>
      <c r="L460" s="3"/>
      <c r="M460" s="877"/>
      <c r="N460" s="869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</row>
    <row r="461" spans="1:192" ht="13">
      <c r="A461" s="2"/>
      <c r="B461" s="869"/>
      <c r="C461" s="869"/>
      <c r="D461" s="3"/>
      <c r="E461" s="3"/>
      <c r="F461" s="3"/>
      <c r="G461" s="2"/>
      <c r="H461" s="3"/>
      <c r="I461" s="3"/>
      <c r="J461" s="2"/>
      <c r="K461" s="3"/>
      <c r="L461" s="3"/>
      <c r="M461" s="877"/>
      <c r="N461" s="869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</row>
    <row r="462" spans="1:192" ht="13">
      <c r="A462" s="2"/>
      <c r="B462" s="869"/>
      <c r="C462" s="869"/>
      <c r="D462" s="3"/>
      <c r="E462" s="3"/>
      <c r="F462" s="3"/>
      <c r="G462" s="2"/>
      <c r="H462" s="3"/>
      <c r="I462" s="3"/>
      <c r="J462" s="2"/>
      <c r="K462" s="3"/>
      <c r="L462" s="3"/>
      <c r="M462" s="877"/>
      <c r="N462" s="869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</row>
    <row r="463" spans="1:192" ht="13">
      <c r="A463" s="2"/>
      <c r="B463" s="869"/>
      <c r="C463" s="869"/>
      <c r="D463" s="3"/>
      <c r="E463" s="3"/>
      <c r="F463" s="3"/>
      <c r="G463" s="2"/>
      <c r="H463" s="3"/>
      <c r="I463" s="3"/>
      <c r="J463" s="2"/>
      <c r="K463" s="3"/>
      <c r="L463" s="3"/>
      <c r="M463" s="877"/>
      <c r="N463" s="869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</row>
    <row r="464" spans="1:192" ht="13">
      <c r="A464" s="2"/>
      <c r="B464" s="869"/>
      <c r="C464" s="869"/>
      <c r="D464" s="3"/>
      <c r="E464" s="3"/>
      <c r="F464" s="3"/>
      <c r="G464" s="2"/>
      <c r="H464" s="3"/>
      <c r="I464" s="3"/>
      <c r="J464" s="2"/>
      <c r="K464" s="3"/>
      <c r="L464" s="3"/>
      <c r="M464" s="877"/>
      <c r="N464" s="869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</row>
    <row r="465" spans="1:192" ht="13">
      <c r="A465" s="2"/>
      <c r="B465" s="869"/>
      <c r="C465" s="869"/>
      <c r="D465" s="3"/>
      <c r="E465" s="3"/>
      <c r="F465" s="3"/>
      <c r="G465" s="2"/>
      <c r="H465" s="3"/>
      <c r="I465" s="3"/>
      <c r="J465" s="2"/>
      <c r="K465" s="3"/>
      <c r="L465" s="3"/>
      <c r="M465" s="877"/>
      <c r="N465" s="869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</row>
    <row r="466" spans="1:192" ht="13">
      <c r="A466" s="2"/>
      <c r="B466" s="869"/>
      <c r="C466" s="869"/>
      <c r="D466" s="3"/>
      <c r="E466" s="3"/>
      <c r="F466" s="3"/>
      <c r="G466" s="2"/>
      <c r="H466" s="3"/>
      <c r="I466" s="3"/>
      <c r="J466" s="2"/>
      <c r="K466" s="3"/>
      <c r="L466" s="3"/>
      <c r="M466" s="877"/>
      <c r="N466" s="869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</row>
    <row r="467" spans="1:192" ht="13">
      <c r="A467" s="2"/>
      <c r="B467" s="869"/>
      <c r="C467" s="869"/>
      <c r="D467" s="3"/>
      <c r="E467" s="3"/>
      <c r="F467" s="3"/>
      <c r="G467" s="2"/>
      <c r="H467" s="3"/>
      <c r="I467" s="3"/>
      <c r="J467" s="2"/>
      <c r="K467" s="3"/>
      <c r="L467" s="3"/>
      <c r="M467" s="877"/>
      <c r="N467" s="869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</row>
    <row r="468" spans="1:192" ht="13">
      <c r="A468" s="2"/>
      <c r="B468" s="869"/>
      <c r="C468" s="869"/>
      <c r="D468" s="3"/>
      <c r="E468" s="3"/>
      <c r="F468" s="3"/>
      <c r="G468" s="2"/>
      <c r="H468" s="3"/>
      <c r="I468" s="3"/>
      <c r="J468" s="2"/>
      <c r="K468" s="3"/>
      <c r="L468" s="3"/>
      <c r="M468" s="877"/>
      <c r="N468" s="869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</row>
    <row r="469" spans="1:192" ht="13">
      <c r="A469" s="2"/>
      <c r="B469" s="869"/>
      <c r="C469" s="869"/>
      <c r="D469" s="3"/>
      <c r="E469" s="3"/>
      <c r="F469" s="3"/>
      <c r="G469" s="2"/>
      <c r="H469" s="3"/>
      <c r="I469" s="3"/>
      <c r="J469" s="2"/>
      <c r="K469" s="3"/>
      <c r="L469" s="3"/>
      <c r="M469" s="877"/>
      <c r="N469" s="869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</row>
    <row r="470" spans="1:192" ht="13">
      <c r="A470" s="2"/>
      <c r="B470" s="869"/>
      <c r="C470" s="869"/>
      <c r="D470" s="3"/>
      <c r="E470" s="3"/>
      <c r="F470" s="3"/>
      <c r="G470" s="2"/>
      <c r="H470" s="3"/>
      <c r="I470" s="3"/>
      <c r="J470" s="2"/>
      <c r="K470" s="3"/>
      <c r="L470" s="3"/>
      <c r="M470" s="877"/>
      <c r="N470" s="869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</row>
    <row r="471" spans="1:192" ht="13">
      <c r="A471" s="2"/>
      <c r="B471" s="869"/>
      <c r="C471" s="869"/>
      <c r="D471" s="3"/>
      <c r="E471" s="3"/>
      <c r="F471" s="3"/>
      <c r="G471" s="2"/>
      <c r="H471" s="3"/>
      <c r="I471" s="3"/>
      <c r="J471" s="2"/>
      <c r="K471" s="3"/>
      <c r="L471" s="3"/>
      <c r="M471" s="877"/>
      <c r="N471" s="869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</row>
    <row r="472" spans="1:192" ht="13">
      <c r="A472" s="2"/>
      <c r="B472" s="869"/>
      <c r="C472" s="869"/>
      <c r="D472" s="3"/>
      <c r="E472" s="3"/>
      <c r="F472" s="3"/>
      <c r="G472" s="2"/>
      <c r="H472" s="3"/>
      <c r="I472" s="3"/>
      <c r="J472" s="2"/>
      <c r="K472" s="3"/>
      <c r="L472" s="3"/>
      <c r="M472" s="877"/>
      <c r="N472" s="869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</row>
    <row r="473" spans="1:192" ht="13">
      <c r="A473" s="2"/>
      <c r="B473" s="869"/>
      <c r="C473" s="869"/>
      <c r="D473" s="3"/>
      <c r="E473" s="3"/>
      <c r="F473" s="3"/>
      <c r="G473" s="2"/>
      <c r="H473" s="3"/>
      <c r="I473" s="3"/>
      <c r="J473" s="2"/>
      <c r="K473" s="3"/>
      <c r="L473" s="3"/>
      <c r="M473" s="877"/>
      <c r="N473" s="869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</row>
    <row r="474" spans="1:192" ht="13">
      <c r="A474" s="2"/>
      <c r="B474" s="869"/>
      <c r="C474" s="869"/>
      <c r="D474" s="3"/>
      <c r="E474" s="3"/>
      <c r="F474" s="3"/>
      <c r="G474" s="2"/>
      <c r="H474" s="3"/>
      <c r="I474" s="3"/>
      <c r="J474" s="2"/>
      <c r="K474" s="3"/>
      <c r="L474" s="3"/>
      <c r="M474" s="877"/>
      <c r="N474" s="869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</row>
    <row r="475" spans="1:192" ht="13">
      <c r="A475" s="2"/>
      <c r="B475" s="869"/>
      <c r="C475" s="869"/>
      <c r="D475" s="3"/>
      <c r="E475" s="3"/>
      <c r="F475" s="3"/>
      <c r="G475" s="2"/>
      <c r="H475" s="3"/>
      <c r="I475" s="3"/>
      <c r="J475" s="2"/>
      <c r="K475" s="3"/>
      <c r="L475" s="3"/>
      <c r="M475" s="877"/>
      <c r="N475" s="869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</row>
    <row r="476" spans="1:192" ht="13">
      <c r="A476" s="2"/>
      <c r="B476" s="869"/>
      <c r="C476" s="869"/>
      <c r="D476" s="3"/>
      <c r="E476" s="3"/>
      <c r="F476" s="3"/>
      <c r="G476" s="2"/>
      <c r="H476" s="3"/>
      <c r="I476" s="3"/>
      <c r="J476" s="2"/>
      <c r="K476" s="3"/>
      <c r="L476" s="3"/>
      <c r="M476" s="877"/>
      <c r="N476" s="869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</row>
    <row r="477" spans="1:192" ht="13">
      <c r="A477" s="2"/>
      <c r="B477" s="869"/>
      <c r="C477" s="869"/>
      <c r="D477" s="3"/>
      <c r="E477" s="3"/>
      <c r="F477" s="3"/>
      <c r="G477" s="2"/>
      <c r="H477" s="3"/>
      <c r="I477" s="3"/>
      <c r="J477" s="2"/>
      <c r="K477" s="3"/>
      <c r="L477" s="3"/>
      <c r="M477" s="877"/>
      <c r="N477" s="869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</row>
    <row r="478" spans="1:192" ht="13">
      <c r="A478" s="2"/>
      <c r="B478" s="869"/>
      <c r="C478" s="869"/>
      <c r="D478" s="3"/>
      <c r="E478" s="3"/>
      <c r="F478" s="3"/>
      <c r="G478" s="2"/>
      <c r="H478" s="3"/>
      <c r="I478" s="3"/>
      <c r="J478" s="2"/>
      <c r="K478" s="3"/>
      <c r="L478" s="3"/>
      <c r="M478" s="877"/>
      <c r="N478" s="869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</row>
    <row r="479" spans="1:192" ht="13">
      <c r="A479" s="2"/>
      <c r="B479" s="869"/>
      <c r="C479" s="869"/>
      <c r="D479" s="3"/>
      <c r="E479" s="3"/>
      <c r="F479" s="3"/>
      <c r="G479" s="2"/>
      <c r="H479" s="3"/>
      <c r="I479" s="3"/>
      <c r="J479" s="2"/>
      <c r="K479" s="3"/>
      <c r="L479" s="3"/>
      <c r="M479" s="877"/>
      <c r="N479" s="869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</row>
    <row r="480" spans="1:192" ht="13">
      <c r="A480" s="2"/>
      <c r="B480" s="869"/>
      <c r="C480" s="869"/>
      <c r="D480" s="3"/>
      <c r="E480" s="3"/>
      <c r="F480" s="3"/>
      <c r="G480" s="2"/>
      <c r="H480" s="3"/>
      <c r="I480" s="3"/>
      <c r="J480" s="2"/>
      <c r="K480" s="3"/>
      <c r="L480" s="3"/>
      <c r="M480" s="877"/>
      <c r="N480" s="869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</row>
    <row r="481" spans="1:192" ht="13">
      <c r="A481" s="2"/>
      <c r="B481" s="869"/>
      <c r="C481" s="869"/>
      <c r="D481" s="3"/>
      <c r="E481" s="3"/>
      <c r="F481" s="3"/>
      <c r="G481" s="2"/>
      <c r="H481" s="3"/>
      <c r="I481" s="3"/>
      <c r="J481" s="2"/>
      <c r="K481" s="3"/>
      <c r="L481" s="3"/>
      <c r="M481" s="877"/>
      <c r="N481" s="869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</row>
    <row r="482" spans="1:192" ht="13">
      <c r="A482" s="2"/>
      <c r="B482" s="869"/>
      <c r="C482" s="869"/>
      <c r="D482" s="3"/>
      <c r="E482" s="3"/>
      <c r="F482" s="3"/>
      <c r="G482" s="2"/>
      <c r="H482" s="3"/>
      <c r="I482" s="3"/>
      <c r="J482" s="2"/>
      <c r="K482" s="3"/>
      <c r="L482" s="3"/>
      <c r="M482" s="877"/>
      <c r="N482" s="869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</row>
    <row r="483" spans="1:192" ht="13">
      <c r="A483" s="2"/>
      <c r="B483" s="869"/>
      <c r="C483" s="869"/>
      <c r="D483" s="3"/>
      <c r="E483" s="3"/>
      <c r="F483" s="3"/>
      <c r="G483" s="2"/>
      <c r="H483" s="3"/>
      <c r="I483" s="3"/>
      <c r="J483" s="2"/>
      <c r="K483" s="3"/>
      <c r="L483" s="3"/>
      <c r="M483" s="877"/>
      <c r="N483" s="869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</row>
    <row r="484" spans="1:192" ht="13">
      <c r="A484" s="2"/>
      <c r="B484" s="869"/>
      <c r="C484" s="869"/>
      <c r="D484" s="3"/>
      <c r="E484" s="3"/>
      <c r="F484" s="3"/>
      <c r="G484" s="2"/>
      <c r="H484" s="3"/>
      <c r="I484" s="3"/>
      <c r="J484" s="2"/>
      <c r="K484" s="3"/>
      <c r="L484" s="3"/>
      <c r="M484" s="877"/>
      <c r="N484" s="869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</row>
    <row r="485" spans="1:192" ht="13">
      <c r="A485" s="2"/>
      <c r="B485" s="869"/>
      <c r="C485" s="869"/>
      <c r="D485" s="3"/>
      <c r="E485" s="3"/>
      <c r="F485" s="3"/>
      <c r="G485" s="2"/>
      <c r="H485" s="3"/>
      <c r="I485" s="3"/>
      <c r="J485" s="2"/>
      <c r="K485" s="3"/>
      <c r="L485" s="3"/>
      <c r="M485" s="877"/>
      <c r="N485" s="869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</row>
    <row r="486" spans="1:192" ht="13">
      <c r="A486" s="2"/>
      <c r="B486" s="869"/>
      <c r="C486" s="869"/>
      <c r="D486" s="3"/>
      <c r="E486" s="3"/>
      <c r="F486" s="3"/>
      <c r="G486" s="2"/>
      <c r="H486" s="3"/>
      <c r="I486" s="3"/>
      <c r="J486" s="2"/>
      <c r="K486" s="3"/>
      <c r="L486" s="3"/>
      <c r="M486" s="877"/>
      <c r="N486" s="869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</row>
    <row r="487" spans="1:192" ht="13">
      <c r="A487" s="2"/>
      <c r="B487" s="869"/>
      <c r="C487" s="869"/>
      <c r="D487" s="3"/>
      <c r="E487" s="3"/>
      <c r="F487" s="3"/>
      <c r="G487" s="2"/>
      <c r="H487" s="3"/>
      <c r="I487" s="3"/>
      <c r="J487" s="2"/>
      <c r="K487" s="3"/>
      <c r="L487" s="3"/>
      <c r="M487" s="877"/>
      <c r="N487" s="869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</row>
    <row r="488" spans="1:192" ht="13">
      <c r="A488" s="2"/>
      <c r="B488" s="869"/>
      <c r="C488" s="869"/>
      <c r="D488" s="3"/>
      <c r="E488" s="3"/>
      <c r="F488" s="3"/>
      <c r="G488" s="2"/>
      <c r="H488" s="3"/>
      <c r="I488" s="3"/>
      <c r="J488" s="2"/>
      <c r="K488" s="3"/>
      <c r="L488" s="3"/>
      <c r="M488" s="877"/>
      <c r="N488" s="869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</row>
    <row r="489" spans="1:192" ht="13">
      <c r="A489" s="2"/>
      <c r="B489" s="869"/>
      <c r="C489" s="869"/>
      <c r="D489" s="3"/>
      <c r="E489" s="3"/>
      <c r="F489" s="3"/>
      <c r="G489" s="2"/>
      <c r="H489" s="3"/>
      <c r="I489" s="3"/>
      <c r="J489" s="2"/>
      <c r="K489" s="3"/>
      <c r="L489" s="3"/>
      <c r="M489" s="877"/>
      <c r="N489" s="869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</row>
    <row r="490" spans="1:192" ht="13">
      <c r="A490" s="2"/>
      <c r="B490" s="869"/>
      <c r="C490" s="869"/>
      <c r="D490" s="3"/>
      <c r="E490" s="3"/>
      <c r="F490" s="3"/>
      <c r="G490" s="2"/>
      <c r="H490" s="3"/>
      <c r="I490" s="3"/>
      <c r="J490" s="2"/>
      <c r="K490" s="3"/>
      <c r="L490" s="3"/>
      <c r="M490" s="877"/>
      <c r="N490" s="869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</row>
    <row r="491" spans="1:192" ht="13">
      <c r="A491" s="2"/>
      <c r="B491" s="869"/>
      <c r="C491" s="869"/>
      <c r="D491" s="3"/>
      <c r="E491" s="3"/>
      <c r="F491" s="3"/>
      <c r="G491" s="2"/>
      <c r="H491" s="3"/>
      <c r="I491" s="3"/>
      <c r="J491" s="2"/>
      <c r="K491" s="3"/>
      <c r="L491" s="3"/>
      <c r="M491" s="877"/>
      <c r="N491" s="869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</row>
    <row r="492" spans="1:192" ht="13">
      <c r="A492" s="2"/>
      <c r="B492" s="869"/>
      <c r="C492" s="869"/>
      <c r="D492" s="3"/>
      <c r="E492" s="3"/>
      <c r="F492" s="3"/>
      <c r="G492" s="2"/>
      <c r="H492" s="3"/>
      <c r="I492" s="3"/>
      <c r="J492" s="2"/>
      <c r="K492" s="3"/>
      <c r="L492" s="3"/>
      <c r="M492" s="877"/>
      <c r="N492" s="869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</row>
    <row r="493" spans="1:192" ht="13">
      <c r="A493" s="2"/>
      <c r="B493" s="869"/>
      <c r="C493" s="869"/>
      <c r="D493" s="3"/>
      <c r="E493" s="3"/>
      <c r="F493" s="3"/>
      <c r="G493" s="2"/>
      <c r="H493" s="3"/>
      <c r="I493" s="3"/>
      <c r="J493" s="2"/>
      <c r="K493" s="3"/>
      <c r="L493" s="3"/>
      <c r="M493" s="877"/>
      <c r="N493" s="869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</row>
    <row r="494" spans="1:192" ht="13">
      <c r="A494" s="2"/>
      <c r="B494" s="869"/>
      <c r="C494" s="869"/>
      <c r="D494" s="3"/>
      <c r="E494" s="3"/>
      <c r="F494" s="3"/>
      <c r="G494" s="2"/>
      <c r="H494" s="3"/>
      <c r="I494" s="3"/>
      <c r="J494" s="2"/>
      <c r="K494" s="3"/>
      <c r="L494" s="3"/>
      <c r="M494" s="877"/>
      <c r="N494" s="869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</row>
    <row r="495" spans="1:192" ht="13">
      <c r="A495" s="2"/>
      <c r="B495" s="869"/>
      <c r="C495" s="869"/>
      <c r="D495" s="3"/>
      <c r="E495" s="3"/>
      <c r="F495" s="3"/>
      <c r="G495" s="2"/>
      <c r="H495" s="3"/>
      <c r="I495" s="3"/>
      <c r="J495" s="2"/>
      <c r="K495" s="3"/>
      <c r="L495" s="3"/>
      <c r="M495" s="877"/>
      <c r="N495" s="869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</row>
    <row r="496" spans="1:192" ht="13">
      <c r="A496" s="2"/>
      <c r="B496" s="869"/>
      <c r="C496" s="869"/>
      <c r="D496" s="3"/>
      <c r="E496" s="3"/>
      <c r="F496" s="3"/>
      <c r="G496" s="2"/>
      <c r="H496" s="3"/>
      <c r="I496" s="3"/>
      <c r="J496" s="2"/>
      <c r="K496" s="3"/>
      <c r="L496" s="3"/>
      <c r="M496" s="877"/>
      <c r="N496" s="869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</row>
    <row r="497" spans="1:192" ht="13">
      <c r="A497" s="2"/>
      <c r="B497" s="869"/>
      <c r="C497" s="869"/>
      <c r="D497" s="3"/>
      <c r="E497" s="3"/>
      <c r="F497" s="3"/>
      <c r="G497" s="2"/>
      <c r="H497" s="3"/>
      <c r="I497" s="3"/>
      <c r="J497" s="2"/>
      <c r="K497" s="3"/>
      <c r="L497" s="3"/>
      <c r="M497" s="877"/>
      <c r="N497" s="869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</row>
    <row r="498" spans="1:192" ht="13">
      <c r="A498" s="2"/>
      <c r="B498" s="869"/>
      <c r="C498" s="869"/>
      <c r="D498" s="3"/>
      <c r="E498" s="3"/>
      <c r="F498" s="3"/>
      <c r="G498" s="2"/>
      <c r="H498" s="3"/>
      <c r="I498" s="3"/>
      <c r="J498" s="2"/>
      <c r="K498" s="3"/>
      <c r="L498" s="3"/>
      <c r="M498" s="877"/>
      <c r="N498" s="869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</row>
    <row r="499" spans="1:192" ht="13">
      <c r="A499" s="2"/>
      <c r="B499" s="869"/>
      <c r="C499" s="869"/>
      <c r="D499" s="3"/>
      <c r="E499" s="3"/>
      <c r="F499" s="3"/>
      <c r="G499" s="2"/>
      <c r="H499" s="3"/>
      <c r="I499" s="3"/>
      <c r="J499" s="2"/>
      <c r="K499" s="3"/>
      <c r="L499" s="3"/>
      <c r="M499" s="877"/>
      <c r="N499" s="869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</row>
    <row r="500" spans="1:192" ht="13">
      <c r="A500" s="2"/>
      <c r="B500" s="869"/>
      <c r="C500" s="869"/>
      <c r="D500" s="3"/>
      <c r="E500" s="3"/>
      <c r="F500" s="3"/>
      <c r="G500" s="2"/>
      <c r="H500" s="3"/>
      <c r="I500" s="3"/>
      <c r="J500" s="2"/>
      <c r="K500" s="3"/>
      <c r="L500" s="3"/>
      <c r="M500" s="877"/>
      <c r="N500" s="869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</row>
    <row r="501" spans="1:192" ht="13">
      <c r="A501" s="2"/>
      <c r="B501" s="869"/>
      <c r="C501" s="869"/>
      <c r="D501" s="3"/>
      <c r="E501" s="3"/>
      <c r="F501" s="3"/>
      <c r="G501" s="2"/>
      <c r="H501" s="3"/>
      <c r="I501" s="3"/>
      <c r="J501" s="2"/>
      <c r="K501" s="3"/>
      <c r="L501" s="3"/>
      <c r="M501" s="877"/>
      <c r="N501" s="869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</row>
    <row r="502" spans="1:192" ht="13">
      <c r="A502" s="2"/>
      <c r="B502" s="869"/>
      <c r="C502" s="869"/>
      <c r="D502" s="3"/>
      <c r="E502" s="3"/>
      <c r="F502" s="3"/>
      <c r="G502" s="2"/>
      <c r="H502" s="3"/>
      <c r="I502" s="3"/>
      <c r="J502" s="2"/>
      <c r="K502" s="3"/>
      <c r="L502" s="3"/>
      <c r="M502" s="877"/>
      <c r="N502" s="869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</row>
    <row r="503" spans="1:192" ht="13">
      <c r="A503" s="2"/>
      <c r="B503" s="869"/>
      <c r="C503" s="869"/>
      <c r="D503" s="3"/>
      <c r="E503" s="3"/>
      <c r="F503" s="3"/>
      <c r="G503" s="2"/>
      <c r="H503" s="3"/>
      <c r="I503" s="3"/>
      <c r="J503" s="2"/>
      <c r="K503" s="3"/>
      <c r="L503" s="3"/>
      <c r="M503" s="877"/>
      <c r="N503" s="869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</row>
    <row r="504" spans="1:192" ht="13">
      <c r="A504" s="2"/>
      <c r="B504" s="869"/>
      <c r="C504" s="869"/>
      <c r="D504" s="3"/>
      <c r="E504" s="3"/>
      <c r="F504" s="3"/>
      <c r="G504" s="2"/>
      <c r="H504" s="3"/>
      <c r="I504" s="3"/>
      <c r="J504" s="2"/>
      <c r="K504" s="3"/>
      <c r="L504" s="3"/>
      <c r="M504" s="877"/>
      <c r="N504" s="869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</row>
    <row r="505" spans="1:192" ht="13">
      <c r="A505" s="2"/>
      <c r="B505" s="869"/>
      <c r="C505" s="869"/>
      <c r="D505" s="3"/>
      <c r="E505" s="3"/>
      <c r="F505" s="3"/>
      <c r="G505" s="2"/>
      <c r="H505" s="3"/>
      <c r="I505" s="3"/>
      <c r="J505" s="2"/>
      <c r="K505" s="3"/>
      <c r="L505" s="3"/>
      <c r="M505" s="877"/>
      <c r="N505" s="869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</row>
    <row r="506" spans="1:192" ht="13">
      <c r="A506" s="2"/>
      <c r="B506" s="869"/>
      <c r="C506" s="869"/>
      <c r="D506" s="3"/>
      <c r="E506" s="3"/>
      <c r="F506" s="3"/>
      <c r="G506" s="2"/>
      <c r="H506" s="3"/>
      <c r="I506" s="3"/>
      <c r="J506" s="2"/>
      <c r="K506" s="3"/>
      <c r="L506" s="3"/>
      <c r="M506" s="877"/>
      <c r="N506" s="869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</row>
    <row r="507" spans="1:192" ht="13">
      <c r="A507" s="2"/>
      <c r="B507" s="869"/>
      <c r="C507" s="869"/>
      <c r="D507" s="3"/>
      <c r="E507" s="3"/>
      <c r="F507" s="3"/>
      <c r="G507" s="2"/>
      <c r="H507" s="3"/>
      <c r="I507" s="3"/>
      <c r="J507" s="2"/>
      <c r="K507" s="3"/>
      <c r="L507" s="3"/>
      <c r="M507" s="877"/>
      <c r="N507" s="869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</row>
    <row r="508" spans="1:192" ht="13">
      <c r="A508" s="2"/>
      <c r="B508" s="869"/>
      <c r="C508" s="869"/>
      <c r="D508" s="3"/>
      <c r="E508" s="3"/>
      <c r="F508" s="3"/>
      <c r="G508" s="2"/>
      <c r="H508" s="3"/>
      <c r="I508" s="3"/>
      <c r="J508" s="2"/>
      <c r="K508" s="3"/>
      <c r="L508" s="3"/>
      <c r="M508" s="877"/>
      <c r="N508" s="869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</row>
    <row r="509" spans="1:192" ht="13">
      <c r="A509" s="2"/>
      <c r="B509" s="869"/>
      <c r="C509" s="869"/>
      <c r="D509" s="3"/>
      <c r="E509" s="3"/>
      <c r="F509" s="3"/>
      <c r="G509" s="2"/>
      <c r="H509" s="3"/>
      <c r="I509" s="3"/>
      <c r="J509" s="2"/>
      <c r="K509" s="3"/>
      <c r="L509" s="3"/>
      <c r="M509" s="877"/>
      <c r="N509" s="869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</row>
    <row r="510" spans="1:192" ht="13">
      <c r="A510" s="2"/>
      <c r="B510" s="869"/>
      <c r="C510" s="869"/>
      <c r="D510" s="3"/>
      <c r="E510" s="3"/>
      <c r="F510" s="3"/>
      <c r="G510" s="2"/>
      <c r="H510" s="3"/>
      <c r="I510" s="3"/>
      <c r="J510" s="2"/>
      <c r="K510" s="3"/>
      <c r="L510" s="3"/>
      <c r="M510" s="877"/>
      <c r="N510" s="869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</row>
    <row r="511" spans="1:192" ht="13">
      <c r="A511" s="2"/>
      <c r="B511" s="869"/>
      <c r="C511" s="869"/>
      <c r="D511" s="3"/>
      <c r="E511" s="3"/>
      <c r="F511" s="3"/>
      <c r="G511" s="2"/>
      <c r="H511" s="3"/>
      <c r="I511" s="3"/>
      <c r="J511" s="2"/>
      <c r="K511" s="3"/>
      <c r="L511" s="3"/>
      <c r="M511" s="877"/>
      <c r="N511" s="869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</row>
    <row r="512" spans="1:192" ht="13">
      <c r="A512" s="2"/>
      <c r="B512" s="869"/>
      <c r="C512" s="869"/>
      <c r="D512" s="3"/>
      <c r="E512" s="3"/>
      <c r="F512" s="3"/>
      <c r="G512" s="2"/>
      <c r="H512" s="3"/>
      <c r="I512" s="3"/>
      <c r="J512" s="2"/>
      <c r="K512" s="3"/>
      <c r="L512" s="3"/>
      <c r="M512" s="877"/>
      <c r="N512" s="869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</row>
    <row r="513" spans="1:192" ht="13">
      <c r="A513" s="2"/>
      <c r="B513" s="869"/>
      <c r="C513" s="869"/>
      <c r="D513" s="3"/>
      <c r="E513" s="3"/>
      <c r="F513" s="3"/>
      <c r="G513" s="2"/>
      <c r="H513" s="3"/>
      <c r="I513" s="3"/>
      <c r="J513" s="2"/>
      <c r="K513" s="3"/>
      <c r="L513" s="3"/>
      <c r="M513" s="877"/>
      <c r="N513" s="869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</row>
    <row r="514" spans="1:192" ht="13">
      <c r="A514" s="2"/>
      <c r="B514" s="869"/>
      <c r="C514" s="869"/>
      <c r="D514" s="3"/>
      <c r="E514" s="3"/>
      <c r="F514" s="3"/>
      <c r="G514" s="2"/>
      <c r="H514" s="3"/>
      <c r="I514" s="3"/>
      <c r="J514" s="2"/>
      <c r="K514" s="3"/>
      <c r="L514" s="3"/>
      <c r="M514" s="877"/>
      <c r="N514" s="869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</row>
    <row r="515" spans="1:192" ht="13">
      <c r="A515" s="2"/>
      <c r="B515" s="869"/>
      <c r="C515" s="869"/>
      <c r="D515" s="3"/>
      <c r="E515" s="3"/>
      <c r="F515" s="3"/>
      <c r="G515" s="2"/>
      <c r="H515" s="3"/>
      <c r="I515" s="3"/>
      <c r="J515" s="2"/>
      <c r="K515" s="3"/>
      <c r="L515" s="3"/>
      <c r="M515" s="877"/>
      <c r="N515" s="869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</row>
    <row r="516" spans="1:192" ht="13">
      <c r="A516" s="2"/>
      <c r="B516" s="869"/>
      <c r="C516" s="869"/>
      <c r="D516" s="3"/>
      <c r="E516" s="3"/>
      <c r="F516" s="3"/>
      <c r="G516" s="2"/>
      <c r="H516" s="3"/>
      <c r="I516" s="3"/>
      <c r="J516" s="2"/>
      <c r="K516" s="3"/>
      <c r="L516" s="3"/>
      <c r="M516" s="877"/>
      <c r="N516" s="869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</row>
    <row r="517" spans="1:192" ht="13">
      <c r="A517" s="2"/>
      <c r="B517" s="869"/>
      <c r="C517" s="869"/>
      <c r="D517" s="3"/>
      <c r="E517" s="3"/>
      <c r="F517" s="3"/>
      <c r="G517" s="2"/>
      <c r="H517" s="3"/>
      <c r="I517" s="3"/>
      <c r="J517" s="2"/>
      <c r="K517" s="3"/>
      <c r="L517" s="3"/>
      <c r="M517" s="877"/>
      <c r="N517" s="869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</row>
    <row r="518" spans="1:192" ht="13">
      <c r="A518" s="2"/>
      <c r="B518" s="869"/>
      <c r="C518" s="869"/>
      <c r="D518" s="3"/>
      <c r="E518" s="3"/>
      <c r="F518" s="3"/>
      <c r="G518" s="2"/>
      <c r="H518" s="3"/>
      <c r="I518" s="3"/>
      <c r="J518" s="2"/>
      <c r="K518" s="3"/>
      <c r="L518" s="3"/>
      <c r="M518" s="877"/>
      <c r="N518" s="869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</row>
    <row r="519" spans="1:192" ht="13">
      <c r="A519" s="2"/>
      <c r="B519" s="869"/>
      <c r="C519" s="869"/>
      <c r="D519" s="3"/>
      <c r="E519" s="3"/>
      <c r="F519" s="3"/>
      <c r="G519" s="2"/>
      <c r="H519" s="3"/>
      <c r="I519" s="3"/>
      <c r="J519" s="2"/>
      <c r="K519" s="3"/>
      <c r="L519" s="3"/>
      <c r="M519" s="877"/>
      <c r="N519" s="869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</row>
    <row r="520" spans="1:192" ht="13">
      <c r="A520" s="2"/>
      <c r="B520" s="869"/>
      <c r="C520" s="869"/>
      <c r="D520" s="3"/>
      <c r="E520" s="3"/>
      <c r="F520" s="3"/>
      <c r="G520" s="2"/>
      <c r="H520" s="3"/>
      <c r="I520" s="3"/>
      <c r="J520" s="2"/>
      <c r="K520" s="3"/>
      <c r="L520" s="3"/>
      <c r="M520" s="877"/>
      <c r="N520" s="869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</row>
    <row r="521" spans="1:192" ht="13">
      <c r="A521" s="2"/>
      <c r="B521" s="869"/>
      <c r="C521" s="869"/>
      <c r="D521" s="3"/>
      <c r="E521" s="3"/>
      <c r="F521" s="3"/>
      <c r="G521" s="2"/>
      <c r="H521" s="3"/>
      <c r="I521" s="3"/>
      <c r="J521" s="2"/>
      <c r="K521" s="3"/>
      <c r="L521" s="3"/>
      <c r="M521" s="877"/>
      <c r="N521" s="869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</row>
    <row r="522" spans="1:192" ht="13">
      <c r="A522" s="2"/>
      <c r="B522" s="869"/>
      <c r="C522" s="869"/>
      <c r="D522" s="3"/>
      <c r="E522" s="3"/>
      <c r="F522" s="3"/>
      <c r="G522" s="2"/>
      <c r="H522" s="3"/>
      <c r="I522" s="3"/>
      <c r="J522" s="2"/>
      <c r="K522" s="3"/>
      <c r="L522" s="3"/>
      <c r="M522" s="877"/>
      <c r="N522" s="869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</row>
    <row r="523" spans="1:192" ht="13">
      <c r="A523" s="2"/>
      <c r="B523" s="869"/>
      <c r="C523" s="869"/>
      <c r="D523" s="3"/>
      <c r="E523" s="3"/>
      <c r="F523" s="3"/>
      <c r="G523" s="2"/>
      <c r="H523" s="3"/>
      <c r="I523" s="3"/>
      <c r="J523" s="2"/>
      <c r="K523" s="3"/>
      <c r="L523" s="3"/>
      <c r="M523" s="877"/>
      <c r="N523" s="869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</row>
    <row r="524" spans="1:192" ht="13">
      <c r="A524" s="2"/>
      <c r="B524" s="869"/>
      <c r="C524" s="869"/>
      <c r="D524" s="3"/>
      <c r="E524" s="3"/>
      <c r="F524" s="3"/>
      <c r="G524" s="2"/>
      <c r="H524" s="3"/>
      <c r="I524" s="3"/>
      <c r="J524" s="2"/>
      <c r="K524" s="3"/>
      <c r="L524" s="3"/>
      <c r="M524" s="877"/>
      <c r="N524" s="869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</row>
    <row r="525" spans="1:192" ht="13">
      <c r="A525" s="2"/>
      <c r="B525" s="869"/>
      <c r="C525" s="869"/>
      <c r="D525" s="3"/>
      <c r="E525" s="3"/>
      <c r="F525" s="3"/>
      <c r="G525" s="2"/>
      <c r="H525" s="3"/>
      <c r="I525" s="3"/>
      <c r="J525" s="2"/>
      <c r="K525" s="3"/>
      <c r="L525" s="3"/>
      <c r="M525" s="877"/>
      <c r="N525" s="869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</row>
    <row r="526" spans="1:192" ht="13">
      <c r="A526" s="2"/>
      <c r="B526" s="869"/>
      <c r="C526" s="869"/>
      <c r="D526" s="3"/>
      <c r="E526" s="3"/>
      <c r="F526" s="3"/>
      <c r="G526" s="2"/>
      <c r="H526" s="3"/>
      <c r="I526" s="3"/>
      <c r="J526" s="2"/>
      <c r="K526" s="3"/>
      <c r="L526" s="3"/>
      <c r="M526" s="877"/>
      <c r="N526" s="869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</row>
    <row r="527" spans="1:192" ht="13">
      <c r="A527" s="2"/>
      <c r="B527" s="869"/>
      <c r="C527" s="869"/>
      <c r="D527" s="3"/>
      <c r="E527" s="3"/>
      <c r="F527" s="3"/>
      <c r="G527" s="2"/>
      <c r="H527" s="3"/>
      <c r="I527" s="3"/>
      <c r="J527" s="2"/>
      <c r="K527" s="3"/>
      <c r="L527" s="3"/>
      <c r="M527" s="877"/>
      <c r="N527" s="869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</row>
    <row r="528" spans="1:192" ht="13">
      <c r="A528" s="2"/>
      <c r="B528" s="869"/>
      <c r="C528" s="869"/>
      <c r="D528" s="3"/>
      <c r="E528" s="3"/>
      <c r="F528" s="3"/>
      <c r="G528" s="2"/>
      <c r="H528" s="3"/>
      <c r="I528" s="3"/>
      <c r="J528" s="2"/>
      <c r="K528" s="3"/>
      <c r="L528" s="3"/>
      <c r="M528" s="877"/>
      <c r="N528" s="869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</row>
    <row r="529" spans="1:192" ht="13">
      <c r="A529" s="2"/>
      <c r="B529" s="869"/>
      <c r="C529" s="869"/>
      <c r="D529" s="3"/>
      <c r="E529" s="3"/>
      <c r="F529" s="3"/>
      <c r="G529" s="2"/>
      <c r="H529" s="3"/>
      <c r="I529" s="3"/>
      <c r="J529" s="2"/>
      <c r="K529" s="3"/>
      <c r="L529" s="3"/>
      <c r="M529" s="877"/>
      <c r="N529" s="869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</row>
    <row r="530" spans="1:192" ht="13">
      <c r="A530" s="2"/>
      <c r="B530" s="869"/>
      <c r="C530" s="869"/>
      <c r="D530" s="3"/>
      <c r="E530" s="3"/>
      <c r="F530" s="3"/>
      <c r="G530" s="2"/>
      <c r="H530" s="3"/>
      <c r="I530" s="3"/>
      <c r="J530" s="2"/>
      <c r="K530" s="3"/>
      <c r="L530" s="3"/>
      <c r="M530" s="877"/>
      <c r="N530" s="869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</row>
    <row r="531" spans="1:192" ht="13">
      <c r="A531" s="2"/>
      <c r="B531" s="869"/>
      <c r="C531" s="869"/>
      <c r="D531" s="3"/>
      <c r="E531" s="3"/>
      <c r="F531" s="3"/>
      <c r="G531" s="2"/>
      <c r="H531" s="3"/>
      <c r="I531" s="3"/>
      <c r="J531" s="2"/>
      <c r="K531" s="3"/>
      <c r="L531" s="3"/>
      <c r="M531" s="877"/>
      <c r="N531" s="869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</row>
    <row r="532" spans="1:192" ht="13">
      <c r="A532" s="2"/>
      <c r="B532" s="869"/>
      <c r="C532" s="869"/>
      <c r="D532" s="3"/>
      <c r="E532" s="3"/>
      <c r="F532" s="3"/>
      <c r="G532" s="2"/>
      <c r="H532" s="3"/>
      <c r="I532" s="3"/>
      <c r="J532" s="2"/>
      <c r="K532" s="3"/>
      <c r="L532" s="3"/>
      <c r="M532" s="877"/>
      <c r="N532" s="869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</row>
    <row r="533" spans="1:192" ht="13">
      <c r="A533" s="2"/>
      <c r="B533" s="869"/>
      <c r="C533" s="869"/>
      <c r="D533" s="3"/>
      <c r="E533" s="3"/>
      <c r="F533" s="3"/>
      <c r="G533" s="2"/>
      <c r="H533" s="3"/>
      <c r="I533" s="3"/>
      <c r="J533" s="2"/>
      <c r="K533" s="3"/>
      <c r="L533" s="3"/>
      <c r="M533" s="877"/>
      <c r="N533" s="869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</row>
    <row r="534" spans="1:192" ht="13">
      <c r="A534" s="2"/>
      <c r="B534" s="869"/>
      <c r="C534" s="869"/>
      <c r="D534" s="3"/>
      <c r="E534" s="3"/>
      <c r="F534" s="3"/>
      <c r="G534" s="2"/>
      <c r="H534" s="3"/>
      <c r="I534" s="3"/>
      <c r="J534" s="2"/>
      <c r="K534" s="3"/>
      <c r="L534" s="3"/>
      <c r="M534" s="877"/>
      <c r="N534" s="869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</row>
    <row r="535" spans="1:192" ht="13">
      <c r="A535" s="2"/>
      <c r="B535" s="869"/>
      <c r="C535" s="869"/>
      <c r="D535" s="3"/>
      <c r="E535" s="3"/>
      <c r="F535" s="3"/>
      <c r="G535" s="2"/>
      <c r="H535" s="3"/>
      <c r="I535" s="3"/>
      <c r="J535" s="2"/>
      <c r="K535" s="3"/>
      <c r="L535" s="3"/>
      <c r="M535" s="877"/>
      <c r="N535" s="869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</row>
    <row r="536" spans="1:192" ht="13">
      <c r="A536" s="2"/>
      <c r="B536" s="869"/>
      <c r="C536" s="869"/>
      <c r="D536" s="3"/>
      <c r="E536" s="3"/>
      <c r="F536" s="3"/>
      <c r="G536" s="2"/>
      <c r="H536" s="3"/>
      <c r="I536" s="3"/>
      <c r="J536" s="2"/>
      <c r="K536" s="3"/>
      <c r="L536" s="3"/>
      <c r="M536" s="877"/>
      <c r="N536" s="869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</row>
    <row r="537" spans="1:192" ht="13">
      <c r="A537" s="2"/>
      <c r="B537" s="869"/>
      <c r="C537" s="869"/>
      <c r="D537" s="3"/>
      <c r="E537" s="3"/>
      <c r="F537" s="3"/>
      <c r="G537" s="2"/>
      <c r="H537" s="3"/>
      <c r="I537" s="3"/>
      <c r="J537" s="2"/>
      <c r="K537" s="3"/>
      <c r="L537" s="3"/>
      <c r="M537" s="877"/>
      <c r="N537" s="869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</row>
    <row r="538" spans="1:192" ht="13">
      <c r="A538" s="2"/>
      <c r="B538" s="869"/>
      <c r="C538" s="869"/>
      <c r="D538" s="3"/>
      <c r="E538" s="3"/>
      <c r="F538" s="3"/>
      <c r="G538" s="2"/>
      <c r="H538" s="3"/>
      <c r="I538" s="3"/>
      <c r="J538" s="2"/>
      <c r="K538" s="3"/>
      <c r="L538" s="3"/>
      <c r="M538" s="877"/>
      <c r="N538" s="869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</row>
    <row r="539" spans="1:192" ht="13">
      <c r="A539" s="2"/>
      <c r="B539" s="869"/>
      <c r="C539" s="869"/>
      <c r="D539" s="3"/>
      <c r="E539" s="3"/>
      <c r="F539" s="3"/>
      <c r="G539" s="2"/>
      <c r="H539" s="3"/>
      <c r="I539" s="3"/>
      <c r="J539" s="2"/>
      <c r="K539" s="3"/>
      <c r="L539" s="3"/>
      <c r="M539" s="877"/>
      <c r="N539" s="869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</row>
    <row r="540" spans="1:192" ht="13">
      <c r="A540" s="2"/>
      <c r="B540" s="869"/>
      <c r="C540" s="869"/>
      <c r="D540" s="3"/>
      <c r="E540" s="3"/>
      <c r="F540" s="3"/>
      <c r="G540" s="2"/>
      <c r="H540" s="3"/>
      <c r="I540" s="3"/>
      <c r="J540" s="2"/>
      <c r="K540" s="3"/>
      <c r="L540" s="3"/>
      <c r="M540" s="877"/>
      <c r="N540" s="869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</row>
    <row r="541" spans="1:192" ht="13">
      <c r="A541" s="2"/>
      <c r="B541" s="869"/>
      <c r="C541" s="869"/>
      <c r="D541" s="3"/>
      <c r="E541" s="3"/>
      <c r="F541" s="3"/>
      <c r="G541" s="2"/>
      <c r="H541" s="3"/>
      <c r="I541" s="3"/>
      <c r="J541" s="2"/>
      <c r="K541" s="3"/>
      <c r="L541" s="3"/>
      <c r="M541" s="877"/>
      <c r="N541" s="869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</row>
    <row r="542" spans="1:192" ht="13">
      <c r="A542" s="2"/>
      <c r="B542" s="869"/>
      <c r="C542" s="869"/>
      <c r="D542" s="3"/>
      <c r="E542" s="3"/>
      <c r="F542" s="3"/>
      <c r="G542" s="2"/>
      <c r="H542" s="3"/>
      <c r="I542" s="3"/>
      <c r="J542" s="2"/>
      <c r="K542" s="3"/>
      <c r="L542" s="3"/>
      <c r="M542" s="877"/>
      <c r="N542" s="869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</row>
    <row r="543" spans="1:192" ht="13">
      <c r="A543" s="2"/>
      <c r="B543" s="869"/>
      <c r="C543" s="869"/>
      <c r="D543" s="3"/>
      <c r="E543" s="3"/>
      <c r="F543" s="3"/>
      <c r="G543" s="2"/>
      <c r="H543" s="3"/>
      <c r="I543" s="3"/>
      <c r="J543" s="2"/>
      <c r="K543" s="3"/>
      <c r="L543" s="3"/>
      <c r="M543" s="877"/>
      <c r="N543" s="869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</row>
    <row r="544" spans="1:192" ht="13">
      <c r="A544" s="2"/>
      <c r="B544" s="869"/>
      <c r="C544" s="869"/>
      <c r="D544" s="3"/>
      <c r="E544" s="3"/>
      <c r="F544" s="3"/>
      <c r="G544" s="2"/>
      <c r="H544" s="3"/>
      <c r="I544" s="3"/>
      <c r="J544" s="2"/>
      <c r="K544" s="3"/>
      <c r="L544" s="3"/>
      <c r="M544" s="877"/>
      <c r="N544" s="869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</row>
    <row r="545" spans="1:192" ht="13">
      <c r="A545" s="2"/>
      <c r="B545" s="869"/>
      <c r="C545" s="869"/>
      <c r="D545" s="3"/>
      <c r="E545" s="3"/>
      <c r="F545" s="3"/>
      <c r="G545" s="2"/>
      <c r="H545" s="3"/>
      <c r="I545" s="3"/>
      <c r="J545" s="2"/>
      <c r="K545" s="3"/>
      <c r="L545" s="3"/>
      <c r="M545" s="877"/>
      <c r="N545" s="869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</row>
    <row r="546" spans="1:192" ht="13">
      <c r="A546" s="2"/>
      <c r="B546" s="869"/>
      <c r="C546" s="869"/>
      <c r="D546" s="3"/>
      <c r="E546" s="3"/>
      <c r="F546" s="3"/>
      <c r="G546" s="2"/>
      <c r="H546" s="3"/>
      <c r="I546" s="3"/>
      <c r="J546" s="2"/>
      <c r="K546" s="3"/>
      <c r="L546" s="3"/>
      <c r="M546" s="877"/>
      <c r="N546" s="869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</row>
    <row r="547" spans="1:192" ht="13">
      <c r="A547" s="2"/>
      <c r="B547" s="869"/>
      <c r="C547" s="869"/>
      <c r="D547" s="3"/>
      <c r="E547" s="3"/>
      <c r="F547" s="3"/>
      <c r="G547" s="2"/>
      <c r="H547" s="3"/>
      <c r="I547" s="3"/>
      <c r="J547" s="2"/>
      <c r="K547" s="3"/>
      <c r="L547" s="3"/>
      <c r="M547" s="877"/>
      <c r="N547" s="869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</row>
    <row r="548" spans="1:192" ht="13">
      <c r="A548" s="2"/>
      <c r="B548" s="869"/>
      <c r="C548" s="869"/>
      <c r="D548" s="3"/>
      <c r="E548" s="3"/>
      <c r="F548" s="3"/>
      <c r="G548" s="2"/>
      <c r="H548" s="3"/>
      <c r="I548" s="3"/>
      <c r="J548" s="2"/>
      <c r="K548" s="3"/>
      <c r="L548" s="3"/>
      <c r="M548" s="877"/>
      <c r="N548" s="869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</row>
    <row r="549" spans="1:192" ht="13">
      <c r="A549" s="2"/>
      <c r="B549" s="869"/>
      <c r="C549" s="869"/>
      <c r="D549" s="3"/>
      <c r="E549" s="3"/>
      <c r="F549" s="3"/>
      <c r="G549" s="2"/>
      <c r="H549" s="3"/>
      <c r="I549" s="3"/>
      <c r="J549" s="2"/>
      <c r="K549" s="3"/>
      <c r="L549" s="3"/>
      <c r="M549" s="877"/>
      <c r="N549" s="869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</row>
    <row r="550" spans="1:192" ht="13">
      <c r="A550" s="2"/>
      <c r="B550" s="869"/>
      <c r="C550" s="869"/>
      <c r="D550" s="3"/>
      <c r="E550" s="3"/>
      <c r="F550" s="3"/>
      <c r="G550" s="2"/>
      <c r="H550" s="3"/>
      <c r="I550" s="3"/>
      <c r="J550" s="2"/>
      <c r="K550" s="3"/>
      <c r="L550" s="3"/>
      <c r="M550" s="877"/>
      <c r="N550" s="869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</row>
    <row r="551" spans="1:192" ht="13">
      <c r="A551" s="2"/>
      <c r="B551" s="869"/>
      <c r="C551" s="869"/>
      <c r="D551" s="3"/>
      <c r="E551" s="3"/>
      <c r="F551" s="3"/>
      <c r="G551" s="2"/>
      <c r="H551" s="3"/>
      <c r="I551" s="3"/>
      <c r="J551" s="2"/>
      <c r="K551" s="3"/>
      <c r="L551" s="3"/>
      <c r="M551" s="877"/>
      <c r="N551" s="869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</row>
    <row r="552" spans="1:192" ht="13">
      <c r="A552" s="2"/>
      <c r="B552" s="869"/>
      <c r="C552" s="869"/>
      <c r="D552" s="3"/>
      <c r="E552" s="3"/>
      <c r="F552" s="3"/>
      <c r="G552" s="2"/>
      <c r="H552" s="3"/>
      <c r="I552" s="3"/>
      <c r="J552" s="2"/>
      <c r="K552" s="3"/>
      <c r="L552" s="3"/>
      <c r="M552" s="877"/>
      <c r="N552" s="869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</row>
    <row r="553" spans="1:192" ht="13">
      <c r="A553" s="2"/>
      <c r="B553" s="869"/>
      <c r="C553" s="869"/>
      <c r="D553" s="3"/>
      <c r="E553" s="3"/>
      <c r="F553" s="3"/>
      <c r="G553" s="2"/>
      <c r="H553" s="3"/>
      <c r="I553" s="3"/>
      <c r="J553" s="2"/>
      <c r="K553" s="3"/>
      <c r="L553" s="3"/>
      <c r="M553" s="877"/>
      <c r="N553" s="869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</row>
    <row r="554" spans="1:192" ht="13">
      <c r="A554" s="2"/>
      <c r="B554" s="869"/>
      <c r="C554" s="869"/>
      <c r="D554" s="3"/>
      <c r="E554" s="3"/>
      <c r="F554" s="3"/>
      <c r="G554" s="2"/>
      <c r="H554" s="3"/>
      <c r="I554" s="3"/>
      <c r="J554" s="2"/>
      <c r="K554" s="3"/>
      <c r="L554" s="3"/>
      <c r="M554" s="877"/>
      <c r="N554" s="869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</row>
    <row r="555" spans="1:192" ht="13">
      <c r="A555" s="2"/>
      <c r="B555" s="869"/>
      <c r="C555" s="869"/>
      <c r="D555" s="3"/>
      <c r="E555" s="3"/>
      <c r="F555" s="3"/>
      <c r="G555" s="2"/>
      <c r="H555" s="3"/>
      <c r="I555" s="3"/>
      <c r="J555" s="2"/>
      <c r="K555" s="3"/>
      <c r="L555" s="3"/>
      <c r="M555" s="877"/>
      <c r="N555" s="869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</row>
    <row r="556" spans="1:192" ht="13">
      <c r="A556" s="2"/>
      <c r="B556" s="869"/>
      <c r="C556" s="869"/>
      <c r="D556" s="3"/>
      <c r="E556" s="3"/>
      <c r="F556" s="3"/>
      <c r="G556" s="2"/>
      <c r="H556" s="3"/>
      <c r="I556" s="3"/>
      <c r="J556" s="2"/>
      <c r="K556" s="3"/>
      <c r="L556" s="3"/>
      <c r="M556" s="877"/>
      <c r="N556" s="869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</row>
    <row r="557" spans="1:192" ht="13">
      <c r="A557" s="2"/>
      <c r="B557" s="869"/>
      <c r="C557" s="869"/>
      <c r="D557" s="3"/>
      <c r="E557" s="3"/>
      <c r="F557" s="3"/>
      <c r="G557" s="2"/>
      <c r="H557" s="3"/>
      <c r="I557" s="3"/>
      <c r="J557" s="2"/>
      <c r="K557" s="3"/>
      <c r="L557" s="3"/>
      <c r="M557" s="877"/>
      <c r="N557" s="869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</row>
    <row r="558" spans="1:192" ht="13">
      <c r="A558" s="2"/>
      <c r="B558" s="869"/>
      <c r="C558" s="869"/>
      <c r="D558" s="3"/>
      <c r="E558" s="3"/>
      <c r="F558" s="3"/>
      <c r="G558" s="2"/>
      <c r="H558" s="3"/>
      <c r="I558" s="3"/>
      <c r="J558" s="2"/>
      <c r="K558" s="3"/>
      <c r="L558" s="3"/>
      <c r="M558" s="877"/>
      <c r="N558" s="869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</row>
    <row r="559" spans="1:192" ht="13">
      <c r="A559" s="2"/>
      <c r="B559" s="869"/>
      <c r="C559" s="869"/>
      <c r="D559" s="3"/>
      <c r="E559" s="3"/>
      <c r="F559" s="3"/>
      <c r="G559" s="2"/>
      <c r="H559" s="3"/>
      <c r="I559" s="3"/>
      <c r="J559" s="2"/>
      <c r="K559" s="3"/>
      <c r="L559" s="3"/>
      <c r="M559" s="877"/>
      <c r="N559" s="869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</row>
    <row r="560" spans="1:192" ht="13">
      <c r="A560" s="2"/>
      <c r="B560" s="869"/>
      <c r="C560" s="869"/>
      <c r="D560" s="3"/>
      <c r="E560" s="3"/>
      <c r="F560" s="3"/>
      <c r="G560" s="2"/>
      <c r="H560" s="3"/>
      <c r="I560" s="3"/>
      <c r="J560" s="2"/>
      <c r="K560" s="3"/>
      <c r="L560" s="3"/>
      <c r="M560" s="877"/>
      <c r="N560" s="869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</row>
    <row r="561" spans="1:192" ht="13">
      <c r="A561" s="2"/>
      <c r="B561" s="869"/>
      <c r="C561" s="869"/>
      <c r="D561" s="3"/>
      <c r="E561" s="3"/>
      <c r="F561" s="3"/>
      <c r="G561" s="2"/>
      <c r="H561" s="3"/>
      <c r="I561" s="3"/>
      <c r="J561" s="2"/>
      <c r="K561" s="3"/>
      <c r="L561" s="3"/>
      <c r="M561" s="877"/>
      <c r="N561" s="869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</row>
    <row r="562" spans="1:192" ht="13">
      <c r="A562" s="2"/>
      <c r="B562" s="869"/>
      <c r="C562" s="869"/>
      <c r="D562" s="3"/>
      <c r="E562" s="3"/>
      <c r="F562" s="3"/>
      <c r="G562" s="2"/>
      <c r="H562" s="3"/>
      <c r="I562" s="3"/>
      <c r="J562" s="2"/>
      <c r="K562" s="3"/>
      <c r="L562" s="3"/>
      <c r="M562" s="877"/>
      <c r="N562" s="869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</row>
    <row r="563" spans="1:192" ht="13">
      <c r="A563" s="2"/>
      <c r="B563" s="869"/>
      <c r="C563" s="869"/>
      <c r="D563" s="3"/>
      <c r="E563" s="3"/>
      <c r="F563" s="3"/>
      <c r="G563" s="2"/>
      <c r="H563" s="3"/>
      <c r="I563" s="3"/>
      <c r="J563" s="2"/>
      <c r="K563" s="3"/>
      <c r="L563" s="3"/>
      <c r="M563" s="877"/>
      <c r="N563" s="869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</row>
    <row r="564" spans="1:192" ht="13">
      <c r="A564" s="2"/>
      <c r="B564" s="869"/>
      <c r="C564" s="869"/>
      <c r="D564" s="3"/>
      <c r="E564" s="3"/>
      <c r="F564" s="3"/>
      <c r="G564" s="2"/>
      <c r="H564" s="3"/>
      <c r="I564" s="3"/>
      <c r="J564" s="2"/>
      <c r="K564" s="3"/>
      <c r="L564" s="3"/>
      <c r="M564" s="877"/>
      <c r="N564" s="869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</row>
    <row r="565" spans="1:192" ht="13">
      <c r="A565" s="2"/>
      <c r="B565" s="869"/>
      <c r="C565" s="869"/>
      <c r="D565" s="3"/>
      <c r="E565" s="3"/>
      <c r="F565" s="3"/>
      <c r="G565" s="2"/>
      <c r="H565" s="3"/>
      <c r="I565" s="3"/>
      <c r="J565" s="2"/>
      <c r="K565" s="3"/>
      <c r="L565" s="3"/>
      <c r="M565" s="877"/>
      <c r="N565" s="869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</row>
    <row r="566" spans="1:192" ht="13">
      <c r="A566" s="2"/>
      <c r="B566" s="869"/>
      <c r="C566" s="869"/>
      <c r="D566" s="3"/>
      <c r="E566" s="3"/>
      <c r="F566" s="3"/>
      <c r="G566" s="2"/>
      <c r="H566" s="3"/>
      <c r="I566" s="3"/>
      <c r="J566" s="2"/>
      <c r="K566" s="3"/>
      <c r="L566" s="3"/>
      <c r="M566" s="877"/>
      <c r="N566" s="869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</row>
    <row r="567" spans="1:192" ht="13">
      <c r="A567" s="2"/>
      <c r="B567" s="869"/>
      <c r="C567" s="869"/>
      <c r="D567" s="3"/>
      <c r="E567" s="3"/>
      <c r="F567" s="3"/>
      <c r="G567" s="2"/>
      <c r="H567" s="3"/>
      <c r="I567" s="3"/>
      <c r="J567" s="2"/>
      <c r="K567" s="3"/>
      <c r="L567" s="3"/>
      <c r="M567" s="877"/>
      <c r="N567" s="869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</row>
    <row r="568" spans="1:192" ht="13">
      <c r="A568" s="2"/>
      <c r="B568" s="869"/>
      <c r="C568" s="869"/>
      <c r="D568" s="3"/>
      <c r="E568" s="3"/>
      <c r="F568" s="3"/>
      <c r="G568" s="2"/>
      <c r="H568" s="3"/>
      <c r="I568" s="3"/>
      <c r="J568" s="2"/>
      <c r="K568" s="3"/>
      <c r="L568" s="3"/>
      <c r="M568" s="877"/>
      <c r="N568" s="869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</row>
    <row r="569" spans="1:192" ht="13">
      <c r="A569" s="2"/>
      <c r="B569" s="869"/>
      <c r="C569" s="869"/>
      <c r="D569" s="3"/>
      <c r="E569" s="3"/>
      <c r="F569" s="3"/>
      <c r="G569" s="2"/>
      <c r="H569" s="3"/>
      <c r="I569" s="3"/>
      <c r="J569" s="2"/>
      <c r="K569" s="3"/>
      <c r="L569" s="3"/>
      <c r="M569" s="877"/>
      <c r="N569" s="869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</row>
    <row r="570" spans="1:192" ht="13">
      <c r="A570" s="2"/>
      <c r="B570" s="869"/>
      <c r="C570" s="869"/>
      <c r="D570" s="3"/>
      <c r="E570" s="3"/>
      <c r="F570" s="3"/>
      <c r="G570" s="2"/>
      <c r="H570" s="3"/>
      <c r="I570" s="3"/>
      <c r="J570" s="2"/>
      <c r="K570" s="3"/>
      <c r="L570" s="3"/>
      <c r="M570" s="877"/>
      <c r="N570" s="869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</row>
    <row r="571" spans="1:192" ht="13">
      <c r="A571" s="2"/>
      <c r="B571" s="869"/>
      <c r="C571" s="869"/>
      <c r="D571" s="3"/>
      <c r="E571" s="3"/>
      <c r="F571" s="3"/>
      <c r="G571" s="2"/>
      <c r="H571" s="3"/>
      <c r="I571" s="3"/>
      <c r="J571" s="2"/>
      <c r="K571" s="3"/>
      <c r="L571" s="3"/>
      <c r="M571" s="877"/>
      <c r="N571" s="869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</row>
    <row r="572" spans="1:192" ht="13">
      <c r="A572" s="2"/>
      <c r="B572" s="869"/>
      <c r="C572" s="869"/>
      <c r="D572" s="3"/>
      <c r="E572" s="3"/>
      <c r="F572" s="3"/>
      <c r="G572" s="2"/>
      <c r="H572" s="3"/>
      <c r="I572" s="3"/>
      <c r="J572" s="2"/>
      <c r="K572" s="3"/>
      <c r="L572" s="3"/>
      <c r="M572" s="877"/>
      <c r="N572" s="869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</row>
    <row r="573" spans="1:192" ht="13">
      <c r="A573" s="2"/>
      <c r="B573" s="869"/>
      <c r="C573" s="869"/>
      <c r="D573" s="3"/>
      <c r="E573" s="3"/>
      <c r="F573" s="3"/>
      <c r="G573" s="2"/>
      <c r="H573" s="3"/>
      <c r="I573" s="3"/>
      <c r="J573" s="2"/>
      <c r="K573" s="3"/>
      <c r="L573" s="3"/>
      <c r="M573" s="877"/>
      <c r="N573" s="869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</row>
    <row r="574" spans="1:192" ht="13">
      <c r="A574" s="2"/>
      <c r="B574" s="869"/>
      <c r="C574" s="869"/>
      <c r="D574" s="3"/>
      <c r="E574" s="3"/>
      <c r="F574" s="3"/>
      <c r="G574" s="2"/>
      <c r="H574" s="3"/>
      <c r="I574" s="3"/>
      <c r="J574" s="2"/>
      <c r="K574" s="3"/>
      <c r="L574" s="3"/>
      <c r="M574" s="877"/>
      <c r="N574" s="869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</row>
    <row r="575" spans="1:192" ht="13">
      <c r="A575" s="2"/>
      <c r="B575" s="869"/>
      <c r="C575" s="869"/>
      <c r="D575" s="3"/>
      <c r="E575" s="3"/>
      <c r="F575" s="3"/>
      <c r="G575" s="2"/>
      <c r="H575" s="3"/>
      <c r="I575" s="3"/>
      <c r="J575" s="2"/>
      <c r="K575" s="3"/>
      <c r="L575" s="3"/>
      <c r="M575" s="877"/>
      <c r="N575" s="869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</row>
    <row r="576" spans="1:192" ht="13">
      <c r="A576" s="2"/>
      <c r="B576" s="869"/>
      <c r="C576" s="869"/>
      <c r="D576" s="3"/>
      <c r="E576" s="3"/>
      <c r="F576" s="3"/>
      <c r="G576" s="2"/>
      <c r="H576" s="3"/>
      <c r="I576" s="3"/>
      <c r="J576" s="2"/>
      <c r="K576" s="3"/>
      <c r="L576" s="3"/>
      <c r="M576" s="877"/>
      <c r="N576" s="869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</row>
    <row r="577" spans="1:192" ht="13">
      <c r="A577" s="2"/>
      <c r="B577" s="869"/>
      <c r="C577" s="869"/>
      <c r="D577" s="3"/>
      <c r="E577" s="3"/>
      <c r="F577" s="3"/>
      <c r="G577" s="2"/>
      <c r="H577" s="3"/>
      <c r="I577" s="3"/>
      <c r="J577" s="2"/>
      <c r="K577" s="3"/>
      <c r="L577" s="3"/>
      <c r="M577" s="877"/>
      <c r="N577" s="869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</row>
    <row r="578" spans="1:192" ht="13">
      <c r="A578" s="2"/>
      <c r="B578" s="869"/>
      <c r="C578" s="869"/>
      <c r="D578" s="3"/>
      <c r="E578" s="3"/>
      <c r="F578" s="3"/>
      <c r="G578" s="2"/>
      <c r="H578" s="3"/>
      <c r="I578" s="3"/>
      <c r="J578" s="2"/>
      <c r="K578" s="3"/>
      <c r="L578" s="3"/>
      <c r="M578" s="877"/>
      <c r="N578" s="869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</row>
    <row r="579" spans="1:192" ht="13">
      <c r="A579" s="2"/>
      <c r="B579" s="869"/>
      <c r="C579" s="869"/>
      <c r="D579" s="3"/>
      <c r="E579" s="3"/>
      <c r="F579" s="3"/>
      <c r="G579" s="2"/>
      <c r="H579" s="3"/>
      <c r="I579" s="3"/>
      <c r="J579" s="2"/>
      <c r="K579" s="3"/>
      <c r="L579" s="3"/>
      <c r="M579" s="877"/>
      <c r="N579" s="869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</row>
    <row r="580" spans="1:192" ht="13">
      <c r="A580" s="2"/>
      <c r="B580" s="869"/>
      <c r="C580" s="869"/>
      <c r="D580" s="3"/>
      <c r="E580" s="3"/>
      <c r="F580" s="3"/>
      <c r="G580" s="2"/>
      <c r="H580" s="3"/>
      <c r="I580" s="3"/>
      <c r="J580" s="2"/>
      <c r="K580" s="3"/>
      <c r="L580" s="3"/>
      <c r="M580" s="877"/>
      <c r="N580" s="869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</row>
    <row r="581" spans="1:192" ht="13">
      <c r="A581" s="2"/>
      <c r="B581" s="869"/>
      <c r="C581" s="869"/>
      <c r="D581" s="3"/>
      <c r="E581" s="3"/>
      <c r="F581" s="3"/>
      <c r="G581" s="2"/>
      <c r="H581" s="3"/>
      <c r="I581" s="3"/>
      <c r="J581" s="2"/>
      <c r="K581" s="3"/>
      <c r="L581" s="3"/>
      <c r="M581" s="877"/>
      <c r="N581" s="869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</row>
    <row r="582" spans="1:192" ht="13">
      <c r="A582" s="2"/>
      <c r="B582" s="869"/>
      <c r="C582" s="869"/>
      <c r="D582" s="3"/>
      <c r="E582" s="3"/>
      <c r="F582" s="3"/>
      <c r="G582" s="2"/>
      <c r="H582" s="3"/>
      <c r="I582" s="3"/>
      <c r="J582" s="2"/>
      <c r="K582" s="3"/>
      <c r="L582" s="3"/>
      <c r="M582" s="877"/>
      <c r="N582" s="869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</row>
    <row r="583" spans="1:192" ht="13">
      <c r="A583" s="2"/>
      <c r="B583" s="869"/>
      <c r="C583" s="869"/>
      <c r="D583" s="3"/>
      <c r="E583" s="3"/>
      <c r="F583" s="3"/>
      <c r="G583" s="2"/>
      <c r="H583" s="3"/>
      <c r="I583" s="3"/>
      <c r="J583" s="2"/>
      <c r="K583" s="3"/>
      <c r="L583" s="3"/>
      <c r="M583" s="877"/>
      <c r="N583" s="869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</row>
    <row r="584" spans="1:192" ht="13">
      <c r="A584" s="2"/>
      <c r="B584" s="869"/>
      <c r="C584" s="869"/>
      <c r="D584" s="3"/>
      <c r="E584" s="3"/>
      <c r="F584" s="3"/>
      <c r="G584" s="2"/>
      <c r="H584" s="3"/>
      <c r="I584" s="3"/>
      <c r="J584" s="2"/>
      <c r="K584" s="3"/>
      <c r="L584" s="3"/>
      <c r="M584" s="877"/>
      <c r="N584" s="869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</row>
    <row r="585" spans="1:192" ht="13">
      <c r="A585" s="2"/>
      <c r="B585" s="869"/>
      <c r="C585" s="869"/>
      <c r="D585" s="3"/>
      <c r="E585" s="3"/>
      <c r="F585" s="3"/>
      <c r="G585" s="2"/>
      <c r="H585" s="3"/>
      <c r="I585" s="3"/>
      <c r="J585" s="2"/>
      <c r="K585" s="3"/>
      <c r="L585" s="3"/>
      <c r="M585" s="877"/>
      <c r="N585" s="869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</row>
    <row r="586" spans="1:192" ht="13">
      <c r="A586" s="2"/>
      <c r="B586" s="869"/>
      <c r="C586" s="869"/>
      <c r="D586" s="3"/>
      <c r="E586" s="3"/>
      <c r="F586" s="3"/>
      <c r="G586" s="2"/>
      <c r="H586" s="3"/>
      <c r="I586" s="3"/>
      <c r="J586" s="2"/>
      <c r="K586" s="3"/>
      <c r="L586" s="3"/>
      <c r="M586" s="877"/>
      <c r="N586" s="869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</row>
    <row r="587" spans="1:192" ht="13">
      <c r="A587" s="2"/>
      <c r="B587" s="869"/>
      <c r="C587" s="869"/>
      <c r="D587" s="3"/>
      <c r="E587" s="3"/>
      <c r="F587" s="3"/>
      <c r="G587" s="2"/>
      <c r="H587" s="3"/>
      <c r="I587" s="3"/>
      <c r="J587" s="2"/>
      <c r="K587" s="3"/>
      <c r="L587" s="3"/>
      <c r="M587" s="877"/>
      <c r="N587" s="869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</row>
    <row r="588" spans="1:192" ht="13">
      <c r="A588" s="2"/>
      <c r="B588" s="869"/>
      <c r="C588" s="869"/>
      <c r="D588" s="3"/>
      <c r="E588" s="3"/>
      <c r="F588" s="3"/>
      <c r="G588" s="2"/>
      <c r="H588" s="3"/>
      <c r="I588" s="3"/>
      <c r="J588" s="2"/>
      <c r="K588" s="3"/>
      <c r="L588" s="3"/>
      <c r="M588" s="877"/>
      <c r="N588" s="869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</row>
    <row r="589" spans="1:192" ht="13">
      <c r="A589" s="2"/>
      <c r="B589" s="869"/>
      <c r="C589" s="869"/>
      <c r="D589" s="3"/>
      <c r="E589" s="3"/>
      <c r="F589" s="3"/>
      <c r="G589" s="2"/>
      <c r="H589" s="3"/>
      <c r="I589" s="3"/>
      <c r="J589" s="2"/>
      <c r="K589" s="3"/>
      <c r="L589" s="3"/>
      <c r="M589" s="877"/>
      <c r="N589" s="869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</row>
    <row r="590" spans="1:192" ht="13">
      <c r="A590" s="2"/>
      <c r="B590" s="869"/>
      <c r="C590" s="869"/>
      <c r="D590" s="3"/>
      <c r="E590" s="3"/>
      <c r="F590" s="3"/>
      <c r="G590" s="2"/>
      <c r="H590" s="3"/>
      <c r="I590" s="3"/>
      <c r="J590" s="2"/>
      <c r="K590" s="3"/>
      <c r="L590" s="3"/>
      <c r="M590" s="877"/>
      <c r="N590" s="869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</row>
    <row r="591" spans="1:192" ht="13">
      <c r="A591" s="2"/>
      <c r="B591" s="869"/>
      <c r="C591" s="869"/>
      <c r="D591" s="3"/>
      <c r="E591" s="3"/>
      <c r="F591" s="3"/>
      <c r="G591" s="2"/>
      <c r="H591" s="3"/>
      <c r="I591" s="3"/>
      <c r="J591" s="2"/>
      <c r="K591" s="3"/>
      <c r="L591" s="3"/>
      <c r="M591" s="877"/>
      <c r="N591" s="869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</row>
    <row r="592" spans="1:192" ht="13">
      <c r="A592" s="2"/>
      <c r="B592" s="869"/>
      <c r="C592" s="869"/>
      <c r="D592" s="3"/>
      <c r="E592" s="3"/>
      <c r="F592" s="3"/>
      <c r="G592" s="2"/>
      <c r="H592" s="3"/>
      <c r="I592" s="3"/>
      <c r="J592" s="2"/>
      <c r="K592" s="3"/>
      <c r="L592" s="3"/>
      <c r="M592" s="877"/>
      <c r="N592" s="869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</row>
    <row r="593" spans="1:192" ht="13">
      <c r="A593" s="2"/>
      <c r="B593" s="869"/>
      <c r="C593" s="869"/>
      <c r="D593" s="3"/>
      <c r="E593" s="3"/>
      <c r="F593" s="3"/>
      <c r="G593" s="2"/>
      <c r="H593" s="3"/>
      <c r="I593" s="3"/>
      <c r="J593" s="2"/>
      <c r="K593" s="3"/>
      <c r="L593" s="3"/>
      <c r="M593" s="877"/>
      <c r="N593" s="869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</row>
    <row r="594" spans="1:192" ht="13">
      <c r="A594" s="2"/>
      <c r="B594" s="869"/>
      <c r="C594" s="869"/>
      <c r="D594" s="3"/>
      <c r="E594" s="3"/>
      <c r="F594" s="3"/>
      <c r="G594" s="2"/>
      <c r="H594" s="3"/>
      <c r="I594" s="3"/>
      <c r="J594" s="2"/>
      <c r="K594" s="3"/>
      <c r="L594" s="3"/>
      <c r="M594" s="877"/>
      <c r="N594" s="869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</row>
    <row r="595" spans="1:192" ht="13">
      <c r="A595" s="2"/>
      <c r="B595" s="869"/>
      <c r="C595" s="869"/>
      <c r="D595" s="3"/>
      <c r="E595" s="3"/>
      <c r="F595" s="3"/>
      <c r="G595" s="2"/>
      <c r="H595" s="3"/>
      <c r="I595" s="3"/>
      <c r="J595" s="2"/>
      <c r="K595" s="3"/>
      <c r="L595" s="3"/>
      <c r="M595" s="877"/>
      <c r="N595" s="869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</row>
    <row r="596" spans="1:192" ht="13">
      <c r="A596" s="2"/>
      <c r="B596" s="869"/>
      <c r="C596" s="869"/>
      <c r="D596" s="3"/>
      <c r="E596" s="3"/>
      <c r="F596" s="3"/>
      <c r="G596" s="2"/>
      <c r="H596" s="3"/>
      <c r="I596" s="3"/>
      <c r="J596" s="2"/>
      <c r="K596" s="3"/>
      <c r="L596" s="3"/>
      <c r="M596" s="877"/>
      <c r="N596" s="869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</row>
    <row r="597" spans="1:192" ht="13">
      <c r="A597" s="2"/>
      <c r="B597" s="869"/>
      <c r="C597" s="869"/>
      <c r="D597" s="3"/>
      <c r="E597" s="3"/>
      <c r="F597" s="3"/>
      <c r="G597" s="2"/>
      <c r="H597" s="3"/>
      <c r="I597" s="3"/>
      <c r="J597" s="2"/>
      <c r="K597" s="3"/>
      <c r="L597" s="3"/>
      <c r="M597" s="877"/>
      <c r="N597" s="869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</row>
    <row r="598" spans="1:192" ht="13">
      <c r="A598" s="2"/>
      <c r="B598" s="869"/>
      <c r="C598" s="869"/>
      <c r="D598" s="3"/>
      <c r="E598" s="3"/>
      <c r="F598" s="3"/>
      <c r="G598" s="2"/>
      <c r="H598" s="3"/>
      <c r="I598" s="3"/>
      <c r="J598" s="2"/>
      <c r="K598" s="3"/>
      <c r="L598" s="3"/>
      <c r="M598" s="877"/>
      <c r="N598" s="869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</row>
    <row r="599" spans="1:192" ht="13">
      <c r="A599" s="2"/>
      <c r="B599" s="869"/>
      <c r="C599" s="869"/>
      <c r="D599" s="3"/>
      <c r="E599" s="3"/>
      <c r="F599" s="3"/>
      <c r="G599" s="2"/>
      <c r="H599" s="3"/>
      <c r="I599" s="3"/>
      <c r="J599" s="2"/>
      <c r="K599" s="3"/>
      <c r="L599" s="3"/>
      <c r="M599" s="877"/>
      <c r="N599" s="869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</row>
    <row r="600" spans="1:192" ht="13">
      <c r="A600" s="2"/>
      <c r="B600" s="869"/>
      <c r="C600" s="869"/>
      <c r="D600" s="3"/>
      <c r="E600" s="3"/>
      <c r="F600" s="3"/>
      <c r="G600" s="2"/>
      <c r="H600" s="3"/>
      <c r="I600" s="3"/>
      <c r="J600" s="2"/>
      <c r="K600" s="3"/>
      <c r="L600" s="3"/>
      <c r="M600" s="877"/>
      <c r="N600" s="869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</row>
    <row r="601" spans="1:192" ht="13">
      <c r="A601" s="2"/>
      <c r="B601" s="869"/>
      <c r="C601" s="869"/>
      <c r="D601" s="3"/>
      <c r="E601" s="3"/>
      <c r="F601" s="3"/>
      <c r="G601" s="2"/>
      <c r="H601" s="3"/>
      <c r="I601" s="3"/>
      <c r="J601" s="2"/>
      <c r="K601" s="3"/>
      <c r="L601" s="3"/>
      <c r="M601" s="877"/>
      <c r="N601" s="869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</row>
    <row r="602" spans="1:192" ht="13">
      <c r="A602" s="2"/>
      <c r="B602" s="869"/>
      <c r="C602" s="869"/>
      <c r="D602" s="3"/>
      <c r="E602" s="3"/>
      <c r="F602" s="3"/>
      <c r="G602" s="2"/>
      <c r="H602" s="3"/>
      <c r="I602" s="3"/>
      <c r="J602" s="2"/>
      <c r="K602" s="3"/>
      <c r="L602" s="3"/>
      <c r="M602" s="877"/>
      <c r="N602" s="869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</row>
    <row r="603" spans="1:192" ht="13">
      <c r="A603" s="2"/>
      <c r="B603" s="869"/>
      <c r="C603" s="869"/>
      <c r="D603" s="3"/>
      <c r="E603" s="3"/>
      <c r="F603" s="3"/>
      <c r="G603" s="2"/>
      <c r="H603" s="3"/>
      <c r="I603" s="3"/>
      <c r="J603" s="2"/>
      <c r="K603" s="3"/>
      <c r="L603" s="3"/>
      <c r="M603" s="877"/>
      <c r="N603" s="869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</row>
    <row r="604" spans="1:192" ht="13">
      <c r="A604" s="2"/>
      <c r="B604" s="869"/>
      <c r="C604" s="869"/>
      <c r="D604" s="3"/>
      <c r="E604" s="3"/>
      <c r="F604" s="3"/>
      <c r="G604" s="2"/>
      <c r="H604" s="3"/>
      <c r="I604" s="3"/>
      <c r="J604" s="2"/>
      <c r="K604" s="3"/>
      <c r="L604" s="3"/>
      <c r="M604" s="877"/>
      <c r="N604" s="869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</row>
    <row r="605" spans="1:192" ht="13">
      <c r="A605" s="2"/>
      <c r="B605" s="869"/>
      <c r="C605" s="869"/>
      <c r="D605" s="3"/>
      <c r="E605" s="3"/>
      <c r="F605" s="3"/>
      <c r="G605" s="2"/>
      <c r="H605" s="3"/>
      <c r="I605" s="3"/>
      <c r="J605" s="2"/>
      <c r="K605" s="3"/>
      <c r="L605" s="3"/>
      <c r="M605" s="877"/>
      <c r="N605" s="869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</row>
    <row r="606" spans="1:192" ht="13">
      <c r="A606" s="2"/>
      <c r="B606" s="869"/>
      <c r="C606" s="869"/>
      <c r="D606" s="3"/>
      <c r="E606" s="3"/>
      <c r="F606" s="3"/>
      <c r="G606" s="2"/>
      <c r="H606" s="3"/>
      <c r="I606" s="3"/>
      <c r="J606" s="2"/>
      <c r="K606" s="3"/>
      <c r="L606" s="3"/>
      <c r="M606" s="877"/>
      <c r="N606" s="869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</row>
    <row r="607" spans="1:192" ht="13">
      <c r="A607" s="2"/>
      <c r="B607" s="869"/>
      <c r="C607" s="869"/>
      <c r="D607" s="3"/>
      <c r="E607" s="3"/>
      <c r="F607" s="3"/>
      <c r="G607" s="2"/>
      <c r="H607" s="3"/>
      <c r="I607" s="3"/>
      <c r="J607" s="2"/>
      <c r="K607" s="3"/>
      <c r="L607" s="3"/>
      <c r="M607" s="877"/>
      <c r="N607" s="869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</row>
    <row r="608" spans="1:192" ht="13">
      <c r="A608" s="2"/>
      <c r="B608" s="869"/>
      <c r="C608" s="869"/>
      <c r="D608" s="3"/>
      <c r="E608" s="3"/>
      <c r="F608" s="3"/>
      <c r="G608" s="2"/>
      <c r="H608" s="3"/>
      <c r="I608" s="3"/>
      <c r="J608" s="2"/>
      <c r="K608" s="3"/>
      <c r="L608" s="3"/>
      <c r="M608" s="877"/>
      <c r="N608" s="869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</row>
    <row r="609" spans="1:192" ht="13">
      <c r="A609" s="2"/>
      <c r="B609" s="869"/>
      <c r="C609" s="869"/>
      <c r="D609" s="3"/>
      <c r="E609" s="3"/>
      <c r="F609" s="3"/>
      <c r="G609" s="2"/>
      <c r="H609" s="3"/>
      <c r="I609" s="3"/>
      <c r="J609" s="2"/>
      <c r="K609" s="3"/>
      <c r="L609" s="3"/>
      <c r="M609" s="877"/>
      <c r="N609" s="869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</row>
    <row r="610" spans="1:192" ht="13">
      <c r="A610" s="2"/>
      <c r="B610" s="869"/>
      <c r="C610" s="869"/>
      <c r="D610" s="3"/>
      <c r="E610" s="3"/>
      <c r="F610" s="3"/>
      <c r="G610" s="2"/>
      <c r="H610" s="3"/>
      <c r="I610" s="3"/>
      <c r="J610" s="2"/>
      <c r="K610" s="3"/>
      <c r="L610" s="3"/>
      <c r="M610" s="877"/>
      <c r="N610" s="869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</row>
    <row r="611" spans="1:192" ht="13">
      <c r="A611" s="2"/>
      <c r="B611" s="869"/>
      <c r="C611" s="869"/>
      <c r="D611" s="3"/>
      <c r="E611" s="3"/>
      <c r="F611" s="3"/>
      <c r="G611" s="2"/>
      <c r="H611" s="3"/>
      <c r="I611" s="3"/>
      <c r="J611" s="2"/>
      <c r="K611" s="3"/>
      <c r="L611" s="3"/>
      <c r="M611" s="877"/>
      <c r="N611" s="869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</row>
    <row r="612" spans="1:192" ht="13">
      <c r="A612" s="2"/>
      <c r="B612" s="869"/>
      <c r="C612" s="869"/>
      <c r="D612" s="3"/>
      <c r="E612" s="3"/>
      <c r="F612" s="3"/>
      <c r="G612" s="2"/>
      <c r="H612" s="3"/>
      <c r="I612" s="3"/>
      <c r="J612" s="2"/>
      <c r="K612" s="3"/>
      <c r="L612" s="3"/>
      <c r="M612" s="877"/>
      <c r="N612" s="869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</row>
    <row r="613" spans="1:192" ht="13">
      <c r="A613" s="2"/>
      <c r="B613" s="869"/>
      <c r="C613" s="869"/>
      <c r="D613" s="3"/>
      <c r="E613" s="3"/>
      <c r="F613" s="3"/>
      <c r="G613" s="2"/>
      <c r="H613" s="3"/>
      <c r="I613" s="3"/>
      <c r="J613" s="2"/>
      <c r="K613" s="3"/>
      <c r="L613" s="3"/>
      <c r="M613" s="877"/>
      <c r="N613" s="869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</row>
    <row r="614" spans="1:192" ht="13">
      <c r="A614" s="2"/>
      <c r="B614" s="869"/>
      <c r="C614" s="869"/>
      <c r="D614" s="3"/>
      <c r="E614" s="3"/>
      <c r="F614" s="3"/>
      <c r="G614" s="2"/>
      <c r="H614" s="3"/>
      <c r="I614" s="3"/>
      <c r="J614" s="2"/>
      <c r="K614" s="3"/>
      <c r="L614" s="3"/>
      <c r="M614" s="877"/>
      <c r="N614" s="869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</row>
    <row r="615" spans="1:192" ht="13">
      <c r="A615" s="2"/>
      <c r="B615" s="869"/>
      <c r="C615" s="869"/>
      <c r="D615" s="3"/>
      <c r="E615" s="3"/>
      <c r="F615" s="3"/>
      <c r="G615" s="2"/>
      <c r="H615" s="3"/>
      <c r="I615" s="3"/>
      <c r="J615" s="2"/>
      <c r="K615" s="3"/>
      <c r="L615" s="3"/>
      <c r="M615" s="877"/>
      <c r="N615" s="869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</row>
    <row r="616" spans="1:192" ht="13">
      <c r="A616" s="2"/>
      <c r="B616" s="869"/>
      <c r="C616" s="869"/>
      <c r="D616" s="3"/>
      <c r="E616" s="3"/>
      <c r="F616" s="3"/>
      <c r="G616" s="2"/>
      <c r="H616" s="3"/>
      <c r="I616" s="3"/>
      <c r="J616" s="2"/>
      <c r="K616" s="3"/>
      <c r="L616" s="3"/>
      <c r="M616" s="877"/>
      <c r="N616" s="869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</row>
    <row r="617" spans="1:192" ht="13">
      <c r="A617" s="2"/>
      <c r="B617" s="869"/>
      <c r="C617" s="869"/>
      <c r="D617" s="3"/>
      <c r="E617" s="3"/>
      <c r="F617" s="3"/>
      <c r="G617" s="2"/>
      <c r="H617" s="3"/>
      <c r="I617" s="3"/>
      <c r="J617" s="2"/>
      <c r="K617" s="3"/>
      <c r="L617" s="3"/>
      <c r="M617" s="877"/>
      <c r="N617" s="869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</row>
    <row r="618" spans="1:192" ht="13">
      <c r="A618" s="2"/>
      <c r="B618" s="869"/>
      <c r="C618" s="869"/>
      <c r="D618" s="3"/>
      <c r="E618" s="3"/>
      <c r="F618" s="3"/>
      <c r="G618" s="2"/>
      <c r="H618" s="3"/>
      <c r="I618" s="3"/>
      <c r="J618" s="2"/>
      <c r="K618" s="3"/>
      <c r="L618" s="3"/>
      <c r="M618" s="877"/>
      <c r="N618" s="869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</row>
    <row r="619" spans="1:192" ht="13">
      <c r="A619" s="2"/>
      <c r="B619" s="869"/>
      <c r="C619" s="869"/>
      <c r="D619" s="3"/>
      <c r="E619" s="3"/>
      <c r="F619" s="3"/>
      <c r="G619" s="2"/>
      <c r="H619" s="3"/>
      <c r="I619" s="3"/>
      <c r="J619" s="2"/>
      <c r="K619" s="3"/>
      <c r="L619" s="3"/>
      <c r="M619" s="877"/>
      <c r="N619" s="869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</row>
    <row r="620" spans="1:192" ht="13">
      <c r="A620" s="2"/>
      <c r="B620" s="869"/>
      <c r="C620" s="869"/>
      <c r="D620" s="3"/>
      <c r="E620" s="3"/>
      <c r="F620" s="3"/>
      <c r="G620" s="2"/>
      <c r="H620" s="3"/>
      <c r="I620" s="3"/>
      <c r="J620" s="2"/>
      <c r="K620" s="3"/>
      <c r="L620" s="3"/>
      <c r="M620" s="877"/>
      <c r="N620" s="869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</row>
    <row r="621" spans="1:192" ht="13">
      <c r="A621" s="2"/>
      <c r="B621" s="869"/>
      <c r="C621" s="869"/>
      <c r="D621" s="3"/>
      <c r="E621" s="3"/>
      <c r="F621" s="3"/>
      <c r="G621" s="2"/>
      <c r="H621" s="3"/>
      <c r="I621" s="3"/>
      <c r="J621" s="2"/>
      <c r="K621" s="3"/>
      <c r="L621" s="3"/>
      <c r="M621" s="877"/>
      <c r="N621" s="869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</row>
    <row r="622" spans="1:192" ht="13">
      <c r="A622" s="2"/>
      <c r="B622" s="869"/>
      <c r="C622" s="869"/>
      <c r="D622" s="3"/>
      <c r="E622" s="3"/>
      <c r="F622" s="3"/>
      <c r="G622" s="2"/>
      <c r="H622" s="3"/>
      <c r="I622" s="3"/>
      <c r="J622" s="2"/>
      <c r="K622" s="3"/>
      <c r="L622" s="3"/>
      <c r="M622" s="877"/>
      <c r="N622" s="869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</row>
    <row r="623" spans="1:192" ht="13">
      <c r="A623" s="2"/>
      <c r="B623" s="869"/>
      <c r="C623" s="869"/>
      <c r="D623" s="3"/>
      <c r="E623" s="3"/>
      <c r="F623" s="3"/>
      <c r="G623" s="2"/>
      <c r="H623" s="3"/>
      <c r="I623" s="3"/>
      <c r="J623" s="2"/>
      <c r="K623" s="3"/>
      <c r="L623" s="3"/>
      <c r="M623" s="877"/>
      <c r="N623" s="869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</row>
    <row r="624" spans="1:192" ht="13">
      <c r="A624" s="2"/>
      <c r="B624" s="869"/>
      <c r="C624" s="869"/>
      <c r="D624" s="3"/>
      <c r="E624" s="3"/>
      <c r="F624" s="3"/>
      <c r="G624" s="2"/>
      <c r="H624" s="3"/>
      <c r="I624" s="3"/>
      <c r="J624" s="2"/>
      <c r="K624" s="3"/>
      <c r="L624" s="3"/>
      <c r="M624" s="877"/>
      <c r="N624" s="869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</row>
    <row r="625" spans="1:192" ht="13">
      <c r="A625" s="2"/>
      <c r="B625" s="869"/>
      <c r="C625" s="869"/>
      <c r="D625" s="3"/>
      <c r="E625" s="3"/>
      <c r="F625" s="3"/>
      <c r="G625" s="2"/>
      <c r="H625" s="3"/>
      <c r="I625" s="3"/>
      <c r="J625" s="2"/>
      <c r="K625" s="3"/>
      <c r="L625" s="3"/>
      <c r="M625" s="877"/>
      <c r="N625" s="869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</row>
    <row r="626" spans="1:192" ht="13">
      <c r="A626" s="2"/>
      <c r="B626" s="869"/>
      <c r="C626" s="869"/>
      <c r="D626" s="3"/>
      <c r="E626" s="3"/>
      <c r="F626" s="3"/>
      <c r="G626" s="2"/>
      <c r="H626" s="3"/>
      <c r="I626" s="3"/>
      <c r="J626" s="2"/>
      <c r="K626" s="3"/>
      <c r="L626" s="3"/>
      <c r="M626" s="877"/>
      <c r="N626" s="869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</row>
    <row r="627" spans="1:192" ht="13">
      <c r="A627" s="2"/>
      <c r="B627" s="869"/>
      <c r="C627" s="869"/>
      <c r="D627" s="3"/>
      <c r="E627" s="3"/>
      <c r="F627" s="3"/>
      <c r="G627" s="2"/>
      <c r="H627" s="3"/>
      <c r="I627" s="3"/>
      <c r="J627" s="2"/>
      <c r="K627" s="3"/>
      <c r="L627" s="3"/>
      <c r="M627" s="877"/>
      <c r="N627" s="869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</row>
    <row r="628" spans="1:192" ht="13">
      <c r="A628" s="2"/>
      <c r="B628" s="869"/>
      <c r="C628" s="869"/>
      <c r="D628" s="3"/>
      <c r="E628" s="3"/>
      <c r="F628" s="3"/>
      <c r="G628" s="2"/>
      <c r="H628" s="3"/>
      <c r="I628" s="3"/>
      <c r="J628" s="2"/>
      <c r="K628" s="3"/>
      <c r="L628" s="3"/>
      <c r="M628" s="877"/>
      <c r="N628" s="869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</row>
    <row r="629" spans="1:192" ht="13">
      <c r="A629" s="2"/>
      <c r="B629" s="869"/>
      <c r="C629" s="869"/>
      <c r="D629" s="3"/>
      <c r="E629" s="3"/>
      <c r="F629" s="3"/>
      <c r="G629" s="2"/>
      <c r="H629" s="3"/>
      <c r="I629" s="3"/>
      <c r="J629" s="2"/>
      <c r="K629" s="3"/>
      <c r="L629" s="3"/>
      <c r="M629" s="877"/>
      <c r="N629" s="869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</row>
    <row r="630" spans="1:192" ht="13">
      <c r="A630" s="2"/>
      <c r="B630" s="869"/>
      <c r="C630" s="869"/>
      <c r="D630" s="3"/>
      <c r="E630" s="3"/>
      <c r="F630" s="3"/>
      <c r="G630" s="2"/>
      <c r="H630" s="3"/>
      <c r="I630" s="3"/>
      <c r="J630" s="2"/>
      <c r="K630" s="3"/>
      <c r="L630" s="3"/>
      <c r="M630" s="877"/>
      <c r="N630" s="869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</row>
    <row r="631" spans="1:192" ht="13">
      <c r="A631" s="2"/>
      <c r="B631" s="869"/>
      <c r="C631" s="869"/>
      <c r="D631" s="3"/>
      <c r="E631" s="3"/>
      <c r="F631" s="3"/>
      <c r="G631" s="2"/>
      <c r="H631" s="3"/>
      <c r="I631" s="3"/>
      <c r="J631" s="2"/>
      <c r="K631" s="3"/>
      <c r="L631" s="3"/>
      <c r="M631" s="877"/>
      <c r="N631" s="869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</row>
    <row r="632" spans="1:192" ht="13">
      <c r="A632" s="2"/>
      <c r="B632" s="869"/>
      <c r="C632" s="869"/>
      <c r="D632" s="3"/>
      <c r="E632" s="3"/>
      <c r="F632" s="3"/>
      <c r="G632" s="2"/>
      <c r="H632" s="3"/>
      <c r="I632" s="3"/>
      <c r="J632" s="2"/>
      <c r="K632" s="3"/>
      <c r="L632" s="3"/>
      <c r="M632" s="877"/>
      <c r="N632" s="869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</row>
    <row r="633" spans="1:192" ht="13">
      <c r="A633" s="2"/>
      <c r="B633" s="869"/>
      <c r="C633" s="869"/>
      <c r="D633" s="3"/>
      <c r="E633" s="3"/>
      <c r="F633" s="3"/>
      <c r="G633" s="2"/>
      <c r="H633" s="3"/>
      <c r="I633" s="3"/>
      <c r="J633" s="2"/>
      <c r="K633" s="3"/>
      <c r="L633" s="3"/>
      <c r="M633" s="877"/>
      <c r="N633" s="869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</row>
    <row r="634" spans="1:192" ht="13">
      <c r="A634" s="2"/>
      <c r="B634" s="869"/>
      <c r="C634" s="869"/>
      <c r="D634" s="3"/>
      <c r="E634" s="3"/>
      <c r="F634" s="3"/>
      <c r="G634" s="2"/>
      <c r="H634" s="3"/>
      <c r="I634" s="3"/>
      <c r="J634" s="2"/>
      <c r="K634" s="3"/>
      <c r="L634" s="3"/>
      <c r="M634" s="877"/>
      <c r="N634" s="869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</row>
    <row r="635" spans="1:192" ht="13">
      <c r="A635" s="2"/>
      <c r="B635" s="869"/>
      <c r="C635" s="869"/>
      <c r="D635" s="3"/>
      <c r="E635" s="3"/>
      <c r="F635" s="3"/>
      <c r="G635" s="2"/>
      <c r="H635" s="3"/>
      <c r="I635" s="3"/>
      <c r="J635" s="2"/>
      <c r="K635" s="3"/>
      <c r="L635" s="3"/>
      <c r="M635" s="877"/>
      <c r="N635" s="869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</row>
    <row r="636" spans="1:192" ht="13">
      <c r="A636" s="2"/>
      <c r="B636" s="869"/>
      <c r="C636" s="869"/>
      <c r="D636" s="3"/>
      <c r="E636" s="3"/>
      <c r="F636" s="3"/>
      <c r="G636" s="2"/>
      <c r="H636" s="3"/>
      <c r="I636" s="3"/>
      <c r="J636" s="2"/>
      <c r="K636" s="3"/>
      <c r="L636" s="3"/>
      <c r="M636" s="877"/>
      <c r="N636" s="869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</row>
    <row r="637" spans="1:192" ht="13">
      <c r="A637" s="2"/>
      <c r="B637" s="869"/>
      <c r="C637" s="869"/>
      <c r="D637" s="3"/>
      <c r="E637" s="3"/>
      <c r="F637" s="3"/>
      <c r="G637" s="2"/>
      <c r="H637" s="3"/>
      <c r="I637" s="3"/>
      <c r="J637" s="2"/>
      <c r="K637" s="3"/>
      <c r="L637" s="3"/>
      <c r="M637" s="877"/>
      <c r="N637" s="869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</row>
    <row r="638" spans="1:192" ht="13">
      <c r="A638" s="2"/>
      <c r="B638" s="869"/>
      <c r="C638" s="869"/>
      <c r="D638" s="3"/>
      <c r="E638" s="3"/>
      <c r="F638" s="3"/>
      <c r="G638" s="2"/>
      <c r="H638" s="3"/>
      <c r="I638" s="3"/>
      <c r="J638" s="2"/>
      <c r="K638" s="3"/>
      <c r="L638" s="3"/>
      <c r="M638" s="877"/>
      <c r="N638" s="869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</row>
    <row r="639" spans="1:192" ht="13">
      <c r="A639" s="2"/>
      <c r="B639" s="869"/>
      <c r="C639" s="869"/>
      <c r="D639" s="3"/>
      <c r="E639" s="3"/>
      <c r="F639" s="3"/>
      <c r="G639" s="2"/>
      <c r="H639" s="3"/>
      <c r="I639" s="3"/>
      <c r="J639" s="2"/>
      <c r="K639" s="3"/>
      <c r="L639" s="3"/>
      <c r="M639" s="877"/>
      <c r="N639" s="869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</row>
    <row r="640" spans="1:192" ht="13">
      <c r="A640" s="2"/>
      <c r="B640" s="869"/>
      <c r="C640" s="869"/>
      <c r="D640" s="3"/>
      <c r="E640" s="3"/>
      <c r="F640" s="3"/>
      <c r="G640" s="2"/>
      <c r="H640" s="3"/>
      <c r="I640" s="3"/>
      <c r="J640" s="2"/>
      <c r="K640" s="3"/>
      <c r="L640" s="3"/>
      <c r="M640" s="877"/>
      <c r="N640" s="869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</row>
    <row r="641" spans="1:192" ht="13">
      <c r="A641" s="2"/>
      <c r="B641" s="869"/>
      <c r="C641" s="869"/>
      <c r="D641" s="3"/>
      <c r="E641" s="3"/>
      <c r="F641" s="3"/>
      <c r="G641" s="2"/>
      <c r="H641" s="3"/>
      <c r="I641" s="3"/>
      <c r="J641" s="2"/>
      <c r="K641" s="3"/>
      <c r="L641" s="3"/>
      <c r="M641" s="877"/>
      <c r="N641" s="869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</row>
    <row r="642" spans="1:192" ht="13">
      <c r="A642" s="2"/>
      <c r="B642" s="869"/>
      <c r="C642" s="869"/>
      <c r="D642" s="3"/>
      <c r="E642" s="3"/>
      <c r="F642" s="3"/>
      <c r="G642" s="2"/>
      <c r="H642" s="3"/>
      <c r="I642" s="3"/>
      <c r="J642" s="2"/>
      <c r="K642" s="3"/>
      <c r="L642" s="3"/>
      <c r="M642" s="877"/>
      <c r="N642" s="869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</row>
    <row r="643" spans="1:192" ht="13">
      <c r="A643" s="2"/>
      <c r="B643" s="869"/>
      <c r="C643" s="869"/>
      <c r="D643" s="3"/>
      <c r="E643" s="3"/>
      <c r="F643" s="3"/>
      <c r="G643" s="2"/>
      <c r="H643" s="3"/>
      <c r="I643" s="3"/>
      <c r="J643" s="2"/>
      <c r="K643" s="3"/>
      <c r="L643" s="3"/>
      <c r="M643" s="877"/>
      <c r="N643" s="869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</row>
    <row r="644" spans="1:192" ht="13">
      <c r="A644" s="2"/>
      <c r="B644" s="869"/>
      <c r="C644" s="869"/>
      <c r="D644" s="3"/>
      <c r="E644" s="3"/>
      <c r="F644" s="3"/>
      <c r="G644" s="2"/>
      <c r="H644" s="3"/>
      <c r="I644" s="3"/>
      <c r="J644" s="2"/>
      <c r="K644" s="3"/>
      <c r="L644" s="3"/>
      <c r="M644" s="877"/>
      <c r="N644" s="869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</row>
    <row r="645" spans="1:192" ht="13">
      <c r="A645" s="2"/>
      <c r="B645" s="869"/>
      <c r="C645" s="869"/>
      <c r="D645" s="3"/>
      <c r="E645" s="3"/>
      <c r="F645" s="3"/>
      <c r="G645" s="2"/>
      <c r="H645" s="3"/>
      <c r="I645" s="3"/>
      <c r="J645" s="2"/>
      <c r="K645" s="3"/>
      <c r="L645" s="3"/>
      <c r="M645" s="877"/>
      <c r="N645" s="869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</row>
    <row r="646" spans="1:192" ht="13">
      <c r="A646" s="2"/>
      <c r="B646" s="869"/>
      <c r="C646" s="869"/>
      <c r="D646" s="3"/>
      <c r="E646" s="3"/>
      <c r="F646" s="3"/>
      <c r="G646" s="2"/>
      <c r="H646" s="3"/>
      <c r="I646" s="3"/>
      <c r="J646" s="2"/>
      <c r="K646" s="3"/>
      <c r="L646" s="3"/>
      <c r="M646" s="877"/>
      <c r="N646" s="869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</row>
    <row r="647" spans="1:192" ht="13">
      <c r="A647" s="2"/>
      <c r="B647" s="869"/>
      <c r="C647" s="869"/>
      <c r="D647" s="3"/>
      <c r="E647" s="3"/>
      <c r="F647" s="3"/>
      <c r="G647" s="2"/>
      <c r="H647" s="3"/>
      <c r="I647" s="3"/>
      <c r="J647" s="2"/>
      <c r="K647" s="3"/>
      <c r="L647" s="3"/>
      <c r="M647" s="877"/>
      <c r="N647" s="869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</row>
    <row r="648" spans="1:192" ht="13">
      <c r="A648" s="2"/>
      <c r="B648" s="869"/>
      <c r="C648" s="869"/>
      <c r="D648" s="3"/>
      <c r="E648" s="3"/>
      <c r="F648" s="3"/>
      <c r="G648" s="2"/>
      <c r="H648" s="3"/>
      <c r="I648" s="3"/>
      <c r="J648" s="2"/>
      <c r="K648" s="3"/>
      <c r="L648" s="3"/>
      <c r="M648" s="877"/>
      <c r="N648" s="869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</row>
    <row r="649" spans="1:192" ht="13">
      <c r="A649" s="2"/>
      <c r="B649" s="869"/>
      <c r="C649" s="869"/>
      <c r="D649" s="3"/>
      <c r="E649" s="3"/>
      <c r="F649" s="3"/>
      <c r="G649" s="2"/>
      <c r="H649" s="3"/>
      <c r="I649" s="3"/>
      <c r="J649" s="2"/>
      <c r="K649" s="3"/>
      <c r="L649" s="3"/>
      <c r="M649" s="877"/>
      <c r="N649" s="869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</row>
    <row r="650" spans="1:192" ht="13">
      <c r="A650" s="2"/>
      <c r="B650" s="869"/>
      <c r="C650" s="869"/>
      <c r="D650" s="3"/>
      <c r="E650" s="3"/>
      <c r="F650" s="3"/>
      <c r="G650" s="2"/>
      <c r="H650" s="3"/>
      <c r="I650" s="3"/>
      <c r="J650" s="2"/>
      <c r="K650" s="3"/>
      <c r="L650" s="3"/>
      <c r="M650" s="877"/>
      <c r="N650" s="869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</row>
    <row r="651" spans="1:192" ht="13">
      <c r="A651" s="2"/>
      <c r="B651" s="869"/>
      <c r="C651" s="869"/>
      <c r="D651" s="3"/>
      <c r="E651" s="3"/>
      <c r="F651" s="3"/>
      <c r="G651" s="2"/>
      <c r="H651" s="3"/>
      <c r="I651" s="3"/>
      <c r="J651" s="2"/>
      <c r="K651" s="3"/>
      <c r="L651" s="3"/>
      <c r="M651" s="877"/>
      <c r="N651" s="869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</row>
    <row r="652" spans="1:192" ht="13">
      <c r="A652" s="2"/>
      <c r="B652" s="869"/>
      <c r="C652" s="869"/>
      <c r="D652" s="3"/>
      <c r="E652" s="3"/>
      <c r="F652" s="3"/>
      <c r="G652" s="2"/>
      <c r="H652" s="3"/>
      <c r="I652" s="3"/>
      <c r="J652" s="2"/>
      <c r="K652" s="3"/>
      <c r="L652" s="3"/>
      <c r="M652" s="877"/>
      <c r="N652" s="869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</row>
    <row r="653" spans="1:192" ht="13">
      <c r="A653" s="2"/>
      <c r="B653" s="869"/>
      <c r="C653" s="869"/>
      <c r="D653" s="3"/>
      <c r="E653" s="3"/>
      <c r="F653" s="3"/>
      <c r="G653" s="2"/>
      <c r="H653" s="3"/>
      <c r="I653" s="3"/>
      <c r="J653" s="2"/>
      <c r="K653" s="3"/>
      <c r="L653" s="3"/>
      <c r="M653" s="877"/>
      <c r="N653" s="869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</row>
    <row r="654" spans="1:192" ht="13">
      <c r="A654" s="2"/>
      <c r="B654" s="869"/>
      <c r="C654" s="869"/>
      <c r="D654" s="3"/>
      <c r="E654" s="3"/>
      <c r="F654" s="3"/>
      <c r="G654" s="2"/>
      <c r="H654" s="3"/>
      <c r="I654" s="3"/>
      <c r="J654" s="2"/>
      <c r="K654" s="3"/>
      <c r="L654" s="3"/>
      <c r="M654" s="877"/>
      <c r="N654" s="869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</row>
    <row r="655" spans="1:192" ht="13">
      <c r="A655" s="2"/>
      <c r="B655" s="869"/>
      <c r="C655" s="869"/>
      <c r="D655" s="3"/>
      <c r="E655" s="3"/>
      <c r="F655" s="3"/>
      <c r="G655" s="2"/>
      <c r="H655" s="3"/>
      <c r="I655" s="3"/>
      <c r="J655" s="2"/>
      <c r="K655" s="3"/>
      <c r="L655" s="3"/>
      <c r="M655" s="877"/>
      <c r="N655" s="869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</row>
    <row r="656" spans="1:192" ht="13">
      <c r="A656" s="2"/>
      <c r="B656" s="869"/>
      <c r="C656" s="869"/>
      <c r="D656" s="3"/>
      <c r="E656" s="3"/>
      <c r="F656" s="3"/>
      <c r="G656" s="2"/>
      <c r="H656" s="3"/>
      <c r="I656" s="3"/>
      <c r="J656" s="2"/>
      <c r="K656" s="3"/>
      <c r="L656" s="3"/>
      <c r="M656" s="877"/>
      <c r="N656" s="869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</row>
    <row r="657" spans="1:192" ht="13">
      <c r="A657" s="2"/>
      <c r="B657" s="869"/>
      <c r="C657" s="869"/>
      <c r="D657" s="3"/>
      <c r="E657" s="3"/>
      <c r="F657" s="3"/>
      <c r="G657" s="2"/>
      <c r="H657" s="3"/>
      <c r="I657" s="3"/>
      <c r="J657" s="2"/>
      <c r="K657" s="3"/>
      <c r="L657" s="3"/>
      <c r="M657" s="877"/>
      <c r="N657" s="869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</row>
    <row r="658" spans="1:192" ht="13">
      <c r="A658" s="2"/>
      <c r="B658" s="869"/>
      <c r="C658" s="869"/>
      <c r="D658" s="3"/>
      <c r="E658" s="3"/>
      <c r="F658" s="3"/>
      <c r="G658" s="2"/>
      <c r="H658" s="3"/>
      <c r="I658" s="3"/>
      <c r="J658" s="2"/>
      <c r="K658" s="3"/>
      <c r="L658" s="3"/>
      <c r="M658" s="877"/>
      <c r="N658" s="869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</row>
    <row r="659" spans="1:192" ht="13">
      <c r="A659" s="2"/>
      <c r="B659" s="869"/>
      <c r="C659" s="869"/>
      <c r="D659" s="3"/>
      <c r="E659" s="3"/>
      <c r="F659" s="3"/>
      <c r="G659" s="2"/>
      <c r="H659" s="3"/>
      <c r="I659" s="3"/>
      <c r="J659" s="2"/>
      <c r="K659" s="3"/>
      <c r="L659" s="3"/>
      <c r="M659" s="877"/>
      <c r="N659" s="869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</row>
    <row r="660" spans="1:192" ht="13">
      <c r="A660" s="2"/>
      <c r="B660" s="869"/>
      <c r="C660" s="869"/>
      <c r="D660" s="3"/>
      <c r="E660" s="3"/>
      <c r="F660" s="3"/>
      <c r="G660" s="2"/>
      <c r="H660" s="3"/>
      <c r="I660" s="3"/>
      <c r="J660" s="2"/>
      <c r="K660" s="3"/>
      <c r="L660" s="3"/>
      <c r="M660" s="877"/>
      <c r="N660" s="869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</row>
    <row r="661" spans="1:192" ht="13">
      <c r="A661" s="2"/>
      <c r="B661" s="869"/>
      <c r="C661" s="869"/>
      <c r="D661" s="3"/>
      <c r="E661" s="3"/>
      <c r="F661" s="3"/>
      <c r="G661" s="2"/>
      <c r="H661" s="3"/>
      <c r="I661" s="3"/>
      <c r="J661" s="2"/>
      <c r="K661" s="3"/>
      <c r="L661" s="3"/>
      <c r="M661" s="877"/>
      <c r="N661" s="869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</row>
    <row r="662" spans="1:192" ht="13">
      <c r="A662" s="2"/>
      <c r="B662" s="869"/>
      <c r="C662" s="869"/>
      <c r="D662" s="3"/>
      <c r="E662" s="3"/>
      <c r="F662" s="3"/>
      <c r="G662" s="2"/>
      <c r="H662" s="3"/>
      <c r="I662" s="3"/>
      <c r="J662" s="2"/>
      <c r="K662" s="3"/>
      <c r="L662" s="3"/>
      <c r="M662" s="877"/>
      <c r="N662" s="869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</row>
    <row r="663" spans="1:192" ht="13">
      <c r="A663" s="2"/>
      <c r="B663" s="869"/>
      <c r="C663" s="869"/>
      <c r="D663" s="3"/>
      <c r="E663" s="3"/>
      <c r="F663" s="3"/>
      <c r="G663" s="2"/>
      <c r="H663" s="3"/>
      <c r="I663" s="3"/>
      <c r="J663" s="2"/>
      <c r="K663" s="3"/>
      <c r="L663" s="3"/>
      <c r="M663" s="877"/>
      <c r="N663" s="869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</row>
    <row r="664" spans="1:192" ht="13">
      <c r="A664" s="2"/>
      <c r="B664" s="869"/>
      <c r="C664" s="869"/>
      <c r="D664" s="3"/>
      <c r="E664" s="3"/>
      <c r="F664" s="3"/>
      <c r="G664" s="2"/>
      <c r="H664" s="3"/>
      <c r="I664" s="3"/>
      <c r="J664" s="2"/>
      <c r="K664" s="3"/>
      <c r="L664" s="3"/>
      <c r="M664" s="877"/>
      <c r="N664" s="869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</row>
    <row r="665" spans="1:192" ht="13">
      <c r="A665" s="2"/>
      <c r="B665" s="869"/>
      <c r="C665" s="869"/>
      <c r="D665" s="3"/>
      <c r="E665" s="3"/>
      <c r="F665" s="3"/>
      <c r="G665" s="2"/>
      <c r="H665" s="3"/>
      <c r="I665" s="3"/>
      <c r="J665" s="2"/>
      <c r="K665" s="3"/>
      <c r="L665" s="3"/>
      <c r="M665" s="877"/>
      <c r="N665" s="869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</row>
    <row r="666" spans="1:192" ht="13">
      <c r="A666" s="2"/>
      <c r="B666" s="869"/>
      <c r="C666" s="869"/>
      <c r="D666" s="3"/>
      <c r="E666" s="3"/>
      <c r="F666" s="3"/>
      <c r="G666" s="2"/>
      <c r="H666" s="3"/>
      <c r="I666" s="3"/>
      <c r="J666" s="2"/>
      <c r="K666" s="3"/>
      <c r="L666" s="3"/>
      <c r="M666" s="877"/>
      <c r="N666" s="869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</row>
    <row r="667" spans="1:192" ht="13">
      <c r="A667" s="2"/>
      <c r="B667" s="869"/>
      <c r="C667" s="869"/>
      <c r="D667" s="3"/>
      <c r="E667" s="3"/>
      <c r="F667" s="3"/>
      <c r="G667" s="2"/>
      <c r="H667" s="3"/>
      <c r="I667" s="3"/>
      <c r="J667" s="2"/>
      <c r="K667" s="3"/>
      <c r="L667" s="3"/>
      <c r="M667" s="877"/>
      <c r="N667" s="869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</row>
    <row r="668" spans="1:192" ht="13">
      <c r="A668" s="2"/>
      <c r="B668" s="869"/>
      <c r="C668" s="869"/>
      <c r="D668" s="3"/>
      <c r="E668" s="3"/>
      <c r="F668" s="3"/>
      <c r="G668" s="2"/>
      <c r="H668" s="3"/>
      <c r="I668" s="3"/>
      <c r="J668" s="2"/>
      <c r="K668" s="3"/>
      <c r="L668" s="3"/>
      <c r="M668" s="877"/>
      <c r="N668" s="869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</row>
    <row r="669" spans="1:192" ht="13">
      <c r="A669" s="2"/>
      <c r="B669" s="869"/>
      <c r="C669" s="869"/>
      <c r="D669" s="3"/>
      <c r="E669" s="3"/>
      <c r="F669" s="3"/>
      <c r="G669" s="2"/>
      <c r="H669" s="3"/>
      <c r="I669" s="3"/>
      <c r="J669" s="2"/>
      <c r="K669" s="3"/>
      <c r="L669" s="3"/>
      <c r="M669" s="877"/>
      <c r="N669" s="869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</row>
    <row r="670" spans="1:192" ht="13">
      <c r="A670" s="2"/>
      <c r="B670" s="869"/>
      <c r="C670" s="869"/>
      <c r="D670" s="3"/>
      <c r="E670" s="3"/>
      <c r="F670" s="3"/>
      <c r="G670" s="2"/>
      <c r="H670" s="3"/>
      <c r="I670" s="3"/>
      <c r="J670" s="2"/>
      <c r="K670" s="3"/>
      <c r="L670" s="3"/>
      <c r="M670" s="877"/>
      <c r="N670" s="869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</row>
    <row r="671" spans="1:192" ht="13">
      <c r="A671" s="2"/>
      <c r="B671" s="869"/>
      <c r="C671" s="869"/>
      <c r="D671" s="3"/>
      <c r="E671" s="3"/>
      <c r="F671" s="3"/>
      <c r="G671" s="2"/>
      <c r="H671" s="3"/>
      <c r="I671" s="3"/>
      <c r="J671" s="2"/>
      <c r="K671" s="3"/>
      <c r="L671" s="3"/>
      <c r="M671" s="877"/>
      <c r="N671" s="869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</row>
    <row r="672" spans="1:192" ht="13">
      <c r="A672" s="2"/>
      <c r="B672" s="869"/>
      <c r="C672" s="869"/>
      <c r="D672" s="3"/>
      <c r="E672" s="3"/>
      <c r="F672" s="3"/>
      <c r="G672" s="2"/>
      <c r="H672" s="3"/>
      <c r="I672" s="3"/>
      <c r="J672" s="2"/>
      <c r="K672" s="3"/>
      <c r="L672" s="3"/>
      <c r="M672" s="877"/>
      <c r="N672" s="869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</row>
    <row r="673" spans="1:192" ht="13">
      <c r="A673" s="2"/>
      <c r="B673" s="869"/>
      <c r="C673" s="869"/>
      <c r="D673" s="3"/>
      <c r="E673" s="3"/>
      <c r="F673" s="3"/>
      <c r="G673" s="2"/>
      <c r="H673" s="3"/>
      <c r="I673" s="3"/>
      <c r="J673" s="2"/>
      <c r="K673" s="3"/>
      <c r="L673" s="3"/>
      <c r="M673" s="877"/>
      <c r="N673" s="869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</row>
    <row r="674" spans="1:192" ht="13">
      <c r="A674" s="2"/>
      <c r="B674" s="869"/>
      <c r="C674" s="869"/>
      <c r="D674" s="3"/>
      <c r="E674" s="3"/>
      <c r="F674" s="3"/>
      <c r="G674" s="2"/>
      <c r="H674" s="3"/>
      <c r="I674" s="3"/>
      <c r="J674" s="2"/>
      <c r="K674" s="3"/>
      <c r="L674" s="3"/>
      <c r="M674" s="877"/>
      <c r="N674" s="869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</row>
    <row r="675" spans="1:192" ht="13">
      <c r="A675" s="2"/>
      <c r="B675" s="869"/>
      <c r="C675" s="869"/>
      <c r="D675" s="3"/>
      <c r="E675" s="3"/>
      <c r="F675" s="3"/>
      <c r="G675" s="2"/>
      <c r="H675" s="3"/>
      <c r="I675" s="3"/>
      <c r="J675" s="2"/>
      <c r="K675" s="3"/>
      <c r="L675" s="3"/>
      <c r="M675" s="877"/>
      <c r="N675" s="869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</row>
    <row r="676" spans="1:192" ht="13">
      <c r="A676" s="2"/>
      <c r="B676" s="869"/>
      <c r="C676" s="869"/>
      <c r="D676" s="3"/>
      <c r="E676" s="3"/>
      <c r="F676" s="3"/>
      <c r="G676" s="2"/>
      <c r="H676" s="3"/>
      <c r="I676" s="3"/>
      <c r="J676" s="2"/>
      <c r="K676" s="3"/>
      <c r="L676" s="3"/>
      <c r="M676" s="877"/>
      <c r="N676" s="869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</row>
    <row r="677" spans="1:192" ht="13">
      <c r="A677" s="2"/>
      <c r="B677" s="869"/>
      <c r="C677" s="869"/>
      <c r="D677" s="3"/>
      <c r="E677" s="3"/>
      <c r="F677" s="3"/>
      <c r="G677" s="2"/>
      <c r="H677" s="3"/>
      <c r="I677" s="3"/>
      <c r="J677" s="2"/>
      <c r="K677" s="3"/>
      <c r="L677" s="3"/>
      <c r="M677" s="877"/>
      <c r="N677" s="869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</row>
    <row r="678" spans="1:192" ht="13">
      <c r="A678" s="2"/>
      <c r="B678" s="869"/>
      <c r="C678" s="869"/>
      <c r="D678" s="3"/>
      <c r="E678" s="3"/>
      <c r="F678" s="3"/>
      <c r="G678" s="2"/>
      <c r="H678" s="3"/>
      <c r="I678" s="3"/>
      <c r="J678" s="2"/>
      <c r="K678" s="3"/>
      <c r="L678" s="3"/>
      <c r="M678" s="877"/>
      <c r="N678" s="869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</row>
    <row r="679" spans="1:192" ht="13">
      <c r="A679" s="2"/>
      <c r="B679" s="869"/>
      <c r="C679" s="869"/>
      <c r="D679" s="3"/>
      <c r="E679" s="3"/>
      <c r="F679" s="3"/>
      <c r="G679" s="2"/>
      <c r="H679" s="3"/>
      <c r="I679" s="3"/>
      <c r="J679" s="2"/>
      <c r="K679" s="3"/>
      <c r="L679" s="3"/>
      <c r="M679" s="877"/>
      <c r="N679" s="869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</row>
    <row r="680" spans="1:192" ht="13">
      <c r="A680" s="2"/>
      <c r="B680" s="869"/>
      <c r="C680" s="869"/>
      <c r="D680" s="3"/>
      <c r="E680" s="3"/>
      <c r="F680" s="3"/>
      <c r="G680" s="2"/>
      <c r="H680" s="3"/>
      <c r="I680" s="3"/>
      <c r="J680" s="2"/>
      <c r="K680" s="3"/>
      <c r="L680" s="3"/>
      <c r="M680" s="877"/>
      <c r="N680" s="869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</row>
    <row r="681" spans="1:192" ht="13">
      <c r="A681" s="2"/>
      <c r="B681" s="869"/>
      <c r="C681" s="869"/>
      <c r="D681" s="3"/>
      <c r="E681" s="3"/>
      <c r="F681" s="3"/>
      <c r="G681" s="2"/>
      <c r="H681" s="3"/>
      <c r="I681" s="3"/>
      <c r="J681" s="2"/>
      <c r="K681" s="3"/>
      <c r="L681" s="3"/>
      <c r="M681" s="877"/>
      <c r="N681" s="869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</row>
    <row r="682" spans="1:192" ht="13">
      <c r="A682" s="2"/>
      <c r="B682" s="869"/>
      <c r="C682" s="869"/>
      <c r="D682" s="3"/>
      <c r="E682" s="3"/>
      <c r="F682" s="3"/>
      <c r="G682" s="2"/>
      <c r="H682" s="3"/>
      <c r="I682" s="3"/>
      <c r="J682" s="2"/>
      <c r="K682" s="3"/>
      <c r="L682" s="3"/>
      <c r="M682" s="877"/>
      <c r="N682" s="869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</row>
    <row r="683" spans="1:192" ht="13">
      <c r="A683" s="2"/>
      <c r="B683" s="869"/>
      <c r="C683" s="869"/>
      <c r="D683" s="3"/>
      <c r="E683" s="3"/>
      <c r="F683" s="3"/>
      <c r="G683" s="2"/>
      <c r="H683" s="3"/>
      <c r="I683" s="3"/>
      <c r="J683" s="2"/>
      <c r="K683" s="3"/>
      <c r="L683" s="3"/>
      <c r="M683" s="877"/>
      <c r="N683" s="869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</row>
    <row r="684" spans="1:192" ht="13">
      <c r="A684" s="2"/>
      <c r="B684" s="869"/>
      <c r="C684" s="869"/>
      <c r="D684" s="3"/>
      <c r="E684" s="3"/>
      <c r="F684" s="3"/>
      <c r="G684" s="2"/>
      <c r="H684" s="3"/>
      <c r="I684" s="3"/>
      <c r="J684" s="2"/>
      <c r="K684" s="3"/>
      <c r="L684" s="3"/>
      <c r="M684" s="877"/>
      <c r="N684" s="869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</row>
    <row r="685" spans="1:192" ht="13">
      <c r="A685" s="2"/>
      <c r="B685" s="869"/>
      <c r="C685" s="869"/>
      <c r="D685" s="3"/>
      <c r="E685" s="3"/>
      <c r="F685" s="3"/>
      <c r="G685" s="2"/>
      <c r="H685" s="3"/>
      <c r="I685" s="3"/>
      <c r="J685" s="2"/>
      <c r="K685" s="3"/>
      <c r="L685" s="3"/>
      <c r="M685" s="877"/>
      <c r="N685" s="869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</row>
    <row r="686" spans="1:192" ht="13">
      <c r="A686" s="2"/>
      <c r="B686" s="869"/>
      <c r="C686" s="869"/>
      <c r="D686" s="3"/>
      <c r="E686" s="3"/>
      <c r="F686" s="3"/>
      <c r="G686" s="2"/>
      <c r="H686" s="3"/>
      <c r="I686" s="3"/>
      <c r="J686" s="2"/>
      <c r="K686" s="3"/>
      <c r="L686" s="3"/>
      <c r="M686" s="877"/>
      <c r="N686" s="869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</row>
    <row r="687" spans="1:192" ht="13">
      <c r="A687" s="2"/>
      <c r="B687" s="869"/>
      <c r="C687" s="869"/>
      <c r="D687" s="3"/>
      <c r="E687" s="3"/>
      <c r="F687" s="3"/>
      <c r="G687" s="2"/>
      <c r="H687" s="3"/>
      <c r="I687" s="3"/>
      <c r="J687" s="2"/>
      <c r="K687" s="3"/>
      <c r="L687" s="3"/>
      <c r="M687" s="877"/>
      <c r="N687" s="869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</row>
    <row r="688" spans="1:192" ht="13">
      <c r="A688" s="2"/>
      <c r="B688" s="869"/>
      <c r="C688" s="869"/>
      <c r="D688" s="3"/>
      <c r="E688" s="3"/>
      <c r="F688" s="3"/>
      <c r="G688" s="2"/>
      <c r="H688" s="3"/>
      <c r="I688" s="3"/>
      <c r="J688" s="2"/>
      <c r="K688" s="3"/>
      <c r="L688" s="3"/>
      <c r="M688" s="877"/>
      <c r="N688" s="869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</row>
    <row r="689" spans="1:192" ht="13">
      <c r="A689" s="2"/>
      <c r="B689" s="869"/>
      <c r="C689" s="869"/>
      <c r="D689" s="3"/>
      <c r="E689" s="3"/>
      <c r="F689" s="3"/>
      <c r="G689" s="2"/>
      <c r="H689" s="3"/>
      <c r="I689" s="3"/>
      <c r="J689" s="2"/>
      <c r="K689" s="3"/>
      <c r="L689" s="3"/>
      <c r="M689" s="877"/>
      <c r="N689" s="869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</row>
    <row r="690" spans="1:192" ht="13">
      <c r="A690" s="2"/>
      <c r="B690" s="869"/>
      <c r="C690" s="869"/>
      <c r="D690" s="3"/>
      <c r="E690" s="3"/>
      <c r="F690" s="3"/>
      <c r="G690" s="2"/>
      <c r="H690" s="3"/>
      <c r="I690" s="3"/>
      <c r="J690" s="2"/>
      <c r="K690" s="3"/>
      <c r="L690" s="3"/>
      <c r="M690" s="877"/>
      <c r="N690" s="869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</row>
    <row r="691" spans="1:192" ht="13">
      <c r="A691" s="2"/>
      <c r="B691" s="869"/>
      <c r="C691" s="869"/>
      <c r="D691" s="3"/>
      <c r="E691" s="3"/>
      <c r="F691" s="3"/>
      <c r="G691" s="2"/>
      <c r="H691" s="3"/>
      <c r="I691" s="3"/>
      <c r="J691" s="2"/>
      <c r="K691" s="3"/>
      <c r="L691" s="3"/>
      <c r="M691" s="877"/>
      <c r="N691" s="869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</row>
    <row r="692" spans="1:192" ht="13">
      <c r="A692" s="2"/>
      <c r="B692" s="869"/>
      <c r="C692" s="869"/>
      <c r="D692" s="3"/>
      <c r="E692" s="3"/>
      <c r="F692" s="3"/>
      <c r="G692" s="2"/>
      <c r="H692" s="3"/>
      <c r="I692" s="3"/>
      <c r="J692" s="2"/>
      <c r="K692" s="3"/>
      <c r="L692" s="3"/>
      <c r="M692" s="877"/>
      <c r="N692" s="869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</row>
    <row r="693" spans="1:192" ht="13">
      <c r="A693" s="2"/>
      <c r="B693" s="869"/>
      <c r="C693" s="869"/>
      <c r="D693" s="3"/>
      <c r="E693" s="3"/>
      <c r="F693" s="3"/>
      <c r="G693" s="2"/>
      <c r="H693" s="3"/>
      <c r="I693" s="3"/>
      <c r="J693" s="2"/>
      <c r="K693" s="3"/>
      <c r="L693" s="3"/>
      <c r="M693" s="877"/>
      <c r="N693" s="869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</row>
    <row r="694" spans="1:192" ht="13">
      <c r="A694" s="2"/>
      <c r="B694" s="869"/>
      <c r="C694" s="869"/>
      <c r="D694" s="3"/>
      <c r="E694" s="3"/>
      <c r="F694" s="3"/>
      <c r="G694" s="2"/>
      <c r="H694" s="3"/>
      <c r="I694" s="3"/>
      <c r="J694" s="2"/>
      <c r="K694" s="3"/>
      <c r="L694" s="3"/>
      <c r="M694" s="877"/>
      <c r="N694" s="869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</row>
    <row r="695" spans="1:192" ht="13">
      <c r="A695" s="2"/>
      <c r="B695" s="869"/>
      <c r="C695" s="869"/>
      <c r="D695" s="3"/>
      <c r="E695" s="3"/>
      <c r="F695" s="3"/>
      <c r="G695" s="2"/>
      <c r="H695" s="3"/>
      <c r="I695" s="3"/>
      <c r="J695" s="2"/>
      <c r="K695" s="3"/>
      <c r="L695" s="3"/>
      <c r="M695" s="877"/>
      <c r="N695" s="869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</row>
    <row r="696" spans="1:192" ht="13">
      <c r="A696" s="2"/>
      <c r="B696" s="869"/>
      <c r="C696" s="869"/>
      <c r="D696" s="3"/>
      <c r="E696" s="3"/>
      <c r="F696" s="3"/>
      <c r="G696" s="2"/>
      <c r="H696" s="3"/>
      <c r="I696" s="3"/>
      <c r="J696" s="2"/>
      <c r="K696" s="3"/>
      <c r="L696" s="3"/>
      <c r="M696" s="877"/>
      <c r="N696" s="869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</row>
    <row r="697" spans="1:192" ht="13">
      <c r="A697" s="2"/>
      <c r="B697" s="869"/>
      <c r="C697" s="869"/>
      <c r="D697" s="3"/>
      <c r="E697" s="3"/>
      <c r="F697" s="3"/>
      <c r="G697" s="2"/>
      <c r="H697" s="3"/>
      <c r="I697" s="3"/>
      <c r="J697" s="2"/>
      <c r="K697" s="3"/>
      <c r="L697" s="3"/>
      <c r="M697" s="877"/>
      <c r="N697" s="869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</row>
    <row r="698" spans="1:192" ht="13">
      <c r="A698" s="2"/>
      <c r="B698" s="869"/>
      <c r="C698" s="869"/>
      <c r="D698" s="3"/>
      <c r="E698" s="3"/>
      <c r="F698" s="3"/>
      <c r="G698" s="2"/>
      <c r="H698" s="3"/>
      <c r="I698" s="3"/>
      <c r="J698" s="2"/>
      <c r="K698" s="3"/>
      <c r="L698" s="3"/>
      <c r="M698" s="877"/>
      <c r="N698" s="869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</row>
    <row r="699" spans="1:192" ht="13">
      <c r="A699" s="2"/>
      <c r="B699" s="869"/>
      <c r="C699" s="869"/>
      <c r="D699" s="3"/>
      <c r="E699" s="3"/>
      <c r="F699" s="3"/>
      <c r="G699" s="2"/>
      <c r="H699" s="3"/>
      <c r="I699" s="3"/>
      <c r="J699" s="2"/>
      <c r="K699" s="3"/>
      <c r="L699" s="3"/>
      <c r="M699" s="877"/>
      <c r="N699" s="869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</row>
    <row r="700" spans="1:192" ht="13">
      <c r="A700" s="2"/>
      <c r="B700" s="869"/>
      <c r="C700" s="869"/>
      <c r="D700" s="3"/>
      <c r="E700" s="3"/>
      <c r="F700" s="3"/>
      <c r="G700" s="2"/>
      <c r="H700" s="3"/>
      <c r="I700" s="3"/>
      <c r="J700" s="2"/>
      <c r="K700" s="3"/>
      <c r="L700" s="3"/>
      <c r="M700" s="877"/>
      <c r="N700" s="869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</row>
    <row r="701" spans="1:192" ht="13">
      <c r="A701" s="2"/>
      <c r="B701" s="869"/>
      <c r="C701" s="869"/>
      <c r="D701" s="3"/>
      <c r="E701" s="3"/>
      <c r="F701" s="3"/>
      <c r="G701" s="2"/>
      <c r="H701" s="3"/>
      <c r="I701" s="3"/>
      <c r="J701" s="2"/>
      <c r="K701" s="3"/>
      <c r="L701" s="3"/>
      <c r="M701" s="877"/>
      <c r="N701" s="869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</row>
    <row r="702" spans="1:192" ht="13">
      <c r="A702" s="2"/>
      <c r="B702" s="869"/>
      <c r="C702" s="869"/>
      <c r="D702" s="3"/>
      <c r="E702" s="3"/>
      <c r="F702" s="3"/>
      <c r="G702" s="2"/>
      <c r="H702" s="3"/>
      <c r="I702" s="3"/>
      <c r="J702" s="2"/>
      <c r="K702" s="3"/>
      <c r="L702" s="3"/>
      <c r="M702" s="877"/>
      <c r="N702" s="869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</row>
    <row r="703" spans="1:192" ht="13">
      <c r="A703" s="2"/>
      <c r="B703" s="869"/>
      <c r="C703" s="869"/>
      <c r="D703" s="3"/>
      <c r="E703" s="3"/>
      <c r="F703" s="3"/>
      <c r="G703" s="2"/>
      <c r="H703" s="3"/>
      <c r="I703" s="3"/>
      <c r="J703" s="2"/>
      <c r="K703" s="3"/>
      <c r="L703" s="3"/>
      <c r="M703" s="877"/>
      <c r="N703" s="869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</row>
    <row r="704" spans="1:192" ht="13">
      <c r="A704" s="2"/>
      <c r="B704" s="869"/>
      <c r="C704" s="869"/>
      <c r="D704" s="3"/>
      <c r="E704" s="3"/>
      <c r="F704" s="3"/>
      <c r="G704" s="2"/>
      <c r="H704" s="3"/>
      <c r="I704" s="3"/>
      <c r="J704" s="2"/>
      <c r="K704" s="3"/>
      <c r="L704" s="3"/>
      <c r="M704" s="877"/>
      <c r="N704" s="869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</row>
    <row r="705" spans="1:192" ht="13">
      <c r="A705" s="2"/>
      <c r="B705" s="869"/>
      <c r="C705" s="869"/>
      <c r="D705" s="3"/>
      <c r="E705" s="3"/>
      <c r="F705" s="3"/>
      <c r="G705" s="2"/>
      <c r="H705" s="3"/>
      <c r="I705" s="3"/>
      <c r="J705" s="2"/>
      <c r="K705" s="3"/>
      <c r="L705" s="3"/>
      <c r="M705" s="877"/>
      <c r="N705" s="869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</row>
    <row r="706" spans="1:192" ht="13">
      <c r="A706" s="2"/>
      <c r="B706" s="869"/>
      <c r="C706" s="869"/>
      <c r="D706" s="3"/>
      <c r="E706" s="3"/>
      <c r="F706" s="3"/>
      <c r="G706" s="2"/>
      <c r="H706" s="3"/>
      <c r="I706" s="3"/>
      <c r="J706" s="2"/>
      <c r="K706" s="3"/>
      <c r="L706" s="3"/>
      <c r="M706" s="877"/>
      <c r="N706" s="869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</row>
    <row r="707" spans="1:192" ht="13">
      <c r="A707" s="2"/>
      <c r="B707" s="869"/>
      <c r="C707" s="869"/>
      <c r="D707" s="3"/>
      <c r="E707" s="3"/>
      <c r="F707" s="3"/>
      <c r="G707" s="2"/>
      <c r="H707" s="3"/>
      <c r="I707" s="3"/>
      <c r="J707" s="2"/>
      <c r="K707" s="3"/>
      <c r="L707" s="3"/>
      <c r="M707" s="877"/>
      <c r="N707" s="869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</row>
    <row r="708" spans="1:192" ht="13">
      <c r="A708" s="2"/>
      <c r="B708" s="869"/>
      <c r="C708" s="869"/>
      <c r="D708" s="3"/>
      <c r="E708" s="3"/>
      <c r="F708" s="3"/>
      <c r="G708" s="2"/>
      <c r="H708" s="3"/>
      <c r="I708" s="3"/>
      <c r="J708" s="2"/>
      <c r="K708" s="3"/>
      <c r="L708" s="3"/>
      <c r="M708" s="877"/>
      <c r="N708" s="869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</row>
    <row r="709" spans="1:192" ht="13">
      <c r="A709" s="2"/>
      <c r="B709" s="869"/>
      <c r="C709" s="869"/>
      <c r="D709" s="3"/>
      <c r="E709" s="3"/>
      <c r="F709" s="3"/>
      <c r="G709" s="2"/>
      <c r="H709" s="3"/>
      <c r="I709" s="3"/>
      <c r="J709" s="2"/>
      <c r="K709" s="3"/>
      <c r="L709" s="3"/>
      <c r="M709" s="877"/>
      <c r="N709" s="869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</row>
    <row r="710" spans="1:192" ht="13">
      <c r="A710" s="2"/>
      <c r="B710" s="869"/>
      <c r="C710" s="869"/>
      <c r="D710" s="3"/>
      <c r="E710" s="3"/>
      <c r="F710" s="3"/>
      <c r="G710" s="2"/>
      <c r="H710" s="3"/>
      <c r="I710" s="3"/>
      <c r="J710" s="2"/>
      <c r="K710" s="3"/>
      <c r="L710" s="3"/>
      <c r="M710" s="877"/>
      <c r="N710" s="869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</row>
    <row r="711" spans="1:192" ht="13">
      <c r="A711" s="2"/>
      <c r="B711" s="869"/>
      <c r="C711" s="869"/>
      <c r="D711" s="3"/>
      <c r="E711" s="3"/>
      <c r="F711" s="3"/>
      <c r="G711" s="2"/>
      <c r="H711" s="3"/>
      <c r="I711" s="3"/>
      <c r="J711" s="2"/>
      <c r="K711" s="3"/>
      <c r="L711" s="3"/>
      <c r="M711" s="877"/>
      <c r="N711" s="869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</row>
    <row r="712" spans="1:192" ht="13">
      <c r="A712" s="2"/>
      <c r="B712" s="869"/>
      <c r="C712" s="869"/>
      <c r="D712" s="3"/>
      <c r="E712" s="3"/>
      <c r="F712" s="3"/>
      <c r="G712" s="2"/>
      <c r="H712" s="3"/>
      <c r="I712" s="3"/>
      <c r="J712" s="2"/>
      <c r="K712" s="3"/>
      <c r="L712" s="3"/>
      <c r="M712" s="877"/>
      <c r="N712" s="869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</row>
    <row r="713" spans="1:192" ht="13">
      <c r="A713" s="2"/>
      <c r="B713" s="869"/>
      <c r="C713" s="869"/>
      <c r="D713" s="3"/>
      <c r="E713" s="3"/>
      <c r="F713" s="3"/>
      <c r="G713" s="2"/>
      <c r="H713" s="3"/>
      <c r="I713" s="3"/>
      <c r="J713" s="2"/>
      <c r="K713" s="3"/>
      <c r="L713" s="3"/>
      <c r="M713" s="877"/>
      <c r="N713" s="869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</row>
    <row r="714" spans="1:192" ht="13">
      <c r="A714" s="2"/>
      <c r="B714" s="869"/>
      <c r="C714" s="869"/>
      <c r="D714" s="3"/>
      <c r="E714" s="3"/>
      <c r="F714" s="3"/>
      <c r="G714" s="2"/>
      <c r="H714" s="3"/>
      <c r="I714" s="3"/>
      <c r="J714" s="2"/>
      <c r="K714" s="3"/>
      <c r="L714" s="3"/>
      <c r="M714" s="877"/>
      <c r="N714" s="869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</row>
    <row r="715" spans="1:192" ht="13">
      <c r="A715" s="2"/>
      <c r="B715" s="869"/>
      <c r="C715" s="869"/>
      <c r="D715" s="3"/>
      <c r="E715" s="3"/>
      <c r="F715" s="3"/>
      <c r="G715" s="2"/>
      <c r="H715" s="3"/>
      <c r="I715" s="3"/>
      <c r="J715" s="2"/>
      <c r="K715" s="3"/>
      <c r="L715" s="3"/>
      <c r="M715" s="877"/>
      <c r="N715" s="869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</row>
    <row r="716" spans="1:192" ht="13">
      <c r="A716" s="2"/>
      <c r="B716" s="869"/>
      <c r="C716" s="869"/>
      <c r="D716" s="3"/>
      <c r="E716" s="3"/>
      <c r="F716" s="3"/>
      <c r="G716" s="2"/>
      <c r="H716" s="3"/>
      <c r="I716" s="3"/>
      <c r="J716" s="2"/>
      <c r="K716" s="3"/>
      <c r="L716" s="3"/>
      <c r="M716" s="877"/>
      <c r="N716" s="869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</row>
    <row r="717" spans="1:192" ht="13">
      <c r="A717" s="2"/>
      <c r="B717" s="869"/>
      <c r="C717" s="869"/>
      <c r="D717" s="3"/>
      <c r="E717" s="3"/>
      <c r="F717" s="3"/>
      <c r="G717" s="2"/>
      <c r="H717" s="3"/>
      <c r="I717" s="3"/>
      <c r="J717" s="2"/>
      <c r="K717" s="3"/>
      <c r="L717" s="3"/>
      <c r="M717" s="877"/>
      <c r="N717" s="869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</row>
    <row r="718" spans="1:192" ht="13">
      <c r="A718" s="2"/>
      <c r="B718" s="869"/>
      <c r="C718" s="869"/>
      <c r="D718" s="3"/>
      <c r="E718" s="3"/>
      <c r="F718" s="3"/>
      <c r="G718" s="2"/>
      <c r="H718" s="3"/>
      <c r="I718" s="3"/>
      <c r="J718" s="2"/>
      <c r="K718" s="3"/>
      <c r="L718" s="3"/>
      <c r="M718" s="877"/>
      <c r="N718" s="869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</row>
    <row r="719" spans="1:192" ht="13">
      <c r="A719" s="2"/>
      <c r="B719" s="869"/>
      <c r="C719" s="869"/>
      <c r="D719" s="3"/>
      <c r="E719" s="3"/>
      <c r="F719" s="3"/>
      <c r="G719" s="2"/>
      <c r="H719" s="3"/>
      <c r="I719" s="3"/>
      <c r="J719" s="2"/>
      <c r="K719" s="3"/>
      <c r="L719" s="3"/>
      <c r="M719" s="877"/>
      <c r="N719" s="869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</row>
    <row r="720" spans="1:192" ht="13">
      <c r="A720" s="2"/>
      <c r="B720" s="869"/>
      <c r="C720" s="869"/>
      <c r="D720" s="3"/>
      <c r="E720" s="3"/>
      <c r="F720" s="3"/>
      <c r="G720" s="2"/>
      <c r="H720" s="3"/>
      <c r="I720" s="3"/>
      <c r="J720" s="2"/>
      <c r="K720" s="3"/>
      <c r="L720" s="3"/>
      <c r="M720" s="877"/>
      <c r="N720" s="869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</row>
    <row r="721" spans="1:192" ht="13">
      <c r="A721" s="2"/>
      <c r="B721" s="869"/>
      <c r="C721" s="869"/>
      <c r="D721" s="3"/>
      <c r="E721" s="3"/>
      <c r="F721" s="3"/>
      <c r="G721" s="2"/>
      <c r="H721" s="3"/>
      <c r="I721" s="3"/>
      <c r="J721" s="2"/>
      <c r="K721" s="3"/>
      <c r="L721" s="3"/>
      <c r="M721" s="877"/>
      <c r="N721" s="869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</row>
    <row r="722" spans="1:192" ht="13">
      <c r="A722" s="2"/>
      <c r="B722" s="869"/>
      <c r="C722" s="869"/>
      <c r="D722" s="3"/>
      <c r="E722" s="3"/>
      <c r="F722" s="3"/>
      <c r="G722" s="2"/>
      <c r="H722" s="3"/>
      <c r="I722" s="3"/>
      <c r="J722" s="2"/>
      <c r="K722" s="3"/>
      <c r="L722" s="3"/>
      <c r="M722" s="877"/>
      <c r="N722" s="869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</row>
    <row r="723" spans="1:192" ht="13">
      <c r="A723" s="2"/>
      <c r="B723" s="869"/>
      <c r="C723" s="869"/>
      <c r="D723" s="3"/>
      <c r="E723" s="3"/>
      <c r="F723" s="3"/>
      <c r="G723" s="2"/>
      <c r="H723" s="3"/>
      <c r="I723" s="3"/>
      <c r="J723" s="2"/>
      <c r="K723" s="3"/>
      <c r="L723" s="3"/>
      <c r="M723" s="877"/>
      <c r="N723" s="869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</row>
    <row r="724" spans="1:192" ht="13">
      <c r="A724" s="2"/>
      <c r="B724" s="869"/>
      <c r="C724" s="869"/>
      <c r="D724" s="3"/>
      <c r="E724" s="3"/>
      <c r="F724" s="3"/>
      <c r="G724" s="2"/>
      <c r="H724" s="3"/>
      <c r="I724" s="3"/>
      <c r="J724" s="2"/>
      <c r="K724" s="3"/>
      <c r="L724" s="3"/>
      <c r="M724" s="877"/>
      <c r="N724" s="869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</row>
    <row r="725" spans="1:192" ht="13">
      <c r="A725" s="2"/>
      <c r="B725" s="869"/>
      <c r="C725" s="869"/>
      <c r="D725" s="3"/>
      <c r="E725" s="3"/>
      <c r="F725" s="3"/>
      <c r="G725" s="2"/>
      <c r="H725" s="3"/>
      <c r="I725" s="3"/>
      <c r="J725" s="2"/>
      <c r="K725" s="3"/>
      <c r="L725" s="3"/>
      <c r="M725" s="877"/>
      <c r="N725" s="869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</row>
    <row r="726" spans="1:192" ht="13">
      <c r="A726" s="2"/>
      <c r="B726" s="869"/>
      <c r="C726" s="869"/>
      <c r="D726" s="3"/>
      <c r="E726" s="3"/>
      <c r="F726" s="3"/>
      <c r="G726" s="2"/>
      <c r="H726" s="3"/>
      <c r="I726" s="3"/>
      <c r="J726" s="2"/>
      <c r="K726" s="3"/>
      <c r="L726" s="3"/>
      <c r="M726" s="877"/>
      <c r="N726" s="869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</row>
    <row r="727" spans="1:192" ht="13">
      <c r="A727" s="2"/>
      <c r="B727" s="869"/>
      <c r="C727" s="869"/>
      <c r="D727" s="3"/>
      <c r="E727" s="3"/>
      <c r="F727" s="3"/>
      <c r="G727" s="2"/>
      <c r="H727" s="3"/>
      <c r="I727" s="3"/>
      <c r="J727" s="2"/>
      <c r="K727" s="3"/>
      <c r="L727" s="3"/>
      <c r="M727" s="877"/>
      <c r="N727" s="869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</row>
    <row r="728" spans="1:192" ht="13">
      <c r="A728" s="2"/>
      <c r="B728" s="869"/>
      <c r="C728" s="869"/>
      <c r="D728" s="3"/>
      <c r="E728" s="3"/>
      <c r="F728" s="3"/>
      <c r="G728" s="2"/>
      <c r="H728" s="3"/>
      <c r="I728" s="3"/>
      <c r="J728" s="2"/>
      <c r="K728" s="3"/>
      <c r="L728" s="3"/>
      <c r="M728" s="877"/>
      <c r="N728" s="869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</row>
    <row r="729" spans="1:192" ht="13">
      <c r="A729" s="2"/>
      <c r="B729" s="869"/>
      <c r="C729" s="869"/>
      <c r="D729" s="3"/>
      <c r="E729" s="3"/>
      <c r="F729" s="3"/>
      <c r="G729" s="2"/>
      <c r="H729" s="3"/>
      <c r="I729" s="3"/>
      <c r="J729" s="2"/>
      <c r="K729" s="3"/>
      <c r="L729" s="3"/>
      <c r="M729" s="877"/>
      <c r="N729" s="869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</row>
    <row r="730" spans="1:192" ht="13">
      <c r="A730" s="2"/>
      <c r="B730" s="869"/>
      <c r="C730" s="869"/>
      <c r="D730" s="3"/>
      <c r="E730" s="3"/>
      <c r="F730" s="3"/>
      <c r="G730" s="2"/>
      <c r="H730" s="3"/>
      <c r="I730" s="3"/>
      <c r="J730" s="2"/>
      <c r="K730" s="3"/>
      <c r="L730" s="3"/>
      <c r="M730" s="877"/>
      <c r="N730" s="869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</row>
    <row r="731" spans="1:192" ht="13">
      <c r="A731" s="2"/>
      <c r="B731" s="869"/>
      <c r="C731" s="869"/>
      <c r="D731" s="3"/>
      <c r="E731" s="3"/>
      <c r="F731" s="3"/>
      <c r="G731" s="2"/>
      <c r="H731" s="3"/>
      <c r="I731" s="3"/>
      <c r="J731" s="2"/>
      <c r="K731" s="3"/>
      <c r="L731" s="3"/>
      <c r="M731" s="877"/>
      <c r="N731" s="869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</row>
    <row r="732" spans="1:192" ht="13">
      <c r="A732" s="2"/>
      <c r="B732" s="869"/>
      <c r="C732" s="869"/>
      <c r="D732" s="3"/>
      <c r="E732" s="3"/>
      <c r="F732" s="3"/>
      <c r="G732" s="2"/>
      <c r="H732" s="3"/>
      <c r="I732" s="3"/>
      <c r="J732" s="2"/>
      <c r="K732" s="3"/>
      <c r="L732" s="3"/>
      <c r="M732" s="877"/>
      <c r="N732" s="869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</row>
    <row r="733" spans="1:192" ht="13">
      <c r="A733" s="2"/>
      <c r="B733" s="869"/>
      <c r="C733" s="869"/>
      <c r="D733" s="3"/>
      <c r="E733" s="3"/>
      <c r="F733" s="3"/>
      <c r="G733" s="2"/>
      <c r="H733" s="3"/>
      <c r="I733" s="3"/>
      <c r="J733" s="2"/>
      <c r="K733" s="3"/>
      <c r="L733" s="3"/>
      <c r="M733" s="877"/>
      <c r="N733" s="869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</row>
    <row r="734" spans="1:192" ht="13">
      <c r="A734" s="2"/>
      <c r="B734" s="869"/>
      <c r="C734" s="869"/>
      <c r="D734" s="3"/>
      <c r="E734" s="3"/>
      <c r="F734" s="3"/>
      <c r="G734" s="2"/>
      <c r="H734" s="3"/>
      <c r="I734" s="3"/>
      <c r="J734" s="2"/>
      <c r="K734" s="3"/>
      <c r="L734" s="3"/>
      <c r="M734" s="877"/>
      <c r="N734" s="869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</row>
    <row r="735" spans="1:192" ht="13">
      <c r="A735" s="2"/>
      <c r="B735" s="869"/>
      <c r="C735" s="869"/>
      <c r="D735" s="3"/>
      <c r="E735" s="3"/>
      <c r="F735" s="3"/>
      <c r="G735" s="2"/>
      <c r="H735" s="3"/>
      <c r="I735" s="3"/>
      <c r="J735" s="2"/>
      <c r="K735" s="3"/>
      <c r="L735" s="3"/>
      <c r="M735" s="877"/>
      <c r="N735" s="869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</row>
    <row r="736" spans="1:192" ht="13">
      <c r="A736" s="2"/>
      <c r="B736" s="869"/>
      <c r="C736" s="869"/>
      <c r="D736" s="3"/>
      <c r="E736" s="3"/>
      <c r="F736" s="3"/>
      <c r="G736" s="2"/>
      <c r="H736" s="3"/>
      <c r="I736" s="3"/>
      <c r="J736" s="2"/>
      <c r="K736" s="3"/>
      <c r="L736" s="3"/>
      <c r="M736" s="877"/>
      <c r="N736" s="869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</row>
    <row r="737" spans="1:192" ht="13">
      <c r="A737" s="2"/>
      <c r="B737" s="869"/>
      <c r="C737" s="869"/>
      <c r="D737" s="3"/>
      <c r="E737" s="3"/>
      <c r="F737" s="3"/>
      <c r="G737" s="2"/>
      <c r="H737" s="3"/>
      <c r="I737" s="3"/>
      <c r="J737" s="2"/>
      <c r="K737" s="3"/>
      <c r="L737" s="3"/>
      <c r="M737" s="877"/>
      <c r="N737" s="869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</row>
    <row r="738" spans="1:192" ht="13">
      <c r="A738" s="2"/>
      <c r="B738" s="869"/>
      <c r="C738" s="869"/>
      <c r="D738" s="3"/>
      <c r="E738" s="3"/>
      <c r="F738" s="3"/>
      <c r="G738" s="2"/>
      <c r="H738" s="3"/>
      <c r="I738" s="3"/>
      <c r="J738" s="2"/>
      <c r="K738" s="3"/>
      <c r="L738" s="3"/>
      <c r="M738" s="877"/>
      <c r="N738" s="869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</row>
    <row r="739" spans="1:192" ht="13">
      <c r="A739" s="2"/>
      <c r="B739" s="869"/>
      <c r="C739" s="869"/>
      <c r="D739" s="3"/>
      <c r="E739" s="3"/>
      <c r="F739" s="3"/>
      <c r="G739" s="2"/>
      <c r="H739" s="3"/>
      <c r="I739" s="3"/>
      <c r="J739" s="2"/>
      <c r="K739" s="3"/>
      <c r="L739" s="3"/>
      <c r="M739" s="877"/>
      <c r="N739" s="869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</row>
    <row r="740" spans="1:192" ht="13">
      <c r="A740" s="2"/>
      <c r="B740" s="869"/>
      <c r="C740" s="869"/>
      <c r="D740" s="3"/>
      <c r="E740" s="3"/>
      <c r="F740" s="3"/>
      <c r="G740" s="2"/>
      <c r="H740" s="3"/>
      <c r="I740" s="3"/>
      <c r="J740" s="2"/>
      <c r="K740" s="3"/>
      <c r="L740" s="3"/>
      <c r="M740" s="877"/>
      <c r="N740" s="869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</row>
    <row r="741" spans="1:192" ht="13">
      <c r="A741" s="2"/>
      <c r="B741" s="869"/>
      <c r="C741" s="869"/>
      <c r="D741" s="3"/>
      <c r="E741" s="3"/>
      <c r="F741" s="3"/>
      <c r="G741" s="2"/>
      <c r="H741" s="3"/>
      <c r="I741" s="3"/>
      <c r="J741" s="2"/>
      <c r="K741" s="3"/>
      <c r="L741" s="3"/>
      <c r="M741" s="877"/>
      <c r="N741" s="869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</row>
    <row r="742" spans="1:192" ht="13">
      <c r="A742" s="2"/>
      <c r="B742" s="869"/>
      <c r="C742" s="869"/>
      <c r="D742" s="3"/>
      <c r="E742" s="3"/>
      <c r="F742" s="3"/>
      <c r="G742" s="2"/>
      <c r="H742" s="3"/>
      <c r="I742" s="3"/>
      <c r="J742" s="2"/>
      <c r="K742" s="3"/>
      <c r="L742" s="3"/>
      <c r="M742" s="877"/>
      <c r="N742" s="869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</row>
    <row r="743" spans="1:192" ht="13">
      <c r="A743" s="2"/>
      <c r="B743" s="869"/>
      <c r="C743" s="869"/>
      <c r="D743" s="3"/>
      <c r="E743" s="3"/>
      <c r="F743" s="3"/>
      <c r="G743" s="2"/>
      <c r="H743" s="3"/>
      <c r="I743" s="3"/>
      <c r="J743" s="2"/>
      <c r="K743" s="3"/>
      <c r="L743" s="3"/>
      <c r="M743" s="877"/>
      <c r="N743" s="869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</row>
    <row r="744" spans="1:192" ht="13">
      <c r="A744" s="2"/>
      <c r="B744" s="869"/>
      <c r="C744" s="869"/>
      <c r="D744" s="3"/>
      <c r="E744" s="3"/>
      <c r="F744" s="3"/>
      <c r="G744" s="2"/>
      <c r="H744" s="3"/>
      <c r="I744" s="3"/>
      <c r="J744" s="2"/>
      <c r="K744" s="3"/>
      <c r="L744" s="3"/>
      <c r="M744" s="877"/>
      <c r="N744" s="869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</row>
    <row r="745" spans="1:192" ht="13">
      <c r="A745" s="2"/>
      <c r="B745" s="869"/>
      <c r="C745" s="869"/>
      <c r="D745" s="3"/>
      <c r="E745" s="3"/>
      <c r="F745" s="3"/>
      <c r="G745" s="2"/>
      <c r="H745" s="3"/>
      <c r="I745" s="3"/>
      <c r="J745" s="2"/>
      <c r="K745" s="3"/>
      <c r="L745" s="3"/>
      <c r="M745" s="877"/>
      <c r="N745" s="869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</row>
    <row r="746" spans="1:192" ht="13">
      <c r="A746" s="2"/>
      <c r="B746" s="869"/>
      <c r="C746" s="869"/>
      <c r="D746" s="3"/>
      <c r="E746" s="3"/>
      <c r="F746" s="3"/>
      <c r="G746" s="2"/>
      <c r="H746" s="3"/>
      <c r="I746" s="3"/>
      <c r="J746" s="2"/>
      <c r="K746" s="3"/>
      <c r="L746" s="3"/>
      <c r="M746" s="877"/>
      <c r="N746" s="869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</row>
    <row r="747" spans="1:192" ht="13">
      <c r="B747" s="882"/>
      <c r="C747" s="882"/>
      <c r="D747" s="883"/>
      <c r="E747" s="883"/>
      <c r="F747" s="883"/>
      <c r="H747" s="883"/>
      <c r="I747" s="883"/>
      <c r="K747" s="883"/>
      <c r="L747" s="883"/>
      <c r="M747" s="884"/>
      <c r="N747" s="882"/>
    </row>
    <row r="748" spans="1:192" ht="13">
      <c r="B748" s="882"/>
      <c r="C748" s="882"/>
      <c r="D748" s="883"/>
      <c r="E748" s="883"/>
      <c r="F748" s="883"/>
      <c r="H748" s="883"/>
      <c r="I748" s="883"/>
      <c r="K748" s="883"/>
      <c r="L748" s="883"/>
      <c r="M748" s="884"/>
      <c r="N748" s="882"/>
    </row>
    <row r="749" spans="1:192" ht="13">
      <c r="B749" s="882"/>
      <c r="C749" s="882"/>
      <c r="D749" s="883"/>
      <c r="E749" s="883"/>
      <c r="F749" s="883"/>
      <c r="H749" s="883"/>
      <c r="I749" s="883"/>
      <c r="K749" s="883"/>
      <c r="L749" s="883"/>
      <c r="M749" s="884"/>
      <c r="N749" s="882"/>
    </row>
    <row r="750" spans="1:192" ht="13">
      <c r="B750" s="882"/>
      <c r="C750" s="882"/>
      <c r="D750" s="883"/>
      <c r="E750" s="883"/>
      <c r="F750" s="883"/>
      <c r="H750" s="883"/>
      <c r="I750" s="883"/>
      <c r="K750" s="883"/>
      <c r="L750" s="883"/>
      <c r="M750" s="884"/>
      <c r="N750" s="882"/>
    </row>
    <row r="751" spans="1:192" ht="13">
      <c r="B751" s="882"/>
      <c r="C751" s="882"/>
      <c r="D751" s="883"/>
      <c r="E751" s="883"/>
      <c r="F751" s="883"/>
      <c r="H751" s="883"/>
      <c r="I751" s="883"/>
      <c r="K751" s="883"/>
      <c r="L751" s="883"/>
      <c r="M751" s="884"/>
      <c r="N751" s="882"/>
    </row>
    <row r="752" spans="1:192" ht="13">
      <c r="B752" s="882"/>
      <c r="C752" s="882"/>
      <c r="D752" s="883"/>
      <c r="E752" s="883"/>
      <c r="F752" s="883"/>
      <c r="H752" s="883"/>
      <c r="I752" s="883"/>
      <c r="K752" s="883"/>
      <c r="L752" s="883"/>
      <c r="M752" s="884"/>
      <c r="N752" s="882"/>
    </row>
    <row r="753" spans="2:14" ht="13">
      <c r="B753" s="882"/>
      <c r="C753" s="882"/>
      <c r="D753" s="883"/>
      <c r="E753" s="883"/>
      <c r="F753" s="883"/>
      <c r="H753" s="883"/>
      <c r="I753" s="883"/>
      <c r="K753" s="883"/>
      <c r="L753" s="883"/>
      <c r="M753" s="884"/>
      <c r="N753" s="882"/>
    </row>
    <row r="754" spans="2:14" ht="13">
      <c r="B754" s="882"/>
      <c r="C754" s="882"/>
      <c r="D754" s="883"/>
      <c r="E754" s="883"/>
      <c r="F754" s="883"/>
      <c r="H754" s="883"/>
      <c r="I754" s="883"/>
      <c r="K754" s="883"/>
      <c r="L754" s="883"/>
      <c r="M754" s="884"/>
      <c r="N754" s="882"/>
    </row>
    <row r="755" spans="2:14" ht="13">
      <c r="B755" s="882"/>
      <c r="C755" s="882"/>
      <c r="D755" s="883"/>
      <c r="E755" s="883"/>
      <c r="F755" s="883"/>
      <c r="H755" s="883"/>
      <c r="I755" s="883"/>
      <c r="K755" s="883"/>
      <c r="L755" s="883"/>
      <c r="M755" s="884"/>
      <c r="N755" s="882"/>
    </row>
    <row r="756" spans="2:14" ht="13">
      <c r="B756" s="882"/>
      <c r="C756" s="882"/>
      <c r="D756" s="883"/>
      <c r="E756" s="883"/>
      <c r="F756" s="883"/>
      <c r="H756" s="883"/>
      <c r="I756" s="883"/>
      <c r="K756" s="883"/>
      <c r="L756" s="883"/>
      <c r="M756" s="884"/>
      <c r="N756" s="882"/>
    </row>
    <row r="757" spans="2:14" ht="13">
      <c r="B757" s="882"/>
      <c r="C757" s="882"/>
      <c r="D757" s="883"/>
      <c r="E757" s="883"/>
      <c r="F757" s="883"/>
      <c r="H757" s="883"/>
      <c r="I757" s="883"/>
      <c r="K757" s="883"/>
      <c r="L757" s="883"/>
      <c r="M757" s="884"/>
      <c r="N757" s="882"/>
    </row>
    <row r="758" spans="2:14" ht="13">
      <c r="B758" s="882"/>
      <c r="C758" s="882"/>
      <c r="D758" s="883"/>
      <c r="E758" s="883"/>
      <c r="F758" s="883"/>
      <c r="H758" s="883"/>
      <c r="I758" s="883"/>
      <c r="K758" s="883"/>
      <c r="L758" s="883"/>
      <c r="M758" s="884"/>
      <c r="N758" s="882"/>
    </row>
    <row r="759" spans="2:14" ht="13">
      <c r="B759" s="882"/>
      <c r="C759" s="882"/>
      <c r="D759" s="883"/>
      <c r="E759" s="883"/>
      <c r="F759" s="883"/>
      <c r="H759" s="883"/>
      <c r="I759" s="883"/>
      <c r="K759" s="883"/>
      <c r="L759" s="883"/>
      <c r="M759" s="884"/>
      <c r="N759" s="882"/>
    </row>
    <row r="760" spans="2:14" ht="13">
      <c r="B760" s="882"/>
      <c r="C760" s="882"/>
      <c r="D760" s="883"/>
      <c r="E760" s="883"/>
      <c r="F760" s="883"/>
      <c r="H760" s="883"/>
      <c r="I760" s="883"/>
      <c r="K760" s="883"/>
      <c r="L760" s="883"/>
      <c r="M760" s="884"/>
      <c r="N760" s="882"/>
    </row>
    <row r="761" spans="2:14" ht="13">
      <c r="B761" s="882"/>
      <c r="C761" s="882"/>
      <c r="D761" s="883"/>
      <c r="E761" s="883"/>
      <c r="F761" s="883"/>
      <c r="H761" s="883"/>
      <c r="I761" s="883"/>
      <c r="K761" s="883"/>
      <c r="L761" s="883"/>
      <c r="M761" s="884"/>
      <c r="N761" s="882"/>
    </row>
    <row r="762" spans="2:14" ht="13">
      <c r="B762" s="882"/>
      <c r="C762" s="882"/>
      <c r="D762" s="883"/>
      <c r="E762" s="883"/>
      <c r="F762" s="883"/>
      <c r="H762" s="883"/>
      <c r="I762" s="883"/>
      <c r="K762" s="883"/>
      <c r="L762" s="883"/>
      <c r="M762" s="884"/>
      <c r="N762" s="882"/>
    </row>
    <row r="763" spans="2:14" ht="13">
      <c r="B763" s="882"/>
      <c r="C763" s="882"/>
      <c r="D763" s="883"/>
      <c r="E763" s="883"/>
      <c r="F763" s="883"/>
      <c r="H763" s="883"/>
      <c r="I763" s="883"/>
      <c r="K763" s="883"/>
      <c r="L763" s="883"/>
      <c r="M763" s="884"/>
      <c r="N763" s="882"/>
    </row>
    <row r="764" spans="2:14" ht="13">
      <c r="B764" s="882"/>
      <c r="C764" s="882"/>
      <c r="D764" s="883"/>
      <c r="E764" s="883"/>
      <c r="F764" s="883"/>
      <c r="H764" s="883"/>
      <c r="I764" s="883"/>
      <c r="K764" s="883"/>
      <c r="L764" s="883"/>
      <c r="M764" s="884"/>
      <c r="N764" s="882"/>
    </row>
    <row r="765" spans="2:14" ht="13">
      <c r="B765" s="882"/>
      <c r="C765" s="882"/>
      <c r="D765" s="883"/>
      <c r="E765" s="883"/>
      <c r="F765" s="883"/>
      <c r="H765" s="883"/>
      <c r="I765" s="883"/>
      <c r="K765" s="883"/>
      <c r="L765" s="883"/>
      <c r="M765" s="884"/>
      <c r="N765" s="882"/>
    </row>
    <row r="766" spans="2:14" ht="13">
      <c r="B766" s="882"/>
      <c r="C766" s="882"/>
      <c r="D766" s="883"/>
      <c r="E766" s="883"/>
      <c r="F766" s="883"/>
      <c r="H766" s="883"/>
      <c r="I766" s="883"/>
      <c r="K766" s="883"/>
      <c r="L766" s="883"/>
      <c r="M766" s="884"/>
      <c r="N766" s="882"/>
    </row>
    <row r="767" spans="2:14" ht="13">
      <c r="B767" s="882"/>
      <c r="C767" s="882"/>
      <c r="D767" s="883"/>
      <c r="E767" s="883"/>
      <c r="F767" s="883"/>
      <c r="H767" s="883"/>
      <c r="I767" s="883"/>
      <c r="K767" s="883"/>
      <c r="L767" s="883"/>
      <c r="M767" s="884"/>
      <c r="N767" s="882"/>
    </row>
    <row r="768" spans="2:14" ht="13">
      <c r="B768" s="882"/>
      <c r="C768" s="882"/>
      <c r="D768" s="883"/>
      <c r="E768" s="883"/>
      <c r="F768" s="883"/>
      <c r="H768" s="883"/>
      <c r="I768" s="883"/>
      <c r="K768" s="883"/>
      <c r="L768" s="883"/>
      <c r="M768" s="884"/>
      <c r="N768" s="882"/>
    </row>
    <row r="769" spans="2:14" ht="13">
      <c r="B769" s="882"/>
      <c r="C769" s="882"/>
      <c r="D769" s="883"/>
      <c r="E769" s="883"/>
      <c r="F769" s="883"/>
      <c r="H769" s="883"/>
      <c r="I769" s="883"/>
      <c r="K769" s="883"/>
      <c r="L769" s="883"/>
      <c r="M769" s="884"/>
      <c r="N769" s="882"/>
    </row>
    <row r="770" spans="2:14" ht="13">
      <c r="B770" s="882"/>
      <c r="C770" s="882"/>
      <c r="D770" s="883"/>
      <c r="E770" s="883"/>
      <c r="F770" s="883"/>
      <c r="H770" s="883"/>
      <c r="I770" s="883"/>
      <c r="K770" s="883"/>
      <c r="L770" s="883"/>
      <c r="M770" s="884"/>
      <c r="N770" s="882"/>
    </row>
    <row r="771" spans="2:14" ht="13">
      <c r="B771" s="882"/>
      <c r="C771" s="882"/>
      <c r="D771" s="883"/>
      <c r="E771" s="883"/>
      <c r="F771" s="883"/>
      <c r="H771" s="883"/>
      <c r="I771" s="883"/>
      <c r="K771" s="883"/>
      <c r="L771" s="883"/>
      <c r="M771" s="884"/>
      <c r="N771" s="882"/>
    </row>
    <row r="772" spans="2:14" ht="13">
      <c r="B772" s="882"/>
      <c r="C772" s="882"/>
      <c r="D772" s="883"/>
      <c r="E772" s="883"/>
      <c r="F772" s="883"/>
      <c r="H772" s="883"/>
      <c r="I772" s="883"/>
      <c r="K772" s="883"/>
      <c r="L772" s="883"/>
      <c r="M772" s="884"/>
      <c r="N772" s="882"/>
    </row>
    <row r="773" spans="2:14" ht="13">
      <c r="B773" s="882"/>
      <c r="C773" s="882"/>
      <c r="D773" s="883"/>
      <c r="E773" s="883"/>
      <c r="F773" s="883"/>
      <c r="H773" s="883"/>
      <c r="I773" s="883"/>
      <c r="K773" s="883"/>
      <c r="L773" s="883"/>
      <c r="M773" s="884"/>
      <c r="N773" s="882"/>
    </row>
    <row r="774" spans="2:14" ht="13">
      <c r="B774" s="882"/>
      <c r="C774" s="882"/>
      <c r="D774" s="883"/>
      <c r="E774" s="883"/>
      <c r="F774" s="883"/>
      <c r="H774" s="883"/>
      <c r="I774" s="883"/>
      <c r="K774" s="883"/>
      <c r="L774" s="883"/>
      <c r="M774" s="884"/>
      <c r="N774" s="882"/>
    </row>
    <row r="775" spans="2:14" ht="13">
      <c r="B775" s="882"/>
      <c r="C775" s="882"/>
      <c r="D775" s="883"/>
      <c r="E775" s="883"/>
      <c r="F775" s="883"/>
      <c r="H775" s="883"/>
      <c r="I775" s="883"/>
      <c r="K775" s="883"/>
      <c r="L775" s="883"/>
      <c r="M775" s="884"/>
      <c r="N775" s="882"/>
    </row>
    <row r="776" spans="2:14" ht="13">
      <c r="B776" s="882"/>
      <c r="C776" s="882"/>
      <c r="D776" s="883"/>
      <c r="E776" s="883"/>
      <c r="F776" s="883"/>
      <c r="H776" s="883"/>
      <c r="I776" s="883"/>
      <c r="K776" s="883"/>
      <c r="L776" s="883"/>
      <c r="M776" s="884"/>
      <c r="N776" s="882"/>
    </row>
    <row r="777" spans="2:14" ht="13">
      <c r="B777" s="882"/>
      <c r="C777" s="882"/>
      <c r="D777" s="883"/>
      <c r="E777" s="883"/>
      <c r="F777" s="883"/>
      <c r="H777" s="883"/>
      <c r="I777" s="883"/>
      <c r="K777" s="883"/>
      <c r="L777" s="883"/>
      <c r="M777" s="884"/>
      <c r="N777" s="882"/>
    </row>
    <row r="778" spans="2:14" ht="13">
      <c r="B778" s="882"/>
      <c r="C778" s="882"/>
      <c r="D778" s="883"/>
      <c r="E778" s="883"/>
      <c r="F778" s="883"/>
      <c r="H778" s="883"/>
      <c r="I778" s="883"/>
      <c r="K778" s="883"/>
      <c r="L778" s="883"/>
      <c r="M778" s="884"/>
      <c r="N778" s="882"/>
    </row>
    <row r="779" spans="2:14" ht="13">
      <c r="B779" s="882"/>
      <c r="C779" s="882"/>
      <c r="D779" s="883"/>
      <c r="E779" s="883"/>
      <c r="F779" s="883"/>
      <c r="H779" s="883"/>
      <c r="I779" s="883"/>
      <c r="K779" s="883"/>
      <c r="L779" s="883"/>
      <c r="M779" s="884"/>
      <c r="N779" s="882"/>
    </row>
    <row r="780" spans="2:14" ht="13">
      <c r="B780" s="882"/>
      <c r="C780" s="882"/>
      <c r="D780" s="883"/>
      <c r="E780" s="883"/>
      <c r="F780" s="883"/>
      <c r="H780" s="883"/>
      <c r="I780" s="883"/>
      <c r="K780" s="883"/>
      <c r="L780" s="883"/>
      <c r="M780" s="884"/>
      <c r="N780" s="882"/>
    </row>
    <row r="781" spans="2:14" ht="13">
      <c r="B781" s="882"/>
      <c r="C781" s="882"/>
      <c r="D781" s="883"/>
      <c r="E781" s="883"/>
      <c r="F781" s="883"/>
      <c r="H781" s="883"/>
      <c r="I781" s="883"/>
      <c r="K781" s="883"/>
      <c r="L781" s="883"/>
      <c r="M781" s="884"/>
      <c r="N781" s="882"/>
    </row>
    <row r="782" spans="2:14" ht="13">
      <c r="B782" s="882"/>
      <c r="C782" s="882"/>
      <c r="D782" s="883"/>
      <c r="E782" s="883"/>
      <c r="F782" s="883"/>
      <c r="H782" s="883"/>
      <c r="I782" s="883"/>
      <c r="K782" s="883"/>
      <c r="L782" s="883"/>
      <c r="M782" s="884"/>
      <c r="N782" s="882"/>
    </row>
    <row r="783" spans="2:14" ht="13">
      <c r="B783" s="882"/>
      <c r="C783" s="882"/>
      <c r="D783" s="883"/>
      <c r="E783" s="883"/>
      <c r="F783" s="883"/>
      <c r="H783" s="883"/>
      <c r="I783" s="883"/>
      <c r="K783" s="883"/>
      <c r="L783" s="883"/>
      <c r="M783" s="884"/>
      <c r="N783" s="882"/>
    </row>
    <row r="784" spans="2:14" ht="13">
      <c r="B784" s="882"/>
      <c r="C784" s="882"/>
      <c r="D784" s="883"/>
      <c r="E784" s="883"/>
      <c r="F784" s="883"/>
      <c r="H784" s="883"/>
      <c r="I784" s="883"/>
      <c r="K784" s="883"/>
      <c r="L784" s="883"/>
      <c r="M784" s="884"/>
      <c r="N784" s="882"/>
    </row>
    <row r="785" spans="2:14" ht="13">
      <c r="B785" s="882"/>
      <c r="C785" s="882"/>
      <c r="D785" s="883"/>
      <c r="E785" s="883"/>
      <c r="F785" s="883"/>
      <c r="H785" s="883"/>
      <c r="I785" s="883"/>
      <c r="K785" s="883"/>
      <c r="L785" s="883"/>
      <c r="M785" s="884"/>
      <c r="N785" s="882"/>
    </row>
    <row r="786" spans="2:14" ht="13">
      <c r="B786" s="882"/>
      <c r="C786" s="882"/>
      <c r="D786" s="883"/>
      <c r="E786" s="883"/>
      <c r="F786" s="883"/>
      <c r="H786" s="883"/>
      <c r="I786" s="883"/>
      <c r="K786" s="883"/>
      <c r="L786" s="883"/>
      <c r="M786" s="884"/>
      <c r="N786" s="882"/>
    </row>
    <row r="787" spans="2:14" ht="13">
      <c r="B787" s="882"/>
      <c r="C787" s="882"/>
      <c r="D787" s="883"/>
      <c r="E787" s="883"/>
      <c r="F787" s="883"/>
      <c r="H787" s="883"/>
      <c r="I787" s="883"/>
      <c r="K787" s="883"/>
      <c r="L787" s="883"/>
      <c r="M787" s="884"/>
      <c r="N787" s="882"/>
    </row>
    <row r="788" spans="2:14" ht="13">
      <c r="B788" s="882"/>
      <c r="C788" s="882"/>
      <c r="D788" s="883"/>
      <c r="E788" s="883"/>
      <c r="F788" s="883"/>
      <c r="H788" s="883"/>
      <c r="I788" s="883"/>
      <c r="K788" s="883"/>
      <c r="L788" s="883"/>
      <c r="M788" s="884"/>
      <c r="N788" s="882"/>
    </row>
    <row r="789" spans="2:14" ht="13">
      <c r="B789" s="882"/>
      <c r="C789" s="882"/>
      <c r="D789" s="883"/>
      <c r="E789" s="883"/>
      <c r="F789" s="883"/>
      <c r="H789" s="883"/>
      <c r="I789" s="883"/>
      <c r="K789" s="883"/>
      <c r="L789" s="883"/>
      <c r="M789" s="884"/>
      <c r="N789" s="882"/>
    </row>
    <row r="790" spans="2:14" ht="13">
      <c r="B790" s="882"/>
      <c r="C790" s="882"/>
      <c r="D790" s="883"/>
      <c r="E790" s="883"/>
      <c r="F790" s="883"/>
      <c r="H790" s="883"/>
      <c r="I790" s="883"/>
      <c r="K790" s="883"/>
      <c r="L790" s="883"/>
      <c r="M790" s="884"/>
      <c r="N790" s="882"/>
    </row>
    <row r="791" spans="2:14" ht="13">
      <c r="B791" s="882"/>
      <c r="C791" s="882"/>
      <c r="D791" s="883"/>
      <c r="E791" s="883"/>
      <c r="F791" s="883"/>
      <c r="H791" s="883"/>
      <c r="I791" s="883"/>
      <c r="K791" s="883"/>
      <c r="L791" s="883"/>
      <c r="M791" s="884"/>
      <c r="N791" s="882"/>
    </row>
    <row r="792" spans="2:14" ht="13">
      <c r="B792" s="882"/>
      <c r="C792" s="882"/>
      <c r="D792" s="883"/>
      <c r="E792" s="883"/>
      <c r="F792" s="883"/>
      <c r="H792" s="883"/>
      <c r="I792" s="883"/>
      <c r="K792" s="883"/>
      <c r="L792" s="883"/>
      <c r="M792" s="884"/>
      <c r="N792" s="882"/>
    </row>
    <row r="793" spans="2:14" ht="13">
      <c r="B793" s="882"/>
      <c r="C793" s="882"/>
      <c r="D793" s="883"/>
      <c r="E793" s="883"/>
      <c r="F793" s="883"/>
      <c r="H793" s="883"/>
      <c r="I793" s="883"/>
      <c r="K793" s="883"/>
      <c r="L793" s="883"/>
      <c r="M793" s="884"/>
      <c r="N793" s="882"/>
    </row>
    <row r="794" spans="2:14" ht="13">
      <c r="B794" s="882"/>
      <c r="C794" s="882"/>
      <c r="D794" s="883"/>
      <c r="E794" s="883"/>
      <c r="F794" s="883"/>
      <c r="H794" s="883"/>
      <c r="I794" s="883"/>
      <c r="K794" s="883"/>
      <c r="L794" s="883"/>
      <c r="M794" s="884"/>
      <c r="N794" s="882"/>
    </row>
    <row r="795" spans="2:14" ht="13">
      <c r="B795" s="882"/>
      <c r="C795" s="882"/>
      <c r="D795" s="883"/>
      <c r="E795" s="883"/>
      <c r="F795" s="883"/>
      <c r="H795" s="883"/>
      <c r="I795" s="883"/>
      <c r="K795" s="883"/>
      <c r="L795" s="883"/>
      <c r="M795" s="884"/>
      <c r="N795" s="882"/>
    </row>
    <row r="796" spans="2:14" ht="13">
      <c r="B796" s="882"/>
      <c r="C796" s="882"/>
      <c r="D796" s="883"/>
      <c r="E796" s="883"/>
      <c r="F796" s="883"/>
      <c r="H796" s="883"/>
      <c r="I796" s="883"/>
      <c r="K796" s="883"/>
      <c r="L796" s="883"/>
      <c r="M796" s="884"/>
      <c r="N796" s="882"/>
    </row>
    <row r="797" spans="2:14" ht="13">
      <c r="B797" s="882"/>
      <c r="C797" s="882"/>
      <c r="D797" s="883"/>
      <c r="E797" s="883"/>
      <c r="F797" s="883"/>
      <c r="H797" s="883"/>
      <c r="I797" s="883"/>
      <c r="K797" s="883"/>
      <c r="L797" s="883"/>
      <c r="M797" s="884"/>
      <c r="N797" s="882"/>
    </row>
    <row r="798" spans="2:14" ht="13">
      <c r="B798" s="882"/>
      <c r="C798" s="882"/>
      <c r="D798" s="883"/>
      <c r="E798" s="883"/>
      <c r="F798" s="883"/>
      <c r="H798" s="883"/>
      <c r="I798" s="883"/>
      <c r="K798" s="883"/>
      <c r="L798" s="883"/>
      <c r="M798" s="884"/>
      <c r="N798" s="882"/>
    </row>
    <row r="799" spans="2:14" ht="13">
      <c r="B799" s="882"/>
      <c r="C799" s="882"/>
      <c r="D799" s="883"/>
      <c r="E799" s="883"/>
      <c r="F799" s="883"/>
      <c r="H799" s="883"/>
      <c r="I799" s="883"/>
      <c r="K799" s="883"/>
      <c r="L799" s="883"/>
      <c r="M799" s="884"/>
      <c r="N799" s="882"/>
    </row>
    <row r="800" spans="2:14" ht="13">
      <c r="B800" s="882"/>
      <c r="C800" s="882"/>
      <c r="D800" s="883"/>
      <c r="E800" s="883"/>
      <c r="F800" s="883"/>
      <c r="H800" s="883"/>
      <c r="I800" s="883"/>
      <c r="K800" s="883"/>
      <c r="L800" s="883"/>
      <c r="M800" s="884"/>
      <c r="N800" s="882"/>
    </row>
    <row r="801" spans="2:14" ht="13">
      <c r="B801" s="882"/>
      <c r="C801" s="882"/>
      <c r="D801" s="883"/>
      <c r="E801" s="883"/>
      <c r="F801" s="883"/>
      <c r="H801" s="883"/>
      <c r="I801" s="883"/>
      <c r="K801" s="883"/>
      <c r="L801" s="883"/>
      <c r="M801" s="884"/>
      <c r="N801" s="882"/>
    </row>
    <row r="802" spans="2:14" ht="13">
      <c r="B802" s="882"/>
      <c r="C802" s="882"/>
      <c r="D802" s="883"/>
      <c r="E802" s="883"/>
      <c r="F802" s="883"/>
      <c r="H802" s="883"/>
      <c r="I802" s="883"/>
      <c r="K802" s="883"/>
      <c r="L802" s="883"/>
      <c r="M802" s="884"/>
      <c r="N802" s="882"/>
    </row>
    <row r="803" spans="2:14" ht="13">
      <c r="B803" s="882"/>
      <c r="C803" s="882"/>
      <c r="D803" s="883"/>
      <c r="E803" s="883"/>
      <c r="F803" s="883"/>
      <c r="H803" s="883"/>
      <c r="I803" s="883"/>
      <c r="K803" s="883"/>
      <c r="L803" s="883"/>
      <c r="M803" s="884"/>
      <c r="N803" s="882"/>
    </row>
    <row r="804" spans="2:14" ht="13">
      <c r="B804" s="882"/>
      <c r="C804" s="882"/>
      <c r="D804" s="883"/>
      <c r="E804" s="883"/>
      <c r="F804" s="883"/>
      <c r="H804" s="883"/>
      <c r="I804" s="883"/>
      <c r="K804" s="883"/>
      <c r="L804" s="883"/>
      <c r="M804" s="884"/>
      <c r="N804" s="882"/>
    </row>
    <row r="805" spans="2:14" ht="13">
      <c r="B805" s="882"/>
      <c r="C805" s="882"/>
      <c r="D805" s="883"/>
      <c r="E805" s="883"/>
      <c r="F805" s="883"/>
      <c r="H805" s="883"/>
      <c r="I805" s="883"/>
      <c r="K805" s="883"/>
      <c r="L805" s="883"/>
      <c r="M805" s="884"/>
      <c r="N805" s="882"/>
    </row>
    <row r="806" spans="2:14" ht="13">
      <c r="B806" s="882"/>
      <c r="C806" s="882"/>
      <c r="D806" s="883"/>
      <c r="E806" s="883"/>
      <c r="F806" s="883"/>
      <c r="H806" s="883"/>
      <c r="I806" s="883"/>
      <c r="K806" s="883"/>
      <c r="L806" s="883"/>
      <c r="M806" s="884"/>
      <c r="N806" s="882"/>
    </row>
    <row r="807" spans="2:14" ht="13">
      <c r="B807" s="882"/>
      <c r="C807" s="882"/>
      <c r="D807" s="883"/>
      <c r="E807" s="883"/>
      <c r="F807" s="883"/>
      <c r="H807" s="883"/>
      <c r="I807" s="883"/>
      <c r="K807" s="883"/>
      <c r="L807" s="883"/>
      <c r="M807" s="884"/>
      <c r="N807" s="882"/>
    </row>
    <row r="808" spans="2:14" ht="13">
      <c r="B808" s="882"/>
      <c r="C808" s="882"/>
      <c r="D808" s="883"/>
      <c r="E808" s="883"/>
      <c r="F808" s="883"/>
      <c r="H808" s="883"/>
      <c r="I808" s="883"/>
      <c r="K808" s="883"/>
      <c r="L808" s="883"/>
      <c r="M808" s="884"/>
      <c r="N808" s="882"/>
    </row>
    <row r="809" spans="2:14" ht="13">
      <c r="B809" s="882"/>
      <c r="C809" s="882"/>
      <c r="D809" s="883"/>
      <c r="E809" s="883"/>
      <c r="F809" s="883"/>
      <c r="H809" s="883"/>
      <c r="I809" s="883"/>
      <c r="K809" s="883"/>
      <c r="L809" s="883"/>
      <c r="M809" s="884"/>
      <c r="N809" s="882"/>
    </row>
    <row r="810" spans="2:14" ht="13">
      <c r="B810" s="882"/>
      <c r="C810" s="882"/>
      <c r="D810" s="883"/>
      <c r="E810" s="883"/>
      <c r="F810" s="883"/>
      <c r="H810" s="883"/>
      <c r="I810" s="883"/>
      <c r="K810" s="883"/>
      <c r="L810" s="883"/>
      <c r="M810" s="884"/>
      <c r="N810" s="882"/>
    </row>
    <row r="811" spans="2:14" ht="13">
      <c r="B811" s="882"/>
      <c r="C811" s="882"/>
      <c r="D811" s="883"/>
      <c r="E811" s="883"/>
      <c r="F811" s="883"/>
      <c r="H811" s="883"/>
      <c r="I811" s="883"/>
      <c r="K811" s="883"/>
      <c r="L811" s="883"/>
      <c r="M811" s="884"/>
      <c r="N811" s="882"/>
    </row>
    <row r="812" spans="2:14" ht="13">
      <c r="B812" s="882"/>
      <c r="C812" s="882"/>
      <c r="D812" s="883"/>
      <c r="E812" s="883"/>
      <c r="F812" s="883"/>
      <c r="H812" s="883"/>
      <c r="I812" s="883"/>
      <c r="K812" s="883"/>
      <c r="L812" s="883"/>
      <c r="M812" s="884"/>
      <c r="N812" s="882"/>
    </row>
    <row r="813" spans="2:14" ht="13">
      <c r="B813" s="882"/>
      <c r="C813" s="882"/>
      <c r="D813" s="883"/>
      <c r="E813" s="883"/>
      <c r="F813" s="883"/>
      <c r="H813" s="883"/>
      <c r="I813" s="883"/>
      <c r="K813" s="883"/>
      <c r="L813" s="883"/>
      <c r="M813" s="884"/>
      <c r="N813" s="882"/>
    </row>
    <row r="814" spans="2:14" ht="13">
      <c r="B814" s="882"/>
      <c r="C814" s="882"/>
      <c r="D814" s="883"/>
      <c r="E814" s="883"/>
      <c r="F814" s="883"/>
      <c r="H814" s="883"/>
      <c r="I814" s="883"/>
      <c r="K814" s="883"/>
      <c r="L814" s="883"/>
      <c r="M814" s="884"/>
      <c r="N814" s="882"/>
    </row>
    <row r="815" spans="2:14" ht="13">
      <c r="B815" s="882"/>
      <c r="C815" s="882"/>
      <c r="D815" s="883"/>
      <c r="E815" s="883"/>
      <c r="F815" s="883"/>
      <c r="H815" s="883"/>
      <c r="I815" s="883"/>
      <c r="K815" s="883"/>
      <c r="L815" s="883"/>
      <c r="M815" s="884"/>
      <c r="N815" s="882"/>
    </row>
    <row r="816" spans="2:14" ht="13">
      <c r="B816" s="882"/>
      <c r="C816" s="882"/>
      <c r="D816" s="883"/>
      <c r="E816" s="883"/>
      <c r="F816" s="883"/>
      <c r="H816" s="883"/>
      <c r="I816" s="883"/>
      <c r="K816" s="883"/>
      <c r="L816" s="883"/>
      <c r="M816" s="884"/>
      <c r="N816" s="882"/>
    </row>
    <row r="817" spans="2:14" ht="13">
      <c r="B817" s="882"/>
      <c r="C817" s="882"/>
      <c r="D817" s="883"/>
      <c r="E817" s="883"/>
      <c r="F817" s="883"/>
      <c r="H817" s="883"/>
      <c r="I817" s="883"/>
      <c r="K817" s="883"/>
      <c r="L817" s="883"/>
      <c r="M817" s="884"/>
      <c r="N817" s="882"/>
    </row>
    <row r="818" spans="2:14" ht="13">
      <c r="B818" s="882"/>
      <c r="C818" s="882"/>
      <c r="D818" s="883"/>
      <c r="E818" s="883"/>
      <c r="F818" s="883"/>
      <c r="H818" s="883"/>
      <c r="I818" s="883"/>
      <c r="K818" s="883"/>
      <c r="L818" s="883"/>
      <c r="M818" s="884"/>
      <c r="N818" s="882"/>
    </row>
    <row r="819" spans="2:14" ht="13">
      <c r="B819" s="882"/>
      <c r="C819" s="882"/>
      <c r="D819" s="883"/>
      <c r="E819" s="883"/>
      <c r="F819" s="883"/>
      <c r="H819" s="883"/>
      <c r="I819" s="883"/>
      <c r="K819" s="883"/>
      <c r="L819" s="883"/>
      <c r="M819" s="884"/>
      <c r="N819" s="882"/>
    </row>
    <row r="820" spans="2:14" ht="13">
      <c r="B820" s="882"/>
      <c r="C820" s="882"/>
      <c r="D820" s="883"/>
      <c r="E820" s="883"/>
      <c r="F820" s="883"/>
      <c r="H820" s="883"/>
      <c r="I820" s="883"/>
      <c r="K820" s="883"/>
      <c r="L820" s="883"/>
      <c r="M820" s="884"/>
      <c r="N820" s="882"/>
    </row>
    <row r="821" spans="2:14" ht="13">
      <c r="B821" s="882"/>
      <c r="C821" s="882"/>
      <c r="D821" s="883"/>
      <c r="E821" s="883"/>
      <c r="F821" s="883"/>
      <c r="H821" s="883"/>
      <c r="I821" s="883"/>
      <c r="K821" s="883"/>
      <c r="L821" s="883"/>
      <c r="M821" s="884"/>
      <c r="N821" s="882"/>
    </row>
    <row r="822" spans="2:14" ht="13">
      <c r="B822" s="882"/>
      <c r="C822" s="882"/>
      <c r="D822" s="883"/>
      <c r="E822" s="883"/>
      <c r="F822" s="883"/>
      <c r="H822" s="883"/>
      <c r="I822" s="883"/>
      <c r="K822" s="883"/>
      <c r="L822" s="883"/>
      <c r="M822" s="884"/>
      <c r="N822" s="882"/>
    </row>
    <row r="823" spans="2:14" ht="13">
      <c r="B823" s="882"/>
      <c r="C823" s="882"/>
      <c r="D823" s="883"/>
      <c r="E823" s="883"/>
      <c r="F823" s="883"/>
      <c r="H823" s="883"/>
      <c r="I823" s="883"/>
      <c r="K823" s="883"/>
      <c r="L823" s="883"/>
      <c r="M823" s="884"/>
      <c r="N823" s="882"/>
    </row>
    <row r="824" spans="2:14" ht="13">
      <c r="B824" s="882"/>
      <c r="C824" s="882"/>
      <c r="D824" s="883"/>
      <c r="E824" s="883"/>
      <c r="F824" s="883"/>
      <c r="H824" s="883"/>
      <c r="I824" s="883"/>
      <c r="K824" s="883"/>
      <c r="L824" s="883"/>
      <c r="M824" s="884"/>
      <c r="N824" s="882"/>
    </row>
    <row r="825" spans="2:14" ht="13">
      <c r="B825" s="882"/>
      <c r="C825" s="882"/>
      <c r="D825" s="883"/>
      <c r="E825" s="883"/>
      <c r="F825" s="883"/>
      <c r="H825" s="883"/>
      <c r="I825" s="883"/>
      <c r="K825" s="883"/>
      <c r="L825" s="883"/>
      <c r="M825" s="884"/>
      <c r="N825" s="882"/>
    </row>
    <row r="826" spans="2:14" ht="13">
      <c r="B826" s="882"/>
      <c r="C826" s="882"/>
      <c r="D826" s="883"/>
      <c r="E826" s="883"/>
      <c r="F826" s="883"/>
      <c r="H826" s="883"/>
      <c r="I826" s="883"/>
      <c r="K826" s="883"/>
      <c r="L826" s="883"/>
      <c r="M826" s="884"/>
      <c r="N826" s="882"/>
    </row>
    <row r="827" spans="2:14" ht="13">
      <c r="B827" s="882"/>
      <c r="C827" s="882"/>
      <c r="D827" s="883"/>
      <c r="E827" s="883"/>
      <c r="F827" s="883"/>
      <c r="H827" s="883"/>
      <c r="I827" s="883"/>
      <c r="K827" s="883"/>
      <c r="L827" s="883"/>
      <c r="M827" s="884"/>
      <c r="N827" s="882"/>
    </row>
    <row r="828" spans="2:14" ht="13">
      <c r="B828" s="882"/>
      <c r="C828" s="882"/>
      <c r="D828" s="883"/>
      <c r="E828" s="883"/>
      <c r="F828" s="883"/>
      <c r="H828" s="883"/>
      <c r="I828" s="883"/>
      <c r="K828" s="883"/>
      <c r="L828" s="883"/>
      <c r="M828" s="884"/>
      <c r="N828" s="882"/>
    </row>
    <row r="829" spans="2:14" ht="13">
      <c r="B829" s="882"/>
      <c r="C829" s="882"/>
      <c r="D829" s="883"/>
      <c r="E829" s="883"/>
      <c r="F829" s="883"/>
      <c r="H829" s="883"/>
      <c r="I829" s="883"/>
      <c r="K829" s="883"/>
      <c r="L829" s="883"/>
      <c r="M829" s="884"/>
      <c r="N829" s="882"/>
    </row>
    <row r="830" spans="2:14" ht="13">
      <c r="B830" s="882"/>
      <c r="C830" s="882"/>
      <c r="D830" s="883"/>
      <c r="E830" s="883"/>
      <c r="F830" s="883"/>
      <c r="H830" s="883"/>
      <c r="I830" s="883"/>
      <c r="K830" s="883"/>
      <c r="L830" s="883"/>
      <c r="M830" s="884"/>
      <c r="N830" s="882"/>
    </row>
    <row r="831" spans="2:14" ht="13">
      <c r="B831" s="882"/>
      <c r="C831" s="882"/>
      <c r="D831" s="883"/>
      <c r="E831" s="883"/>
      <c r="F831" s="883"/>
      <c r="H831" s="883"/>
      <c r="I831" s="883"/>
      <c r="K831" s="883"/>
      <c r="L831" s="883"/>
      <c r="M831" s="884"/>
      <c r="N831" s="882"/>
    </row>
    <row r="832" spans="2:14" ht="13">
      <c r="B832" s="882"/>
      <c r="C832" s="882"/>
      <c r="D832" s="883"/>
      <c r="E832" s="883"/>
      <c r="F832" s="883"/>
      <c r="H832" s="883"/>
      <c r="I832" s="883"/>
      <c r="K832" s="883"/>
      <c r="L832" s="883"/>
      <c r="M832" s="884"/>
      <c r="N832" s="882"/>
    </row>
    <row r="833" spans="2:14" ht="13">
      <c r="B833" s="882"/>
      <c r="C833" s="882"/>
      <c r="D833" s="883"/>
      <c r="E833" s="883"/>
      <c r="F833" s="883"/>
      <c r="H833" s="883"/>
      <c r="I833" s="883"/>
      <c r="K833" s="883"/>
      <c r="L833" s="883"/>
      <c r="M833" s="884"/>
      <c r="N833" s="882"/>
    </row>
    <row r="834" spans="2:14" ht="13">
      <c r="B834" s="882"/>
      <c r="C834" s="882"/>
      <c r="D834" s="883"/>
      <c r="E834" s="883"/>
      <c r="F834" s="883"/>
      <c r="H834" s="883"/>
      <c r="I834" s="883"/>
      <c r="K834" s="883"/>
      <c r="L834" s="883"/>
      <c r="M834" s="884"/>
      <c r="N834" s="882"/>
    </row>
    <row r="835" spans="2:14" ht="13">
      <c r="B835" s="882"/>
      <c r="C835" s="882"/>
      <c r="D835" s="883"/>
      <c r="E835" s="883"/>
      <c r="F835" s="883"/>
      <c r="H835" s="883"/>
      <c r="I835" s="883"/>
      <c r="K835" s="883"/>
      <c r="L835" s="883"/>
      <c r="M835" s="884"/>
      <c r="N835" s="882"/>
    </row>
    <row r="836" spans="2:14" ht="13">
      <c r="B836" s="882"/>
      <c r="C836" s="882"/>
      <c r="D836" s="883"/>
      <c r="E836" s="883"/>
      <c r="F836" s="883"/>
      <c r="H836" s="883"/>
      <c r="I836" s="883"/>
      <c r="K836" s="883"/>
      <c r="L836" s="883"/>
      <c r="M836" s="884"/>
      <c r="N836" s="882"/>
    </row>
    <row r="837" spans="2:14" ht="13">
      <c r="B837" s="882"/>
      <c r="C837" s="882"/>
      <c r="D837" s="883"/>
      <c r="E837" s="883"/>
      <c r="F837" s="883"/>
      <c r="H837" s="883"/>
      <c r="I837" s="883"/>
      <c r="K837" s="883"/>
      <c r="L837" s="883"/>
      <c r="M837" s="884"/>
      <c r="N837" s="882"/>
    </row>
    <row r="838" spans="2:14" ht="13">
      <c r="B838" s="882"/>
      <c r="C838" s="882"/>
      <c r="D838" s="883"/>
      <c r="E838" s="883"/>
      <c r="F838" s="883"/>
      <c r="H838" s="883"/>
      <c r="I838" s="883"/>
      <c r="K838" s="883"/>
      <c r="L838" s="883"/>
      <c r="M838" s="884"/>
      <c r="N838" s="882"/>
    </row>
    <row r="839" spans="2:14" ht="13">
      <c r="B839" s="882"/>
      <c r="C839" s="882"/>
      <c r="D839" s="883"/>
      <c r="E839" s="883"/>
      <c r="F839" s="883"/>
      <c r="H839" s="883"/>
      <c r="I839" s="883"/>
      <c r="K839" s="883"/>
      <c r="L839" s="883"/>
      <c r="M839" s="884"/>
      <c r="N839" s="882"/>
    </row>
    <row r="840" spans="2:14" ht="13">
      <c r="B840" s="882"/>
      <c r="C840" s="882"/>
      <c r="D840" s="883"/>
      <c r="E840" s="883"/>
      <c r="F840" s="883"/>
      <c r="H840" s="883"/>
      <c r="I840" s="883"/>
      <c r="K840" s="883"/>
      <c r="L840" s="883"/>
      <c r="M840" s="884"/>
      <c r="N840" s="882"/>
    </row>
    <row r="841" spans="2:14" ht="13">
      <c r="B841" s="882"/>
      <c r="C841" s="882"/>
      <c r="D841" s="883"/>
      <c r="E841" s="883"/>
      <c r="F841" s="883"/>
      <c r="H841" s="883"/>
      <c r="I841" s="883"/>
      <c r="K841" s="883"/>
      <c r="L841" s="883"/>
      <c r="M841" s="884"/>
      <c r="N841" s="882"/>
    </row>
    <row r="842" spans="2:14" ht="13">
      <c r="B842" s="882"/>
      <c r="C842" s="882"/>
      <c r="D842" s="883"/>
      <c r="E842" s="883"/>
      <c r="F842" s="883"/>
      <c r="H842" s="883"/>
      <c r="I842" s="883"/>
      <c r="K842" s="883"/>
      <c r="L842" s="883"/>
      <c r="M842" s="884"/>
      <c r="N842" s="882"/>
    </row>
    <row r="843" spans="2:14" ht="13">
      <c r="B843" s="882"/>
      <c r="C843" s="882"/>
      <c r="D843" s="883"/>
      <c r="E843" s="883"/>
      <c r="F843" s="883"/>
      <c r="H843" s="883"/>
      <c r="I843" s="883"/>
      <c r="K843" s="883"/>
      <c r="L843" s="883"/>
      <c r="M843" s="884"/>
      <c r="N843" s="882"/>
    </row>
    <row r="844" spans="2:14" ht="13">
      <c r="B844" s="882"/>
      <c r="C844" s="882"/>
      <c r="D844" s="883"/>
      <c r="E844" s="883"/>
      <c r="F844" s="883"/>
      <c r="H844" s="883"/>
      <c r="I844" s="883"/>
      <c r="K844" s="883"/>
      <c r="L844" s="883"/>
      <c r="M844" s="884"/>
      <c r="N844" s="882"/>
    </row>
    <row r="845" spans="2:14" ht="13">
      <c r="B845" s="882"/>
      <c r="C845" s="882"/>
      <c r="D845" s="883"/>
      <c r="E845" s="883"/>
      <c r="F845" s="883"/>
      <c r="H845" s="883"/>
      <c r="I845" s="883"/>
      <c r="K845" s="883"/>
      <c r="L845" s="883"/>
      <c r="M845" s="884"/>
      <c r="N845" s="882"/>
    </row>
    <row r="846" spans="2:14" ht="13">
      <c r="B846" s="882"/>
      <c r="C846" s="882"/>
      <c r="D846" s="883"/>
      <c r="E846" s="883"/>
      <c r="F846" s="883"/>
      <c r="H846" s="883"/>
      <c r="I846" s="883"/>
      <c r="K846" s="883"/>
      <c r="L846" s="883"/>
      <c r="M846" s="884"/>
      <c r="N846" s="882"/>
    </row>
    <row r="847" spans="2:14" ht="13">
      <c r="B847" s="882"/>
      <c r="C847" s="882"/>
      <c r="D847" s="883"/>
      <c r="E847" s="883"/>
      <c r="F847" s="883"/>
      <c r="H847" s="883"/>
      <c r="I847" s="883"/>
      <c r="K847" s="883"/>
      <c r="L847" s="883"/>
      <c r="M847" s="884"/>
      <c r="N847" s="882"/>
    </row>
    <row r="848" spans="2:14" ht="13">
      <c r="B848" s="882"/>
      <c r="C848" s="882"/>
      <c r="D848" s="883"/>
      <c r="E848" s="883"/>
      <c r="F848" s="883"/>
      <c r="H848" s="883"/>
      <c r="I848" s="883"/>
      <c r="K848" s="883"/>
      <c r="L848" s="883"/>
      <c r="M848" s="884"/>
      <c r="N848" s="882"/>
    </row>
    <row r="849" spans="2:14" ht="13">
      <c r="B849" s="882"/>
      <c r="C849" s="882"/>
      <c r="D849" s="883"/>
      <c r="E849" s="883"/>
      <c r="F849" s="883"/>
      <c r="H849" s="883"/>
      <c r="I849" s="883"/>
      <c r="K849" s="883"/>
      <c r="L849" s="883"/>
      <c r="M849" s="884"/>
      <c r="N849" s="882"/>
    </row>
    <row r="850" spans="2:14" ht="13">
      <c r="B850" s="882"/>
      <c r="C850" s="882"/>
      <c r="D850" s="883"/>
      <c r="E850" s="883"/>
      <c r="F850" s="883"/>
      <c r="H850" s="883"/>
      <c r="I850" s="883"/>
      <c r="K850" s="883"/>
      <c r="L850" s="883"/>
      <c r="M850" s="884"/>
      <c r="N850" s="882"/>
    </row>
    <row r="851" spans="2:14" ht="13">
      <c r="B851" s="882"/>
      <c r="C851" s="882"/>
      <c r="D851" s="883"/>
      <c r="E851" s="883"/>
      <c r="F851" s="883"/>
      <c r="H851" s="883"/>
      <c r="I851" s="883"/>
      <c r="K851" s="883"/>
      <c r="L851" s="883"/>
      <c r="M851" s="884"/>
      <c r="N851" s="882"/>
    </row>
    <row r="852" spans="2:14" ht="13">
      <c r="B852" s="882"/>
      <c r="C852" s="882"/>
      <c r="D852" s="883"/>
      <c r="E852" s="883"/>
      <c r="F852" s="883"/>
      <c r="H852" s="883"/>
      <c r="I852" s="883"/>
      <c r="K852" s="883"/>
      <c r="L852" s="883"/>
      <c r="M852" s="884"/>
      <c r="N852" s="882"/>
    </row>
    <row r="853" spans="2:14" ht="13">
      <c r="B853" s="882"/>
      <c r="C853" s="882"/>
      <c r="D853" s="883"/>
      <c r="E853" s="883"/>
      <c r="F853" s="883"/>
      <c r="H853" s="883"/>
      <c r="I853" s="883"/>
      <c r="K853" s="883"/>
      <c r="L853" s="883"/>
      <c r="M853" s="884"/>
      <c r="N853" s="882"/>
    </row>
    <row r="854" spans="2:14" ht="13">
      <c r="B854" s="882"/>
      <c r="C854" s="882"/>
      <c r="D854" s="883"/>
      <c r="E854" s="883"/>
      <c r="F854" s="883"/>
      <c r="H854" s="883"/>
      <c r="I854" s="883"/>
      <c r="K854" s="883"/>
      <c r="L854" s="883"/>
      <c r="M854" s="884"/>
      <c r="N854" s="882"/>
    </row>
    <row r="855" spans="2:14" ht="13">
      <c r="B855" s="882"/>
      <c r="C855" s="882"/>
      <c r="D855" s="883"/>
      <c r="E855" s="883"/>
      <c r="F855" s="883"/>
      <c r="H855" s="883"/>
      <c r="I855" s="883"/>
      <c r="K855" s="883"/>
      <c r="L855" s="883"/>
      <c r="M855" s="884"/>
      <c r="N855" s="882"/>
    </row>
    <row r="856" spans="2:14" ht="13">
      <c r="B856" s="882"/>
      <c r="C856" s="882"/>
      <c r="D856" s="883"/>
      <c r="E856" s="883"/>
      <c r="F856" s="883"/>
      <c r="H856" s="883"/>
      <c r="I856" s="883"/>
      <c r="K856" s="883"/>
      <c r="L856" s="883"/>
      <c r="M856" s="884"/>
      <c r="N856" s="882"/>
    </row>
    <row r="857" spans="2:14" ht="13">
      <c r="B857" s="882"/>
      <c r="C857" s="882"/>
      <c r="D857" s="883"/>
      <c r="E857" s="883"/>
      <c r="F857" s="883"/>
      <c r="H857" s="883"/>
      <c r="I857" s="883"/>
      <c r="K857" s="883"/>
      <c r="L857" s="883"/>
      <c r="M857" s="884"/>
      <c r="N857" s="882"/>
    </row>
    <row r="858" spans="2:14" ht="13">
      <c r="B858" s="882"/>
      <c r="C858" s="882"/>
      <c r="D858" s="883"/>
      <c r="E858" s="883"/>
      <c r="F858" s="883"/>
      <c r="H858" s="883"/>
      <c r="I858" s="883"/>
      <c r="K858" s="883"/>
      <c r="L858" s="883"/>
      <c r="M858" s="884"/>
      <c r="N858" s="882"/>
    </row>
    <row r="859" spans="2:14" ht="13">
      <c r="B859" s="882"/>
      <c r="C859" s="882"/>
      <c r="D859" s="883"/>
      <c r="E859" s="883"/>
      <c r="F859" s="883"/>
      <c r="H859" s="883"/>
      <c r="I859" s="883"/>
      <c r="K859" s="883"/>
      <c r="L859" s="883"/>
      <c r="M859" s="884"/>
      <c r="N859" s="882"/>
    </row>
    <row r="860" spans="2:14" ht="13">
      <c r="B860" s="882"/>
      <c r="C860" s="882"/>
      <c r="D860" s="883"/>
      <c r="E860" s="883"/>
      <c r="F860" s="883"/>
      <c r="H860" s="883"/>
      <c r="I860" s="883"/>
      <c r="K860" s="883"/>
      <c r="L860" s="883"/>
      <c r="M860" s="884"/>
      <c r="N860" s="882"/>
    </row>
    <row r="861" spans="2:14" ht="13">
      <c r="B861" s="882"/>
      <c r="C861" s="882"/>
      <c r="D861" s="883"/>
      <c r="E861" s="883"/>
      <c r="F861" s="883"/>
      <c r="H861" s="883"/>
      <c r="I861" s="883"/>
      <c r="K861" s="883"/>
      <c r="L861" s="883"/>
      <c r="M861" s="884"/>
      <c r="N861" s="882"/>
    </row>
    <row r="862" spans="2:14" ht="13">
      <c r="B862" s="882"/>
      <c r="C862" s="882"/>
      <c r="D862" s="883"/>
      <c r="E862" s="883"/>
      <c r="F862" s="883"/>
      <c r="H862" s="883"/>
      <c r="I862" s="883"/>
      <c r="K862" s="883"/>
      <c r="L862" s="883"/>
      <c r="M862" s="884"/>
      <c r="N862" s="882"/>
    </row>
    <row r="863" spans="2:14" ht="13">
      <c r="B863" s="882"/>
      <c r="C863" s="882"/>
      <c r="D863" s="883"/>
      <c r="E863" s="883"/>
      <c r="F863" s="883"/>
      <c r="H863" s="883"/>
      <c r="I863" s="883"/>
      <c r="K863" s="883"/>
      <c r="L863" s="883"/>
      <c r="M863" s="884"/>
      <c r="N863" s="882"/>
    </row>
    <row r="864" spans="2:14" ht="13">
      <c r="B864" s="882"/>
      <c r="C864" s="882"/>
      <c r="D864" s="883"/>
      <c r="E864" s="883"/>
      <c r="F864" s="883"/>
      <c r="H864" s="883"/>
      <c r="I864" s="883"/>
      <c r="K864" s="883"/>
      <c r="L864" s="883"/>
      <c r="M864" s="884"/>
      <c r="N864" s="882"/>
    </row>
    <row r="865" spans="2:14" ht="13">
      <c r="B865" s="882"/>
      <c r="C865" s="882"/>
      <c r="D865" s="883"/>
      <c r="E865" s="883"/>
      <c r="F865" s="883"/>
      <c r="H865" s="883"/>
      <c r="I865" s="883"/>
      <c r="K865" s="883"/>
      <c r="L865" s="883"/>
      <c r="M865" s="884"/>
      <c r="N865" s="882"/>
    </row>
    <row r="866" spans="2:14" ht="13">
      <c r="B866" s="882"/>
      <c r="C866" s="882"/>
      <c r="D866" s="883"/>
      <c r="E866" s="883"/>
      <c r="F866" s="883"/>
      <c r="H866" s="883"/>
      <c r="I866" s="883"/>
      <c r="K866" s="883"/>
      <c r="L866" s="883"/>
      <c r="M866" s="884"/>
      <c r="N866" s="882"/>
    </row>
    <row r="867" spans="2:14" ht="13">
      <c r="B867" s="882"/>
      <c r="C867" s="882"/>
      <c r="D867" s="883"/>
      <c r="E867" s="883"/>
      <c r="F867" s="883"/>
      <c r="H867" s="883"/>
      <c r="I867" s="883"/>
      <c r="K867" s="883"/>
      <c r="L867" s="883"/>
      <c r="M867" s="884"/>
      <c r="N867" s="882"/>
    </row>
    <row r="868" spans="2:14" ht="13">
      <c r="B868" s="882"/>
      <c r="C868" s="882"/>
      <c r="D868" s="883"/>
      <c r="E868" s="883"/>
      <c r="F868" s="883"/>
      <c r="H868" s="883"/>
      <c r="I868" s="883"/>
      <c r="K868" s="883"/>
      <c r="L868" s="883"/>
      <c r="M868" s="884"/>
      <c r="N868" s="882"/>
    </row>
    <row r="869" spans="2:14" ht="13">
      <c r="B869" s="882"/>
      <c r="C869" s="882"/>
      <c r="D869" s="883"/>
      <c r="E869" s="883"/>
      <c r="F869" s="883"/>
      <c r="H869" s="883"/>
      <c r="I869" s="883"/>
      <c r="K869" s="883"/>
      <c r="L869" s="883"/>
      <c r="M869" s="884"/>
      <c r="N869" s="882"/>
    </row>
    <row r="870" spans="2:14" ht="13">
      <c r="B870" s="882"/>
      <c r="C870" s="882"/>
      <c r="D870" s="883"/>
      <c r="E870" s="883"/>
      <c r="F870" s="883"/>
      <c r="H870" s="883"/>
      <c r="I870" s="883"/>
      <c r="K870" s="883"/>
      <c r="L870" s="883"/>
      <c r="M870" s="884"/>
      <c r="N870" s="882"/>
    </row>
    <row r="871" spans="2:14" ht="13">
      <c r="B871" s="882"/>
      <c r="C871" s="882"/>
      <c r="D871" s="883"/>
      <c r="E871" s="883"/>
      <c r="F871" s="883"/>
      <c r="H871" s="883"/>
      <c r="I871" s="883"/>
      <c r="K871" s="883"/>
      <c r="L871" s="883"/>
      <c r="M871" s="884"/>
      <c r="N871" s="882"/>
    </row>
    <row r="872" spans="2:14" ht="13">
      <c r="B872" s="882"/>
      <c r="C872" s="882"/>
      <c r="D872" s="883"/>
      <c r="E872" s="883"/>
      <c r="F872" s="883"/>
      <c r="H872" s="883"/>
      <c r="I872" s="883"/>
      <c r="K872" s="883"/>
      <c r="L872" s="883"/>
      <c r="M872" s="884"/>
      <c r="N872" s="882"/>
    </row>
    <row r="873" spans="2:14" ht="13">
      <c r="B873" s="882"/>
      <c r="C873" s="882"/>
      <c r="D873" s="883"/>
      <c r="E873" s="883"/>
      <c r="F873" s="883"/>
      <c r="H873" s="883"/>
      <c r="I873" s="883"/>
      <c r="K873" s="883"/>
      <c r="L873" s="883"/>
      <c r="M873" s="884"/>
      <c r="N873" s="882"/>
    </row>
    <row r="874" spans="2:14" ht="13">
      <c r="B874" s="882"/>
      <c r="C874" s="882"/>
      <c r="D874" s="883"/>
      <c r="E874" s="883"/>
      <c r="F874" s="883"/>
      <c r="H874" s="883"/>
      <c r="I874" s="883"/>
      <c r="K874" s="883"/>
      <c r="L874" s="883"/>
      <c r="M874" s="884"/>
      <c r="N874" s="882"/>
    </row>
    <row r="875" spans="2:14" ht="13">
      <c r="B875" s="882"/>
      <c r="C875" s="882"/>
      <c r="D875" s="883"/>
      <c r="E875" s="883"/>
      <c r="F875" s="883"/>
      <c r="H875" s="883"/>
      <c r="I875" s="883"/>
      <c r="K875" s="883"/>
      <c r="L875" s="883"/>
      <c r="M875" s="884"/>
      <c r="N875" s="882"/>
    </row>
    <row r="876" spans="2:14" ht="13">
      <c r="B876" s="882"/>
      <c r="C876" s="882"/>
      <c r="D876" s="883"/>
      <c r="E876" s="883"/>
      <c r="F876" s="883"/>
      <c r="H876" s="883"/>
      <c r="I876" s="883"/>
      <c r="K876" s="883"/>
      <c r="L876" s="883"/>
      <c r="M876" s="884"/>
      <c r="N876" s="882"/>
    </row>
    <row r="877" spans="2:14" ht="13">
      <c r="B877" s="882"/>
      <c r="C877" s="882"/>
      <c r="D877" s="883"/>
      <c r="E877" s="883"/>
      <c r="F877" s="883"/>
      <c r="H877" s="883"/>
      <c r="I877" s="883"/>
      <c r="K877" s="883"/>
      <c r="L877" s="883"/>
      <c r="M877" s="884"/>
      <c r="N877" s="882"/>
    </row>
    <row r="878" spans="2:14" ht="13">
      <c r="B878" s="882"/>
      <c r="C878" s="882"/>
      <c r="D878" s="883"/>
      <c r="E878" s="883"/>
      <c r="F878" s="883"/>
      <c r="H878" s="883"/>
      <c r="I878" s="883"/>
      <c r="K878" s="883"/>
      <c r="L878" s="883"/>
      <c r="M878" s="884"/>
      <c r="N878" s="882"/>
    </row>
    <row r="879" spans="2:14" ht="13">
      <c r="B879" s="882"/>
      <c r="C879" s="882"/>
      <c r="D879" s="883"/>
      <c r="E879" s="883"/>
      <c r="F879" s="883"/>
      <c r="H879" s="883"/>
      <c r="I879" s="883"/>
      <c r="K879" s="883"/>
      <c r="L879" s="883"/>
      <c r="M879" s="884"/>
      <c r="N879" s="882"/>
    </row>
    <row r="880" spans="2:14" ht="13">
      <c r="B880" s="882"/>
      <c r="C880" s="882"/>
      <c r="D880" s="883"/>
      <c r="E880" s="883"/>
      <c r="F880" s="883"/>
      <c r="H880" s="883"/>
      <c r="I880" s="883"/>
      <c r="K880" s="883"/>
      <c r="L880" s="883"/>
      <c r="M880" s="884"/>
      <c r="N880" s="882"/>
    </row>
    <row r="881" spans="2:14" ht="13">
      <c r="B881" s="882"/>
      <c r="C881" s="882"/>
      <c r="D881" s="883"/>
      <c r="E881" s="883"/>
      <c r="F881" s="883"/>
      <c r="H881" s="883"/>
      <c r="I881" s="883"/>
      <c r="K881" s="883"/>
      <c r="L881" s="883"/>
      <c r="M881" s="884"/>
      <c r="N881" s="882"/>
    </row>
    <row r="882" spans="2:14" ht="13">
      <c r="B882" s="882"/>
      <c r="C882" s="882"/>
      <c r="D882" s="883"/>
      <c r="E882" s="883"/>
      <c r="F882" s="883"/>
      <c r="H882" s="883"/>
      <c r="I882" s="883"/>
      <c r="K882" s="883"/>
      <c r="L882" s="883"/>
      <c r="M882" s="884"/>
      <c r="N882" s="882"/>
    </row>
    <row r="883" spans="2:14" ht="13">
      <c r="B883" s="882"/>
      <c r="C883" s="882"/>
      <c r="D883" s="883"/>
      <c r="E883" s="883"/>
      <c r="F883" s="883"/>
      <c r="H883" s="883"/>
      <c r="I883" s="883"/>
      <c r="K883" s="883"/>
      <c r="L883" s="883"/>
      <c r="M883" s="884"/>
      <c r="N883" s="882"/>
    </row>
    <row r="884" spans="2:14" ht="13">
      <c r="B884" s="882"/>
      <c r="C884" s="882"/>
      <c r="D884" s="883"/>
      <c r="E884" s="883"/>
      <c r="F884" s="883"/>
      <c r="H884" s="883"/>
      <c r="I884" s="883"/>
      <c r="K884" s="883"/>
      <c r="L884" s="883"/>
      <c r="M884" s="884"/>
      <c r="N884" s="882"/>
    </row>
    <row r="885" spans="2:14" ht="13">
      <c r="B885" s="882"/>
      <c r="C885" s="882"/>
      <c r="D885" s="883"/>
      <c r="E885" s="883"/>
      <c r="F885" s="883"/>
      <c r="H885" s="883"/>
      <c r="I885" s="883"/>
      <c r="K885" s="883"/>
      <c r="L885" s="883"/>
      <c r="M885" s="884"/>
      <c r="N885" s="882"/>
    </row>
    <row r="886" spans="2:14" ht="13">
      <c r="B886" s="882"/>
      <c r="C886" s="882"/>
      <c r="D886" s="883"/>
      <c r="E886" s="883"/>
      <c r="F886" s="883"/>
      <c r="H886" s="883"/>
      <c r="I886" s="883"/>
      <c r="K886" s="883"/>
      <c r="L886" s="883"/>
      <c r="M886" s="884"/>
      <c r="N886" s="882"/>
    </row>
    <row r="887" spans="2:14" ht="13">
      <c r="B887" s="882"/>
      <c r="C887" s="882"/>
      <c r="D887" s="883"/>
      <c r="E887" s="883"/>
      <c r="F887" s="883"/>
      <c r="H887" s="883"/>
      <c r="I887" s="883"/>
      <c r="K887" s="883"/>
      <c r="L887" s="883"/>
      <c r="M887" s="884"/>
      <c r="N887" s="882"/>
    </row>
    <row r="888" spans="2:14" ht="13">
      <c r="B888" s="882"/>
      <c r="C888" s="882"/>
      <c r="D888" s="883"/>
      <c r="E888" s="883"/>
      <c r="F888" s="883"/>
      <c r="H888" s="883"/>
      <c r="I888" s="883"/>
      <c r="K888" s="883"/>
      <c r="L888" s="883"/>
      <c r="M888" s="884"/>
      <c r="N888" s="882"/>
    </row>
    <row r="889" spans="2:14" ht="13">
      <c r="B889" s="882"/>
      <c r="C889" s="882"/>
      <c r="D889" s="883"/>
      <c r="E889" s="883"/>
      <c r="F889" s="883"/>
      <c r="H889" s="883"/>
      <c r="I889" s="883"/>
      <c r="K889" s="883"/>
      <c r="L889" s="883"/>
      <c r="M889" s="884"/>
      <c r="N889" s="882"/>
    </row>
    <row r="890" spans="2:14" ht="13">
      <c r="B890" s="882"/>
      <c r="C890" s="882"/>
      <c r="D890" s="883"/>
      <c r="E890" s="883"/>
      <c r="F890" s="883"/>
      <c r="H890" s="883"/>
      <c r="I890" s="883"/>
      <c r="K890" s="883"/>
      <c r="L890" s="883"/>
      <c r="M890" s="884"/>
      <c r="N890" s="882"/>
    </row>
    <row r="891" spans="2:14" ht="13">
      <c r="B891" s="882"/>
      <c r="C891" s="882"/>
      <c r="D891" s="883"/>
      <c r="E891" s="883"/>
      <c r="F891" s="883"/>
      <c r="H891" s="883"/>
      <c r="I891" s="883"/>
      <c r="K891" s="883"/>
      <c r="L891" s="883"/>
      <c r="M891" s="884"/>
      <c r="N891" s="882"/>
    </row>
    <row r="892" spans="2:14" ht="13">
      <c r="B892" s="882"/>
      <c r="C892" s="882"/>
      <c r="D892" s="883"/>
      <c r="E892" s="883"/>
      <c r="F892" s="883"/>
      <c r="H892" s="883"/>
      <c r="I892" s="883"/>
      <c r="K892" s="883"/>
      <c r="L892" s="883"/>
      <c r="M892" s="884"/>
      <c r="N892" s="882"/>
    </row>
    <row r="893" spans="2:14" ht="13">
      <c r="B893" s="882"/>
      <c r="C893" s="882"/>
      <c r="D893" s="883"/>
      <c r="E893" s="883"/>
      <c r="F893" s="883"/>
      <c r="H893" s="883"/>
      <c r="I893" s="883"/>
      <c r="K893" s="883"/>
      <c r="L893" s="883"/>
      <c r="M893" s="884"/>
      <c r="N893" s="882"/>
    </row>
    <row r="894" spans="2:14" ht="13">
      <c r="B894" s="882"/>
      <c r="C894" s="882"/>
      <c r="D894" s="883"/>
      <c r="E894" s="883"/>
      <c r="F894" s="883"/>
      <c r="H894" s="883"/>
      <c r="I894" s="883"/>
      <c r="K894" s="883"/>
      <c r="L894" s="883"/>
      <c r="M894" s="884"/>
      <c r="N894" s="882"/>
    </row>
    <row r="895" spans="2:14" ht="13">
      <c r="B895" s="882"/>
      <c r="C895" s="882"/>
      <c r="D895" s="883"/>
      <c r="E895" s="883"/>
      <c r="F895" s="883"/>
      <c r="H895" s="883"/>
      <c r="I895" s="883"/>
      <c r="K895" s="883"/>
      <c r="L895" s="883"/>
      <c r="M895" s="884"/>
      <c r="N895" s="882"/>
    </row>
    <row r="896" spans="2:14" ht="13">
      <c r="B896" s="882"/>
      <c r="C896" s="882"/>
      <c r="D896" s="883"/>
      <c r="E896" s="883"/>
      <c r="F896" s="883"/>
      <c r="H896" s="883"/>
      <c r="I896" s="883"/>
      <c r="K896" s="883"/>
      <c r="L896" s="883"/>
      <c r="M896" s="884"/>
      <c r="N896" s="882"/>
    </row>
    <row r="897" spans="2:14" ht="13">
      <c r="B897" s="882"/>
      <c r="C897" s="882"/>
      <c r="D897" s="883"/>
      <c r="E897" s="883"/>
      <c r="F897" s="883"/>
      <c r="H897" s="883"/>
      <c r="I897" s="883"/>
      <c r="K897" s="883"/>
      <c r="L897" s="883"/>
      <c r="M897" s="884"/>
      <c r="N897" s="882"/>
    </row>
    <row r="898" spans="2:14" ht="13">
      <c r="B898" s="882"/>
      <c r="C898" s="882"/>
      <c r="D898" s="883"/>
      <c r="E898" s="883"/>
      <c r="F898" s="883"/>
      <c r="H898" s="883"/>
      <c r="I898" s="883"/>
      <c r="K898" s="883"/>
      <c r="L898" s="883"/>
      <c r="M898" s="884"/>
      <c r="N898" s="882"/>
    </row>
    <row r="899" spans="2:14" ht="13">
      <c r="B899" s="882"/>
      <c r="C899" s="882"/>
      <c r="D899" s="883"/>
      <c r="E899" s="883"/>
      <c r="F899" s="883"/>
      <c r="H899" s="883"/>
      <c r="I899" s="883"/>
      <c r="K899" s="883"/>
      <c r="L899" s="883"/>
      <c r="M899" s="884"/>
      <c r="N899" s="882"/>
    </row>
    <row r="900" spans="2:14" ht="13">
      <c r="B900" s="882"/>
      <c r="C900" s="882"/>
      <c r="D900" s="883"/>
      <c r="E900" s="883"/>
      <c r="F900" s="883"/>
      <c r="H900" s="883"/>
      <c r="I900" s="883"/>
      <c r="K900" s="883"/>
      <c r="L900" s="883"/>
      <c r="M900" s="884"/>
      <c r="N900" s="882"/>
    </row>
    <row r="901" spans="2:14" ht="13">
      <c r="B901" s="882"/>
      <c r="C901" s="882"/>
      <c r="D901" s="883"/>
      <c r="E901" s="883"/>
      <c r="F901" s="883"/>
      <c r="H901" s="883"/>
      <c r="I901" s="883"/>
      <c r="K901" s="883"/>
      <c r="L901" s="883"/>
      <c r="M901" s="884"/>
      <c r="N901" s="882"/>
    </row>
    <row r="902" spans="2:14" ht="13">
      <c r="B902" s="882"/>
      <c r="C902" s="882"/>
      <c r="D902" s="883"/>
      <c r="E902" s="883"/>
      <c r="F902" s="883"/>
      <c r="H902" s="883"/>
      <c r="I902" s="883"/>
      <c r="K902" s="883"/>
      <c r="L902" s="883"/>
      <c r="M902" s="884"/>
      <c r="N902" s="882"/>
    </row>
    <row r="903" spans="2:14" ht="13">
      <c r="B903" s="882"/>
      <c r="C903" s="882"/>
      <c r="D903" s="883"/>
      <c r="E903" s="883"/>
      <c r="F903" s="883"/>
      <c r="H903" s="883"/>
      <c r="I903" s="883"/>
      <c r="K903" s="883"/>
      <c r="L903" s="883"/>
      <c r="M903" s="884"/>
      <c r="N903" s="882"/>
    </row>
    <row r="904" spans="2:14" ht="13">
      <c r="B904" s="882"/>
      <c r="C904" s="882"/>
      <c r="D904" s="883"/>
      <c r="E904" s="883"/>
      <c r="F904" s="883"/>
      <c r="H904" s="883"/>
      <c r="I904" s="883"/>
      <c r="K904" s="883"/>
      <c r="L904" s="883"/>
      <c r="M904" s="884"/>
      <c r="N904" s="882"/>
    </row>
    <row r="905" spans="2:14" ht="13">
      <c r="B905" s="882"/>
      <c r="C905" s="882"/>
      <c r="D905" s="883"/>
      <c r="E905" s="883"/>
      <c r="F905" s="883"/>
      <c r="H905" s="883"/>
      <c r="I905" s="883"/>
      <c r="K905" s="883"/>
      <c r="L905" s="883"/>
      <c r="M905" s="884"/>
      <c r="N905" s="882"/>
    </row>
    <row r="906" spans="2:14" ht="13">
      <c r="B906" s="882"/>
      <c r="C906" s="882"/>
      <c r="D906" s="883"/>
      <c r="E906" s="883"/>
      <c r="F906" s="883"/>
      <c r="H906" s="883"/>
      <c r="I906" s="883"/>
      <c r="K906" s="883"/>
      <c r="L906" s="883"/>
      <c r="M906" s="884"/>
      <c r="N906" s="882"/>
    </row>
    <row r="907" spans="2:14" ht="13">
      <c r="B907" s="882"/>
      <c r="C907" s="882"/>
      <c r="D907" s="883"/>
      <c r="E907" s="883"/>
      <c r="F907" s="883"/>
      <c r="H907" s="883"/>
      <c r="I907" s="883"/>
      <c r="K907" s="883"/>
      <c r="L907" s="883"/>
      <c r="M907" s="884"/>
      <c r="N907" s="882"/>
    </row>
    <row r="908" spans="2:14" ht="13">
      <c r="B908" s="882"/>
      <c r="C908" s="882"/>
      <c r="D908" s="883"/>
      <c r="E908" s="883"/>
      <c r="F908" s="883"/>
      <c r="H908" s="883"/>
      <c r="I908" s="883"/>
      <c r="K908" s="883"/>
      <c r="L908" s="883"/>
      <c r="M908" s="884"/>
      <c r="N908" s="882"/>
    </row>
    <row r="909" spans="2:14" ht="13">
      <c r="B909" s="882"/>
      <c r="C909" s="882"/>
      <c r="D909" s="883"/>
      <c r="E909" s="883"/>
      <c r="F909" s="883"/>
      <c r="H909" s="883"/>
      <c r="I909" s="883"/>
      <c r="K909" s="883"/>
      <c r="L909" s="883"/>
      <c r="M909" s="884"/>
      <c r="N909" s="882"/>
    </row>
    <row r="910" spans="2:14" ht="13">
      <c r="B910" s="882"/>
      <c r="C910" s="882"/>
      <c r="D910" s="883"/>
      <c r="E910" s="883"/>
      <c r="F910" s="883"/>
      <c r="H910" s="883"/>
      <c r="I910" s="883"/>
      <c r="K910" s="883"/>
      <c r="L910" s="883"/>
      <c r="M910" s="884"/>
      <c r="N910" s="882"/>
    </row>
    <row r="911" spans="2:14" ht="13">
      <c r="B911" s="882"/>
      <c r="C911" s="882"/>
      <c r="D911" s="883"/>
      <c r="E911" s="883"/>
      <c r="F911" s="883"/>
      <c r="H911" s="883"/>
      <c r="I911" s="883"/>
      <c r="K911" s="883"/>
      <c r="L911" s="883"/>
      <c r="M911" s="884"/>
      <c r="N911" s="882"/>
    </row>
    <row r="912" spans="2:14" ht="13">
      <c r="B912" s="882"/>
      <c r="C912" s="882"/>
      <c r="D912" s="883"/>
      <c r="E912" s="883"/>
      <c r="F912" s="883"/>
      <c r="H912" s="883"/>
      <c r="I912" s="883"/>
      <c r="K912" s="883"/>
      <c r="L912" s="883"/>
      <c r="M912" s="884"/>
      <c r="N912" s="882"/>
    </row>
    <row r="913" spans="2:14" ht="13">
      <c r="B913" s="882"/>
      <c r="C913" s="882"/>
      <c r="D913" s="883"/>
      <c r="E913" s="883"/>
      <c r="F913" s="883"/>
      <c r="H913" s="883"/>
      <c r="I913" s="883"/>
      <c r="K913" s="883"/>
      <c r="L913" s="883"/>
      <c r="M913" s="884"/>
      <c r="N913" s="882"/>
    </row>
    <row r="914" spans="2:14" ht="13">
      <c r="B914" s="882"/>
      <c r="C914" s="882"/>
      <c r="D914" s="883"/>
      <c r="E914" s="883"/>
      <c r="F914" s="883"/>
      <c r="H914" s="883"/>
      <c r="I914" s="883"/>
      <c r="K914" s="883"/>
      <c r="L914" s="883"/>
      <c r="M914" s="884"/>
      <c r="N914" s="882"/>
    </row>
    <row r="915" spans="2:14" ht="13">
      <c r="B915" s="882"/>
      <c r="C915" s="882"/>
      <c r="D915" s="883"/>
      <c r="E915" s="883"/>
      <c r="F915" s="883"/>
      <c r="H915" s="883"/>
      <c r="I915" s="883"/>
      <c r="K915" s="883"/>
      <c r="L915" s="883"/>
      <c r="M915" s="884"/>
      <c r="N915" s="882"/>
    </row>
    <row r="916" spans="2:14" ht="13">
      <c r="B916" s="882"/>
      <c r="C916" s="882"/>
      <c r="D916" s="883"/>
      <c r="E916" s="883"/>
      <c r="F916" s="883"/>
      <c r="H916" s="883"/>
      <c r="I916" s="883"/>
      <c r="K916" s="883"/>
      <c r="L916" s="883"/>
      <c r="M916" s="884"/>
      <c r="N916" s="882"/>
    </row>
    <row r="917" spans="2:14" ht="13">
      <c r="B917" s="882"/>
      <c r="C917" s="882"/>
      <c r="D917" s="883"/>
      <c r="E917" s="883"/>
      <c r="F917" s="883"/>
      <c r="H917" s="883"/>
      <c r="I917" s="883"/>
      <c r="K917" s="883"/>
      <c r="L917" s="883"/>
      <c r="M917" s="884"/>
      <c r="N917" s="882"/>
    </row>
    <row r="918" spans="2:14" ht="13">
      <c r="B918" s="882"/>
      <c r="C918" s="882"/>
      <c r="D918" s="883"/>
      <c r="E918" s="883"/>
      <c r="F918" s="883"/>
      <c r="H918" s="883"/>
      <c r="I918" s="883"/>
      <c r="K918" s="883"/>
      <c r="L918" s="883"/>
      <c r="M918" s="884"/>
      <c r="N918" s="882"/>
    </row>
    <row r="919" spans="2:14" ht="13">
      <c r="B919" s="882"/>
      <c r="C919" s="882"/>
      <c r="D919" s="883"/>
      <c r="E919" s="883"/>
      <c r="F919" s="883"/>
      <c r="H919" s="883"/>
      <c r="I919" s="883"/>
      <c r="K919" s="883"/>
      <c r="L919" s="883"/>
      <c r="M919" s="884"/>
      <c r="N919" s="882"/>
    </row>
    <row r="920" spans="2:14" ht="13">
      <c r="B920" s="882"/>
      <c r="C920" s="882"/>
      <c r="D920" s="883"/>
      <c r="E920" s="883"/>
      <c r="F920" s="883"/>
      <c r="H920" s="883"/>
      <c r="I920" s="883"/>
      <c r="K920" s="883"/>
      <c r="L920" s="883"/>
      <c r="M920" s="884"/>
      <c r="N920" s="882"/>
    </row>
    <row r="921" spans="2:14" ht="13">
      <c r="B921" s="882"/>
      <c r="C921" s="882"/>
      <c r="D921" s="883"/>
      <c r="E921" s="883"/>
      <c r="F921" s="883"/>
      <c r="H921" s="883"/>
      <c r="I921" s="883"/>
      <c r="K921" s="883"/>
      <c r="L921" s="883"/>
      <c r="M921" s="884"/>
      <c r="N921" s="882"/>
    </row>
    <row r="922" spans="2:14" ht="13">
      <c r="B922" s="882"/>
      <c r="C922" s="882"/>
      <c r="D922" s="883"/>
      <c r="E922" s="883"/>
      <c r="F922" s="883"/>
      <c r="H922" s="883"/>
      <c r="I922" s="883"/>
      <c r="K922" s="883"/>
      <c r="L922" s="883"/>
      <c r="M922" s="884"/>
      <c r="N922" s="882"/>
    </row>
    <row r="923" spans="2:14" ht="13">
      <c r="B923" s="882"/>
      <c r="C923" s="882"/>
      <c r="D923" s="883"/>
      <c r="E923" s="883"/>
      <c r="F923" s="883"/>
      <c r="H923" s="883"/>
      <c r="I923" s="883"/>
      <c r="K923" s="883"/>
      <c r="L923" s="883"/>
      <c r="M923" s="884"/>
      <c r="N923" s="882"/>
    </row>
    <row r="924" spans="2:14" ht="13">
      <c r="B924" s="882"/>
      <c r="C924" s="882"/>
      <c r="D924" s="883"/>
      <c r="E924" s="883"/>
      <c r="F924" s="883"/>
      <c r="H924" s="883"/>
      <c r="I924" s="883"/>
      <c r="K924" s="883"/>
      <c r="L924" s="883"/>
      <c r="M924" s="884"/>
      <c r="N924" s="882"/>
    </row>
    <row r="925" spans="2:14" ht="13">
      <c r="B925" s="882"/>
      <c r="C925" s="882"/>
      <c r="D925" s="883"/>
      <c r="E925" s="883"/>
      <c r="F925" s="883"/>
      <c r="H925" s="883"/>
      <c r="I925" s="883"/>
      <c r="K925" s="883"/>
      <c r="L925" s="883"/>
      <c r="M925" s="884"/>
      <c r="N925" s="882"/>
    </row>
    <row r="926" spans="2:14" ht="13">
      <c r="B926" s="882"/>
      <c r="C926" s="882"/>
      <c r="D926" s="883"/>
      <c r="E926" s="883"/>
      <c r="F926" s="883"/>
      <c r="H926" s="883"/>
      <c r="I926" s="883"/>
      <c r="K926" s="883"/>
      <c r="L926" s="883"/>
      <c r="M926" s="884"/>
      <c r="N926" s="882"/>
    </row>
    <row r="927" spans="2:14" ht="13">
      <c r="B927" s="882"/>
      <c r="C927" s="882"/>
      <c r="D927" s="883"/>
      <c r="E927" s="883"/>
      <c r="F927" s="883"/>
      <c r="H927" s="883"/>
      <c r="I927" s="883"/>
      <c r="K927" s="883"/>
      <c r="L927" s="883"/>
      <c r="M927" s="884"/>
      <c r="N927" s="882"/>
    </row>
    <row r="928" spans="2:14" ht="13">
      <c r="B928" s="882"/>
      <c r="C928" s="882"/>
      <c r="D928" s="883"/>
      <c r="E928" s="883"/>
      <c r="F928" s="883"/>
      <c r="H928" s="883"/>
      <c r="I928" s="883"/>
      <c r="K928" s="883"/>
      <c r="L928" s="883"/>
      <c r="M928" s="884"/>
      <c r="N928" s="882"/>
    </row>
    <row r="929" spans="2:14" ht="13">
      <c r="B929" s="882"/>
      <c r="C929" s="882"/>
      <c r="D929" s="883"/>
      <c r="E929" s="883"/>
      <c r="F929" s="883"/>
      <c r="H929" s="883"/>
      <c r="I929" s="883"/>
      <c r="K929" s="883"/>
      <c r="L929" s="883"/>
      <c r="M929" s="884"/>
      <c r="N929" s="882"/>
    </row>
  </sheetData>
  <mergeCells count="220">
    <mergeCell ref="J25:J27"/>
    <mergeCell ref="L25:L27"/>
    <mergeCell ref="N25:N27"/>
    <mergeCell ref="O25:O27"/>
    <mergeCell ref="A25:A27"/>
    <mergeCell ref="B25:B27"/>
    <mergeCell ref="C25:C27"/>
    <mergeCell ref="D25:D27"/>
    <mergeCell ref="E25:E26"/>
    <mergeCell ref="F25:F27"/>
    <mergeCell ref="G25:G27"/>
    <mergeCell ref="A31:A33"/>
    <mergeCell ref="B31:B33"/>
    <mergeCell ref="C31:C33"/>
    <mergeCell ref="D31:D33"/>
    <mergeCell ref="E31:E33"/>
    <mergeCell ref="F31:F33"/>
    <mergeCell ref="G31:G33"/>
    <mergeCell ref="H25:H27"/>
    <mergeCell ref="I25:I27"/>
    <mergeCell ref="P43:P45"/>
    <mergeCell ref="A43:A45"/>
    <mergeCell ref="B43:B45"/>
    <mergeCell ref="C43:C45"/>
    <mergeCell ref="D43:D45"/>
    <mergeCell ref="E43:E45"/>
    <mergeCell ref="F43:F45"/>
    <mergeCell ref="G43:G45"/>
    <mergeCell ref="H34:H36"/>
    <mergeCell ref="I34:I36"/>
    <mergeCell ref="J34:J36"/>
    <mergeCell ref="N34:N36"/>
    <mergeCell ref="A34:A36"/>
    <mergeCell ref="B34:B36"/>
    <mergeCell ref="C34:C36"/>
    <mergeCell ref="D34:D36"/>
    <mergeCell ref="E34:E36"/>
    <mergeCell ref="F34:F36"/>
    <mergeCell ref="G34:G36"/>
    <mergeCell ref="A47:A48"/>
    <mergeCell ref="B47:B48"/>
    <mergeCell ref="C47:C48"/>
    <mergeCell ref="D47:D48"/>
    <mergeCell ref="E47:E48"/>
    <mergeCell ref="F47:F48"/>
    <mergeCell ref="G47:G48"/>
    <mergeCell ref="H43:H45"/>
    <mergeCell ref="I43:I45"/>
    <mergeCell ref="P70:P75"/>
    <mergeCell ref="A70:A75"/>
    <mergeCell ref="B70:B75"/>
    <mergeCell ref="C70:C75"/>
    <mergeCell ref="D70:D75"/>
    <mergeCell ref="E70:E75"/>
    <mergeCell ref="F70:F75"/>
    <mergeCell ref="G70:G75"/>
    <mergeCell ref="H51:H57"/>
    <mergeCell ref="I51:I57"/>
    <mergeCell ref="J51:J57"/>
    <mergeCell ref="N51:N57"/>
    <mergeCell ref="A51:A57"/>
    <mergeCell ref="B51:B57"/>
    <mergeCell ref="C51:C57"/>
    <mergeCell ref="D51:D57"/>
    <mergeCell ref="E51:E57"/>
    <mergeCell ref="F51:F57"/>
    <mergeCell ref="G51:G57"/>
    <mergeCell ref="N7:N14"/>
    <mergeCell ref="O8:O11"/>
    <mergeCell ref="K11:K14"/>
    <mergeCell ref="O12:O14"/>
    <mergeCell ref="H95:H101"/>
    <mergeCell ref="I95:I101"/>
    <mergeCell ref="J95:J101"/>
    <mergeCell ref="N95:N101"/>
    <mergeCell ref="O95:O101"/>
    <mergeCell ref="H70:H75"/>
    <mergeCell ref="I70:I75"/>
    <mergeCell ref="J70:J75"/>
    <mergeCell ref="N70:N75"/>
    <mergeCell ref="H47:H48"/>
    <mergeCell ref="I47:I48"/>
    <mergeCell ref="J47:J48"/>
    <mergeCell ref="N47:N48"/>
    <mergeCell ref="O47:O48"/>
    <mergeCell ref="J43:J45"/>
    <mergeCell ref="N43:N45"/>
    <mergeCell ref="H31:H33"/>
    <mergeCell ref="I31:I33"/>
    <mergeCell ref="J31:J33"/>
    <mergeCell ref="N31:N33"/>
    <mergeCell ref="K2:M2"/>
    <mergeCell ref="A7:A14"/>
    <mergeCell ref="B7:B14"/>
    <mergeCell ref="C7:C14"/>
    <mergeCell ref="D7:D14"/>
    <mergeCell ref="E7:E14"/>
    <mergeCell ref="F7:F14"/>
    <mergeCell ref="H15:H20"/>
    <mergeCell ref="I15:I20"/>
    <mergeCell ref="J15:J20"/>
    <mergeCell ref="G7:G14"/>
    <mergeCell ref="H7:H14"/>
    <mergeCell ref="I7:I14"/>
    <mergeCell ref="J7:J14"/>
    <mergeCell ref="K7:K10"/>
    <mergeCell ref="N15:N20"/>
    <mergeCell ref="P21:P22"/>
    <mergeCell ref="A15:A20"/>
    <mergeCell ref="B15:B20"/>
    <mergeCell ref="C15:C20"/>
    <mergeCell ref="D15:D20"/>
    <mergeCell ref="E15:E20"/>
    <mergeCell ref="F15:F20"/>
    <mergeCell ref="G15:G20"/>
    <mergeCell ref="D145:F145"/>
    <mergeCell ref="D146:F146"/>
    <mergeCell ref="D147:F147"/>
    <mergeCell ref="D149:F149"/>
    <mergeCell ref="D150:F150"/>
    <mergeCell ref="D151:F151"/>
    <mergeCell ref="D152:F152"/>
    <mergeCell ref="H61:H68"/>
    <mergeCell ref="I61:I68"/>
    <mergeCell ref="H77:H78"/>
    <mergeCell ref="I77:I78"/>
    <mergeCell ref="H79:H84"/>
    <mergeCell ref="I79:I84"/>
    <mergeCell ref="H85:H87"/>
    <mergeCell ref="I85:I87"/>
    <mergeCell ref="H88:H93"/>
    <mergeCell ref="I88:I93"/>
    <mergeCell ref="I112:I114"/>
    <mergeCell ref="D95:D101"/>
    <mergeCell ref="E95:E101"/>
    <mergeCell ref="F95:F101"/>
    <mergeCell ref="G95:G101"/>
    <mergeCell ref="J61:J68"/>
    <mergeCell ref="N61:N68"/>
    <mergeCell ref="A61:A68"/>
    <mergeCell ref="B61:B68"/>
    <mergeCell ref="C61:C68"/>
    <mergeCell ref="D61:D68"/>
    <mergeCell ref="E61:E68"/>
    <mergeCell ref="F61:F68"/>
    <mergeCell ref="G61:G68"/>
    <mergeCell ref="J77:J78"/>
    <mergeCell ref="N77:N78"/>
    <mergeCell ref="O77:O78"/>
    <mergeCell ref="P77:P78"/>
    <mergeCell ref="Q77:Q78"/>
    <mergeCell ref="K78:M78"/>
    <mergeCell ref="A77:A78"/>
    <mergeCell ref="B77:B78"/>
    <mergeCell ref="C77:C78"/>
    <mergeCell ref="D77:D78"/>
    <mergeCell ref="E77:E78"/>
    <mergeCell ref="F77:F78"/>
    <mergeCell ref="G77:G78"/>
    <mergeCell ref="J79:J84"/>
    <mergeCell ref="N79:N84"/>
    <mergeCell ref="O79:O84"/>
    <mergeCell ref="P79:P84"/>
    <mergeCell ref="A79:A84"/>
    <mergeCell ref="B79:B84"/>
    <mergeCell ref="C79:C84"/>
    <mergeCell ref="D79:D84"/>
    <mergeCell ref="E79:E84"/>
    <mergeCell ref="F79:F84"/>
    <mergeCell ref="G79:G84"/>
    <mergeCell ref="J85:J87"/>
    <mergeCell ref="N85:N87"/>
    <mergeCell ref="O85:O87"/>
    <mergeCell ref="P85:P87"/>
    <mergeCell ref="A85:A87"/>
    <mergeCell ref="B85:B87"/>
    <mergeCell ref="C85:C87"/>
    <mergeCell ref="D85:D87"/>
    <mergeCell ref="E85:E87"/>
    <mergeCell ref="F85:F87"/>
    <mergeCell ref="G85:G87"/>
    <mergeCell ref="J88:J93"/>
    <mergeCell ref="N88:N93"/>
    <mergeCell ref="O88:O93"/>
    <mergeCell ref="S95:S101"/>
    <mergeCell ref="A88:A93"/>
    <mergeCell ref="B88:B93"/>
    <mergeCell ref="C88:C93"/>
    <mergeCell ref="D88:D93"/>
    <mergeCell ref="E88:E93"/>
    <mergeCell ref="F88:F93"/>
    <mergeCell ref="G88:G93"/>
    <mergeCell ref="P95:P101"/>
    <mergeCell ref="A95:A101"/>
    <mergeCell ref="B95:B101"/>
    <mergeCell ref="C95:C101"/>
    <mergeCell ref="J112:J114"/>
    <mergeCell ref="K112:K114"/>
    <mergeCell ref="L112:L114"/>
    <mergeCell ref="M112:M114"/>
    <mergeCell ref="N112:N114"/>
    <mergeCell ref="B112:B114"/>
    <mergeCell ref="C112:C114"/>
    <mergeCell ref="D112:D114"/>
    <mergeCell ref="E112:E114"/>
    <mergeCell ref="F112:F114"/>
    <mergeCell ref="G112:G114"/>
    <mergeCell ref="H112:H114"/>
    <mergeCell ref="D160:F160"/>
    <mergeCell ref="D161:F161"/>
    <mergeCell ref="D162:F162"/>
    <mergeCell ref="D163:F163"/>
    <mergeCell ref="D164:F164"/>
    <mergeCell ref="D153:F153"/>
    <mergeCell ref="D154:F154"/>
    <mergeCell ref="D155:F155"/>
    <mergeCell ref="D156:F156"/>
    <mergeCell ref="D157:F157"/>
    <mergeCell ref="D158:F158"/>
    <mergeCell ref="D159:F159"/>
  </mergeCells>
  <phoneticPr fontId="179" type="noConversion"/>
  <hyperlinks>
    <hyperlink ref="C146" r:id="rId1" xr:uid="{00000000-0004-0000-0B00-000000000000}"/>
    <hyperlink ref="C147" r:id="rId2" xr:uid="{00000000-0004-0000-0B00-000001000000}"/>
    <hyperlink ref="C149" r:id="rId3" xr:uid="{00000000-0004-0000-0B00-000002000000}"/>
    <hyperlink ref="C150" r:id="rId4" xr:uid="{00000000-0004-0000-0B00-000003000000}"/>
    <hyperlink ref="D150" r:id="rId5" xr:uid="{00000000-0004-0000-0B00-000004000000}"/>
    <hyperlink ref="C152" r:id="rId6" xr:uid="{00000000-0004-0000-0B00-000005000000}"/>
    <hyperlink ref="C153" r:id="rId7" xr:uid="{00000000-0004-0000-0B00-000006000000}"/>
    <hyperlink ref="C154" r:id="rId8" xr:uid="{00000000-0004-0000-0B00-000007000000}"/>
    <hyperlink ref="C155" r:id="rId9" xr:uid="{00000000-0004-0000-0B00-000008000000}"/>
  </hyperlinks>
  <pageMargins left="0.7" right="0.7" top="0.75" bottom="0.75" header="0.3" footer="0.3"/>
  <legacyDrawing r:id="rId1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1C232"/>
    <outlinePr summaryBelow="0" summaryRight="0"/>
  </sheetPr>
  <dimension ref="A1:AF1000"/>
  <sheetViews>
    <sheetView workbookViewId="0">
      <pane ySplit="3" topLeftCell="A64" activePane="bottomLeft" state="frozen"/>
      <selection pane="bottomLeft" activeCell="B5" sqref="B5"/>
    </sheetView>
  </sheetViews>
  <sheetFormatPr baseColWidth="10" defaultColWidth="12.5" defaultRowHeight="15.75" customHeight="1"/>
  <cols>
    <col min="1" max="1" width="5.83203125" customWidth="1"/>
    <col min="2" max="2" width="11.5" customWidth="1"/>
    <col min="3" max="3" width="8.5" hidden="1" customWidth="1"/>
    <col min="4" max="4" width="50.83203125" customWidth="1"/>
    <col min="6" max="6" width="11.5" customWidth="1"/>
    <col min="7" max="8" width="6.1640625" customWidth="1"/>
    <col min="9" max="9" width="6.33203125" customWidth="1"/>
    <col min="10" max="10" width="6.6640625" customWidth="1"/>
    <col min="11" max="11" width="6" customWidth="1"/>
    <col min="12" max="12" width="13.83203125" customWidth="1"/>
    <col min="14" max="14" width="50.83203125" hidden="1" customWidth="1"/>
    <col min="15" max="15" width="18" hidden="1" customWidth="1"/>
    <col min="16" max="16" width="18.1640625" customWidth="1"/>
    <col min="17" max="17" width="6.1640625" customWidth="1"/>
    <col min="18" max="18" width="2" customWidth="1"/>
  </cols>
  <sheetData>
    <row r="1" spans="1:32" ht="15.75" customHeight="1">
      <c r="A1" s="885" t="str">
        <f ca="1">IFERROR(__xludf.DUMMYFUNCTION("IMPORTRANGE(""https://docs.google.com/spreadsheets/d/1uEDRkDSIkPcHsUbJV7YOQClcfxXk4qGhwjRJ7MpfUK0/edit?gid=0#gid=0"",""AP!A1:Q999"")"),"AP")</f>
        <v>AP</v>
      </c>
      <c r="B1" s="886" t="str">
        <f ca="1">IFERROR(__xludf.DUMMYFUNCTION("""COMPUTED_VALUE"""),"11")</f>
        <v>11</v>
      </c>
      <c r="C1" s="489" t="str">
        <f ca="1">IFERROR(__xludf.DUMMYFUNCTION("""COMPUTED_VALUE"""),"월")</f>
        <v>월</v>
      </c>
      <c r="D1" s="887" t="str">
        <f ca="1">IFERROR(__xludf.DUMMYFUNCTION("""COMPUTED_VALUE"""),"월")</f>
        <v>월</v>
      </c>
      <c r="E1" s="490"/>
      <c r="F1" s="888"/>
      <c r="G1" s="490"/>
      <c r="H1" s="490"/>
      <c r="I1" s="490"/>
      <c r="J1" s="888"/>
      <c r="K1" s="490"/>
      <c r="L1" s="490"/>
      <c r="M1" s="889"/>
      <c r="N1" s="492"/>
      <c r="O1" s="492"/>
      <c r="P1" s="492"/>
      <c r="Q1" s="890"/>
      <c r="R1" s="2"/>
      <c r="S1" s="49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2" ht="15.75" customHeight="1">
      <c r="A2" s="2"/>
      <c r="B2" s="2"/>
      <c r="C2" s="2"/>
      <c r="D2" s="2"/>
      <c r="E2" s="2"/>
      <c r="F2" s="3"/>
      <c r="G2" s="2"/>
      <c r="H2" s="2"/>
      <c r="I2" s="2"/>
      <c r="J2" s="3"/>
      <c r="K2" s="2"/>
      <c r="L2" s="2"/>
      <c r="M2" s="3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spans="1:32" ht="15.75" customHeight="1">
      <c r="A3" s="891" t="str">
        <f ca="1">IFERROR(__xludf.DUMMYFUNCTION("""COMPUTED_VALUE"""),"매입
일자")</f>
        <v>매입
일자</v>
      </c>
      <c r="B3" s="892" t="str">
        <f ca="1">IFERROR(__xludf.DUMMYFUNCTION("""COMPUTED_VALUE"""),"PR")</f>
        <v>PR</v>
      </c>
      <c r="C3" s="494" t="str">
        <f ca="1">IFERROR(__xludf.DUMMYFUNCTION("""COMPUTED_VALUE"""),"PJT Code")</f>
        <v>PJT Code</v>
      </c>
      <c r="D3" s="494" t="str">
        <f ca="1">IFERROR(__xludf.DUMMYFUNCTION("""COMPUTED_VALUE"""),"품목명")</f>
        <v>품목명</v>
      </c>
      <c r="E3" s="494" t="str">
        <f ca="1">IFERROR(__xludf.DUMMYFUNCTION("""COMPUTED_VALUE"""),"외주사")</f>
        <v>외주사</v>
      </c>
      <c r="F3" s="496" t="str">
        <f ca="1">IFERROR(__xludf.DUMMYFUNCTION("""COMPUTED_VALUE"""),"PO")</f>
        <v>PO</v>
      </c>
      <c r="G3" s="893" t="str">
        <f ca="1">IFERROR(__xludf.DUMMYFUNCTION("""COMPUTED_VALUE"""),"세금
계산서")</f>
        <v>세금
계산서</v>
      </c>
      <c r="H3" s="894" t="str">
        <f ca="1">IFERROR(__xludf.DUMMYFUNCTION("""COMPUTED_VALUE"""),"거래
명세서")</f>
        <v>거래
명세서</v>
      </c>
      <c r="I3" s="895" t="str">
        <f ca="1">IFERROR(__xludf.DUMMYFUNCTION("""COMPUTED_VALUE"""),"점검서")</f>
        <v>점검서</v>
      </c>
      <c r="J3" s="896" t="str">
        <f ca="1">IFERROR(__xludf.DUMMYFUNCTION("""COMPUTED_VALUE"""),"Receipt")</f>
        <v>Receipt</v>
      </c>
      <c r="K3" s="892" t="str">
        <f ca="1">IFERROR(__xludf.DUMMYFUNCTION("""COMPUTED_VALUE"""),"영업
담당자")</f>
        <v>영업
담당자</v>
      </c>
      <c r="L3" s="494" t="str">
        <f ca="1">IFERROR(__xludf.DUMMYFUNCTION("""COMPUTED_VALUE"""),"이메일 (3.2)")</f>
        <v>이메일 (3.2)</v>
      </c>
      <c r="M3" s="897" t="str">
        <f ca="1">IFERROR(__xludf.DUMMYFUNCTION("""COMPUTED_VALUE"""),"당월 금액
(VAT별도)")</f>
        <v>당월 금액
(VAT별도)</v>
      </c>
      <c r="N3" s="494" t="str">
        <f ca="1">IFERROR(__xludf.DUMMYFUNCTION("""COMPUTED_VALUE"""),"VAT 포함")</f>
        <v>VAT 포함</v>
      </c>
      <c r="O3" s="496" t="str">
        <f ca="1">IFERROR(__xludf.DUMMYFUNCTION("""COMPUTED_VALUE"""),"Code")</f>
        <v>Code</v>
      </c>
      <c r="P3" s="496" t="str">
        <f ca="1">IFERROR(__xludf.DUMMYFUNCTION("""COMPUTED_VALUE"""),"AP 작성")</f>
        <v>AP 작성</v>
      </c>
      <c r="Q3" s="497" t="str">
        <f ca="1">IFERROR(__xludf.DUMMYFUNCTION("""COMPUTED_VALUE"""),"완료")</f>
        <v>완료</v>
      </c>
      <c r="R3" s="2"/>
      <c r="S3" s="494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</row>
    <row r="4" spans="1:32" ht="15.75" customHeight="1">
      <c r="A4" s="898" t="str">
        <f ca="1">IFERROR(__xludf.DUMMYFUNCTION("""COMPUTED_VALUE"""),"07")</f>
        <v>07</v>
      </c>
      <c r="B4" s="899" t="str">
        <f ca="1">IFERROR(__xludf.DUMMYFUNCTION("""COMPUTED_VALUE"""),"HX-PR-14513")</f>
        <v>HX-PR-14513</v>
      </c>
      <c r="C4" s="505" t="str">
        <f ca="1">IFERROR(__xludf.DUMMYFUNCTION("""COMPUTED_VALUE"""),"R230053")</f>
        <v>R230053</v>
      </c>
      <c r="D4" s="508" t="str">
        <f ca="1">IFERROR(__xludf.DUMMYFUNCTION("""COMPUTED_VALUE"""),"인하대학교 산학협력단 서버시스템 유지보수 2024년 11월분")</f>
        <v>인하대학교 산학협력단 서버시스템 유지보수 2024년 11월분</v>
      </c>
      <c r="E4" s="505" t="str">
        <f ca="1">IFERROR(__xludf.DUMMYFUNCTION("""COMPUTED_VALUE"""),"에스엔에이")</f>
        <v>에스엔에이</v>
      </c>
      <c r="F4" s="900" t="str">
        <f ca="1">IFERROR(__xludf.DUMMYFUNCTION("""COMPUTED_VALUE"""),"HX-PO-14528")</f>
        <v>HX-PO-14528</v>
      </c>
      <c r="G4" s="901" t="b">
        <f ca="1">IFERROR(__xludf.DUMMYFUNCTION("""COMPUTED_VALUE"""),TRUE)</f>
        <v>1</v>
      </c>
      <c r="H4" s="548" t="b">
        <f ca="1">IFERROR(__xludf.DUMMYFUNCTION("""COMPUTED_VALUE"""),TRUE)</f>
        <v>1</v>
      </c>
      <c r="I4" s="902" t="b">
        <f ca="1">IFERROR(__xludf.DUMMYFUNCTION("""COMPUTED_VALUE"""),TRUE)</f>
        <v>1</v>
      </c>
      <c r="J4" s="903">
        <f ca="1">IFERROR(__xludf.DUMMYFUNCTION("""COMPUTED_VALUE"""),18288)</f>
        <v>18288</v>
      </c>
      <c r="K4" s="904" t="str">
        <f ca="1">IFERROR(__xludf.DUMMYFUNCTION("""COMPUTED_VALUE"""),"원치웅")</f>
        <v>원치웅</v>
      </c>
      <c r="L4" s="508" t="str">
        <f ca="1">IFERROR(__xludf.DUMMYFUNCTION("""COMPUTED_VALUE"""),"cwon@hist.co.kr")</f>
        <v>cwon@hist.co.kr</v>
      </c>
      <c r="M4" s="511">
        <f ca="1">IFERROR(__xludf.DUMMYFUNCTION("""COMPUTED_VALUE"""),210000)</f>
        <v>210000</v>
      </c>
      <c r="N4" s="905">
        <f ca="1">IFERROR(__xludf.DUMMYFUNCTION("""COMPUTED_VALUE"""),231000)</f>
        <v>231000</v>
      </c>
      <c r="O4" s="514"/>
      <c r="P4" s="514" t="str">
        <f ca="1">IFERROR(__xludf.DUMMYFUNCTION("""COMPUTED_VALUE"""),"API241107강이슬4528")</f>
        <v>API241107강이슬4528</v>
      </c>
      <c r="Q4" s="906" t="b">
        <f ca="1">IFERROR(__xludf.DUMMYFUNCTION("""COMPUTED_VALUE"""),TRUE)</f>
        <v>1</v>
      </c>
      <c r="R4" s="2"/>
      <c r="S4" s="508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</row>
    <row r="5" spans="1:32" ht="15.75" customHeight="1">
      <c r="A5" s="507" t="str">
        <f ca="1">IFERROR(__xludf.DUMMYFUNCTION("""COMPUTED_VALUE"""),"06")</f>
        <v>06</v>
      </c>
      <c r="B5" s="907">
        <f ca="1">IFERROR(__xludf.DUMMYFUNCTION("""COMPUTED_VALUE"""),1400)</f>
        <v>1400</v>
      </c>
      <c r="C5" s="505" t="str">
        <f ca="1">IFERROR(__xludf.DUMMYFUNCTION("""COMPUTED_VALUE"""),"V170016")</f>
        <v>V170016</v>
      </c>
      <c r="D5" s="508" t="str">
        <f ca="1">IFERROR(__xludf.DUMMYFUNCTION("""COMPUTED_VALUE"""),"엠앤와이즈 메시징 발송수수료 지급 2024년 11월분")</f>
        <v>엠앤와이즈 메시징 발송수수료 지급 2024년 11월분</v>
      </c>
      <c r="E5" s="505" t="str">
        <f ca="1">IFERROR(__xludf.DUMMYFUNCTION("""COMPUTED_VALUE"""),"엠앤와이즈")</f>
        <v>엠앤와이즈</v>
      </c>
      <c r="F5" s="908"/>
      <c r="G5" s="901" t="b">
        <f ca="1">IFERROR(__xludf.DUMMYFUNCTION("""COMPUTED_VALUE"""),TRUE)</f>
        <v>1</v>
      </c>
      <c r="H5" s="548" t="b">
        <f ca="1">IFERROR(__xludf.DUMMYFUNCTION("""COMPUTED_VALUE"""),TRUE)</f>
        <v>1</v>
      </c>
      <c r="I5" s="909"/>
      <c r="J5" s="910"/>
      <c r="K5" s="904" t="str">
        <f ca="1">IFERROR(__xludf.DUMMYFUNCTION("""COMPUTED_VALUE"""),"길종민")</f>
        <v>길종민</v>
      </c>
      <c r="L5" s="508" t="str">
        <f ca="1">IFERROR(__xludf.DUMMYFUNCTION("""COMPUTED_VALUE"""),"jm.kil@hist.co.kr")</f>
        <v>jm.kil@hist.co.kr</v>
      </c>
      <c r="M5" s="511">
        <f ca="1">IFERROR(__xludf.DUMMYFUNCTION("""COMPUTED_VALUE"""),83621)</f>
        <v>83621</v>
      </c>
      <c r="N5" s="553">
        <f ca="1">IFERROR(__xludf.DUMMYFUNCTION("""COMPUTED_VALUE"""),91983)</f>
        <v>91983</v>
      </c>
      <c r="O5" s="514" t="str">
        <f ca="1">IFERROR(__xludf.DUMMYFUNCTION("""COMPUTED_VALUE"""),"HX-999-SELSCB-SELSCBP-515914-0000-V170016-000000-00000")</f>
        <v>HX-999-SELSCB-SELSCBP-515914-0000-V170016-000000-00000</v>
      </c>
      <c r="P5" s="514" t="str">
        <f ca="1">IFERROR(__xludf.DUMMYFUNCTION("""COMPUTED_VALUE"""),"API241106강이슬1400")</f>
        <v>API241106강이슬1400</v>
      </c>
      <c r="Q5" s="906" t="b">
        <f ca="1">IFERROR(__xludf.DUMMYFUNCTION("""COMPUTED_VALUE"""),TRUE)</f>
        <v>1</v>
      </c>
      <c r="R5" s="2"/>
      <c r="S5" s="508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</row>
    <row r="6" spans="1:32" ht="15.75" customHeight="1">
      <c r="A6" s="1270">
        <f ca="1">IFERROR(__xludf.DUMMYFUNCTION("""COMPUTED_VALUE"""),10)</f>
        <v>10</v>
      </c>
      <c r="B6" s="907">
        <f ca="1">IFERROR(__xludf.DUMMYFUNCTION("""COMPUTED_VALUE"""),1410)</f>
        <v>1410</v>
      </c>
      <c r="C6" s="505" t="str">
        <f ca="1">IFERROR(__xludf.DUMMYFUNCTION("""COMPUTED_VALUE"""),"V080026")</f>
        <v>V080026</v>
      </c>
      <c r="D6" s="1153" t="str">
        <f ca="1">IFERROR(__xludf.DUMMYFUNCTION("""COMPUTED_VALUE"""),"젬텍 메시징 발송수수료 지급 2024년 11월분")</f>
        <v>젬텍 메시징 발송수수료 지급 2024년 11월분</v>
      </c>
      <c r="E6" s="1155" t="str">
        <f ca="1">IFERROR(__xludf.DUMMYFUNCTION("""COMPUTED_VALUE"""),"젬텍")</f>
        <v>젬텍</v>
      </c>
      <c r="F6" s="1273"/>
      <c r="G6" s="1275" t="b">
        <f ca="1">IFERROR(__xludf.DUMMYFUNCTION("""COMPUTED_VALUE"""),TRUE)</f>
        <v>1</v>
      </c>
      <c r="H6" s="1258" t="b">
        <f ca="1">IFERROR(__xludf.DUMMYFUNCTION("""COMPUTED_VALUE"""),TRUE)</f>
        <v>1</v>
      </c>
      <c r="I6" s="1261"/>
      <c r="J6" s="1278"/>
      <c r="K6" s="1281" t="str">
        <f ca="1">IFERROR(__xludf.DUMMYFUNCTION("""COMPUTED_VALUE"""),"길종민")</f>
        <v>길종민</v>
      </c>
      <c r="L6" s="1153" t="str">
        <f ca="1">IFERROR(__xludf.DUMMYFUNCTION("""COMPUTED_VALUE"""),"jm.kil@hist.co.kr")</f>
        <v>jm.kil@hist.co.kr</v>
      </c>
      <c r="M6" s="913" t="str">
        <f ca="1">IFERROR(__xludf.DUMMYFUNCTION("""COMPUTED_VALUE"""),"변동")</f>
        <v>변동</v>
      </c>
      <c r="N6" s="508"/>
      <c r="O6" s="1283" t="str">
        <f ca="1">IFERROR(__xludf.DUMMYFUNCTION("""COMPUTED_VALUE"""),"HX-999-SELSLI-SELSLIN-515911-0000-V080026-000000-00000")</f>
        <v>HX-999-SELSLI-SELSLIN-515911-0000-V080026-000000-00000</v>
      </c>
      <c r="P6" s="1283" t="str">
        <f ca="1">IFERROR(__xludf.DUMMYFUNCTION("""COMPUTED_VALUE"""),"API241110강이슬1410")</f>
        <v>API241110강이슬1410</v>
      </c>
      <c r="Q6" s="906" t="b">
        <f ca="1">IFERROR(__xludf.DUMMYFUNCTION("""COMPUTED_VALUE"""),TRUE)</f>
        <v>1</v>
      </c>
      <c r="R6" s="2"/>
      <c r="S6" s="508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32" ht="15.75" customHeight="1">
      <c r="A7" s="1271"/>
      <c r="B7" s="907"/>
      <c r="C7" s="505" t="str">
        <f ca="1">IFERROR(__xludf.DUMMYFUNCTION("""COMPUTED_VALUE"""),"V140006")</f>
        <v>V140006</v>
      </c>
      <c r="D7" s="1267"/>
      <c r="E7" s="1267"/>
      <c r="F7" s="1106"/>
      <c r="G7" s="1276"/>
      <c r="H7" s="1259"/>
      <c r="I7" s="1262"/>
      <c r="J7" s="1279"/>
      <c r="K7" s="1150"/>
      <c r="L7" s="1267"/>
      <c r="M7" s="913" t="str">
        <f ca="1">IFERROR(__xludf.DUMMYFUNCTION("""COMPUTED_VALUE"""),"변동")</f>
        <v>변동</v>
      </c>
      <c r="N7" s="508"/>
      <c r="O7" s="1284"/>
      <c r="P7" s="1284"/>
      <c r="Q7" s="507"/>
      <c r="R7" s="2"/>
      <c r="S7" s="508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</row>
    <row r="8" spans="1:32" ht="15.75" customHeight="1">
      <c r="A8" s="1272"/>
      <c r="B8" s="907"/>
      <c r="C8" s="505" t="str">
        <f ca="1">IFERROR(__xludf.DUMMYFUNCTION("""COMPUTED_VALUE"""),"V170016")</f>
        <v>V170016</v>
      </c>
      <c r="D8" s="1154"/>
      <c r="E8" s="1154"/>
      <c r="F8" s="1274"/>
      <c r="G8" s="1277"/>
      <c r="H8" s="1260"/>
      <c r="I8" s="1263"/>
      <c r="J8" s="1280"/>
      <c r="K8" s="1282"/>
      <c r="L8" s="1154"/>
      <c r="M8" s="913" t="str">
        <f ca="1">IFERROR(__xludf.DUMMYFUNCTION("""COMPUTED_VALUE"""),"변동")</f>
        <v>변동</v>
      </c>
      <c r="N8" s="508"/>
      <c r="O8" s="1285"/>
      <c r="P8" s="1285"/>
      <c r="Q8" s="507"/>
      <c r="R8" s="2"/>
      <c r="S8" s="508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</row>
    <row r="9" spans="1:32" ht="15.75" customHeight="1">
      <c r="A9" s="507" t="str">
        <f ca="1">IFERROR(__xludf.DUMMYFUNCTION("""COMPUTED_VALUE"""),"08")</f>
        <v>08</v>
      </c>
      <c r="B9" s="907">
        <f ca="1">IFERROR(__xludf.DUMMYFUNCTION("""COMPUTED_VALUE"""),1420)</f>
        <v>1420</v>
      </c>
      <c r="C9" s="505" t="str">
        <f ca="1">IFERROR(__xludf.DUMMYFUNCTION("""COMPUTED_VALUE"""),"V170016")</f>
        <v>V170016</v>
      </c>
      <c r="D9" s="508" t="str">
        <f ca="1">IFERROR(__xludf.DUMMYFUNCTION("""COMPUTED_VALUE"""),"키스소프트 메시징 발송수수료 지급 2024년 11월분")</f>
        <v>키스소프트 메시징 발송수수료 지급 2024년 11월분</v>
      </c>
      <c r="E9" s="505" t="str">
        <f ca="1">IFERROR(__xludf.DUMMYFUNCTION("""COMPUTED_VALUE"""),"키스소프트")</f>
        <v>키스소프트</v>
      </c>
      <c r="F9" s="908"/>
      <c r="G9" s="901" t="b">
        <f ca="1">IFERROR(__xludf.DUMMYFUNCTION("""COMPUTED_VALUE"""),TRUE)</f>
        <v>1</v>
      </c>
      <c r="H9" s="548" t="b">
        <f ca="1">IFERROR(__xludf.DUMMYFUNCTION("""COMPUTED_VALUE"""),TRUE)</f>
        <v>1</v>
      </c>
      <c r="I9" s="909"/>
      <c r="J9" s="910"/>
      <c r="K9" s="904" t="str">
        <f ca="1">IFERROR(__xludf.DUMMYFUNCTION("""COMPUTED_VALUE"""),"길종민")</f>
        <v>길종민</v>
      </c>
      <c r="L9" s="508" t="str">
        <f ca="1">IFERROR(__xludf.DUMMYFUNCTION("""COMPUTED_VALUE"""),"jm.kil@hist.co.kr")</f>
        <v>jm.kil@hist.co.kr</v>
      </c>
      <c r="M9" s="511">
        <f ca="1">IFERROR(__xludf.DUMMYFUNCTION("""COMPUTED_VALUE"""),71957)</f>
        <v>71957</v>
      </c>
      <c r="N9" s="553">
        <f ca="1">IFERROR(__xludf.DUMMYFUNCTION("""COMPUTED_VALUE"""),79152)</f>
        <v>79152</v>
      </c>
      <c r="O9" s="514" t="str">
        <f ca="1">IFERROR(__xludf.DUMMYFUNCTION("""COMPUTED_VALUE"""),"HX-999-SELSCB-SELSCBP-515914-0000-V170016-000000-00000")</f>
        <v>HX-999-SELSCB-SELSCBP-515914-0000-V170016-000000-00000</v>
      </c>
      <c r="P9" s="514" t="str">
        <f ca="1">IFERROR(__xludf.DUMMYFUNCTION("""COMPUTED_VALUE"""),"API241108강이슬1420")</f>
        <v>API241108강이슬1420</v>
      </c>
      <c r="Q9" s="906" t="b">
        <f ca="1">IFERROR(__xludf.DUMMYFUNCTION("""COMPUTED_VALUE"""),TRUE)</f>
        <v>1</v>
      </c>
      <c r="R9" s="2"/>
      <c r="S9" s="508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</row>
    <row r="10" spans="1:32" ht="15.75" customHeight="1">
      <c r="A10" s="507" t="str">
        <f ca="1">IFERROR(__xludf.DUMMYFUNCTION("""COMPUTED_VALUE"""),"07")</f>
        <v>07</v>
      </c>
      <c r="B10" s="907">
        <f ca="1">IFERROR(__xludf.DUMMYFUNCTION("""COMPUTED_VALUE"""),1430)</f>
        <v>1430</v>
      </c>
      <c r="C10" s="505" t="str">
        <f ca="1">IFERROR(__xludf.DUMMYFUNCTION("""COMPUTED_VALUE"""),"V170016")</f>
        <v>V170016</v>
      </c>
      <c r="D10" s="508" t="str">
        <f ca="1">IFERROR(__xludf.DUMMYFUNCTION("""COMPUTED_VALUE"""),"부스트존 메시징 발송수수료 지급 2024년 11월분")</f>
        <v>부스트존 메시징 발송수수료 지급 2024년 11월분</v>
      </c>
      <c r="E10" s="505" t="str">
        <f ca="1">IFERROR(__xludf.DUMMYFUNCTION("""COMPUTED_VALUE"""),"부스트존")</f>
        <v>부스트존</v>
      </c>
      <c r="F10" s="908"/>
      <c r="G10" s="901" t="b">
        <f ca="1">IFERROR(__xludf.DUMMYFUNCTION("""COMPUTED_VALUE"""),TRUE)</f>
        <v>1</v>
      </c>
      <c r="H10" s="548" t="b">
        <f ca="1">IFERROR(__xludf.DUMMYFUNCTION("""COMPUTED_VALUE"""),TRUE)</f>
        <v>1</v>
      </c>
      <c r="I10" s="909"/>
      <c r="J10" s="910"/>
      <c r="K10" s="904" t="str">
        <f ca="1">IFERROR(__xludf.DUMMYFUNCTION("""COMPUTED_VALUE"""),"길종민")</f>
        <v>길종민</v>
      </c>
      <c r="L10" s="508" t="str">
        <f ca="1">IFERROR(__xludf.DUMMYFUNCTION("""COMPUTED_VALUE"""),"jm.kil@hist.co.kr")</f>
        <v>jm.kil@hist.co.kr</v>
      </c>
      <c r="M10" s="511">
        <f ca="1">IFERROR(__xludf.DUMMYFUNCTION("""COMPUTED_VALUE"""),825)</f>
        <v>825</v>
      </c>
      <c r="N10" s="553">
        <f ca="1">IFERROR(__xludf.DUMMYFUNCTION("""COMPUTED_VALUE"""),907)</f>
        <v>907</v>
      </c>
      <c r="O10" s="514" t="str">
        <f ca="1">IFERROR(__xludf.DUMMYFUNCTION("""COMPUTED_VALUE"""),"HX-999-SELSCB-SELSCBP-515914-0000-V170016-000000-00000")</f>
        <v>HX-999-SELSCB-SELSCBP-515914-0000-V170016-000000-00000</v>
      </c>
      <c r="P10" s="514" t="str">
        <f ca="1">IFERROR(__xludf.DUMMYFUNCTION("""COMPUTED_VALUE"""),"API241107강이슬1430")</f>
        <v>API241107강이슬1430</v>
      </c>
      <c r="Q10" s="906" t="b">
        <f ca="1">IFERROR(__xludf.DUMMYFUNCTION("""COMPUTED_VALUE"""),TRUE)</f>
        <v>1</v>
      </c>
      <c r="R10" s="2"/>
      <c r="S10" s="508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</row>
    <row r="11" spans="1:32" ht="15.75" customHeight="1">
      <c r="A11" s="914">
        <f ca="1">IFERROR(__xludf.DUMMYFUNCTION("""COMPUTED_VALUE"""),11)</f>
        <v>11</v>
      </c>
      <c r="B11" s="907">
        <f ca="1">IFERROR(__xludf.DUMMYFUNCTION("""COMPUTED_VALUE"""),1440)</f>
        <v>1440</v>
      </c>
      <c r="C11" s="505" t="str">
        <f ca="1">IFERROR(__xludf.DUMMYFUNCTION("""COMPUTED_VALUE"""),"V170016")</f>
        <v>V170016</v>
      </c>
      <c r="D11" s="508" t="str">
        <f ca="1">IFERROR(__xludf.DUMMYFUNCTION("""COMPUTED_VALUE"""),"DHL_ARS 수신거부 서비스 사용료")</f>
        <v>DHL_ARS 수신거부 서비스 사용료</v>
      </c>
      <c r="E11" s="505" t="str">
        <f ca="1">IFERROR(__xludf.DUMMYFUNCTION("""COMPUTED_VALUE"""),"우리모바일")</f>
        <v>우리모바일</v>
      </c>
      <c r="F11" s="908"/>
      <c r="G11" s="901" t="b">
        <f ca="1">IFERROR(__xludf.DUMMYFUNCTION("""COMPUTED_VALUE"""),TRUE)</f>
        <v>1</v>
      </c>
      <c r="H11" s="548" t="b">
        <f ca="1">IFERROR(__xludf.DUMMYFUNCTION("""COMPUTED_VALUE"""),TRUE)</f>
        <v>1</v>
      </c>
      <c r="I11" s="909"/>
      <c r="J11" s="910"/>
      <c r="K11" s="904" t="str">
        <f ca="1">IFERROR(__xludf.DUMMYFUNCTION("""COMPUTED_VALUE"""),"김영훈")</f>
        <v>김영훈</v>
      </c>
      <c r="L11" s="508" t="str">
        <f ca="1">IFERROR(__xludf.DUMMYFUNCTION("""COMPUTED_VALUE"""),"youngkim@hist.co.kr")</f>
        <v>youngkim@hist.co.kr</v>
      </c>
      <c r="M11" s="511">
        <f ca="1">IFERROR(__xludf.DUMMYFUNCTION("""COMPUTED_VALUE"""),29000)</f>
        <v>29000</v>
      </c>
      <c r="N11" s="553">
        <f ca="1">IFERROR(__xludf.DUMMYFUNCTION("""COMPUTED_VALUE"""),31900)</f>
        <v>31900</v>
      </c>
      <c r="O11" s="514" t="str">
        <f ca="1">IFERROR(__xludf.DUMMYFUNCTION("""COMPUTED_VALUE"""),"HX-999-SELSCB-SELSCBP-515914-0000-V170016-000000-00000")</f>
        <v>HX-999-SELSCB-SELSCBP-515914-0000-V170016-000000-00000</v>
      </c>
      <c r="P11" s="514" t="str">
        <f ca="1">IFERROR(__xludf.DUMMYFUNCTION("""COMPUTED_VALUE"""),"API241111강이슬1440")</f>
        <v>API241111강이슬1440</v>
      </c>
      <c r="Q11" s="906" t="b">
        <f ca="1">IFERROR(__xludf.DUMMYFUNCTION("""COMPUTED_VALUE"""),TRUE)</f>
        <v>1</v>
      </c>
      <c r="R11" s="2"/>
      <c r="S11" s="508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</row>
    <row r="12" spans="1:32" ht="15.75" customHeight="1">
      <c r="A12" s="915">
        <f ca="1">IFERROR(__xludf.DUMMYFUNCTION("""COMPUTED_VALUE"""),15)</f>
        <v>15</v>
      </c>
      <c r="B12" s="1269" t="str">
        <f ca="1">IFERROR(__xludf.DUMMYFUNCTION("""COMPUTED_VALUE"""),"HX-PR-13842")</f>
        <v>HX-PR-13842</v>
      </c>
      <c r="C12" s="1266" t="str">
        <f ca="1">IFERROR(__xludf.DUMMYFUNCTION("""COMPUTED_VALUE"""),"P230001")</f>
        <v>P230001</v>
      </c>
      <c r="D12" s="916" t="str">
        <f ca="1">IFERROR(__xludf.DUMMYFUNCTION("""COMPUTED_VALUE"""),"24년 11월 소노호텔앤리조트 홈페이지 고도화사업")</f>
        <v>24년 11월 소노호텔앤리조트 홈페이지 고도화사업</v>
      </c>
      <c r="E12" s="917" t="str">
        <f ca="1">IFERROR(__xludf.DUMMYFUNCTION("""COMPUTED_VALUE"""),"별소프트")</f>
        <v>별소프트</v>
      </c>
      <c r="F12" s="918" t="str">
        <f ca="1">IFERROR(__xludf.DUMMYFUNCTION("""COMPUTED_VALUE"""),"HX-PO-13710")</f>
        <v>HX-PO-13710</v>
      </c>
      <c r="G12" s="919" t="b">
        <f ca="1">IFERROR(__xludf.DUMMYFUNCTION("""COMPUTED_VALUE"""),FALSE)</f>
        <v>0</v>
      </c>
      <c r="H12" s="920" t="b">
        <f ca="1">IFERROR(__xludf.DUMMYFUNCTION("""COMPUTED_VALUE"""),FALSE)</f>
        <v>0</v>
      </c>
      <c r="I12" s="921"/>
      <c r="J12" s="922"/>
      <c r="K12" s="923" t="str">
        <f ca="1">IFERROR(__xludf.DUMMYFUNCTION("""COMPUTED_VALUE"""),"최윤창")</f>
        <v>최윤창</v>
      </c>
      <c r="L12" s="916" t="str">
        <f ca="1">IFERROR(__xludf.DUMMYFUNCTION("""COMPUTED_VALUE"""),"ycchoi@hist.co.kr")</f>
        <v>ycchoi@hist.co.kr</v>
      </c>
      <c r="M12" s="924">
        <f ca="1">IFERROR(__xludf.DUMMYFUNCTION("""COMPUTED_VALUE"""),190000000)</f>
        <v>190000000</v>
      </c>
      <c r="N12" s="925">
        <f ca="1">IFERROR(__xludf.DUMMYFUNCTION("""COMPUTED_VALUE"""),209000000)</f>
        <v>209000000</v>
      </c>
      <c r="O12" s="514"/>
      <c r="P12" s="514" t="str">
        <f ca="1">IFERROR(__xludf.DUMMYFUNCTION("""COMPUTED_VALUE"""),"API241115강이슬3710")</f>
        <v>API241115강이슬3710</v>
      </c>
      <c r="Q12" s="926" t="b">
        <f ca="1">IFERROR(__xludf.DUMMYFUNCTION("""COMPUTED_VALUE"""),FALSE)</f>
        <v>0</v>
      </c>
      <c r="R12" s="2"/>
      <c r="S12" s="508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</row>
    <row r="13" spans="1:32" ht="15.75" customHeight="1">
      <c r="A13" s="915">
        <f ca="1">IFERROR(__xludf.DUMMYFUNCTION("""COMPUTED_VALUE"""),30)</f>
        <v>30</v>
      </c>
      <c r="B13" s="1265"/>
      <c r="C13" s="1268"/>
      <c r="D13" s="927" t="str">
        <f ca="1">IFERROR(__xludf.DUMMYFUNCTION("""COMPUTED_VALUE"""),"24년 11월 소노호텔앤리조트 홈페이지 고도화사업")</f>
        <v>24년 11월 소노호텔앤리조트 홈페이지 고도화사업</v>
      </c>
      <c r="E13" s="928" t="str">
        <f ca="1">IFERROR(__xludf.DUMMYFUNCTION("""COMPUTED_VALUE"""),"바름")</f>
        <v>바름</v>
      </c>
      <c r="F13" s="929" t="str">
        <f ca="1">IFERROR(__xludf.DUMMYFUNCTION("""COMPUTED_VALUE"""),"HX-PO-14886")</f>
        <v>HX-PO-14886</v>
      </c>
      <c r="G13" s="930" t="b">
        <f ca="1">IFERROR(__xludf.DUMMYFUNCTION("""COMPUTED_VALUE"""),FALSE)</f>
        <v>0</v>
      </c>
      <c r="H13" s="931" t="b">
        <f ca="1">IFERROR(__xludf.DUMMYFUNCTION("""COMPUTED_VALUE"""),FALSE)</f>
        <v>0</v>
      </c>
      <c r="I13" s="932"/>
      <c r="J13" s="933"/>
      <c r="K13" s="923" t="str">
        <f ca="1">IFERROR(__xludf.DUMMYFUNCTION("""COMPUTED_VALUE"""),"최윤창")</f>
        <v>최윤창</v>
      </c>
      <c r="L13" s="927" t="str">
        <f ca="1">IFERROR(__xludf.DUMMYFUNCTION("""COMPUTED_VALUE"""),"ycchoi@hist.co.kr")</f>
        <v>ycchoi@hist.co.kr</v>
      </c>
      <c r="M13" s="934">
        <f ca="1">IFERROR(__xludf.DUMMYFUNCTION("""COMPUTED_VALUE"""),2419000)</f>
        <v>2419000</v>
      </c>
      <c r="N13" s="935">
        <f ca="1">IFERROR(__xludf.DUMMYFUNCTION("""COMPUTED_VALUE"""),2660900)</f>
        <v>2660900</v>
      </c>
      <c r="O13" s="514"/>
      <c r="P13" s="514" t="str">
        <f ca="1">IFERROR(__xludf.DUMMYFUNCTION("""COMPUTED_VALUE"""),"API241130강이슬4886")</f>
        <v>API241130강이슬4886</v>
      </c>
      <c r="Q13" s="936" t="b">
        <f ca="1">IFERROR(__xludf.DUMMYFUNCTION("""COMPUTED_VALUE"""),FALSE)</f>
        <v>0</v>
      </c>
      <c r="R13" s="2"/>
      <c r="S13" s="508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</row>
    <row r="14" spans="1:32" ht="15.75" customHeight="1">
      <c r="A14" s="937">
        <f ca="1">IFERROR(__xludf.DUMMYFUNCTION("""COMPUTED_VALUE"""),25)</f>
        <v>25</v>
      </c>
      <c r="B14" s="1264" t="str">
        <f ca="1">IFERROR(__xludf.DUMMYFUNCTION("""COMPUTED_VALUE"""),"HX-PR-14709")</f>
        <v>HX-PR-14709</v>
      </c>
      <c r="C14" s="1266" t="str">
        <f ca="1">IFERROR(__xludf.DUMMYFUNCTION("""COMPUTED_VALUE"""),"R240006")</f>
        <v>R240006</v>
      </c>
      <c r="D14" s="916" t="str">
        <f ca="1">IFERROR(__xludf.DUMMYFUNCTION("""COMPUTED_VALUE"""),"24년 11월 상상인플러스저축은행 IT인프라 통합유지보수 용역비")</f>
        <v>24년 11월 상상인플러스저축은행 IT인프라 통합유지보수 용역비</v>
      </c>
      <c r="E14" s="917" t="str">
        <f ca="1">IFERROR(__xludf.DUMMYFUNCTION("""COMPUTED_VALUE"""),"하이퍼시스템즈")</f>
        <v>하이퍼시스템즈</v>
      </c>
      <c r="F14" s="918" t="str">
        <f ca="1">IFERROR(__xludf.DUMMYFUNCTION("""COMPUTED_VALUE"""),"HX-PO-14718")</f>
        <v>HX-PO-14718</v>
      </c>
      <c r="G14" s="919" t="b">
        <f ca="1">IFERROR(__xludf.DUMMYFUNCTION("""COMPUTED_VALUE"""),TRUE)</f>
        <v>1</v>
      </c>
      <c r="H14" s="920" t="b">
        <f ca="1">IFERROR(__xludf.DUMMYFUNCTION("""COMPUTED_VALUE"""),TRUE)</f>
        <v>1</v>
      </c>
      <c r="I14" s="909"/>
      <c r="J14" s="922">
        <f ca="1">IFERROR(__xludf.DUMMYFUNCTION("""COMPUTED_VALUE"""),18289)</f>
        <v>18289</v>
      </c>
      <c r="K14" s="904" t="str">
        <f ca="1">IFERROR(__xludf.DUMMYFUNCTION("""COMPUTED_VALUE"""),"최윤창")</f>
        <v>최윤창</v>
      </c>
      <c r="L14" s="916" t="str">
        <f ca="1">IFERROR(__xludf.DUMMYFUNCTION("""COMPUTED_VALUE"""),"ycchoi@hist.co.kr")</f>
        <v>ycchoi@hist.co.kr</v>
      </c>
      <c r="M14" s="924">
        <f ca="1">IFERROR(__xludf.DUMMYFUNCTION("""COMPUTED_VALUE"""),509000)</f>
        <v>509000</v>
      </c>
      <c r="N14" s="925">
        <f ca="1">IFERROR(__xludf.DUMMYFUNCTION("""COMPUTED_VALUE"""),559900)</f>
        <v>559900</v>
      </c>
      <c r="O14" s="514"/>
      <c r="P14" s="514" t="str">
        <f ca="1">IFERROR(__xludf.DUMMYFUNCTION("""COMPUTED_VALUE"""),"API241125강이슬4718")</f>
        <v>API241125강이슬4718</v>
      </c>
      <c r="Q14" s="926" t="b">
        <f ca="1">IFERROR(__xludf.DUMMYFUNCTION("""COMPUTED_VALUE"""),TRUE)</f>
        <v>1</v>
      </c>
      <c r="R14" s="2"/>
      <c r="S14" s="508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</row>
    <row r="15" spans="1:32" ht="15.75" customHeight="1">
      <c r="A15" s="914">
        <f ca="1">IFERROR(__xludf.DUMMYFUNCTION("""COMPUTED_VALUE"""),25)</f>
        <v>25</v>
      </c>
      <c r="B15" s="1150"/>
      <c r="C15" s="1267"/>
      <c r="D15" s="508" t="str">
        <f ca="1">IFERROR(__xludf.DUMMYFUNCTION("""COMPUTED_VALUE"""),"24년 11월 상상인플러스저축은행 IT인프라 통합유지보수 용역비")</f>
        <v>24년 11월 상상인플러스저축은행 IT인프라 통합유지보수 용역비</v>
      </c>
      <c r="E15" s="505" t="str">
        <f ca="1">IFERROR(__xludf.DUMMYFUNCTION("""COMPUTED_VALUE"""),"우리들아이티")</f>
        <v>우리들아이티</v>
      </c>
      <c r="F15" s="900" t="str">
        <f ca="1">IFERROR(__xludf.DUMMYFUNCTION("""COMPUTED_VALUE"""),"HX-PO-14719")</f>
        <v>HX-PO-14719</v>
      </c>
      <c r="G15" s="901" t="b">
        <f ca="1">IFERROR(__xludf.DUMMYFUNCTION("""COMPUTED_VALUE"""),TRUE)</f>
        <v>1</v>
      </c>
      <c r="H15" s="548" t="b">
        <f ca="1">IFERROR(__xludf.DUMMYFUNCTION("""COMPUTED_VALUE"""),TRUE)</f>
        <v>1</v>
      </c>
      <c r="I15" s="909"/>
      <c r="J15" s="903">
        <f ca="1">IFERROR(__xludf.DUMMYFUNCTION("""COMPUTED_VALUE"""),18292)</f>
        <v>18292</v>
      </c>
      <c r="K15" s="904" t="str">
        <f ca="1">IFERROR(__xludf.DUMMYFUNCTION("""COMPUTED_VALUE"""),"최윤창")</f>
        <v>최윤창</v>
      </c>
      <c r="L15" s="508" t="str">
        <f ca="1">IFERROR(__xludf.DUMMYFUNCTION("""COMPUTED_VALUE"""),"ycchoi@hist.co.kr")</f>
        <v>ycchoi@hist.co.kr</v>
      </c>
      <c r="M15" s="547">
        <f ca="1">IFERROR(__xludf.DUMMYFUNCTION("""COMPUTED_VALUE"""),1110000)</f>
        <v>1110000</v>
      </c>
      <c r="N15" s="905">
        <f ca="1">IFERROR(__xludf.DUMMYFUNCTION("""COMPUTED_VALUE"""),1221000)</f>
        <v>1221000</v>
      </c>
      <c r="O15" s="514"/>
      <c r="P15" s="514" t="str">
        <f ca="1">IFERROR(__xludf.DUMMYFUNCTION("""COMPUTED_VALUE"""),"API241125강이슬4719")</f>
        <v>API241125강이슬4719</v>
      </c>
      <c r="Q15" s="906" t="b">
        <f ca="1">IFERROR(__xludf.DUMMYFUNCTION("""COMPUTED_VALUE"""),TRUE)</f>
        <v>1</v>
      </c>
      <c r="R15" s="2"/>
      <c r="S15" s="508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</row>
    <row r="16" spans="1:32" ht="15.75" customHeight="1">
      <c r="A16" s="914">
        <f ca="1">IFERROR(__xludf.DUMMYFUNCTION("""COMPUTED_VALUE"""),25)</f>
        <v>25</v>
      </c>
      <c r="B16" s="1150"/>
      <c r="C16" s="1267"/>
      <c r="D16" s="508" t="str">
        <f ca="1">IFERROR(__xludf.DUMMYFUNCTION("""COMPUTED_VALUE"""),"24년 11월 상상인플러스저축은행 IT인프라 통합유지보수 용역비")</f>
        <v>24년 11월 상상인플러스저축은행 IT인프라 통합유지보수 용역비</v>
      </c>
      <c r="E16" s="505" t="str">
        <f ca="1">IFERROR(__xludf.DUMMYFUNCTION("""COMPUTED_VALUE"""),"아이리스인포테크")</f>
        <v>아이리스인포테크</v>
      </c>
      <c r="F16" s="900" t="str">
        <f ca="1">IFERROR(__xludf.DUMMYFUNCTION("""COMPUTED_VALUE"""),"HX-PO-14721")</f>
        <v>HX-PO-14721</v>
      </c>
      <c r="G16" s="901" t="b">
        <f ca="1">IFERROR(__xludf.DUMMYFUNCTION("""COMPUTED_VALUE"""),TRUE)</f>
        <v>1</v>
      </c>
      <c r="H16" s="548" t="b">
        <f ca="1">IFERROR(__xludf.DUMMYFUNCTION("""COMPUTED_VALUE"""),TRUE)</f>
        <v>1</v>
      </c>
      <c r="I16" s="909"/>
      <c r="J16" s="903">
        <f ca="1">IFERROR(__xludf.DUMMYFUNCTION("""COMPUTED_VALUE"""),18291)</f>
        <v>18291</v>
      </c>
      <c r="K16" s="904" t="str">
        <f ca="1">IFERROR(__xludf.DUMMYFUNCTION("""COMPUTED_VALUE"""),"최윤창")</f>
        <v>최윤창</v>
      </c>
      <c r="L16" s="508" t="str">
        <f ca="1">IFERROR(__xludf.DUMMYFUNCTION("""COMPUTED_VALUE"""),"ycchoi@hist.co.kr")</f>
        <v>ycchoi@hist.co.kr</v>
      </c>
      <c r="M16" s="547">
        <f ca="1">IFERROR(__xludf.DUMMYFUNCTION("""COMPUTED_VALUE"""),2550000)</f>
        <v>2550000</v>
      </c>
      <c r="N16" s="905">
        <f ca="1">IFERROR(__xludf.DUMMYFUNCTION("""COMPUTED_VALUE"""),2805000)</f>
        <v>2805000</v>
      </c>
      <c r="O16" s="514"/>
      <c r="P16" s="514" t="str">
        <f ca="1">IFERROR(__xludf.DUMMYFUNCTION("""COMPUTED_VALUE"""),"API241125강이슬4721")</f>
        <v>API241125강이슬4721</v>
      </c>
      <c r="Q16" s="906" t="b">
        <f ca="1">IFERROR(__xludf.DUMMYFUNCTION("""COMPUTED_VALUE"""),TRUE)</f>
        <v>1</v>
      </c>
      <c r="R16" s="2"/>
      <c r="S16" s="508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</row>
    <row r="17" spans="1:32" ht="15.75" customHeight="1">
      <c r="A17" s="914">
        <f ca="1">IFERROR(__xludf.DUMMYFUNCTION("""COMPUTED_VALUE"""),25)</f>
        <v>25</v>
      </c>
      <c r="B17" s="1150"/>
      <c r="C17" s="1267"/>
      <c r="D17" s="508" t="str">
        <f ca="1">IFERROR(__xludf.DUMMYFUNCTION("""COMPUTED_VALUE"""),"24년 11월 상상인플러스저축은행 IT인프라 통합유지보수 용역비")</f>
        <v>24년 11월 상상인플러스저축은행 IT인프라 통합유지보수 용역비</v>
      </c>
      <c r="E17" s="505" t="str">
        <f ca="1">IFERROR(__xludf.DUMMYFUNCTION("""COMPUTED_VALUE"""),"유더블유에스")</f>
        <v>유더블유에스</v>
      </c>
      <c r="F17" s="900" t="str">
        <f ca="1">IFERROR(__xludf.DUMMYFUNCTION("""COMPUTED_VALUE"""),"HX-PO-14722")</f>
        <v>HX-PO-14722</v>
      </c>
      <c r="G17" s="901" t="b">
        <f ca="1">IFERROR(__xludf.DUMMYFUNCTION("""COMPUTED_VALUE"""),TRUE)</f>
        <v>1</v>
      </c>
      <c r="H17" s="548" t="b">
        <f ca="1">IFERROR(__xludf.DUMMYFUNCTION("""COMPUTED_VALUE"""),TRUE)</f>
        <v>1</v>
      </c>
      <c r="I17" s="909"/>
      <c r="J17" s="903">
        <f ca="1">IFERROR(__xludf.DUMMYFUNCTION("""COMPUTED_VALUE"""),18290)</f>
        <v>18290</v>
      </c>
      <c r="K17" s="904" t="str">
        <f ca="1">IFERROR(__xludf.DUMMYFUNCTION("""COMPUTED_VALUE"""),"최윤창")</f>
        <v>최윤창</v>
      </c>
      <c r="L17" s="508" t="str">
        <f ca="1">IFERROR(__xludf.DUMMYFUNCTION("""COMPUTED_VALUE"""),"ycchoi@hist.co.kr")</f>
        <v>ycchoi@hist.co.kr</v>
      </c>
      <c r="M17" s="547">
        <f ca="1">IFERROR(__xludf.DUMMYFUNCTION("""COMPUTED_VALUE"""),1971500)</f>
        <v>1971500</v>
      </c>
      <c r="N17" s="905">
        <f ca="1">IFERROR(__xludf.DUMMYFUNCTION("""COMPUTED_VALUE"""),2168650)</f>
        <v>2168650</v>
      </c>
      <c r="O17" s="514"/>
      <c r="P17" s="514" t="str">
        <f ca="1">IFERROR(__xludf.DUMMYFUNCTION("""COMPUTED_VALUE"""),"API241125강이슬4722")</f>
        <v>API241125강이슬4722</v>
      </c>
      <c r="Q17" s="906" t="b">
        <f ca="1">IFERROR(__xludf.DUMMYFUNCTION("""COMPUTED_VALUE"""),TRUE)</f>
        <v>1</v>
      </c>
      <c r="R17" s="2"/>
      <c r="S17" s="508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</row>
    <row r="18" spans="1:32" ht="15.75" customHeight="1">
      <c r="A18" s="915">
        <f ca="1">IFERROR(__xludf.DUMMYFUNCTION("""COMPUTED_VALUE"""),25)</f>
        <v>25</v>
      </c>
      <c r="B18" s="1265"/>
      <c r="C18" s="1268"/>
      <c r="D18" s="927" t="str">
        <f ca="1">IFERROR(__xludf.DUMMYFUNCTION("""COMPUTED_VALUE"""),"24년 11월 상상인저축은행 CMT Eyes 보안관제 서비스")</f>
        <v>24년 11월 상상인저축은행 CMT Eyes 보안관제 서비스</v>
      </c>
      <c r="E18" s="928" t="str">
        <f ca="1">IFERROR(__xludf.DUMMYFUNCTION("""COMPUTED_VALUE"""),"씨엠티정보통신")</f>
        <v>씨엠티정보통신</v>
      </c>
      <c r="F18" s="929" t="str">
        <f ca="1">IFERROR(__xludf.DUMMYFUNCTION("""COMPUTED_VALUE"""),"HX-PO-12970")</f>
        <v>HX-PO-12970</v>
      </c>
      <c r="G18" s="930" t="b">
        <f ca="1">IFERROR(__xludf.DUMMYFUNCTION("""COMPUTED_VALUE"""),TRUE)</f>
        <v>1</v>
      </c>
      <c r="H18" s="931" t="b">
        <f ca="1">IFERROR(__xludf.DUMMYFUNCTION("""COMPUTED_VALUE"""),TRUE)</f>
        <v>1</v>
      </c>
      <c r="I18" s="909"/>
      <c r="J18" s="933">
        <f ca="1">IFERROR(__xludf.DUMMYFUNCTION("""COMPUTED_VALUE"""),18293)</f>
        <v>18293</v>
      </c>
      <c r="K18" s="904" t="str">
        <f ca="1">IFERROR(__xludf.DUMMYFUNCTION("""COMPUTED_VALUE"""),"최윤창")</f>
        <v>최윤창</v>
      </c>
      <c r="L18" s="927" t="str">
        <f ca="1">IFERROR(__xludf.DUMMYFUNCTION("""COMPUTED_VALUE"""),"ycchoi@hist.co.kr")</f>
        <v>ycchoi@hist.co.kr</v>
      </c>
      <c r="M18" s="934">
        <f ca="1">IFERROR(__xludf.DUMMYFUNCTION("""COMPUTED_VALUE"""),1000000)</f>
        <v>1000000</v>
      </c>
      <c r="N18" s="935">
        <f ca="1">IFERROR(__xludf.DUMMYFUNCTION("""COMPUTED_VALUE"""),1100000)</f>
        <v>1100000</v>
      </c>
      <c r="O18" s="514"/>
      <c r="P18" s="514" t="str">
        <f ca="1">IFERROR(__xludf.DUMMYFUNCTION("""COMPUTED_VALUE"""),"API241125강이슬2970")</f>
        <v>API241125강이슬2970</v>
      </c>
      <c r="Q18" s="936" t="b">
        <f ca="1">IFERROR(__xludf.DUMMYFUNCTION("""COMPUTED_VALUE"""),TRUE)</f>
        <v>1</v>
      </c>
      <c r="R18" s="2"/>
      <c r="S18" s="508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 spans="1:32" ht="15.75" customHeight="1">
      <c r="A19" s="938">
        <f ca="1">IFERROR(__xludf.DUMMYFUNCTION("""COMPUTED_VALUE"""),25)</f>
        <v>25</v>
      </c>
      <c r="B19" s="939" t="str">
        <f ca="1">IFERROR(__xludf.DUMMYFUNCTION("""COMPUTED_VALUE"""),"HX-PR-13276")</f>
        <v>HX-PR-13276</v>
      </c>
      <c r="C19" s="940" t="str">
        <f ca="1">IFERROR(__xludf.DUMMYFUNCTION("""COMPUTED_VALUE"""),"R220035")</f>
        <v>R220035</v>
      </c>
      <c r="D19" s="941" t="str">
        <f ca="1">IFERROR(__xludf.DUMMYFUNCTION("""COMPUTED_VALUE"""),"24년 11월 왕산마리나 홈페이지 유지보수")</f>
        <v>24년 11월 왕산마리나 홈페이지 유지보수</v>
      </c>
      <c r="E19" s="940" t="str">
        <f ca="1">IFERROR(__xludf.DUMMYFUNCTION("""COMPUTED_VALUE"""),"크리에이티브창")</f>
        <v>크리에이티브창</v>
      </c>
      <c r="F19" s="942" t="str">
        <f ca="1">IFERROR(__xludf.DUMMYFUNCTION("""COMPUTED_VALUE"""),"HX-PO-12967")</f>
        <v>HX-PO-12967</v>
      </c>
      <c r="G19" s="943" t="b">
        <f ca="1">IFERROR(__xludf.DUMMYFUNCTION("""COMPUTED_VALUE"""),TRUE)</f>
        <v>1</v>
      </c>
      <c r="H19" s="944"/>
      <c r="I19" s="909" t="b">
        <f ca="1">IFERROR(__xludf.DUMMYFUNCTION("""COMPUTED_VALUE"""),TRUE)</f>
        <v>1</v>
      </c>
      <c r="J19" s="945">
        <f ca="1">IFERROR(__xludf.DUMMYFUNCTION("""COMPUTED_VALUE"""),18470)</f>
        <v>18470</v>
      </c>
      <c r="K19" s="904" t="str">
        <f ca="1">IFERROR(__xludf.DUMMYFUNCTION("""COMPUTED_VALUE"""),"최윤창")</f>
        <v>최윤창</v>
      </c>
      <c r="L19" s="941" t="str">
        <f ca="1">IFERROR(__xludf.DUMMYFUNCTION("""COMPUTED_VALUE"""),"ycchoi@hist.co.kr")</f>
        <v>ycchoi@hist.co.kr</v>
      </c>
      <c r="M19" s="946">
        <f ca="1">IFERROR(__xludf.DUMMYFUNCTION("""COMPUTED_VALUE"""),500000)</f>
        <v>500000</v>
      </c>
      <c r="N19" s="935">
        <f ca="1">IFERROR(__xludf.DUMMYFUNCTION("""COMPUTED_VALUE"""),550000)</f>
        <v>550000</v>
      </c>
      <c r="O19" s="514"/>
      <c r="P19" s="514" t="str">
        <f ca="1">IFERROR(__xludf.DUMMYFUNCTION("""COMPUTED_VALUE"""),"API241125강이슬2967")</f>
        <v>API241125강이슬2967</v>
      </c>
      <c r="Q19" s="947" t="b">
        <f ca="1">IFERROR(__xludf.DUMMYFUNCTION("""COMPUTED_VALUE"""),TRUE)</f>
        <v>1</v>
      </c>
      <c r="R19" s="2"/>
      <c r="S19" s="508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 spans="1:32" ht="15.75" customHeight="1">
      <c r="A20" s="948">
        <f ca="1">IFERROR(__xludf.DUMMYFUNCTION("""COMPUTED_VALUE"""),30)</f>
        <v>30</v>
      </c>
      <c r="B20" s="949" t="str">
        <f ca="1">IFERROR(__xludf.DUMMYFUNCTION("""COMPUTED_VALUE"""),"HX-PR-14632")</f>
        <v>HX-PR-14632</v>
      </c>
      <c r="C20" s="950" t="str">
        <f ca="1">IFERROR(__xludf.DUMMYFUNCTION("""COMPUTED_VALUE"""),"P230002")</f>
        <v>P230002</v>
      </c>
      <c r="D20" s="927" t="str">
        <f ca="1">IFERROR(__xludf.DUMMYFUNCTION("""COMPUTED_VALUE"""),"24년 11월 정석기업 전사정보시스템 유지보수")</f>
        <v>24년 11월 정석기업 전사정보시스템 유지보수</v>
      </c>
      <c r="E20" s="950" t="str">
        <f ca="1">IFERROR(__xludf.DUMMYFUNCTION("""COMPUTED_VALUE"""),"이지미디어")</f>
        <v>이지미디어</v>
      </c>
      <c r="F20" s="951" t="str">
        <f ca="1">IFERROR(__xludf.DUMMYFUNCTION("""COMPUTED_VALUE"""),"HX-PO-14593")</f>
        <v>HX-PO-14593</v>
      </c>
      <c r="G20" s="952" t="b">
        <f ca="1">IFERROR(__xludf.DUMMYFUNCTION("""COMPUTED_VALUE"""),TRUE)</f>
        <v>1</v>
      </c>
      <c r="H20" s="953" t="b">
        <f ca="1">IFERROR(__xludf.DUMMYFUNCTION("""COMPUTED_VALUE"""),TRUE)</f>
        <v>1</v>
      </c>
      <c r="I20" s="954"/>
      <c r="J20" s="955">
        <f ca="1">IFERROR(__xludf.DUMMYFUNCTION("""COMPUTED_VALUE"""),18471)</f>
        <v>18471</v>
      </c>
      <c r="K20" s="904" t="str">
        <f ca="1">IFERROR(__xludf.DUMMYFUNCTION("""COMPUTED_VALUE"""),"최윤창")</f>
        <v>최윤창</v>
      </c>
      <c r="L20" s="956" t="str">
        <f ca="1">IFERROR(__xludf.DUMMYFUNCTION("""COMPUTED_VALUE"""),"ycchoi@hist.co.kr")</f>
        <v>ycchoi@hist.co.kr</v>
      </c>
      <c r="M20" s="957">
        <f ca="1">IFERROR(__xludf.DUMMYFUNCTION("""COMPUTED_VALUE"""),600000)</f>
        <v>600000</v>
      </c>
      <c r="N20" s="935">
        <f ca="1">IFERROR(__xludf.DUMMYFUNCTION("""COMPUTED_VALUE"""),660000)</f>
        <v>660000</v>
      </c>
      <c r="O20" s="514"/>
      <c r="P20" s="514" t="str">
        <f ca="1">IFERROR(__xludf.DUMMYFUNCTION("""COMPUTED_VALUE"""),"API241130강이슬4593")</f>
        <v>API241130강이슬4593</v>
      </c>
      <c r="Q20" s="958" t="b">
        <f ca="1">IFERROR(__xludf.DUMMYFUNCTION("""COMPUTED_VALUE"""),TRUE)</f>
        <v>1</v>
      </c>
      <c r="R20" s="2"/>
      <c r="S20" s="508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 spans="1:32" ht="15.75" customHeight="1">
      <c r="A21" s="937">
        <f ca="1">IFERROR(__xludf.DUMMYFUNCTION("""COMPUTED_VALUE"""),30)</f>
        <v>30</v>
      </c>
      <c r="B21" s="1264"/>
      <c r="C21" s="1266"/>
      <c r="D21" s="916" t="str">
        <f ca="1">IFERROR(__xludf.DUMMYFUNCTION("""COMPUTED_VALUE"""),"24년 11월 정석기업 전사정보시스템 유지보수")</f>
        <v>24년 11월 정석기업 전사정보시스템 유지보수</v>
      </c>
      <c r="E21" s="917" t="str">
        <f ca="1">IFERROR(__xludf.DUMMYFUNCTION("""COMPUTED_VALUE"""),"지트파워")</f>
        <v>지트파워</v>
      </c>
      <c r="F21" s="918" t="str">
        <f ca="1">IFERROR(__xludf.DUMMYFUNCTION("""COMPUTED_VALUE"""),"HX-PO-14592")</f>
        <v>HX-PO-14592</v>
      </c>
      <c r="G21" s="919" t="b">
        <f ca="1">IFERROR(__xludf.DUMMYFUNCTION("""COMPUTED_VALUE"""),TRUE)</f>
        <v>1</v>
      </c>
      <c r="H21" s="920" t="b">
        <f ca="1">IFERROR(__xludf.DUMMYFUNCTION("""COMPUTED_VALUE"""),TRUE)</f>
        <v>1</v>
      </c>
      <c r="I21" s="909"/>
      <c r="J21" s="922">
        <f ca="1">IFERROR(__xludf.DUMMYFUNCTION("""COMPUTED_VALUE"""),18534)</f>
        <v>18534</v>
      </c>
      <c r="K21" s="904" t="str">
        <f ca="1">IFERROR(__xludf.DUMMYFUNCTION("""COMPUTED_VALUE"""),"최윤창")</f>
        <v>최윤창</v>
      </c>
      <c r="L21" s="916" t="str">
        <f ca="1">IFERROR(__xludf.DUMMYFUNCTION("""COMPUTED_VALUE"""),"ycchoi@hist.co.kr")</f>
        <v>ycchoi@hist.co.kr</v>
      </c>
      <c r="M21" s="924">
        <f ca="1">IFERROR(__xludf.DUMMYFUNCTION("""COMPUTED_VALUE"""),2800000)</f>
        <v>2800000</v>
      </c>
      <c r="N21" s="905">
        <f ca="1">IFERROR(__xludf.DUMMYFUNCTION("""COMPUTED_VALUE"""),3080000)</f>
        <v>3080000</v>
      </c>
      <c r="O21" s="514"/>
      <c r="P21" s="514" t="str">
        <f ca="1">IFERROR(__xludf.DUMMYFUNCTION("""COMPUTED_VALUE"""),"API241130강이슬4592")</f>
        <v>API241130강이슬4592</v>
      </c>
      <c r="Q21" s="926" t="b">
        <f ca="1">IFERROR(__xludf.DUMMYFUNCTION("""COMPUTED_VALUE"""),TRUE)</f>
        <v>1</v>
      </c>
      <c r="R21" s="2"/>
      <c r="S21" s="508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</row>
    <row r="22" spans="1:32" ht="15.75" customHeight="1">
      <c r="A22" s="959">
        <f ca="1">IFERROR(__xludf.DUMMYFUNCTION("""COMPUTED_VALUE"""),30)</f>
        <v>30</v>
      </c>
      <c r="B22" s="1150"/>
      <c r="C22" s="1267"/>
      <c r="D22" s="508" t="str">
        <f ca="1">IFERROR(__xludf.DUMMYFUNCTION("""COMPUTED_VALUE"""),"24년 11월 정석기업 전사정보시스템 유지보수")</f>
        <v>24년 11월 정석기업 전사정보시스템 유지보수</v>
      </c>
      <c r="E22" s="504" t="str">
        <f ca="1">IFERROR(__xludf.DUMMYFUNCTION("""COMPUTED_VALUE"""),"더존비즈온")</f>
        <v>더존비즈온</v>
      </c>
      <c r="F22" s="960" t="str">
        <f ca="1">IFERROR(__xludf.DUMMYFUNCTION("""COMPUTED_VALUE"""),"HX-PO-14594")</f>
        <v>HX-PO-14594</v>
      </c>
      <c r="G22" s="961" t="b">
        <f ca="1">IFERROR(__xludf.DUMMYFUNCTION("""COMPUTED_VALUE"""),TRUE)</f>
        <v>1</v>
      </c>
      <c r="H22" s="962" t="b">
        <f ca="1">IFERROR(__xludf.DUMMYFUNCTION("""COMPUTED_VALUE"""),TRUE)</f>
        <v>1</v>
      </c>
      <c r="I22" s="909"/>
      <c r="J22" s="963">
        <f ca="1">IFERROR(__xludf.DUMMYFUNCTION("""COMPUTED_VALUE"""),18472)</f>
        <v>18472</v>
      </c>
      <c r="K22" s="904" t="str">
        <f ca="1">IFERROR(__xludf.DUMMYFUNCTION("""COMPUTED_VALUE"""),"최윤창")</f>
        <v>최윤창</v>
      </c>
      <c r="L22" s="508" t="str">
        <f ca="1">IFERROR(__xludf.DUMMYFUNCTION("""COMPUTED_VALUE"""),"ycchoi@hist.co.kr")</f>
        <v>ycchoi@hist.co.kr</v>
      </c>
      <c r="M22" s="552">
        <f ca="1">IFERROR(__xludf.DUMMYFUNCTION("""COMPUTED_VALUE"""),431000)</f>
        <v>431000</v>
      </c>
      <c r="N22" s="905">
        <f ca="1">IFERROR(__xludf.DUMMYFUNCTION("""COMPUTED_VALUE"""),474100)</f>
        <v>474100</v>
      </c>
      <c r="O22" s="514"/>
      <c r="P22" s="514" t="str">
        <f ca="1">IFERROR(__xludf.DUMMYFUNCTION("""COMPUTED_VALUE"""),"API241130강이슬4594")</f>
        <v>API241130강이슬4594</v>
      </c>
      <c r="Q22" s="964" t="b">
        <f ca="1">IFERROR(__xludf.DUMMYFUNCTION("""COMPUTED_VALUE"""),TRUE)</f>
        <v>1</v>
      </c>
      <c r="R22" s="2"/>
      <c r="S22" s="508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</row>
    <row r="23" spans="1:32" ht="15.75" customHeight="1">
      <c r="A23" s="948">
        <f ca="1">IFERROR(__xludf.DUMMYFUNCTION("""COMPUTED_VALUE"""),25)</f>
        <v>25</v>
      </c>
      <c r="B23" s="1265"/>
      <c r="C23" s="1268"/>
      <c r="D23" s="927" t="str">
        <f ca="1">IFERROR(__xludf.DUMMYFUNCTION("""COMPUTED_VALUE"""),"인하대학교 IT인프라 통합유지보수 10회차_2024.11 (에스앤에이)")</f>
        <v>인하대학교 IT인프라 통합유지보수 10회차_2024.11 (에스앤에이)</v>
      </c>
      <c r="E23" s="950" t="str">
        <f ca="1">IFERROR(__xludf.DUMMYFUNCTION("""COMPUTED_VALUE"""),"1.에스엔에이")</f>
        <v>1.에스엔에이</v>
      </c>
      <c r="F23" s="951" t="str">
        <f ca="1">IFERROR(__xludf.DUMMYFUNCTION("""COMPUTED_VALUE"""),"HX-PO-14778")</f>
        <v>HX-PO-14778</v>
      </c>
      <c r="G23" s="952" t="b">
        <f ca="1">IFERROR(__xludf.DUMMYFUNCTION("""COMPUTED_VALUE"""),TRUE)</f>
        <v>1</v>
      </c>
      <c r="H23" s="953" t="b">
        <f ca="1">IFERROR(__xludf.DUMMYFUNCTION("""COMPUTED_VALUE"""),TRUE)</f>
        <v>1</v>
      </c>
      <c r="I23" s="909" t="b">
        <f ca="1">IFERROR(__xludf.DUMMYFUNCTION("""COMPUTED_VALUE"""),TRUE)</f>
        <v>1</v>
      </c>
      <c r="J23" s="955">
        <f ca="1">IFERROR(__xludf.DUMMYFUNCTION("""COMPUTED_VALUE"""),18297)</f>
        <v>18297</v>
      </c>
      <c r="K23" s="904" t="str">
        <f ca="1">IFERROR(__xludf.DUMMYFUNCTION("""COMPUTED_VALUE"""),"원치웅")</f>
        <v>원치웅</v>
      </c>
      <c r="L23" s="927" t="str">
        <f ca="1">IFERROR(__xludf.DUMMYFUNCTION("""COMPUTED_VALUE"""),"cwon@hist.co.kr")</f>
        <v>cwon@hist.co.kr</v>
      </c>
      <c r="M23" s="957">
        <f ca="1">IFERROR(__xludf.DUMMYFUNCTION("""COMPUTED_VALUE"""),3925000)</f>
        <v>3925000</v>
      </c>
      <c r="N23" s="935">
        <f ca="1">IFERROR(__xludf.DUMMYFUNCTION("""COMPUTED_VALUE"""),4317500)</f>
        <v>4317500</v>
      </c>
      <c r="O23" s="514"/>
      <c r="P23" s="514" t="str">
        <f ca="1">IFERROR(__xludf.DUMMYFUNCTION("""COMPUTED_VALUE"""),"API241125강이슬4778")</f>
        <v>API241125강이슬4778</v>
      </c>
      <c r="Q23" s="958" t="b">
        <f ca="1">IFERROR(__xludf.DUMMYFUNCTION("""COMPUTED_VALUE"""),TRUE)</f>
        <v>1</v>
      </c>
      <c r="R23" s="2"/>
      <c r="S23" s="508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</row>
    <row r="24" spans="1:32" ht="15.75" customHeight="1">
      <c r="A24" s="937">
        <f ca="1">IFERROR(__xludf.DUMMYFUNCTION("""COMPUTED_VALUE"""),25)</f>
        <v>25</v>
      </c>
      <c r="B24" s="1264"/>
      <c r="C24" s="1266"/>
      <c r="D24" s="916" t="str">
        <f ca="1">IFERROR(__xludf.DUMMYFUNCTION("""COMPUTED_VALUE"""),"인하대학교 IT인프라 통합유지보수 10회차_2024.11 (씨엠티정보통신)")</f>
        <v>인하대학교 IT인프라 통합유지보수 10회차_2024.11 (씨엠티정보통신)</v>
      </c>
      <c r="E24" s="917" t="str">
        <f ca="1">IFERROR(__xludf.DUMMYFUNCTION("""COMPUTED_VALUE"""),"2.씨엠티정보통신")</f>
        <v>2.씨엠티정보통신</v>
      </c>
      <c r="F24" s="918" t="str">
        <f ca="1">IFERROR(__xludf.DUMMYFUNCTION("""COMPUTED_VALUE"""),"HX-PO-14779")</f>
        <v>HX-PO-14779</v>
      </c>
      <c r="G24" s="919" t="b">
        <f ca="1">IFERROR(__xludf.DUMMYFUNCTION("""COMPUTED_VALUE"""),TRUE)</f>
        <v>1</v>
      </c>
      <c r="H24" s="920" t="b">
        <f ca="1">IFERROR(__xludf.DUMMYFUNCTION("""COMPUTED_VALUE"""),TRUE)</f>
        <v>1</v>
      </c>
      <c r="I24" s="921" t="b">
        <f ca="1">IFERROR(__xludf.DUMMYFUNCTION("""COMPUTED_VALUE"""),TRUE)</f>
        <v>1</v>
      </c>
      <c r="J24" s="922">
        <f ca="1">IFERROR(__xludf.DUMMYFUNCTION("""COMPUTED_VALUE"""),18298)</f>
        <v>18298</v>
      </c>
      <c r="K24" s="904" t="str">
        <f ca="1">IFERROR(__xludf.DUMMYFUNCTION("""COMPUTED_VALUE"""),"원치웅")</f>
        <v>원치웅</v>
      </c>
      <c r="L24" s="916" t="str">
        <f ca="1">IFERROR(__xludf.DUMMYFUNCTION("""COMPUTED_VALUE"""),"cwon@hist.co.kr")</f>
        <v>cwon@hist.co.kr</v>
      </c>
      <c r="M24" s="924">
        <f ca="1">IFERROR(__xludf.DUMMYFUNCTION("""COMPUTED_VALUE"""),6758300)</f>
        <v>6758300</v>
      </c>
      <c r="N24" s="925">
        <f ca="1">IFERROR(__xludf.DUMMYFUNCTION("""COMPUTED_VALUE"""),7434130)</f>
        <v>7434130</v>
      </c>
      <c r="O24" s="514"/>
      <c r="P24" s="514" t="str">
        <f ca="1">IFERROR(__xludf.DUMMYFUNCTION("""COMPUTED_VALUE"""),"API241125강이슬4779")</f>
        <v>API241125강이슬4779</v>
      </c>
      <c r="Q24" s="926" t="b">
        <f ca="1">IFERROR(__xludf.DUMMYFUNCTION("""COMPUTED_VALUE"""),TRUE)</f>
        <v>1</v>
      </c>
      <c r="R24" s="2"/>
      <c r="S24" s="508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  <row r="25" spans="1:32" ht="15.75" customHeight="1">
      <c r="A25" s="914">
        <f ca="1">IFERROR(__xludf.DUMMYFUNCTION("""COMPUTED_VALUE"""),25)</f>
        <v>25</v>
      </c>
      <c r="B25" s="1150"/>
      <c r="C25" s="1267"/>
      <c r="D25" s="508" t="str">
        <f ca="1">IFERROR(__xludf.DUMMYFUNCTION("""COMPUTED_VALUE"""),"인하대학교 IT인프라 통합유지보수 10회차_2024.11 (우리엔아이에스)")</f>
        <v>인하대학교 IT인프라 통합유지보수 10회차_2024.11 (우리엔아이에스)</v>
      </c>
      <c r="E25" s="550" t="str">
        <f ca="1">IFERROR(__xludf.DUMMYFUNCTION("""COMPUTED_VALUE"""),"3.우리엔아이에스")</f>
        <v>3.우리엔아이에스</v>
      </c>
      <c r="F25" s="965" t="str">
        <f ca="1">IFERROR(__xludf.DUMMYFUNCTION("""COMPUTED_VALUE"""),"HX-PO-14780")</f>
        <v>HX-PO-14780</v>
      </c>
      <c r="G25" s="911" t="b">
        <f ca="1">IFERROR(__xludf.DUMMYFUNCTION("""COMPUTED_VALUE"""),TRUE)</f>
        <v>1</v>
      </c>
      <c r="H25" s="912" t="b">
        <f ca="1">IFERROR(__xludf.DUMMYFUNCTION("""COMPUTED_VALUE"""),TRUE)</f>
        <v>1</v>
      </c>
      <c r="I25" s="966" t="b">
        <f ca="1">IFERROR(__xludf.DUMMYFUNCTION("""COMPUTED_VALUE"""),TRUE)</f>
        <v>1</v>
      </c>
      <c r="J25" s="967">
        <f ca="1">IFERROR(__xludf.DUMMYFUNCTION("""COMPUTED_VALUE"""),18519)</f>
        <v>18519</v>
      </c>
      <c r="K25" s="904" t="str">
        <f ca="1">IFERROR(__xludf.DUMMYFUNCTION("""COMPUTED_VALUE"""),"원치웅")</f>
        <v>원치웅</v>
      </c>
      <c r="L25" s="508" t="str">
        <f ca="1">IFERROR(__xludf.DUMMYFUNCTION("""COMPUTED_VALUE"""),"cwon@hist.co.kr")</f>
        <v>cwon@hist.co.kr</v>
      </c>
      <c r="M25" s="551">
        <f ca="1">IFERROR(__xludf.DUMMYFUNCTION("""COMPUTED_VALUE"""),4462500)</f>
        <v>4462500</v>
      </c>
      <c r="N25" s="905">
        <f ca="1">IFERROR(__xludf.DUMMYFUNCTION("""COMPUTED_VALUE"""),4908750)</f>
        <v>4908750</v>
      </c>
      <c r="O25" s="514"/>
      <c r="P25" s="514" t="str">
        <f ca="1">IFERROR(__xludf.DUMMYFUNCTION("""COMPUTED_VALUE"""),"API241125강이슬4780")</f>
        <v>API241125강이슬4780</v>
      </c>
      <c r="Q25" s="947" t="b">
        <f ca="1">IFERROR(__xludf.DUMMYFUNCTION("""COMPUTED_VALUE"""),TRUE)</f>
        <v>1</v>
      </c>
      <c r="R25" s="2"/>
      <c r="S25" s="508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</row>
    <row r="26" spans="1:32" ht="15.75" customHeight="1">
      <c r="A26" s="914">
        <f ca="1">IFERROR(__xludf.DUMMYFUNCTION("""COMPUTED_VALUE"""),25)</f>
        <v>25</v>
      </c>
      <c r="B26" s="1150"/>
      <c r="C26" s="1267"/>
      <c r="D26" s="508" t="str">
        <f ca="1">IFERROR(__xludf.DUMMYFUNCTION("""COMPUTED_VALUE"""),"인하대학교 IT인프라 통합유지보수 10회차_2024.11 (등대씨엔씨)")</f>
        <v>인하대학교 IT인프라 통합유지보수 10회차_2024.11 (등대씨엔씨)</v>
      </c>
      <c r="E26" s="550" t="str">
        <f ca="1">IFERROR(__xludf.DUMMYFUNCTION("""COMPUTED_VALUE"""),"4.등대씨엔씨")</f>
        <v>4.등대씨엔씨</v>
      </c>
      <c r="F26" s="965" t="str">
        <f ca="1">IFERROR(__xludf.DUMMYFUNCTION("""COMPUTED_VALUE"""),"HX-PO-14781")</f>
        <v>HX-PO-14781</v>
      </c>
      <c r="G26" s="911" t="b">
        <f ca="1">IFERROR(__xludf.DUMMYFUNCTION("""COMPUTED_VALUE"""),TRUE)</f>
        <v>1</v>
      </c>
      <c r="H26" s="912" t="b">
        <f ca="1">IFERROR(__xludf.DUMMYFUNCTION("""COMPUTED_VALUE"""),TRUE)</f>
        <v>1</v>
      </c>
      <c r="I26" s="966" t="b">
        <f ca="1">IFERROR(__xludf.DUMMYFUNCTION("""COMPUTED_VALUE"""),TRUE)</f>
        <v>1</v>
      </c>
      <c r="J26" s="967">
        <f ca="1">IFERROR(__xludf.DUMMYFUNCTION("""COMPUTED_VALUE"""),18476)</f>
        <v>18476</v>
      </c>
      <c r="K26" s="904" t="str">
        <f ca="1">IFERROR(__xludf.DUMMYFUNCTION("""COMPUTED_VALUE"""),"원치웅")</f>
        <v>원치웅</v>
      </c>
      <c r="L26" s="508" t="str">
        <f ca="1">IFERROR(__xludf.DUMMYFUNCTION("""COMPUTED_VALUE"""),"cwon@hist.co.kr")</f>
        <v>cwon@hist.co.kr</v>
      </c>
      <c r="M26" s="551">
        <f ca="1">IFERROR(__xludf.DUMMYFUNCTION("""COMPUTED_VALUE"""),583300)</f>
        <v>583300</v>
      </c>
      <c r="N26" s="905">
        <f ca="1">IFERROR(__xludf.DUMMYFUNCTION("""COMPUTED_VALUE"""),641630)</f>
        <v>641630</v>
      </c>
      <c r="O26" s="514"/>
      <c r="P26" s="514" t="str">
        <f ca="1">IFERROR(__xludf.DUMMYFUNCTION("""COMPUTED_VALUE"""),"API241125강이슬4781")</f>
        <v>API241125강이슬4781</v>
      </c>
      <c r="Q26" s="947" t="b">
        <f ca="1">IFERROR(__xludf.DUMMYFUNCTION("""COMPUTED_VALUE"""),TRUE)</f>
        <v>1</v>
      </c>
      <c r="R26" s="2"/>
      <c r="S26" s="508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 spans="1:32" ht="15.75" customHeight="1">
      <c r="A27" s="914">
        <f ca="1">IFERROR(__xludf.DUMMYFUNCTION("""COMPUTED_VALUE"""),25)</f>
        <v>25</v>
      </c>
      <c r="B27" s="1150"/>
      <c r="C27" s="1267"/>
      <c r="D27" s="508" t="str">
        <f ca="1">IFERROR(__xludf.DUMMYFUNCTION("""COMPUTED_VALUE"""),"인하대학교 IT인프라 통합유지보수 10회차_2024.11 (이소프팅)")</f>
        <v>인하대학교 IT인프라 통합유지보수 10회차_2024.11 (이소프팅)</v>
      </c>
      <c r="E27" s="550" t="str">
        <f ca="1">IFERROR(__xludf.DUMMYFUNCTION("""COMPUTED_VALUE"""),"5.이소프팅")</f>
        <v>5.이소프팅</v>
      </c>
      <c r="F27" s="965" t="str">
        <f ca="1">IFERROR(__xludf.DUMMYFUNCTION("""COMPUTED_VALUE"""),"HX-PO-14782")</f>
        <v>HX-PO-14782</v>
      </c>
      <c r="G27" s="911" t="b">
        <f ca="1">IFERROR(__xludf.DUMMYFUNCTION("""COMPUTED_VALUE"""),TRUE)</f>
        <v>1</v>
      </c>
      <c r="H27" s="912" t="b">
        <f ca="1">IFERROR(__xludf.DUMMYFUNCTION("""COMPUTED_VALUE"""),TRUE)</f>
        <v>1</v>
      </c>
      <c r="I27" s="966" t="b">
        <f ca="1">IFERROR(__xludf.DUMMYFUNCTION("""COMPUTED_VALUE"""),FALSE)</f>
        <v>0</v>
      </c>
      <c r="J27" s="967">
        <f ca="1">IFERROR(__xludf.DUMMYFUNCTION("""COMPUTED_VALUE"""),18299)</f>
        <v>18299</v>
      </c>
      <c r="K27" s="904" t="str">
        <f ca="1">IFERROR(__xludf.DUMMYFUNCTION("""COMPUTED_VALUE"""),"원치웅")</f>
        <v>원치웅</v>
      </c>
      <c r="L27" s="508" t="str">
        <f ca="1">IFERROR(__xludf.DUMMYFUNCTION("""COMPUTED_VALUE"""),"cwon@hist.co.kr")</f>
        <v>cwon@hist.co.kr</v>
      </c>
      <c r="M27" s="551">
        <f ca="1">IFERROR(__xludf.DUMMYFUNCTION("""COMPUTED_VALUE"""),200000)</f>
        <v>200000</v>
      </c>
      <c r="N27" s="905">
        <f ca="1">IFERROR(__xludf.DUMMYFUNCTION("""COMPUTED_VALUE"""),220000)</f>
        <v>220000</v>
      </c>
      <c r="O27" s="514"/>
      <c r="P27" s="514" t="str">
        <f ca="1">IFERROR(__xludf.DUMMYFUNCTION("""COMPUTED_VALUE"""),"API241125강이슬4782")</f>
        <v>API241125강이슬4782</v>
      </c>
      <c r="Q27" s="947" t="b">
        <f ca="1">IFERROR(__xludf.DUMMYFUNCTION("""COMPUTED_VALUE"""),TRUE)</f>
        <v>1</v>
      </c>
      <c r="R27" s="2"/>
      <c r="S27" s="508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</row>
    <row r="28" spans="1:32" ht="15.75" customHeight="1">
      <c r="A28" s="914">
        <f ca="1">IFERROR(__xludf.DUMMYFUNCTION("""COMPUTED_VALUE"""),25)</f>
        <v>25</v>
      </c>
      <c r="B28" s="1150"/>
      <c r="C28" s="1267"/>
      <c r="D28" s="508" t="str">
        <f ca="1">IFERROR(__xludf.DUMMYFUNCTION("""COMPUTED_VALUE"""),"인하대학교 IT인프라 통합유지보수 10회차_2024.11 (한결피아이에프)")</f>
        <v>인하대학교 IT인프라 통합유지보수 10회차_2024.11 (한결피아이에프)</v>
      </c>
      <c r="E28" s="550" t="str">
        <f ca="1">IFERROR(__xludf.DUMMYFUNCTION("""COMPUTED_VALUE"""),"6.한결피아이에프")</f>
        <v>6.한결피아이에프</v>
      </c>
      <c r="F28" s="965" t="str">
        <f ca="1">IFERROR(__xludf.DUMMYFUNCTION("""COMPUTED_VALUE"""),"HX-PO-14783")</f>
        <v>HX-PO-14783</v>
      </c>
      <c r="G28" s="911" t="b">
        <f ca="1">IFERROR(__xludf.DUMMYFUNCTION("""COMPUTED_VALUE"""),TRUE)</f>
        <v>1</v>
      </c>
      <c r="H28" s="912" t="b">
        <f ca="1">IFERROR(__xludf.DUMMYFUNCTION("""COMPUTED_VALUE"""),TRUE)</f>
        <v>1</v>
      </c>
      <c r="I28" s="966" t="b">
        <f ca="1">IFERROR(__xludf.DUMMYFUNCTION("""COMPUTED_VALUE"""),TRUE)</f>
        <v>1</v>
      </c>
      <c r="J28" s="967">
        <f ca="1">IFERROR(__xludf.DUMMYFUNCTION("""COMPUTED_VALUE"""),18300)</f>
        <v>18300</v>
      </c>
      <c r="K28" s="904" t="str">
        <f ca="1">IFERROR(__xludf.DUMMYFUNCTION("""COMPUTED_VALUE"""),"원치웅")</f>
        <v>원치웅</v>
      </c>
      <c r="L28" s="508" t="str">
        <f ca="1">IFERROR(__xludf.DUMMYFUNCTION("""COMPUTED_VALUE"""),"cwon@hist.co.kr")</f>
        <v>cwon@hist.co.kr</v>
      </c>
      <c r="M28" s="551">
        <f ca="1">IFERROR(__xludf.DUMMYFUNCTION("""COMPUTED_VALUE"""),1454900)</f>
        <v>1454900</v>
      </c>
      <c r="N28" s="905">
        <f ca="1">IFERROR(__xludf.DUMMYFUNCTION("""COMPUTED_VALUE"""),1600390)</f>
        <v>1600390</v>
      </c>
      <c r="O28" s="514"/>
      <c r="P28" s="514" t="str">
        <f ca="1">IFERROR(__xludf.DUMMYFUNCTION("""COMPUTED_VALUE"""),"API241125강이슬4783")</f>
        <v>API241125강이슬4783</v>
      </c>
      <c r="Q28" s="947" t="b">
        <f ca="1">IFERROR(__xludf.DUMMYFUNCTION("""COMPUTED_VALUE"""),TRUE)</f>
        <v>1</v>
      </c>
      <c r="R28" s="2"/>
      <c r="S28" s="508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</row>
    <row r="29" spans="1:32" ht="15.75" customHeight="1">
      <c r="A29" s="914">
        <f ca="1">IFERROR(__xludf.DUMMYFUNCTION("""COMPUTED_VALUE"""),25)</f>
        <v>25</v>
      </c>
      <c r="B29" s="1150"/>
      <c r="C29" s="1267"/>
      <c r="D29" s="508" t="str">
        <f ca="1">IFERROR(__xludf.DUMMYFUNCTION("""COMPUTED_VALUE"""),"인하대학교 IT인프라 통합유지보수 10회차_2024.11 (론스텍)")</f>
        <v>인하대학교 IT인프라 통합유지보수 10회차_2024.11 (론스텍)</v>
      </c>
      <c r="E29" s="550" t="str">
        <f ca="1">IFERROR(__xludf.DUMMYFUNCTION("""COMPUTED_VALUE"""),"7.론스텍")</f>
        <v>7.론스텍</v>
      </c>
      <c r="F29" s="965" t="str">
        <f ca="1">IFERROR(__xludf.DUMMYFUNCTION("""COMPUTED_VALUE"""),"HX-PO-14784")</f>
        <v>HX-PO-14784</v>
      </c>
      <c r="G29" s="911" t="b">
        <f ca="1">IFERROR(__xludf.DUMMYFUNCTION("""COMPUTED_VALUE"""),TRUE)</f>
        <v>1</v>
      </c>
      <c r="H29" s="912" t="b">
        <f ca="1">IFERROR(__xludf.DUMMYFUNCTION("""COMPUTED_VALUE"""),TRUE)</f>
        <v>1</v>
      </c>
      <c r="I29" s="966"/>
      <c r="J29" s="967">
        <f ca="1">IFERROR(__xludf.DUMMYFUNCTION("""COMPUTED_VALUE"""),18301)</f>
        <v>18301</v>
      </c>
      <c r="K29" s="904" t="str">
        <f ca="1">IFERROR(__xludf.DUMMYFUNCTION("""COMPUTED_VALUE"""),"원치웅")</f>
        <v>원치웅</v>
      </c>
      <c r="L29" s="508" t="str">
        <f ca="1">IFERROR(__xludf.DUMMYFUNCTION("""COMPUTED_VALUE"""),"cwon@hist.co.kr")</f>
        <v>cwon@hist.co.kr</v>
      </c>
      <c r="M29" s="551">
        <f ca="1">IFERROR(__xludf.DUMMYFUNCTION("""COMPUTED_VALUE"""),600000)</f>
        <v>600000</v>
      </c>
      <c r="N29" s="905">
        <f ca="1">IFERROR(__xludf.DUMMYFUNCTION("""COMPUTED_VALUE"""),660000)</f>
        <v>660000</v>
      </c>
      <c r="O29" s="514"/>
      <c r="P29" s="514" t="str">
        <f ca="1">IFERROR(__xludf.DUMMYFUNCTION("""COMPUTED_VALUE"""),"API241125강이슬4784")</f>
        <v>API241125강이슬4784</v>
      </c>
      <c r="Q29" s="947" t="b">
        <f ca="1">IFERROR(__xludf.DUMMYFUNCTION("""COMPUTED_VALUE"""),TRUE)</f>
        <v>1</v>
      </c>
      <c r="R29" s="2"/>
      <c r="S29" s="508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</row>
    <row r="30" spans="1:32" ht="15.75" customHeight="1">
      <c r="A30" s="914">
        <f ca="1">IFERROR(__xludf.DUMMYFUNCTION("""COMPUTED_VALUE"""),25)</f>
        <v>25</v>
      </c>
      <c r="B30" s="1150"/>
      <c r="C30" s="1267"/>
      <c r="D30" s="508" t="str">
        <f ca="1">IFERROR(__xludf.DUMMYFUNCTION("""COMPUTED_VALUE"""),"인하대학교 IT인프라 통합유지보수 10회차_2024.11 (고훈테크)")</f>
        <v>인하대학교 IT인프라 통합유지보수 10회차_2024.11 (고훈테크)</v>
      </c>
      <c r="E30" s="550" t="str">
        <f ca="1">IFERROR(__xludf.DUMMYFUNCTION("""COMPUTED_VALUE"""),"8.고훈테크")</f>
        <v>8.고훈테크</v>
      </c>
      <c r="F30" s="965" t="str">
        <f ca="1">IFERROR(__xludf.DUMMYFUNCTION("""COMPUTED_VALUE"""),"HX-PO-14785")</f>
        <v>HX-PO-14785</v>
      </c>
      <c r="G30" s="911" t="b">
        <f ca="1">IFERROR(__xludf.DUMMYFUNCTION("""COMPUTED_VALUE"""),TRUE)</f>
        <v>1</v>
      </c>
      <c r="H30" s="912" t="b">
        <f ca="1">IFERROR(__xludf.DUMMYFUNCTION("""COMPUTED_VALUE"""),TRUE)</f>
        <v>1</v>
      </c>
      <c r="I30" s="909" t="b">
        <f ca="1">IFERROR(__xludf.DUMMYFUNCTION("""COMPUTED_VALUE"""),FALSE)</f>
        <v>0</v>
      </c>
      <c r="J30" s="967">
        <f ca="1">IFERROR(__xludf.DUMMYFUNCTION("""COMPUTED_VALUE"""),18302)</f>
        <v>18302</v>
      </c>
      <c r="K30" s="904" t="str">
        <f ca="1">IFERROR(__xludf.DUMMYFUNCTION("""COMPUTED_VALUE"""),"원치웅")</f>
        <v>원치웅</v>
      </c>
      <c r="L30" s="508" t="str">
        <f ca="1">IFERROR(__xludf.DUMMYFUNCTION("""COMPUTED_VALUE"""),"cwon@hist.co.kr")</f>
        <v>cwon@hist.co.kr</v>
      </c>
      <c r="M30" s="551">
        <f ca="1">IFERROR(__xludf.DUMMYFUNCTION("""COMPUTED_VALUE"""),1335000)</f>
        <v>1335000</v>
      </c>
      <c r="N30" s="905">
        <f ca="1">IFERROR(__xludf.DUMMYFUNCTION("""COMPUTED_VALUE"""),1468500)</f>
        <v>1468500</v>
      </c>
      <c r="O30" s="514"/>
      <c r="P30" s="514" t="str">
        <f ca="1">IFERROR(__xludf.DUMMYFUNCTION("""COMPUTED_VALUE"""),"API241125강이슬4785")</f>
        <v>API241125강이슬4785</v>
      </c>
      <c r="Q30" s="947" t="b">
        <f ca="1">IFERROR(__xludf.DUMMYFUNCTION("""COMPUTED_VALUE"""),TRUE)</f>
        <v>1</v>
      </c>
      <c r="R30" s="2"/>
      <c r="S30" s="508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</row>
    <row r="31" spans="1:32" ht="15.75" customHeight="1">
      <c r="A31" s="914">
        <f ca="1">IFERROR(__xludf.DUMMYFUNCTION("""COMPUTED_VALUE"""),25)</f>
        <v>25</v>
      </c>
      <c r="B31" s="1150"/>
      <c r="C31" s="1267"/>
      <c r="D31" s="508" t="str">
        <f ca="1">IFERROR(__xludf.DUMMYFUNCTION("""COMPUTED_VALUE"""),"인하대학교 IT인프라 통합유지보수 10회차_2024.11 (오상자이엘)")</f>
        <v>인하대학교 IT인프라 통합유지보수 10회차_2024.11 (오상자이엘)</v>
      </c>
      <c r="E31" s="550" t="str">
        <f ca="1">IFERROR(__xludf.DUMMYFUNCTION("""COMPUTED_VALUE"""),"9.오상자이엘")</f>
        <v>9.오상자이엘</v>
      </c>
      <c r="F31" s="965" t="str">
        <f ca="1">IFERROR(__xludf.DUMMYFUNCTION("""COMPUTED_VALUE"""),"HX-PO-14786")</f>
        <v>HX-PO-14786</v>
      </c>
      <c r="G31" s="911" t="b">
        <f ca="1">IFERROR(__xludf.DUMMYFUNCTION("""COMPUTED_VALUE"""),TRUE)</f>
        <v>1</v>
      </c>
      <c r="H31" s="912" t="b">
        <f ca="1">IFERROR(__xludf.DUMMYFUNCTION("""COMPUTED_VALUE"""),TRUE)</f>
        <v>1</v>
      </c>
      <c r="I31" s="966" t="b">
        <f ca="1">IFERROR(__xludf.DUMMYFUNCTION("""COMPUTED_VALUE"""),FALSE)</f>
        <v>0</v>
      </c>
      <c r="J31" s="967">
        <f ca="1">IFERROR(__xludf.DUMMYFUNCTION("""COMPUTED_VALUE"""),18520)</f>
        <v>18520</v>
      </c>
      <c r="K31" s="904" t="str">
        <f ca="1">IFERROR(__xludf.DUMMYFUNCTION("""COMPUTED_VALUE"""),"원치웅")</f>
        <v>원치웅</v>
      </c>
      <c r="L31" s="508" t="str">
        <f ca="1">IFERROR(__xludf.DUMMYFUNCTION("""COMPUTED_VALUE"""),"cwon@hist.co.kr")</f>
        <v>cwon@hist.co.kr</v>
      </c>
      <c r="M31" s="551">
        <f ca="1">IFERROR(__xludf.DUMMYFUNCTION("""COMPUTED_VALUE"""),1150000)</f>
        <v>1150000</v>
      </c>
      <c r="N31" s="905">
        <f ca="1">IFERROR(__xludf.DUMMYFUNCTION("""COMPUTED_VALUE"""),1265000)</f>
        <v>1265000</v>
      </c>
      <c r="O31" s="514"/>
      <c r="P31" s="514" t="str">
        <f ca="1">IFERROR(__xludf.DUMMYFUNCTION("""COMPUTED_VALUE"""),"API241125강이슬4786")</f>
        <v>API241125강이슬4786</v>
      </c>
      <c r="Q31" s="947" t="b">
        <f ca="1">IFERROR(__xludf.DUMMYFUNCTION("""COMPUTED_VALUE"""),TRUE)</f>
        <v>1</v>
      </c>
      <c r="R31" s="2"/>
      <c r="S31" s="508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</row>
    <row r="32" spans="1:32" ht="15.75" customHeight="1">
      <c r="A32" s="914">
        <f ca="1">IFERROR(__xludf.DUMMYFUNCTION("""COMPUTED_VALUE"""),25)</f>
        <v>25</v>
      </c>
      <c r="B32" s="1150"/>
      <c r="C32" s="1267"/>
      <c r="D32" s="508" t="str">
        <f ca="1">IFERROR(__xludf.DUMMYFUNCTION("""COMPUTED_VALUE"""),"인하대학교 IT인프라 통합유지보수 9회차_2024.10 (컴트루테크놀로지)")</f>
        <v>인하대학교 IT인프라 통합유지보수 9회차_2024.10 (컴트루테크놀로지)</v>
      </c>
      <c r="E32" s="550" t="str">
        <f ca="1">IFERROR(__xludf.DUMMYFUNCTION("""COMPUTED_VALUE"""),"10.컴트루테크놀로지")</f>
        <v>10.컴트루테크놀로지</v>
      </c>
      <c r="F32" s="965" t="str">
        <f ca="1">IFERROR(__xludf.DUMMYFUNCTION("""COMPUTED_VALUE"""),"HX-PO-14787")</f>
        <v>HX-PO-14787</v>
      </c>
      <c r="G32" s="911" t="b">
        <f ca="1">IFERROR(__xludf.DUMMYFUNCTION("""COMPUTED_VALUE"""),FALSE)</f>
        <v>0</v>
      </c>
      <c r="H32" s="912" t="b">
        <f ca="1">IFERROR(__xludf.DUMMYFUNCTION("""COMPUTED_VALUE"""),FALSE)</f>
        <v>0</v>
      </c>
      <c r="I32" s="966" t="b">
        <f ca="1">IFERROR(__xludf.DUMMYFUNCTION("""COMPUTED_VALUE"""),FALSE)</f>
        <v>0</v>
      </c>
      <c r="J32" s="967"/>
      <c r="K32" s="904" t="str">
        <f ca="1">IFERROR(__xludf.DUMMYFUNCTION("""COMPUTED_VALUE"""),"원치웅")</f>
        <v>원치웅</v>
      </c>
      <c r="L32" s="508" t="str">
        <f ca="1">IFERROR(__xludf.DUMMYFUNCTION("""COMPUTED_VALUE"""),"cwon@hist.co.kr")</f>
        <v>cwon@hist.co.kr</v>
      </c>
      <c r="M32" s="551">
        <f ca="1">IFERROR(__xludf.DUMMYFUNCTION("""COMPUTED_VALUE"""),398500)</f>
        <v>398500</v>
      </c>
      <c r="N32" s="905">
        <f ca="1">IFERROR(__xludf.DUMMYFUNCTION("""COMPUTED_VALUE"""),438350)</f>
        <v>438350</v>
      </c>
      <c r="O32" s="514"/>
      <c r="P32" s="514" t="str">
        <f ca="1">IFERROR(__xludf.DUMMYFUNCTION("""COMPUTED_VALUE"""),"API241125강이슬4787")</f>
        <v>API241125강이슬4787</v>
      </c>
      <c r="Q32" s="947" t="b">
        <f ca="1">IFERROR(__xludf.DUMMYFUNCTION("""COMPUTED_VALUE"""),FALSE)</f>
        <v>0</v>
      </c>
      <c r="R32" s="2"/>
      <c r="S32" s="508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</row>
    <row r="33" spans="1:32" ht="15.75" customHeight="1">
      <c r="A33" s="914">
        <f ca="1">IFERROR(__xludf.DUMMYFUNCTION("""COMPUTED_VALUE"""),25)</f>
        <v>25</v>
      </c>
      <c r="B33" s="1150"/>
      <c r="C33" s="1267"/>
      <c r="D33" s="508" t="str">
        <f ca="1">IFERROR(__xludf.DUMMYFUNCTION("""COMPUTED_VALUE"""),"인하대학교 IT인프라 통합유지보수 10회차_2024.11 (셈스티씨에스)")</f>
        <v>인하대학교 IT인프라 통합유지보수 10회차_2024.11 (셈스티씨에스)</v>
      </c>
      <c r="E33" s="550" t="str">
        <f ca="1">IFERROR(__xludf.DUMMYFUNCTION("""COMPUTED_VALUE"""),"11.셈스티씨에스")</f>
        <v>11.셈스티씨에스</v>
      </c>
      <c r="F33" s="965" t="str">
        <f ca="1">IFERROR(__xludf.DUMMYFUNCTION("""COMPUTED_VALUE"""),"HX-PO-14788")</f>
        <v>HX-PO-14788</v>
      </c>
      <c r="G33" s="911" t="b">
        <f ca="1">IFERROR(__xludf.DUMMYFUNCTION("""COMPUTED_VALUE"""),TRUE)</f>
        <v>1</v>
      </c>
      <c r="H33" s="912" t="b">
        <f ca="1">IFERROR(__xludf.DUMMYFUNCTION("""COMPUTED_VALUE"""),TRUE)</f>
        <v>1</v>
      </c>
      <c r="I33" s="966" t="b">
        <f ca="1">IFERROR(__xludf.DUMMYFUNCTION("""COMPUTED_VALUE"""),TRUE)</f>
        <v>1</v>
      </c>
      <c r="J33" s="967">
        <f ca="1">IFERROR(__xludf.DUMMYFUNCTION("""COMPUTED_VALUE"""),18303)</f>
        <v>18303</v>
      </c>
      <c r="K33" s="904" t="str">
        <f ca="1">IFERROR(__xludf.DUMMYFUNCTION("""COMPUTED_VALUE"""),"원치웅")</f>
        <v>원치웅</v>
      </c>
      <c r="L33" s="508" t="str">
        <f ca="1">IFERROR(__xludf.DUMMYFUNCTION("""COMPUTED_VALUE"""),"cwon@hist.co.kr")</f>
        <v>cwon@hist.co.kr</v>
      </c>
      <c r="M33" s="551">
        <f ca="1">IFERROR(__xludf.DUMMYFUNCTION("""COMPUTED_VALUE"""),240000)</f>
        <v>240000</v>
      </c>
      <c r="N33" s="905">
        <f ca="1">IFERROR(__xludf.DUMMYFUNCTION("""COMPUTED_VALUE"""),264000)</f>
        <v>264000</v>
      </c>
      <c r="O33" s="514"/>
      <c r="P33" s="514" t="str">
        <f ca="1">IFERROR(__xludf.DUMMYFUNCTION("""COMPUTED_VALUE"""),"API241125강이슬4788")</f>
        <v>API241125강이슬4788</v>
      </c>
      <c r="Q33" s="947" t="b">
        <f ca="1">IFERROR(__xludf.DUMMYFUNCTION("""COMPUTED_VALUE"""),TRUE)</f>
        <v>1</v>
      </c>
      <c r="R33" s="2"/>
      <c r="S33" s="508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</row>
    <row r="34" spans="1:32" ht="15.75" customHeight="1">
      <c r="A34" s="914">
        <f ca="1">IFERROR(__xludf.DUMMYFUNCTION("""COMPUTED_VALUE"""),25)</f>
        <v>25</v>
      </c>
      <c r="B34" s="1150"/>
      <c r="C34" s="1267"/>
      <c r="D34" s="508" t="str">
        <f ca="1">IFERROR(__xludf.DUMMYFUNCTION("""COMPUTED_VALUE"""),"인하대학교 IT인프라 통합유지보수 10회차_2024.11 (넷코아테크)")</f>
        <v>인하대학교 IT인프라 통합유지보수 10회차_2024.11 (넷코아테크)</v>
      </c>
      <c r="E34" s="550" t="str">
        <f ca="1">IFERROR(__xludf.DUMMYFUNCTION("""COMPUTED_VALUE"""),"12.넷코아테크")</f>
        <v>12.넷코아테크</v>
      </c>
      <c r="F34" s="965" t="str">
        <f ca="1">IFERROR(__xludf.DUMMYFUNCTION("""COMPUTED_VALUE"""),"HX-PO-14789")</f>
        <v>HX-PO-14789</v>
      </c>
      <c r="G34" s="911" t="b">
        <f ca="1">IFERROR(__xludf.DUMMYFUNCTION("""COMPUTED_VALUE"""),TRUE)</f>
        <v>1</v>
      </c>
      <c r="H34" s="912" t="b">
        <f ca="1">IFERROR(__xludf.DUMMYFUNCTION("""COMPUTED_VALUE"""),TRUE)</f>
        <v>1</v>
      </c>
      <c r="I34" s="966" t="b">
        <f ca="1">IFERROR(__xludf.DUMMYFUNCTION("""COMPUTED_VALUE"""),FALSE)</f>
        <v>0</v>
      </c>
      <c r="J34" s="967">
        <f ca="1">IFERROR(__xludf.DUMMYFUNCTION("""COMPUTED_VALUE"""),18304)</f>
        <v>18304</v>
      </c>
      <c r="K34" s="904" t="str">
        <f ca="1">IFERROR(__xludf.DUMMYFUNCTION("""COMPUTED_VALUE"""),"원치웅")</f>
        <v>원치웅</v>
      </c>
      <c r="L34" s="508" t="str">
        <f ca="1">IFERROR(__xludf.DUMMYFUNCTION("""COMPUTED_VALUE"""),"cwon@hist.co.kr")</f>
        <v>cwon@hist.co.kr</v>
      </c>
      <c r="M34" s="551">
        <f ca="1">IFERROR(__xludf.DUMMYFUNCTION("""COMPUTED_VALUE"""),536400)</f>
        <v>536400</v>
      </c>
      <c r="N34" s="905">
        <f ca="1">IFERROR(__xludf.DUMMYFUNCTION("""COMPUTED_VALUE"""),590040)</f>
        <v>590040</v>
      </c>
      <c r="O34" s="514"/>
      <c r="P34" s="514" t="str">
        <f ca="1">IFERROR(__xludf.DUMMYFUNCTION("""COMPUTED_VALUE"""),"API241125강이슬4789")</f>
        <v>API241125강이슬4789</v>
      </c>
      <c r="Q34" s="947" t="b">
        <f ca="1">IFERROR(__xludf.DUMMYFUNCTION("""COMPUTED_VALUE"""),TRUE)</f>
        <v>1</v>
      </c>
      <c r="R34" s="2"/>
      <c r="S34" s="508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</row>
    <row r="35" spans="1:32" ht="15.75" customHeight="1">
      <c r="A35" s="914">
        <f ca="1">IFERROR(__xludf.DUMMYFUNCTION("""COMPUTED_VALUE"""),25)</f>
        <v>25</v>
      </c>
      <c r="B35" s="1150"/>
      <c r="C35" s="1267"/>
      <c r="D35" s="508" t="str">
        <f ca="1">IFERROR(__xludf.DUMMYFUNCTION("""COMPUTED_VALUE"""),"인하대학교 IT인프라 통합유지보수 10회차_2024.11 (컨버전)")</f>
        <v>인하대학교 IT인프라 통합유지보수 10회차_2024.11 (컨버전)</v>
      </c>
      <c r="E35" s="550" t="str">
        <f ca="1">IFERROR(__xludf.DUMMYFUNCTION("""COMPUTED_VALUE"""),"13.컨버전")</f>
        <v>13.컨버전</v>
      </c>
      <c r="F35" s="965" t="str">
        <f ca="1">IFERROR(__xludf.DUMMYFUNCTION("""COMPUTED_VALUE"""),"HX-PO-14790")</f>
        <v>HX-PO-14790</v>
      </c>
      <c r="G35" s="911" t="b">
        <f ca="1">IFERROR(__xludf.DUMMYFUNCTION("""COMPUTED_VALUE"""),TRUE)</f>
        <v>1</v>
      </c>
      <c r="H35" s="912" t="b">
        <f ca="1">IFERROR(__xludf.DUMMYFUNCTION("""COMPUTED_VALUE"""),TRUE)</f>
        <v>1</v>
      </c>
      <c r="I35" s="966" t="b">
        <f ca="1">IFERROR(__xludf.DUMMYFUNCTION("""COMPUTED_VALUE"""),TRUE)</f>
        <v>1</v>
      </c>
      <c r="J35" s="967">
        <f ca="1">IFERROR(__xludf.DUMMYFUNCTION("""COMPUTED_VALUE"""),18305)</f>
        <v>18305</v>
      </c>
      <c r="K35" s="904" t="str">
        <f ca="1">IFERROR(__xludf.DUMMYFUNCTION("""COMPUTED_VALUE"""),"원치웅")</f>
        <v>원치웅</v>
      </c>
      <c r="L35" s="508" t="str">
        <f ca="1">IFERROR(__xludf.DUMMYFUNCTION("""COMPUTED_VALUE"""),"cwon@hist.co.kr")</f>
        <v>cwon@hist.co.kr</v>
      </c>
      <c r="M35" s="551">
        <f ca="1">IFERROR(__xludf.DUMMYFUNCTION("""COMPUTED_VALUE"""),1640000)</f>
        <v>1640000</v>
      </c>
      <c r="N35" s="905">
        <f ca="1">IFERROR(__xludf.DUMMYFUNCTION("""COMPUTED_VALUE"""),1804000)</f>
        <v>1804000</v>
      </c>
      <c r="O35" s="514"/>
      <c r="P35" s="514" t="str">
        <f ca="1">IFERROR(__xludf.DUMMYFUNCTION("""COMPUTED_VALUE"""),"API241125강이슬4790")</f>
        <v>API241125강이슬4790</v>
      </c>
      <c r="Q35" s="947" t="b">
        <f ca="1">IFERROR(__xludf.DUMMYFUNCTION("""COMPUTED_VALUE"""),TRUE)</f>
        <v>1</v>
      </c>
      <c r="R35" s="2"/>
      <c r="S35" s="508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</row>
    <row r="36" spans="1:32" ht="15.75" customHeight="1">
      <c r="A36" s="914">
        <f ca="1">IFERROR(__xludf.DUMMYFUNCTION("""COMPUTED_VALUE"""),25)</f>
        <v>25</v>
      </c>
      <c r="B36" s="1150"/>
      <c r="C36" s="1267"/>
      <c r="D36" s="508" t="str">
        <f ca="1">IFERROR(__xludf.DUMMYFUNCTION("""COMPUTED_VALUE"""),"인하대학교 IT인프라 통합유지보수 10회차_2024.11 (소프트탑텐)")</f>
        <v>인하대학교 IT인프라 통합유지보수 10회차_2024.11 (소프트탑텐)</v>
      </c>
      <c r="E36" s="550" t="str">
        <f ca="1">IFERROR(__xludf.DUMMYFUNCTION("""COMPUTED_VALUE"""),"14.소프트탑텐")</f>
        <v>14.소프트탑텐</v>
      </c>
      <c r="F36" s="965" t="str">
        <f ca="1">IFERROR(__xludf.DUMMYFUNCTION("""COMPUTED_VALUE"""),"HX-PO-14791")</f>
        <v>HX-PO-14791</v>
      </c>
      <c r="G36" s="911" t="b">
        <f ca="1">IFERROR(__xludf.DUMMYFUNCTION("""COMPUTED_VALUE"""),TRUE)</f>
        <v>1</v>
      </c>
      <c r="H36" s="912" t="b">
        <f ca="1">IFERROR(__xludf.DUMMYFUNCTION("""COMPUTED_VALUE"""),TRUE)</f>
        <v>1</v>
      </c>
      <c r="I36" s="966" t="b">
        <f ca="1">IFERROR(__xludf.DUMMYFUNCTION("""COMPUTED_VALUE"""),TRUE)</f>
        <v>1</v>
      </c>
      <c r="J36" s="967">
        <f ca="1">IFERROR(__xludf.DUMMYFUNCTION("""COMPUTED_VALUE"""),18306)</f>
        <v>18306</v>
      </c>
      <c r="K36" s="904" t="str">
        <f ca="1">IFERROR(__xludf.DUMMYFUNCTION("""COMPUTED_VALUE"""),"원치웅")</f>
        <v>원치웅</v>
      </c>
      <c r="L36" s="508" t="str">
        <f ca="1">IFERROR(__xludf.DUMMYFUNCTION("""COMPUTED_VALUE"""),"cwon@hist.co.kr")</f>
        <v>cwon@hist.co.kr</v>
      </c>
      <c r="M36" s="551">
        <f ca="1">IFERROR(__xludf.DUMMYFUNCTION("""COMPUTED_VALUE"""),650000)</f>
        <v>650000</v>
      </c>
      <c r="N36" s="905">
        <f ca="1">IFERROR(__xludf.DUMMYFUNCTION("""COMPUTED_VALUE"""),715000)</f>
        <v>715000</v>
      </c>
      <c r="O36" s="514"/>
      <c r="P36" s="514" t="str">
        <f ca="1">IFERROR(__xludf.DUMMYFUNCTION("""COMPUTED_VALUE"""),"API241125강이슬4791")</f>
        <v>API241125강이슬4791</v>
      </c>
      <c r="Q36" s="947" t="b">
        <f ca="1">IFERROR(__xludf.DUMMYFUNCTION("""COMPUTED_VALUE"""),TRUE)</f>
        <v>1</v>
      </c>
      <c r="R36" s="2"/>
      <c r="S36" s="508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</row>
    <row r="37" spans="1:32" ht="15.75" customHeight="1">
      <c r="A37" s="914">
        <f ca="1">IFERROR(__xludf.DUMMYFUNCTION("""COMPUTED_VALUE"""),25)</f>
        <v>25</v>
      </c>
      <c r="B37" s="1150"/>
      <c r="C37" s="1267"/>
      <c r="D37" s="508" t="str">
        <f ca="1">IFERROR(__xludf.DUMMYFUNCTION("""COMPUTED_VALUE"""),"인하대학교 IT인프라 통합유지보수 10회차_2024.11 (코어빌더)")</f>
        <v>인하대학교 IT인프라 통합유지보수 10회차_2024.11 (코어빌더)</v>
      </c>
      <c r="E37" s="550" t="str">
        <f ca="1">IFERROR(__xludf.DUMMYFUNCTION("""COMPUTED_VALUE"""),"15.코어빌더")</f>
        <v>15.코어빌더</v>
      </c>
      <c r="F37" s="965" t="str">
        <f ca="1">IFERROR(__xludf.DUMMYFUNCTION("""COMPUTED_VALUE"""),"HX-PO-14792")</f>
        <v>HX-PO-14792</v>
      </c>
      <c r="G37" s="911" t="b">
        <f ca="1">IFERROR(__xludf.DUMMYFUNCTION("""COMPUTED_VALUE"""),TRUE)</f>
        <v>1</v>
      </c>
      <c r="H37" s="912" t="b">
        <f ca="1">IFERROR(__xludf.DUMMYFUNCTION("""COMPUTED_VALUE"""),TRUE)</f>
        <v>1</v>
      </c>
      <c r="I37" s="966" t="b">
        <f ca="1">IFERROR(__xludf.DUMMYFUNCTION("""COMPUTED_VALUE"""),TRUE)</f>
        <v>1</v>
      </c>
      <c r="J37" s="967">
        <f ca="1">IFERROR(__xludf.DUMMYFUNCTION("""COMPUTED_VALUE"""),18307)</f>
        <v>18307</v>
      </c>
      <c r="K37" s="904" t="str">
        <f ca="1">IFERROR(__xludf.DUMMYFUNCTION("""COMPUTED_VALUE"""),"원치웅")</f>
        <v>원치웅</v>
      </c>
      <c r="L37" s="508" t="str">
        <f ca="1">IFERROR(__xludf.DUMMYFUNCTION("""COMPUTED_VALUE"""),"cwon@hist.co.kr")</f>
        <v>cwon@hist.co.kr</v>
      </c>
      <c r="M37" s="551">
        <f ca="1">IFERROR(__xludf.DUMMYFUNCTION("""COMPUTED_VALUE"""),242000)</f>
        <v>242000</v>
      </c>
      <c r="N37" s="905">
        <f ca="1">IFERROR(__xludf.DUMMYFUNCTION("""COMPUTED_VALUE"""),266200)</f>
        <v>266200</v>
      </c>
      <c r="O37" s="514"/>
      <c r="P37" s="514" t="str">
        <f ca="1">IFERROR(__xludf.DUMMYFUNCTION("""COMPUTED_VALUE"""),"API241125강이슬4792")</f>
        <v>API241125강이슬4792</v>
      </c>
      <c r="Q37" s="947" t="b">
        <f ca="1">IFERROR(__xludf.DUMMYFUNCTION("""COMPUTED_VALUE"""),TRUE)</f>
        <v>1</v>
      </c>
      <c r="R37" s="2"/>
      <c r="S37" s="508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</row>
    <row r="38" spans="1:32" ht="15.75" customHeight="1">
      <c r="A38" s="914">
        <f ca="1">IFERROR(__xludf.DUMMYFUNCTION("""COMPUTED_VALUE"""),25)</f>
        <v>25</v>
      </c>
      <c r="B38" s="1150"/>
      <c r="C38" s="1267"/>
      <c r="D38" s="508" t="str">
        <f ca="1">IFERROR(__xludf.DUMMYFUNCTION("""COMPUTED_VALUE"""),"인하대학교 IT인프라 통합유지보수 10회차_2024.11 (테크비)")</f>
        <v>인하대학교 IT인프라 통합유지보수 10회차_2024.11 (테크비)</v>
      </c>
      <c r="E38" s="550" t="str">
        <f ca="1">IFERROR(__xludf.DUMMYFUNCTION("""COMPUTED_VALUE"""),"16.테크비")</f>
        <v>16.테크비</v>
      </c>
      <c r="F38" s="965" t="str">
        <f ca="1">IFERROR(__xludf.DUMMYFUNCTION("""COMPUTED_VALUE"""),"HX-PO-14793")</f>
        <v>HX-PO-14793</v>
      </c>
      <c r="G38" s="911" t="b">
        <f ca="1">IFERROR(__xludf.DUMMYFUNCTION("""COMPUTED_VALUE"""),TRUE)</f>
        <v>1</v>
      </c>
      <c r="H38" s="912" t="b">
        <f ca="1">IFERROR(__xludf.DUMMYFUNCTION("""COMPUTED_VALUE"""),TRUE)</f>
        <v>1</v>
      </c>
      <c r="I38" s="966" t="b">
        <f ca="1">IFERROR(__xludf.DUMMYFUNCTION("""COMPUTED_VALUE"""),TRUE)</f>
        <v>1</v>
      </c>
      <c r="J38" s="967">
        <f ca="1">IFERROR(__xludf.DUMMYFUNCTION("""COMPUTED_VALUE"""),18521)</f>
        <v>18521</v>
      </c>
      <c r="K38" s="904" t="str">
        <f ca="1">IFERROR(__xludf.DUMMYFUNCTION("""COMPUTED_VALUE"""),"원치웅")</f>
        <v>원치웅</v>
      </c>
      <c r="L38" s="508" t="str">
        <f ca="1">IFERROR(__xludf.DUMMYFUNCTION("""COMPUTED_VALUE"""),"cwon@hist.co.kr")</f>
        <v>cwon@hist.co.kr</v>
      </c>
      <c r="M38" s="551">
        <f ca="1">IFERROR(__xludf.DUMMYFUNCTION("""COMPUTED_VALUE"""),500000)</f>
        <v>500000</v>
      </c>
      <c r="N38" s="905">
        <f ca="1">IFERROR(__xludf.DUMMYFUNCTION("""COMPUTED_VALUE"""),550000)</f>
        <v>550000</v>
      </c>
      <c r="O38" s="514"/>
      <c r="P38" s="514" t="str">
        <f ca="1">IFERROR(__xludf.DUMMYFUNCTION("""COMPUTED_VALUE"""),"API241125강이슬4793")</f>
        <v>API241125강이슬4793</v>
      </c>
      <c r="Q38" s="947" t="b">
        <f ca="1">IFERROR(__xludf.DUMMYFUNCTION("""COMPUTED_VALUE"""),TRUE)</f>
        <v>1</v>
      </c>
      <c r="R38" s="2"/>
      <c r="S38" s="508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</row>
    <row r="39" spans="1:32" ht="15.75" customHeight="1">
      <c r="A39" s="914">
        <f ca="1">IFERROR(__xludf.DUMMYFUNCTION("""COMPUTED_VALUE"""),25)</f>
        <v>25</v>
      </c>
      <c r="B39" s="1150"/>
      <c r="C39" s="1267"/>
      <c r="D39" s="508" t="str">
        <f ca="1">IFERROR(__xludf.DUMMYFUNCTION("""COMPUTED_VALUE"""),"인하대학교 IT인프라 통합유지보수 10회차_2024.11 (아이플랜네트웍스)")</f>
        <v>인하대학교 IT인프라 통합유지보수 10회차_2024.11 (아이플랜네트웍스)</v>
      </c>
      <c r="E39" s="550" t="str">
        <f ca="1">IFERROR(__xludf.DUMMYFUNCTION("""COMPUTED_VALUE"""),"17.아이플랜네트웍스")</f>
        <v>17.아이플랜네트웍스</v>
      </c>
      <c r="F39" s="965" t="str">
        <f ca="1">IFERROR(__xludf.DUMMYFUNCTION("""COMPUTED_VALUE"""),"HX-PO-14798")</f>
        <v>HX-PO-14798</v>
      </c>
      <c r="G39" s="911" t="b">
        <f ca="1">IFERROR(__xludf.DUMMYFUNCTION("""COMPUTED_VALUE"""),TRUE)</f>
        <v>1</v>
      </c>
      <c r="H39" s="912" t="b">
        <f ca="1">IFERROR(__xludf.DUMMYFUNCTION("""COMPUTED_VALUE"""),TRUE)</f>
        <v>1</v>
      </c>
      <c r="I39" s="966" t="b">
        <f ca="1">IFERROR(__xludf.DUMMYFUNCTION("""COMPUTED_VALUE"""),FALSE)</f>
        <v>0</v>
      </c>
      <c r="J39" s="967">
        <f ca="1">IFERROR(__xludf.DUMMYFUNCTION("""COMPUTED_VALUE"""),18308)</f>
        <v>18308</v>
      </c>
      <c r="K39" s="904" t="str">
        <f ca="1">IFERROR(__xludf.DUMMYFUNCTION("""COMPUTED_VALUE"""),"원치웅")</f>
        <v>원치웅</v>
      </c>
      <c r="L39" s="508" t="str">
        <f ca="1">IFERROR(__xludf.DUMMYFUNCTION("""COMPUTED_VALUE"""),"cwon@hist.co.kr")</f>
        <v>cwon@hist.co.kr</v>
      </c>
      <c r="M39" s="551">
        <f ca="1">IFERROR(__xludf.DUMMYFUNCTION("""COMPUTED_VALUE"""),466600)</f>
        <v>466600</v>
      </c>
      <c r="N39" s="905">
        <f ca="1">IFERROR(__xludf.DUMMYFUNCTION("""COMPUTED_VALUE"""),513260)</f>
        <v>513260</v>
      </c>
      <c r="O39" s="514"/>
      <c r="P39" s="514" t="str">
        <f ca="1">IFERROR(__xludf.DUMMYFUNCTION("""COMPUTED_VALUE"""),"API241125강이슬4798")</f>
        <v>API241125강이슬4798</v>
      </c>
      <c r="Q39" s="947" t="b">
        <f ca="1">IFERROR(__xludf.DUMMYFUNCTION("""COMPUTED_VALUE"""),TRUE)</f>
        <v>1</v>
      </c>
      <c r="R39" s="2"/>
      <c r="S39" s="508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</row>
    <row r="40" spans="1:32" ht="15.75" customHeight="1">
      <c r="A40" s="914">
        <f ca="1">IFERROR(__xludf.DUMMYFUNCTION("""COMPUTED_VALUE"""),25)</f>
        <v>25</v>
      </c>
      <c r="B40" s="1150"/>
      <c r="C40" s="1267"/>
      <c r="D40" s="508" t="str">
        <f ca="1">IFERROR(__xludf.DUMMYFUNCTION("""COMPUTED_VALUE"""),"인하대학교 IT인프라 통합유지보수 10회차_2024.11 (에이마스)")</f>
        <v>인하대학교 IT인프라 통합유지보수 10회차_2024.11 (에이마스)</v>
      </c>
      <c r="E40" s="550" t="str">
        <f ca="1">IFERROR(__xludf.DUMMYFUNCTION("""COMPUTED_VALUE"""),"18.에이마스")</f>
        <v>18.에이마스</v>
      </c>
      <c r="F40" s="965" t="str">
        <f ca="1">IFERROR(__xludf.DUMMYFUNCTION("""COMPUTED_VALUE"""),"HX-PO-14794")</f>
        <v>HX-PO-14794</v>
      </c>
      <c r="G40" s="911" t="b">
        <f ca="1">IFERROR(__xludf.DUMMYFUNCTION("""COMPUTED_VALUE"""),TRUE)</f>
        <v>1</v>
      </c>
      <c r="H40" s="912" t="b">
        <f ca="1">IFERROR(__xludf.DUMMYFUNCTION("""COMPUTED_VALUE"""),TRUE)</f>
        <v>1</v>
      </c>
      <c r="I40" s="966" t="b">
        <f ca="1">IFERROR(__xludf.DUMMYFUNCTION("""COMPUTED_VALUE"""),TRUE)</f>
        <v>1</v>
      </c>
      <c r="J40" s="967">
        <f ca="1">IFERROR(__xludf.DUMMYFUNCTION("""COMPUTED_VALUE"""),18309)</f>
        <v>18309</v>
      </c>
      <c r="K40" s="904" t="str">
        <f ca="1">IFERROR(__xludf.DUMMYFUNCTION("""COMPUTED_VALUE"""),"원치웅")</f>
        <v>원치웅</v>
      </c>
      <c r="L40" s="508" t="str">
        <f ca="1">IFERROR(__xludf.DUMMYFUNCTION("""COMPUTED_VALUE"""),"cwon@hist.co.kr")</f>
        <v>cwon@hist.co.kr</v>
      </c>
      <c r="M40" s="551">
        <f ca="1">IFERROR(__xludf.DUMMYFUNCTION("""COMPUTED_VALUE"""),300000)</f>
        <v>300000</v>
      </c>
      <c r="N40" s="905">
        <f ca="1">IFERROR(__xludf.DUMMYFUNCTION("""COMPUTED_VALUE"""),330000)</f>
        <v>330000</v>
      </c>
      <c r="O40" s="514"/>
      <c r="P40" s="514" t="str">
        <f ca="1">IFERROR(__xludf.DUMMYFUNCTION("""COMPUTED_VALUE"""),"API241125강이슬4794")</f>
        <v>API241125강이슬4794</v>
      </c>
      <c r="Q40" s="947" t="b">
        <f ca="1">IFERROR(__xludf.DUMMYFUNCTION("""COMPUTED_VALUE"""),TRUE)</f>
        <v>1</v>
      </c>
      <c r="R40" s="2"/>
      <c r="S40" s="508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</row>
    <row r="41" spans="1:32" ht="15.75" customHeight="1">
      <c r="A41" s="914">
        <f ca="1">IFERROR(__xludf.DUMMYFUNCTION("""COMPUTED_VALUE"""),25)</f>
        <v>25</v>
      </c>
      <c r="B41" s="1150"/>
      <c r="C41" s="1267"/>
      <c r="D41" s="508" t="str">
        <f ca="1">IFERROR(__xludf.DUMMYFUNCTION("""COMPUTED_VALUE"""),"인하대학교 IT인프라 통합유지보수 10회차_2024.11 (네트컴)")</f>
        <v>인하대학교 IT인프라 통합유지보수 10회차_2024.11 (네트컴)</v>
      </c>
      <c r="E41" s="550" t="str">
        <f ca="1">IFERROR(__xludf.DUMMYFUNCTION("""COMPUTED_VALUE"""),"19.네트컴")</f>
        <v>19.네트컴</v>
      </c>
      <c r="F41" s="965" t="str">
        <f ca="1">IFERROR(__xludf.DUMMYFUNCTION("""COMPUTED_VALUE"""),"HX-PO-14797")</f>
        <v>HX-PO-14797</v>
      </c>
      <c r="G41" s="911" t="b">
        <f ca="1">IFERROR(__xludf.DUMMYFUNCTION("""COMPUTED_VALUE"""),TRUE)</f>
        <v>1</v>
      </c>
      <c r="H41" s="912" t="b">
        <f ca="1">IFERROR(__xludf.DUMMYFUNCTION("""COMPUTED_VALUE"""),TRUE)</f>
        <v>1</v>
      </c>
      <c r="I41" s="966" t="b">
        <f ca="1">IFERROR(__xludf.DUMMYFUNCTION("""COMPUTED_VALUE"""),TRUE)</f>
        <v>1</v>
      </c>
      <c r="J41" s="967">
        <f ca="1">IFERROR(__xludf.DUMMYFUNCTION("""COMPUTED_VALUE"""),18522)</f>
        <v>18522</v>
      </c>
      <c r="K41" s="904" t="str">
        <f ca="1">IFERROR(__xludf.DUMMYFUNCTION("""COMPUTED_VALUE"""),"원치웅")</f>
        <v>원치웅</v>
      </c>
      <c r="L41" s="508" t="str">
        <f ca="1">IFERROR(__xludf.DUMMYFUNCTION("""COMPUTED_VALUE"""),"cwon@hist.co.kr")</f>
        <v>cwon@hist.co.kr</v>
      </c>
      <c r="M41" s="551">
        <f ca="1">IFERROR(__xludf.DUMMYFUNCTION("""COMPUTED_VALUE"""),8500000)</f>
        <v>8500000</v>
      </c>
      <c r="N41" s="905">
        <f ca="1">IFERROR(__xludf.DUMMYFUNCTION("""COMPUTED_VALUE"""),9350000)</f>
        <v>9350000</v>
      </c>
      <c r="O41" s="514"/>
      <c r="P41" s="514" t="str">
        <f ca="1">IFERROR(__xludf.DUMMYFUNCTION("""COMPUTED_VALUE"""),"API241125강이슬4797")</f>
        <v>API241125강이슬4797</v>
      </c>
      <c r="Q41" s="947" t="b">
        <f ca="1">IFERROR(__xludf.DUMMYFUNCTION("""COMPUTED_VALUE"""),TRUE)</f>
        <v>1</v>
      </c>
      <c r="R41" s="2"/>
      <c r="S41" s="508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</row>
    <row r="42" spans="1:32" ht="15.75" customHeight="1">
      <c r="A42" s="914">
        <f ca="1">IFERROR(__xludf.DUMMYFUNCTION("""COMPUTED_VALUE"""),25)</f>
        <v>25</v>
      </c>
      <c r="B42" s="1150"/>
      <c r="C42" s="1267"/>
      <c r="D42" s="508" t="str">
        <f ca="1">IFERROR(__xludf.DUMMYFUNCTION("""COMPUTED_VALUE"""),"인하대학교 IT인프라 통합유지보수 10회차_2024.11 (코스모티어)")</f>
        <v>인하대학교 IT인프라 통합유지보수 10회차_2024.11 (코스모티어)</v>
      </c>
      <c r="E42" s="550" t="str">
        <f ca="1">IFERROR(__xludf.DUMMYFUNCTION("""COMPUTED_VALUE"""),"20.코스모티어")</f>
        <v>20.코스모티어</v>
      </c>
      <c r="F42" s="965" t="str">
        <f ca="1">IFERROR(__xludf.DUMMYFUNCTION("""COMPUTED_VALUE"""),"HX-PO-14795")</f>
        <v>HX-PO-14795</v>
      </c>
      <c r="G42" s="911" t="b">
        <f ca="1">IFERROR(__xludf.DUMMYFUNCTION("""COMPUTED_VALUE"""),TRUE)</f>
        <v>1</v>
      </c>
      <c r="H42" s="912" t="b">
        <f ca="1">IFERROR(__xludf.DUMMYFUNCTION("""COMPUTED_VALUE"""),TRUE)</f>
        <v>1</v>
      </c>
      <c r="I42" s="966" t="b">
        <f ca="1">IFERROR(__xludf.DUMMYFUNCTION("""COMPUTED_VALUE"""),TRUE)</f>
        <v>1</v>
      </c>
      <c r="J42" s="967">
        <f ca="1">IFERROR(__xludf.DUMMYFUNCTION("""COMPUTED_VALUE"""),18310)</f>
        <v>18310</v>
      </c>
      <c r="K42" s="904" t="str">
        <f ca="1">IFERROR(__xludf.DUMMYFUNCTION("""COMPUTED_VALUE"""),"원치웅")</f>
        <v>원치웅</v>
      </c>
      <c r="L42" s="508" t="str">
        <f ca="1">IFERROR(__xludf.DUMMYFUNCTION("""COMPUTED_VALUE"""),"cwon@hist.co.kr")</f>
        <v>cwon@hist.co.kr</v>
      </c>
      <c r="M42" s="551">
        <f ca="1">IFERROR(__xludf.DUMMYFUNCTION("""COMPUTED_VALUE"""),7400000)</f>
        <v>7400000</v>
      </c>
      <c r="N42" s="905">
        <f ca="1">IFERROR(__xludf.DUMMYFUNCTION("""COMPUTED_VALUE"""),8140000)</f>
        <v>8140000</v>
      </c>
      <c r="O42" s="514"/>
      <c r="P42" s="514" t="str">
        <f ca="1">IFERROR(__xludf.DUMMYFUNCTION("""COMPUTED_VALUE"""),"API241125강이슬4795")</f>
        <v>API241125강이슬4795</v>
      </c>
      <c r="Q42" s="947" t="b">
        <f ca="1">IFERROR(__xludf.DUMMYFUNCTION("""COMPUTED_VALUE"""),TRUE)</f>
        <v>1</v>
      </c>
      <c r="R42" s="2"/>
      <c r="S42" s="508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</row>
    <row r="43" spans="1:32" ht="15.75" customHeight="1">
      <c r="A43" s="915">
        <f ca="1">IFERROR(__xludf.DUMMYFUNCTION("""COMPUTED_VALUE"""),25)</f>
        <v>25</v>
      </c>
      <c r="B43" s="1265"/>
      <c r="C43" s="1268"/>
      <c r="D43" s="927" t="str">
        <f ca="1">IFERROR(__xludf.DUMMYFUNCTION("""COMPUTED_VALUE"""),"인하대학교 스마트카드시스템 서버 유지보수 12회차_2024.11 (에스엔에이)")</f>
        <v>인하대학교 스마트카드시스템 서버 유지보수 12회차_2024.11 (에스엔에이)</v>
      </c>
      <c r="E43" s="928" t="str">
        <f ca="1">IFERROR(__xludf.DUMMYFUNCTION("""COMPUTED_VALUE"""),"에스앤에이")</f>
        <v>에스앤에이</v>
      </c>
      <c r="F43" s="929" t="str">
        <f ca="1">IFERROR(__xludf.DUMMYFUNCTION("""COMPUTED_VALUE"""),"HX-PO-14526")</f>
        <v>HX-PO-14526</v>
      </c>
      <c r="G43" s="930" t="b">
        <f ca="1">IFERROR(__xludf.DUMMYFUNCTION("""COMPUTED_VALUE"""),TRUE)</f>
        <v>1</v>
      </c>
      <c r="H43" s="931" t="b">
        <f ca="1">IFERROR(__xludf.DUMMYFUNCTION("""COMPUTED_VALUE"""),TRUE)</f>
        <v>1</v>
      </c>
      <c r="I43" s="932" t="b">
        <f ca="1">IFERROR(__xludf.DUMMYFUNCTION("""COMPUTED_VALUE"""),TRUE)</f>
        <v>1</v>
      </c>
      <c r="J43" s="933">
        <f ca="1">IFERROR(__xludf.DUMMYFUNCTION("""COMPUTED_VALUE"""),18314)</f>
        <v>18314</v>
      </c>
      <c r="K43" s="904" t="str">
        <f ca="1">IFERROR(__xludf.DUMMYFUNCTION("""COMPUTED_VALUE"""),"원치웅")</f>
        <v>원치웅</v>
      </c>
      <c r="L43" s="927" t="str">
        <f ca="1">IFERROR(__xludf.DUMMYFUNCTION("""COMPUTED_VALUE"""),"cwon@hist.co.kr")</f>
        <v>cwon@hist.co.kr</v>
      </c>
      <c r="M43" s="934">
        <f ca="1">IFERROR(__xludf.DUMMYFUNCTION("""COMPUTED_VALUE"""),525000)</f>
        <v>525000</v>
      </c>
      <c r="N43" s="935">
        <f ca="1">IFERROR(__xludf.DUMMYFUNCTION("""COMPUTED_VALUE"""),577500)</f>
        <v>577500</v>
      </c>
      <c r="O43" s="514"/>
      <c r="P43" s="514" t="str">
        <f ca="1">IFERROR(__xludf.DUMMYFUNCTION("""COMPUTED_VALUE"""),"API241125강이슬4526")</f>
        <v>API241125강이슬4526</v>
      </c>
      <c r="Q43" s="936" t="b">
        <f ca="1">IFERROR(__xludf.DUMMYFUNCTION("""COMPUTED_VALUE"""),TRUE)</f>
        <v>1</v>
      </c>
      <c r="R43" s="2"/>
      <c r="S43" s="508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</row>
    <row r="44" spans="1:32" ht="15.75" customHeight="1">
      <c r="A44" s="968">
        <f ca="1">IFERROR(__xludf.DUMMYFUNCTION("""COMPUTED_VALUE"""),25)</f>
        <v>25</v>
      </c>
      <c r="B44" s="969" t="str">
        <f ca="1">IFERROR(__xludf.DUMMYFUNCTION("""COMPUTED_VALUE"""),"HX-PR-15211")</f>
        <v>HX-PR-15211</v>
      </c>
      <c r="C44" s="970" t="str">
        <f ca="1">IFERROR(__xludf.DUMMYFUNCTION("""COMPUTED_VALUE"""),"R240045")</f>
        <v>R240045</v>
      </c>
      <c r="D44" s="971" t="str">
        <f ca="1">IFERROR(__xludf.DUMMYFUNCTION("""COMPUTED_VALUE"""),"항공대학교 대학 정보통신시스템 통합유지보수 용역 5회차 / 2024-11 (엔엔에스피)")</f>
        <v>항공대학교 대학 정보통신시스템 통합유지보수 용역 5회차 / 2024-11 (엔엔에스피)</v>
      </c>
      <c r="E44" s="970" t="str">
        <f ca="1">IFERROR(__xludf.DUMMYFUNCTION("""COMPUTED_VALUE"""),"앤앤에스피")</f>
        <v>앤앤에스피</v>
      </c>
      <c r="F44" s="972" t="str">
        <f ca="1">IFERROR(__xludf.DUMMYFUNCTION("""COMPUTED_VALUE"""),"HX-PO-15291")</f>
        <v>HX-PO-15291</v>
      </c>
      <c r="G44" s="973" t="b">
        <f ca="1">IFERROR(__xludf.DUMMYFUNCTION("""COMPUTED_VALUE"""),TRUE)</f>
        <v>1</v>
      </c>
      <c r="H44" s="974" t="b">
        <f ca="1">IFERROR(__xludf.DUMMYFUNCTION("""COMPUTED_VALUE"""),TRUE)</f>
        <v>1</v>
      </c>
      <c r="I44" s="975" t="b">
        <f ca="1">IFERROR(__xludf.DUMMYFUNCTION("""COMPUTED_VALUE"""),TRUE)</f>
        <v>1</v>
      </c>
      <c r="J44" s="976">
        <f ca="1">IFERROR(__xludf.DUMMYFUNCTION("""COMPUTED_VALUE"""),18311)</f>
        <v>18311</v>
      </c>
      <c r="K44" s="904" t="str">
        <f ca="1">IFERROR(__xludf.DUMMYFUNCTION("""COMPUTED_VALUE"""),"원치웅")</f>
        <v>원치웅</v>
      </c>
      <c r="L44" s="971" t="str">
        <f ca="1">IFERROR(__xludf.DUMMYFUNCTION("""COMPUTED_VALUE"""),"cwon@hist.co.kr")</f>
        <v>cwon@hist.co.kr</v>
      </c>
      <c r="M44" s="957">
        <f ca="1">IFERROR(__xludf.DUMMYFUNCTION("""COMPUTED_VALUE"""),4933000)</f>
        <v>4933000</v>
      </c>
      <c r="N44" s="977">
        <f ca="1">IFERROR(__xludf.DUMMYFUNCTION("""COMPUTED_VALUE"""),5426300)</f>
        <v>5426300</v>
      </c>
      <c r="O44" s="514"/>
      <c r="P44" s="514" t="str">
        <f ca="1">IFERROR(__xludf.DUMMYFUNCTION("""COMPUTED_VALUE"""),"API241125강이슬5291")</f>
        <v>API241125강이슬5291</v>
      </c>
      <c r="Q44" s="978" t="b">
        <f ca="1">IFERROR(__xludf.DUMMYFUNCTION("""COMPUTED_VALUE"""),TRUE)</f>
        <v>1</v>
      </c>
      <c r="R44" s="2"/>
      <c r="S44" s="508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</row>
    <row r="45" spans="1:32" ht="15.75" customHeight="1">
      <c r="A45" s="914">
        <f ca="1">IFERROR(__xludf.DUMMYFUNCTION("""COMPUTED_VALUE"""),25)</f>
        <v>25</v>
      </c>
      <c r="B45" s="1266"/>
      <c r="C45" s="1266"/>
      <c r="D45" s="941" t="str">
        <f ca="1">IFERROR(__xludf.DUMMYFUNCTION("""COMPUTED_VALUE"""),"항공대학교 대학 정보통신시스템 통합유지보수 용역 5회차 / 2024-11 (코스모티어)")</f>
        <v>항공대학교 대학 정보통신시스템 통합유지보수 용역 5회차 / 2024-11 (코스모티어)</v>
      </c>
      <c r="E45" s="940" t="str">
        <f ca="1">IFERROR(__xludf.DUMMYFUNCTION("""COMPUTED_VALUE"""),"코스모티어")</f>
        <v>코스모티어</v>
      </c>
      <c r="F45" s="942" t="str">
        <f ca="1">IFERROR(__xludf.DUMMYFUNCTION("""COMPUTED_VALUE"""),"HX-PO-15292")</f>
        <v>HX-PO-15292</v>
      </c>
      <c r="G45" s="943" t="b">
        <f ca="1">IFERROR(__xludf.DUMMYFUNCTION("""COMPUTED_VALUE"""),TRUE)</f>
        <v>1</v>
      </c>
      <c r="H45" s="944" t="b">
        <f ca="1">IFERROR(__xludf.DUMMYFUNCTION("""COMPUTED_VALUE"""),TRUE)</f>
        <v>1</v>
      </c>
      <c r="I45" s="979" t="b">
        <f ca="1">IFERROR(__xludf.DUMMYFUNCTION("""COMPUTED_VALUE"""),TRUE)</f>
        <v>1</v>
      </c>
      <c r="J45" s="903">
        <f ca="1">IFERROR(__xludf.DUMMYFUNCTION("""COMPUTED_VALUE"""),18312)</f>
        <v>18312</v>
      </c>
      <c r="K45" s="904" t="str">
        <f ca="1">IFERROR(__xludf.DUMMYFUNCTION("""COMPUTED_VALUE"""),"원치웅")</f>
        <v>원치웅</v>
      </c>
      <c r="L45" s="916" t="str">
        <f ca="1">IFERROR(__xludf.DUMMYFUNCTION("""COMPUTED_VALUE"""),"cwon@hist.co.kr")</f>
        <v>cwon@hist.co.kr</v>
      </c>
      <c r="M45" s="547">
        <f ca="1">IFERROR(__xludf.DUMMYFUNCTION("""COMPUTED_VALUE"""),600000)</f>
        <v>600000</v>
      </c>
      <c r="N45" s="980">
        <f ca="1">IFERROR(__xludf.DUMMYFUNCTION("""COMPUTED_VALUE"""),660000)</f>
        <v>660000</v>
      </c>
      <c r="O45" s="514"/>
      <c r="P45" s="514" t="str">
        <f ca="1">IFERROR(__xludf.DUMMYFUNCTION("""COMPUTED_VALUE"""),"API241125강이슬5292")</f>
        <v>API241125강이슬5292</v>
      </c>
      <c r="Q45" s="981" t="b">
        <f ca="1">IFERROR(__xludf.DUMMYFUNCTION("""COMPUTED_VALUE"""),TRUE)</f>
        <v>1</v>
      </c>
      <c r="R45" s="2"/>
      <c r="S45" s="508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 spans="1:32" ht="15.75" customHeight="1">
      <c r="A46" s="914">
        <f ca="1">IFERROR(__xludf.DUMMYFUNCTION("""COMPUTED_VALUE"""),25)</f>
        <v>25</v>
      </c>
      <c r="B46" s="1267"/>
      <c r="C46" s="1267"/>
      <c r="D46" s="956" t="str">
        <f ca="1">IFERROR(__xludf.DUMMYFUNCTION("""COMPUTED_VALUE"""),"항공대학교 대학 정보통신시스템 통합유지보수 용역 5회차 / 2024-11 (에이아이소프트)")</f>
        <v>항공대학교 대학 정보통신시스템 통합유지보수 용역 5회차 / 2024-11 (에이아이소프트)</v>
      </c>
      <c r="E46" s="950" t="str">
        <f ca="1">IFERROR(__xludf.DUMMYFUNCTION("""COMPUTED_VALUE"""),"에이아이소프트")</f>
        <v>에이아이소프트</v>
      </c>
      <c r="F46" s="951" t="str">
        <f ca="1">IFERROR(__xludf.DUMMYFUNCTION("""COMPUTED_VALUE"""),"HX-PO-15293")</f>
        <v>HX-PO-15293</v>
      </c>
      <c r="G46" s="952" t="b">
        <f ca="1">IFERROR(__xludf.DUMMYFUNCTION("""COMPUTED_VALUE"""),TRUE)</f>
        <v>1</v>
      </c>
      <c r="H46" s="953" t="b">
        <f ca="1">IFERROR(__xludf.DUMMYFUNCTION("""COMPUTED_VALUE"""),TRUE)</f>
        <v>1</v>
      </c>
      <c r="I46" s="932" t="b">
        <f ca="1">IFERROR(__xludf.DUMMYFUNCTION("""COMPUTED_VALUE"""),TRUE)</f>
        <v>1</v>
      </c>
      <c r="J46" s="903">
        <f ca="1">IFERROR(__xludf.DUMMYFUNCTION("""COMPUTED_VALUE"""),18313)</f>
        <v>18313</v>
      </c>
      <c r="K46" s="904" t="str">
        <f ca="1">IFERROR(__xludf.DUMMYFUNCTION("""COMPUTED_VALUE"""),"원치웅")</f>
        <v>원치웅</v>
      </c>
      <c r="L46" s="508" t="str">
        <f ca="1">IFERROR(__xludf.DUMMYFUNCTION("""COMPUTED_VALUE"""),"cwon@hist.co.kr")</f>
        <v>cwon@hist.co.kr</v>
      </c>
      <c r="M46" s="547">
        <f ca="1">IFERROR(__xludf.DUMMYFUNCTION("""COMPUTED_VALUE"""),1280000)</f>
        <v>1280000</v>
      </c>
      <c r="N46" s="982">
        <f ca="1">IFERROR(__xludf.DUMMYFUNCTION("""COMPUTED_VALUE"""),1408000)</f>
        <v>1408000</v>
      </c>
      <c r="O46" s="514"/>
      <c r="P46" s="514" t="str">
        <f ca="1">IFERROR(__xludf.DUMMYFUNCTION("""COMPUTED_VALUE"""),"API241125강이슬5293")</f>
        <v>API241125강이슬5293</v>
      </c>
      <c r="Q46" s="958" t="b">
        <f ca="1">IFERROR(__xludf.DUMMYFUNCTION("""COMPUTED_VALUE"""),TRUE)</f>
        <v>1</v>
      </c>
      <c r="R46" s="2"/>
      <c r="S46" s="508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</row>
    <row r="47" spans="1:32" ht="15.75" customHeight="1">
      <c r="A47" s="914">
        <f ca="1">IFERROR(__xludf.DUMMYFUNCTION("""COMPUTED_VALUE"""),25)</f>
        <v>25</v>
      </c>
      <c r="B47" s="1267"/>
      <c r="C47" s="1267"/>
      <c r="D47" s="956" t="str">
        <f ca="1">IFERROR(__xludf.DUMMYFUNCTION("""COMPUTED_VALUE"""),"항공대학교 대학 정보통신시스템 통합유지보수 용역 5회차 / 2024-11 (원아이티엠)")</f>
        <v>항공대학교 대학 정보통신시스템 통합유지보수 용역 5회차 / 2024-11 (원아이티엠)</v>
      </c>
      <c r="E47" s="950" t="str">
        <f ca="1">IFERROR(__xludf.DUMMYFUNCTION("""COMPUTED_VALUE"""),"원아이티엠")</f>
        <v>원아이티엠</v>
      </c>
      <c r="F47" s="951" t="str">
        <f ca="1">IFERROR(__xludf.DUMMYFUNCTION("""COMPUTED_VALUE"""),"HX-PO-15294")</f>
        <v>HX-PO-15294</v>
      </c>
      <c r="G47" s="952" t="b">
        <f ca="1">IFERROR(__xludf.DUMMYFUNCTION("""COMPUTED_VALUE"""),TRUE)</f>
        <v>1</v>
      </c>
      <c r="H47" s="953" t="b">
        <f ca="1">IFERROR(__xludf.DUMMYFUNCTION("""COMPUTED_VALUE"""),TRUE)</f>
        <v>1</v>
      </c>
      <c r="I47" s="932" t="b">
        <f ca="1">IFERROR(__xludf.DUMMYFUNCTION("""COMPUTED_VALUE"""),TRUE)</f>
        <v>1</v>
      </c>
      <c r="J47" s="903">
        <f ca="1">IFERROR(__xludf.DUMMYFUNCTION("""COMPUTED_VALUE"""),18524)</f>
        <v>18524</v>
      </c>
      <c r="K47" s="904" t="str">
        <f ca="1">IFERROR(__xludf.DUMMYFUNCTION("""COMPUTED_VALUE"""),"원치웅")</f>
        <v>원치웅</v>
      </c>
      <c r="L47" s="508" t="str">
        <f ca="1">IFERROR(__xludf.DUMMYFUNCTION("""COMPUTED_VALUE"""),"cwon@hist.co.kr")</f>
        <v>cwon@hist.co.kr</v>
      </c>
      <c r="M47" s="547">
        <f ca="1">IFERROR(__xludf.DUMMYFUNCTION("""COMPUTED_VALUE"""),5316900)</f>
        <v>5316900</v>
      </c>
      <c r="N47" s="982">
        <f ca="1">IFERROR(__xludf.DUMMYFUNCTION("""COMPUTED_VALUE"""),5848590)</f>
        <v>5848590</v>
      </c>
      <c r="O47" s="514"/>
      <c r="P47" s="514" t="str">
        <f ca="1">IFERROR(__xludf.DUMMYFUNCTION("""COMPUTED_VALUE"""),"API241125강이슬5294")</f>
        <v>API241125강이슬5294</v>
      </c>
      <c r="Q47" s="958" t="b">
        <f ca="1">IFERROR(__xludf.DUMMYFUNCTION("""COMPUTED_VALUE"""),TRUE)</f>
        <v>1</v>
      </c>
      <c r="R47" s="2"/>
      <c r="S47" s="508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 spans="1:32" ht="15.75" customHeight="1">
      <c r="A48" s="914">
        <f ca="1">IFERROR(__xludf.DUMMYFUNCTION("""COMPUTED_VALUE"""),30)</f>
        <v>30</v>
      </c>
      <c r="B48" s="1268"/>
      <c r="C48" s="1268"/>
      <c r="D48" s="956" t="str">
        <f ca="1">IFERROR(__xludf.DUMMYFUNCTION("""COMPUTED_VALUE"""),"Storage/방화벽/Network 스위치연간유지보수계약 사업")</f>
        <v>Storage/방화벽/Network 스위치연간유지보수계약 사업</v>
      </c>
      <c r="E48" s="950" t="str">
        <f ca="1">IFERROR(__xludf.DUMMYFUNCTION("""COMPUTED_VALUE"""),"에이엠네트웍스 ")</f>
        <v xml:space="preserve">에이엠네트웍스 </v>
      </c>
      <c r="F48" s="951" t="str">
        <f ca="1">IFERROR(__xludf.DUMMYFUNCTION("""COMPUTED_VALUE"""),"HX-PO-15219")</f>
        <v>HX-PO-15219</v>
      </c>
      <c r="G48" s="952" t="b">
        <f ca="1">IFERROR(__xludf.DUMMYFUNCTION("""COMPUTED_VALUE"""),TRUE)</f>
        <v>1</v>
      </c>
      <c r="H48" s="953"/>
      <c r="I48" s="932" t="b">
        <f ca="1">IFERROR(__xludf.DUMMYFUNCTION("""COMPUTED_VALUE"""),TRUE)</f>
        <v>1</v>
      </c>
      <c r="J48" s="903">
        <f ca="1">IFERROR(__xludf.DUMMYFUNCTION("""COMPUTED_VALUE"""),18475)</f>
        <v>18475</v>
      </c>
      <c r="K48" s="904" t="str">
        <f ca="1">IFERROR(__xludf.DUMMYFUNCTION("""COMPUTED_VALUE"""),"성호준")</f>
        <v>성호준</v>
      </c>
      <c r="L48" s="927" t="str">
        <f ca="1">IFERROR(__xludf.DUMMYFUNCTION("""COMPUTED_VALUE"""),"hsung@hist.co.kr")</f>
        <v>hsung@hist.co.kr</v>
      </c>
      <c r="M48" s="957">
        <f ca="1">IFERROR(__xludf.DUMMYFUNCTION("""COMPUTED_VALUE"""),792000)</f>
        <v>792000</v>
      </c>
      <c r="N48" s="977">
        <f ca="1">IFERROR(__xludf.DUMMYFUNCTION("""COMPUTED_VALUE"""),871200)</f>
        <v>871200</v>
      </c>
      <c r="O48" s="514"/>
      <c r="P48" s="514" t="str">
        <f ca="1">IFERROR(__xludf.DUMMYFUNCTION("""COMPUTED_VALUE"""),"API241130강이슬5219")</f>
        <v>API241130강이슬5219</v>
      </c>
      <c r="Q48" s="958" t="b">
        <f ca="1">IFERROR(__xludf.DUMMYFUNCTION("""COMPUTED_VALUE"""),TRUE)</f>
        <v>1</v>
      </c>
      <c r="R48" s="2"/>
      <c r="S48" s="508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</row>
    <row r="49" spans="1:32" ht="15.75" customHeight="1">
      <c r="A49" s="937">
        <f ca="1">IFERROR(__xludf.DUMMYFUNCTION("""COMPUTED_VALUE"""),27)</f>
        <v>27</v>
      </c>
      <c r="B49" s="1264"/>
      <c r="C49" s="1266"/>
      <c r="D49" s="916" t="str">
        <f ca="1">IFERROR(__xludf.DUMMYFUNCTION("""COMPUTED_VALUE"""),"Storage/방화벽/Network 스위치연간유지보수계약 사업")</f>
        <v>Storage/방화벽/Network 스위치연간유지보수계약 사업</v>
      </c>
      <c r="E49" s="917" t="str">
        <f ca="1">IFERROR(__xludf.DUMMYFUNCTION("""COMPUTED_VALUE"""),"미디어빌리지테크")</f>
        <v>미디어빌리지테크</v>
      </c>
      <c r="F49" s="918" t="str">
        <f ca="1">IFERROR(__xludf.DUMMYFUNCTION("""COMPUTED_VALUE"""),"HX-PO-15218")</f>
        <v>HX-PO-15218</v>
      </c>
      <c r="G49" s="919" t="b">
        <f ca="1">IFERROR(__xludf.DUMMYFUNCTION("""COMPUTED_VALUE"""),TRUE)</f>
        <v>1</v>
      </c>
      <c r="H49" s="920"/>
      <c r="I49" s="921" t="b">
        <f ca="1">IFERROR(__xludf.DUMMYFUNCTION("""COMPUTED_VALUE"""),TRUE)</f>
        <v>1</v>
      </c>
      <c r="J49" s="922">
        <f ca="1">IFERROR(__xludf.DUMMYFUNCTION("""COMPUTED_VALUE"""),18474)</f>
        <v>18474</v>
      </c>
      <c r="K49" s="923" t="str">
        <f ca="1">IFERROR(__xludf.DUMMYFUNCTION("""COMPUTED_VALUE"""),"성호준")</f>
        <v>성호준</v>
      </c>
      <c r="L49" s="916" t="str">
        <f ca="1">IFERROR(__xludf.DUMMYFUNCTION("""COMPUTED_VALUE"""),"hsung@hist.co.kr")</f>
        <v>hsung@hist.co.kr</v>
      </c>
      <c r="M49" s="924">
        <f ca="1">IFERROR(__xludf.DUMMYFUNCTION("""COMPUTED_VALUE"""),5000000)</f>
        <v>5000000</v>
      </c>
      <c r="N49" s="983">
        <f ca="1">IFERROR(__xludf.DUMMYFUNCTION("""COMPUTED_VALUE"""),5500000)</f>
        <v>5500000</v>
      </c>
      <c r="O49" s="514"/>
      <c r="P49" s="514" t="str">
        <f ca="1">IFERROR(__xludf.DUMMYFUNCTION("""COMPUTED_VALUE"""),"API241127강이슬5218")</f>
        <v>API241127강이슬5218</v>
      </c>
      <c r="Q49" s="926" t="b">
        <f ca="1">IFERROR(__xludf.DUMMYFUNCTION("""COMPUTED_VALUE"""),TRUE)</f>
        <v>1</v>
      </c>
      <c r="R49" s="2"/>
      <c r="S49" s="508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spans="1:32" ht="15.75" customHeight="1">
      <c r="A50" s="914">
        <f ca="1">IFERROR(__xludf.DUMMYFUNCTION("""COMPUTED_VALUE"""),27)</f>
        <v>27</v>
      </c>
      <c r="B50" s="1150"/>
      <c r="C50" s="1267"/>
      <c r="D50" s="508" t="str">
        <f ca="1">IFERROR(__xludf.DUMMYFUNCTION("""COMPUTED_VALUE"""),"Storage/방화벽/Network 스위치연간유지보수계약 사업")</f>
        <v>Storage/방화벽/Network 스위치연간유지보수계약 사업</v>
      </c>
      <c r="E50" s="505" t="str">
        <f ca="1">IFERROR(__xludf.DUMMYFUNCTION("""COMPUTED_VALUE"""),"올레이어")</f>
        <v>올레이어</v>
      </c>
      <c r="F50" s="900" t="str">
        <f ca="1">IFERROR(__xludf.DUMMYFUNCTION("""COMPUTED_VALUE"""),"HX-PO-15217")</f>
        <v>HX-PO-15217</v>
      </c>
      <c r="G50" s="901" t="b">
        <f ca="1">IFERROR(__xludf.DUMMYFUNCTION("""COMPUTED_VALUE"""),TRUE)</f>
        <v>1</v>
      </c>
      <c r="H50" s="548"/>
      <c r="I50" s="902" t="b">
        <f ca="1">IFERROR(__xludf.DUMMYFUNCTION("""COMPUTED_VALUE"""),TRUE)</f>
        <v>1</v>
      </c>
      <c r="J50" s="903">
        <f ca="1">IFERROR(__xludf.DUMMYFUNCTION("""COMPUTED_VALUE"""),18473)</f>
        <v>18473</v>
      </c>
      <c r="K50" s="904" t="str">
        <f ca="1">IFERROR(__xludf.DUMMYFUNCTION("""COMPUTED_VALUE"""),"성호준")</f>
        <v>성호준</v>
      </c>
      <c r="L50" s="508" t="str">
        <f ca="1">IFERROR(__xludf.DUMMYFUNCTION("""COMPUTED_VALUE"""),"hsung@hist.co.kr")</f>
        <v>hsung@hist.co.kr</v>
      </c>
      <c r="M50" s="547">
        <f ca="1">IFERROR(__xludf.DUMMYFUNCTION("""COMPUTED_VALUE"""),997500)</f>
        <v>997500</v>
      </c>
      <c r="N50" s="983">
        <f ca="1">IFERROR(__xludf.DUMMYFUNCTION("""COMPUTED_VALUE"""),1097250)</f>
        <v>1097250</v>
      </c>
      <c r="O50" s="514"/>
      <c r="P50" s="514" t="str">
        <f ca="1">IFERROR(__xludf.DUMMYFUNCTION("""COMPUTED_VALUE"""),"API241127강이슬5217")</f>
        <v>API241127강이슬5217</v>
      </c>
      <c r="Q50" s="906" t="b">
        <f ca="1">IFERROR(__xludf.DUMMYFUNCTION("""COMPUTED_VALUE"""),TRUE)</f>
        <v>1</v>
      </c>
      <c r="R50" s="2"/>
      <c r="S50" s="508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</row>
    <row r="51" spans="1:32" ht="15.75" customHeight="1">
      <c r="A51" s="915">
        <f ca="1">IFERROR(__xludf.DUMMYFUNCTION("""COMPUTED_VALUE"""),30)</f>
        <v>30</v>
      </c>
      <c r="B51" s="1265"/>
      <c r="C51" s="1268"/>
      <c r="D51" s="927" t="str">
        <f ca="1">IFERROR(__xludf.DUMMYFUNCTION("""COMPUTED_VALUE"""),"EDI 서비스용 국세청 세금계산서 수집대사/무증빙 운영비 - 한진, 인하대학교")</f>
        <v>EDI 서비스용 국세청 세금계산서 수집대사/무증빙 운영비 - 한진, 인하대학교</v>
      </c>
      <c r="E51" s="928" t="str">
        <f ca="1">IFERROR(__xludf.DUMMYFUNCTION("""COMPUTED_VALUE"""),"유니포스트")</f>
        <v>유니포스트</v>
      </c>
      <c r="F51" s="929" t="str">
        <f ca="1">IFERROR(__xludf.DUMMYFUNCTION("""COMPUTED_VALUE"""),"HX-PO-13485")</f>
        <v>HX-PO-13485</v>
      </c>
      <c r="G51" s="930" t="b">
        <f ca="1">IFERROR(__xludf.DUMMYFUNCTION("""COMPUTED_VALUE"""),TRUE)</f>
        <v>1</v>
      </c>
      <c r="H51" s="931" t="b">
        <f ca="1">IFERROR(__xludf.DUMMYFUNCTION("""COMPUTED_VALUE"""),TRUE)</f>
        <v>1</v>
      </c>
      <c r="I51" s="932"/>
      <c r="J51" s="933">
        <f ca="1">IFERROR(__xludf.DUMMYFUNCTION("""COMPUTED_VALUE"""),18326)</f>
        <v>18326</v>
      </c>
      <c r="K51" s="984" t="str">
        <f ca="1">IFERROR(__xludf.DUMMYFUNCTION("""COMPUTED_VALUE"""),"김영훈")</f>
        <v>김영훈</v>
      </c>
      <c r="L51" s="927" t="str">
        <f ca="1">IFERROR(__xludf.DUMMYFUNCTION("""COMPUTED_VALUE"""),"youngkim@hist.co.kr")</f>
        <v>youngkim@hist.co.kr</v>
      </c>
      <c r="M51" s="934">
        <f ca="1">IFERROR(__xludf.DUMMYFUNCTION("""COMPUTED_VALUE"""),600000)</f>
        <v>600000</v>
      </c>
      <c r="N51" s="982">
        <f ca="1">IFERROR(__xludf.DUMMYFUNCTION("""COMPUTED_VALUE"""),660000)</f>
        <v>660000</v>
      </c>
      <c r="O51" s="514"/>
      <c r="P51" s="514" t="str">
        <f ca="1">IFERROR(__xludf.DUMMYFUNCTION("""COMPUTED_VALUE"""),"API241130강이슬3485")</f>
        <v>API241130강이슬3485</v>
      </c>
      <c r="Q51" s="936" t="b">
        <f ca="1">IFERROR(__xludf.DUMMYFUNCTION("""COMPUTED_VALUE"""),TRUE)</f>
        <v>1</v>
      </c>
      <c r="R51" s="2"/>
      <c r="S51" s="508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</row>
    <row r="52" spans="1:32" ht="15.75" customHeight="1">
      <c r="A52" s="985">
        <f ca="1">IFERROR(__xludf.DUMMYFUNCTION("""COMPUTED_VALUE"""),30)</f>
        <v>30</v>
      </c>
      <c r="B52" s="986">
        <f ca="1">IFERROR(__xludf.DUMMYFUNCTION("""COMPUTED_VALUE"""),1450)</f>
        <v>1450</v>
      </c>
      <c r="C52" s="941" t="str">
        <f ca="1">IFERROR(__xludf.DUMMYFUNCTION("""COMPUTED_VALUE"""),"V170016")</f>
        <v>V170016</v>
      </c>
      <c r="D52" s="941" t="str">
        <f ca="1">IFERROR(__xludf.DUMMYFUNCTION("""COMPUTED_VALUE"""),"UniSMS 써머스플랫폼 메시징 발송수수료 지급(2024.10월분)")</f>
        <v>UniSMS 써머스플랫폼 메시징 발송수수료 지급(2024.10월분)</v>
      </c>
      <c r="E52" s="940" t="str">
        <f ca="1">IFERROR(__xludf.DUMMYFUNCTION("""COMPUTED_VALUE"""),"써머스플랫폼")</f>
        <v>써머스플랫폼</v>
      </c>
      <c r="F52" s="942"/>
      <c r="G52" s="943" t="b">
        <f ca="1">IFERROR(__xludf.DUMMYFUNCTION("""COMPUTED_VALUE"""),TRUE)</f>
        <v>1</v>
      </c>
      <c r="H52" s="944" t="b">
        <f ca="1">IFERROR(__xludf.DUMMYFUNCTION("""COMPUTED_VALUE"""),TRUE)</f>
        <v>1</v>
      </c>
      <c r="I52" s="987"/>
      <c r="J52" s="945"/>
      <c r="K52" s="988" t="str">
        <f ca="1">IFERROR(__xludf.DUMMYFUNCTION("""COMPUTED_VALUE"""),"길종민")</f>
        <v>길종민</v>
      </c>
      <c r="L52" s="941" t="str">
        <f ca="1">IFERROR(__xludf.DUMMYFUNCTION("""COMPUTED_VALUE"""),"jm.kil@hist.co.kr")</f>
        <v>jm.kil@hist.co.kr</v>
      </c>
      <c r="M52" s="989">
        <f ca="1">IFERROR(__xludf.DUMMYFUNCTION("""COMPUTED_VALUE"""),10790848)</f>
        <v>10790848</v>
      </c>
      <c r="N52" s="990">
        <f ca="1">IFERROR(__xludf.DUMMYFUNCTION("""COMPUTED_VALUE"""),11869933)</f>
        <v>11869933</v>
      </c>
      <c r="O52" s="514" t="str">
        <f ca="1">IFERROR(__xludf.DUMMYFUNCTION("""COMPUTED_VALUE"""),"HX-999-SELSCB-SELSCBP-515914-0000-V170016-000000-00000")</f>
        <v>HX-999-SELSCB-SELSCBP-515914-0000-V170016-000000-00000</v>
      </c>
      <c r="P52" s="514" t="str">
        <f ca="1">IFERROR(__xludf.DUMMYFUNCTION("""COMPUTED_VALUE"""),"API241130강이슬1450")</f>
        <v>API241130강이슬1450</v>
      </c>
      <c r="Q52" s="981" t="b">
        <f ca="1">IFERROR(__xludf.DUMMYFUNCTION("""COMPUTED_VALUE"""),TRUE)</f>
        <v>1</v>
      </c>
      <c r="R52" s="2"/>
      <c r="S52" s="508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</row>
    <row r="53" spans="1:32" ht="15.75" customHeight="1">
      <c r="A53" s="985">
        <f ca="1">IFERROR(__xludf.DUMMYFUNCTION("""COMPUTED_VALUE"""),30)</f>
        <v>30</v>
      </c>
      <c r="B53" s="986">
        <f ca="1">IFERROR(__xludf.DUMMYFUNCTION("""COMPUTED_VALUE"""),1460)</f>
        <v>1460</v>
      </c>
      <c r="C53" s="940" t="str">
        <f ca="1">IFERROR(__xludf.DUMMYFUNCTION("""COMPUTED_VALUE"""),"0000000")</f>
        <v>0000000</v>
      </c>
      <c r="D53" s="941" t="str">
        <f ca="1">IFERROR(__xludf.DUMMYFUNCTION("""COMPUTED_VALUE"""),"전사 센드빌 사용내역(24년 11월분)")</f>
        <v>전사 센드빌 사용내역(24년 11월분)</v>
      </c>
      <c r="E53" s="940" t="str">
        <f ca="1">IFERROR(__xludf.DUMMYFUNCTION("""COMPUTED_VALUE"""),"넷매니아")</f>
        <v>넷매니아</v>
      </c>
      <c r="F53" s="991"/>
      <c r="G53" s="943" t="b">
        <f ca="1">IFERROR(__xludf.DUMMYFUNCTION("""COMPUTED_VALUE"""),TRUE)</f>
        <v>1</v>
      </c>
      <c r="H53" s="944" t="b">
        <f ca="1">IFERROR(__xludf.DUMMYFUNCTION("""COMPUTED_VALUE"""),TRUE)</f>
        <v>1</v>
      </c>
      <c r="I53" s="987"/>
      <c r="J53" s="910"/>
      <c r="K53" s="988" t="str">
        <f ca="1">IFERROR(__xludf.DUMMYFUNCTION("""COMPUTED_VALUE"""),"길종민")</f>
        <v>길종민</v>
      </c>
      <c r="L53" s="941" t="str">
        <f ca="1">IFERROR(__xludf.DUMMYFUNCTION("""COMPUTED_VALUE"""),"jm.kil@hist.co.kr")</f>
        <v>jm.kil@hist.co.kr</v>
      </c>
      <c r="M53" s="946">
        <f ca="1">IFERROR(__xludf.DUMMYFUNCTION("""COMPUTED_VALUE"""),50400)</f>
        <v>50400</v>
      </c>
      <c r="N53" s="992">
        <f ca="1">IFERROR(__xludf.DUMMYFUNCTION("""COMPUTED_VALUE"""),55440)</f>
        <v>55440</v>
      </c>
      <c r="O53" s="514" t="str">
        <f ca="1">IFERROR(__xludf.DUMMYFUNCTION("""COMPUTED_VALUE"""),"HX-999-99999-SELHAGF-515419-0000-0000000-000000-00000")</f>
        <v>HX-999-99999-SELHAGF-515419-0000-0000000-000000-00000</v>
      </c>
      <c r="P53" s="514" t="str">
        <f ca="1">IFERROR(__xludf.DUMMYFUNCTION("""COMPUTED_VALUE"""),"API241130강이슬1460")</f>
        <v>API241130강이슬1460</v>
      </c>
      <c r="Q53" s="981" t="b">
        <f ca="1">IFERROR(__xludf.DUMMYFUNCTION("""COMPUTED_VALUE"""),TRUE)</f>
        <v>1</v>
      </c>
      <c r="R53" s="2"/>
      <c r="S53" s="508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</row>
    <row r="54" spans="1:32" ht="15.75" customHeight="1">
      <c r="A54" s="985">
        <f ca="1">IFERROR(__xludf.DUMMYFUNCTION("""COMPUTED_VALUE"""),30)</f>
        <v>30</v>
      </c>
      <c r="B54" s="986" t="str">
        <f ca="1">IFERROR(__xludf.DUMMYFUNCTION("""COMPUTED_VALUE"""),"HX-PR-15225")</f>
        <v>HX-PR-15225</v>
      </c>
      <c r="C54" s="940"/>
      <c r="D54" s="941" t="str">
        <f ca="1">IFERROR(__xludf.DUMMYFUNCTION("""COMPUTED_VALUE"""),"인하공업전문대학 전산장비 통합유지보수 위탁용역 4회차 / 2024-11 (코스모티어)")</f>
        <v>인하공업전문대학 전산장비 통합유지보수 위탁용역 4회차 / 2024-11 (코스모티어)</v>
      </c>
      <c r="E54" s="940" t="str">
        <f ca="1">IFERROR(__xludf.DUMMYFUNCTION("""COMPUTED_VALUE"""),"1. 코스모티어")</f>
        <v>1. 코스모티어</v>
      </c>
      <c r="F54" s="991" t="str">
        <f ca="1">IFERROR(__xludf.DUMMYFUNCTION("""COMPUTED_VALUE"""),"HX-PO-15320")</f>
        <v>HX-PO-15320</v>
      </c>
      <c r="G54" s="943" t="b">
        <f ca="1">IFERROR(__xludf.DUMMYFUNCTION("""COMPUTED_VALUE"""),TRUE)</f>
        <v>1</v>
      </c>
      <c r="H54" s="944" t="b">
        <f ca="1">IFERROR(__xludf.DUMMYFUNCTION("""COMPUTED_VALUE"""),TRUE)</f>
        <v>1</v>
      </c>
      <c r="I54" s="987" t="b">
        <f ca="1">IFERROR(__xludf.DUMMYFUNCTION("""COMPUTED_VALUE"""),TRUE)</f>
        <v>1</v>
      </c>
      <c r="J54" s="910">
        <f ca="1">IFERROR(__xludf.DUMMYFUNCTION("""COMPUTED_VALUE"""),18477)</f>
        <v>18477</v>
      </c>
      <c r="K54" s="988" t="str">
        <f ca="1">IFERROR(__xludf.DUMMYFUNCTION("""COMPUTED_VALUE"""),"원치웅")</f>
        <v>원치웅</v>
      </c>
      <c r="L54" s="941" t="str">
        <f ca="1">IFERROR(__xludf.DUMMYFUNCTION("""COMPUTED_VALUE"""),"cwon@hist.co.kr")</f>
        <v>cwon@hist.co.kr</v>
      </c>
      <c r="M54" s="946">
        <f ca="1">IFERROR(__xludf.DUMMYFUNCTION("""COMPUTED_VALUE"""),7277800)</f>
        <v>7277800</v>
      </c>
      <c r="N54" s="992">
        <f ca="1">IFERROR(__xludf.DUMMYFUNCTION("""COMPUTED_VALUE"""),8005580)</f>
        <v>8005580</v>
      </c>
      <c r="O54" s="514"/>
      <c r="P54" s="514" t="str">
        <f ca="1">IFERROR(__xludf.DUMMYFUNCTION("""COMPUTED_VALUE"""),"API241130강이슬5320")</f>
        <v>API241130강이슬5320</v>
      </c>
      <c r="Q54" s="981" t="b">
        <f ca="1">IFERROR(__xludf.DUMMYFUNCTION("""COMPUTED_VALUE"""),TRUE)</f>
        <v>1</v>
      </c>
      <c r="R54" s="2"/>
      <c r="S54" s="508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spans="1:32" ht="15.75" customHeight="1">
      <c r="A55" s="914">
        <f ca="1">IFERROR(__xludf.DUMMYFUNCTION("""COMPUTED_VALUE"""),30)</f>
        <v>30</v>
      </c>
      <c r="B55" s="993"/>
      <c r="C55" s="502"/>
      <c r="D55" s="502" t="str">
        <f ca="1">IFERROR(__xludf.DUMMYFUNCTION("""COMPUTED_VALUE"""),"인하공업전문대학 전산장비 통합유지보수 위탁용역 4회차 / 2024-11 (지오이스트)")</f>
        <v>인하공업전문대학 전산장비 통합유지보수 위탁용역 4회차 / 2024-11 (지오이스트)</v>
      </c>
      <c r="E55" s="502" t="str">
        <f ca="1">IFERROR(__xludf.DUMMYFUNCTION("""COMPUTED_VALUE"""),"2.지오이스트")</f>
        <v>2.지오이스트</v>
      </c>
      <c r="F55" s="960" t="str">
        <f ca="1">IFERROR(__xludf.DUMMYFUNCTION("""COMPUTED_VALUE"""),"HX-PO-15321")</f>
        <v>HX-PO-15321</v>
      </c>
      <c r="G55" s="943" t="b">
        <f ca="1">IFERROR(__xludf.DUMMYFUNCTION("""COMPUTED_VALUE"""),TRUE)</f>
        <v>1</v>
      </c>
      <c r="H55" s="944" t="b">
        <f ca="1">IFERROR(__xludf.DUMMYFUNCTION("""COMPUTED_VALUE"""),TRUE)</f>
        <v>1</v>
      </c>
      <c r="I55" s="994" t="b">
        <f ca="1">IFERROR(__xludf.DUMMYFUNCTION("""COMPUTED_VALUE"""),TRUE)</f>
        <v>1</v>
      </c>
      <c r="J55" s="963">
        <f ca="1">IFERROR(__xludf.DUMMYFUNCTION("""COMPUTED_VALUE"""),18478)</f>
        <v>18478</v>
      </c>
      <c r="K55" s="993" t="str">
        <f ca="1">IFERROR(__xludf.DUMMYFUNCTION("""COMPUTED_VALUE"""),"원치웅")</f>
        <v>원치웅</v>
      </c>
      <c r="L55" s="502" t="str">
        <f ca="1">IFERROR(__xludf.DUMMYFUNCTION("""COMPUTED_VALUE"""),"cwon@hist.co.kr")</f>
        <v>cwon@hist.co.kr</v>
      </c>
      <c r="M55" s="552">
        <f ca="1">IFERROR(__xludf.DUMMYFUNCTION("""COMPUTED_VALUE"""),3220000)</f>
        <v>3220000</v>
      </c>
      <c r="N55" s="995">
        <f ca="1">IFERROR(__xludf.DUMMYFUNCTION("""COMPUTED_VALUE"""),3542000)</f>
        <v>3542000</v>
      </c>
      <c r="O55" s="996"/>
      <c r="P55" s="997" t="str">
        <f ca="1">IFERROR(__xludf.DUMMYFUNCTION("""COMPUTED_VALUE"""),"API241130강이슬5321")</f>
        <v>API241130강이슬5321</v>
      </c>
      <c r="Q55" s="964" t="b">
        <f ca="1">IFERROR(__xludf.DUMMYFUNCTION("""COMPUTED_VALUE"""),TRUE)</f>
        <v>1</v>
      </c>
      <c r="R55" s="2"/>
      <c r="S55" s="508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</row>
    <row r="56" spans="1:32" ht="15.75" customHeight="1">
      <c r="A56" s="914">
        <f ca="1">IFERROR(__xludf.DUMMYFUNCTION("""COMPUTED_VALUE"""),30)</f>
        <v>30</v>
      </c>
      <c r="B56" s="998"/>
      <c r="C56" s="998"/>
      <c r="D56" s="508" t="str">
        <f ca="1">IFERROR(__xludf.DUMMYFUNCTION("""COMPUTED_VALUE"""),"인하공업전문대학 전산장비 통합유지보수 위탁용역 4회차 / 2024-11 (원아이티엠)")</f>
        <v>인하공업전문대학 전산장비 통합유지보수 위탁용역 4회차 / 2024-11 (원아이티엠)</v>
      </c>
      <c r="E56" s="505" t="str">
        <f ca="1">IFERROR(__xludf.DUMMYFUNCTION("""COMPUTED_VALUE"""),"3.원아이티엠")</f>
        <v>3.원아이티엠</v>
      </c>
      <c r="F56" s="900" t="str">
        <f ca="1">IFERROR(__xludf.DUMMYFUNCTION("""COMPUTED_VALUE"""),"HX-PO-15322")</f>
        <v>HX-PO-15322</v>
      </c>
      <c r="G56" s="943" t="b">
        <f ca="1">IFERROR(__xludf.DUMMYFUNCTION("""COMPUTED_VALUE"""),TRUE)</f>
        <v>1</v>
      </c>
      <c r="H56" s="944" t="b">
        <f ca="1">IFERROR(__xludf.DUMMYFUNCTION("""COMPUTED_VALUE"""),TRUE)</f>
        <v>1</v>
      </c>
      <c r="I56" s="902" t="b">
        <f ca="1">IFERROR(__xludf.DUMMYFUNCTION("""COMPUTED_VALUE"""),TRUE)</f>
        <v>1</v>
      </c>
      <c r="J56" s="903">
        <f ca="1">IFERROR(__xludf.DUMMYFUNCTION("""COMPUTED_VALUE"""),18525)</f>
        <v>18525</v>
      </c>
      <c r="K56" s="904" t="str">
        <f ca="1">IFERROR(__xludf.DUMMYFUNCTION("""COMPUTED_VALUE"""),"원치웅")</f>
        <v>원치웅</v>
      </c>
      <c r="L56" s="508" t="str">
        <f ca="1">IFERROR(__xludf.DUMMYFUNCTION("""COMPUTED_VALUE"""),"cwon@hist.co.kr")</f>
        <v>cwon@hist.co.kr</v>
      </c>
      <c r="M56" s="547">
        <f ca="1">IFERROR(__xludf.DUMMYFUNCTION("""COMPUTED_VALUE"""),4227500)</f>
        <v>4227500</v>
      </c>
      <c r="N56" s="983">
        <f ca="1">IFERROR(__xludf.DUMMYFUNCTION("""COMPUTED_VALUE"""),4650250)</f>
        <v>4650250</v>
      </c>
      <c r="O56" s="514"/>
      <c r="P56" s="514" t="str">
        <f ca="1">IFERROR(__xludf.DUMMYFUNCTION("""COMPUTED_VALUE"""),"API241130강이슬5322")</f>
        <v>API241130강이슬5322</v>
      </c>
      <c r="Q56" s="906" t="b">
        <f ca="1">IFERROR(__xludf.DUMMYFUNCTION("""COMPUTED_VALUE"""),TRUE)</f>
        <v>1</v>
      </c>
      <c r="R56" s="2"/>
      <c r="S56" s="508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</row>
    <row r="57" spans="1:32" ht="15.75" customHeight="1">
      <c r="A57" s="914">
        <f ca="1">IFERROR(__xludf.DUMMYFUNCTION("""COMPUTED_VALUE"""),30)</f>
        <v>30</v>
      </c>
      <c r="B57" s="998"/>
      <c r="C57" s="998"/>
      <c r="D57" s="508" t="str">
        <f ca="1">IFERROR(__xludf.DUMMYFUNCTION("""COMPUTED_VALUE"""),"인하공업전문대학 전산장비 통합유지보수 위탁용역 4회차 / 2024-11 (이노라이즈)")</f>
        <v>인하공업전문대학 전산장비 통합유지보수 위탁용역 4회차 / 2024-11 (이노라이즈)</v>
      </c>
      <c r="E57" s="505" t="str">
        <f ca="1">IFERROR(__xludf.DUMMYFUNCTION("""COMPUTED_VALUE"""),"4.이노라이즈")</f>
        <v>4.이노라이즈</v>
      </c>
      <c r="F57" s="900" t="str">
        <f ca="1">IFERROR(__xludf.DUMMYFUNCTION("""COMPUTED_VALUE"""),"HX-PO-15323")</f>
        <v>HX-PO-15323</v>
      </c>
      <c r="G57" s="943" t="b">
        <f ca="1">IFERROR(__xludf.DUMMYFUNCTION("""COMPUTED_VALUE"""),TRUE)</f>
        <v>1</v>
      </c>
      <c r="H57" s="944" t="b">
        <f ca="1">IFERROR(__xludf.DUMMYFUNCTION("""COMPUTED_VALUE"""),TRUE)</f>
        <v>1</v>
      </c>
      <c r="I57" s="902" t="b">
        <f ca="1">IFERROR(__xludf.DUMMYFUNCTION("""COMPUTED_VALUE"""),TRUE)</f>
        <v>1</v>
      </c>
      <c r="J57" s="903">
        <f ca="1">IFERROR(__xludf.DUMMYFUNCTION("""COMPUTED_VALUE"""),18479)</f>
        <v>18479</v>
      </c>
      <c r="K57" s="904" t="str">
        <f ca="1">IFERROR(__xludf.DUMMYFUNCTION("""COMPUTED_VALUE"""),"원치웅")</f>
        <v>원치웅</v>
      </c>
      <c r="L57" s="508" t="str">
        <f ca="1">IFERROR(__xludf.DUMMYFUNCTION("""COMPUTED_VALUE"""),"cwon@hist.co.kr")</f>
        <v>cwon@hist.co.kr</v>
      </c>
      <c r="M57" s="547">
        <f ca="1">IFERROR(__xludf.DUMMYFUNCTION("""COMPUTED_VALUE"""),1164000)</f>
        <v>1164000</v>
      </c>
      <c r="N57" s="983">
        <f ca="1">IFERROR(__xludf.DUMMYFUNCTION("""COMPUTED_VALUE"""),1280400)</f>
        <v>1280400</v>
      </c>
      <c r="O57" s="514"/>
      <c r="P57" s="514" t="str">
        <f ca="1">IFERROR(__xludf.DUMMYFUNCTION("""COMPUTED_VALUE"""),"API241130강이슬5323")</f>
        <v>API241130강이슬5323</v>
      </c>
      <c r="Q57" s="906" t="b">
        <f ca="1">IFERROR(__xludf.DUMMYFUNCTION("""COMPUTED_VALUE"""),TRUE)</f>
        <v>1</v>
      </c>
      <c r="R57" s="2"/>
      <c r="S57" s="508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 spans="1:32" ht="15.75" customHeight="1">
      <c r="A58" s="914">
        <f ca="1">IFERROR(__xludf.DUMMYFUNCTION("""COMPUTED_VALUE"""),30)</f>
        <v>30</v>
      </c>
      <c r="B58" s="998"/>
      <c r="C58" s="998"/>
      <c r="D58" s="508" t="str">
        <f ca="1">IFERROR(__xludf.DUMMYFUNCTION("""COMPUTED_VALUE"""),"인하공업전문대학 전산장비 통합유지보수 위탁용역 4회차 / 2024-11 (티에스라인시스템)")</f>
        <v>인하공업전문대학 전산장비 통합유지보수 위탁용역 4회차 / 2024-11 (티에스라인시스템)</v>
      </c>
      <c r="E58" s="505" t="str">
        <f ca="1">IFERROR(__xludf.DUMMYFUNCTION("""COMPUTED_VALUE"""),"5.티에스라인시스템")</f>
        <v>5.티에스라인시스템</v>
      </c>
      <c r="F58" s="900" t="str">
        <f ca="1">IFERROR(__xludf.DUMMYFUNCTION("""COMPUTED_VALUE"""),"HX-PO-15324")</f>
        <v>HX-PO-15324</v>
      </c>
      <c r="G58" s="943" t="b">
        <f ca="1">IFERROR(__xludf.DUMMYFUNCTION("""COMPUTED_VALUE"""),TRUE)</f>
        <v>1</v>
      </c>
      <c r="H58" s="944" t="b">
        <f ca="1">IFERROR(__xludf.DUMMYFUNCTION("""COMPUTED_VALUE"""),TRUE)</f>
        <v>1</v>
      </c>
      <c r="I58" s="902" t="b">
        <f ca="1">IFERROR(__xludf.DUMMYFUNCTION("""COMPUTED_VALUE"""),TRUE)</f>
        <v>1</v>
      </c>
      <c r="J58" s="903">
        <f ca="1">IFERROR(__xludf.DUMMYFUNCTION("""COMPUTED_VALUE"""),18480)</f>
        <v>18480</v>
      </c>
      <c r="K58" s="904" t="str">
        <f ca="1">IFERROR(__xludf.DUMMYFUNCTION("""COMPUTED_VALUE"""),"원치웅")</f>
        <v>원치웅</v>
      </c>
      <c r="L58" s="508" t="str">
        <f ca="1">IFERROR(__xludf.DUMMYFUNCTION("""COMPUTED_VALUE"""),"cwon@hist.co.kr")</f>
        <v>cwon@hist.co.kr</v>
      </c>
      <c r="M58" s="547">
        <f ca="1">IFERROR(__xludf.DUMMYFUNCTION("""COMPUTED_VALUE"""),1195000)</f>
        <v>1195000</v>
      </c>
      <c r="N58" s="983">
        <f ca="1">IFERROR(__xludf.DUMMYFUNCTION("""COMPUTED_VALUE"""),1314500)</f>
        <v>1314500</v>
      </c>
      <c r="O58" s="514"/>
      <c r="P58" s="514" t="str">
        <f ca="1">IFERROR(__xludf.DUMMYFUNCTION("""COMPUTED_VALUE"""),"API241130강이슬5324")</f>
        <v>API241130강이슬5324</v>
      </c>
      <c r="Q58" s="906" t="b">
        <f ca="1">IFERROR(__xludf.DUMMYFUNCTION("""COMPUTED_VALUE"""),TRUE)</f>
        <v>1</v>
      </c>
      <c r="R58" s="2"/>
      <c r="S58" s="508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</row>
    <row r="59" spans="1:32" ht="15.75" customHeight="1">
      <c r="A59" s="914">
        <f ca="1">IFERROR(__xludf.DUMMYFUNCTION("""COMPUTED_VALUE"""),30)</f>
        <v>30</v>
      </c>
      <c r="B59" s="998"/>
      <c r="C59" s="998"/>
      <c r="D59" s="508" t="str">
        <f ca="1">IFERROR(__xludf.DUMMYFUNCTION("""COMPUTED_VALUE"""),"인하공업전문대학 전산장비 통합유지보수 위탁용역 4회차 / 2024-11 (리눅스데이타시스템)")</f>
        <v>인하공업전문대학 전산장비 통합유지보수 위탁용역 4회차 / 2024-11 (리눅스데이타시스템)</v>
      </c>
      <c r="E59" s="505" t="str">
        <f ca="1">IFERROR(__xludf.DUMMYFUNCTION("""COMPUTED_VALUE"""),"6.리눅스데이타시스템")</f>
        <v>6.리눅스데이타시스템</v>
      </c>
      <c r="F59" s="900" t="str">
        <f ca="1">IFERROR(__xludf.DUMMYFUNCTION("""COMPUTED_VALUE"""),"HX-PO-15325")</f>
        <v>HX-PO-15325</v>
      </c>
      <c r="G59" s="943" t="b">
        <f ca="1">IFERROR(__xludf.DUMMYFUNCTION("""COMPUTED_VALUE"""),TRUE)</f>
        <v>1</v>
      </c>
      <c r="H59" s="944" t="b">
        <f ca="1">IFERROR(__xludf.DUMMYFUNCTION("""COMPUTED_VALUE"""),TRUE)</f>
        <v>1</v>
      </c>
      <c r="I59" s="902" t="b">
        <f ca="1">IFERROR(__xludf.DUMMYFUNCTION("""COMPUTED_VALUE"""),TRUE)</f>
        <v>1</v>
      </c>
      <c r="J59" s="903">
        <f ca="1">IFERROR(__xludf.DUMMYFUNCTION("""COMPUTED_VALUE"""),18526)</f>
        <v>18526</v>
      </c>
      <c r="K59" s="904" t="str">
        <f ca="1">IFERROR(__xludf.DUMMYFUNCTION("""COMPUTED_VALUE"""),"원치웅")</f>
        <v>원치웅</v>
      </c>
      <c r="L59" s="508" t="str">
        <f ca="1">IFERROR(__xludf.DUMMYFUNCTION("""COMPUTED_VALUE"""),"cwon@hist.co.kr")</f>
        <v>cwon@hist.co.kr</v>
      </c>
      <c r="M59" s="547">
        <f ca="1">IFERROR(__xludf.DUMMYFUNCTION("""COMPUTED_VALUE"""),445000)</f>
        <v>445000</v>
      </c>
      <c r="N59" s="983">
        <f ca="1">IFERROR(__xludf.DUMMYFUNCTION("""COMPUTED_VALUE"""),489500)</f>
        <v>489500</v>
      </c>
      <c r="O59" s="514"/>
      <c r="P59" s="514" t="str">
        <f ca="1">IFERROR(__xludf.DUMMYFUNCTION("""COMPUTED_VALUE"""),"API241130강이슬5325")</f>
        <v>API241130강이슬5325</v>
      </c>
      <c r="Q59" s="906" t="b">
        <f ca="1">IFERROR(__xludf.DUMMYFUNCTION("""COMPUTED_VALUE"""),TRUE)</f>
        <v>1</v>
      </c>
      <c r="R59" s="2"/>
      <c r="S59" s="508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</row>
    <row r="60" spans="1:32" ht="15.75" customHeight="1">
      <c r="A60" s="914">
        <f ca="1">IFERROR(__xludf.DUMMYFUNCTION("""COMPUTED_VALUE"""),27)</f>
        <v>27</v>
      </c>
      <c r="B60" s="998"/>
      <c r="C60" s="998"/>
      <c r="D60" s="508" t="str">
        <f ca="1">IFERROR(__xludf.DUMMYFUNCTION("""COMPUTED_VALUE"""),"인하공업전문대학 전산장비 통합유지보수 위탁용역 3회차 / 2024-10 (지오이스트)")</f>
        <v>인하공업전문대학 전산장비 통합유지보수 위탁용역 3회차 / 2024-10 (지오이스트)</v>
      </c>
      <c r="E60" s="505" t="str">
        <f ca="1">IFERROR(__xludf.DUMMYFUNCTION("""COMPUTED_VALUE"""),"7.지오이스")</f>
        <v>7.지오이스</v>
      </c>
      <c r="F60" s="900" t="str">
        <f ca="1">IFERROR(__xludf.DUMMYFUNCTION("""COMPUTED_VALUE"""),"HX-PO-15331")</f>
        <v>HX-PO-15331</v>
      </c>
      <c r="G60" s="943" t="b">
        <f ca="1">IFERROR(__xludf.DUMMYFUNCTION("""COMPUTED_VALUE"""),FALSE)</f>
        <v>0</v>
      </c>
      <c r="H60" s="944" t="b">
        <f ca="1">IFERROR(__xludf.DUMMYFUNCTION("""COMPUTED_VALUE"""),FALSE)</f>
        <v>0</v>
      </c>
      <c r="I60" s="902" t="b">
        <f ca="1">IFERROR(__xludf.DUMMYFUNCTION("""COMPUTED_VALUE"""),FALSE)</f>
        <v>0</v>
      </c>
      <c r="J60" s="903"/>
      <c r="K60" s="904" t="str">
        <f ca="1">IFERROR(__xludf.DUMMYFUNCTION("""COMPUTED_VALUE"""),"원치웅")</f>
        <v>원치웅</v>
      </c>
      <c r="L60" s="508" t="str">
        <f ca="1">IFERROR(__xludf.DUMMYFUNCTION("""COMPUTED_VALUE"""),"cwon@hist.co.kr")</f>
        <v>cwon@hist.co.kr</v>
      </c>
      <c r="M60" s="547">
        <f ca="1">IFERROR(__xludf.DUMMYFUNCTION("""COMPUTED_VALUE"""),73200000)</f>
        <v>73200000</v>
      </c>
      <c r="N60" s="983">
        <f ca="1">IFERROR(__xludf.DUMMYFUNCTION("""COMPUTED_VALUE"""),80520000)</f>
        <v>80520000</v>
      </c>
      <c r="O60" s="514"/>
      <c r="P60" s="514" t="str">
        <f ca="1">IFERROR(__xludf.DUMMYFUNCTION("""COMPUTED_VALUE"""),"API241127강이슬5331")</f>
        <v>API241127강이슬5331</v>
      </c>
      <c r="Q60" s="906" t="b">
        <f ca="1">IFERROR(__xludf.DUMMYFUNCTION("""COMPUTED_VALUE"""),FALSE)</f>
        <v>0</v>
      </c>
      <c r="R60" s="2"/>
      <c r="S60" s="508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</row>
    <row r="61" spans="1:32" ht="15.75" customHeight="1">
      <c r="A61" s="999">
        <f ca="1">IFERROR(__xludf.DUMMYFUNCTION("""COMPUTED_VALUE"""),25)</f>
        <v>25</v>
      </c>
      <c r="B61" s="1000" t="str">
        <f ca="1">IFERROR(__xludf.DUMMYFUNCTION("""COMPUTED_VALUE"""),"HX-PR-14651")</f>
        <v>HX-PR-14651</v>
      </c>
      <c r="C61" s="543"/>
      <c r="D61" s="543" t="str">
        <f ca="1">IFERROR(__xludf.DUMMYFUNCTION("""COMPUTED_VALUE"""),"2024.3분기_상상인저축은행 IT인프라 통합유지보수 용역비")</f>
        <v>2024.3분기_상상인저축은행 IT인프라 통합유지보수 용역비</v>
      </c>
      <c r="E61" s="543" t="str">
        <f ca="1">IFERROR(__xludf.DUMMYFUNCTION("""COMPUTED_VALUE"""),"1.유니포인트")</f>
        <v>1.유니포인트</v>
      </c>
      <c r="F61" s="1001" t="str">
        <f ca="1">IFERROR(__xludf.DUMMYFUNCTION("""COMPUTED_VALUE"""),"HX-PO-14620")</f>
        <v>HX-PO-14620</v>
      </c>
      <c r="G61" s="893" t="b">
        <f ca="1">IFERROR(__xludf.DUMMYFUNCTION("""COMPUTED_VALUE"""),TRUE)</f>
        <v>1</v>
      </c>
      <c r="H61" s="894" t="b">
        <f ca="1">IFERROR(__xludf.DUMMYFUNCTION("""COMPUTED_VALUE"""),TRUE)</f>
        <v>1</v>
      </c>
      <c r="I61" s="895"/>
      <c r="J61" s="896"/>
      <c r="K61" s="1000" t="str">
        <f ca="1">IFERROR(__xludf.DUMMYFUNCTION("""COMPUTED_VALUE"""),"최윤창")</f>
        <v>최윤창</v>
      </c>
      <c r="L61" s="494" t="str">
        <f ca="1">IFERROR(__xludf.DUMMYFUNCTION("""COMPUTED_VALUE"""),"ycchoi@hist.co.kr")</f>
        <v>ycchoi@hist.co.kr</v>
      </c>
      <c r="M61" s="1002">
        <f ca="1">IFERROR(__xludf.DUMMYFUNCTION("""COMPUTED_VALUE"""),2550000)</f>
        <v>2550000</v>
      </c>
      <c r="N61" s="544">
        <f ca="1">IFERROR(__xludf.DUMMYFUNCTION("""COMPUTED_VALUE"""),2805000)</f>
        <v>2805000</v>
      </c>
      <c r="O61" s="1001"/>
      <c r="P61" s="1003" t="str">
        <f ca="1">IFERROR(__xludf.DUMMYFUNCTION("""COMPUTED_VALUE"""),"API241125강이슬4620")</f>
        <v>API241125강이슬4620</v>
      </c>
      <c r="Q61" s="1004" t="b">
        <f ca="1">IFERROR(__xludf.DUMMYFUNCTION("""COMPUTED_VALUE"""),FALSE)</f>
        <v>0</v>
      </c>
      <c r="R61" s="2"/>
      <c r="S61" s="1005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</row>
    <row r="62" spans="1:32" ht="15.75" customHeight="1">
      <c r="A62" s="914">
        <f ca="1">IFERROR(__xludf.DUMMYFUNCTION("""COMPUTED_VALUE"""),25)</f>
        <v>25</v>
      </c>
      <c r="B62" s="1006"/>
      <c r="C62" s="505"/>
      <c r="D62" s="508" t="str">
        <f ca="1">IFERROR(__xludf.DUMMYFUNCTION("""COMPUTED_VALUE"""),"2024.3분기_상상인저축은행 IT인프라 통합유지보수 용역비")</f>
        <v>2024.3분기_상상인저축은행 IT인프라 통합유지보수 용역비</v>
      </c>
      <c r="E62" s="505" t="str">
        <f ca="1">IFERROR(__xludf.DUMMYFUNCTION("""COMPUTED_VALUE"""),"2.아이리스인포테크")</f>
        <v>2.아이리스인포테크</v>
      </c>
      <c r="F62" s="900" t="str">
        <f ca="1">IFERROR(__xludf.DUMMYFUNCTION("""COMPUTED_VALUE"""),"HX-PO-14621")</f>
        <v>HX-PO-14621</v>
      </c>
      <c r="G62" s="919" t="b">
        <f ca="1">IFERROR(__xludf.DUMMYFUNCTION("""COMPUTED_VALUE"""),TRUE)</f>
        <v>1</v>
      </c>
      <c r="H62" s="920" t="b">
        <f ca="1">IFERROR(__xludf.DUMMYFUNCTION("""COMPUTED_VALUE"""),TRUE)</f>
        <v>1</v>
      </c>
      <c r="I62" s="921"/>
      <c r="J62" s="967"/>
      <c r="K62" s="904" t="str">
        <f ca="1">IFERROR(__xludf.DUMMYFUNCTION("""COMPUTED_VALUE"""),"최윤창")</f>
        <v>최윤창</v>
      </c>
      <c r="L62" s="508" t="str">
        <f ca="1">IFERROR(__xludf.DUMMYFUNCTION("""COMPUTED_VALUE"""),"ycchoi@hist.co.kr")</f>
        <v>ycchoi@hist.co.kr</v>
      </c>
      <c r="M62" s="511">
        <f ca="1">IFERROR(__xludf.DUMMYFUNCTION("""COMPUTED_VALUE"""),20430000)</f>
        <v>20430000</v>
      </c>
      <c r="N62" s="553">
        <f ca="1">IFERROR(__xludf.DUMMYFUNCTION("""COMPUTED_VALUE"""),22473000)</f>
        <v>22473000</v>
      </c>
      <c r="O62" s="1007"/>
      <c r="P62" s="518" t="str">
        <f ca="1">IFERROR(__xludf.DUMMYFUNCTION("""COMPUTED_VALUE"""),"API241125강이슬4621")</f>
        <v>API241125강이슬4621</v>
      </c>
      <c r="Q62" s="906" t="b">
        <f ca="1">IFERROR(__xludf.DUMMYFUNCTION("""COMPUTED_VALUE"""),FALSE)</f>
        <v>0</v>
      </c>
      <c r="R62" s="2"/>
      <c r="S62" s="1008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</row>
    <row r="63" spans="1:32" ht="15.75" customHeight="1">
      <c r="A63" s="914">
        <f ca="1">IFERROR(__xludf.DUMMYFUNCTION("""COMPUTED_VALUE"""),25)</f>
        <v>25</v>
      </c>
      <c r="B63" s="1006"/>
      <c r="C63" s="508"/>
      <c r="D63" s="508" t="str">
        <f ca="1">IFERROR(__xludf.DUMMYFUNCTION("""COMPUTED_VALUE"""),"2024.3분기_상상인저축은행 IT인프라 통합유지보수 용역비")</f>
        <v>2024.3분기_상상인저축은행 IT인프라 통합유지보수 용역비</v>
      </c>
      <c r="E63" s="505" t="str">
        <f ca="1">IFERROR(__xludf.DUMMYFUNCTION("""COMPUTED_VALUE"""),"3.오렌지아이티")</f>
        <v>3.오렌지아이티</v>
      </c>
      <c r="F63" s="900" t="str">
        <f ca="1">IFERROR(__xludf.DUMMYFUNCTION("""COMPUTED_VALUE"""),"HX-PO-14622")</f>
        <v>HX-PO-14622</v>
      </c>
      <c r="G63" s="919" t="b">
        <f ca="1">IFERROR(__xludf.DUMMYFUNCTION("""COMPUTED_VALUE"""),TRUE)</f>
        <v>1</v>
      </c>
      <c r="H63" s="920" t="b">
        <f ca="1">IFERROR(__xludf.DUMMYFUNCTION("""COMPUTED_VALUE"""),TRUE)</f>
        <v>1</v>
      </c>
      <c r="I63" s="921" t="b">
        <f ca="1">IFERROR(__xludf.DUMMYFUNCTION("""COMPUTED_VALUE"""),TRUE)</f>
        <v>1</v>
      </c>
      <c r="J63" s="967"/>
      <c r="K63" s="904" t="str">
        <f ca="1">IFERROR(__xludf.DUMMYFUNCTION("""COMPUTED_VALUE"""),"최윤창")</f>
        <v>최윤창</v>
      </c>
      <c r="L63" s="508" t="str">
        <f ca="1">IFERROR(__xludf.DUMMYFUNCTION("""COMPUTED_VALUE"""),"ycchoi@hist.co.kr")</f>
        <v>ycchoi@hist.co.kr</v>
      </c>
      <c r="M63" s="511">
        <f ca="1">IFERROR(__xludf.DUMMYFUNCTION("""COMPUTED_VALUE"""),2250000)</f>
        <v>2250000</v>
      </c>
      <c r="N63" s="553">
        <f ca="1">IFERROR(__xludf.DUMMYFUNCTION("""COMPUTED_VALUE"""),2475000)</f>
        <v>2475000</v>
      </c>
      <c r="O63" s="900"/>
      <c r="P63" s="514" t="str">
        <f ca="1">IFERROR(__xludf.DUMMYFUNCTION("""COMPUTED_VALUE"""),"API241125강이슬4622")</f>
        <v>API241125강이슬4622</v>
      </c>
      <c r="Q63" s="906" t="b">
        <f ca="1">IFERROR(__xludf.DUMMYFUNCTION("""COMPUTED_VALUE"""),FALSE)</f>
        <v>0</v>
      </c>
      <c r="R63" s="2"/>
      <c r="S63" s="510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</row>
    <row r="64" spans="1:32" ht="15.75" customHeight="1">
      <c r="A64" s="914">
        <f ca="1">IFERROR(__xludf.DUMMYFUNCTION("""COMPUTED_VALUE"""),25)</f>
        <v>25</v>
      </c>
      <c r="B64" s="1006"/>
      <c r="C64" s="508"/>
      <c r="D64" s="508" t="str">
        <f ca="1">IFERROR(__xludf.DUMMYFUNCTION("""COMPUTED_VALUE"""),"2024.3분기_상상인저축은행 IT인프라 통합유지보수 용역비")</f>
        <v>2024.3분기_상상인저축은행 IT인프라 통합유지보수 용역비</v>
      </c>
      <c r="E64" s="505" t="str">
        <f ca="1">IFERROR(__xludf.DUMMYFUNCTION("""COMPUTED_VALUE"""),"4.인텍앤컴퍼니")</f>
        <v>4.인텍앤컴퍼니</v>
      </c>
      <c r="F64" s="900" t="str">
        <f ca="1">IFERROR(__xludf.DUMMYFUNCTION("""COMPUTED_VALUE"""),"HX-PO-14623")</f>
        <v>HX-PO-14623</v>
      </c>
      <c r="G64" s="919" t="b">
        <f ca="1">IFERROR(__xludf.DUMMYFUNCTION("""COMPUTED_VALUE"""),TRUE)</f>
        <v>1</v>
      </c>
      <c r="H64" s="920" t="b">
        <f ca="1">IFERROR(__xludf.DUMMYFUNCTION("""COMPUTED_VALUE"""),TRUE)</f>
        <v>1</v>
      </c>
      <c r="I64" s="921"/>
      <c r="J64" s="967"/>
      <c r="K64" s="904" t="str">
        <f ca="1">IFERROR(__xludf.DUMMYFUNCTION("""COMPUTED_VALUE"""),"최윤창")</f>
        <v>최윤창</v>
      </c>
      <c r="L64" s="508" t="str">
        <f ca="1">IFERROR(__xludf.DUMMYFUNCTION("""COMPUTED_VALUE"""),"ycchoi@hist.co.kr")</f>
        <v>ycchoi@hist.co.kr</v>
      </c>
      <c r="M64" s="511">
        <f ca="1">IFERROR(__xludf.DUMMYFUNCTION("""COMPUTED_VALUE"""),3389999.99999999)</f>
        <v>3389999.9999999902</v>
      </c>
      <c r="N64" s="553">
        <f ca="1">IFERROR(__xludf.DUMMYFUNCTION("""COMPUTED_VALUE"""),3729000)</f>
        <v>3729000</v>
      </c>
      <c r="O64" s="900"/>
      <c r="P64" s="514" t="str">
        <f ca="1">IFERROR(__xludf.DUMMYFUNCTION("""COMPUTED_VALUE"""),"API241125강이슬4623")</f>
        <v>API241125강이슬4623</v>
      </c>
      <c r="Q64" s="906" t="b">
        <f ca="1">IFERROR(__xludf.DUMMYFUNCTION("""COMPUTED_VALUE"""),FALSE)</f>
        <v>0</v>
      </c>
      <c r="R64" s="2"/>
      <c r="S64" s="510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</row>
    <row r="65" spans="1:32" ht="15.75" customHeight="1">
      <c r="A65" s="914">
        <f ca="1">IFERROR(__xludf.DUMMYFUNCTION("""COMPUTED_VALUE"""),25)</f>
        <v>25</v>
      </c>
      <c r="B65" s="1006"/>
      <c r="C65" s="508"/>
      <c r="D65" s="508" t="str">
        <f ca="1">IFERROR(__xludf.DUMMYFUNCTION("""COMPUTED_VALUE"""),"2024.3분기_상상인저축은행 IT인프라 통합유지보수 용역비")</f>
        <v>2024.3분기_상상인저축은행 IT인프라 통합유지보수 용역비</v>
      </c>
      <c r="E65" s="508" t="str">
        <f ca="1">IFERROR(__xludf.DUMMYFUNCTION("""COMPUTED_VALUE"""),"5.경신기전")</f>
        <v>5.경신기전</v>
      </c>
      <c r="F65" s="900" t="str">
        <f ca="1">IFERROR(__xludf.DUMMYFUNCTION("""COMPUTED_VALUE"""),"HX-PO-14624")</f>
        <v>HX-PO-14624</v>
      </c>
      <c r="G65" s="919" t="b">
        <f ca="1">IFERROR(__xludf.DUMMYFUNCTION("""COMPUTED_VALUE"""),TRUE)</f>
        <v>1</v>
      </c>
      <c r="H65" s="920" t="b">
        <f ca="1">IFERROR(__xludf.DUMMYFUNCTION("""COMPUTED_VALUE"""),TRUE)</f>
        <v>1</v>
      </c>
      <c r="I65" s="921"/>
      <c r="J65" s="967"/>
      <c r="K65" s="1006" t="str">
        <f ca="1">IFERROR(__xludf.DUMMYFUNCTION("""COMPUTED_VALUE"""),"최윤창")</f>
        <v>최윤창</v>
      </c>
      <c r="L65" s="508" t="str">
        <f ca="1">IFERROR(__xludf.DUMMYFUNCTION("""COMPUTED_VALUE"""),"ycchoi@hist.co.kr")</f>
        <v>ycchoi@hist.co.kr</v>
      </c>
      <c r="M65" s="1009">
        <f ca="1">IFERROR(__xludf.DUMMYFUNCTION("""COMPUTED_VALUE"""),2370000)</f>
        <v>2370000</v>
      </c>
      <c r="N65" s="553">
        <f ca="1">IFERROR(__xludf.DUMMYFUNCTION("""COMPUTED_VALUE"""),2607000)</f>
        <v>2607000</v>
      </c>
      <c r="O65" s="1007"/>
      <c r="P65" s="518" t="str">
        <f ca="1">IFERROR(__xludf.DUMMYFUNCTION("""COMPUTED_VALUE"""),"API241125강이슬4624")</f>
        <v>API241125강이슬4624</v>
      </c>
      <c r="Q65" s="906" t="b">
        <f ca="1">IFERROR(__xludf.DUMMYFUNCTION("""COMPUTED_VALUE"""),FALSE)</f>
        <v>0</v>
      </c>
      <c r="R65" s="2"/>
      <c r="S65" s="1010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</row>
    <row r="66" spans="1:32" ht="15.75" customHeight="1">
      <c r="A66" s="914">
        <f ca="1">IFERROR(__xludf.DUMMYFUNCTION("""COMPUTED_VALUE"""),25)</f>
        <v>25</v>
      </c>
      <c r="B66" s="1006"/>
      <c r="C66" s="508"/>
      <c r="D66" s="508" t="str">
        <f ca="1">IFERROR(__xludf.DUMMYFUNCTION("""COMPUTED_VALUE"""),"2024.3분기_상상인저축은행 IT인프라 통합유지보수 용역비")</f>
        <v>2024.3분기_상상인저축은행 IT인프라 통합유지보수 용역비</v>
      </c>
      <c r="E66" s="508" t="str">
        <f ca="1">IFERROR(__xludf.DUMMYFUNCTION("""COMPUTED_VALUE"""),"6.누리인프라")</f>
        <v>6.누리인프라</v>
      </c>
      <c r="F66" s="900" t="str">
        <f ca="1">IFERROR(__xludf.DUMMYFUNCTION("""COMPUTED_VALUE"""),"HX-PO-14625")</f>
        <v>HX-PO-14625</v>
      </c>
      <c r="G66" s="919" t="b">
        <f ca="1">IFERROR(__xludf.DUMMYFUNCTION("""COMPUTED_VALUE"""),TRUE)</f>
        <v>1</v>
      </c>
      <c r="H66" s="920" t="b">
        <f ca="1">IFERROR(__xludf.DUMMYFUNCTION("""COMPUTED_VALUE"""),TRUE)</f>
        <v>1</v>
      </c>
      <c r="I66" s="921"/>
      <c r="J66" s="967"/>
      <c r="K66" s="1006" t="str">
        <f ca="1">IFERROR(__xludf.DUMMYFUNCTION("""COMPUTED_VALUE"""),"최윤창")</f>
        <v>최윤창</v>
      </c>
      <c r="L66" s="508" t="str">
        <f ca="1">IFERROR(__xludf.DUMMYFUNCTION("""COMPUTED_VALUE"""),"ycchoi@hist.co.kr")</f>
        <v>ycchoi@hist.co.kr</v>
      </c>
      <c r="M66" s="1009">
        <f ca="1">IFERROR(__xludf.DUMMYFUNCTION("""COMPUTED_VALUE"""),6750000)</f>
        <v>6750000</v>
      </c>
      <c r="N66" s="553">
        <f ca="1">IFERROR(__xludf.DUMMYFUNCTION("""COMPUTED_VALUE"""),7425000)</f>
        <v>7425000</v>
      </c>
      <c r="O66" s="1007"/>
      <c r="P66" s="518" t="str">
        <f ca="1">IFERROR(__xludf.DUMMYFUNCTION("""COMPUTED_VALUE"""),"API241125강이슬4625")</f>
        <v>API241125강이슬4625</v>
      </c>
      <c r="Q66" s="906" t="b">
        <f ca="1">IFERROR(__xludf.DUMMYFUNCTION("""COMPUTED_VALUE"""),FALSE)</f>
        <v>0</v>
      </c>
      <c r="R66" s="2"/>
      <c r="S66" s="1010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</row>
    <row r="67" spans="1:32" ht="15.75" customHeight="1">
      <c r="A67" s="914"/>
      <c r="B67" s="1006"/>
      <c r="C67" s="508"/>
      <c r="D67" s="508"/>
      <c r="E67" s="508" t="str">
        <f ca="1">IFERROR(__xludf.DUMMYFUNCTION("""COMPUTED_VALUE"""),"등대씨엔씨")</f>
        <v>등대씨엔씨</v>
      </c>
      <c r="F67" s="900" t="str">
        <f ca="1">IFERROR(__xludf.DUMMYFUNCTION("""COMPUTED_VALUE"""),"HX-PO-14626")</f>
        <v>HX-PO-14626</v>
      </c>
      <c r="G67" s="919"/>
      <c r="H67" s="920"/>
      <c r="I67" s="921"/>
      <c r="J67" s="967"/>
      <c r="K67" s="1006" t="str">
        <f ca="1">IFERROR(__xludf.DUMMYFUNCTION("""COMPUTED_VALUE"""),"최윤창")</f>
        <v>최윤창</v>
      </c>
      <c r="L67" s="508" t="str">
        <f ca="1">IFERROR(__xludf.DUMMYFUNCTION("""COMPUTED_VALUE"""),"ycchoi@hist.co.kr")</f>
        <v>ycchoi@hist.co.kr</v>
      </c>
      <c r="M67" s="505"/>
      <c r="N67" s="508"/>
      <c r="O67" s="1007"/>
      <c r="P67" s="1007"/>
      <c r="Q67" s="906" t="b">
        <f ca="1">IFERROR(__xludf.DUMMYFUNCTION("""COMPUTED_VALUE"""),FALSE)</f>
        <v>0</v>
      </c>
      <c r="R67" s="2"/>
      <c r="S67" s="1010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</row>
    <row r="68" spans="1:32" ht="15.75" customHeight="1">
      <c r="A68" s="914">
        <f ca="1">IFERROR(__xludf.DUMMYFUNCTION("""COMPUTED_VALUE"""),25)</f>
        <v>25</v>
      </c>
      <c r="B68" s="1006"/>
      <c r="C68" s="508"/>
      <c r="D68" s="508" t="str">
        <f ca="1">IFERROR(__xludf.DUMMYFUNCTION("""COMPUTED_VALUE"""),"2024.3분기_상상인저축은행 IT인프라 통합유지보수 용역비")</f>
        <v>2024.3분기_상상인저축은행 IT인프라 통합유지보수 용역비</v>
      </c>
      <c r="E68" s="508" t="str">
        <f ca="1">IFERROR(__xludf.DUMMYFUNCTION("""COMPUTED_VALUE"""),"7.티맥스소프트")</f>
        <v>7.티맥스소프트</v>
      </c>
      <c r="F68" s="900" t="str">
        <f ca="1">IFERROR(__xludf.DUMMYFUNCTION("""COMPUTED_VALUE"""),"HX-PO-14627")</f>
        <v>HX-PO-14627</v>
      </c>
      <c r="G68" s="1011" t="b">
        <f ca="1">IFERROR(__xludf.DUMMYFUNCTION("""COMPUTED_VALUE"""),TRUE)</f>
        <v>1</v>
      </c>
      <c r="H68" s="1012" t="b">
        <f ca="1">IFERROR(__xludf.DUMMYFUNCTION("""COMPUTED_VALUE"""),TRUE)</f>
        <v>1</v>
      </c>
      <c r="I68" s="1013"/>
      <c r="J68" s="1014"/>
      <c r="K68" s="1006" t="str">
        <f ca="1">IFERROR(__xludf.DUMMYFUNCTION("""COMPUTED_VALUE"""),"최윤창")</f>
        <v>최윤창</v>
      </c>
      <c r="L68" s="508" t="str">
        <f ca="1">IFERROR(__xludf.DUMMYFUNCTION("""COMPUTED_VALUE"""),"ycchoi@hist.co.kr")</f>
        <v>ycchoi@hist.co.kr</v>
      </c>
      <c r="M68" s="547">
        <f ca="1">IFERROR(__xludf.DUMMYFUNCTION("""COMPUTED_VALUE"""),5854000)</f>
        <v>5854000</v>
      </c>
      <c r="N68" s="553">
        <f ca="1">IFERROR(__xludf.DUMMYFUNCTION("""COMPUTED_VALUE"""),6439400)</f>
        <v>6439400</v>
      </c>
      <c r="O68" s="1007"/>
      <c r="P68" s="518" t="str">
        <f ca="1">IFERROR(__xludf.DUMMYFUNCTION("""COMPUTED_VALUE"""),"API241125강이슬4627")</f>
        <v>API241125강이슬4627</v>
      </c>
      <c r="Q68" s="906" t="b">
        <f ca="1">IFERROR(__xludf.DUMMYFUNCTION("""COMPUTED_VALUE"""),FALSE)</f>
        <v>0</v>
      </c>
      <c r="R68" s="2"/>
      <c r="S68" s="1010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</row>
    <row r="69" spans="1:32" ht="15.75" customHeight="1">
      <c r="A69" s="914">
        <f ca="1">IFERROR(__xludf.DUMMYFUNCTION("""COMPUTED_VALUE"""),25)</f>
        <v>25</v>
      </c>
      <c r="B69" s="1006"/>
      <c r="C69" s="508"/>
      <c r="D69" s="508" t="str">
        <f ca="1">IFERROR(__xludf.DUMMYFUNCTION("""COMPUTED_VALUE"""),"2024.3분기_상상인저축은행 IT인프라 통합유지보수 용역비")</f>
        <v>2024.3분기_상상인저축은행 IT인프라 통합유지보수 용역비</v>
      </c>
      <c r="E69" s="508" t="str">
        <f ca="1">IFERROR(__xludf.DUMMYFUNCTION("""COMPUTED_VALUE"""),"8.티맥스티베로")</f>
        <v>8.티맥스티베로</v>
      </c>
      <c r="F69" s="900" t="str">
        <f ca="1">IFERROR(__xludf.DUMMYFUNCTION("""COMPUTED_VALUE"""),"HX-PO-14628")</f>
        <v>HX-PO-14628</v>
      </c>
      <c r="G69" s="1011" t="b">
        <f ca="1">IFERROR(__xludf.DUMMYFUNCTION("""COMPUTED_VALUE"""),TRUE)</f>
        <v>1</v>
      </c>
      <c r="H69" s="1012" t="b">
        <f ca="1">IFERROR(__xludf.DUMMYFUNCTION("""COMPUTED_VALUE"""),TRUE)</f>
        <v>1</v>
      </c>
      <c r="I69" s="1013"/>
      <c r="J69" s="967"/>
      <c r="K69" s="1006" t="str">
        <f ca="1">IFERROR(__xludf.DUMMYFUNCTION("""COMPUTED_VALUE"""),"최윤창")</f>
        <v>최윤창</v>
      </c>
      <c r="L69" s="508" t="str">
        <f ca="1">IFERROR(__xludf.DUMMYFUNCTION("""COMPUTED_VALUE"""),"ycchoi@hist.co.kr")</f>
        <v>ycchoi@hist.co.kr</v>
      </c>
      <c r="M69" s="547">
        <f ca="1">IFERROR(__xludf.DUMMYFUNCTION("""COMPUTED_VALUE"""),3929749.99999999)</f>
        <v>3929749.9999999902</v>
      </c>
      <c r="N69" s="553">
        <f ca="1">IFERROR(__xludf.DUMMYFUNCTION("""COMPUTED_VALUE"""),4322725)</f>
        <v>4322725</v>
      </c>
      <c r="O69" s="1007"/>
      <c r="P69" s="518" t="str">
        <f ca="1">IFERROR(__xludf.DUMMYFUNCTION("""COMPUTED_VALUE"""),"API241125강이슬4628")</f>
        <v>API241125강이슬4628</v>
      </c>
      <c r="Q69" s="906" t="b">
        <f ca="1">IFERROR(__xludf.DUMMYFUNCTION("""COMPUTED_VALUE"""),FALSE)</f>
        <v>0</v>
      </c>
      <c r="R69" s="2"/>
      <c r="S69" s="1010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</row>
    <row r="70" spans="1:32" ht="15.75" customHeight="1">
      <c r="A70" s="914">
        <f ca="1">IFERROR(__xludf.DUMMYFUNCTION("""COMPUTED_VALUE"""),25)</f>
        <v>25</v>
      </c>
      <c r="B70" s="1015"/>
      <c r="C70" s="927"/>
      <c r="D70" s="927" t="str">
        <f ca="1">IFERROR(__xludf.DUMMYFUNCTION("""COMPUTED_VALUE"""),"2024.3분기_상상인저축은행 IT인프라 통합유지보수 용역비")</f>
        <v>2024.3분기_상상인저축은행 IT인프라 통합유지보수 용역비</v>
      </c>
      <c r="E70" s="927" t="str">
        <f ca="1">IFERROR(__xludf.DUMMYFUNCTION("""COMPUTED_VALUE"""),"9.컨텍플랫폼")</f>
        <v>9.컨텍플랫폼</v>
      </c>
      <c r="F70" s="929" t="str">
        <f ca="1">IFERROR(__xludf.DUMMYFUNCTION("""COMPUTED_VALUE"""),"HX-PO-14629")</f>
        <v>HX-PO-14629</v>
      </c>
      <c r="G70" s="1011" t="b">
        <f ca="1">IFERROR(__xludf.DUMMYFUNCTION("""COMPUTED_VALUE"""),TRUE)</f>
        <v>1</v>
      </c>
      <c r="H70" s="1012" t="b">
        <f ca="1">IFERROR(__xludf.DUMMYFUNCTION("""COMPUTED_VALUE"""),TRUE)</f>
        <v>1</v>
      </c>
      <c r="I70" s="1013" t="b">
        <f ca="1">IFERROR(__xludf.DUMMYFUNCTION("""COMPUTED_VALUE"""),TRUE)</f>
        <v>1</v>
      </c>
      <c r="J70" s="967"/>
      <c r="K70" s="1015" t="str">
        <f ca="1">IFERROR(__xludf.DUMMYFUNCTION("""COMPUTED_VALUE"""),"최윤창")</f>
        <v>최윤창</v>
      </c>
      <c r="L70" s="927" t="str">
        <f ca="1">IFERROR(__xludf.DUMMYFUNCTION("""COMPUTED_VALUE"""),"ycchoi@hist.co.kr")</f>
        <v>ycchoi@hist.co.kr</v>
      </c>
      <c r="M70" s="934">
        <f ca="1">IFERROR(__xludf.DUMMYFUNCTION("""COMPUTED_VALUE"""),7725000)</f>
        <v>7725000</v>
      </c>
      <c r="N70" s="1016">
        <f ca="1">IFERROR(__xludf.DUMMYFUNCTION("""COMPUTED_VALUE"""),8497500)</f>
        <v>8497500</v>
      </c>
      <c r="O70" s="1017"/>
      <c r="P70" s="1018" t="str">
        <f ca="1">IFERROR(__xludf.DUMMYFUNCTION("""COMPUTED_VALUE"""),"API241125강이슬4629")</f>
        <v>API241125강이슬4629</v>
      </c>
      <c r="Q70" s="906" t="b">
        <f ca="1">IFERROR(__xludf.DUMMYFUNCTION("""COMPUTED_VALUE"""),FALSE)</f>
        <v>0</v>
      </c>
      <c r="R70" s="2"/>
      <c r="S70" s="1019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</row>
    <row r="71" spans="1:32" ht="15.75" customHeight="1">
      <c r="A71" s="914">
        <f ca="1">IFERROR(__xludf.DUMMYFUNCTION("""COMPUTED_VALUE"""),25)</f>
        <v>25</v>
      </c>
      <c r="B71" s="2"/>
      <c r="C71" s="2"/>
      <c r="D71" s="2" t="str">
        <f ca="1">IFERROR(__xludf.DUMMYFUNCTION("""COMPUTED_VALUE"""),"2024.3분기_상상인저축은행 IT인프라 통합유지보수 용역비")</f>
        <v>2024.3분기_상상인저축은행 IT인프라 통합유지보수 용역비</v>
      </c>
      <c r="E71" s="2" t="str">
        <f ca="1">IFERROR(__xludf.DUMMYFUNCTION("""COMPUTED_VALUE"""),"10.시큐온")</f>
        <v>10.시큐온</v>
      </c>
      <c r="F71" s="3" t="str">
        <f ca="1">IFERROR(__xludf.DUMMYFUNCTION("""COMPUTED_VALUE"""),"HX-PO-14630")</f>
        <v>HX-PO-14630</v>
      </c>
      <c r="G71" s="1011" t="b">
        <f ca="1">IFERROR(__xludf.DUMMYFUNCTION("""COMPUTED_VALUE"""),TRUE)</f>
        <v>1</v>
      </c>
      <c r="H71" s="1012" t="b">
        <f ca="1">IFERROR(__xludf.DUMMYFUNCTION("""COMPUTED_VALUE"""),TRUE)</f>
        <v>1</v>
      </c>
      <c r="I71" s="1013"/>
      <c r="J71" s="967"/>
      <c r="K71" s="2" t="str">
        <f ca="1">IFERROR(__xludf.DUMMYFUNCTION("""COMPUTED_VALUE"""),"최윤창")</f>
        <v>최윤창</v>
      </c>
      <c r="L71" s="2" t="str">
        <f ca="1">IFERROR(__xludf.DUMMYFUNCTION("""COMPUTED_VALUE"""),"ycchoi@hist.co.kr")</f>
        <v>ycchoi@hist.co.kr</v>
      </c>
      <c r="M71" s="1020">
        <f ca="1">IFERROR(__xludf.DUMMYFUNCTION("""COMPUTED_VALUE"""),1037750)</f>
        <v>1037750</v>
      </c>
      <c r="N71" s="241">
        <f ca="1">IFERROR(__xludf.DUMMYFUNCTION("""COMPUTED_VALUE"""),1141525)</f>
        <v>1141525</v>
      </c>
      <c r="O71" s="2"/>
      <c r="P71" s="555" t="str">
        <f ca="1">IFERROR(__xludf.DUMMYFUNCTION("""COMPUTED_VALUE"""),"API241125강이슬4630")</f>
        <v>API241125강이슬4630</v>
      </c>
      <c r="Q71" s="906" t="b">
        <f ca="1">IFERROR(__xludf.DUMMYFUNCTION("""COMPUTED_VALUE"""),FALSE)</f>
        <v>0</v>
      </c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</row>
    <row r="72" spans="1:32" ht="15.75" customHeight="1">
      <c r="A72" s="914">
        <f ca="1">IFERROR(__xludf.DUMMYFUNCTION("""COMPUTED_VALUE"""),28)</f>
        <v>28</v>
      </c>
      <c r="B72" s="2"/>
      <c r="C72" s="2"/>
      <c r="D72" s="2" t="str">
        <f ca="1">IFERROR(__xludf.DUMMYFUNCTION("""COMPUTED_VALUE"""),"2024.3분기_상상인저축은행 IT인프라 통합유지보수 용역비")</f>
        <v>2024.3분기_상상인저축은행 IT인프라 통합유지보수 용역비</v>
      </c>
      <c r="E72" s="2" t="str">
        <f ca="1">IFERROR(__xludf.DUMMYFUNCTION("""COMPUTED_VALUE"""),"11.상상인")</f>
        <v>11.상상인</v>
      </c>
      <c r="F72" s="3" t="str">
        <f ca="1">IFERROR(__xludf.DUMMYFUNCTION("""COMPUTED_VALUE"""),"HX-PO-14631")</f>
        <v>HX-PO-14631</v>
      </c>
      <c r="G72" s="1011" t="b">
        <f ca="1">IFERROR(__xludf.DUMMYFUNCTION("""COMPUTED_VALUE"""),TRUE)</f>
        <v>1</v>
      </c>
      <c r="H72" s="1012" t="b">
        <f ca="1">IFERROR(__xludf.DUMMYFUNCTION("""COMPUTED_VALUE"""),TRUE)</f>
        <v>1</v>
      </c>
      <c r="I72" s="1013"/>
      <c r="J72" s="967"/>
      <c r="K72" s="2" t="str">
        <f ca="1">IFERROR(__xludf.DUMMYFUNCTION("""COMPUTED_VALUE"""),"최윤창")</f>
        <v>최윤창</v>
      </c>
      <c r="L72" s="2" t="str">
        <f ca="1">IFERROR(__xludf.DUMMYFUNCTION("""COMPUTED_VALUE"""),"ycchoi@hist.co.kr")</f>
        <v>ycchoi@hist.co.kr</v>
      </c>
      <c r="M72" s="1020">
        <f ca="1">IFERROR(__xludf.DUMMYFUNCTION("""COMPUTED_VALUE"""),720000)</f>
        <v>720000</v>
      </c>
      <c r="N72" s="241">
        <f ca="1">IFERROR(__xludf.DUMMYFUNCTION("""COMPUTED_VALUE"""),792000)</f>
        <v>792000</v>
      </c>
      <c r="O72" s="2"/>
      <c r="P72" s="555" t="str">
        <f ca="1">IFERROR(__xludf.DUMMYFUNCTION("""COMPUTED_VALUE"""),"API241128강이슬4631")</f>
        <v>API241128강이슬4631</v>
      </c>
      <c r="Q72" s="906" t="b">
        <f ca="1">IFERROR(__xludf.DUMMYFUNCTION("""COMPUTED_VALUE"""),FALSE)</f>
        <v>0</v>
      </c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</row>
    <row r="73" spans="1:32" ht="15.75" customHeight="1">
      <c r="A73" s="914">
        <f ca="1">IFERROR(__xludf.DUMMYFUNCTION("""COMPUTED_VALUE"""),25)</f>
        <v>25</v>
      </c>
      <c r="B73" s="2"/>
      <c r="C73" s="2"/>
      <c r="D73" s="2" t="str">
        <f ca="1">IFERROR(__xludf.DUMMYFUNCTION("""COMPUTED_VALUE"""),"2024.3분기_상상인저축은행 IT인프라 통합유지보수 용역비")</f>
        <v>2024.3분기_상상인저축은행 IT인프라 통합유지보수 용역비</v>
      </c>
      <c r="E73" s="2" t="str">
        <f ca="1">IFERROR(__xludf.DUMMYFUNCTION("""COMPUTED_VALUE"""),"12.굿모닝아이텍")</f>
        <v>12.굿모닝아이텍</v>
      </c>
      <c r="F73" s="3" t="str">
        <f ca="1">IFERROR(__xludf.DUMMYFUNCTION("""COMPUTED_VALUE"""),"HX-PO-14632")</f>
        <v>HX-PO-14632</v>
      </c>
      <c r="G73" s="1011" t="b">
        <f ca="1">IFERROR(__xludf.DUMMYFUNCTION("""COMPUTED_VALUE"""),TRUE)</f>
        <v>1</v>
      </c>
      <c r="H73" s="1012" t="b">
        <f ca="1">IFERROR(__xludf.DUMMYFUNCTION("""COMPUTED_VALUE"""),TRUE)</f>
        <v>1</v>
      </c>
      <c r="I73" s="1013"/>
      <c r="J73" s="967"/>
      <c r="K73" s="2" t="str">
        <f ca="1">IFERROR(__xludf.DUMMYFUNCTION("""COMPUTED_VALUE"""),"최윤창")</f>
        <v>최윤창</v>
      </c>
      <c r="L73" s="2" t="str">
        <f ca="1">IFERROR(__xludf.DUMMYFUNCTION("""COMPUTED_VALUE"""),"ycchoi@hist.co.kr")</f>
        <v>ycchoi@hist.co.kr</v>
      </c>
      <c r="M73" s="1020">
        <f ca="1">IFERROR(__xludf.DUMMYFUNCTION("""COMPUTED_VALUE"""),2807250)</f>
        <v>2807250</v>
      </c>
      <c r="N73" s="241">
        <f ca="1">IFERROR(__xludf.DUMMYFUNCTION("""COMPUTED_VALUE"""),3087975)</f>
        <v>3087975</v>
      </c>
      <c r="O73" s="2"/>
      <c r="P73" s="555" t="str">
        <f ca="1">IFERROR(__xludf.DUMMYFUNCTION("""COMPUTED_VALUE"""),"API241125강이슬4632")</f>
        <v>API241125강이슬4632</v>
      </c>
      <c r="Q73" s="906" t="b">
        <f ca="1">IFERROR(__xludf.DUMMYFUNCTION("""COMPUTED_VALUE"""),FALSE)</f>
        <v>0</v>
      </c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</row>
    <row r="74" spans="1:32" ht="15.75" customHeight="1">
      <c r="A74" s="914">
        <f ca="1">IFERROR(__xludf.DUMMYFUNCTION("""COMPUTED_VALUE"""),25)</f>
        <v>25</v>
      </c>
      <c r="B74" s="2"/>
      <c r="C74" s="2"/>
      <c r="D74" s="2" t="str">
        <f ca="1">IFERROR(__xludf.DUMMYFUNCTION("""COMPUTED_VALUE"""),"2024.3분기_상상인저축은행 IT인프라 통합유지보수 용역비")</f>
        <v>2024.3분기_상상인저축은행 IT인프라 통합유지보수 용역비</v>
      </c>
      <c r="E74" s="2" t="str">
        <f ca="1">IFERROR(__xludf.DUMMYFUNCTION("""COMPUTED_VALUE"""),"13.유더블유에스")</f>
        <v>13.유더블유에스</v>
      </c>
      <c r="F74" s="3" t="str">
        <f ca="1">IFERROR(__xludf.DUMMYFUNCTION("""COMPUTED_VALUE"""),"HX-PO-14633")</f>
        <v>HX-PO-14633</v>
      </c>
      <c r="G74" s="1011" t="b">
        <f ca="1">IFERROR(__xludf.DUMMYFUNCTION("""COMPUTED_VALUE"""),TRUE)</f>
        <v>1</v>
      </c>
      <c r="H74" s="1012" t="b">
        <f ca="1">IFERROR(__xludf.DUMMYFUNCTION("""COMPUTED_VALUE"""),TRUE)</f>
        <v>1</v>
      </c>
      <c r="I74" s="1013"/>
      <c r="J74" s="967"/>
      <c r="K74" s="2" t="str">
        <f ca="1">IFERROR(__xludf.DUMMYFUNCTION("""COMPUTED_VALUE"""),"최윤창")</f>
        <v>최윤창</v>
      </c>
      <c r="L74" s="2" t="str">
        <f ca="1">IFERROR(__xludf.DUMMYFUNCTION("""COMPUTED_VALUE"""),"ycchoi@hist.co.kr")</f>
        <v>ycchoi@hist.co.kr</v>
      </c>
      <c r="M74" s="1020">
        <f ca="1">IFERROR(__xludf.DUMMYFUNCTION("""COMPUTED_VALUE"""),20171000)</f>
        <v>20171000</v>
      </c>
      <c r="N74" s="241">
        <f ca="1">IFERROR(__xludf.DUMMYFUNCTION("""COMPUTED_VALUE"""),22188100)</f>
        <v>22188100</v>
      </c>
      <c r="O74" s="2"/>
      <c r="P74" s="555" t="str">
        <f ca="1">IFERROR(__xludf.DUMMYFUNCTION("""COMPUTED_VALUE"""),"API241125강이슬4633")</f>
        <v>API241125강이슬4633</v>
      </c>
      <c r="Q74" s="906" t="b">
        <f ca="1">IFERROR(__xludf.DUMMYFUNCTION("""COMPUTED_VALUE"""),FALSE)</f>
        <v>0</v>
      </c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</row>
    <row r="75" spans="1:32" ht="15.75" customHeight="1">
      <c r="A75" s="914">
        <f ca="1">IFERROR(__xludf.DUMMYFUNCTION("""COMPUTED_VALUE"""),25)</f>
        <v>25</v>
      </c>
      <c r="B75" s="2"/>
      <c r="C75" s="2"/>
      <c r="D75" s="2" t="str">
        <f ca="1">IFERROR(__xludf.DUMMYFUNCTION("""COMPUTED_VALUE"""),"2024.3분기_상상인저축은행 IT인프라 통합유지보수 용역비")</f>
        <v>2024.3분기_상상인저축은행 IT인프라 통합유지보수 용역비</v>
      </c>
      <c r="E75" s="2" t="str">
        <f ca="1">IFERROR(__xludf.DUMMYFUNCTION("""COMPUTED_VALUE"""),"14.우리들아이티")</f>
        <v>14.우리들아이티</v>
      </c>
      <c r="F75" s="3" t="str">
        <f ca="1">IFERROR(__xludf.DUMMYFUNCTION("""COMPUTED_VALUE"""),"HX-PO-14634")</f>
        <v>HX-PO-14634</v>
      </c>
      <c r="G75" s="1011" t="b">
        <f ca="1">IFERROR(__xludf.DUMMYFUNCTION("""COMPUTED_VALUE"""),TRUE)</f>
        <v>1</v>
      </c>
      <c r="H75" s="1012" t="b">
        <f ca="1">IFERROR(__xludf.DUMMYFUNCTION("""COMPUTED_VALUE"""),TRUE)</f>
        <v>1</v>
      </c>
      <c r="I75" s="1013"/>
      <c r="J75" s="967"/>
      <c r="K75" s="2" t="str">
        <f ca="1">IFERROR(__xludf.DUMMYFUNCTION("""COMPUTED_VALUE"""),"최윤창")</f>
        <v>최윤창</v>
      </c>
      <c r="L75" s="2" t="str">
        <f ca="1">IFERROR(__xludf.DUMMYFUNCTION("""COMPUTED_VALUE"""),"ycchoi@hist.co.kr")</f>
        <v>ycchoi@hist.co.kr</v>
      </c>
      <c r="M75" s="1020">
        <f ca="1">IFERROR(__xludf.DUMMYFUNCTION("""COMPUTED_VALUE"""),5090000)</f>
        <v>5090000</v>
      </c>
      <c r="N75" s="241">
        <f ca="1">IFERROR(__xludf.DUMMYFUNCTION("""COMPUTED_VALUE"""),5599000)</f>
        <v>5599000</v>
      </c>
      <c r="O75" s="2"/>
      <c r="P75" s="555" t="str">
        <f ca="1">IFERROR(__xludf.DUMMYFUNCTION("""COMPUTED_VALUE"""),"API241125강이슬4634")</f>
        <v>API241125강이슬4634</v>
      </c>
      <c r="Q75" s="906" t="b">
        <f ca="1">IFERROR(__xludf.DUMMYFUNCTION("""COMPUTED_VALUE"""),FALSE)</f>
        <v>0</v>
      </c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</row>
    <row r="76" spans="1:32" ht="15.75" customHeight="1">
      <c r="A76" s="1021">
        <f ca="1">IFERROR(__xludf.DUMMYFUNCTION("""COMPUTED_VALUE"""),29)</f>
        <v>29</v>
      </c>
      <c r="B76" s="2" t="str">
        <f ca="1">IFERROR(__xludf.DUMMYFUNCTION("""COMPUTED_VALUE"""),"HX-PR-15272")</f>
        <v>HX-PR-15272</v>
      </c>
      <c r="C76" s="2"/>
      <c r="D76" s="2" t="str">
        <f ca="1">IFERROR(__xludf.DUMMYFUNCTION("""COMPUTED_VALUE"""),"24년 11월 대한항공 AICC 운영비_메가존클라우드")</f>
        <v>24년 11월 대한항공 AICC 운영비_메가존클라우드</v>
      </c>
      <c r="E76" s="2" t="str">
        <f ca="1">IFERROR(__xludf.DUMMYFUNCTION("""COMPUTED_VALUE"""),"메가존클라우드")</f>
        <v>메가존클라우드</v>
      </c>
      <c r="F76" s="3" t="str">
        <f ca="1">IFERROR(__xludf.DUMMYFUNCTION("""COMPUTED_VALUE"""),"HX-PO-15361")</f>
        <v>HX-PO-15361</v>
      </c>
      <c r="G76" s="1011" t="b">
        <f ca="1">IFERROR(__xludf.DUMMYFUNCTION("""COMPUTED_VALUE"""),TRUE)</f>
        <v>1</v>
      </c>
      <c r="H76" s="1012" t="b">
        <f ca="1">IFERROR(__xludf.DUMMYFUNCTION("""COMPUTED_VALUE"""),TRUE)</f>
        <v>1</v>
      </c>
      <c r="I76" s="1013"/>
      <c r="J76" s="967">
        <f ca="1">IFERROR(__xludf.DUMMYFUNCTION("""COMPUTED_VALUE"""),18481)</f>
        <v>18481</v>
      </c>
      <c r="K76" s="2" t="str">
        <f ca="1">IFERROR(__xludf.DUMMYFUNCTION("""COMPUTED_VALUE"""),"손주원")</f>
        <v>손주원</v>
      </c>
      <c r="L76" s="2" t="str">
        <f ca="1">IFERROR(__xludf.DUMMYFUNCTION("""COMPUTED_VALUE"""),"json@hist.co.kr")</f>
        <v>json@hist.co.kr</v>
      </c>
      <c r="M76" s="1020">
        <f ca="1">IFERROR(__xludf.DUMMYFUNCTION("""COMPUTED_VALUE"""),54411800)</f>
        <v>54411800</v>
      </c>
      <c r="N76" s="241">
        <f ca="1">IFERROR(__xludf.DUMMYFUNCTION("""COMPUTED_VALUE"""),59852980)</f>
        <v>59852980</v>
      </c>
      <c r="O76" s="2"/>
      <c r="P76" s="555" t="str">
        <f ca="1">IFERROR(__xludf.DUMMYFUNCTION("""COMPUTED_VALUE"""),"API241129강이슬5361")</f>
        <v>API241129강이슬5361</v>
      </c>
      <c r="Q76" s="906" t="b">
        <f ca="1">IFERROR(__xludf.DUMMYFUNCTION("""COMPUTED_VALUE"""),TRUE)</f>
        <v>1</v>
      </c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 spans="1:32" ht="15.75" customHeight="1">
      <c r="A77" s="1021">
        <f ca="1">IFERROR(__xludf.DUMMYFUNCTION("""COMPUTED_VALUE"""),30)</f>
        <v>30</v>
      </c>
      <c r="B77" s="2">
        <f ca="1">IFERROR(__xludf.DUMMYFUNCTION("""COMPUTED_VALUE"""),1470)</f>
        <v>1470</v>
      </c>
      <c r="C77" s="2"/>
      <c r="D77" s="2" t="str">
        <f ca="1">IFERROR(__xludf.DUMMYFUNCTION("""COMPUTED_VALUE"""),"한진정보통신 11월 Google Cloud 사용료 지급")</f>
        <v>한진정보통신 11월 Google Cloud 사용료 지급</v>
      </c>
      <c r="E77" s="2" t="str">
        <f ca="1">IFERROR(__xludf.DUMMYFUNCTION("""COMPUTED_VALUE"""),"Google")</f>
        <v>Google</v>
      </c>
      <c r="F77" s="3" t="str">
        <f ca="1">IFERROR(__xludf.DUMMYFUNCTION("""COMPUTED_VALUE"""),"-")</f>
        <v>-</v>
      </c>
      <c r="G77" s="1022" t="b">
        <f ca="1">IFERROR(__xludf.DUMMYFUNCTION("""COMPUTED_VALUE"""),FALSE)</f>
        <v>0</v>
      </c>
      <c r="H77" s="1023" t="b">
        <f ca="1">IFERROR(__xludf.DUMMYFUNCTION("""COMPUTED_VALUE"""),FALSE)</f>
        <v>0</v>
      </c>
      <c r="I77" s="1024"/>
      <c r="J77" s="1025"/>
      <c r="K77" s="2" t="str">
        <f ca="1">IFERROR(__xludf.DUMMYFUNCTION("""COMPUTED_VALUE"""),"박진수")</f>
        <v>박진수</v>
      </c>
      <c r="L77" s="2" t="str">
        <f ca="1">IFERROR(__xludf.DUMMYFUNCTION("""COMPUTED_VALUE"""),"jinspark@hist.co.kr")</f>
        <v>jinspark@hist.co.kr</v>
      </c>
      <c r="M77" s="1020">
        <f ca="1">IFERROR(__xludf.DUMMYFUNCTION("""COMPUTED_VALUE"""),0)</f>
        <v>0</v>
      </c>
      <c r="N77" s="241">
        <f ca="1">IFERROR(__xludf.DUMMYFUNCTION("""COMPUTED_VALUE"""),0)</f>
        <v>0</v>
      </c>
      <c r="O77" s="2" t="str">
        <f ca="1">IFERROR(__xludf.DUMMYFUNCTION("""COMPUTED_VALUE"""),"HX-999-SELSAM-SELSABS-511911-0000-0000000-000000-00000")</f>
        <v>HX-999-SELSAM-SELSABS-511911-0000-0000000-000000-00000</v>
      </c>
      <c r="P77" s="555" t="str">
        <f ca="1">IFERROR(__xludf.DUMMYFUNCTION("""COMPUTED_VALUE"""),"API241130강이슬1470")</f>
        <v>API241130강이슬1470</v>
      </c>
      <c r="Q77" s="1026" t="b">
        <f ca="1">IFERROR(__xludf.DUMMYFUNCTION("""COMPUTED_VALUE"""),FALSE)</f>
        <v>0</v>
      </c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</row>
    <row r="78" spans="1:32" ht="15.75" customHeight="1">
      <c r="A78" s="1021">
        <f ca="1">IFERROR(__xludf.DUMMYFUNCTION("""COMPUTED_VALUE"""),21)</f>
        <v>21</v>
      </c>
      <c r="B78" s="2" t="str">
        <f ca="1">IFERROR(__xludf.DUMMYFUNCTION("""COMPUTED_VALUE"""),"HX-PR-15371")</f>
        <v>HX-PR-15371</v>
      </c>
      <c r="C78" s="2"/>
      <c r="D78" s="2" t="str">
        <f ca="1">IFERROR(__xludf.DUMMYFUNCTION("""COMPUTED_VALUE"""),"한국공항 UiPath Studio X 라이센스 납품")</f>
        <v>한국공항 UiPath Studio X 라이센스 납품</v>
      </c>
      <c r="E78" s="2" t="str">
        <f ca="1">IFERROR(__xludf.DUMMYFUNCTION("""COMPUTED_VALUE"""),"케이씨씨정보통신")</f>
        <v>케이씨씨정보통신</v>
      </c>
      <c r="F78" s="3" t="str">
        <f ca="1">IFERROR(__xludf.DUMMYFUNCTION("""COMPUTED_VALUE"""),"HX-PO-15474")</f>
        <v>HX-PO-15474</v>
      </c>
      <c r="G78" s="2" t="b">
        <f ca="1">IFERROR(__xludf.DUMMYFUNCTION("""COMPUTED_VALUE"""),FALSE)</f>
        <v>0</v>
      </c>
      <c r="H78" s="2"/>
      <c r="I78" s="2" t="b">
        <f ca="1">IFERROR(__xludf.DUMMYFUNCTION("""COMPUTED_VALUE"""),FALSE)</f>
        <v>0</v>
      </c>
      <c r="J78" s="3"/>
      <c r="K78" s="2" t="str">
        <f ca="1">IFERROR(__xludf.DUMMYFUNCTION("""COMPUTED_VALUE"""),"박진수")</f>
        <v>박진수</v>
      </c>
      <c r="L78" s="2" t="str">
        <f ca="1">IFERROR(__xludf.DUMMYFUNCTION("""COMPUTED_VALUE"""),"jinspark@hist.co.kr")</f>
        <v>jinspark@hist.co.kr</v>
      </c>
      <c r="M78" s="1020">
        <f ca="1">IFERROR(__xludf.DUMMYFUNCTION("""COMPUTED_VALUE"""),3104050)</f>
        <v>3104050</v>
      </c>
      <c r="N78" s="241">
        <f ca="1">IFERROR(__xludf.DUMMYFUNCTION("""COMPUTED_VALUE"""),3414455)</f>
        <v>3414455</v>
      </c>
      <c r="O78" s="2"/>
      <c r="P78" s="555" t="str">
        <f ca="1">IFERROR(__xludf.DUMMYFUNCTION("""COMPUTED_VALUE"""),"API241121강이슬5371")</f>
        <v>API241121강이슬5371</v>
      </c>
      <c r="Q78" s="2" t="b">
        <f ca="1">IFERROR(__xludf.DUMMYFUNCTION("""COMPUTED_VALUE"""),FALSE)</f>
        <v>0</v>
      </c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</row>
    <row r="79" spans="1:32" ht="15.75" customHeight="1">
      <c r="A79" s="2"/>
      <c r="B79" s="2"/>
      <c r="C79" s="2"/>
      <c r="D79" s="2"/>
      <c r="E79" s="2"/>
      <c r="F79" s="3"/>
      <c r="G79" s="2"/>
      <c r="H79" s="2"/>
      <c r="I79" s="2"/>
      <c r="J79" s="3"/>
      <c r="K79" s="2"/>
      <c r="L79" s="2"/>
      <c r="M79" s="3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</row>
    <row r="80" spans="1:32" ht="15.75" customHeight="1">
      <c r="A80" s="2" t="str">
        <f ca="1">IFERROR(__xludf.DUMMYFUNCTION("""COMPUTED_VALUE"""),"※ 판매건 별도")</f>
        <v>※ 판매건 별도</v>
      </c>
      <c r="B80" s="2"/>
      <c r="C80" s="2"/>
      <c r="D80" s="2"/>
      <c r="E80" s="2"/>
      <c r="F80" s="3"/>
      <c r="G80" s="2"/>
      <c r="H80" s="2"/>
      <c r="I80" s="2"/>
      <c r="J80" s="3"/>
      <c r="K80" s="2"/>
      <c r="L80" s="2"/>
      <c r="M80" s="3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</row>
    <row r="81" spans="1:32" ht="15.75" customHeight="1">
      <c r="A81" s="891"/>
      <c r="B81" s="892"/>
      <c r="C81" s="494"/>
      <c r="D81" s="494"/>
      <c r="E81" s="494"/>
      <c r="F81" s="496"/>
      <c r="G81" s="893"/>
      <c r="H81" s="894"/>
      <c r="I81" s="895"/>
      <c r="J81" s="497"/>
      <c r="K81" s="892"/>
      <c r="L81" s="494"/>
      <c r="M81" s="897"/>
      <c r="N81" s="494"/>
      <c r="O81" s="496"/>
      <c r="P81" s="496"/>
      <c r="Q81" s="497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</row>
    <row r="82" spans="1:32" ht="15.75" customHeight="1">
      <c r="A82" s="914" t="str">
        <f ca="1">IFERROR(__xludf.DUMMYFUNCTION("""COMPUTED_VALUE"""),"매입
일자")</f>
        <v>매입
일자</v>
      </c>
      <c r="B82" s="2" t="str">
        <f ca="1">IFERROR(__xludf.DUMMYFUNCTION("""COMPUTED_VALUE"""),"PR")</f>
        <v>PR</v>
      </c>
      <c r="C82" s="2" t="str">
        <f ca="1">IFERROR(__xludf.DUMMYFUNCTION("""COMPUTED_VALUE"""),"PJT Code")</f>
        <v>PJT Code</v>
      </c>
      <c r="D82" s="2" t="str">
        <f ca="1">IFERROR(__xludf.DUMMYFUNCTION("""COMPUTED_VALUE"""),"품목명")</f>
        <v>품목명</v>
      </c>
      <c r="E82" s="2" t="str">
        <f ca="1">IFERROR(__xludf.DUMMYFUNCTION("""COMPUTED_VALUE"""),"외주사")</f>
        <v>외주사</v>
      </c>
      <c r="F82" s="3" t="str">
        <f ca="1">IFERROR(__xludf.DUMMYFUNCTION("""COMPUTED_VALUE"""),"PO")</f>
        <v>PO</v>
      </c>
      <c r="G82" s="1027" t="str">
        <f ca="1">IFERROR(__xludf.DUMMYFUNCTION("""COMPUTED_VALUE"""),"세금
계산서")</f>
        <v>세금
계산서</v>
      </c>
      <c r="H82" s="539" t="str">
        <f ca="1">IFERROR(__xludf.DUMMYFUNCTION("""COMPUTED_VALUE"""),"거래
명세서")</f>
        <v>거래
명세서</v>
      </c>
      <c r="I82" s="2" t="str">
        <f ca="1">IFERROR(__xludf.DUMMYFUNCTION("""COMPUTED_VALUE"""),"점검서")</f>
        <v>점검서</v>
      </c>
      <c r="J82" s="1028" t="str">
        <f ca="1">IFERROR(__xludf.DUMMYFUNCTION("""COMPUTED_VALUE"""),"Receipt")</f>
        <v>Receipt</v>
      </c>
      <c r="K82" s="2" t="str">
        <f ca="1">IFERROR(__xludf.DUMMYFUNCTION("""COMPUTED_VALUE"""),"영업
담당자")</f>
        <v>영업
담당자</v>
      </c>
      <c r="L82" s="2" t="str">
        <f ca="1">IFERROR(__xludf.DUMMYFUNCTION("""COMPUTED_VALUE"""),"이메일 (3.2)")</f>
        <v>이메일 (3.2)</v>
      </c>
      <c r="M82" s="3" t="str">
        <f ca="1">IFERROR(__xludf.DUMMYFUNCTION("""COMPUTED_VALUE"""),"발행 금액
(VAT별도)")</f>
        <v>발행 금액
(VAT별도)</v>
      </c>
      <c r="N82" s="2"/>
      <c r="O82" s="2" t="str">
        <f ca="1">IFERROR(__xludf.DUMMYFUNCTION("""COMPUTED_VALUE"""),"Code")</f>
        <v>Code</v>
      </c>
      <c r="P82" s="2" t="str">
        <f ca="1">IFERROR(__xludf.DUMMYFUNCTION("""COMPUTED_VALUE"""),"AP 작성")</f>
        <v>AP 작성</v>
      </c>
      <c r="Q82" s="1029" t="str">
        <f ca="1">IFERROR(__xludf.DUMMYFUNCTION("""COMPUTED_VALUE"""),"완료")</f>
        <v>완료</v>
      </c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</row>
    <row r="83" spans="1:32" ht="15.75" customHeight="1">
      <c r="A83" s="914" t="str">
        <f ca="1">IFERROR(__xludf.DUMMYFUNCTION("""COMPUTED_VALUE"""),"07")</f>
        <v>07</v>
      </c>
      <c r="B83" s="2" t="str">
        <f ca="1">IFERROR(__xludf.DUMMYFUNCTION("""COMPUTED_VALUE"""),"HX-PR-15227")</f>
        <v>HX-PR-15227</v>
      </c>
      <c r="C83" s="2" t="str">
        <f ca="1">IFERROR(__xludf.DUMMYFUNCTION("""COMPUTED_VALUE"""),"S240155")</f>
        <v>S240155</v>
      </c>
      <c r="D83" s="2" t="str">
        <f ca="1">IFERROR(__xludf.DUMMYFUNCTION("""COMPUTED_VALUE"""),"한국자산관리공사 차세대 조세 정리시스템 서버 판매(1차 임대서버 판매)
")</f>
        <v xml:space="preserve">한국자산관리공사 차세대 조세 정리시스템 서버 판매(1차 임대서버 판매)
</v>
      </c>
      <c r="E83" s="2" t="str">
        <f ca="1">IFERROR(__xludf.DUMMYFUNCTION("""COMPUTED_VALUE"""),"이노인프라")</f>
        <v>이노인프라</v>
      </c>
      <c r="F83" s="3" t="str">
        <f ca="1">IFERROR(__xludf.DUMMYFUNCTION("""COMPUTED_VALUE"""),"HX-PO-15313")</f>
        <v>HX-PO-15313</v>
      </c>
      <c r="G83" s="1027" t="b">
        <f ca="1">IFERROR(__xludf.DUMMYFUNCTION("""COMPUTED_VALUE"""),TRUE)</f>
        <v>1</v>
      </c>
      <c r="H83" s="539"/>
      <c r="I83" s="2" t="b">
        <f ca="1">IFERROR(__xludf.DUMMYFUNCTION("""COMPUTED_VALUE"""),TRUE)</f>
        <v>1</v>
      </c>
      <c r="J83" s="1028">
        <f ca="1">IFERROR(__xludf.DUMMYFUNCTION("""COMPUTED_VALUE"""),17324)</f>
        <v>17324</v>
      </c>
      <c r="K83" s="2" t="str">
        <f ca="1">IFERROR(__xludf.DUMMYFUNCTION("""COMPUTED_VALUE"""),"손주원")</f>
        <v>손주원</v>
      </c>
      <c r="L83" s="2" t="str">
        <f ca="1">IFERROR(__xludf.DUMMYFUNCTION("""COMPUTED_VALUE"""),"json@hist.co.kr")</f>
        <v>json@hist.co.kr</v>
      </c>
      <c r="M83" s="1020">
        <f ca="1">IFERROR(__xludf.DUMMYFUNCTION("""COMPUTED_VALUE"""),11000000)</f>
        <v>11000000</v>
      </c>
      <c r="N83" s="2"/>
      <c r="O83" s="2"/>
      <c r="P83" s="2" t="str">
        <f ca="1">IFERROR(__xludf.DUMMYFUNCTION("""COMPUTED_VALUE"""),"API240807강이슬5313")</f>
        <v>API240807강이슬5313</v>
      </c>
      <c r="Q83" s="1029" t="b">
        <f ca="1">IFERROR(__xludf.DUMMYFUNCTION("""COMPUTED_VALUE"""),TRUE)</f>
        <v>1</v>
      </c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</row>
    <row r="84" spans="1:32" ht="15.75" customHeight="1">
      <c r="A84" s="914">
        <f ca="1">IFERROR(__xludf.DUMMYFUNCTION("""COMPUTED_VALUE"""),8)</f>
        <v>8</v>
      </c>
      <c r="B84" s="2"/>
      <c r="C84" s="2"/>
      <c r="D84" s="2" t="str">
        <f ca="1">IFERROR(__xludf.DUMMYFUNCTION("""COMPUTED_VALUE"""),"한진정보통신-KT 정보보안 임대형(24년 5월, 6월 준공)_충남보건환경연구원")</f>
        <v>한진정보통신-KT 정보보안 임대형(24년 5월, 6월 준공)_충남보건환경연구원</v>
      </c>
      <c r="E84" s="2" t="str">
        <f ca="1">IFERROR(__xludf.DUMMYFUNCTION("""COMPUTED_VALUE"""),"에이엠네트웍스")</f>
        <v>에이엠네트웍스</v>
      </c>
      <c r="F84" s="3" t="str">
        <f ca="1">IFERROR(__xludf.DUMMYFUNCTION("""COMPUTED_VALUE"""),"HX-PO-15075")</f>
        <v>HX-PO-15075</v>
      </c>
      <c r="G84" s="1027" t="b">
        <f ca="1">IFERROR(__xludf.DUMMYFUNCTION("""COMPUTED_VALUE"""),TRUE)</f>
        <v>1</v>
      </c>
      <c r="H84" s="539"/>
      <c r="I84" s="2" t="b">
        <f ca="1">IFERROR(__xludf.DUMMYFUNCTION("""COMPUTED_VALUE"""),TRUE)</f>
        <v>1</v>
      </c>
      <c r="J84" s="1028"/>
      <c r="K84" s="2" t="str">
        <f ca="1">IFERROR(__xludf.DUMMYFUNCTION("""COMPUTED_VALUE"""),"김준태")</f>
        <v>김준태</v>
      </c>
      <c r="L84" s="2" t="str">
        <f ca="1">IFERROR(__xludf.DUMMYFUNCTION("""COMPUTED_VALUE"""),"kimjun@hist.co.kr")</f>
        <v>kimjun@hist.co.kr</v>
      </c>
      <c r="M84" s="1020">
        <f ca="1">IFERROR(__xludf.DUMMYFUNCTION("""COMPUTED_VALUE"""),5844000)</f>
        <v>5844000</v>
      </c>
      <c r="N84" s="2"/>
      <c r="O84" s="2"/>
      <c r="P84" s="2" t="str">
        <f ca="1">IFERROR(__xludf.DUMMYFUNCTION("""COMPUTED_VALUE"""),"API240811강이슬0925")</f>
        <v>API240811강이슬0925</v>
      </c>
      <c r="Q84" s="1029" t="b">
        <f ca="1">IFERROR(__xludf.DUMMYFUNCTION("""COMPUTED_VALUE"""),TRUE)</f>
        <v>1</v>
      </c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</row>
    <row r="85" spans="1:32" ht="15.75" customHeight="1">
      <c r="A85" s="914">
        <f ca="1">IFERROR(__xludf.DUMMYFUNCTION("""COMPUTED_VALUE"""),8)</f>
        <v>8</v>
      </c>
      <c r="B85" s="2"/>
      <c r="C85" s="2"/>
      <c r="D85" s="2" t="str">
        <f ca="1">IFERROR(__xludf.DUMMYFUNCTION("""COMPUTED_VALUE"""),"한진정보통신-KT 정보보안 임대형(24년 5월, 6월 준공)_(주)글로벌리서치")</f>
        <v>한진정보통신-KT 정보보안 임대형(24년 5월, 6월 준공)_(주)글로벌리서치</v>
      </c>
      <c r="E85" s="2" t="str">
        <f ca="1">IFERROR(__xludf.DUMMYFUNCTION("""COMPUTED_VALUE"""),"에이엠네트웍스")</f>
        <v>에이엠네트웍스</v>
      </c>
      <c r="F85" s="3" t="str">
        <f ca="1">IFERROR(__xludf.DUMMYFUNCTION("""COMPUTED_VALUE"""),"HX-PO-15233")</f>
        <v>HX-PO-15233</v>
      </c>
      <c r="G85" s="1027" t="b">
        <f ca="1">IFERROR(__xludf.DUMMYFUNCTION("""COMPUTED_VALUE"""),TRUE)</f>
        <v>1</v>
      </c>
      <c r="H85" s="539"/>
      <c r="I85" s="2" t="b">
        <f ca="1">IFERROR(__xludf.DUMMYFUNCTION("""COMPUTED_VALUE"""),TRUE)</f>
        <v>1</v>
      </c>
      <c r="J85" s="1028"/>
      <c r="K85" s="2" t="str">
        <f ca="1">IFERROR(__xludf.DUMMYFUNCTION("""COMPUTED_VALUE"""),"김준태")</f>
        <v>김준태</v>
      </c>
      <c r="L85" s="2" t="str">
        <f ca="1">IFERROR(__xludf.DUMMYFUNCTION("""COMPUTED_VALUE"""),"kimjun@hist.co.kr")</f>
        <v>kimjun@hist.co.kr</v>
      </c>
      <c r="M85" s="1020">
        <f ca="1">IFERROR(__xludf.DUMMYFUNCTION("""COMPUTED_VALUE"""),2922000)</f>
        <v>2922000</v>
      </c>
      <c r="N85" s="2"/>
      <c r="O85" s="2"/>
      <c r="P85" s="2" t="str">
        <f ca="1">IFERROR(__xludf.DUMMYFUNCTION("""COMPUTED_VALUE"""),"API240811강이슬0930")</f>
        <v>API240811강이슬0930</v>
      </c>
      <c r="Q85" s="1029" t="b">
        <f ca="1">IFERROR(__xludf.DUMMYFUNCTION("""COMPUTED_VALUE"""),TRUE)</f>
        <v>1</v>
      </c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</row>
    <row r="86" spans="1:32" ht="15.75" customHeight="1">
      <c r="A86" s="914">
        <f ca="1">IFERROR(__xludf.DUMMYFUNCTION("""COMPUTED_VALUE"""),23)</f>
        <v>23</v>
      </c>
      <c r="B86" s="2"/>
      <c r="C86" s="2"/>
      <c r="D86" s="2" t="str">
        <f ca="1">IFERROR(__xludf.DUMMYFUNCTION("""COMPUTED_VALUE"""),"정석인하학원 정보화발전방향 보고 지원 용역 계약 잔금")</f>
        <v>정석인하학원 정보화발전방향 보고 지원 용역 계약 잔금</v>
      </c>
      <c r="E86" s="2" t="str">
        <f ca="1">IFERROR(__xludf.DUMMYFUNCTION("""COMPUTED_VALUE"""),"딜로이트")</f>
        <v>딜로이트</v>
      </c>
      <c r="F86" s="3" t="str">
        <f ca="1">IFERROR(__xludf.DUMMYFUNCTION("""COMPUTED_VALUE"""),"HX-PO-15341")</f>
        <v>HX-PO-15341</v>
      </c>
      <c r="G86" s="1027" t="b">
        <f ca="1">IFERROR(__xludf.DUMMYFUNCTION("""COMPUTED_VALUE"""),TRUE)</f>
        <v>1</v>
      </c>
      <c r="H86" s="539"/>
      <c r="I86" s="2" t="b">
        <f ca="1">IFERROR(__xludf.DUMMYFUNCTION("""COMPUTED_VALUE"""),TRUE)</f>
        <v>1</v>
      </c>
      <c r="J86" s="1028">
        <f ca="1">IFERROR(__xludf.DUMMYFUNCTION("""COMPUTED_VALUE"""),17339)</f>
        <v>17339</v>
      </c>
      <c r="K86" s="2" t="str">
        <f ca="1">IFERROR(__xludf.DUMMYFUNCTION("""COMPUTED_VALUE"""),"홍환구")</f>
        <v>홍환구</v>
      </c>
      <c r="L86" s="2" t="str">
        <f ca="1">IFERROR(__xludf.DUMMYFUNCTION("""COMPUTED_VALUE"""),"hghong00@hist.co.kr")</f>
        <v>hghong00@hist.co.kr</v>
      </c>
      <c r="M86" s="1020">
        <f ca="1">IFERROR(__xludf.DUMMYFUNCTION("""COMPUTED_VALUE"""),55000000)</f>
        <v>55000000</v>
      </c>
      <c r="N86" s="2"/>
      <c r="O86" s="2"/>
      <c r="P86" s="2" t="str">
        <f ca="1">IFERROR(__xludf.DUMMYFUNCTION("""COMPUTED_VALUE"""),"API240823강이슬1450")</f>
        <v>API240823강이슬1450</v>
      </c>
      <c r="Q86" s="1029" t="b">
        <f ca="1">IFERROR(__xludf.DUMMYFUNCTION("""COMPUTED_VALUE"""),TRUE)</f>
        <v>1</v>
      </c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</row>
    <row r="87" spans="1:32" ht="15.75" customHeight="1">
      <c r="A87" s="914" t="str">
        <f ca="1">IFERROR(__xludf.DUMMYFUNCTION("""COMPUTED_VALUE"""),"09")</f>
        <v>09</v>
      </c>
      <c r="B87" s="2" t="str">
        <f ca="1">IFERROR(__xludf.DUMMYFUNCTION("""COMPUTED_VALUE"""),"HX-PR-15290")</f>
        <v>HX-PR-15290</v>
      </c>
      <c r="C87" s="2"/>
      <c r="D87" s="2" t="str">
        <f ca="1">IFERROR(__xludf.DUMMYFUNCTION("""COMPUTED_VALUE"""),"매일경제신문사 외 Axgate RMA 사업")</f>
        <v>매일경제신문사 외 Axgate RMA 사업</v>
      </c>
      <c r="E87" s="2" t="str">
        <f ca="1">IFERROR(__xludf.DUMMYFUNCTION("""COMPUTED_VALUE"""),"이레솔루션")</f>
        <v>이레솔루션</v>
      </c>
      <c r="F87" s="1030" t="str">
        <f ca="1">IFERROR(__xludf.DUMMYFUNCTION("""COMPUTED_VALUE"""),"HX-PO-15386")</f>
        <v>HX-PO-15386</v>
      </c>
      <c r="G87" s="1027" t="b">
        <f ca="1">IFERROR(__xludf.DUMMYFUNCTION("""COMPUTED_VALUE"""),TRUE)</f>
        <v>1</v>
      </c>
      <c r="H87" s="539"/>
      <c r="I87" s="2" t="b">
        <f ca="1">IFERROR(__xludf.DUMMYFUNCTION("""COMPUTED_VALUE"""),TRUE)</f>
        <v>1</v>
      </c>
      <c r="J87" s="1028">
        <f ca="1">IFERROR(__xludf.DUMMYFUNCTION("""COMPUTED_VALUE"""),17679)</f>
        <v>17679</v>
      </c>
      <c r="K87" s="2" t="str">
        <f ca="1">IFERROR(__xludf.DUMMYFUNCTION("""COMPUTED_VALUE"""),"손주원")</f>
        <v>손주원</v>
      </c>
      <c r="L87" s="2" t="str">
        <f ca="1">IFERROR(__xludf.DUMMYFUNCTION("""COMPUTED_VALUE"""),"json@hist.co.kr")</f>
        <v>json@hist.co.kr</v>
      </c>
      <c r="M87" s="1020">
        <f ca="1">IFERROR(__xludf.DUMMYFUNCTION("""COMPUTED_VALUE"""),54370000)</f>
        <v>54370000</v>
      </c>
      <c r="N87" s="241">
        <f ca="1">IFERROR(__xludf.DUMMYFUNCTION("""COMPUTED_VALUE"""),59807000)</f>
        <v>59807000</v>
      </c>
      <c r="O87" s="2"/>
      <c r="P87" s="555" t="str">
        <f ca="1">IFERROR(__xludf.DUMMYFUNCTION("""COMPUTED_VALUE"""),"API241109강이슬5386")</f>
        <v>API241109강이슬5386</v>
      </c>
      <c r="Q87" s="1029" t="b">
        <f ca="1">IFERROR(__xludf.DUMMYFUNCTION("""COMPUTED_VALUE"""),TRUE)</f>
        <v>1</v>
      </c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 spans="1:32" ht="15.75" customHeight="1">
      <c r="A88" s="914" t="str">
        <f ca="1">IFERROR(__xludf.DUMMYFUNCTION("""COMPUTED_VALUE"""),"09")</f>
        <v>09</v>
      </c>
      <c r="B88" s="2" t="str">
        <f ca="1">IFERROR(__xludf.DUMMYFUNCTION("""COMPUTED_VALUE"""),"HX-PR-15293")</f>
        <v>HX-PR-15293</v>
      </c>
      <c r="C88" s="2"/>
      <c r="D88" s="2" t="str">
        <f ca="1">IFERROR(__xludf.DUMMYFUNCTION("""COMPUTED_VALUE"""),"롯데웰푸드 외 Axgate RMA 사업")</f>
        <v>롯데웰푸드 외 Axgate RMA 사업</v>
      </c>
      <c r="E88" s="2" t="str">
        <f ca="1">IFERROR(__xludf.DUMMYFUNCTION("""COMPUTED_VALUE"""),"엘쓰리티세븐")</f>
        <v>엘쓰리티세븐</v>
      </c>
      <c r="F88" s="1030" t="str">
        <f ca="1">IFERROR(__xludf.DUMMYFUNCTION("""COMPUTED_VALUE"""),"HX-PO-15387")</f>
        <v>HX-PO-15387</v>
      </c>
      <c r="G88" s="1027" t="b">
        <f ca="1">IFERROR(__xludf.DUMMYFUNCTION("""COMPUTED_VALUE"""),TRUE)</f>
        <v>1</v>
      </c>
      <c r="H88" s="539"/>
      <c r="I88" s="2" t="b">
        <f ca="1">IFERROR(__xludf.DUMMYFUNCTION("""COMPUTED_VALUE"""),TRUE)</f>
        <v>1</v>
      </c>
      <c r="J88" s="1028">
        <f ca="1">IFERROR(__xludf.DUMMYFUNCTION("""COMPUTED_VALUE"""),17680)</f>
        <v>17680</v>
      </c>
      <c r="K88" s="2" t="str">
        <f ca="1">IFERROR(__xludf.DUMMYFUNCTION("""COMPUTED_VALUE"""),"손주원")</f>
        <v>손주원</v>
      </c>
      <c r="L88" s="2" t="str">
        <f ca="1">IFERROR(__xludf.DUMMYFUNCTION("""COMPUTED_VALUE"""),"json@hist.co.kr")</f>
        <v>json@hist.co.kr</v>
      </c>
      <c r="M88" s="1020">
        <f ca="1">IFERROR(__xludf.DUMMYFUNCTION("""COMPUTED_VALUE"""),76900000)</f>
        <v>76900000</v>
      </c>
      <c r="N88" s="241">
        <f ca="1">IFERROR(__xludf.DUMMYFUNCTION("""COMPUTED_VALUE"""),84590000)</f>
        <v>84590000</v>
      </c>
      <c r="O88" s="2"/>
      <c r="P88" s="555" t="str">
        <f ca="1">IFERROR(__xludf.DUMMYFUNCTION("""COMPUTED_VALUE"""),"API241109강이슬5387")</f>
        <v>API241109강이슬5387</v>
      </c>
      <c r="Q88" s="1029" t="b">
        <f ca="1">IFERROR(__xludf.DUMMYFUNCTION("""COMPUTED_VALUE"""),TRUE)</f>
        <v>1</v>
      </c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 spans="1:32" ht="15.75" customHeight="1">
      <c r="A89" s="914" t="str">
        <f ca="1">IFERROR(__xludf.DUMMYFUNCTION("""COMPUTED_VALUE"""),"09")</f>
        <v>09</v>
      </c>
      <c r="B89" s="2" t="str">
        <f ca="1">IFERROR(__xludf.DUMMYFUNCTION("""COMPUTED_VALUE"""),"HX-PR-15291")</f>
        <v>HX-PR-15291</v>
      </c>
      <c r="C89" s="2"/>
      <c r="D89" s="2" t="str">
        <f ca="1">IFERROR(__xludf.DUMMYFUNCTION("""COMPUTED_VALUE"""),"NHN두레이 외 Axgate RMA 사업")</f>
        <v>NHN두레이 외 Axgate RMA 사업</v>
      </c>
      <c r="E89" s="2" t="str">
        <f ca="1">IFERROR(__xludf.DUMMYFUNCTION("""COMPUTED_VALUE"""),"엘쓰리티세븐")</f>
        <v>엘쓰리티세븐</v>
      </c>
      <c r="F89" s="1030" t="str">
        <f ca="1">IFERROR(__xludf.DUMMYFUNCTION("""COMPUTED_VALUE"""),"HX-PO-15385")</f>
        <v>HX-PO-15385</v>
      </c>
      <c r="G89" s="1031" t="b">
        <f ca="1">IFERROR(__xludf.DUMMYFUNCTION("""COMPUTED_VALUE"""),TRUE)</f>
        <v>1</v>
      </c>
      <c r="H89" s="1032"/>
      <c r="I89" s="1033" t="b">
        <f ca="1">IFERROR(__xludf.DUMMYFUNCTION("""COMPUTED_VALUE"""),TRUE)</f>
        <v>1</v>
      </c>
      <c r="J89" s="1034">
        <f ca="1">IFERROR(__xludf.DUMMYFUNCTION("""COMPUTED_VALUE"""),17681)</f>
        <v>17681</v>
      </c>
      <c r="K89" s="2" t="str">
        <f ca="1">IFERROR(__xludf.DUMMYFUNCTION("""COMPUTED_VALUE"""),"손주원")</f>
        <v>손주원</v>
      </c>
      <c r="L89" s="2" t="str">
        <f ca="1">IFERROR(__xludf.DUMMYFUNCTION("""COMPUTED_VALUE"""),"json@hist.co.kr")</f>
        <v>json@hist.co.kr</v>
      </c>
      <c r="M89" s="1020">
        <f ca="1">IFERROR(__xludf.DUMMYFUNCTION("""COMPUTED_VALUE"""),73300000)</f>
        <v>73300000</v>
      </c>
      <c r="N89" s="241">
        <f ca="1">IFERROR(__xludf.DUMMYFUNCTION("""COMPUTED_VALUE"""),80630000)</f>
        <v>80630000</v>
      </c>
      <c r="O89" s="2"/>
      <c r="P89" s="555" t="str">
        <f ca="1">IFERROR(__xludf.DUMMYFUNCTION("""COMPUTED_VALUE"""),"API241109강이슬5385")</f>
        <v>API241109강이슬5385</v>
      </c>
      <c r="Q89" s="1035" t="b">
        <f ca="1">IFERROR(__xludf.DUMMYFUNCTION("""COMPUTED_VALUE"""),TRUE)</f>
        <v>1</v>
      </c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 spans="1:32" ht="15.75" customHeight="1">
      <c r="A90" s="2" t="str">
        <f ca="1">IFERROR(__xludf.DUMMYFUNCTION("""COMPUTED_VALUE"""),"09")</f>
        <v>09</v>
      </c>
      <c r="B90" s="2" t="str">
        <f ca="1">IFERROR(__xludf.DUMMYFUNCTION("""COMPUTED_VALUE"""),"HX-PR-15292")</f>
        <v>HX-PR-15292</v>
      </c>
      <c r="C90" s="2"/>
      <c r="D90" s="2" t="str">
        <f ca="1">IFERROR(__xludf.DUMMYFUNCTION("""COMPUTED_VALUE"""),"광주광역시교육청 외 Axgate RMA 사업")</f>
        <v>광주광역시교육청 외 Axgate RMA 사업</v>
      </c>
      <c r="E90" s="2" t="str">
        <f ca="1">IFERROR(__xludf.DUMMYFUNCTION("""COMPUTED_VALUE"""),"제이큐브데이터")</f>
        <v>제이큐브데이터</v>
      </c>
      <c r="F90" s="1030" t="str">
        <f ca="1">IFERROR(__xludf.DUMMYFUNCTION("""COMPUTED_VALUE"""),"HX-PO-15384")</f>
        <v>HX-PO-15384</v>
      </c>
      <c r="G90" s="2" t="b">
        <f ca="1">IFERROR(__xludf.DUMMYFUNCTION("""COMPUTED_VALUE"""),TRUE)</f>
        <v>1</v>
      </c>
      <c r="H90" s="2"/>
      <c r="I90" s="2" t="b">
        <f ca="1">IFERROR(__xludf.DUMMYFUNCTION("""COMPUTED_VALUE"""),TRUE)</f>
        <v>1</v>
      </c>
      <c r="J90" s="3">
        <f ca="1">IFERROR(__xludf.DUMMYFUNCTION("""COMPUTED_VALUE"""),17683)</f>
        <v>17683</v>
      </c>
      <c r="K90" s="2" t="str">
        <f ca="1">IFERROR(__xludf.DUMMYFUNCTION("""COMPUTED_VALUE"""),"손주원")</f>
        <v>손주원</v>
      </c>
      <c r="L90" s="2" t="str">
        <f ca="1">IFERROR(__xludf.DUMMYFUNCTION("""COMPUTED_VALUE"""),"json@hist.co.kr")</f>
        <v>json@hist.co.kr</v>
      </c>
      <c r="M90" s="1020">
        <f ca="1">IFERROR(__xludf.DUMMYFUNCTION("""COMPUTED_VALUE"""),86045000)</f>
        <v>86045000</v>
      </c>
      <c r="N90" s="241">
        <f ca="1">IFERROR(__xludf.DUMMYFUNCTION("""COMPUTED_VALUE"""),94649500)</f>
        <v>94649500</v>
      </c>
      <c r="O90" s="2"/>
      <c r="P90" s="555" t="str">
        <f ca="1">IFERROR(__xludf.DUMMYFUNCTION("""COMPUTED_VALUE"""),"API241109강이슬5384")</f>
        <v>API241109강이슬5384</v>
      </c>
      <c r="Q90" s="2" t="b">
        <f ca="1">IFERROR(__xludf.DUMMYFUNCTION("""COMPUTED_VALUE"""),TRUE)</f>
        <v>1</v>
      </c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 spans="1:32" ht="15.75" customHeight="1">
      <c r="A91" s="2"/>
      <c r="B91" s="2"/>
      <c r="C91" s="2"/>
      <c r="D91" s="2"/>
      <c r="E91" s="2"/>
      <c r="F91" s="3"/>
      <c r="G91" s="2"/>
      <c r="H91" s="2"/>
      <c r="I91" s="2"/>
      <c r="J91" s="3"/>
      <c r="K91" s="2"/>
      <c r="L91" s="2"/>
      <c r="M91" s="3"/>
      <c r="N91" s="2"/>
      <c r="O91" s="2"/>
      <c r="P91" s="2"/>
      <c r="Q91" s="2" t="b">
        <f ca="1">IFERROR(__xludf.DUMMYFUNCTION("""COMPUTED_VALUE"""),FALSE)</f>
        <v>0</v>
      </c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 spans="1:32" ht="15.75" customHeight="1">
      <c r="A92" s="240">
        <f ca="1">IFERROR(__xludf.DUMMYFUNCTION("""COMPUTED_VALUE"""),45581)</f>
        <v>45581</v>
      </c>
      <c r="B92" s="2"/>
      <c r="C92" s="2"/>
      <c r="D92" s="2" t="str">
        <f ca="1">IFERROR(__xludf.DUMMYFUNCTION("""COMPUTED_VALUE"""),"한진정보통신-KT 정보보안 임대형(24년 7월, 8월 준공)_㈜엔엔소프트")</f>
        <v>한진정보통신-KT 정보보안 임대형(24년 7월, 8월 준공)_㈜엔엔소프트</v>
      </c>
      <c r="E92" s="2" t="str">
        <f ca="1">IFERROR(__xludf.DUMMYFUNCTION("""COMPUTED_VALUE"""),"에이엠네트웍스")</f>
        <v>에이엠네트웍스</v>
      </c>
      <c r="F92" s="3" t="str">
        <f ca="1">IFERROR(__xludf.DUMMYFUNCTION("""COMPUTED_VALUE"""),"HX-PO-15201")</f>
        <v>HX-PO-15201</v>
      </c>
      <c r="G92" s="2" t="b">
        <f ca="1">IFERROR(__xludf.DUMMYFUNCTION("""COMPUTED_VALUE"""),TRUE)</f>
        <v>1</v>
      </c>
      <c r="H92" s="2"/>
      <c r="I92" s="2" t="b">
        <f ca="1">IFERROR(__xludf.DUMMYFUNCTION("""COMPUTED_VALUE"""),TRUE)</f>
        <v>1</v>
      </c>
      <c r="J92" s="3"/>
      <c r="K92" s="2" t="str">
        <f ca="1">IFERROR(__xludf.DUMMYFUNCTION("""COMPUTED_VALUE"""),"김준태")</f>
        <v>김준태</v>
      </c>
      <c r="L92" s="2" t="str">
        <f ca="1">IFERROR(__xludf.DUMMYFUNCTION("""COMPUTED_VALUE"""),"kimjun@hist.co.kr")</f>
        <v>kimjun@hist.co.kr</v>
      </c>
      <c r="M92" s="1020">
        <f ca="1">IFERROR(__xludf.DUMMYFUNCTION("""COMPUTED_VALUE"""),650000)</f>
        <v>650000</v>
      </c>
      <c r="N92" s="2"/>
      <c r="O92" s="2"/>
      <c r="P92" s="2" t="str">
        <f ca="1">IFERROR(__xludf.DUMMYFUNCTION("""COMPUTED_VALUE"""),"API241016강이슬1438")</f>
        <v>API241016강이슬1438</v>
      </c>
      <c r="Q92" s="2" t="b">
        <f ca="1">IFERROR(__xludf.DUMMYFUNCTION("""COMPUTED_VALUE"""),TRUE)</f>
        <v>1</v>
      </c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</row>
    <row r="93" spans="1:32" ht="15.75" customHeight="1">
      <c r="A93" s="240">
        <f ca="1">IFERROR(__xludf.DUMMYFUNCTION("""COMPUTED_VALUE"""),45581)</f>
        <v>45581</v>
      </c>
      <c r="B93" s="2"/>
      <c r="C93" s="2"/>
      <c r="D93" s="2" t="str">
        <f ca="1">IFERROR(__xludf.DUMMYFUNCTION("""COMPUTED_VALUE"""),"한진정보통신-KT 정보보안 임대형(24년 7월, 8월 준공)_㈜그린씨에스")</f>
        <v>한진정보통신-KT 정보보안 임대형(24년 7월, 8월 준공)_㈜그린씨에스</v>
      </c>
      <c r="E93" s="2" t="str">
        <f ca="1">IFERROR(__xludf.DUMMYFUNCTION("""COMPUTED_VALUE"""),"에이엠네트웍스")</f>
        <v>에이엠네트웍스</v>
      </c>
      <c r="F93" s="3" t="str">
        <f ca="1">IFERROR(__xludf.DUMMYFUNCTION("""COMPUTED_VALUE"""),"HX-PO-15242")</f>
        <v>HX-PO-15242</v>
      </c>
      <c r="G93" s="2" t="b">
        <f ca="1">IFERROR(__xludf.DUMMYFUNCTION("""COMPUTED_VALUE"""),TRUE)</f>
        <v>1</v>
      </c>
      <c r="H93" s="2"/>
      <c r="I93" s="2" t="b">
        <f ca="1">IFERROR(__xludf.DUMMYFUNCTION("""COMPUTED_VALUE"""),TRUE)</f>
        <v>1</v>
      </c>
      <c r="J93" s="3"/>
      <c r="K93" s="2" t="str">
        <f ca="1">IFERROR(__xludf.DUMMYFUNCTION("""COMPUTED_VALUE"""),"김준태")</f>
        <v>김준태</v>
      </c>
      <c r="L93" s="2" t="str">
        <f ca="1">IFERROR(__xludf.DUMMYFUNCTION("""COMPUTED_VALUE"""),"kimjun@hist.co.kr")</f>
        <v>kimjun@hist.co.kr</v>
      </c>
      <c r="M93" s="1020">
        <f ca="1">IFERROR(__xludf.DUMMYFUNCTION("""COMPUTED_VALUE"""),986000)</f>
        <v>986000</v>
      </c>
      <c r="N93" s="2"/>
      <c r="O93" s="2"/>
      <c r="P93" s="2" t="str">
        <f ca="1">IFERROR(__xludf.DUMMYFUNCTION("""COMPUTED_VALUE"""),"API241016강이슬1442")</f>
        <v>API241016강이슬1442</v>
      </c>
      <c r="Q93" s="2" t="b">
        <f ca="1">IFERROR(__xludf.DUMMYFUNCTION("""COMPUTED_VALUE"""),TRUE)</f>
        <v>1</v>
      </c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 spans="1:32" ht="15.75" customHeight="1">
      <c r="A94" s="240">
        <f ca="1">IFERROR(__xludf.DUMMYFUNCTION("""COMPUTED_VALUE"""),45581)</f>
        <v>45581</v>
      </c>
      <c r="B94" s="2"/>
      <c r="C94" s="2"/>
      <c r="D94" s="2" t="str">
        <f ca="1">IFERROR(__xludf.DUMMYFUNCTION("""COMPUTED_VALUE"""),"한진정보통신-KT 정보보안 임대형(24년 7월, 8월 준공)_아시아퍼시픽국제외국인학교")</f>
        <v>한진정보통신-KT 정보보안 임대형(24년 7월, 8월 준공)_아시아퍼시픽국제외국인학교</v>
      </c>
      <c r="E94" s="2" t="str">
        <f ca="1">IFERROR(__xludf.DUMMYFUNCTION("""COMPUTED_VALUE"""),"에이엠네트웍스")</f>
        <v>에이엠네트웍스</v>
      </c>
      <c r="F94" s="3" t="str">
        <f ca="1">IFERROR(__xludf.DUMMYFUNCTION("""COMPUTED_VALUE"""),"HX-PO-15254")</f>
        <v>HX-PO-15254</v>
      </c>
      <c r="G94" s="2" t="b">
        <f ca="1">IFERROR(__xludf.DUMMYFUNCTION("""COMPUTED_VALUE"""),TRUE)</f>
        <v>1</v>
      </c>
      <c r="H94" s="2"/>
      <c r="I94" s="2" t="b">
        <f ca="1">IFERROR(__xludf.DUMMYFUNCTION("""COMPUTED_VALUE"""),TRUE)</f>
        <v>1</v>
      </c>
      <c r="J94" s="3"/>
      <c r="K94" s="2" t="str">
        <f ca="1">IFERROR(__xludf.DUMMYFUNCTION("""COMPUTED_VALUE"""),"김준태")</f>
        <v>김준태</v>
      </c>
      <c r="L94" s="2" t="str">
        <f ca="1">IFERROR(__xludf.DUMMYFUNCTION("""COMPUTED_VALUE"""),"kimjun@hist.co.kr")</f>
        <v>kimjun@hist.co.kr</v>
      </c>
      <c r="M94" s="1020">
        <f ca="1">IFERROR(__xludf.DUMMYFUNCTION("""COMPUTED_VALUE"""),2922000)</f>
        <v>2922000</v>
      </c>
      <c r="N94" s="2"/>
      <c r="O94" s="2"/>
      <c r="P94" s="2" t="str">
        <f ca="1">IFERROR(__xludf.DUMMYFUNCTION("""COMPUTED_VALUE"""),"API241016강이슬1444")</f>
        <v>API241016강이슬1444</v>
      </c>
      <c r="Q94" s="2" t="b">
        <f ca="1">IFERROR(__xludf.DUMMYFUNCTION("""COMPUTED_VALUE"""),TRUE)</f>
        <v>1</v>
      </c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</row>
    <row r="95" spans="1:32" ht="15.75" customHeight="1">
      <c r="A95" s="240">
        <f ca="1">IFERROR(__xludf.DUMMYFUNCTION("""COMPUTED_VALUE"""),45581)</f>
        <v>45581</v>
      </c>
      <c r="B95" s="2"/>
      <c r="C95" s="2"/>
      <c r="D95" s="2" t="str">
        <f ca="1">IFERROR(__xludf.DUMMYFUNCTION("""COMPUTED_VALUE"""),"한진정보통신-KT 정보보안 임대형(24년 7월, 8월 준공)_신안군상하수도사업소")</f>
        <v>한진정보통신-KT 정보보안 임대형(24년 7월, 8월 준공)_신안군상하수도사업소</v>
      </c>
      <c r="E95" s="2" t="str">
        <f ca="1">IFERROR(__xludf.DUMMYFUNCTION("""COMPUTED_VALUE"""),"에이엠네트웍스")</f>
        <v>에이엠네트웍스</v>
      </c>
      <c r="F95" s="3" t="str">
        <f ca="1">IFERROR(__xludf.DUMMYFUNCTION("""COMPUTED_VALUE"""),"HX-PO-15263")</f>
        <v>HX-PO-15263</v>
      </c>
      <c r="G95" s="2" t="b">
        <f ca="1">IFERROR(__xludf.DUMMYFUNCTION("""COMPUTED_VALUE"""),TRUE)</f>
        <v>1</v>
      </c>
      <c r="H95" s="2"/>
      <c r="I95" s="2" t="b">
        <f ca="1">IFERROR(__xludf.DUMMYFUNCTION("""COMPUTED_VALUE"""),TRUE)</f>
        <v>1</v>
      </c>
      <c r="J95" s="3"/>
      <c r="K95" s="2" t="str">
        <f ca="1">IFERROR(__xludf.DUMMYFUNCTION("""COMPUTED_VALUE"""),"김준태")</f>
        <v>김준태</v>
      </c>
      <c r="L95" s="2" t="str">
        <f ca="1">IFERROR(__xludf.DUMMYFUNCTION("""COMPUTED_VALUE"""),"kimjun@hist.co.kr")</f>
        <v>kimjun@hist.co.kr</v>
      </c>
      <c r="M95" s="1020">
        <f ca="1">IFERROR(__xludf.DUMMYFUNCTION("""COMPUTED_VALUE"""),986000)</f>
        <v>986000</v>
      </c>
      <c r="N95" s="2"/>
      <c r="O95" s="2"/>
      <c r="P95" s="2" t="str">
        <f ca="1">IFERROR(__xludf.DUMMYFUNCTION("""COMPUTED_VALUE"""),"API241016강이슬1447")</f>
        <v>API241016강이슬1447</v>
      </c>
      <c r="Q95" s="2" t="b">
        <f ca="1">IFERROR(__xludf.DUMMYFUNCTION("""COMPUTED_VALUE"""),TRUE)</f>
        <v>1</v>
      </c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 spans="1:32" ht="15.75" customHeight="1">
      <c r="A96" s="240">
        <f ca="1">IFERROR(__xludf.DUMMYFUNCTION("""COMPUTED_VALUE"""),45596)</f>
        <v>45596</v>
      </c>
      <c r="B96" s="2"/>
      <c r="C96" s="2"/>
      <c r="D96" s="2" t="str">
        <f ca="1">IFERROR(__xludf.DUMMYFUNCTION("""COMPUTED_VALUE"""),"김앤장 법률사무소, 랜섬웨어 대응 백업 솔루션 판매(Veritas)  ")</f>
        <v xml:space="preserve">김앤장 법률사무소, 랜섬웨어 대응 백업 솔루션 판매(Veritas)  </v>
      </c>
      <c r="E96" s="2" t="str">
        <f ca="1">IFERROR(__xludf.DUMMYFUNCTION("""COMPUTED_VALUE"""),"바인스랩")</f>
        <v>바인스랩</v>
      </c>
      <c r="F96" s="3" t="str">
        <f ca="1">IFERROR(__xludf.DUMMYFUNCTION("""COMPUTED_VALUE"""),"HX-PO-15502")</f>
        <v>HX-PO-15502</v>
      </c>
      <c r="G96" s="2" t="b">
        <f ca="1">IFERROR(__xludf.DUMMYFUNCTION("""COMPUTED_VALUE"""),TRUE)</f>
        <v>1</v>
      </c>
      <c r="H96" s="2"/>
      <c r="I96" s="2" t="b">
        <f ca="1">IFERROR(__xludf.DUMMYFUNCTION("""COMPUTED_VALUE"""),TRUE)</f>
        <v>1</v>
      </c>
      <c r="J96" s="3">
        <f ca="1">IFERROR(__xludf.DUMMYFUNCTION("""COMPUTED_VALUE"""),18112)</f>
        <v>18112</v>
      </c>
      <c r="K96" s="2" t="str">
        <f ca="1">IFERROR(__xludf.DUMMYFUNCTION("""COMPUTED_VALUE"""),"김준태")</f>
        <v>김준태</v>
      </c>
      <c r="L96" s="2" t="str">
        <f ca="1">IFERROR(__xludf.DUMMYFUNCTION("""COMPUTED_VALUE"""),"kimjun@hist.co.kr")</f>
        <v>kimjun@hist.co.kr</v>
      </c>
      <c r="M96" s="1020">
        <f ca="1">IFERROR(__xludf.DUMMYFUNCTION("""COMPUTED_VALUE"""),393575000)</f>
        <v>393575000</v>
      </c>
      <c r="N96" s="2"/>
      <c r="O96" s="2"/>
      <c r="P96" s="2" t="str">
        <f ca="1">IFERROR(__xludf.DUMMYFUNCTION("""COMPUTED_VALUE"""),"API241031강이슬1854")</f>
        <v>API241031강이슬1854</v>
      </c>
      <c r="Q96" s="2" t="b">
        <f ca="1">IFERROR(__xludf.DUMMYFUNCTION("""COMPUTED_VALUE"""),TRUE)</f>
        <v>1</v>
      </c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</row>
    <row r="97" spans="1:32" ht="15.75" customHeight="1">
      <c r="A97" s="2"/>
      <c r="B97" s="2"/>
      <c r="C97" s="2"/>
      <c r="D97" s="2"/>
      <c r="E97" s="2"/>
      <c r="F97" s="3"/>
      <c r="G97" s="2"/>
      <c r="H97" s="2"/>
      <c r="I97" s="2"/>
      <c r="J97" s="3"/>
      <c r="K97" s="2"/>
      <c r="L97" s="2"/>
      <c r="M97" s="3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 spans="1:32" ht="15.75" customHeight="1">
      <c r="A98" s="2"/>
      <c r="B98" s="2"/>
      <c r="C98" s="2"/>
      <c r="D98" s="2"/>
      <c r="E98" s="2"/>
      <c r="F98" s="3"/>
      <c r="G98" s="2"/>
      <c r="H98" s="2"/>
      <c r="I98" s="2"/>
      <c r="J98" s="3"/>
      <c r="K98" s="2"/>
      <c r="L98" s="2"/>
      <c r="M98" s="3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 spans="1:32" ht="15.75" customHeight="1">
      <c r="A99" s="2"/>
      <c r="B99" s="2"/>
      <c r="C99" s="2"/>
      <c r="D99" s="2"/>
      <c r="E99" s="2"/>
      <c r="F99" s="3"/>
      <c r="G99" s="2"/>
      <c r="H99" s="2"/>
      <c r="I99" s="2"/>
      <c r="J99" s="3"/>
      <c r="K99" s="2"/>
      <c r="L99" s="2"/>
      <c r="M99" s="3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 spans="1:32" ht="15.75" customHeight="1">
      <c r="A100" s="2"/>
      <c r="B100" s="2"/>
      <c r="C100" s="2"/>
      <c r="D100" s="2"/>
      <c r="E100" s="2"/>
      <c r="F100" s="3"/>
      <c r="G100" s="2"/>
      <c r="H100" s="2"/>
      <c r="I100" s="2"/>
      <c r="J100" s="3"/>
      <c r="K100" s="2"/>
      <c r="L100" s="2"/>
      <c r="M100" s="3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 spans="1:32" ht="15.75" customHeight="1">
      <c r="A101" s="2"/>
      <c r="B101" s="2"/>
      <c r="C101" s="2"/>
      <c r="D101" s="2"/>
      <c r="E101" s="2"/>
      <c r="F101" s="3"/>
      <c r="G101" s="2"/>
      <c r="H101" s="2"/>
      <c r="I101" s="2"/>
      <c r="J101" s="3"/>
      <c r="K101" s="2"/>
      <c r="L101" s="2"/>
      <c r="M101" s="3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 spans="1:32" ht="15.75" customHeight="1">
      <c r="A102" s="2"/>
      <c r="B102" s="2"/>
      <c r="C102" s="2"/>
      <c r="D102" s="2"/>
      <c r="E102" s="2"/>
      <c r="F102" s="3"/>
      <c r="G102" s="2"/>
      <c r="H102" s="2"/>
      <c r="I102" s="2"/>
      <c r="J102" s="3"/>
      <c r="K102" s="2"/>
      <c r="L102" s="2"/>
      <c r="M102" s="3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 spans="1:32" ht="15.75" customHeight="1">
      <c r="A103" s="2"/>
      <c r="B103" s="2"/>
      <c r="C103" s="2"/>
      <c r="D103" s="2"/>
      <c r="E103" s="2"/>
      <c r="F103" s="3"/>
      <c r="G103" s="2"/>
      <c r="H103" s="2"/>
      <c r="I103" s="2"/>
      <c r="J103" s="3"/>
      <c r="K103" s="2"/>
      <c r="L103" s="2"/>
      <c r="M103" s="3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</row>
    <row r="104" spans="1:32" ht="15.75" customHeight="1">
      <c r="A104" s="2"/>
      <c r="B104" s="2"/>
      <c r="C104" s="2"/>
      <c r="D104" s="2"/>
      <c r="E104" s="2"/>
      <c r="F104" s="3"/>
      <c r="G104" s="2"/>
      <c r="H104" s="2"/>
      <c r="I104" s="2"/>
      <c r="J104" s="3"/>
      <c r="K104" s="2"/>
      <c r="L104" s="2"/>
      <c r="M104" s="3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</row>
    <row r="105" spans="1:32" ht="15.75" customHeight="1">
      <c r="A105" s="2"/>
      <c r="B105" s="2"/>
      <c r="C105" s="2"/>
      <c r="D105" s="2"/>
      <c r="E105" s="2"/>
      <c r="F105" s="3"/>
      <c r="G105" s="2"/>
      <c r="H105" s="2"/>
      <c r="I105" s="2"/>
      <c r="J105" s="3"/>
      <c r="K105" s="2"/>
      <c r="L105" s="2"/>
      <c r="M105" s="3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</row>
    <row r="106" spans="1:32" ht="15.75" customHeight="1">
      <c r="A106" s="2"/>
      <c r="B106" s="2"/>
      <c r="C106" s="2"/>
      <c r="D106" s="2"/>
      <c r="E106" s="2"/>
      <c r="F106" s="3"/>
      <c r="G106" s="2"/>
      <c r="H106" s="2"/>
      <c r="I106" s="2"/>
      <c r="J106" s="3"/>
      <c r="K106" s="2"/>
      <c r="L106" s="2"/>
      <c r="M106" s="3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</row>
    <row r="107" spans="1:32" ht="15.75" customHeight="1">
      <c r="A107" s="2"/>
      <c r="B107" s="2"/>
      <c r="C107" s="2"/>
      <c r="D107" s="2"/>
      <c r="E107" s="2"/>
      <c r="F107" s="3"/>
      <c r="G107" s="2"/>
      <c r="H107" s="2"/>
      <c r="I107" s="2"/>
      <c r="J107" s="3"/>
      <c r="K107" s="2"/>
      <c r="L107" s="2"/>
      <c r="M107" s="3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</row>
    <row r="108" spans="1:32" ht="15.75" customHeight="1">
      <c r="A108" s="2"/>
      <c r="B108" s="2"/>
      <c r="C108" s="2"/>
      <c r="D108" s="2"/>
      <c r="E108" s="2"/>
      <c r="F108" s="3"/>
      <c r="G108" s="2"/>
      <c r="H108" s="2"/>
      <c r="I108" s="2"/>
      <c r="J108" s="3"/>
      <c r="K108" s="2"/>
      <c r="L108" s="2"/>
      <c r="M108" s="3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</row>
    <row r="109" spans="1:32" ht="15.75" customHeight="1">
      <c r="A109" s="2"/>
      <c r="B109" s="2"/>
      <c r="C109" s="2"/>
      <c r="D109" s="2"/>
      <c r="E109" s="2"/>
      <c r="F109" s="3"/>
      <c r="G109" s="2"/>
      <c r="H109" s="2"/>
      <c r="I109" s="2"/>
      <c r="J109" s="3"/>
      <c r="K109" s="2"/>
      <c r="L109" s="2"/>
      <c r="M109" s="3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</row>
    <row r="110" spans="1:32" ht="15.75" customHeight="1">
      <c r="A110" s="2"/>
      <c r="B110" s="2"/>
      <c r="C110" s="2"/>
      <c r="D110" s="2"/>
      <c r="E110" s="2"/>
      <c r="F110" s="3"/>
      <c r="G110" s="2"/>
      <c r="H110" s="2"/>
      <c r="I110" s="2"/>
      <c r="J110" s="3"/>
      <c r="K110" s="2"/>
      <c r="L110" s="2"/>
      <c r="M110" s="3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</row>
    <row r="111" spans="1:32" ht="15.75" customHeight="1">
      <c r="A111" s="2"/>
      <c r="B111" s="2"/>
      <c r="C111" s="2"/>
      <c r="D111" s="2"/>
      <c r="E111" s="2"/>
      <c r="F111" s="3"/>
      <c r="G111" s="2"/>
      <c r="H111" s="2"/>
      <c r="I111" s="2"/>
      <c r="J111" s="3"/>
      <c r="K111" s="2"/>
      <c r="L111" s="2"/>
      <c r="M111" s="3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</row>
    <row r="112" spans="1:32" ht="15.75" customHeight="1">
      <c r="A112" s="2"/>
      <c r="B112" s="2"/>
      <c r="C112" s="2"/>
      <c r="D112" s="2"/>
      <c r="E112" s="2"/>
      <c r="F112" s="3"/>
      <c r="G112" s="2"/>
      <c r="H112" s="2"/>
      <c r="I112" s="2"/>
      <c r="J112" s="3"/>
      <c r="K112" s="2"/>
      <c r="L112" s="2"/>
      <c r="M112" s="3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</row>
    <row r="113" spans="1:32" ht="15.75" customHeight="1">
      <c r="A113" s="2"/>
      <c r="B113" s="2"/>
      <c r="C113" s="2"/>
      <c r="D113" s="2"/>
      <c r="E113" s="2"/>
      <c r="F113" s="3"/>
      <c r="G113" s="2"/>
      <c r="H113" s="2"/>
      <c r="I113" s="2"/>
      <c r="J113" s="3"/>
      <c r="K113" s="2"/>
      <c r="L113" s="2"/>
      <c r="M113" s="3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</row>
    <row r="114" spans="1:32" ht="15.75" customHeight="1">
      <c r="A114" s="2"/>
      <c r="B114" s="2"/>
      <c r="C114" s="2"/>
      <c r="D114" s="2"/>
      <c r="E114" s="2"/>
      <c r="F114" s="3"/>
      <c r="G114" s="2"/>
      <c r="H114" s="2"/>
      <c r="I114" s="2"/>
      <c r="J114" s="3"/>
      <c r="K114" s="2"/>
      <c r="L114" s="2"/>
      <c r="M114" s="3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</row>
    <row r="115" spans="1:32" ht="15.75" customHeight="1">
      <c r="A115" s="2"/>
      <c r="B115" s="2"/>
      <c r="C115" s="2"/>
      <c r="D115" s="2"/>
      <c r="E115" s="2"/>
      <c r="F115" s="3"/>
      <c r="G115" s="2"/>
      <c r="H115" s="2"/>
      <c r="I115" s="2"/>
      <c r="J115" s="3"/>
      <c r="K115" s="2"/>
      <c r="L115" s="2"/>
      <c r="M115" s="3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</row>
    <row r="116" spans="1:32" ht="15.75" customHeight="1">
      <c r="A116" s="2"/>
      <c r="B116" s="2"/>
      <c r="C116" s="2"/>
      <c r="D116" s="2"/>
      <c r="E116" s="2"/>
      <c r="F116" s="3"/>
      <c r="G116" s="2"/>
      <c r="H116" s="2"/>
      <c r="I116" s="2"/>
      <c r="J116" s="3"/>
      <c r="K116" s="2"/>
      <c r="L116" s="2"/>
      <c r="M116" s="3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</row>
    <row r="117" spans="1:32" ht="15.75" customHeight="1">
      <c r="A117" s="2"/>
      <c r="B117" s="2"/>
      <c r="C117" s="2"/>
      <c r="D117" s="2"/>
      <c r="E117" s="2"/>
      <c r="F117" s="3"/>
      <c r="G117" s="2"/>
      <c r="H117" s="2"/>
      <c r="I117" s="2"/>
      <c r="J117" s="3"/>
      <c r="K117" s="2"/>
      <c r="L117" s="2"/>
      <c r="M117" s="3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</row>
    <row r="118" spans="1:32" ht="15.75" customHeight="1">
      <c r="A118" s="2"/>
      <c r="B118" s="2"/>
      <c r="C118" s="2"/>
      <c r="D118" s="2"/>
      <c r="E118" s="2"/>
      <c r="F118" s="3"/>
      <c r="G118" s="2"/>
      <c r="H118" s="2"/>
      <c r="I118" s="2"/>
      <c r="J118" s="3"/>
      <c r="K118" s="2"/>
      <c r="L118" s="2"/>
      <c r="M118" s="3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</row>
    <row r="119" spans="1:32" ht="15.75" customHeight="1">
      <c r="A119" s="2"/>
      <c r="B119" s="2"/>
      <c r="C119" s="2"/>
      <c r="D119" s="2"/>
      <c r="E119" s="2"/>
      <c r="F119" s="3"/>
      <c r="G119" s="2"/>
      <c r="H119" s="2"/>
      <c r="I119" s="2"/>
      <c r="J119" s="3"/>
      <c r="K119" s="2"/>
      <c r="L119" s="2"/>
      <c r="M119" s="3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</row>
    <row r="120" spans="1:32" ht="15.75" customHeight="1">
      <c r="A120" s="2"/>
      <c r="B120" s="2"/>
      <c r="C120" s="2"/>
      <c r="D120" s="2"/>
      <c r="E120" s="2"/>
      <c r="F120" s="3"/>
      <c r="G120" s="2"/>
      <c r="H120" s="2"/>
      <c r="I120" s="2"/>
      <c r="J120" s="3"/>
      <c r="K120" s="2"/>
      <c r="L120" s="2"/>
      <c r="M120" s="3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</row>
    <row r="121" spans="1:32" ht="15.75" customHeight="1">
      <c r="A121" s="2"/>
      <c r="B121" s="2"/>
      <c r="C121" s="2"/>
      <c r="D121" s="2"/>
      <c r="E121" s="2"/>
      <c r="F121" s="3"/>
      <c r="G121" s="2"/>
      <c r="H121" s="2"/>
      <c r="I121" s="2"/>
      <c r="J121" s="3"/>
      <c r="K121" s="2"/>
      <c r="L121" s="2"/>
      <c r="M121" s="3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</row>
    <row r="122" spans="1:32" ht="15.75" customHeight="1">
      <c r="A122" s="2"/>
      <c r="B122" s="2"/>
      <c r="C122" s="2"/>
      <c r="D122" s="2"/>
      <c r="E122" s="2"/>
      <c r="F122" s="3"/>
      <c r="G122" s="2"/>
      <c r="H122" s="2"/>
      <c r="I122" s="2"/>
      <c r="J122" s="3"/>
      <c r="K122" s="2"/>
      <c r="L122" s="2"/>
      <c r="M122" s="3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</row>
    <row r="123" spans="1:32" ht="15.75" customHeight="1">
      <c r="A123" s="2"/>
      <c r="B123" s="2"/>
      <c r="C123" s="2"/>
      <c r="D123" s="2"/>
      <c r="E123" s="2"/>
      <c r="F123" s="3"/>
      <c r="G123" s="2"/>
      <c r="H123" s="2"/>
      <c r="I123" s="2"/>
      <c r="J123" s="3"/>
      <c r="K123" s="2"/>
      <c r="L123" s="2"/>
      <c r="M123" s="3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</row>
    <row r="124" spans="1:32" ht="15.75" customHeight="1">
      <c r="A124" s="2"/>
      <c r="B124" s="2"/>
      <c r="C124" s="2"/>
      <c r="D124" s="2"/>
      <c r="E124" s="2"/>
      <c r="F124" s="3"/>
      <c r="G124" s="2"/>
      <c r="H124" s="2"/>
      <c r="I124" s="2"/>
      <c r="J124" s="3"/>
      <c r="K124" s="2"/>
      <c r="L124" s="2"/>
      <c r="M124" s="3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</row>
    <row r="125" spans="1:32" ht="15.75" customHeight="1">
      <c r="A125" s="2"/>
      <c r="B125" s="2"/>
      <c r="C125" s="2"/>
      <c r="D125" s="2"/>
      <c r="E125" s="2"/>
      <c r="F125" s="3"/>
      <c r="G125" s="2"/>
      <c r="H125" s="2"/>
      <c r="I125" s="2"/>
      <c r="J125" s="3"/>
      <c r="K125" s="2"/>
      <c r="L125" s="2"/>
      <c r="M125" s="3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 spans="1:32" ht="15.75" customHeight="1">
      <c r="A126" s="2"/>
      <c r="B126" s="2"/>
      <c r="C126" s="2"/>
      <c r="D126" s="2"/>
      <c r="E126" s="2"/>
      <c r="F126" s="3"/>
      <c r="G126" s="2"/>
      <c r="H126" s="2"/>
      <c r="I126" s="2"/>
      <c r="J126" s="3"/>
      <c r="K126" s="2"/>
      <c r="L126" s="2"/>
      <c r="M126" s="3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</row>
    <row r="127" spans="1:32" ht="15.75" customHeight="1">
      <c r="A127" s="2"/>
      <c r="B127" s="2"/>
      <c r="C127" s="2"/>
      <c r="D127" s="2"/>
      <c r="E127" s="2"/>
      <c r="F127" s="3"/>
      <c r="G127" s="2"/>
      <c r="H127" s="2"/>
      <c r="I127" s="2"/>
      <c r="J127" s="3"/>
      <c r="K127" s="2"/>
      <c r="L127" s="2"/>
      <c r="M127" s="3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</row>
    <row r="128" spans="1:32" ht="13">
      <c r="A128" s="2"/>
      <c r="B128" s="2"/>
      <c r="C128" s="2"/>
      <c r="D128" s="2"/>
      <c r="E128" s="2"/>
      <c r="F128" s="3"/>
      <c r="G128" s="2"/>
      <c r="H128" s="2"/>
      <c r="I128" s="2"/>
      <c r="J128" s="3"/>
      <c r="K128" s="2"/>
      <c r="L128" s="2"/>
      <c r="M128" s="3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</row>
    <row r="129" spans="1:32" ht="13">
      <c r="A129" s="2"/>
      <c r="B129" s="2"/>
      <c r="C129" s="2"/>
      <c r="D129" s="2"/>
      <c r="E129" s="2"/>
      <c r="F129" s="3"/>
      <c r="G129" s="2"/>
      <c r="H129" s="2"/>
      <c r="I129" s="2"/>
      <c r="J129" s="3"/>
      <c r="K129" s="2"/>
      <c r="L129" s="2"/>
      <c r="M129" s="3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</row>
    <row r="130" spans="1:32" ht="13">
      <c r="A130" s="2"/>
      <c r="B130" s="2"/>
      <c r="C130" s="2"/>
      <c r="D130" s="2"/>
      <c r="E130" s="2"/>
      <c r="F130" s="3"/>
      <c r="G130" s="2"/>
      <c r="H130" s="2"/>
      <c r="I130" s="2"/>
      <c r="J130" s="3"/>
      <c r="K130" s="2"/>
      <c r="L130" s="2"/>
      <c r="M130" s="3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</row>
    <row r="131" spans="1:32" ht="13">
      <c r="A131" s="2"/>
      <c r="B131" s="2"/>
      <c r="C131" s="2"/>
      <c r="D131" s="2"/>
      <c r="E131" s="2"/>
      <c r="F131" s="3"/>
      <c r="G131" s="2"/>
      <c r="H131" s="2"/>
      <c r="I131" s="2"/>
      <c r="J131" s="3"/>
      <c r="K131" s="2"/>
      <c r="L131" s="2"/>
      <c r="M131" s="3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</row>
    <row r="132" spans="1:32" ht="13">
      <c r="A132" s="2"/>
      <c r="B132" s="2"/>
      <c r="C132" s="2"/>
      <c r="D132" s="2"/>
      <c r="E132" s="2"/>
      <c r="F132" s="3"/>
      <c r="G132" s="2"/>
      <c r="H132" s="2"/>
      <c r="I132" s="2"/>
      <c r="J132" s="3"/>
      <c r="K132" s="2"/>
      <c r="L132" s="2"/>
      <c r="M132" s="3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</row>
    <row r="133" spans="1:32" ht="13">
      <c r="A133" s="2"/>
      <c r="B133" s="2"/>
      <c r="C133" s="2"/>
      <c r="D133" s="2"/>
      <c r="E133" s="2"/>
      <c r="F133" s="3"/>
      <c r="G133" s="2"/>
      <c r="H133" s="2"/>
      <c r="I133" s="2"/>
      <c r="J133" s="3"/>
      <c r="K133" s="2"/>
      <c r="L133" s="2"/>
      <c r="M133" s="3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</row>
    <row r="134" spans="1:32" ht="13">
      <c r="A134" s="2"/>
      <c r="B134" s="2"/>
      <c r="C134" s="2"/>
      <c r="D134" s="2"/>
      <c r="E134" s="2"/>
      <c r="F134" s="3"/>
      <c r="G134" s="2"/>
      <c r="H134" s="2"/>
      <c r="I134" s="2"/>
      <c r="J134" s="3"/>
      <c r="K134" s="2"/>
      <c r="L134" s="2"/>
      <c r="M134" s="3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</row>
    <row r="135" spans="1:32" ht="13">
      <c r="A135" s="2"/>
      <c r="B135" s="2"/>
      <c r="C135" s="2"/>
      <c r="D135" s="2"/>
      <c r="E135" s="2"/>
      <c r="F135" s="3"/>
      <c r="G135" s="2"/>
      <c r="H135" s="2"/>
      <c r="I135" s="2"/>
      <c r="J135" s="3"/>
      <c r="K135" s="2"/>
      <c r="L135" s="2"/>
      <c r="M135" s="3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</row>
    <row r="136" spans="1:32" ht="13">
      <c r="A136" s="2"/>
      <c r="B136" s="2"/>
      <c r="C136" s="2"/>
      <c r="D136" s="2"/>
      <c r="E136" s="2"/>
      <c r="F136" s="3"/>
      <c r="G136" s="2"/>
      <c r="H136" s="2"/>
      <c r="I136" s="2"/>
      <c r="J136" s="3"/>
      <c r="K136" s="2"/>
      <c r="L136" s="2"/>
      <c r="M136" s="3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</row>
    <row r="137" spans="1:32" ht="13">
      <c r="A137" s="2"/>
      <c r="B137" s="2"/>
      <c r="C137" s="2"/>
      <c r="D137" s="2"/>
      <c r="E137" s="2"/>
      <c r="F137" s="3"/>
      <c r="G137" s="2"/>
      <c r="H137" s="2"/>
      <c r="I137" s="2"/>
      <c r="J137" s="3"/>
      <c r="K137" s="2"/>
      <c r="L137" s="2"/>
      <c r="M137" s="3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</row>
    <row r="138" spans="1:32" ht="13">
      <c r="A138" s="2"/>
      <c r="B138" s="2"/>
      <c r="C138" s="2"/>
      <c r="D138" s="2"/>
      <c r="E138" s="2"/>
      <c r="F138" s="3"/>
      <c r="G138" s="2"/>
      <c r="H138" s="2"/>
      <c r="I138" s="2"/>
      <c r="J138" s="3"/>
      <c r="K138" s="2"/>
      <c r="L138" s="2"/>
      <c r="M138" s="3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</row>
    <row r="139" spans="1:32" ht="13">
      <c r="A139" s="2"/>
      <c r="B139" s="2"/>
      <c r="C139" s="2"/>
      <c r="D139" s="2"/>
      <c r="E139" s="2"/>
      <c r="F139" s="3"/>
      <c r="G139" s="2"/>
      <c r="H139" s="2"/>
      <c r="I139" s="2"/>
      <c r="J139" s="3"/>
      <c r="K139" s="2"/>
      <c r="L139" s="2"/>
      <c r="M139" s="3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</row>
    <row r="140" spans="1:32" ht="13">
      <c r="A140" s="2"/>
      <c r="B140" s="2"/>
      <c r="C140" s="2"/>
      <c r="D140" s="2"/>
      <c r="E140" s="2"/>
      <c r="F140" s="3"/>
      <c r="G140" s="2"/>
      <c r="H140" s="2"/>
      <c r="I140" s="2"/>
      <c r="J140" s="3"/>
      <c r="K140" s="2"/>
      <c r="L140" s="2"/>
      <c r="M140" s="3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</row>
    <row r="141" spans="1:32" ht="13">
      <c r="A141" s="2"/>
      <c r="B141" s="2"/>
      <c r="C141" s="2"/>
      <c r="D141" s="2"/>
      <c r="E141" s="2"/>
      <c r="F141" s="3"/>
      <c r="G141" s="2"/>
      <c r="H141" s="2"/>
      <c r="I141" s="2"/>
      <c r="J141" s="3"/>
      <c r="K141" s="2"/>
      <c r="L141" s="2"/>
      <c r="M141" s="3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</row>
    <row r="142" spans="1:32" ht="13">
      <c r="A142" s="2"/>
      <c r="B142" s="2"/>
      <c r="C142" s="2"/>
      <c r="D142" s="2"/>
      <c r="E142" s="2"/>
      <c r="F142" s="3"/>
      <c r="G142" s="2"/>
      <c r="H142" s="2"/>
      <c r="I142" s="2"/>
      <c r="J142" s="3"/>
      <c r="K142" s="2"/>
      <c r="L142" s="2"/>
      <c r="M142" s="3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</row>
    <row r="143" spans="1:32" ht="13">
      <c r="A143" s="2"/>
      <c r="B143" s="2"/>
      <c r="C143" s="2"/>
      <c r="D143" s="2"/>
      <c r="E143" s="2"/>
      <c r="F143" s="3"/>
      <c r="G143" s="2"/>
      <c r="H143" s="2"/>
      <c r="I143" s="2"/>
      <c r="J143" s="3"/>
      <c r="K143" s="2"/>
      <c r="L143" s="2"/>
      <c r="M143" s="3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</row>
    <row r="144" spans="1:32" ht="13">
      <c r="A144" s="2"/>
      <c r="B144" s="2"/>
      <c r="C144" s="2"/>
      <c r="D144" s="2"/>
      <c r="E144" s="2"/>
      <c r="F144" s="3"/>
      <c r="G144" s="2"/>
      <c r="H144" s="2"/>
      <c r="I144" s="2"/>
      <c r="J144" s="3"/>
      <c r="K144" s="2"/>
      <c r="L144" s="2"/>
      <c r="M144" s="3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</row>
    <row r="145" spans="1:32" ht="13">
      <c r="A145" s="2"/>
      <c r="B145" s="2"/>
      <c r="C145" s="2"/>
      <c r="D145" s="2"/>
      <c r="E145" s="2"/>
      <c r="F145" s="3"/>
      <c r="G145" s="2"/>
      <c r="H145" s="2"/>
      <c r="I145" s="2"/>
      <c r="J145" s="3"/>
      <c r="K145" s="2"/>
      <c r="L145" s="2"/>
      <c r="M145" s="3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</row>
    <row r="146" spans="1:32" ht="13">
      <c r="A146" s="2"/>
      <c r="B146" s="2"/>
      <c r="C146" s="2"/>
      <c r="D146" s="2"/>
      <c r="E146" s="2"/>
      <c r="F146" s="3"/>
      <c r="G146" s="2"/>
      <c r="H146" s="2"/>
      <c r="I146" s="2"/>
      <c r="J146" s="3"/>
      <c r="K146" s="2"/>
      <c r="L146" s="2"/>
      <c r="M146" s="3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</row>
    <row r="147" spans="1:32" ht="13">
      <c r="A147" s="2"/>
      <c r="B147" s="2"/>
      <c r="C147" s="2"/>
      <c r="D147" s="2"/>
      <c r="E147" s="2"/>
      <c r="F147" s="3"/>
      <c r="G147" s="2"/>
      <c r="H147" s="2"/>
      <c r="I147" s="2"/>
      <c r="J147" s="3"/>
      <c r="K147" s="2"/>
      <c r="L147" s="2"/>
      <c r="M147" s="3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</row>
    <row r="148" spans="1:32" ht="13">
      <c r="A148" s="2"/>
      <c r="B148" s="2"/>
      <c r="C148" s="2"/>
      <c r="D148" s="2"/>
      <c r="E148" s="2"/>
      <c r="F148" s="3"/>
      <c r="G148" s="2"/>
      <c r="H148" s="2"/>
      <c r="I148" s="2"/>
      <c r="J148" s="3"/>
      <c r="K148" s="2"/>
      <c r="L148" s="2"/>
      <c r="M148" s="3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</row>
    <row r="149" spans="1:32" ht="13">
      <c r="A149" s="2"/>
      <c r="B149" s="2"/>
      <c r="C149" s="2"/>
      <c r="D149" s="2"/>
      <c r="E149" s="2"/>
      <c r="F149" s="3"/>
      <c r="G149" s="2"/>
      <c r="H149" s="2"/>
      <c r="I149" s="2"/>
      <c r="J149" s="3"/>
      <c r="K149" s="2"/>
      <c r="L149" s="2"/>
      <c r="M149" s="3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</row>
    <row r="150" spans="1:32" ht="13">
      <c r="A150" s="2"/>
      <c r="B150" s="2"/>
      <c r="C150" s="2"/>
      <c r="D150" s="2"/>
      <c r="E150" s="2"/>
      <c r="F150" s="3"/>
      <c r="G150" s="2"/>
      <c r="H150" s="2"/>
      <c r="I150" s="2"/>
      <c r="J150" s="3"/>
      <c r="K150" s="2"/>
      <c r="L150" s="2"/>
      <c r="M150" s="3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</row>
    <row r="151" spans="1:32" ht="13">
      <c r="A151" s="2"/>
      <c r="B151" s="2"/>
      <c r="C151" s="2"/>
      <c r="D151" s="2"/>
      <c r="E151" s="2"/>
      <c r="F151" s="3"/>
      <c r="G151" s="2"/>
      <c r="H151" s="2"/>
      <c r="I151" s="2"/>
      <c r="J151" s="3"/>
      <c r="K151" s="2"/>
      <c r="L151" s="2"/>
      <c r="M151" s="3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</row>
    <row r="152" spans="1:32" ht="13">
      <c r="A152" s="2"/>
      <c r="B152" s="2"/>
      <c r="C152" s="2"/>
      <c r="D152" s="2"/>
      <c r="E152" s="2"/>
      <c r="F152" s="3"/>
      <c r="G152" s="2"/>
      <c r="H152" s="2"/>
      <c r="I152" s="2"/>
      <c r="J152" s="3"/>
      <c r="K152" s="2"/>
      <c r="L152" s="2"/>
      <c r="M152" s="3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</row>
    <row r="153" spans="1:32" ht="13">
      <c r="A153" s="2"/>
      <c r="B153" s="2"/>
      <c r="C153" s="2"/>
      <c r="D153" s="2"/>
      <c r="E153" s="2"/>
      <c r="F153" s="3"/>
      <c r="G153" s="2"/>
      <c r="H153" s="2"/>
      <c r="I153" s="2"/>
      <c r="J153" s="3"/>
      <c r="K153" s="2"/>
      <c r="L153" s="2"/>
      <c r="M153" s="3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</row>
    <row r="154" spans="1:32" ht="13">
      <c r="A154" s="2"/>
      <c r="B154" s="2"/>
      <c r="C154" s="2"/>
      <c r="D154" s="2"/>
      <c r="E154" s="2"/>
      <c r="F154" s="3"/>
      <c r="G154" s="2"/>
      <c r="H154" s="2"/>
      <c r="I154" s="2"/>
      <c r="J154" s="3"/>
      <c r="K154" s="2"/>
      <c r="L154" s="2"/>
      <c r="M154" s="3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</row>
    <row r="155" spans="1:32" ht="13">
      <c r="A155" s="2"/>
      <c r="B155" s="2"/>
      <c r="C155" s="2"/>
      <c r="D155" s="2"/>
      <c r="E155" s="2"/>
      <c r="F155" s="3"/>
      <c r="G155" s="2"/>
      <c r="H155" s="2"/>
      <c r="I155" s="2"/>
      <c r="J155" s="3"/>
      <c r="K155" s="2"/>
      <c r="L155" s="2"/>
      <c r="M155" s="3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</row>
    <row r="156" spans="1:32" ht="13">
      <c r="A156" s="2"/>
      <c r="B156" s="2"/>
      <c r="C156" s="2"/>
      <c r="D156" s="2"/>
      <c r="E156" s="2"/>
      <c r="F156" s="3"/>
      <c r="G156" s="2"/>
      <c r="H156" s="2"/>
      <c r="I156" s="2"/>
      <c r="J156" s="3"/>
      <c r="K156" s="2"/>
      <c r="L156" s="2"/>
      <c r="M156" s="3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</row>
    <row r="157" spans="1:32" ht="13">
      <c r="A157" s="2"/>
      <c r="B157" s="2"/>
      <c r="C157" s="2"/>
      <c r="D157" s="2"/>
      <c r="E157" s="2"/>
      <c r="F157" s="3"/>
      <c r="G157" s="2"/>
      <c r="H157" s="2"/>
      <c r="I157" s="2"/>
      <c r="J157" s="3"/>
      <c r="K157" s="2"/>
      <c r="L157" s="2"/>
      <c r="M157" s="3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</row>
    <row r="158" spans="1:32" ht="13">
      <c r="A158" s="2"/>
      <c r="B158" s="2"/>
      <c r="C158" s="2"/>
      <c r="D158" s="2"/>
      <c r="E158" s="2"/>
      <c r="F158" s="3"/>
      <c r="G158" s="2"/>
      <c r="H158" s="2"/>
      <c r="I158" s="2"/>
      <c r="J158" s="3"/>
      <c r="K158" s="2"/>
      <c r="L158" s="2"/>
      <c r="M158" s="3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</row>
    <row r="159" spans="1:32" ht="13">
      <c r="A159" s="2"/>
      <c r="B159" s="2"/>
      <c r="C159" s="2"/>
      <c r="D159" s="2"/>
      <c r="E159" s="2"/>
      <c r="F159" s="3"/>
      <c r="G159" s="2"/>
      <c r="H159" s="2"/>
      <c r="I159" s="2"/>
      <c r="J159" s="3"/>
      <c r="K159" s="2"/>
      <c r="L159" s="2"/>
      <c r="M159" s="3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</row>
    <row r="160" spans="1:32" ht="13">
      <c r="A160" s="2"/>
      <c r="B160" s="2"/>
      <c r="C160" s="2"/>
      <c r="D160" s="2"/>
      <c r="E160" s="2"/>
      <c r="F160" s="3"/>
      <c r="G160" s="2"/>
      <c r="H160" s="2"/>
      <c r="I160" s="2"/>
      <c r="J160" s="3"/>
      <c r="K160" s="2"/>
      <c r="L160" s="2"/>
      <c r="M160" s="3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</row>
    <row r="161" spans="1:32" ht="13">
      <c r="A161" s="2"/>
      <c r="B161" s="2"/>
      <c r="C161" s="2"/>
      <c r="D161" s="2"/>
      <c r="E161" s="2"/>
      <c r="F161" s="3"/>
      <c r="G161" s="2"/>
      <c r="H161" s="2"/>
      <c r="I161" s="2"/>
      <c r="J161" s="3"/>
      <c r="K161" s="2"/>
      <c r="L161" s="2"/>
      <c r="M161" s="3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</row>
    <row r="162" spans="1:32" ht="13">
      <c r="A162" s="2"/>
      <c r="B162" s="2"/>
      <c r="C162" s="2"/>
      <c r="D162" s="2"/>
      <c r="E162" s="2"/>
      <c r="F162" s="3"/>
      <c r="G162" s="2"/>
      <c r="H162" s="2"/>
      <c r="I162" s="2"/>
      <c r="J162" s="3"/>
      <c r="K162" s="2"/>
      <c r="L162" s="2"/>
      <c r="M162" s="3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</row>
    <row r="163" spans="1:32" ht="13">
      <c r="A163" s="2"/>
      <c r="B163" s="2"/>
      <c r="C163" s="2"/>
      <c r="D163" s="2"/>
      <c r="E163" s="2"/>
      <c r="F163" s="3"/>
      <c r="G163" s="2"/>
      <c r="H163" s="2"/>
      <c r="I163" s="2"/>
      <c r="J163" s="3"/>
      <c r="K163" s="2"/>
      <c r="L163" s="2"/>
      <c r="M163" s="3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</row>
    <row r="164" spans="1:32" ht="13">
      <c r="A164" s="2"/>
      <c r="B164" s="2"/>
      <c r="C164" s="2"/>
      <c r="D164" s="2"/>
      <c r="E164" s="2"/>
      <c r="F164" s="3"/>
      <c r="G164" s="2"/>
      <c r="H164" s="2"/>
      <c r="I164" s="2"/>
      <c r="J164" s="3"/>
      <c r="K164" s="2"/>
      <c r="L164" s="2"/>
      <c r="M164" s="3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</row>
    <row r="165" spans="1:32" ht="13">
      <c r="A165" s="2"/>
      <c r="B165" s="2"/>
      <c r="C165" s="2"/>
      <c r="D165" s="2"/>
      <c r="E165" s="2"/>
      <c r="F165" s="3"/>
      <c r="G165" s="2"/>
      <c r="H165" s="2"/>
      <c r="I165" s="2"/>
      <c r="J165" s="3"/>
      <c r="K165" s="2"/>
      <c r="L165" s="2"/>
      <c r="M165" s="3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</row>
    <row r="166" spans="1:32" ht="13">
      <c r="A166" s="2"/>
      <c r="B166" s="2"/>
      <c r="C166" s="2"/>
      <c r="D166" s="2"/>
      <c r="E166" s="2"/>
      <c r="F166" s="3"/>
      <c r="G166" s="2"/>
      <c r="H166" s="2"/>
      <c r="I166" s="2"/>
      <c r="J166" s="3"/>
      <c r="K166" s="2"/>
      <c r="L166" s="2"/>
      <c r="M166" s="3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</row>
    <row r="167" spans="1:32" ht="13">
      <c r="A167" s="2"/>
      <c r="B167" s="2"/>
      <c r="C167" s="2"/>
      <c r="D167" s="2"/>
      <c r="E167" s="2"/>
      <c r="F167" s="3"/>
      <c r="G167" s="2"/>
      <c r="H167" s="2"/>
      <c r="I167" s="2"/>
      <c r="J167" s="3"/>
      <c r="K167" s="2"/>
      <c r="L167" s="2"/>
      <c r="M167" s="3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</row>
    <row r="168" spans="1:32" ht="13">
      <c r="A168" s="2"/>
      <c r="B168" s="2"/>
      <c r="C168" s="2"/>
      <c r="D168" s="2"/>
      <c r="E168" s="2"/>
      <c r="F168" s="3"/>
      <c r="G168" s="2"/>
      <c r="H168" s="2"/>
      <c r="I168" s="2"/>
      <c r="J168" s="3"/>
      <c r="K168" s="2"/>
      <c r="L168" s="2"/>
      <c r="M168" s="3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</row>
    <row r="169" spans="1:32" ht="13">
      <c r="A169" s="2"/>
      <c r="B169" s="2"/>
      <c r="C169" s="2"/>
      <c r="D169" s="2"/>
      <c r="E169" s="2"/>
      <c r="F169" s="3"/>
      <c r="G169" s="2"/>
      <c r="H169" s="2"/>
      <c r="I169" s="2"/>
      <c r="J169" s="3"/>
      <c r="K169" s="2"/>
      <c r="L169" s="2"/>
      <c r="M169" s="3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</row>
    <row r="170" spans="1:32" ht="13">
      <c r="A170" s="2"/>
      <c r="B170" s="2"/>
      <c r="C170" s="2"/>
      <c r="D170" s="2"/>
      <c r="E170" s="2"/>
      <c r="F170" s="3"/>
      <c r="G170" s="2"/>
      <c r="H170" s="2"/>
      <c r="I170" s="2"/>
      <c r="J170" s="3"/>
      <c r="K170" s="2"/>
      <c r="L170" s="2"/>
      <c r="M170" s="3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</row>
    <row r="171" spans="1:32" ht="13">
      <c r="A171" s="2"/>
      <c r="B171" s="2"/>
      <c r="C171" s="2"/>
      <c r="D171" s="2"/>
      <c r="E171" s="2"/>
      <c r="F171" s="3"/>
      <c r="G171" s="2"/>
      <c r="H171" s="2"/>
      <c r="I171" s="2"/>
      <c r="J171" s="3"/>
      <c r="K171" s="2"/>
      <c r="L171" s="2"/>
      <c r="M171" s="3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</row>
    <row r="172" spans="1:32" ht="13">
      <c r="A172" s="2"/>
      <c r="B172" s="2"/>
      <c r="C172" s="2"/>
      <c r="D172" s="2"/>
      <c r="E172" s="2"/>
      <c r="F172" s="3"/>
      <c r="G172" s="2"/>
      <c r="H172" s="2"/>
      <c r="I172" s="2"/>
      <c r="J172" s="3"/>
      <c r="K172" s="2"/>
      <c r="L172" s="2"/>
      <c r="M172" s="3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</row>
    <row r="173" spans="1:32" ht="13">
      <c r="A173" s="2"/>
      <c r="B173" s="2"/>
      <c r="C173" s="2"/>
      <c r="D173" s="2"/>
      <c r="E173" s="2"/>
      <c r="F173" s="3"/>
      <c r="G173" s="2"/>
      <c r="H173" s="2"/>
      <c r="I173" s="2"/>
      <c r="J173" s="3"/>
      <c r="K173" s="2"/>
      <c r="L173" s="2"/>
      <c r="M173" s="3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</row>
    <row r="174" spans="1:32" ht="13">
      <c r="A174" s="2"/>
      <c r="B174" s="2"/>
      <c r="C174" s="2"/>
      <c r="D174" s="2"/>
      <c r="E174" s="2"/>
      <c r="F174" s="3"/>
      <c r="G174" s="2"/>
      <c r="H174" s="2"/>
      <c r="I174" s="2"/>
      <c r="J174" s="3"/>
      <c r="K174" s="2"/>
      <c r="L174" s="2"/>
      <c r="M174" s="3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</row>
    <row r="175" spans="1:32" ht="13">
      <c r="A175" s="2"/>
      <c r="B175" s="2"/>
      <c r="C175" s="2"/>
      <c r="D175" s="2"/>
      <c r="E175" s="2"/>
      <c r="F175" s="3"/>
      <c r="G175" s="2"/>
      <c r="H175" s="2"/>
      <c r="I175" s="2"/>
      <c r="J175" s="3"/>
      <c r="K175" s="2"/>
      <c r="L175" s="2"/>
      <c r="M175" s="3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</row>
    <row r="176" spans="1:32" ht="13">
      <c r="A176" s="2"/>
      <c r="B176" s="2"/>
      <c r="C176" s="2"/>
      <c r="D176" s="2"/>
      <c r="E176" s="2"/>
      <c r="F176" s="3"/>
      <c r="G176" s="2"/>
      <c r="H176" s="2"/>
      <c r="I176" s="2"/>
      <c r="J176" s="3"/>
      <c r="K176" s="2"/>
      <c r="L176" s="2"/>
      <c r="M176" s="3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</row>
    <row r="177" spans="1:32" ht="13">
      <c r="A177" s="2"/>
      <c r="B177" s="2"/>
      <c r="C177" s="2"/>
      <c r="D177" s="2"/>
      <c r="E177" s="2"/>
      <c r="F177" s="3"/>
      <c r="G177" s="2"/>
      <c r="H177" s="2"/>
      <c r="I177" s="2"/>
      <c r="J177" s="3"/>
      <c r="K177" s="2"/>
      <c r="L177" s="2"/>
      <c r="M177" s="3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</row>
    <row r="178" spans="1:32" ht="13">
      <c r="A178" s="2"/>
      <c r="B178" s="2"/>
      <c r="C178" s="2"/>
      <c r="D178" s="2"/>
      <c r="E178" s="2"/>
      <c r="F178" s="3"/>
      <c r="G178" s="2"/>
      <c r="H178" s="2"/>
      <c r="I178" s="2"/>
      <c r="J178" s="3"/>
      <c r="K178" s="2"/>
      <c r="L178" s="2"/>
      <c r="M178" s="3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</row>
    <row r="179" spans="1:32" ht="13">
      <c r="A179" s="2"/>
      <c r="B179" s="2"/>
      <c r="C179" s="2"/>
      <c r="D179" s="2"/>
      <c r="E179" s="2"/>
      <c r="F179" s="3"/>
      <c r="G179" s="2"/>
      <c r="H179" s="2"/>
      <c r="I179" s="2"/>
      <c r="J179" s="3"/>
      <c r="K179" s="2"/>
      <c r="L179" s="2"/>
      <c r="M179" s="3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</row>
    <row r="180" spans="1:32" ht="13">
      <c r="A180" s="2"/>
      <c r="B180" s="2"/>
      <c r="C180" s="2"/>
      <c r="D180" s="2"/>
      <c r="E180" s="2"/>
      <c r="F180" s="3"/>
      <c r="G180" s="2"/>
      <c r="H180" s="2"/>
      <c r="I180" s="2"/>
      <c r="J180" s="3"/>
      <c r="K180" s="2"/>
      <c r="L180" s="2"/>
      <c r="M180" s="3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</row>
    <row r="181" spans="1:32" ht="13">
      <c r="A181" s="2"/>
      <c r="B181" s="2"/>
      <c r="C181" s="2"/>
      <c r="D181" s="2"/>
      <c r="E181" s="2"/>
      <c r="F181" s="3"/>
      <c r="G181" s="2"/>
      <c r="H181" s="2"/>
      <c r="I181" s="2"/>
      <c r="J181" s="3"/>
      <c r="K181" s="2"/>
      <c r="L181" s="2"/>
      <c r="M181" s="3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</row>
    <row r="182" spans="1:32" ht="13">
      <c r="A182" s="2"/>
      <c r="B182" s="2"/>
      <c r="C182" s="2"/>
      <c r="D182" s="2"/>
      <c r="E182" s="2"/>
      <c r="F182" s="3"/>
      <c r="G182" s="2"/>
      <c r="H182" s="2"/>
      <c r="I182" s="2"/>
      <c r="J182" s="3"/>
      <c r="K182" s="2"/>
      <c r="L182" s="2"/>
      <c r="M182" s="3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</row>
    <row r="183" spans="1:32" ht="13">
      <c r="A183" s="2"/>
      <c r="B183" s="2"/>
      <c r="C183" s="2"/>
      <c r="D183" s="2"/>
      <c r="E183" s="2"/>
      <c r="F183" s="3"/>
      <c r="G183" s="2"/>
      <c r="H183" s="2"/>
      <c r="I183" s="2"/>
      <c r="J183" s="3"/>
      <c r="K183" s="2"/>
      <c r="L183" s="2"/>
      <c r="M183" s="3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</row>
    <row r="184" spans="1:32" ht="13">
      <c r="A184" s="2"/>
      <c r="B184" s="2"/>
      <c r="C184" s="2"/>
      <c r="D184" s="2"/>
      <c r="E184" s="2"/>
      <c r="F184" s="3"/>
      <c r="G184" s="2"/>
      <c r="H184" s="2"/>
      <c r="I184" s="2"/>
      <c r="J184" s="3"/>
      <c r="K184" s="2"/>
      <c r="L184" s="2"/>
      <c r="M184" s="3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</row>
    <row r="185" spans="1:32" ht="13">
      <c r="A185" s="2"/>
      <c r="B185" s="2"/>
      <c r="C185" s="2"/>
      <c r="D185" s="2"/>
      <c r="E185" s="2"/>
      <c r="F185" s="3"/>
      <c r="G185" s="2"/>
      <c r="H185" s="2"/>
      <c r="I185" s="2"/>
      <c r="J185" s="3"/>
      <c r="K185" s="2"/>
      <c r="L185" s="2"/>
      <c r="M185" s="3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</row>
    <row r="186" spans="1:32" ht="13">
      <c r="A186" s="2"/>
      <c r="B186" s="2"/>
      <c r="C186" s="2"/>
      <c r="D186" s="2"/>
      <c r="E186" s="2"/>
      <c r="F186" s="3"/>
      <c r="G186" s="2"/>
      <c r="H186" s="2"/>
      <c r="I186" s="2"/>
      <c r="J186" s="3"/>
      <c r="K186" s="2"/>
      <c r="L186" s="2"/>
      <c r="M186" s="3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</row>
    <row r="187" spans="1:32" ht="13">
      <c r="A187" s="2"/>
      <c r="B187" s="2"/>
      <c r="C187" s="2"/>
      <c r="D187" s="2"/>
      <c r="E187" s="2"/>
      <c r="F187" s="3"/>
      <c r="G187" s="2"/>
      <c r="H187" s="2"/>
      <c r="I187" s="2"/>
      <c r="J187" s="3"/>
      <c r="K187" s="2"/>
      <c r="L187" s="2"/>
      <c r="M187" s="3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</row>
    <row r="188" spans="1:32" ht="13">
      <c r="A188" s="2"/>
      <c r="B188" s="2"/>
      <c r="C188" s="2"/>
      <c r="D188" s="2"/>
      <c r="E188" s="2"/>
      <c r="F188" s="3"/>
      <c r="G188" s="2"/>
      <c r="H188" s="2"/>
      <c r="I188" s="2"/>
      <c r="J188" s="3"/>
      <c r="K188" s="2"/>
      <c r="L188" s="2"/>
      <c r="M188" s="3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</row>
    <row r="189" spans="1:32" ht="13">
      <c r="A189" s="2"/>
      <c r="B189" s="2"/>
      <c r="C189" s="2"/>
      <c r="D189" s="2"/>
      <c r="E189" s="2"/>
      <c r="F189" s="3"/>
      <c r="G189" s="2"/>
      <c r="H189" s="2"/>
      <c r="I189" s="2"/>
      <c r="J189" s="3"/>
      <c r="K189" s="2"/>
      <c r="L189" s="2"/>
      <c r="M189" s="3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</row>
    <row r="190" spans="1:32" ht="13">
      <c r="A190" s="2"/>
      <c r="B190" s="2"/>
      <c r="C190" s="2"/>
      <c r="D190" s="2"/>
      <c r="E190" s="2"/>
      <c r="F190" s="3"/>
      <c r="G190" s="2"/>
      <c r="H190" s="2"/>
      <c r="I190" s="2"/>
      <c r="J190" s="3"/>
      <c r="K190" s="2"/>
      <c r="L190" s="2"/>
      <c r="M190" s="3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</row>
    <row r="191" spans="1:32" ht="13">
      <c r="A191" s="2"/>
      <c r="B191" s="2"/>
      <c r="C191" s="2"/>
      <c r="D191" s="2"/>
      <c r="E191" s="2"/>
      <c r="F191" s="3"/>
      <c r="G191" s="2"/>
      <c r="H191" s="2"/>
      <c r="I191" s="2"/>
      <c r="J191" s="3"/>
      <c r="K191" s="2"/>
      <c r="L191" s="2"/>
      <c r="M191" s="3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</row>
    <row r="192" spans="1:32" ht="13">
      <c r="A192" s="2"/>
      <c r="B192" s="2"/>
      <c r="C192" s="2"/>
      <c r="D192" s="2"/>
      <c r="E192" s="2"/>
      <c r="F192" s="3"/>
      <c r="G192" s="2"/>
      <c r="H192" s="2"/>
      <c r="I192" s="2"/>
      <c r="J192" s="3"/>
      <c r="K192" s="2"/>
      <c r="L192" s="2"/>
      <c r="M192" s="3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</row>
    <row r="193" spans="1:32" ht="13">
      <c r="A193" s="2"/>
      <c r="B193" s="2"/>
      <c r="C193" s="2"/>
      <c r="D193" s="2"/>
      <c r="E193" s="2"/>
      <c r="F193" s="3"/>
      <c r="G193" s="2"/>
      <c r="H193" s="2"/>
      <c r="I193" s="2"/>
      <c r="J193" s="3"/>
      <c r="K193" s="2"/>
      <c r="L193" s="2"/>
      <c r="M193" s="3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</row>
    <row r="194" spans="1:32" ht="13">
      <c r="A194" s="2"/>
      <c r="B194" s="2"/>
      <c r="C194" s="2"/>
      <c r="D194" s="2"/>
      <c r="E194" s="2"/>
      <c r="F194" s="3"/>
      <c r="G194" s="2"/>
      <c r="H194" s="2"/>
      <c r="I194" s="2"/>
      <c r="J194" s="3"/>
      <c r="K194" s="2"/>
      <c r="L194" s="2"/>
      <c r="M194" s="3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</row>
    <row r="195" spans="1:32" ht="13">
      <c r="A195" s="2"/>
      <c r="B195" s="2"/>
      <c r="C195" s="2"/>
      <c r="D195" s="2"/>
      <c r="E195" s="2"/>
      <c r="F195" s="3"/>
      <c r="G195" s="2"/>
      <c r="H195" s="2"/>
      <c r="I195" s="2"/>
      <c r="J195" s="3"/>
      <c r="K195" s="2"/>
      <c r="L195" s="2"/>
      <c r="M195" s="3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</row>
    <row r="196" spans="1:32" ht="13">
      <c r="A196" s="2"/>
      <c r="B196" s="2"/>
      <c r="C196" s="2"/>
      <c r="D196" s="2"/>
      <c r="E196" s="2"/>
      <c r="F196" s="3"/>
      <c r="G196" s="2"/>
      <c r="H196" s="2"/>
      <c r="I196" s="2"/>
      <c r="J196" s="3"/>
      <c r="K196" s="2"/>
      <c r="L196" s="2"/>
      <c r="M196" s="3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</row>
    <row r="197" spans="1:32" ht="13">
      <c r="A197" s="2"/>
      <c r="B197" s="2"/>
      <c r="C197" s="2"/>
      <c r="D197" s="2"/>
      <c r="E197" s="2"/>
      <c r="F197" s="3"/>
      <c r="G197" s="2"/>
      <c r="H197" s="2"/>
      <c r="I197" s="2"/>
      <c r="J197" s="3"/>
      <c r="K197" s="2"/>
      <c r="L197" s="2"/>
      <c r="M197" s="3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</row>
    <row r="198" spans="1:32" ht="13">
      <c r="A198" s="2"/>
      <c r="B198" s="2"/>
      <c r="C198" s="2"/>
      <c r="D198" s="2"/>
      <c r="E198" s="2"/>
      <c r="F198" s="3"/>
      <c r="G198" s="2"/>
      <c r="H198" s="2"/>
      <c r="I198" s="2"/>
      <c r="J198" s="3"/>
      <c r="K198" s="2"/>
      <c r="L198" s="2"/>
      <c r="M198" s="3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</row>
    <row r="199" spans="1:32" ht="13">
      <c r="A199" s="2"/>
      <c r="B199" s="2"/>
      <c r="C199" s="2"/>
      <c r="D199" s="2"/>
      <c r="E199" s="2"/>
      <c r="F199" s="3"/>
      <c r="G199" s="2"/>
      <c r="H199" s="2"/>
      <c r="I199" s="2"/>
      <c r="J199" s="3"/>
      <c r="K199" s="2"/>
      <c r="L199" s="2"/>
      <c r="M199" s="3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</row>
    <row r="200" spans="1:32" ht="13">
      <c r="A200" s="2"/>
      <c r="B200" s="2"/>
      <c r="C200" s="2"/>
      <c r="D200" s="2"/>
      <c r="E200" s="2"/>
      <c r="F200" s="3"/>
      <c r="G200" s="2"/>
      <c r="H200" s="2"/>
      <c r="I200" s="2"/>
      <c r="J200" s="3"/>
      <c r="K200" s="2"/>
      <c r="L200" s="2"/>
      <c r="M200" s="3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</row>
    <row r="201" spans="1:32" ht="13">
      <c r="A201" s="2"/>
      <c r="B201" s="2"/>
      <c r="C201" s="2"/>
      <c r="D201" s="2"/>
      <c r="E201" s="2"/>
      <c r="F201" s="3"/>
      <c r="G201" s="2"/>
      <c r="H201" s="2"/>
      <c r="I201" s="2"/>
      <c r="J201" s="3"/>
      <c r="K201" s="2"/>
      <c r="L201" s="2"/>
      <c r="M201" s="3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</row>
    <row r="202" spans="1:32" ht="13">
      <c r="A202" s="2"/>
      <c r="B202" s="2"/>
      <c r="C202" s="2"/>
      <c r="D202" s="2"/>
      <c r="E202" s="2"/>
      <c r="F202" s="3"/>
      <c r="G202" s="2"/>
      <c r="H202" s="2"/>
      <c r="I202" s="2"/>
      <c r="J202" s="3"/>
      <c r="K202" s="2"/>
      <c r="L202" s="2"/>
      <c r="M202" s="3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</row>
    <row r="203" spans="1:32" ht="13">
      <c r="A203" s="2"/>
      <c r="B203" s="2"/>
      <c r="C203" s="2"/>
      <c r="D203" s="2"/>
      <c r="E203" s="2"/>
      <c r="F203" s="3"/>
      <c r="G203" s="2"/>
      <c r="H203" s="2"/>
      <c r="I203" s="2"/>
      <c r="J203" s="3"/>
      <c r="K203" s="2"/>
      <c r="L203" s="2"/>
      <c r="M203" s="3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</row>
    <row r="204" spans="1:32" ht="13">
      <c r="A204" s="2"/>
      <c r="B204" s="2"/>
      <c r="C204" s="2"/>
      <c r="D204" s="2"/>
      <c r="E204" s="2"/>
      <c r="F204" s="3"/>
      <c r="G204" s="2"/>
      <c r="H204" s="2"/>
      <c r="I204" s="2"/>
      <c r="J204" s="3"/>
      <c r="K204" s="2"/>
      <c r="L204" s="2"/>
      <c r="M204" s="3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</row>
    <row r="205" spans="1:32" ht="13">
      <c r="A205" s="2"/>
      <c r="B205" s="2"/>
      <c r="C205" s="2"/>
      <c r="D205" s="2"/>
      <c r="E205" s="2"/>
      <c r="F205" s="3"/>
      <c r="G205" s="2"/>
      <c r="H205" s="2"/>
      <c r="I205" s="2"/>
      <c r="J205" s="3"/>
      <c r="K205" s="2"/>
      <c r="L205" s="2"/>
      <c r="M205" s="3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</row>
    <row r="206" spans="1:32" ht="13">
      <c r="A206" s="2"/>
      <c r="B206" s="2"/>
      <c r="C206" s="2"/>
      <c r="D206" s="2"/>
      <c r="E206" s="2"/>
      <c r="F206" s="3"/>
      <c r="G206" s="2"/>
      <c r="H206" s="2"/>
      <c r="I206" s="2"/>
      <c r="J206" s="3"/>
      <c r="K206" s="2"/>
      <c r="L206" s="2"/>
      <c r="M206" s="3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</row>
    <row r="207" spans="1:32" ht="13">
      <c r="A207" s="2"/>
      <c r="B207" s="2"/>
      <c r="C207" s="2"/>
      <c r="D207" s="2"/>
      <c r="E207" s="2"/>
      <c r="F207" s="3"/>
      <c r="G207" s="2"/>
      <c r="H207" s="2"/>
      <c r="I207" s="2"/>
      <c r="J207" s="3"/>
      <c r="K207" s="2"/>
      <c r="L207" s="2"/>
      <c r="M207" s="3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</row>
    <row r="208" spans="1:32" ht="13">
      <c r="A208" s="2"/>
      <c r="B208" s="2"/>
      <c r="C208" s="2"/>
      <c r="D208" s="2"/>
      <c r="E208" s="2"/>
      <c r="F208" s="3"/>
      <c r="G208" s="2"/>
      <c r="H208" s="2"/>
      <c r="I208" s="2"/>
      <c r="J208" s="3"/>
      <c r="K208" s="2"/>
      <c r="L208" s="2"/>
      <c r="M208" s="3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</row>
    <row r="209" spans="1:32" ht="13">
      <c r="A209" s="2"/>
      <c r="B209" s="2"/>
      <c r="C209" s="2"/>
      <c r="D209" s="2"/>
      <c r="E209" s="2"/>
      <c r="F209" s="3"/>
      <c r="G209" s="2"/>
      <c r="H209" s="2"/>
      <c r="I209" s="2"/>
      <c r="J209" s="3"/>
      <c r="K209" s="2"/>
      <c r="L209" s="2"/>
      <c r="M209" s="3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</row>
    <row r="210" spans="1:32" ht="13">
      <c r="A210" s="2"/>
      <c r="B210" s="2"/>
      <c r="C210" s="2"/>
      <c r="D210" s="2"/>
      <c r="E210" s="2"/>
      <c r="F210" s="3"/>
      <c r="G210" s="2"/>
      <c r="H210" s="2"/>
      <c r="I210" s="2"/>
      <c r="J210" s="3"/>
      <c r="K210" s="2"/>
      <c r="L210" s="2"/>
      <c r="M210" s="3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</row>
    <row r="211" spans="1:32" ht="13">
      <c r="A211" s="2"/>
      <c r="B211" s="2"/>
      <c r="C211" s="2"/>
      <c r="D211" s="2"/>
      <c r="E211" s="2"/>
      <c r="F211" s="3"/>
      <c r="G211" s="2"/>
      <c r="H211" s="2"/>
      <c r="I211" s="2"/>
      <c r="J211" s="3"/>
      <c r="K211" s="2"/>
      <c r="L211" s="2"/>
      <c r="M211" s="3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</row>
    <row r="212" spans="1:32" ht="13">
      <c r="A212" s="2"/>
      <c r="B212" s="2"/>
      <c r="C212" s="2"/>
      <c r="D212" s="2"/>
      <c r="E212" s="2"/>
      <c r="F212" s="3"/>
      <c r="G212" s="2"/>
      <c r="H212" s="2"/>
      <c r="I212" s="2"/>
      <c r="J212" s="3"/>
      <c r="K212" s="2"/>
      <c r="L212" s="2"/>
      <c r="M212" s="3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</row>
    <row r="213" spans="1:32" ht="13">
      <c r="A213" s="2"/>
      <c r="B213" s="2"/>
      <c r="C213" s="2"/>
      <c r="D213" s="2"/>
      <c r="E213" s="2"/>
      <c r="F213" s="3"/>
      <c r="G213" s="2"/>
      <c r="H213" s="2"/>
      <c r="I213" s="2"/>
      <c r="J213" s="3"/>
      <c r="K213" s="2"/>
      <c r="L213" s="2"/>
      <c r="M213" s="3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</row>
    <row r="214" spans="1:32" ht="13">
      <c r="A214" s="2"/>
      <c r="B214" s="2"/>
      <c r="C214" s="2"/>
      <c r="D214" s="2"/>
      <c r="E214" s="2"/>
      <c r="F214" s="3"/>
      <c r="G214" s="2"/>
      <c r="H214" s="2"/>
      <c r="I214" s="2"/>
      <c r="J214" s="3"/>
      <c r="K214" s="2"/>
      <c r="L214" s="2"/>
      <c r="M214" s="3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</row>
    <row r="215" spans="1:32" ht="13">
      <c r="A215" s="2"/>
      <c r="B215" s="2"/>
      <c r="C215" s="2"/>
      <c r="D215" s="2"/>
      <c r="E215" s="2"/>
      <c r="F215" s="3"/>
      <c r="G215" s="2"/>
      <c r="H215" s="2"/>
      <c r="I215" s="2"/>
      <c r="J215" s="3"/>
      <c r="K215" s="2"/>
      <c r="L215" s="2"/>
      <c r="M215" s="3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</row>
    <row r="216" spans="1:32" ht="13">
      <c r="A216" s="2"/>
      <c r="B216" s="2"/>
      <c r="C216" s="2"/>
      <c r="D216" s="2"/>
      <c r="E216" s="2"/>
      <c r="F216" s="3"/>
      <c r="G216" s="2"/>
      <c r="H216" s="2"/>
      <c r="I216" s="2"/>
      <c r="J216" s="3"/>
      <c r="K216" s="2"/>
      <c r="L216" s="2"/>
      <c r="M216" s="3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</row>
    <row r="217" spans="1:32" ht="13">
      <c r="A217" s="2"/>
      <c r="B217" s="2"/>
      <c r="C217" s="2"/>
      <c r="D217" s="2"/>
      <c r="E217" s="2"/>
      <c r="F217" s="3"/>
      <c r="G217" s="2"/>
      <c r="H217" s="2"/>
      <c r="I217" s="2"/>
      <c r="J217" s="3"/>
      <c r="K217" s="2"/>
      <c r="L217" s="2"/>
      <c r="M217" s="3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</row>
    <row r="218" spans="1:32" ht="13">
      <c r="A218" s="2"/>
      <c r="B218" s="2"/>
      <c r="C218" s="2"/>
      <c r="D218" s="2"/>
      <c r="E218" s="2"/>
      <c r="F218" s="3"/>
      <c r="G218" s="2"/>
      <c r="H218" s="2"/>
      <c r="I218" s="2"/>
      <c r="J218" s="3"/>
      <c r="K218" s="2"/>
      <c r="L218" s="2"/>
      <c r="M218" s="3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</row>
    <row r="219" spans="1:32" ht="13">
      <c r="A219" s="2"/>
      <c r="B219" s="2"/>
      <c r="C219" s="2"/>
      <c r="D219" s="2"/>
      <c r="E219" s="2"/>
      <c r="F219" s="3"/>
      <c r="G219" s="2"/>
      <c r="H219" s="2"/>
      <c r="I219" s="2"/>
      <c r="J219" s="3"/>
      <c r="K219" s="2"/>
      <c r="L219" s="2"/>
      <c r="M219" s="3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</row>
    <row r="220" spans="1:32" ht="13">
      <c r="A220" s="2"/>
      <c r="B220" s="2"/>
      <c r="C220" s="2"/>
      <c r="D220" s="2"/>
      <c r="E220" s="2"/>
      <c r="F220" s="3"/>
      <c r="G220" s="2"/>
      <c r="H220" s="2"/>
      <c r="I220" s="2"/>
      <c r="J220" s="3"/>
      <c r="K220" s="2"/>
      <c r="L220" s="2"/>
      <c r="M220" s="3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</row>
    <row r="221" spans="1:32" ht="13">
      <c r="A221" s="2"/>
      <c r="B221" s="2"/>
      <c r="C221" s="2"/>
      <c r="D221" s="2"/>
      <c r="E221" s="2"/>
      <c r="F221" s="3"/>
      <c r="G221" s="2"/>
      <c r="H221" s="2"/>
      <c r="I221" s="2"/>
      <c r="J221" s="3"/>
      <c r="K221" s="2"/>
      <c r="L221" s="2"/>
      <c r="M221" s="3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</row>
    <row r="222" spans="1:32" ht="13">
      <c r="A222" s="2"/>
      <c r="B222" s="2"/>
      <c r="C222" s="2"/>
      <c r="D222" s="2"/>
      <c r="E222" s="2"/>
      <c r="F222" s="3"/>
      <c r="G222" s="2"/>
      <c r="H222" s="2"/>
      <c r="I222" s="2"/>
      <c r="J222" s="3"/>
      <c r="K222" s="2"/>
      <c r="L222" s="2"/>
      <c r="M222" s="3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</row>
    <row r="223" spans="1:32" ht="13">
      <c r="A223" s="2"/>
      <c r="B223" s="2"/>
      <c r="C223" s="2"/>
      <c r="D223" s="2"/>
      <c r="E223" s="2"/>
      <c r="F223" s="3"/>
      <c r="G223" s="2"/>
      <c r="H223" s="2"/>
      <c r="I223" s="2"/>
      <c r="J223" s="3"/>
      <c r="K223" s="2"/>
      <c r="L223" s="2"/>
      <c r="M223" s="3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</row>
    <row r="224" spans="1:32" ht="13">
      <c r="A224" s="2"/>
      <c r="B224" s="2"/>
      <c r="C224" s="2"/>
      <c r="D224" s="2"/>
      <c r="E224" s="2"/>
      <c r="F224" s="3"/>
      <c r="G224" s="2"/>
      <c r="H224" s="2"/>
      <c r="I224" s="2"/>
      <c r="J224" s="3"/>
      <c r="K224" s="2"/>
      <c r="L224" s="2"/>
      <c r="M224" s="3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</row>
    <row r="225" spans="1:32" ht="13">
      <c r="A225" s="2"/>
      <c r="B225" s="2"/>
      <c r="C225" s="2"/>
      <c r="D225" s="2"/>
      <c r="E225" s="2"/>
      <c r="F225" s="3"/>
      <c r="G225" s="2"/>
      <c r="H225" s="2"/>
      <c r="I225" s="2"/>
      <c r="J225" s="3"/>
      <c r="K225" s="2"/>
      <c r="L225" s="2"/>
      <c r="M225" s="3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</row>
    <row r="226" spans="1:32" ht="13">
      <c r="A226" s="2"/>
      <c r="B226" s="2"/>
      <c r="C226" s="2"/>
      <c r="D226" s="2"/>
      <c r="E226" s="2"/>
      <c r="F226" s="3"/>
      <c r="G226" s="2"/>
      <c r="H226" s="2"/>
      <c r="I226" s="2"/>
      <c r="J226" s="3"/>
      <c r="K226" s="2"/>
      <c r="L226" s="2"/>
      <c r="M226" s="3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</row>
    <row r="227" spans="1:32" ht="13">
      <c r="A227" s="2"/>
      <c r="B227" s="2"/>
      <c r="C227" s="2"/>
      <c r="D227" s="2"/>
      <c r="E227" s="2"/>
      <c r="F227" s="3"/>
      <c r="G227" s="2"/>
      <c r="H227" s="2"/>
      <c r="I227" s="2"/>
      <c r="J227" s="3"/>
      <c r="K227" s="2"/>
      <c r="L227" s="2"/>
      <c r="M227" s="3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</row>
    <row r="228" spans="1:32" ht="13">
      <c r="A228" s="2"/>
      <c r="B228" s="2"/>
      <c r="C228" s="2"/>
      <c r="D228" s="2"/>
      <c r="E228" s="2"/>
      <c r="F228" s="3"/>
      <c r="G228" s="2"/>
      <c r="H228" s="2"/>
      <c r="I228" s="2"/>
      <c r="J228" s="3"/>
      <c r="K228" s="2"/>
      <c r="L228" s="2"/>
      <c r="M228" s="3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</row>
    <row r="229" spans="1:32" ht="13">
      <c r="A229" s="2"/>
      <c r="B229" s="2"/>
      <c r="C229" s="2"/>
      <c r="D229" s="2"/>
      <c r="E229" s="2"/>
      <c r="F229" s="3"/>
      <c r="G229" s="2"/>
      <c r="H229" s="2"/>
      <c r="I229" s="2"/>
      <c r="J229" s="3"/>
      <c r="K229" s="2"/>
      <c r="L229" s="2"/>
      <c r="M229" s="3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</row>
    <row r="230" spans="1:32" ht="13">
      <c r="A230" s="2"/>
      <c r="B230" s="2"/>
      <c r="C230" s="2"/>
      <c r="D230" s="2"/>
      <c r="E230" s="2"/>
      <c r="F230" s="3"/>
      <c r="G230" s="2"/>
      <c r="H230" s="2"/>
      <c r="I230" s="2"/>
      <c r="J230" s="3"/>
      <c r="K230" s="2"/>
      <c r="L230" s="2"/>
      <c r="M230" s="3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</row>
    <row r="231" spans="1:32" ht="13">
      <c r="A231" s="2"/>
      <c r="B231" s="2"/>
      <c r="C231" s="2"/>
      <c r="D231" s="2"/>
      <c r="E231" s="2"/>
      <c r="F231" s="3"/>
      <c r="G231" s="2"/>
      <c r="H231" s="2"/>
      <c r="I231" s="2"/>
      <c r="J231" s="3"/>
      <c r="K231" s="2"/>
      <c r="L231" s="2"/>
      <c r="M231" s="3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</row>
    <row r="232" spans="1:32" ht="13">
      <c r="A232" s="2"/>
      <c r="B232" s="2"/>
      <c r="C232" s="2"/>
      <c r="D232" s="2"/>
      <c r="E232" s="2"/>
      <c r="F232" s="3"/>
      <c r="G232" s="2"/>
      <c r="H232" s="2"/>
      <c r="I232" s="2"/>
      <c r="J232" s="3"/>
      <c r="K232" s="2"/>
      <c r="L232" s="2"/>
      <c r="M232" s="3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</row>
    <row r="233" spans="1:32" ht="13">
      <c r="A233" s="2"/>
      <c r="B233" s="2"/>
      <c r="C233" s="2"/>
      <c r="D233" s="2"/>
      <c r="E233" s="2"/>
      <c r="F233" s="3"/>
      <c r="G233" s="2"/>
      <c r="H233" s="2"/>
      <c r="I233" s="2"/>
      <c r="J233" s="3"/>
      <c r="K233" s="2"/>
      <c r="L233" s="2"/>
      <c r="M233" s="3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</row>
    <row r="234" spans="1:32" ht="13">
      <c r="A234" s="2"/>
      <c r="B234" s="2"/>
      <c r="C234" s="2"/>
      <c r="D234" s="2"/>
      <c r="E234" s="2"/>
      <c r="F234" s="3"/>
      <c r="G234" s="2"/>
      <c r="H234" s="2"/>
      <c r="I234" s="2"/>
      <c r="J234" s="3"/>
      <c r="K234" s="2"/>
      <c r="L234" s="2"/>
      <c r="M234" s="3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</row>
    <row r="235" spans="1:32" ht="13">
      <c r="A235" s="2"/>
      <c r="B235" s="2"/>
      <c r="C235" s="2"/>
      <c r="D235" s="2"/>
      <c r="E235" s="2"/>
      <c r="F235" s="3"/>
      <c r="G235" s="2"/>
      <c r="H235" s="2"/>
      <c r="I235" s="2"/>
      <c r="J235" s="3"/>
      <c r="K235" s="2"/>
      <c r="L235" s="2"/>
      <c r="M235" s="3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</row>
    <row r="236" spans="1:32" ht="13">
      <c r="A236" s="2"/>
      <c r="B236" s="2"/>
      <c r="C236" s="2"/>
      <c r="D236" s="2"/>
      <c r="E236" s="2"/>
      <c r="F236" s="3"/>
      <c r="G236" s="2"/>
      <c r="H236" s="2"/>
      <c r="I236" s="2"/>
      <c r="J236" s="3"/>
      <c r="K236" s="2"/>
      <c r="L236" s="2"/>
      <c r="M236" s="3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</row>
    <row r="237" spans="1:32" ht="13">
      <c r="A237" s="2"/>
      <c r="B237" s="2"/>
      <c r="C237" s="2"/>
      <c r="D237" s="2"/>
      <c r="E237" s="2"/>
      <c r="F237" s="3"/>
      <c r="G237" s="2"/>
      <c r="H237" s="2"/>
      <c r="I237" s="2"/>
      <c r="J237" s="3"/>
      <c r="K237" s="2"/>
      <c r="L237" s="2"/>
      <c r="M237" s="3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</row>
    <row r="238" spans="1:32" ht="13">
      <c r="A238" s="2"/>
      <c r="B238" s="2"/>
      <c r="C238" s="2"/>
      <c r="D238" s="2"/>
      <c r="E238" s="2"/>
      <c r="F238" s="3"/>
      <c r="G238" s="2"/>
      <c r="H238" s="2"/>
      <c r="I238" s="2"/>
      <c r="J238" s="3"/>
      <c r="K238" s="2"/>
      <c r="L238" s="2"/>
      <c r="M238" s="3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</row>
    <row r="239" spans="1:32" ht="13">
      <c r="A239" s="2"/>
      <c r="B239" s="2"/>
      <c r="C239" s="2"/>
      <c r="D239" s="2"/>
      <c r="E239" s="2"/>
      <c r="F239" s="3"/>
      <c r="G239" s="2"/>
      <c r="H239" s="2"/>
      <c r="I239" s="2"/>
      <c r="J239" s="3"/>
      <c r="K239" s="2"/>
      <c r="L239" s="2"/>
      <c r="M239" s="3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</row>
    <row r="240" spans="1:32" ht="13">
      <c r="A240" s="2"/>
      <c r="B240" s="2"/>
      <c r="C240" s="2"/>
      <c r="D240" s="2"/>
      <c r="E240" s="2"/>
      <c r="F240" s="3"/>
      <c r="G240" s="2"/>
      <c r="H240" s="2"/>
      <c r="I240" s="2"/>
      <c r="J240" s="3"/>
      <c r="K240" s="2"/>
      <c r="L240" s="2"/>
      <c r="M240" s="3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</row>
    <row r="241" spans="1:32" ht="13">
      <c r="A241" s="2"/>
      <c r="B241" s="2"/>
      <c r="C241" s="2"/>
      <c r="D241" s="2"/>
      <c r="E241" s="2"/>
      <c r="F241" s="3"/>
      <c r="G241" s="2"/>
      <c r="H241" s="2"/>
      <c r="I241" s="2"/>
      <c r="J241" s="3"/>
      <c r="K241" s="2"/>
      <c r="L241" s="2"/>
      <c r="M241" s="3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</row>
    <row r="242" spans="1:32" ht="13">
      <c r="A242" s="2"/>
      <c r="B242" s="2"/>
      <c r="C242" s="2"/>
      <c r="D242" s="2"/>
      <c r="E242" s="2"/>
      <c r="F242" s="3"/>
      <c r="G242" s="2"/>
      <c r="H242" s="2"/>
      <c r="I242" s="2"/>
      <c r="J242" s="3"/>
      <c r="K242" s="2"/>
      <c r="L242" s="2"/>
      <c r="M242" s="3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</row>
    <row r="243" spans="1:32" ht="13">
      <c r="A243" s="2"/>
      <c r="B243" s="2"/>
      <c r="C243" s="2"/>
      <c r="D243" s="2"/>
      <c r="E243" s="2"/>
      <c r="F243" s="3"/>
      <c r="G243" s="2"/>
      <c r="H243" s="2"/>
      <c r="I243" s="2"/>
      <c r="J243" s="3"/>
      <c r="K243" s="2"/>
      <c r="L243" s="2"/>
      <c r="M243" s="3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</row>
    <row r="244" spans="1:32" ht="13">
      <c r="A244" s="2"/>
      <c r="B244" s="2"/>
      <c r="C244" s="2"/>
      <c r="D244" s="2"/>
      <c r="E244" s="2"/>
      <c r="F244" s="3"/>
      <c r="G244" s="2"/>
      <c r="H244" s="2"/>
      <c r="I244" s="2"/>
      <c r="J244" s="3"/>
      <c r="K244" s="2"/>
      <c r="L244" s="2"/>
      <c r="M244" s="3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</row>
    <row r="245" spans="1:32" ht="13">
      <c r="A245" s="2"/>
      <c r="B245" s="2"/>
      <c r="C245" s="2"/>
      <c r="D245" s="2"/>
      <c r="E245" s="2"/>
      <c r="F245" s="3"/>
      <c r="G245" s="2"/>
      <c r="H245" s="2"/>
      <c r="I245" s="2"/>
      <c r="J245" s="3"/>
      <c r="K245" s="2"/>
      <c r="L245" s="2"/>
      <c r="M245" s="3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</row>
    <row r="246" spans="1:32" ht="13">
      <c r="A246" s="2"/>
      <c r="B246" s="2"/>
      <c r="C246" s="2"/>
      <c r="D246" s="2"/>
      <c r="E246" s="2"/>
      <c r="F246" s="3"/>
      <c r="G246" s="2"/>
      <c r="H246" s="2"/>
      <c r="I246" s="2"/>
      <c r="J246" s="3"/>
      <c r="K246" s="2"/>
      <c r="L246" s="2"/>
      <c r="M246" s="3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</row>
    <row r="247" spans="1:32" ht="13">
      <c r="A247" s="2"/>
      <c r="B247" s="2"/>
      <c r="C247" s="2"/>
      <c r="D247" s="2"/>
      <c r="E247" s="2"/>
      <c r="F247" s="3"/>
      <c r="G247" s="2"/>
      <c r="H247" s="2"/>
      <c r="I247" s="2"/>
      <c r="J247" s="3"/>
      <c r="K247" s="2"/>
      <c r="L247" s="2"/>
      <c r="M247" s="3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</row>
    <row r="248" spans="1:32" ht="13">
      <c r="A248" s="2"/>
      <c r="B248" s="2"/>
      <c r="C248" s="2"/>
      <c r="D248" s="2"/>
      <c r="E248" s="2"/>
      <c r="F248" s="3"/>
      <c r="G248" s="2"/>
      <c r="H248" s="2"/>
      <c r="I248" s="2"/>
      <c r="J248" s="3"/>
      <c r="K248" s="2"/>
      <c r="L248" s="2"/>
      <c r="M248" s="3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</row>
    <row r="249" spans="1:32" ht="13">
      <c r="A249" s="2"/>
      <c r="B249" s="2"/>
      <c r="C249" s="2"/>
      <c r="D249" s="2"/>
      <c r="E249" s="2"/>
      <c r="F249" s="3"/>
      <c r="G249" s="2"/>
      <c r="H249" s="2"/>
      <c r="I249" s="2"/>
      <c r="J249" s="3"/>
      <c r="K249" s="2"/>
      <c r="L249" s="2"/>
      <c r="M249" s="3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</row>
    <row r="250" spans="1:32" ht="13">
      <c r="A250" s="2"/>
      <c r="B250" s="2"/>
      <c r="C250" s="2"/>
      <c r="D250" s="2"/>
      <c r="E250" s="2"/>
      <c r="F250" s="3"/>
      <c r="G250" s="2"/>
      <c r="H250" s="2"/>
      <c r="I250" s="2"/>
      <c r="J250" s="3"/>
      <c r="K250" s="2"/>
      <c r="L250" s="2"/>
      <c r="M250" s="3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</row>
    <row r="251" spans="1:32" ht="13">
      <c r="A251" s="2"/>
      <c r="B251" s="2"/>
      <c r="C251" s="2"/>
      <c r="D251" s="2"/>
      <c r="E251" s="2"/>
      <c r="F251" s="3"/>
      <c r="G251" s="2"/>
      <c r="H251" s="2"/>
      <c r="I251" s="2"/>
      <c r="J251" s="3"/>
      <c r="K251" s="2"/>
      <c r="L251" s="2"/>
      <c r="M251" s="3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</row>
    <row r="252" spans="1:32" ht="13">
      <c r="A252" s="2"/>
      <c r="B252" s="2"/>
      <c r="C252" s="2"/>
      <c r="D252" s="2"/>
      <c r="E252" s="2"/>
      <c r="F252" s="3"/>
      <c r="G252" s="2"/>
      <c r="H252" s="2"/>
      <c r="I252" s="2"/>
      <c r="J252" s="3"/>
      <c r="K252" s="2"/>
      <c r="L252" s="2"/>
      <c r="M252" s="3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</row>
    <row r="253" spans="1:32" ht="13">
      <c r="A253" s="2"/>
      <c r="B253" s="2"/>
      <c r="C253" s="2"/>
      <c r="D253" s="2"/>
      <c r="E253" s="2"/>
      <c r="F253" s="3"/>
      <c r="G253" s="2"/>
      <c r="H253" s="2"/>
      <c r="I253" s="2"/>
      <c r="J253" s="3"/>
      <c r="K253" s="2"/>
      <c r="L253" s="2"/>
      <c r="M253" s="3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</row>
    <row r="254" spans="1:32" ht="13">
      <c r="A254" s="2"/>
      <c r="B254" s="2"/>
      <c r="C254" s="2"/>
      <c r="D254" s="2"/>
      <c r="E254" s="2"/>
      <c r="F254" s="3"/>
      <c r="G254" s="2"/>
      <c r="H254" s="2"/>
      <c r="I254" s="2"/>
      <c r="J254" s="3"/>
      <c r="K254" s="2"/>
      <c r="L254" s="2"/>
      <c r="M254" s="3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</row>
    <row r="255" spans="1:32" ht="13">
      <c r="A255" s="2"/>
      <c r="B255" s="2"/>
      <c r="C255" s="2"/>
      <c r="D255" s="2"/>
      <c r="E255" s="2"/>
      <c r="F255" s="3"/>
      <c r="G255" s="2"/>
      <c r="H255" s="2"/>
      <c r="I255" s="2"/>
      <c r="J255" s="3"/>
      <c r="K255" s="2"/>
      <c r="L255" s="2"/>
      <c r="M255" s="3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</row>
    <row r="256" spans="1:32" ht="13">
      <c r="A256" s="2"/>
      <c r="B256" s="2"/>
      <c r="C256" s="2"/>
      <c r="D256" s="2"/>
      <c r="E256" s="2"/>
      <c r="F256" s="3"/>
      <c r="G256" s="2"/>
      <c r="H256" s="2"/>
      <c r="I256" s="2"/>
      <c r="J256" s="3"/>
      <c r="K256" s="2"/>
      <c r="L256" s="2"/>
      <c r="M256" s="3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</row>
    <row r="257" spans="1:32" ht="13">
      <c r="A257" s="2"/>
      <c r="B257" s="2"/>
      <c r="C257" s="2"/>
      <c r="D257" s="2"/>
      <c r="E257" s="2"/>
      <c r="F257" s="3"/>
      <c r="G257" s="2"/>
      <c r="H257" s="2"/>
      <c r="I257" s="2"/>
      <c r="J257" s="3"/>
      <c r="K257" s="2"/>
      <c r="L257" s="2"/>
      <c r="M257" s="3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</row>
    <row r="258" spans="1:32" ht="13">
      <c r="A258" s="2"/>
      <c r="B258" s="2"/>
      <c r="C258" s="2"/>
      <c r="D258" s="2"/>
      <c r="E258" s="2"/>
      <c r="F258" s="3"/>
      <c r="G258" s="2"/>
      <c r="H258" s="2"/>
      <c r="I258" s="2"/>
      <c r="J258" s="3"/>
      <c r="K258" s="2"/>
      <c r="L258" s="2"/>
      <c r="M258" s="3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</row>
    <row r="259" spans="1:32" ht="13">
      <c r="A259" s="2"/>
      <c r="B259" s="2"/>
      <c r="C259" s="2"/>
      <c r="D259" s="2"/>
      <c r="E259" s="2"/>
      <c r="F259" s="3"/>
      <c r="G259" s="2"/>
      <c r="H259" s="2"/>
      <c r="I259" s="2"/>
      <c r="J259" s="3"/>
      <c r="K259" s="2"/>
      <c r="L259" s="2"/>
      <c r="M259" s="3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</row>
    <row r="260" spans="1:32" ht="13">
      <c r="A260" s="2"/>
      <c r="B260" s="2"/>
      <c r="C260" s="2"/>
      <c r="D260" s="2"/>
      <c r="E260" s="2"/>
      <c r="F260" s="3"/>
      <c r="G260" s="2"/>
      <c r="H260" s="2"/>
      <c r="I260" s="2"/>
      <c r="J260" s="3"/>
      <c r="K260" s="2"/>
      <c r="L260" s="2"/>
      <c r="M260" s="3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</row>
    <row r="261" spans="1:32" ht="13">
      <c r="A261" s="2"/>
      <c r="B261" s="2"/>
      <c r="C261" s="2"/>
      <c r="D261" s="2"/>
      <c r="E261" s="2"/>
      <c r="F261" s="3"/>
      <c r="G261" s="2"/>
      <c r="H261" s="2"/>
      <c r="I261" s="2"/>
      <c r="J261" s="3"/>
      <c r="K261" s="2"/>
      <c r="L261" s="2"/>
      <c r="M261" s="3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</row>
    <row r="262" spans="1:32" ht="13">
      <c r="A262" s="2"/>
      <c r="B262" s="2"/>
      <c r="C262" s="2"/>
      <c r="D262" s="2"/>
      <c r="E262" s="2"/>
      <c r="F262" s="3"/>
      <c r="G262" s="2"/>
      <c r="H262" s="2"/>
      <c r="I262" s="2"/>
      <c r="J262" s="3"/>
      <c r="K262" s="2"/>
      <c r="L262" s="2"/>
      <c r="M262" s="3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</row>
    <row r="263" spans="1:32" ht="13">
      <c r="A263" s="2"/>
      <c r="B263" s="2"/>
      <c r="C263" s="2"/>
      <c r="D263" s="2"/>
      <c r="E263" s="2"/>
      <c r="F263" s="3"/>
      <c r="G263" s="2"/>
      <c r="H263" s="2"/>
      <c r="I263" s="2"/>
      <c r="J263" s="3"/>
      <c r="K263" s="2"/>
      <c r="L263" s="2"/>
      <c r="M263" s="3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</row>
    <row r="264" spans="1:32" ht="13">
      <c r="A264" s="2"/>
      <c r="B264" s="2"/>
      <c r="C264" s="2"/>
      <c r="D264" s="2"/>
      <c r="E264" s="2"/>
      <c r="F264" s="3"/>
      <c r="G264" s="2"/>
      <c r="H264" s="2"/>
      <c r="I264" s="2"/>
      <c r="J264" s="3"/>
      <c r="K264" s="2"/>
      <c r="L264" s="2"/>
      <c r="M264" s="3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</row>
    <row r="265" spans="1:32" ht="13">
      <c r="A265" s="2"/>
      <c r="B265" s="2"/>
      <c r="C265" s="2"/>
      <c r="D265" s="2"/>
      <c r="E265" s="2"/>
      <c r="F265" s="3"/>
      <c r="G265" s="2"/>
      <c r="H265" s="2"/>
      <c r="I265" s="2"/>
      <c r="J265" s="3"/>
      <c r="K265" s="2"/>
      <c r="L265" s="2"/>
      <c r="M265" s="3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</row>
    <row r="266" spans="1:32" ht="13">
      <c r="A266" s="2"/>
      <c r="B266" s="2"/>
      <c r="C266" s="2"/>
      <c r="D266" s="2"/>
      <c r="E266" s="2"/>
      <c r="F266" s="3"/>
      <c r="G266" s="2"/>
      <c r="H266" s="2"/>
      <c r="I266" s="2"/>
      <c r="J266" s="3"/>
      <c r="K266" s="2"/>
      <c r="L266" s="2"/>
      <c r="M266" s="3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</row>
    <row r="267" spans="1:32" ht="13">
      <c r="A267" s="2"/>
      <c r="B267" s="2"/>
      <c r="C267" s="2"/>
      <c r="D267" s="2"/>
      <c r="E267" s="2"/>
      <c r="F267" s="3"/>
      <c r="G267" s="2"/>
      <c r="H267" s="2"/>
      <c r="I267" s="2"/>
      <c r="J267" s="3"/>
      <c r="K267" s="2"/>
      <c r="L267" s="2"/>
      <c r="M267" s="3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</row>
    <row r="268" spans="1:32" ht="13">
      <c r="A268" s="2"/>
      <c r="B268" s="2"/>
      <c r="C268" s="2"/>
      <c r="D268" s="2"/>
      <c r="E268" s="2"/>
      <c r="F268" s="3"/>
      <c r="G268" s="2"/>
      <c r="H268" s="2"/>
      <c r="I268" s="2"/>
      <c r="J268" s="3"/>
      <c r="K268" s="2"/>
      <c r="L268" s="2"/>
      <c r="M268" s="3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</row>
    <row r="269" spans="1:32" ht="13">
      <c r="A269" s="2"/>
      <c r="B269" s="2"/>
      <c r="C269" s="2"/>
      <c r="D269" s="2"/>
      <c r="E269" s="2"/>
      <c r="F269" s="3"/>
      <c r="G269" s="2"/>
      <c r="H269" s="2"/>
      <c r="I269" s="2"/>
      <c r="J269" s="3"/>
      <c r="K269" s="2"/>
      <c r="L269" s="2"/>
      <c r="M269" s="3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</row>
    <row r="270" spans="1:32" ht="13">
      <c r="A270" s="2"/>
      <c r="B270" s="2"/>
      <c r="C270" s="2"/>
      <c r="D270" s="2"/>
      <c r="E270" s="2"/>
      <c r="F270" s="3"/>
      <c r="G270" s="2"/>
      <c r="H270" s="2"/>
      <c r="I270" s="2"/>
      <c r="J270" s="3"/>
      <c r="K270" s="2"/>
      <c r="L270" s="2"/>
      <c r="M270" s="3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</row>
    <row r="271" spans="1:32" ht="13">
      <c r="A271" s="2"/>
      <c r="B271" s="2"/>
      <c r="C271" s="2"/>
      <c r="D271" s="2"/>
      <c r="E271" s="2"/>
      <c r="F271" s="3"/>
      <c r="G271" s="2"/>
      <c r="H271" s="2"/>
      <c r="I271" s="2"/>
      <c r="J271" s="3"/>
      <c r="K271" s="2"/>
      <c r="L271" s="2"/>
      <c r="M271" s="3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</row>
    <row r="272" spans="1:32" ht="13">
      <c r="A272" s="2"/>
      <c r="B272" s="2"/>
      <c r="C272" s="2"/>
      <c r="D272" s="2"/>
      <c r="E272" s="2"/>
      <c r="F272" s="3"/>
      <c r="G272" s="2"/>
      <c r="H272" s="2"/>
      <c r="I272" s="2"/>
      <c r="J272" s="3"/>
      <c r="K272" s="2"/>
      <c r="L272" s="2"/>
      <c r="M272" s="3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</row>
    <row r="273" spans="1:32" ht="13">
      <c r="A273" s="2"/>
      <c r="B273" s="2"/>
      <c r="C273" s="2"/>
      <c r="D273" s="2"/>
      <c r="E273" s="2"/>
      <c r="F273" s="3"/>
      <c r="G273" s="2"/>
      <c r="H273" s="2"/>
      <c r="I273" s="2"/>
      <c r="J273" s="3"/>
      <c r="K273" s="2"/>
      <c r="L273" s="2"/>
      <c r="M273" s="3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</row>
    <row r="274" spans="1:32" ht="13">
      <c r="A274" s="2"/>
      <c r="B274" s="2"/>
      <c r="C274" s="2"/>
      <c r="D274" s="2"/>
      <c r="E274" s="2"/>
      <c r="F274" s="3"/>
      <c r="G274" s="2"/>
      <c r="H274" s="2"/>
      <c r="I274" s="2"/>
      <c r="J274" s="3"/>
      <c r="K274" s="2"/>
      <c r="L274" s="2"/>
      <c r="M274" s="3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</row>
    <row r="275" spans="1:32" ht="13">
      <c r="A275" s="2"/>
      <c r="B275" s="2"/>
      <c r="C275" s="2"/>
      <c r="D275" s="2"/>
      <c r="E275" s="2"/>
      <c r="F275" s="3"/>
      <c r="G275" s="2"/>
      <c r="H275" s="2"/>
      <c r="I275" s="2"/>
      <c r="J275" s="3"/>
      <c r="K275" s="2"/>
      <c r="L275" s="2"/>
      <c r="M275" s="3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</row>
    <row r="276" spans="1:32" ht="13">
      <c r="A276" s="2"/>
      <c r="B276" s="2"/>
      <c r="C276" s="2"/>
      <c r="D276" s="2"/>
      <c r="E276" s="2"/>
      <c r="F276" s="3"/>
      <c r="G276" s="2"/>
      <c r="H276" s="2"/>
      <c r="I276" s="2"/>
      <c r="J276" s="3"/>
      <c r="K276" s="2"/>
      <c r="L276" s="2"/>
      <c r="M276" s="3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</row>
    <row r="277" spans="1:32" ht="13">
      <c r="A277" s="2"/>
      <c r="B277" s="2"/>
      <c r="C277" s="2"/>
      <c r="D277" s="2"/>
      <c r="E277" s="2"/>
      <c r="F277" s="3"/>
      <c r="G277" s="2"/>
      <c r="H277" s="2"/>
      <c r="I277" s="2"/>
      <c r="J277" s="3"/>
      <c r="K277" s="2"/>
      <c r="L277" s="2"/>
      <c r="M277" s="3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</row>
    <row r="278" spans="1:32" ht="13">
      <c r="A278" s="2"/>
      <c r="B278" s="2"/>
      <c r="C278" s="2"/>
      <c r="D278" s="2"/>
      <c r="E278" s="2"/>
      <c r="F278" s="3"/>
      <c r="G278" s="2"/>
      <c r="H278" s="2"/>
      <c r="I278" s="2"/>
      <c r="J278" s="3"/>
      <c r="K278" s="2"/>
      <c r="L278" s="2"/>
      <c r="M278" s="3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</row>
    <row r="279" spans="1:32" ht="13">
      <c r="A279" s="2"/>
      <c r="B279" s="2"/>
      <c r="C279" s="2"/>
      <c r="D279" s="2"/>
      <c r="E279" s="2"/>
      <c r="F279" s="3"/>
      <c r="G279" s="2"/>
      <c r="H279" s="2"/>
      <c r="I279" s="2"/>
      <c r="J279" s="3"/>
      <c r="K279" s="2"/>
      <c r="L279" s="2"/>
      <c r="M279" s="3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</row>
    <row r="280" spans="1:32" ht="13">
      <c r="A280" s="2"/>
      <c r="B280" s="2"/>
      <c r="C280" s="2"/>
      <c r="D280" s="2"/>
      <c r="E280" s="2"/>
      <c r="F280" s="3"/>
      <c r="G280" s="2"/>
      <c r="H280" s="2"/>
      <c r="I280" s="2"/>
      <c r="J280" s="3"/>
      <c r="K280" s="2"/>
      <c r="L280" s="2"/>
      <c r="M280" s="3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</row>
    <row r="281" spans="1:32" ht="13">
      <c r="A281" s="2"/>
      <c r="B281" s="2"/>
      <c r="C281" s="2"/>
      <c r="D281" s="2"/>
      <c r="E281" s="2"/>
      <c r="F281" s="3"/>
      <c r="G281" s="2"/>
      <c r="H281" s="2"/>
      <c r="I281" s="2"/>
      <c r="J281" s="3"/>
      <c r="K281" s="2"/>
      <c r="L281" s="2"/>
      <c r="M281" s="3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</row>
    <row r="282" spans="1:32" ht="13">
      <c r="A282" s="2"/>
      <c r="B282" s="2"/>
      <c r="C282" s="2"/>
      <c r="D282" s="2"/>
      <c r="E282" s="2"/>
      <c r="F282" s="3"/>
      <c r="G282" s="2"/>
      <c r="H282" s="2"/>
      <c r="I282" s="2"/>
      <c r="J282" s="3"/>
      <c r="K282" s="2"/>
      <c r="L282" s="2"/>
      <c r="M282" s="3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</row>
    <row r="283" spans="1:32" ht="13">
      <c r="A283" s="2"/>
      <c r="B283" s="2"/>
      <c r="C283" s="2"/>
      <c r="D283" s="2"/>
      <c r="E283" s="2"/>
      <c r="F283" s="3"/>
      <c r="G283" s="2"/>
      <c r="H283" s="2"/>
      <c r="I283" s="2"/>
      <c r="J283" s="3"/>
      <c r="K283" s="2"/>
      <c r="L283" s="2"/>
      <c r="M283" s="3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</row>
    <row r="284" spans="1:32" ht="13">
      <c r="A284" s="2"/>
      <c r="B284" s="2"/>
      <c r="C284" s="2"/>
      <c r="D284" s="2"/>
      <c r="E284" s="2"/>
      <c r="F284" s="3"/>
      <c r="G284" s="2"/>
      <c r="H284" s="2"/>
      <c r="I284" s="2"/>
      <c r="J284" s="3"/>
      <c r="K284" s="2"/>
      <c r="L284" s="2"/>
      <c r="M284" s="3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</row>
    <row r="285" spans="1:32" ht="13">
      <c r="A285" s="2"/>
      <c r="B285" s="2"/>
      <c r="C285" s="2"/>
      <c r="D285" s="2"/>
      <c r="E285" s="2"/>
      <c r="F285" s="3"/>
      <c r="G285" s="2"/>
      <c r="H285" s="2"/>
      <c r="I285" s="2"/>
      <c r="J285" s="3"/>
      <c r="K285" s="2"/>
      <c r="L285" s="2"/>
      <c r="M285" s="3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</row>
    <row r="286" spans="1:32" ht="13">
      <c r="A286" s="2"/>
      <c r="B286" s="2"/>
      <c r="C286" s="2"/>
      <c r="D286" s="2"/>
      <c r="E286" s="2"/>
      <c r="F286" s="3"/>
      <c r="G286" s="2"/>
      <c r="H286" s="2"/>
      <c r="I286" s="2"/>
      <c r="J286" s="3"/>
      <c r="K286" s="2"/>
      <c r="L286" s="2"/>
      <c r="M286" s="3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</row>
    <row r="287" spans="1:32" ht="13">
      <c r="A287" s="2"/>
      <c r="B287" s="2"/>
      <c r="C287" s="2"/>
      <c r="D287" s="2"/>
      <c r="E287" s="2"/>
      <c r="F287" s="3"/>
      <c r="G287" s="2"/>
      <c r="H287" s="2"/>
      <c r="I287" s="2"/>
      <c r="J287" s="3"/>
      <c r="K287" s="2"/>
      <c r="L287" s="2"/>
      <c r="M287" s="3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</row>
    <row r="288" spans="1:32" ht="13">
      <c r="A288" s="2"/>
      <c r="B288" s="2"/>
      <c r="C288" s="2"/>
      <c r="D288" s="2"/>
      <c r="E288" s="2"/>
      <c r="F288" s="3"/>
      <c r="G288" s="2"/>
      <c r="H288" s="2"/>
      <c r="I288" s="2"/>
      <c r="J288" s="3"/>
      <c r="K288" s="2"/>
      <c r="L288" s="2"/>
      <c r="M288" s="3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</row>
    <row r="289" spans="1:32" ht="13">
      <c r="A289" s="2"/>
      <c r="B289" s="2"/>
      <c r="C289" s="2"/>
      <c r="D289" s="2"/>
      <c r="E289" s="2"/>
      <c r="F289" s="3"/>
      <c r="G289" s="2"/>
      <c r="H289" s="2"/>
      <c r="I289" s="2"/>
      <c r="J289" s="3"/>
      <c r="K289" s="2"/>
      <c r="L289" s="2"/>
      <c r="M289" s="3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</row>
    <row r="290" spans="1:32" ht="13">
      <c r="A290" s="2"/>
      <c r="B290" s="2"/>
      <c r="C290" s="2"/>
      <c r="D290" s="2"/>
      <c r="E290" s="2"/>
      <c r="F290" s="3"/>
      <c r="G290" s="2"/>
      <c r="H290" s="2"/>
      <c r="I290" s="2"/>
      <c r="J290" s="3"/>
      <c r="K290" s="2"/>
      <c r="L290" s="2"/>
      <c r="M290" s="3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</row>
    <row r="291" spans="1:32" ht="13">
      <c r="A291" s="2"/>
      <c r="B291" s="2"/>
      <c r="C291" s="2"/>
      <c r="D291" s="2"/>
      <c r="E291" s="2"/>
      <c r="F291" s="3"/>
      <c r="G291" s="2"/>
      <c r="H291" s="2"/>
      <c r="I291" s="2"/>
      <c r="J291" s="3"/>
      <c r="K291" s="2"/>
      <c r="L291" s="2"/>
      <c r="M291" s="3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</row>
    <row r="292" spans="1:32" ht="13">
      <c r="A292" s="2"/>
      <c r="B292" s="2"/>
      <c r="C292" s="2"/>
      <c r="D292" s="2"/>
      <c r="E292" s="2"/>
      <c r="F292" s="3"/>
      <c r="G292" s="2"/>
      <c r="H292" s="2"/>
      <c r="I292" s="2"/>
      <c r="J292" s="3"/>
      <c r="K292" s="2"/>
      <c r="L292" s="2"/>
      <c r="M292" s="3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</row>
    <row r="293" spans="1:32" ht="13">
      <c r="A293" s="2"/>
      <c r="B293" s="2"/>
      <c r="C293" s="2"/>
      <c r="D293" s="2"/>
      <c r="E293" s="2"/>
      <c r="F293" s="3"/>
      <c r="G293" s="2"/>
      <c r="H293" s="2"/>
      <c r="I293" s="2"/>
      <c r="J293" s="3"/>
      <c r="K293" s="2"/>
      <c r="L293" s="2"/>
      <c r="M293" s="3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</row>
    <row r="294" spans="1:32" ht="13">
      <c r="A294" s="2"/>
      <c r="B294" s="2"/>
      <c r="C294" s="2"/>
      <c r="D294" s="2"/>
      <c r="E294" s="2"/>
      <c r="F294" s="3"/>
      <c r="G294" s="2"/>
      <c r="H294" s="2"/>
      <c r="I294" s="2"/>
      <c r="J294" s="3"/>
      <c r="K294" s="2"/>
      <c r="L294" s="2"/>
      <c r="M294" s="3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</row>
    <row r="295" spans="1:32" ht="13">
      <c r="A295" s="2"/>
      <c r="B295" s="2"/>
      <c r="C295" s="2"/>
      <c r="D295" s="2"/>
      <c r="E295" s="2"/>
      <c r="F295" s="3"/>
      <c r="G295" s="2"/>
      <c r="H295" s="2"/>
      <c r="I295" s="2"/>
      <c r="J295" s="3"/>
      <c r="K295" s="2"/>
      <c r="L295" s="2"/>
      <c r="M295" s="3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</row>
    <row r="296" spans="1:32" ht="13">
      <c r="A296" s="2"/>
      <c r="B296" s="2"/>
      <c r="C296" s="2"/>
      <c r="D296" s="2"/>
      <c r="E296" s="2"/>
      <c r="F296" s="3"/>
      <c r="G296" s="2"/>
      <c r="H296" s="2"/>
      <c r="I296" s="2"/>
      <c r="J296" s="3"/>
      <c r="K296" s="2"/>
      <c r="L296" s="2"/>
      <c r="M296" s="3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</row>
    <row r="297" spans="1:32" ht="13">
      <c r="A297" s="2"/>
      <c r="B297" s="2"/>
      <c r="C297" s="2"/>
      <c r="D297" s="2"/>
      <c r="E297" s="2"/>
      <c r="F297" s="3"/>
      <c r="G297" s="2"/>
      <c r="H297" s="2"/>
      <c r="I297" s="2"/>
      <c r="J297" s="3"/>
      <c r="K297" s="2"/>
      <c r="L297" s="2"/>
      <c r="M297" s="3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</row>
    <row r="298" spans="1:32" ht="13">
      <c r="A298" s="2"/>
      <c r="B298" s="2"/>
      <c r="C298" s="2"/>
      <c r="D298" s="2"/>
      <c r="E298" s="2"/>
      <c r="F298" s="3"/>
      <c r="G298" s="2"/>
      <c r="H298" s="2"/>
      <c r="I298" s="2"/>
      <c r="J298" s="3"/>
      <c r="K298" s="2"/>
      <c r="L298" s="2"/>
      <c r="M298" s="3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</row>
    <row r="299" spans="1:32" ht="13">
      <c r="A299" s="2"/>
      <c r="B299" s="2"/>
      <c r="C299" s="2"/>
      <c r="D299" s="2"/>
      <c r="E299" s="2"/>
      <c r="F299" s="3"/>
      <c r="G299" s="2"/>
      <c r="H299" s="2"/>
      <c r="I299" s="2"/>
      <c r="J299" s="3"/>
      <c r="K299" s="2"/>
      <c r="L299" s="2"/>
      <c r="M299" s="3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</row>
    <row r="300" spans="1:32" ht="13">
      <c r="A300" s="2"/>
      <c r="B300" s="2"/>
      <c r="C300" s="2"/>
      <c r="D300" s="2"/>
      <c r="E300" s="2"/>
      <c r="F300" s="3"/>
      <c r="G300" s="2"/>
      <c r="H300" s="2"/>
      <c r="I300" s="2"/>
      <c r="J300" s="3"/>
      <c r="K300" s="2"/>
      <c r="L300" s="2"/>
      <c r="M300" s="3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</row>
    <row r="301" spans="1:32" ht="13">
      <c r="A301" s="2"/>
      <c r="B301" s="2"/>
      <c r="C301" s="2"/>
      <c r="D301" s="2"/>
      <c r="E301" s="2"/>
      <c r="F301" s="3"/>
      <c r="G301" s="2"/>
      <c r="H301" s="2"/>
      <c r="I301" s="2"/>
      <c r="J301" s="3"/>
      <c r="K301" s="2"/>
      <c r="L301" s="2"/>
      <c r="M301" s="3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</row>
    <row r="302" spans="1:32" ht="13">
      <c r="A302" s="2"/>
      <c r="B302" s="2"/>
      <c r="C302" s="2"/>
      <c r="D302" s="2"/>
      <c r="E302" s="2"/>
      <c r="F302" s="3"/>
      <c r="G302" s="2"/>
      <c r="H302" s="2"/>
      <c r="I302" s="2"/>
      <c r="J302" s="3"/>
      <c r="K302" s="2"/>
      <c r="L302" s="2"/>
      <c r="M302" s="3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</row>
    <row r="303" spans="1:32" ht="13">
      <c r="A303" s="2"/>
      <c r="B303" s="2"/>
      <c r="C303" s="2"/>
      <c r="D303" s="2"/>
      <c r="E303" s="2"/>
      <c r="F303" s="3"/>
      <c r="G303" s="2"/>
      <c r="H303" s="2"/>
      <c r="I303" s="2"/>
      <c r="J303" s="3"/>
      <c r="K303" s="2"/>
      <c r="L303" s="2"/>
      <c r="M303" s="3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</row>
    <row r="304" spans="1:32" ht="13">
      <c r="A304" s="2"/>
      <c r="B304" s="2"/>
      <c r="C304" s="2"/>
      <c r="D304" s="2"/>
      <c r="E304" s="2"/>
      <c r="F304" s="3"/>
      <c r="G304" s="2"/>
      <c r="H304" s="2"/>
      <c r="I304" s="2"/>
      <c r="J304" s="3"/>
      <c r="K304" s="2"/>
      <c r="L304" s="2"/>
      <c r="M304" s="3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</row>
    <row r="305" spans="1:32" ht="13">
      <c r="A305" s="2"/>
      <c r="B305" s="2"/>
      <c r="C305" s="2"/>
      <c r="D305" s="2"/>
      <c r="E305" s="2"/>
      <c r="F305" s="3"/>
      <c r="G305" s="2"/>
      <c r="H305" s="2"/>
      <c r="I305" s="2"/>
      <c r="J305" s="3"/>
      <c r="K305" s="2"/>
      <c r="L305" s="2"/>
      <c r="M305" s="3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</row>
    <row r="306" spans="1:32" ht="13">
      <c r="A306" s="2"/>
      <c r="B306" s="2"/>
      <c r="C306" s="2"/>
      <c r="D306" s="2"/>
      <c r="E306" s="2"/>
      <c r="F306" s="3"/>
      <c r="G306" s="2"/>
      <c r="H306" s="2"/>
      <c r="I306" s="2"/>
      <c r="J306" s="3"/>
      <c r="K306" s="2"/>
      <c r="L306" s="2"/>
      <c r="M306" s="3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</row>
    <row r="307" spans="1:32" ht="13">
      <c r="A307" s="2"/>
      <c r="B307" s="2"/>
      <c r="C307" s="2"/>
      <c r="D307" s="2"/>
      <c r="E307" s="2"/>
      <c r="F307" s="3"/>
      <c r="G307" s="2"/>
      <c r="H307" s="2"/>
      <c r="I307" s="2"/>
      <c r="J307" s="3"/>
      <c r="K307" s="2"/>
      <c r="L307" s="2"/>
      <c r="M307" s="3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</row>
    <row r="308" spans="1:32" ht="13">
      <c r="A308" s="2"/>
      <c r="B308" s="2"/>
      <c r="C308" s="2"/>
      <c r="D308" s="2"/>
      <c r="E308" s="2"/>
      <c r="F308" s="3"/>
      <c r="G308" s="2"/>
      <c r="H308" s="2"/>
      <c r="I308" s="2"/>
      <c r="J308" s="3"/>
      <c r="K308" s="2"/>
      <c r="L308" s="2"/>
      <c r="M308" s="3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</row>
    <row r="309" spans="1:32" ht="13">
      <c r="A309" s="2"/>
      <c r="B309" s="2"/>
      <c r="C309" s="2"/>
      <c r="D309" s="2"/>
      <c r="E309" s="2"/>
      <c r="F309" s="3"/>
      <c r="G309" s="2"/>
      <c r="H309" s="2"/>
      <c r="I309" s="2"/>
      <c r="J309" s="3"/>
      <c r="K309" s="2"/>
      <c r="L309" s="2"/>
      <c r="M309" s="3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</row>
    <row r="310" spans="1:32" ht="13">
      <c r="A310" s="2"/>
      <c r="B310" s="2"/>
      <c r="C310" s="2"/>
      <c r="D310" s="2"/>
      <c r="E310" s="2"/>
      <c r="F310" s="3"/>
      <c r="G310" s="2"/>
      <c r="H310" s="2"/>
      <c r="I310" s="2"/>
      <c r="J310" s="3"/>
      <c r="K310" s="2"/>
      <c r="L310" s="2"/>
      <c r="M310" s="3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</row>
    <row r="311" spans="1:32" ht="13">
      <c r="A311" s="2"/>
      <c r="B311" s="2"/>
      <c r="C311" s="2"/>
      <c r="D311" s="2"/>
      <c r="E311" s="2"/>
      <c r="F311" s="3"/>
      <c r="G311" s="2"/>
      <c r="H311" s="2"/>
      <c r="I311" s="2"/>
      <c r="J311" s="3"/>
      <c r="K311" s="2"/>
      <c r="L311" s="2"/>
      <c r="M311" s="3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</row>
    <row r="312" spans="1:32" ht="13">
      <c r="A312" s="2"/>
      <c r="B312" s="2"/>
      <c r="C312" s="2"/>
      <c r="D312" s="2"/>
      <c r="E312" s="2"/>
      <c r="F312" s="3"/>
      <c r="G312" s="2"/>
      <c r="H312" s="2"/>
      <c r="I312" s="2"/>
      <c r="J312" s="3"/>
      <c r="K312" s="2"/>
      <c r="L312" s="2"/>
      <c r="M312" s="3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</row>
    <row r="313" spans="1:32" ht="13">
      <c r="A313" s="2"/>
      <c r="B313" s="2"/>
      <c r="C313" s="2"/>
      <c r="D313" s="2"/>
      <c r="E313" s="2"/>
      <c r="F313" s="3"/>
      <c r="G313" s="2"/>
      <c r="H313" s="2"/>
      <c r="I313" s="2"/>
      <c r="J313" s="3"/>
      <c r="K313" s="2"/>
      <c r="L313" s="2"/>
      <c r="M313" s="3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</row>
    <row r="314" spans="1:32" ht="13">
      <c r="A314" s="2"/>
      <c r="B314" s="2"/>
      <c r="C314" s="2"/>
      <c r="D314" s="2"/>
      <c r="E314" s="2"/>
      <c r="F314" s="3"/>
      <c r="G314" s="2"/>
      <c r="H314" s="2"/>
      <c r="I314" s="2"/>
      <c r="J314" s="3"/>
      <c r="K314" s="2"/>
      <c r="L314" s="2"/>
      <c r="M314" s="3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</row>
    <row r="315" spans="1:32" ht="13">
      <c r="A315" s="2"/>
      <c r="B315" s="2"/>
      <c r="C315" s="2"/>
      <c r="D315" s="2"/>
      <c r="E315" s="2"/>
      <c r="F315" s="3"/>
      <c r="G315" s="2"/>
      <c r="H315" s="2"/>
      <c r="I315" s="2"/>
      <c r="J315" s="3"/>
      <c r="K315" s="2"/>
      <c r="L315" s="2"/>
      <c r="M315" s="3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</row>
    <row r="316" spans="1:32" ht="13">
      <c r="A316" s="2"/>
      <c r="B316" s="2"/>
      <c r="C316" s="2"/>
      <c r="D316" s="2"/>
      <c r="E316" s="2"/>
      <c r="F316" s="3"/>
      <c r="G316" s="2"/>
      <c r="H316" s="2"/>
      <c r="I316" s="2"/>
      <c r="J316" s="3"/>
      <c r="K316" s="2"/>
      <c r="L316" s="2"/>
      <c r="M316" s="3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</row>
    <row r="317" spans="1:32" ht="13">
      <c r="A317" s="2"/>
      <c r="B317" s="2"/>
      <c r="C317" s="2"/>
      <c r="D317" s="2"/>
      <c r="E317" s="2"/>
      <c r="F317" s="3"/>
      <c r="G317" s="2"/>
      <c r="H317" s="2"/>
      <c r="I317" s="2"/>
      <c r="J317" s="3"/>
      <c r="K317" s="2"/>
      <c r="L317" s="2"/>
      <c r="M317" s="3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</row>
    <row r="318" spans="1:32" ht="13">
      <c r="A318" s="2"/>
      <c r="B318" s="2"/>
      <c r="C318" s="2"/>
      <c r="D318" s="2"/>
      <c r="E318" s="2"/>
      <c r="F318" s="3"/>
      <c r="G318" s="2"/>
      <c r="H318" s="2"/>
      <c r="I318" s="2"/>
      <c r="J318" s="3"/>
      <c r="K318" s="2"/>
      <c r="L318" s="2"/>
      <c r="M318" s="3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</row>
    <row r="319" spans="1:32" ht="13">
      <c r="A319" s="2"/>
      <c r="B319" s="2"/>
      <c r="C319" s="2"/>
      <c r="D319" s="2"/>
      <c r="E319" s="2"/>
      <c r="F319" s="3"/>
      <c r="G319" s="2"/>
      <c r="H319" s="2"/>
      <c r="I319" s="2"/>
      <c r="J319" s="3"/>
      <c r="K319" s="2"/>
      <c r="L319" s="2"/>
      <c r="M319" s="3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</row>
    <row r="320" spans="1:32" ht="13">
      <c r="A320" s="2"/>
      <c r="B320" s="2"/>
      <c r="C320" s="2"/>
      <c r="D320" s="2"/>
      <c r="E320" s="2"/>
      <c r="F320" s="3"/>
      <c r="G320" s="2"/>
      <c r="H320" s="2"/>
      <c r="I320" s="2"/>
      <c r="J320" s="3"/>
      <c r="K320" s="2"/>
      <c r="L320" s="2"/>
      <c r="M320" s="3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</row>
    <row r="321" spans="1:32" ht="13">
      <c r="A321" s="2"/>
      <c r="B321" s="2"/>
      <c r="C321" s="2"/>
      <c r="D321" s="2"/>
      <c r="E321" s="2"/>
      <c r="F321" s="3"/>
      <c r="G321" s="2"/>
      <c r="H321" s="2"/>
      <c r="I321" s="2"/>
      <c r="J321" s="3"/>
      <c r="K321" s="2"/>
      <c r="L321" s="2"/>
      <c r="M321" s="3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</row>
    <row r="322" spans="1:32" ht="13">
      <c r="A322" s="2"/>
      <c r="B322" s="2"/>
      <c r="C322" s="2"/>
      <c r="D322" s="2"/>
      <c r="E322" s="2"/>
      <c r="F322" s="3"/>
      <c r="G322" s="2"/>
      <c r="H322" s="2"/>
      <c r="I322" s="2"/>
      <c r="J322" s="3"/>
      <c r="K322" s="2"/>
      <c r="L322" s="2"/>
      <c r="M322" s="3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</row>
    <row r="323" spans="1:32" ht="13">
      <c r="A323" s="2"/>
      <c r="B323" s="2"/>
      <c r="C323" s="2"/>
      <c r="D323" s="2"/>
      <c r="E323" s="2"/>
      <c r="F323" s="3"/>
      <c r="G323" s="2"/>
      <c r="H323" s="2"/>
      <c r="I323" s="2"/>
      <c r="J323" s="3"/>
      <c r="K323" s="2"/>
      <c r="L323" s="2"/>
      <c r="M323" s="3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</row>
    <row r="324" spans="1:32" ht="13">
      <c r="A324" s="2"/>
      <c r="B324" s="2"/>
      <c r="C324" s="2"/>
      <c r="D324" s="2"/>
      <c r="E324" s="2"/>
      <c r="F324" s="3"/>
      <c r="G324" s="2"/>
      <c r="H324" s="2"/>
      <c r="I324" s="2"/>
      <c r="J324" s="3"/>
      <c r="K324" s="2"/>
      <c r="L324" s="2"/>
      <c r="M324" s="3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</row>
    <row r="325" spans="1:32" ht="13">
      <c r="A325" s="2"/>
      <c r="B325" s="2"/>
      <c r="C325" s="2"/>
      <c r="D325" s="2"/>
      <c r="E325" s="2"/>
      <c r="F325" s="3"/>
      <c r="G325" s="2"/>
      <c r="H325" s="2"/>
      <c r="I325" s="2"/>
      <c r="J325" s="3"/>
      <c r="K325" s="2"/>
      <c r="L325" s="2"/>
      <c r="M325" s="3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</row>
    <row r="326" spans="1:32" ht="13">
      <c r="A326" s="2"/>
      <c r="B326" s="2"/>
      <c r="C326" s="2"/>
      <c r="D326" s="2"/>
      <c r="E326" s="2"/>
      <c r="F326" s="3"/>
      <c r="G326" s="2"/>
      <c r="H326" s="2"/>
      <c r="I326" s="2"/>
      <c r="J326" s="3"/>
      <c r="K326" s="2"/>
      <c r="L326" s="2"/>
      <c r="M326" s="3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</row>
    <row r="327" spans="1:32" ht="13">
      <c r="A327" s="2"/>
      <c r="B327" s="2"/>
      <c r="C327" s="2"/>
      <c r="D327" s="2"/>
      <c r="E327" s="2"/>
      <c r="F327" s="3"/>
      <c r="G327" s="2"/>
      <c r="H327" s="2"/>
      <c r="I327" s="2"/>
      <c r="J327" s="3"/>
      <c r="K327" s="2"/>
      <c r="L327" s="2"/>
      <c r="M327" s="3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</row>
    <row r="328" spans="1:32" ht="13">
      <c r="A328" s="2"/>
      <c r="B328" s="2"/>
      <c r="C328" s="2"/>
      <c r="D328" s="2"/>
      <c r="E328" s="2"/>
      <c r="F328" s="3"/>
      <c r="G328" s="2"/>
      <c r="H328" s="2"/>
      <c r="I328" s="2"/>
      <c r="J328" s="3"/>
      <c r="K328" s="2"/>
      <c r="L328" s="2"/>
      <c r="M328" s="3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</row>
    <row r="329" spans="1:32" ht="13">
      <c r="A329" s="2"/>
      <c r="B329" s="2"/>
      <c r="C329" s="2"/>
      <c r="D329" s="2"/>
      <c r="E329" s="2"/>
      <c r="F329" s="3"/>
      <c r="G329" s="2"/>
      <c r="H329" s="2"/>
      <c r="I329" s="2"/>
      <c r="J329" s="3"/>
      <c r="K329" s="2"/>
      <c r="L329" s="2"/>
      <c r="M329" s="3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</row>
    <row r="330" spans="1:32" ht="13">
      <c r="A330" s="2"/>
      <c r="B330" s="2"/>
      <c r="C330" s="2"/>
      <c r="D330" s="2"/>
      <c r="E330" s="2"/>
      <c r="F330" s="3"/>
      <c r="G330" s="2"/>
      <c r="H330" s="2"/>
      <c r="I330" s="2"/>
      <c r="J330" s="3"/>
      <c r="K330" s="2"/>
      <c r="L330" s="2"/>
      <c r="M330" s="3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</row>
    <row r="331" spans="1:32" ht="13">
      <c r="A331" s="2"/>
      <c r="B331" s="2"/>
      <c r="C331" s="2"/>
      <c r="D331" s="2"/>
      <c r="E331" s="2"/>
      <c r="F331" s="3"/>
      <c r="G331" s="2"/>
      <c r="H331" s="2"/>
      <c r="I331" s="2"/>
      <c r="J331" s="3"/>
      <c r="K331" s="2"/>
      <c r="L331" s="2"/>
      <c r="M331" s="3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</row>
    <row r="332" spans="1:32" ht="13">
      <c r="A332" s="2"/>
      <c r="B332" s="2"/>
      <c r="C332" s="2"/>
      <c r="D332" s="2"/>
      <c r="E332" s="2"/>
      <c r="F332" s="3"/>
      <c r="G332" s="2"/>
      <c r="H332" s="2"/>
      <c r="I332" s="2"/>
      <c r="J332" s="3"/>
      <c r="K332" s="2"/>
      <c r="L332" s="2"/>
      <c r="M332" s="3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</row>
    <row r="333" spans="1:32" ht="13">
      <c r="A333" s="2"/>
      <c r="B333" s="2"/>
      <c r="C333" s="2"/>
      <c r="D333" s="2"/>
      <c r="E333" s="2"/>
      <c r="F333" s="3"/>
      <c r="G333" s="2"/>
      <c r="H333" s="2"/>
      <c r="I333" s="2"/>
      <c r="J333" s="3"/>
      <c r="K333" s="2"/>
      <c r="L333" s="2"/>
      <c r="M333" s="3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</row>
    <row r="334" spans="1:32" ht="13">
      <c r="A334" s="2"/>
      <c r="B334" s="2"/>
      <c r="C334" s="2"/>
      <c r="D334" s="2"/>
      <c r="E334" s="2"/>
      <c r="F334" s="3"/>
      <c r="G334" s="2"/>
      <c r="H334" s="2"/>
      <c r="I334" s="2"/>
      <c r="J334" s="3"/>
      <c r="K334" s="2"/>
      <c r="L334" s="2"/>
      <c r="M334" s="3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</row>
    <row r="335" spans="1:32" ht="13">
      <c r="A335" s="2"/>
      <c r="B335" s="2"/>
      <c r="C335" s="2"/>
      <c r="D335" s="2"/>
      <c r="E335" s="2"/>
      <c r="F335" s="3"/>
      <c r="G335" s="2"/>
      <c r="H335" s="2"/>
      <c r="I335" s="2"/>
      <c r="J335" s="3"/>
      <c r="K335" s="2"/>
      <c r="L335" s="2"/>
      <c r="M335" s="3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</row>
    <row r="336" spans="1:32" ht="13">
      <c r="A336" s="2"/>
      <c r="B336" s="2"/>
      <c r="C336" s="2"/>
      <c r="D336" s="2"/>
      <c r="E336" s="2"/>
      <c r="F336" s="3"/>
      <c r="G336" s="2"/>
      <c r="H336" s="2"/>
      <c r="I336" s="2"/>
      <c r="J336" s="3"/>
      <c r="K336" s="2"/>
      <c r="L336" s="2"/>
      <c r="M336" s="3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</row>
    <row r="337" spans="1:32" ht="13">
      <c r="A337" s="2"/>
      <c r="B337" s="2"/>
      <c r="C337" s="2"/>
      <c r="D337" s="2"/>
      <c r="E337" s="2"/>
      <c r="F337" s="3"/>
      <c r="G337" s="2"/>
      <c r="H337" s="2"/>
      <c r="I337" s="2"/>
      <c r="J337" s="3"/>
      <c r="K337" s="2"/>
      <c r="L337" s="2"/>
      <c r="M337" s="3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</row>
    <row r="338" spans="1:32" ht="13">
      <c r="A338" s="2"/>
      <c r="B338" s="2"/>
      <c r="C338" s="2"/>
      <c r="D338" s="2"/>
      <c r="E338" s="2"/>
      <c r="F338" s="3"/>
      <c r="G338" s="2"/>
      <c r="H338" s="2"/>
      <c r="I338" s="2"/>
      <c r="J338" s="3"/>
      <c r="K338" s="2"/>
      <c r="L338" s="2"/>
      <c r="M338" s="3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</row>
    <row r="339" spans="1:32" ht="13">
      <c r="A339" s="2"/>
      <c r="B339" s="2"/>
      <c r="C339" s="2"/>
      <c r="D339" s="2"/>
      <c r="E339" s="2"/>
      <c r="F339" s="3"/>
      <c r="G339" s="2"/>
      <c r="H339" s="2"/>
      <c r="I339" s="2"/>
      <c r="J339" s="3"/>
      <c r="K339" s="2"/>
      <c r="L339" s="2"/>
      <c r="M339" s="3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</row>
    <row r="340" spans="1:32" ht="13">
      <c r="A340" s="2"/>
      <c r="B340" s="2"/>
      <c r="C340" s="2"/>
      <c r="D340" s="2"/>
      <c r="E340" s="2"/>
      <c r="F340" s="3"/>
      <c r="G340" s="2"/>
      <c r="H340" s="2"/>
      <c r="I340" s="2"/>
      <c r="J340" s="3"/>
      <c r="K340" s="2"/>
      <c r="L340" s="2"/>
      <c r="M340" s="3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</row>
    <row r="341" spans="1:32" ht="13">
      <c r="A341" s="2"/>
      <c r="B341" s="2"/>
      <c r="C341" s="2"/>
      <c r="D341" s="2"/>
      <c r="E341" s="2"/>
      <c r="F341" s="3"/>
      <c r="G341" s="2"/>
      <c r="H341" s="2"/>
      <c r="I341" s="2"/>
      <c r="J341" s="3"/>
      <c r="K341" s="2"/>
      <c r="L341" s="2"/>
      <c r="M341" s="3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</row>
    <row r="342" spans="1:32" ht="13">
      <c r="A342" s="2"/>
      <c r="B342" s="2"/>
      <c r="C342" s="2"/>
      <c r="D342" s="2"/>
      <c r="E342" s="2"/>
      <c r="F342" s="3"/>
      <c r="G342" s="2"/>
      <c r="H342" s="2"/>
      <c r="I342" s="2"/>
      <c r="J342" s="3"/>
      <c r="K342" s="2"/>
      <c r="L342" s="2"/>
      <c r="M342" s="3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</row>
    <row r="343" spans="1:32" ht="13">
      <c r="A343" s="2"/>
      <c r="B343" s="2"/>
      <c r="C343" s="2"/>
      <c r="D343" s="2"/>
      <c r="E343" s="2"/>
      <c r="F343" s="3"/>
      <c r="G343" s="2"/>
      <c r="H343" s="2"/>
      <c r="I343" s="2"/>
      <c r="J343" s="3"/>
      <c r="K343" s="2"/>
      <c r="L343" s="2"/>
      <c r="M343" s="3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</row>
    <row r="344" spans="1:32" ht="13">
      <c r="A344" s="2"/>
      <c r="B344" s="2"/>
      <c r="C344" s="2"/>
      <c r="D344" s="2"/>
      <c r="E344" s="2"/>
      <c r="F344" s="3"/>
      <c r="G344" s="2"/>
      <c r="H344" s="2"/>
      <c r="I344" s="2"/>
      <c r="J344" s="3"/>
      <c r="K344" s="2"/>
      <c r="L344" s="2"/>
      <c r="M344" s="3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</row>
    <row r="345" spans="1:32" ht="13">
      <c r="A345" s="2"/>
      <c r="B345" s="2"/>
      <c r="C345" s="2"/>
      <c r="D345" s="2"/>
      <c r="E345" s="2"/>
      <c r="F345" s="3"/>
      <c r="G345" s="2"/>
      <c r="H345" s="2"/>
      <c r="I345" s="2"/>
      <c r="J345" s="3"/>
      <c r="K345" s="2"/>
      <c r="L345" s="2"/>
      <c r="M345" s="3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</row>
    <row r="346" spans="1:32" ht="13">
      <c r="A346" s="2"/>
      <c r="B346" s="2"/>
      <c r="C346" s="2"/>
      <c r="D346" s="2"/>
      <c r="E346" s="2"/>
      <c r="F346" s="3"/>
      <c r="G346" s="2"/>
      <c r="H346" s="2"/>
      <c r="I346" s="2"/>
      <c r="J346" s="3"/>
      <c r="K346" s="2"/>
      <c r="L346" s="2"/>
      <c r="M346" s="3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</row>
    <row r="347" spans="1:32" ht="13">
      <c r="A347" s="2"/>
      <c r="B347" s="2"/>
      <c r="C347" s="2"/>
      <c r="D347" s="2"/>
      <c r="E347" s="2"/>
      <c r="F347" s="3"/>
      <c r="G347" s="2"/>
      <c r="H347" s="2"/>
      <c r="I347" s="2"/>
      <c r="J347" s="3"/>
      <c r="K347" s="2"/>
      <c r="L347" s="2"/>
      <c r="M347" s="3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</row>
    <row r="348" spans="1:32" ht="13">
      <c r="A348" s="2"/>
      <c r="B348" s="2"/>
      <c r="C348" s="2"/>
      <c r="D348" s="2"/>
      <c r="E348" s="2"/>
      <c r="F348" s="3"/>
      <c r="G348" s="2"/>
      <c r="H348" s="2"/>
      <c r="I348" s="2"/>
      <c r="J348" s="3"/>
      <c r="K348" s="2"/>
      <c r="L348" s="2"/>
      <c r="M348" s="3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</row>
    <row r="349" spans="1:32" ht="13">
      <c r="A349" s="2"/>
      <c r="B349" s="2"/>
      <c r="C349" s="2"/>
      <c r="D349" s="2"/>
      <c r="E349" s="2"/>
      <c r="F349" s="3"/>
      <c r="G349" s="2"/>
      <c r="H349" s="2"/>
      <c r="I349" s="2"/>
      <c r="J349" s="3"/>
      <c r="K349" s="2"/>
      <c r="L349" s="2"/>
      <c r="M349" s="3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</row>
    <row r="350" spans="1:32" ht="13">
      <c r="A350" s="2"/>
      <c r="B350" s="2"/>
      <c r="C350" s="2"/>
      <c r="D350" s="2"/>
      <c r="E350" s="2"/>
      <c r="F350" s="3"/>
      <c r="G350" s="2"/>
      <c r="H350" s="2"/>
      <c r="I350" s="2"/>
      <c r="J350" s="3"/>
      <c r="K350" s="2"/>
      <c r="L350" s="2"/>
      <c r="M350" s="3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</row>
    <row r="351" spans="1:32" ht="13">
      <c r="A351" s="2"/>
      <c r="B351" s="2"/>
      <c r="C351" s="2"/>
      <c r="D351" s="2"/>
      <c r="E351" s="2"/>
      <c r="F351" s="3"/>
      <c r="G351" s="2"/>
      <c r="H351" s="2"/>
      <c r="I351" s="2"/>
      <c r="J351" s="3"/>
      <c r="K351" s="2"/>
      <c r="L351" s="2"/>
      <c r="M351" s="3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</row>
    <row r="352" spans="1:32" ht="13">
      <c r="A352" s="2"/>
      <c r="B352" s="2"/>
      <c r="C352" s="2"/>
      <c r="D352" s="2"/>
      <c r="E352" s="2"/>
      <c r="F352" s="3"/>
      <c r="G352" s="2"/>
      <c r="H352" s="2"/>
      <c r="I352" s="2"/>
      <c r="J352" s="3"/>
      <c r="K352" s="2"/>
      <c r="L352" s="2"/>
      <c r="M352" s="3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</row>
    <row r="353" spans="1:32" ht="13">
      <c r="A353" s="2"/>
      <c r="B353" s="2"/>
      <c r="C353" s="2"/>
      <c r="D353" s="2"/>
      <c r="E353" s="2"/>
      <c r="F353" s="3"/>
      <c r="G353" s="2"/>
      <c r="H353" s="2"/>
      <c r="I353" s="2"/>
      <c r="J353" s="3"/>
      <c r="K353" s="2"/>
      <c r="L353" s="2"/>
      <c r="M353" s="3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</row>
    <row r="354" spans="1:32" ht="13">
      <c r="A354" s="2"/>
      <c r="B354" s="2"/>
      <c r="C354" s="2"/>
      <c r="D354" s="2"/>
      <c r="E354" s="2"/>
      <c r="F354" s="3"/>
      <c r="G354" s="2"/>
      <c r="H354" s="2"/>
      <c r="I354" s="2"/>
      <c r="J354" s="3"/>
      <c r="K354" s="2"/>
      <c r="L354" s="2"/>
      <c r="M354" s="3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</row>
    <row r="355" spans="1:32" ht="13">
      <c r="A355" s="2"/>
      <c r="B355" s="2"/>
      <c r="C355" s="2"/>
      <c r="D355" s="2"/>
      <c r="E355" s="2"/>
      <c r="F355" s="3"/>
      <c r="G355" s="2"/>
      <c r="H355" s="2"/>
      <c r="I355" s="2"/>
      <c r="J355" s="3"/>
      <c r="K355" s="2"/>
      <c r="L355" s="2"/>
      <c r="M355" s="3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</row>
    <row r="356" spans="1:32" ht="13">
      <c r="A356" s="2"/>
      <c r="B356" s="2"/>
      <c r="C356" s="2"/>
      <c r="D356" s="2"/>
      <c r="E356" s="2"/>
      <c r="F356" s="3"/>
      <c r="G356" s="2"/>
      <c r="H356" s="2"/>
      <c r="I356" s="2"/>
      <c r="J356" s="3"/>
      <c r="K356" s="2"/>
      <c r="L356" s="2"/>
      <c r="M356" s="3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</row>
    <row r="357" spans="1:32" ht="13">
      <c r="A357" s="2"/>
      <c r="B357" s="2"/>
      <c r="C357" s="2"/>
      <c r="D357" s="2"/>
      <c r="E357" s="2"/>
      <c r="F357" s="3"/>
      <c r="G357" s="2"/>
      <c r="H357" s="2"/>
      <c r="I357" s="2"/>
      <c r="J357" s="3"/>
      <c r="K357" s="2"/>
      <c r="L357" s="2"/>
      <c r="M357" s="3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</row>
    <row r="358" spans="1:32" ht="13">
      <c r="A358" s="2"/>
      <c r="B358" s="2"/>
      <c r="C358" s="2"/>
      <c r="D358" s="2"/>
      <c r="E358" s="2"/>
      <c r="F358" s="3"/>
      <c r="G358" s="2"/>
      <c r="H358" s="2"/>
      <c r="I358" s="2"/>
      <c r="J358" s="3"/>
      <c r="K358" s="2"/>
      <c r="L358" s="2"/>
      <c r="M358" s="3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</row>
    <row r="359" spans="1:32" ht="13">
      <c r="A359" s="2"/>
      <c r="B359" s="2"/>
      <c r="C359" s="2"/>
      <c r="D359" s="2"/>
      <c r="E359" s="2"/>
      <c r="F359" s="3"/>
      <c r="G359" s="2"/>
      <c r="H359" s="2"/>
      <c r="I359" s="2"/>
      <c r="J359" s="3"/>
      <c r="K359" s="2"/>
      <c r="L359" s="2"/>
      <c r="M359" s="3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</row>
    <row r="360" spans="1:32" ht="13">
      <c r="A360" s="2"/>
      <c r="B360" s="2"/>
      <c r="C360" s="2"/>
      <c r="D360" s="2"/>
      <c r="E360" s="2"/>
      <c r="F360" s="3"/>
      <c r="G360" s="2"/>
      <c r="H360" s="2"/>
      <c r="I360" s="2"/>
      <c r="J360" s="3"/>
      <c r="K360" s="2"/>
      <c r="L360" s="2"/>
      <c r="M360" s="3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</row>
    <row r="361" spans="1:32" ht="13">
      <c r="A361" s="2"/>
      <c r="B361" s="2"/>
      <c r="C361" s="2"/>
      <c r="D361" s="2"/>
      <c r="E361" s="2"/>
      <c r="F361" s="3"/>
      <c r="G361" s="2"/>
      <c r="H361" s="2"/>
      <c r="I361" s="2"/>
      <c r="J361" s="3"/>
      <c r="K361" s="2"/>
      <c r="L361" s="2"/>
      <c r="M361" s="3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</row>
    <row r="362" spans="1:32" ht="13">
      <c r="A362" s="2"/>
      <c r="B362" s="2"/>
      <c r="C362" s="2"/>
      <c r="D362" s="2"/>
      <c r="E362" s="2"/>
      <c r="F362" s="3"/>
      <c r="G362" s="2"/>
      <c r="H362" s="2"/>
      <c r="I362" s="2"/>
      <c r="J362" s="3"/>
      <c r="K362" s="2"/>
      <c r="L362" s="2"/>
      <c r="M362" s="3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</row>
    <row r="363" spans="1:32" ht="13">
      <c r="A363" s="2"/>
      <c r="B363" s="2"/>
      <c r="C363" s="2"/>
      <c r="D363" s="2"/>
      <c r="E363" s="2"/>
      <c r="F363" s="3"/>
      <c r="G363" s="2"/>
      <c r="H363" s="2"/>
      <c r="I363" s="2"/>
      <c r="J363" s="3"/>
      <c r="K363" s="2"/>
      <c r="L363" s="2"/>
      <c r="M363" s="3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</row>
    <row r="364" spans="1:32" ht="13">
      <c r="A364" s="2"/>
      <c r="B364" s="2"/>
      <c r="C364" s="2"/>
      <c r="D364" s="2"/>
      <c r="E364" s="2"/>
      <c r="F364" s="3"/>
      <c r="G364" s="2"/>
      <c r="H364" s="2"/>
      <c r="I364" s="2"/>
      <c r="J364" s="3"/>
      <c r="K364" s="2"/>
      <c r="L364" s="2"/>
      <c r="M364" s="3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</row>
    <row r="365" spans="1:32" ht="13">
      <c r="A365" s="2"/>
      <c r="B365" s="2"/>
      <c r="C365" s="2"/>
      <c r="D365" s="2"/>
      <c r="E365" s="2"/>
      <c r="F365" s="3"/>
      <c r="G365" s="2"/>
      <c r="H365" s="2"/>
      <c r="I365" s="2"/>
      <c r="J365" s="3"/>
      <c r="K365" s="2"/>
      <c r="L365" s="2"/>
      <c r="M365" s="3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</row>
    <row r="366" spans="1:32" ht="13">
      <c r="A366" s="2"/>
      <c r="B366" s="2"/>
      <c r="C366" s="2"/>
      <c r="D366" s="2"/>
      <c r="E366" s="2"/>
      <c r="F366" s="3"/>
      <c r="G366" s="2"/>
      <c r="H366" s="2"/>
      <c r="I366" s="2"/>
      <c r="J366" s="3"/>
      <c r="K366" s="2"/>
      <c r="L366" s="2"/>
      <c r="M366" s="3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</row>
    <row r="367" spans="1:32" ht="13">
      <c r="A367" s="2"/>
      <c r="B367" s="2"/>
      <c r="C367" s="2"/>
      <c r="D367" s="2"/>
      <c r="E367" s="2"/>
      <c r="F367" s="3"/>
      <c r="G367" s="2"/>
      <c r="H367" s="2"/>
      <c r="I367" s="2"/>
      <c r="J367" s="3"/>
      <c r="K367" s="2"/>
      <c r="L367" s="2"/>
      <c r="M367" s="3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</row>
    <row r="368" spans="1:32" ht="13">
      <c r="A368" s="2"/>
      <c r="B368" s="2"/>
      <c r="C368" s="2"/>
      <c r="D368" s="2"/>
      <c r="E368" s="2"/>
      <c r="F368" s="3"/>
      <c r="G368" s="2"/>
      <c r="H368" s="2"/>
      <c r="I368" s="2"/>
      <c r="J368" s="3"/>
      <c r="K368" s="2"/>
      <c r="L368" s="2"/>
      <c r="M368" s="3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</row>
    <row r="369" spans="1:32" ht="13">
      <c r="A369" s="2"/>
      <c r="B369" s="2"/>
      <c r="C369" s="2"/>
      <c r="D369" s="2"/>
      <c r="E369" s="2"/>
      <c r="F369" s="3"/>
      <c r="G369" s="2"/>
      <c r="H369" s="2"/>
      <c r="I369" s="2"/>
      <c r="J369" s="3"/>
      <c r="K369" s="2"/>
      <c r="L369" s="2"/>
      <c r="M369" s="3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</row>
    <row r="370" spans="1:32" ht="13">
      <c r="A370" s="2"/>
      <c r="B370" s="2"/>
      <c r="C370" s="2"/>
      <c r="D370" s="2"/>
      <c r="E370" s="2"/>
      <c r="F370" s="3"/>
      <c r="G370" s="2"/>
      <c r="H370" s="2"/>
      <c r="I370" s="2"/>
      <c r="J370" s="3"/>
      <c r="K370" s="2"/>
      <c r="L370" s="2"/>
      <c r="M370" s="3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</row>
    <row r="371" spans="1:32" ht="13">
      <c r="A371" s="2"/>
      <c r="B371" s="2"/>
      <c r="C371" s="2"/>
      <c r="D371" s="2"/>
      <c r="E371" s="2"/>
      <c r="F371" s="3"/>
      <c r="G371" s="2"/>
      <c r="H371" s="2"/>
      <c r="I371" s="2"/>
      <c r="J371" s="3"/>
      <c r="K371" s="2"/>
      <c r="L371" s="2"/>
      <c r="M371" s="3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</row>
    <row r="372" spans="1:32" ht="13">
      <c r="A372" s="2"/>
      <c r="B372" s="2"/>
      <c r="C372" s="2"/>
      <c r="D372" s="2"/>
      <c r="E372" s="2"/>
      <c r="F372" s="3"/>
      <c r="G372" s="2"/>
      <c r="H372" s="2"/>
      <c r="I372" s="2"/>
      <c r="J372" s="3"/>
      <c r="K372" s="2"/>
      <c r="L372" s="2"/>
      <c r="M372" s="3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</row>
    <row r="373" spans="1:32" ht="13">
      <c r="A373" s="2"/>
      <c r="B373" s="2"/>
      <c r="C373" s="2"/>
      <c r="D373" s="2"/>
      <c r="E373" s="2"/>
      <c r="F373" s="3"/>
      <c r="G373" s="2"/>
      <c r="H373" s="2"/>
      <c r="I373" s="2"/>
      <c r="J373" s="3"/>
      <c r="K373" s="2"/>
      <c r="L373" s="2"/>
      <c r="M373" s="3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</row>
    <row r="374" spans="1:32" ht="13">
      <c r="A374" s="2"/>
      <c r="B374" s="2"/>
      <c r="C374" s="2"/>
      <c r="D374" s="2"/>
      <c r="E374" s="2"/>
      <c r="F374" s="3"/>
      <c r="G374" s="2"/>
      <c r="H374" s="2"/>
      <c r="I374" s="2"/>
      <c r="J374" s="3"/>
      <c r="K374" s="2"/>
      <c r="L374" s="2"/>
      <c r="M374" s="3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</row>
    <row r="375" spans="1:32" ht="13">
      <c r="A375" s="2"/>
      <c r="B375" s="2"/>
      <c r="C375" s="2"/>
      <c r="D375" s="2"/>
      <c r="E375" s="2"/>
      <c r="F375" s="3"/>
      <c r="G375" s="2"/>
      <c r="H375" s="2"/>
      <c r="I375" s="2"/>
      <c r="J375" s="3"/>
      <c r="K375" s="2"/>
      <c r="L375" s="2"/>
      <c r="M375" s="3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</row>
    <row r="376" spans="1:32" ht="13">
      <c r="A376" s="2"/>
      <c r="B376" s="2"/>
      <c r="C376" s="2"/>
      <c r="D376" s="2"/>
      <c r="E376" s="2"/>
      <c r="F376" s="3"/>
      <c r="G376" s="2"/>
      <c r="H376" s="2"/>
      <c r="I376" s="2"/>
      <c r="J376" s="3"/>
      <c r="K376" s="2"/>
      <c r="L376" s="2"/>
      <c r="M376" s="3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</row>
    <row r="377" spans="1:32" ht="13">
      <c r="A377" s="2"/>
      <c r="B377" s="2"/>
      <c r="C377" s="2"/>
      <c r="D377" s="2"/>
      <c r="E377" s="2"/>
      <c r="F377" s="3"/>
      <c r="G377" s="2"/>
      <c r="H377" s="2"/>
      <c r="I377" s="2"/>
      <c r="J377" s="3"/>
      <c r="K377" s="2"/>
      <c r="L377" s="2"/>
      <c r="M377" s="3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</row>
    <row r="378" spans="1:32" ht="13">
      <c r="A378" s="2"/>
      <c r="B378" s="2"/>
      <c r="C378" s="2"/>
      <c r="D378" s="2"/>
      <c r="E378" s="2"/>
      <c r="F378" s="3"/>
      <c r="G378" s="2"/>
      <c r="H378" s="2"/>
      <c r="I378" s="2"/>
      <c r="J378" s="3"/>
      <c r="K378" s="2"/>
      <c r="L378" s="2"/>
      <c r="M378" s="3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</row>
    <row r="379" spans="1:32" ht="13">
      <c r="A379" s="2"/>
      <c r="B379" s="2"/>
      <c r="C379" s="2"/>
      <c r="D379" s="2"/>
      <c r="E379" s="2"/>
      <c r="F379" s="3"/>
      <c r="G379" s="2"/>
      <c r="H379" s="2"/>
      <c r="I379" s="2"/>
      <c r="J379" s="3"/>
      <c r="K379" s="2"/>
      <c r="L379" s="2"/>
      <c r="M379" s="3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</row>
    <row r="380" spans="1:32" ht="13">
      <c r="A380" s="2"/>
      <c r="B380" s="2"/>
      <c r="C380" s="2"/>
      <c r="D380" s="2"/>
      <c r="E380" s="2"/>
      <c r="F380" s="3"/>
      <c r="G380" s="2"/>
      <c r="H380" s="2"/>
      <c r="I380" s="2"/>
      <c r="J380" s="3"/>
      <c r="K380" s="2"/>
      <c r="L380" s="2"/>
      <c r="M380" s="3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</row>
    <row r="381" spans="1:32" ht="13">
      <c r="A381" s="2"/>
      <c r="B381" s="2"/>
      <c r="C381" s="2"/>
      <c r="D381" s="2"/>
      <c r="E381" s="2"/>
      <c r="F381" s="3"/>
      <c r="G381" s="2"/>
      <c r="H381" s="2"/>
      <c r="I381" s="2"/>
      <c r="J381" s="3"/>
      <c r="K381" s="2"/>
      <c r="L381" s="2"/>
      <c r="M381" s="3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</row>
    <row r="382" spans="1:32" ht="13">
      <c r="A382" s="2"/>
      <c r="B382" s="2"/>
      <c r="C382" s="2"/>
      <c r="D382" s="2"/>
      <c r="E382" s="2"/>
      <c r="F382" s="3"/>
      <c r="G382" s="2"/>
      <c r="H382" s="2"/>
      <c r="I382" s="2"/>
      <c r="J382" s="3"/>
      <c r="K382" s="2"/>
      <c r="L382" s="2"/>
      <c r="M382" s="3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</row>
    <row r="383" spans="1:32" ht="13">
      <c r="A383" s="2"/>
      <c r="B383" s="2"/>
      <c r="C383" s="2"/>
      <c r="D383" s="2"/>
      <c r="E383" s="2"/>
      <c r="F383" s="3"/>
      <c r="G383" s="2"/>
      <c r="H383" s="2"/>
      <c r="I383" s="2"/>
      <c r="J383" s="3"/>
      <c r="K383" s="2"/>
      <c r="L383" s="2"/>
      <c r="M383" s="3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</row>
    <row r="384" spans="1:32" ht="13">
      <c r="A384" s="2"/>
      <c r="B384" s="2"/>
      <c r="C384" s="2"/>
      <c r="D384" s="2"/>
      <c r="E384" s="2"/>
      <c r="F384" s="3"/>
      <c r="G384" s="2"/>
      <c r="H384" s="2"/>
      <c r="I384" s="2"/>
      <c r="J384" s="3"/>
      <c r="K384" s="2"/>
      <c r="L384" s="2"/>
      <c r="M384" s="3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</row>
    <row r="385" spans="1:32" ht="13">
      <c r="A385" s="2"/>
      <c r="B385" s="2"/>
      <c r="C385" s="2"/>
      <c r="D385" s="2"/>
      <c r="E385" s="2"/>
      <c r="F385" s="3"/>
      <c r="G385" s="2"/>
      <c r="H385" s="2"/>
      <c r="I385" s="2"/>
      <c r="J385" s="3"/>
      <c r="K385" s="2"/>
      <c r="L385" s="2"/>
      <c r="M385" s="3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</row>
    <row r="386" spans="1:32" ht="13">
      <c r="A386" s="2"/>
      <c r="B386" s="2"/>
      <c r="C386" s="2"/>
      <c r="D386" s="2"/>
      <c r="E386" s="2"/>
      <c r="F386" s="3"/>
      <c r="G386" s="2"/>
      <c r="H386" s="2"/>
      <c r="I386" s="2"/>
      <c r="J386" s="3"/>
      <c r="K386" s="2"/>
      <c r="L386" s="2"/>
      <c r="M386" s="3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</row>
    <row r="387" spans="1:32" ht="13">
      <c r="A387" s="2"/>
      <c r="B387" s="2"/>
      <c r="C387" s="2"/>
      <c r="D387" s="2"/>
      <c r="E387" s="2"/>
      <c r="F387" s="3"/>
      <c r="G387" s="2"/>
      <c r="H387" s="2"/>
      <c r="I387" s="2"/>
      <c r="J387" s="3"/>
      <c r="K387" s="2"/>
      <c r="L387" s="2"/>
      <c r="M387" s="3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</row>
    <row r="388" spans="1:32" ht="13">
      <c r="A388" s="2"/>
      <c r="B388" s="2"/>
      <c r="C388" s="2"/>
      <c r="D388" s="2"/>
      <c r="E388" s="2"/>
      <c r="F388" s="3"/>
      <c r="G388" s="2"/>
      <c r="H388" s="2"/>
      <c r="I388" s="2"/>
      <c r="J388" s="3"/>
      <c r="K388" s="2"/>
      <c r="L388" s="2"/>
      <c r="M388" s="3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</row>
    <row r="389" spans="1:32" ht="13">
      <c r="A389" s="2"/>
      <c r="B389" s="2"/>
      <c r="C389" s="2"/>
      <c r="D389" s="2"/>
      <c r="E389" s="2"/>
      <c r="F389" s="3"/>
      <c r="G389" s="2"/>
      <c r="H389" s="2"/>
      <c r="I389" s="2"/>
      <c r="J389" s="3"/>
      <c r="K389" s="2"/>
      <c r="L389" s="2"/>
      <c r="M389" s="3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</row>
    <row r="390" spans="1:32" ht="13">
      <c r="A390" s="2"/>
      <c r="B390" s="2"/>
      <c r="C390" s="2"/>
      <c r="D390" s="2"/>
      <c r="E390" s="2"/>
      <c r="F390" s="3"/>
      <c r="G390" s="2"/>
      <c r="H390" s="2"/>
      <c r="I390" s="2"/>
      <c r="J390" s="3"/>
      <c r="K390" s="2"/>
      <c r="L390" s="2"/>
      <c r="M390" s="3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</row>
    <row r="391" spans="1:32" ht="13">
      <c r="A391" s="2"/>
      <c r="B391" s="2"/>
      <c r="C391" s="2"/>
      <c r="D391" s="2"/>
      <c r="E391" s="2"/>
      <c r="F391" s="3"/>
      <c r="G391" s="2"/>
      <c r="H391" s="2"/>
      <c r="I391" s="2"/>
      <c r="J391" s="3"/>
      <c r="K391" s="2"/>
      <c r="L391" s="2"/>
      <c r="M391" s="3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</row>
    <row r="392" spans="1:32" ht="13">
      <c r="A392" s="2"/>
      <c r="B392" s="2"/>
      <c r="C392" s="2"/>
      <c r="D392" s="2"/>
      <c r="E392" s="2"/>
      <c r="F392" s="3"/>
      <c r="G392" s="2"/>
      <c r="H392" s="2"/>
      <c r="I392" s="2"/>
      <c r="J392" s="3"/>
      <c r="K392" s="2"/>
      <c r="L392" s="2"/>
      <c r="M392" s="3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</row>
    <row r="393" spans="1:32" ht="13">
      <c r="A393" s="2"/>
      <c r="B393" s="2"/>
      <c r="C393" s="2"/>
      <c r="D393" s="2"/>
      <c r="E393" s="2"/>
      <c r="F393" s="3"/>
      <c r="G393" s="2"/>
      <c r="H393" s="2"/>
      <c r="I393" s="2"/>
      <c r="J393" s="3"/>
      <c r="K393" s="2"/>
      <c r="L393" s="2"/>
      <c r="M393" s="3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</row>
    <row r="394" spans="1:32" ht="13">
      <c r="A394" s="2"/>
      <c r="B394" s="2"/>
      <c r="C394" s="2"/>
      <c r="D394" s="2"/>
      <c r="E394" s="2"/>
      <c r="F394" s="3"/>
      <c r="G394" s="2"/>
      <c r="H394" s="2"/>
      <c r="I394" s="2"/>
      <c r="J394" s="3"/>
      <c r="K394" s="2"/>
      <c r="L394" s="2"/>
      <c r="M394" s="3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</row>
    <row r="395" spans="1:32" ht="13">
      <c r="A395" s="2"/>
      <c r="B395" s="2"/>
      <c r="C395" s="2"/>
      <c r="D395" s="2"/>
      <c r="E395" s="2"/>
      <c r="F395" s="3"/>
      <c r="G395" s="2"/>
      <c r="H395" s="2"/>
      <c r="I395" s="2"/>
      <c r="J395" s="3"/>
      <c r="K395" s="2"/>
      <c r="L395" s="2"/>
      <c r="M395" s="3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</row>
    <row r="396" spans="1:32" ht="13">
      <c r="A396" s="2"/>
      <c r="B396" s="2"/>
      <c r="C396" s="2"/>
      <c r="D396" s="2"/>
      <c r="E396" s="2"/>
      <c r="F396" s="3"/>
      <c r="G396" s="2"/>
      <c r="H396" s="2"/>
      <c r="I396" s="2"/>
      <c r="J396" s="3"/>
      <c r="K396" s="2"/>
      <c r="L396" s="2"/>
      <c r="M396" s="3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</row>
    <row r="397" spans="1:32" ht="13">
      <c r="A397" s="2"/>
      <c r="B397" s="2"/>
      <c r="C397" s="2"/>
      <c r="D397" s="2"/>
      <c r="E397" s="2"/>
      <c r="F397" s="3"/>
      <c r="G397" s="2"/>
      <c r="H397" s="2"/>
      <c r="I397" s="2"/>
      <c r="J397" s="3"/>
      <c r="K397" s="2"/>
      <c r="L397" s="2"/>
      <c r="M397" s="3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</row>
    <row r="398" spans="1:32" ht="13">
      <c r="A398" s="2"/>
      <c r="B398" s="2"/>
      <c r="C398" s="2"/>
      <c r="D398" s="2"/>
      <c r="E398" s="2"/>
      <c r="F398" s="3"/>
      <c r="G398" s="2"/>
      <c r="H398" s="2"/>
      <c r="I398" s="2"/>
      <c r="J398" s="3"/>
      <c r="K398" s="2"/>
      <c r="L398" s="2"/>
      <c r="M398" s="3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</row>
    <row r="399" spans="1:32" ht="13">
      <c r="A399" s="2"/>
      <c r="B399" s="2"/>
      <c r="C399" s="2"/>
      <c r="D399" s="2"/>
      <c r="E399" s="2"/>
      <c r="F399" s="3"/>
      <c r="G399" s="2"/>
      <c r="H399" s="2"/>
      <c r="I399" s="2"/>
      <c r="J399" s="3"/>
      <c r="K399" s="2"/>
      <c r="L399" s="2"/>
      <c r="M399" s="3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</row>
    <row r="400" spans="1:32" ht="13">
      <c r="A400" s="2"/>
      <c r="B400" s="2"/>
      <c r="C400" s="2"/>
      <c r="D400" s="2"/>
      <c r="E400" s="2"/>
      <c r="F400" s="3"/>
      <c r="G400" s="2"/>
      <c r="H400" s="2"/>
      <c r="I400" s="2"/>
      <c r="J400" s="3"/>
      <c r="K400" s="2"/>
      <c r="L400" s="2"/>
      <c r="M400" s="3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</row>
    <row r="401" spans="1:32" ht="13">
      <c r="A401" s="2"/>
      <c r="B401" s="2"/>
      <c r="C401" s="2"/>
      <c r="D401" s="2"/>
      <c r="E401" s="2"/>
      <c r="F401" s="3"/>
      <c r="G401" s="2"/>
      <c r="H401" s="2"/>
      <c r="I401" s="2"/>
      <c r="J401" s="3"/>
      <c r="K401" s="2"/>
      <c r="L401" s="2"/>
      <c r="M401" s="3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</row>
    <row r="402" spans="1:32" ht="13">
      <c r="A402" s="2"/>
      <c r="B402" s="2"/>
      <c r="C402" s="2"/>
      <c r="D402" s="2"/>
      <c r="E402" s="2"/>
      <c r="F402" s="3"/>
      <c r="G402" s="2"/>
      <c r="H402" s="2"/>
      <c r="I402" s="2"/>
      <c r="J402" s="3"/>
      <c r="K402" s="2"/>
      <c r="L402" s="2"/>
      <c r="M402" s="3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</row>
    <row r="403" spans="1:32" ht="13">
      <c r="A403" s="2"/>
      <c r="B403" s="2"/>
      <c r="C403" s="2"/>
      <c r="D403" s="2"/>
      <c r="E403" s="2"/>
      <c r="F403" s="3"/>
      <c r="G403" s="2"/>
      <c r="H403" s="2"/>
      <c r="I403" s="2"/>
      <c r="J403" s="3"/>
      <c r="K403" s="2"/>
      <c r="L403" s="2"/>
      <c r="M403" s="3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</row>
    <row r="404" spans="1:32" ht="13">
      <c r="A404" s="2"/>
      <c r="B404" s="2"/>
      <c r="C404" s="2"/>
      <c r="D404" s="2"/>
      <c r="E404" s="2"/>
      <c r="F404" s="3"/>
      <c r="G404" s="2"/>
      <c r="H404" s="2"/>
      <c r="I404" s="2"/>
      <c r="J404" s="3"/>
      <c r="K404" s="2"/>
      <c r="L404" s="2"/>
      <c r="M404" s="3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</row>
    <row r="405" spans="1:32" ht="13">
      <c r="A405" s="2"/>
      <c r="B405" s="2"/>
      <c r="C405" s="2"/>
      <c r="D405" s="2"/>
      <c r="E405" s="2"/>
      <c r="F405" s="3"/>
      <c r="G405" s="2"/>
      <c r="H405" s="2"/>
      <c r="I405" s="2"/>
      <c r="J405" s="3"/>
      <c r="K405" s="2"/>
      <c r="L405" s="2"/>
      <c r="M405" s="3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</row>
    <row r="406" spans="1:32" ht="13">
      <c r="A406" s="2"/>
      <c r="B406" s="2"/>
      <c r="C406" s="2"/>
      <c r="D406" s="2"/>
      <c r="E406" s="2"/>
      <c r="F406" s="3"/>
      <c r="G406" s="2"/>
      <c r="H406" s="2"/>
      <c r="I406" s="2"/>
      <c r="J406" s="3"/>
      <c r="K406" s="2"/>
      <c r="L406" s="2"/>
      <c r="M406" s="3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</row>
    <row r="407" spans="1:32" ht="13">
      <c r="A407" s="2"/>
      <c r="B407" s="2"/>
      <c r="C407" s="2"/>
      <c r="D407" s="2"/>
      <c r="E407" s="2"/>
      <c r="F407" s="3"/>
      <c r="G407" s="2"/>
      <c r="H407" s="2"/>
      <c r="I407" s="2"/>
      <c r="J407" s="3"/>
      <c r="K407" s="2"/>
      <c r="L407" s="2"/>
      <c r="M407" s="3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</row>
    <row r="408" spans="1:32" ht="13">
      <c r="A408" s="2"/>
      <c r="B408" s="2"/>
      <c r="C408" s="2"/>
      <c r="D408" s="2"/>
      <c r="E408" s="2"/>
      <c r="F408" s="3"/>
      <c r="G408" s="2"/>
      <c r="H408" s="2"/>
      <c r="I408" s="2"/>
      <c r="J408" s="3"/>
      <c r="K408" s="2"/>
      <c r="L408" s="2"/>
      <c r="M408" s="3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</row>
    <row r="409" spans="1:32" ht="13">
      <c r="A409" s="2"/>
      <c r="B409" s="2"/>
      <c r="C409" s="2"/>
      <c r="D409" s="2"/>
      <c r="E409" s="2"/>
      <c r="F409" s="3"/>
      <c r="G409" s="2"/>
      <c r="H409" s="2"/>
      <c r="I409" s="2"/>
      <c r="J409" s="3"/>
      <c r="K409" s="2"/>
      <c r="L409" s="2"/>
      <c r="M409" s="3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</row>
    <row r="410" spans="1:32" ht="13">
      <c r="A410" s="2"/>
      <c r="B410" s="2"/>
      <c r="C410" s="2"/>
      <c r="D410" s="2"/>
      <c r="E410" s="2"/>
      <c r="F410" s="3"/>
      <c r="G410" s="2"/>
      <c r="H410" s="2"/>
      <c r="I410" s="2"/>
      <c r="J410" s="3"/>
      <c r="K410" s="2"/>
      <c r="L410" s="2"/>
      <c r="M410" s="3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</row>
    <row r="411" spans="1:32" ht="13">
      <c r="A411" s="2"/>
      <c r="B411" s="2"/>
      <c r="C411" s="2"/>
      <c r="D411" s="2"/>
      <c r="E411" s="2"/>
      <c r="F411" s="3"/>
      <c r="G411" s="2"/>
      <c r="H411" s="2"/>
      <c r="I411" s="2"/>
      <c r="J411" s="3"/>
      <c r="K411" s="2"/>
      <c r="L411" s="2"/>
      <c r="M411" s="3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</row>
    <row r="412" spans="1:32" ht="13">
      <c r="A412" s="2"/>
      <c r="B412" s="2"/>
      <c r="C412" s="2"/>
      <c r="D412" s="2"/>
      <c r="E412" s="2"/>
      <c r="F412" s="3"/>
      <c r="G412" s="2"/>
      <c r="H412" s="2"/>
      <c r="I412" s="2"/>
      <c r="J412" s="3"/>
      <c r="K412" s="2"/>
      <c r="L412" s="2"/>
      <c r="M412" s="3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</row>
    <row r="413" spans="1:32" ht="13">
      <c r="A413" s="2"/>
      <c r="B413" s="2"/>
      <c r="C413" s="2"/>
      <c r="D413" s="2"/>
      <c r="E413" s="2"/>
      <c r="F413" s="3"/>
      <c r="G413" s="2"/>
      <c r="H413" s="2"/>
      <c r="I413" s="2"/>
      <c r="J413" s="3"/>
      <c r="K413" s="2"/>
      <c r="L413" s="2"/>
      <c r="M413" s="3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</row>
    <row r="414" spans="1:32" ht="13">
      <c r="A414" s="2"/>
      <c r="B414" s="2"/>
      <c r="C414" s="2"/>
      <c r="D414" s="2"/>
      <c r="E414" s="2"/>
      <c r="F414" s="3"/>
      <c r="G414" s="2"/>
      <c r="H414" s="2"/>
      <c r="I414" s="2"/>
      <c r="J414" s="3"/>
      <c r="K414" s="2"/>
      <c r="L414" s="2"/>
      <c r="M414" s="3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</row>
    <row r="415" spans="1:32" ht="13">
      <c r="A415" s="2"/>
      <c r="B415" s="2"/>
      <c r="C415" s="2"/>
      <c r="D415" s="2"/>
      <c r="E415" s="2"/>
      <c r="F415" s="3"/>
      <c r="G415" s="2"/>
      <c r="H415" s="2"/>
      <c r="I415" s="2"/>
      <c r="J415" s="3"/>
      <c r="K415" s="2"/>
      <c r="L415" s="2"/>
      <c r="M415" s="3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</row>
    <row r="416" spans="1:32" ht="13">
      <c r="A416" s="2"/>
      <c r="B416" s="2"/>
      <c r="C416" s="2"/>
      <c r="D416" s="2"/>
      <c r="E416" s="2"/>
      <c r="F416" s="3"/>
      <c r="G416" s="2"/>
      <c r="H416" s="2"/>
      <c r="I416" s="2"/>
      <c r="J416" s="3"/>
      <c r="K416" s="2"/>
      <c r="L416" s="2"/>
      <c r="M416" s="3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</row>
    <row r="417" spans="1:32" ht="13">
      <c r="A417" s="2"/>
      <c r="B417" s="2"/>
      <c r="C417" s="2"/>
      <c r="D417" s="2"/>
      <c r="E417" s="2"/>
      <c r="F417" s="3"/>
      <c r="G417" s="2"/>
      <c r="H417" s="2"/>
      <c r="I417" s="2"/>
      <c r="J417" s="3"/>
      <c r="K417" s="2"/>
      <c r="L417" s="2"/>
      <c r="M417" s="3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</row>
    <row r="418" spans="1:32" ht="13">
      <c r="A418" s="2"/>
      <c r="B418" s="2"/>
      <c r="C418" s="2"/>
      <c r="D418" s="2"/>
      <c r="E418" s="2"/>
      <c r="F418" s="3"/>
      <c r="G418" s="2"/>
      <c r="H418" s="2"/>
      <c r="I418" s="2"/>
      <c r="J418" s="3"/>
      <c r="K418" s="2"/>
      <c r="L418" s="2"/>
      <c r="M418" s="3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</row>
    <row r="419" spans="1:32" ht="13">
      <c r="A419" s="2"/>
      <c r="B419" s="2"/>
      <c r="C419" s="2"/>
      <c r="D419" s="2"/>
      <c r="E419" s="2"/>
      <c r="F419" s="3"/>
      <c r="G419" s="2"/>
      <c r="H419" s="2"/>
      <c r="I419" s="2"/>
      <c r="J419" s="3"/>
      <c r="K419" s="2"/>
      <c r="L419" s="2"/>
      <c r="M419" s="3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</row>
    <row r="420" spans="1:32" ht="13">
      <c r="A420" s="2"/>
      <c r="B420" s="2"/>
      <c r="C420" s="2"/>
      <c r="D420" s="2"/>
      <c r="E420" s="2"/>
      <c r="F420" s="3"/>
      <c r="G420" s="2"/>
      <c r="H420" s="2"/>
      <c r="I420" s="2"/>
      <c r="J420" s="3"/>
      <c r="K420" s="2"/>
      <c r="L420" s="2"/>
      <c r="M420" s="3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</row>
    <row r="421" spans="1:32" ht="13">
      <c r="A421" s="2"/>
      <c r="B421" s="2"/>
      <c r="C421" s="2"/>
      <c r="D421" s="2"/>
      <c r="E421" s="2"/>
      <c r="F421" s="3"/>
      <c r="G421" s="2"/>
      <c r="H421" s="2"/>
      <c r="I421" s="2"/>
      <c r="J421" s="3"/>
      <c r="K421" s="2"/>
      <c r="L421" s="2"/>
      <c r="M421" s="3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</row>
    <row r="422" spans="1:32" ht="13">
      <c r="A422" s="2"/>
      <c r="B422" s="2"/>
      <c r="C422" s="2"/>
      <c r="D422" s="2"/>
      <c r="E422" s="2"/>
      <c r="F422" s="3"/>
      <c r="G422" s="2"/>
      <c r="H422" s="2"/>
      <c r="I422" s="2"/>
      <c r="J422" s="3"/>
      <c r="K422" s="2"/>
      <c r="L422" s="2"/>
      <c r="M422" s="3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</row>
    <row r="423" spans="1:32" ht="13">
      <c r="A423" s="2"/>
      <c r="B423" s="2"/>
      <c r="C423" s="2"/>
      <c r="D423" s="2"/>
      <c r="E423" s="2"/>
      <c r="F423" s="3"/>
      <c r="G423" s="2"/>
      <c r="H423" s="2"/>
      <c r="I423" s="2"/>
      <c r="J423" s="3"/>
      <c r="K423" s="2"/>
      <c r="L423" s="2"/>
      <c r="M423" s="3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</row>
    <row r="424" spans="1:32" ht="13">
      <c r="A424" s="2"/>
      <c r="B424" s="2"/>
      <c r="C424" s="2"/>
      <c r="D424" s="2"/>
      <c r="E424" s="2"/>
      <c r="F424" s="3"/>
      <c r="G424" s="2"/>
      <c r="H424" s="2"/>
      <c r="I424" s="2"/>
      <c r="J424" s="3"/>
      <c r="K424" s="2"/>
      <c r="L424" s="2"/>
      <c r="M424" s="3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</row>
    <row r="425" spans="1:32" ht="13">
      <c r="A425" s="2"/>
      <c r="B425" s="2"/>
      <c r="C425" s="2"/>
      <c r="D425" s="2"/>
      <c r="E425" s="2"/>
      <c r="F425" s="3"/>
      <c r="G425" s="2"/>
      <c r="H425" s="2"/>
      <c r="I425" s="2"/>
      <c r="J425" s="3"/>
      <c r="K425" s="2"/>
      <c r="L425" s="2"/>
      <c r="M425" s="3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</row>
    <row r="426" spans="1:32" ht="13">
      <c r="A426" s="2"/>
      <c r="B426" s="2"/>
      <c r="C426" s="2"/>
      <c r="D426" s="2"/>
      <c r="E426" s="2"/>
      <c r="F426" s="3"/>
      <c r="G426" s="2"/>
      <c r="H426" s="2"/>
      <c r="I426" s="2"/>
      <c r="J426" s="3"/>
      <c r="K426" s="2"/>
      <c r="L426" s="2"/>
      <c r="M426" s="3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</row>
    <row r="427" spans="1:32" ht="13">
      <c r="A427" s="2"/>
      <c r="B427" s="2"/>
      <c r="C427" s="2"/>
      <c r="D427" s="2"/>
      <c r="E427" s="2"/>
      <c r="F427" s="3"/>
      <c r="G427" s="2"/>
      <c r="H427" s="2"/>
      <c r="I427" s="2"/>
      <c r="J427" s="3"/>
      <c r="K427" s="2"/>
      <c r="L427" s="2"/>
      <c r="M427" s="3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</row>
    <row r="428" spans="1:32" ht="13">
      <c r="A428" s="2"/>
      <c r="B428" s="2"/>
      <c r="C428" s="2"/>
      <c r="D428" s="2"/>
      <c r="E428" s="2"/>
      <c r="F428" s="3"/>
      <c r="G428" s="2"/>
      <c r="H428" s="2"/>
      <c r="I428" s="2"/>
      <c r="J428" s="3"/>
      <c r="K428" s="2"/>
      <c r="L428" s="2"/>
      <c r="M428" s="3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</row>
    <row r="429" spans="1:32" ht="13">
      <c r="A429" s="2"/>
      <c r="B429" s="2"/>
      <c r="C429" s="2"/>
      <c r="D429" s="2"/>
      <c r="E429" s="2"/>
      <c r="F429" s="3"/>
      <c r="G429" s="2"/>
      <c r="H429" s="2"/>
      <c r="I429" s="2"/>
      <c r="J429" s="3"/>
      <c r="K429" s="2"/>
      <c r="L429" s="2"/>
      <c r="M429" s="3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</row>
    <row r="430" spans="1:32" ht="13">
      <c r="A430" s="2"/>
      <c r="B430" s="2"/>
      <c r="C430" s="2"/>
      <c r="D430" s="2"/>
      <c r="E430" s="2"/>
      <c r="F430" s="3"/>
      <c r="G430" s="2"/>
      <c r="H430" s="2"/>
      <c r="I430" s="2"/>
      <c r="J430" s="3"/>
      <c r="K430" s="2"/>
      <c r="L430" s="2"/>
      <c r="M430" s="3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</row>
    <row r="431" spans="1:32" ht="13">
      <c r="A431" s="2"/>
      <c r="B431" s="2"/>
      <c r="C431" s="2"/>
      <c r="D431" s="2"/>
      <c r="E431" s="2"/>
      <c r="F431" s="3"/>
      <c r="G431" s="2"/>
      <c r="H431" s="2"/>
      <c r="I431" s="2"/>
      <c r="J431" s="3"/>
      <c r="K431" s="2"/>
      <c r="L431" s="2"/>
      <c r="M431" s="3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</row>
    <row r="432" spans="1:32" ht="13">
      <c r="A432" s="2"/>
      <c r="B432" s="2"/>
      <c r="C432" s="2"/>
      <c r="D432" s="2"/>
      <c r="E432" s="2"/>
      <c r="F432" s="3"/>
      <c r="G432" s="2"/>
      <c r="H432" s="2"/>
      <c r="I432" s="2"/>
      <c r="J432" s="3"/>
      <c r="K432" s="2"/>
      <c r="L432" s="2"/>
      <c r="M432" s="3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</row>
    <row r="433" spans="1:32" ht="13">
      <c r="A433" s="2"/>
      <c r="B433" s="2"/>
      <c r="C433" s="2"/>
      <c r="D433" s="2"/>
      <c r="E433" s="2"/>
      <c r="F433" s="3"/>
      <c r="G433" s="2"/>
      <c r="H433" s="2"/>
      <c r="I433" s="2"/>
      <c r="J433" s="3"/>
      <c r="K433" s="2"/>
      <c r="L433" s="2"/>
      <c r="M433" s="3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</row>
    <row r="434" spans="1:32" ht="13">
      <c r="A434" s="2"/>
      <c r="B434" s="2"/>
      <c r="C434" s="2"/>
      <c r="D434" s="2"/>
      <c r="E434" s="2"/>
      <c r="F434" s="3"/>
      <c r="G434" s="2"/>
      <c r="H434" s="2"/>
      <c r="I434" s="2"/>
      <c r="J434" s="3"/>
      <c r="K434" s="2"/>
      <c r="L434" s="2"/>
      <c r="M434" s="3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</row>
    <row r="435" spans="1:32" ht="13">
      <c r="A435" s="2"/>
      <c r="B435" s="2"/>
      <c r="C435" s="2"/>
      <c r="D435" s="2"/>
      <c r="E435" s="2"/>
      <c r="F435" s="3"/>
      <c r="G435" s="2"/>
      <c r="H435" s="2"/>
      <c r="I435" s="2"/>
      <c r="J435" s="3"/>
      <c r="K435" s="2"/>
      <c r="L435" s="2"/>
      <c r="M435" s="3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</row>
    <row r="436" spans="1:32" ht="13">
      <c r="A436" s="2"/>
      <c r="B436" s="2"/>
      <c r="C436" s="2"/>
      <c r="D436" s="2"/>
      <c r="E436" s="2"/>
      <c r="F436" s="3"/>
      <c r="G436" s="2"/>
      <c r="H436" s="2"/>
      <c r="I436" s="2"/>
      <c r="J436" s="3"/>
      <c r="K436" s="2"/>
      <c r="L436" s="2"/>
      <c r="M436" s="3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</row>
    <row r="437" spans="1:32" ht="13">
      <c r="A437" s="2"/>
      <c r="B437" s="2"/>
      <c r="C437" s="2"/>
      <c r="D437" s="2"/>
      <c r="E437" s="2"/>
      <c r="F437" s="3"/>
      <c r="G437" s="2"/>
      <c r="H437" s="2"/>
      <c r="I437" s="2"/>
      <c r="J437" s="3"/>
      <c r="K437" s="2"/>
      <c r="L437" s="2"/>
      <c r="M437" s="3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</row>
    <row r="438" spans="1:32" ht="13">
      <c r="A438" s="2"/>
      <c r="B438" s="2"/>
      <c r="C438" s="2"/>
      <c r="D438" s="2"/>
      <c r="E438" s="2"/>
      <c r="F438" s="3"/>
      <c r="G438" s="2"/>
      <c r="H438" s="2"/>
      <c r="I438" s="2"/>
      <c r="J438" s="3"/>
      <c r="K438" s="2"/>
      <c r="L438" s="2"/>
      <c r="M438" s="3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</row>
    <row r="439" spans="1:32" ht="13">
      <c r="A439" s="2"/>
      <c r="B439" s="2"/>
      <c r="C439" s="2"/>
      <c r="D439" s="2"/>
      <c r="E439" s="2"/>
      <c r="F439" s="3"/>
      <c r="G439" s="2"/>
      <c r="H439" s="2"/>
      <c r="I439" s="2"/>
      <c r="J439" s="3"/>
      <c r="K439" s="2"/>
      <c r="L439" s="2"/>
      <c r="M439" s="3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</row>
    <row r="440" spans="1:32" ht="13">
      <c r="A440" s="2"/>
      <c r="B440" s="2"/>
      <c r="C440" s="2"/>
      <c r="D440" s="2"/>
      <c r="E440" s="2"/>
      <c r="F440" s="3"/>
      <c r="G440" s="2"/>
      <c r="H440" s="2"/>
      <c r="I440" s="2"/>
      <c r="J440" s="3"/>
      <c r="K440" s="2"/>
      <c r="L440" s="2"/>
      <c r="M440" s="3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</row>
    <row r="441" spans="1:32" ht="13">
      <c r="A441" s="2"/>
      <c r="B441" s="2"/>
      <c r="C441" s="2"/>
      <c r="D441" s="2"/>
      <c r="E441" s="2"/>
      <c r="F441" s="3"/>
      <c r="G441" s="2"/>
      <c r="H441" s="2"/>
      <c r="I441" s="2"/>
      <c r="J441" s="3"/>
      <c r="K441" s="2"/>
      <c r="L441" s="2"/>
      <c r="M441" s="3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</row>
    <row r="442" spans="1:32" ht="13">
      <c r="A442" s="2"/>
      <c r="B442" s="2"/>
      <c r="C442" s="2"/>
      <c r="D442" s="2"/>
      <c r="E442" s="2"/>
      <c r="F442" s="3"/>
      <c r="G442" s="2"/>
      <c r="H442" s="2"/>
      <c r="I442" s="2"/>
      <c r="J442" s="3"/>
      <c r="K442" s="2"/>
      <c r="L442" s="2"/>
      <c r="M442" s="3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</row>
    <row r="443" spans="1:32" ht="13">
      <c r="A443" s="2"/>
      <c r="B443" s="2"/>
      <c r="C443" s="2"/>
      <c r="D443" s="2"/>
      <c r="E443" s="2"/>
      <c r="F443" s="3"/>
      <c r="G443" s="2"/>
      <c r="H443" s="2"/>
      <c r="I443" s="2"/>
      <c r="J443" s="3"/>
      <c r="K443" s="2"/>
      <c r="L443" s="2"/>
      <c r="M443" s="3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</row>
    <row r="444" spans="1:32" ht="13">
      <c r="A444" s="2"/>
      <c r="B444" s="2"/>
      <c r="C444" s="2"/>
      <c r="D444" s="2"/>
      <c r="E444" s="2"/>
      <c r="F444" s="3"/>
      <c r="G444" s="2"/>
      <c r="H444" s="2"/>
      <c r="I444" s="2"/>
      <c r="J444" s="3"/>
      <c r="K444" s="2"/>
      <c r="L444" s="2"/>
      <c r="M444" s="3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</row>
    <row r="445" spans="1:32" ht="13">
      <c r="A445" s="2"/>
      <c r="B445" s="2"/>
      <c r="C445" s="2"/>
      <c r="D445" s="2"/>
      <c r="E445" s="2"/>
      <c r="F445" s="3"/>
      <c r="G445" s="2"/>
      <c r="H445" s="2"/>
      <c r="I445" s="2"/>
      <c r="J445" s="3"/>
      <c r="K445" s="2"/>
      <c r="L445" s="2"/>
      <c r="M445" s="3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</row>
    <row r="446" spans="1:32" ht="13">
      <c r="A446" s="2"/>
      <c r="B446" s="2"/>
      <c r="C446" s="2"/>
      <c r="D446" s="2"/>
      <c r="E446" s="2"/>
      <c r="F446" s="3"/>
      <c r="G446" s="2"/>
      <c r="H446" s="2"/>
      <c r="I446" s="2"/>
      <c r="J446" s="3"/>
      <c r="K446" s="2"/>
      <c r="L446" s="2"/>
      <c r="M446" s="3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</row>
    <row r="447" spans="1:32" ht="13">
      <c r="A447" s="2"/>
      <c r="B447" s="2"/>
      <c r="C447" s="2"/>
      <c r="D447" s="2"/>
      <c r="E447" s="2"/>
      <c r="F447" s="3"/>
      <c r="G447" s="2"/>
      <c r="H447" s="2"/>
      <c r="I447" s="2"/>
      <c r="J447" s="3"/>
      <c r="K447" s="2"/>
      <c r="L447" s="2"/>
      <c r="M447" s="3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</row>
    <row r="448" spans="1:32" ht="13">
      <c r="A448" s="2"/>
      <c r="B448" s="2"/>
      <c r="C448" s="2"/>
      <c r="D448" s="2"/>
      <c r="E448" s="2"/>
      <c r="F448" s="3"/>
      <c r="G448" s="2"/>
      <c r="H448" s="2"/>
      <c r="I448" s="2"/>
      <c r="J448" s="3"/>
      <c r="K448" s="2"/>
      <c r="L448" s="2"/>
      <c r="M448" s="3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</row>
    <row r="449" spans="1:32" ht="13">
      <c r="A449" s="2"/>
      <c r="B449" s="2"/>
      <c r="C449" s="2"/>
      <c r="D449" s="2"/>
      <c r="E449" s="2"/>
      <c r="F449" s="3"/>
      <c r="G449" s="2"/>
      <c r="H449" s="2"/>
      <c r="I449" s="2"/>
      <c r="J449" s="3"/>
      <c r="K449" s="2"/>
      <c r="L449" s="2"/>
      <c r="M449" s="3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</row>
    <row r="450" spans="1:32" ht="13">
      <c r="A450" s="2"/>
      <c r="B450" s="2"/>
      <c r="C450" s="2"/>
      <c r="D450" s="2"/>
      <c r="E450" s="2"/>
      <c r="F450" s="3"/>
      <c r="G450" s="2"/>
      <c r="H450" s="2"/>
      <c r="I450" s="2"/>
      <c r="J450" s="3"/>
      <c r="K450" s="2"/>
      <c r="L450" s="2"/>
      <c r="M450" s="3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</row>
    <row r="451" spans="1:32" ht="13">
      <c r="A451" s="2"/>
      <c r="B451" s="2"/>
      <c r="C451" s="2"/>
      <c r="D451" s="2"/>
      <c r="E451" s="2"/>
      <c r="F451" s="3"/>
      <c r="G451" s="2"/>
      <c r="H451" s="2"/>
      <c r="I451" s="2"/>
      <c r="J451" s="3"/>
      <c r="K451" s="2"/>
      <c r="L451" s="2"/>
      <c r="M451" s="3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</row>
    <row r="452" spans="1:32" ht="13">
      <c r="A452" s="2"/>
      <c r="B452" s="2"/>
      <c r="C452" s="2"/>
      <c r="D452" s="2"/>
      <c r="E452" s="2"/>
      <c r="F452" s="3"/>
      <c r="G452" s="2"/>
      <c r="H452" s="2"/>
      <c r="I452" s="2"/>
      <c r="J452" s="3"/>
      <c r="K452" s="2"/>
      <c r="L452" s="2"/>
      <c r="M452" s="3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</row>
    <row r="453" spans="1:32" ht="13">
      <c r="A453" s="2"/>
      <c r="B453" s="2"/>
      <c r="C453" s="2"/>
      <c r="D453" s="2"/>
      <c r="E453" s="2"/>
      <c r="F453" s="3"/>
      <c r="G453" s="2"/>
      <c r="H453" s="2"/>
      <c r="I453" s="2"/>
      <c r="J453" s="3"/>
      <c r="K453" s="2"/>
      <c r="L453" s="2"/>
      <c r="M453" s="3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</row>
    <row r="454" spans="1:32" ht="13">
      <c r="A454" s="2"/>
      <c r="B454" s="2"/>
      <c r="C454" s="2"/>
      <c r="D454" s="2"/>
      <c r="E454" s="2"/>
      <c r="F454" s="3"/>
      <c r="G454" s="2"/>
      <c r="H454" s="2"/>
      <c r="I454" s="2"/>
      <c r="J454" s="3"/>
      <c r="K454" s="2"/>
      <c r="L454" s="2"/>
      <c r="M454" s="3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</row>
    <row r="455" spans="1:32" ht="13">
      <c r="A455" s="2"/>
      <c r="B455" s="2"/>
      <c r="C455" s="2"/>
      <c r="D455" s="2"/>
      <c r="E455" s="2"/>
      <c r="F455" s="3"/>
      <c r="G455" s="2"/>
      <c r="H455" s="2"/>
      <c r="I455" s="2"/>
      <c r="J455" s="3"/>
      <c r="K455" s="2"/>
      <c r="L455" s="2"/>
      <c r="M455" s="3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</row>
    <row r="456" spans="1:32" ht="13">
      <c r="A456" s="2"/>
      <c r="B456" s="2"/>
      <c r="C456" s="2"/>
      <c r="D456" s="2"/>
      <c r="E456" s="2"/>
      <c r="F456" s="3"/>
      <c r="G456" s="2"/>
      <c r="H456" s="2"/>
      <c r="I456" s="2"/>
      <c r="J456" s="3"/>
      <c r="K456" s="2"/>
      <c r="L456" s="2"/>
      <c r="M456" s="3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</row>
    <row r="457" spans="1:32" ht="13">
      <c r="A457" s="2"/>
      <c r="B457" s="2"/>
      <c r="C457" s="2"/>
      <c r="D457" s="2"/>
      <c r="E457" s="2"/>
      <c r="F457" s="3"/>
      <c r="G457" s="2"/>
      <c r="H457" s="2"/>
      <c r="I457" s="2"/>
      <c r="J457" s="3"/>
      <c r="K457" s="2"/>
      <c r="L457" s="2"/>
      <c r="M457" s="3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</row>
    <row r="458" spans="1:32" ht="13">
      <c r="A458" s="2"/>
      <c r="B458" s="2"/>
      <c r="C458" s="2"/>
      <c r="D458" s="2"/>
      <c r="E458" s="2"/>
      <c r="F458" s="3"/>
      <c r="G458" s="2"/>
      <c r="H458" s="2"/>
      <c r="I458" s="2"/>
      <c r="J458" s="3"/>
      <c r="K458" s="2"/>
      <c r="L458" s="2"/>
      <c r="M458" s="3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</row>
    <row r="459" spans="1:32" ht="13">
      <c r="A459" s="2"/>
      <c r="B459" s="2"/>
      <c r="C459" s="2"/>
      <c r="D459" s="2"/>
      <c r="E459" s="2"/>
      <c r="F459" s="3"/>
      <c r="G459" s="2"/>
      <c r="H459" s="2"/>
      <c r="I459" s="2"/>
      <c r="J459" s="3"/>
      <c r="K459" s="2"/>
      <c r="L459" s="2"/>
      <c r="M459" s="3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</row>
    <row r="460" spans="1:32" ht="13">
      <c r="A460" s="2"/>
      <c r="B460" s="2"/>
      <c r="C460" s="2"/>
      <c r="D460" s="2"/>
      <c r="E460" s="2"/>
      <c r="F460" s="3"/>
      <c r="G460" s="2"/>
      <c r="H460" s="2"/>
      <c r="I460" s="2"/>
      <c r="J460" s="3"/>
      <c r="K460" s="2"/>
      <c r="L460" s="2"/>
      <c r="M460" s="3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</row>
    <row r="461" spans="1:32" ht="13">
      <c r="A461" s="2"/>
      <c r="B461" s="2"/>
      <c r="C461" s="2"/>
      <c r="D461" s="2"/>
      <c r="E461" s="2"/>
      <c r="F461" s="3"/>
      <c r="G461" s="2"/>
      <c r="H461" s="2"/>
      <c r="I461" s="2"/>
      <c r="J461" s="3"/>
      <c r="K461" s="2"/>
      <c r="L461" s="2"/>
      <c r="M461" s="3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</row>
    <row r="462" spans="1:32" ht="13">
      <c r="A462" s="2"/>
      <c r="B462" s="2"/>
      <c r="C462" s="2"/>
      <c r="D462" s="2"/>
      <c r="E462" s="2"/>
      <c r="F462" s="3"/>
      <c r="G462" s="2"/>
      <c r="H462" s="2"/>
      <c r="I462" s="2"/>
      <c r="J462" s="3"/>
      <c r="K462" s="2"/>
      <c r="L462" s="2"/>
      <c r="M462" s="3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</row>
    <row r="463" spans="1:32" ht="13">
      <c r="A463" s="2"/>
      <c r="B463" s="2"/>
      <c r="C463" s="2"/>
      <c r="D463" s="2"/>
      <c r="E463" s="2"/>
      <c r="F463" s="3"/>
      <c r="G463" s="2"/>
      <c r="H463" s="2"/>
      <c r="I463" s="2"/>
      <c r="J463" s="3"/>
      <c r="K463" s="2"/>
      <c r="L463" s="2"/>
      <c r="M463" s="3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</row>
    <row r="464" spans="1:32" ht="13">
      <c r="A464" s="2"/>
      <c r="B464" s="2"/>
      <c r="C464" s="2"/>
      <c r="D464" s="2"/>
      <c r="E464" s="2"/>
      <c r="F464" s="3"/>
      <c r="G464" s="2"/>
      <c r="H464" s="2"/>
      <c r="I464" s="2"/>
      <c r="J464" s="3"/>
      <c r="K464" s="2"/>
      <c r="L464" s="2"/>
      <c r="M464" s="3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</row>
    <row r="465" spans="1:32" ht="13">
      <c r="A465" s="2"/>
      <c r="B465" s="2"/>
      <c r="C465" s="2"/>
      <c r="D465" s="2"/>
      <c r="E465" s="2"/>
      <c r="F465" s="3"/>
      <c r="G465" s="2"/>
      <c r="H465" s="2"/>
      <c r="I465" s="2"/>
      <c r="J465" s="3"/>
      <c r="K465" s="2"/>
      <c r="L465" s="2"/>
      <c r="M465" s="3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</row>
    <row r="466" spans="1:32" ht="13">
      <c r="A466" s="2"/>
      <c r="B466" s="2"/>
      <c r="C466" s="2"/>
      <c r="D466" s="2"/>
      <c r="E466" s="2"/>
      <c r="F466" s="3"/>
      <c r="G466" s="2"/>
      <c r="H466" s="2"/>
      <c r="I466" s="2"/>
      <c r="J466" s="3"/>
      <c r="K466" s="2"/>
      <c r="L466" s="2"/>
      <c r="M466" s="3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</row>
    <row r="467" spans="1:32" ht="13">
      <c r="A467" s="2"/>
      <c r="B467" s="2"/>
      <c r="C467" s="2"/>
      <c r="D467" s="2"/>
      <c r="E467" s="2"/>
      <c r="F467" s="3"/>
      <c r="G467" s="2"/>
      <c r="H467" s="2"/>
      <c r="I467" s="2"/>
      <c r="J467" s="3"/>
      <c r="K467" s="2"/>
      <c r="L467" s="2"/>
      <c r="M467" s="3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</row>
    <row r="468" spans="1:32" ht="13">
      <c r="A468" s="2"/>
      <c r="B468" s="2"/>
      <c r="C468" s="2"/>
      <c r="D468" s="2"/>
      <c r="E468" s="2"/>
      <c r="F468" s="3"/>
      <c r="G468" s="2"/>
      <c r="H468" s="2"/>
      <c r="I468" s="2"/>
      <c r="J468" s="3"/>
      <c r="K468" s="2"/>
      <c r="L468" s="2"/>
      <c r="M468" s="3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</row>
    <row r="469" spans="1:32" ht="13">
      <c r="A469" s="2"/>
      <c r="B469" s="2"/>
      <c r="C469" s="2"/>
      <c r="D469" s="2"/>
      <c r="E469" s="2"/>
      <c r="F469" s="3"/>
      <c r="G469" s="2"/>
      <c r="H469" s="2"/>
      <c r="I469" s="2"/>
      <c r="J469" s="3"/>
      <c r="K469" s="2"/>
      <c r="L469" s="2"/>
      <c r="M469" s="3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</row>
    <row r="470" spans="1:32" ht="13">
      <c r="A470" s="2"/>
      <c r="B470" s="2"/>
      <c r="C470" s="2"/>
      <c r="D470" s="2"/>
      <c r="E470" s="2"/>
      <c r="F470" s="3"/>
      <c r="G470" s="2"/>
      <c r="H470" s="2"/>
      <c r="I470" s="2"/>
      <c r="J470" s="3"/>
      <c r="K470" s="2"/>
      <c r="L470" s="2"/>
      <c r="M470" s="3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</row>
    <row r="471" spans="1:32" ht="13">
      <c r="A471" s="2"/>
      <c r="B471" s="2"/>
      <c r="C471" s="2"/>
      <c r="D471" s="2"/>
      <c r="E471" s="2"/>
      <c r="F471" s="3"/>
      <c r="G471" s="2"/>
      <c r="H471" s="2"/>
      <c r="I471" s="2"/>
      <c r="J471" s="3"/>
      <c r="K471" s="2"/>
      <c r="L471" s="2"/>
      <c r="M471" s="3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</row>
    <row r="472" spans="1:32" ht="13">
      <c r="A472" s="2"/>
      <c r="B472" s="2"/>
      <c r="C472" s="2"/>
      <c r="D472" s="2"/>
      <c r="E472" s="2"/>
      <c r="F472" s="3"/>
      <c r="G472" s="2"/>
      <c r="H472" s="2"/>
      <c r="I472" s="2"/>
      <c r="J472" s="3"/>
      <c r="K472" s="2"/>
      <c r="L472" s="2"/>
      <c r="M472" s="3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</row>
    <row r="473" spans="1:32" ht="13">
      <c r="A473" s="2"/>
      <c r="B473" s="2"/>
      <c r="C473" s="2"/>
      <c r="D473" s="2"/>
      <c r="E473" s="2"/>
      <c r="F473" s="3"/>
      <c r="G473" s="2"/>
      <c r="H473" s="2"/>
      <c r="I473" s="2"/>
      <c r="J473" s="3"/>
      <c r="K473" s="2"/>
      <c r="L473" s="2"/>
      <c r="M473" s="3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</row>
    <row r="474" spans="1:32" ht="13">
      <c r="A474" s="2"/>
      <c r="B474" s="2"/>
      <c r="C474" s="2"/>
      <c r="D474" s="2"/>
      <c r="E474" s="2"/>
      <c r="F474" s="3"/>
      <c r="G474" s="2"/>
      <c r="H474" s="2"/>
      <c r="I474" s="2"/>
      <c r="J474" s="3"/>
      <c r="K474" s="2"/>
      <c r="L474" s="2"/>
      <c r="M474" s="3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</row>
    <row r="475" spans="1:32" ht="13">
      <c r="A475" s="2"/>
      <c r="B475" s="2"/>
      <c r="C475" s="2"/>
      <c r="D475" s="2"/>
      <c r="E475" s="2"/>
      <c r="F475" s="3"/>
      <c r="G475" s="2"/>
      <c r="H475" s="2"/>
      <c r="I475" s="2"/>
      <c r="J475" s="3"/>
      <c r="K475" s="2"/>
      <c r="L475" s="2"/>
      <c r="M475" s="3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</row>
    <row r="476" spans="1:32" ht="13">
      <c r="A476" s="2"/>
      <c r="B476" s="2"/>
      <c r="C476" s="2"/>
      <c r="D476" s="2"/>
      <c r="E476" s="2"/>
      <c r="F476" s="3"/>
      <c r="G476" s="2"/>
      <c r="H476" s="2"/>
      <c r="I476" s="2"/>
      <c r="J476" s="3"/>
      <c r="K476" s="2"/>
      <c r="L476" s="2"/>
      <c r="M476" s="3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</row>
    <row r="477" spans="1:32" ht="13">
      <c r="A477" s="2"/>
      <c r="B477" s="2"/>
      <c r="C477" s="2"/>
      <c r="D477" s="2"/>
      <c r="E477" s="2"/>
      <c r="F477" s="3"/>
      <c r="G477" s="2"/>
      <c r="H477" s="2"/>
      <c r="I477" s="2"/>
      <c r="J477" s="3"/>
      <c r="K477" s="2"/>
      <c r="L477" s="2"/>
      <c r="M477" s="3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</row>
    <row r="478" spans="1:32" ht="13">
      <c r="A478" s="2"/>
      <c r="B478" s="2"/>
      <c r="C478" s="2"/>
      <c r="D478" s="2"/>
      <c r="E478" s="2"/>
      <c r="F478" s="3"/>
      <c r="G478" s="2"/>
      <c r="H478" s="2"/>
      <c r="I478" s="2"/>
      <c r="J478" s="3"/>
      <c r="K478" s="2"/>
      <c r="L478" s="2"/>
      <c r="M478" s="3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</row>
    <row r="479" spans="1:32" ht="13">
      <c r="A479" s="2"/>
      <c r="B479" s="2"/>
      <c r="C479" s="2"/>
      <c r="D479" s="2"/>
      <c r="E479" s="2"/>
      <c r="F479" s="3"/>
      <c r="G479" s="2"/>
      <c r="H479" s="2"/>
      <c r="I479" s="2"/>
      <c r="J479" s="3"/>
      <c r="K479" s="2"/>
      <c r="L479" s="2"/>
      <c r="M479" s="3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</row>
    <row r="480" spans="1:32" ht="13">
      <c r="A480" s="2"/>
      <c r="B480" s="2"/>
      <c r="C480" s="2"/>
      <c r="D480" s="2"/>
      <c r="E480" s="2"/>
      <c r="F480" s="3"/>
      <c r="G480" s="2"/>
      <c r="H480" s="2"/>
      <c r="I480" s="2"/>
      <c r="J480" s="3"/>
      <c r="K480" s="2"/>
      <c r="L480" s="2"/>
      <c r="M480" s="3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</row>
    <row r="481" spans="1:32" ht="13">
      <c r="A481" s="2"/>
      <c r="B481" s="2"/>
      <c r="C481" s="2"/>
      <c r="D481" s="2"/>
      <c r="E481" s="2"/>
      <c r="F481" s="3"/>
      <c r="G481" s="2"/>
      <c r="H481" s="2"/>
      <c r="I481" s="2"/>
      <c r="J481" s="3"/>
      <c r="K481" s="2"/>
      <c r="L481" s="2"/>
      <c r="M481" s="3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</row>
    <row r="482" spans="1:32" ht="13">
      <c r="A482" s="2"/>
      <c r="B482" s="2"/>
      <c r="C482" s="2"/>
      <c r="D482" s="2"/>
      <c r="E482" s="2"/>
      <c r="F482" s="3"/>
      <c r="G482" s="2"/>
      <c r="H482" s="2"/>
      <c r="I482" s="2"/>
      <c r="J482" s="3"/>
      <c r="K482" s="2"/>
      <c r="L482" s="2"/>
      <c r="M482" s="3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</row>
    <row r="483" spans="1:32" ht="13">
      <c r="A483" s="2"/>
      <c r="B483" s="2"/>
      <c r="C483" s="2"/>
      <c r="D483" s="2"/>
      <c r="E483" s="2"/>
      <c r="F483" s="3"/>
      <c r="G483" s="2"/>
      <c r="H483" s="2"/>
      <c r="I483" s="2"/>
      <c r="J483" s="3"/>
      <c r="K483" s="2"/>
      <c r="L483" s="2"/>
      <c r="M483" s="3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</row>
    <row r="484" spans="1:32" ht="13">
      <c r="A484" s="2"/>
      <c r="B484" s="2"/>
      <c r="C484" s="2"/>
      <c r="D484" s="2"/>
      <c r="E484" s="2"/>
      <c r="F484" s="3"/>
      <c r="G484" s="2"/>
      <c r="H484" s="2"/>
      <c r="I484" s="2"/>
      <c r="J484" s="3"/>
      <c r="K484" s="2"/>
      <c r="L484" s="2"/>
      <c r="M484" s="3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</row>
    <row r="485" spans="1:32" ht="13">
      <c r="A485" s="2"/>
      <c r="B485" s="2"/>
      <c r="C485" s="2"/>
      <c r="D485" s="2"/>
      <c r="E485" s="2"/>
      <c r="F485" s="3"/>
      <c r="G485" s="2"/>
      <c r="H485" s="2"/>
      <c r="I485" s="2"/>
      <c r="J485" s="3"/>
      <c r="K485" s="2"/>
      <c r="L485" s="2"/>
      <c r="M485" s="3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</row>
    <row r="486" spans="1:32" ht="13">
      <c r="A486" s="2"/>
      <c r="B486" s="2"/>
      <c r="C486" s="2"/>
      <c r="D486" s="2"/>
      <c r="E486" s="2"/>
      <c r="F486" s="3"/>
      <c r="G486" s="2"/>
      <c r="H486" s="2"/>
      <c r="I486" s="2"/>
      <c r="J486" s="3"/>
      <c r="K486" s="2"/>
      <c r="L486" s="2"/>
      <c r="M486" s="3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</row>
    <row r="487" spans="1:32" ht="13">
      <c r="A487" s="2"/>
      <c r="B487" s="2"/>
      <c r="C487" s="2"/>
      <c r="D487" s="2"/>
      <c r="E487" s="2"/>
      <c r="F487" s="3"/>
      <c r="G487" s="2"/>
      <c r="H487" s="2"/>
      <c r="I487" s="2"/>
      <c r="J487" s="3"/>
      <c r="K487" s="2"/>
      <c r="L487" s="2"/>
      <c r="M487" s="3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</row>
    <row r="488" spans="1:32" ht="13">
      <c r="A488" s="2"/>
      <c r="B488" s="2"/>
      <c r="C488" s="2"/>
      <c r="D488" s="2"/>
      <c r="E488" s="2"/>
      <c r="F488" s="3"/>
      <c r="G488" s="2"/>
      <c r="H488" s="2"/>
      <c r="I488" s="2"/>
      <c r="J488" s="3"/>
      <c r="K488" s="2"/>
      <c r="L488" s="2"/>
      <c r="M488" s="3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</row>
    <row r="489" spans="1:32" ht="13">
      <c r="A489" s="2"/>
      <c r="B489" s="2"/>
      <c r="C489" s="2"/>
      <c r="D489" s="2"/>
      <c r="E489" s="2"/>
      <c r="F489" s="3"/>
      <c r="G489" s="2"/>
      <c r="H489" s="2"/>
      <c r="I489" s="2"/>
      <c r="J489" s="3"/>
      <c r="K489" s="2"/>
      <c r="L489" s="2"/>
      <c r="M489" s="3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</row>
    <row r="490" spans="1:32" ht="13">
      <c r="A490" s="2"/>
      <c r="B490" s="2"/>
      <c r="C490" s="2"/>
      <c r="D490" s="2"/>
      <c r="E490" s="2"/>
      <c r="F490" s="3"/>
      <c r="G490" s="2"/>
      <c r="H490" s="2"/>
      <c r="I490" s="2"/>
      <c r="J490" s="3"/>
      <c r="K490" s="2"/>
      <c r="L490" s="2"/>
      <c r="M490" s="3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</row>
    <row r="491" spans="1:32" ht="13">
      <c r="A491" s="2"/>
      <c r="B491" s="2"/>
      <c r="C491" s="2"/>
      <c r="D491" s="2"/>
      <c r="E491" s="2"/>
      <c r="F491" s="3"/>
      <c r="G491" s="2"/>
      <c r="H491" s="2"/>
      <c r="I491" s="2"/>
      <c r="J491" s="3"/>
      <c r="K491" s="2"/>
      <c r="L491" s="2"/>
      <c r="M491" s="3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</row>
    <row r="492" spans="1:32" ht="13">
      <c r="A492" s="2"/>
      <c r="B492" s="2"/>
      <c r="C492" s="2"/>
      <c r="D492" s="2"/>
      <c r="E492" s="2"/>
      <c r="F492" s="3"/>
      <c r="G492" s="2"/>
      <c r="H492" s="2"/>
      <c r="I492" s="2"/>
      <c r="J492" s="3"/>
      <c r="K492" s="2"/>
      <c r="L492" s="2"/>
      <c r="M492" s="3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</row>
    <row r="493" spans="1:32" ht="13">
      <c r="A493" s="2"/>
      <c r="B493" s="2"/>
      <c r="C493" s="2"/>
      <c r="D493" s="2"/>
      <c r="E493" s="2"/>
      <c r="F493" s="3"/>
      <c r="G493" s="2"/>
      <c r="H493" s="2"/>
      <c r="I493" s="2"/>
      <c r="J493" s="3"/>
      <c r="K493" s="2"/>
      <c r="L493" s="2"/>
      <c r="M493" s="3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</row>
    <row r="494" spans="1:32" ht="13">
      <c r="A494" s="2"/>
      <c r="B494" s="2"/>
      <c r="C494" s="2"/>
      <c r="D494" s="2"/>
      <c r="E494" s="2"/>
      <c r="F494" s="3"/>
      <c r="G494" s="2"/>
      <c r="H494" s="2"/>
      <c r="I494" s="2"/>
      <c r="J494" s="3"/>
      <c r="K494" s="2"/>
      <c r="L494" s="2"/>
      <c r="M494" s="3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</row>
    <row r="495" spans="1:32" ht="13">
      <c r="A495" s="2"/>
      <c r="B495" s="2"/>
      <c r="C495" s="2"/>
      <c r="D495" s="2"/>
      <c r="E495" s="2"/>
      <c r="F495" s="3"/>
      <c r="G495" s="2"/>
      <c r="H495" s="2"/>
      <c r="I495" s="2"/>
      <c r="J495" s="3"/>
      <c r="K495" s="2"/>
      <c r="L495" s="2"/>
      <c r="M495" s="3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</row>
    <row r="496" spans="1:32" ht="13">
      <c r="A496" s="2"/>
      <c r="B496" s="2"/>
      <c r="C496" s="2"/>
      <c r="D496" s="2"/>
      <c r="E496" s="2"/>
      <c r="F496" s="3"/>
      <c r="G496" s="2"/>
      <c r="H496" s="2"/>
      <c r="I496" s="2"/>
      <c r="J496" s="3"/>
      <c r="K496" s="2"/>
      <c r="L496" s="2"/>
      <c r="M496" s="3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</row>
    <row r="497" spans="1:32" ht="13">
      <c r="A497" s="2"/>
      <c r="B497" s="2"/>
      <c r="C497" s="2"/>
      <c r="D497" s="2"/>
      <c r="E497" s="2"/>
      <c r="F497" s="3"/>
      <c r="G497" s="2"/>
      <c r="H497" s="2"/>
      <c r="I497" s="2"/>
      <c r="J497" s="3"/>
      <c r="K497" s="2"/>
      <c r="L497" s="2"/>
      <c r="M497" s="3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</row>
    <row r="498" spans="1:32" ht="13">
      <c r="A498" s="2"/>
      <c r="B498" s="2"/>
      <c r="C498" s="2"/>
      <c r="D498" s="2"/>
      <c r="E498" s="2"/>
      <c r="F498" s="3"/>
      <c r="G498" s="2"/>
      <c r="H498" s="2"/>
      <c r="I498" s="2"/>
      <c r="J498" s="3"/>
      <c r="K498" s="2"/>
      <c r="L498" s="2"/>
      <c r="M498" s="3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</row>
    <row r="499" spans="1:32" ht="13">
      <c r="A499" s="2"/>
      <c r="B499" s="2"/>
      <c r="C499" s="2"/>
      <c r="D499" s="2"/>
      <c r="E499" s="2"/>
      <c r="F499" s="3"/>
      <c r="G499" s="2"/>
      <c r="H499" s="2"/>
      <c r="I499" s="2"/>
      <c r="J499" s="3"/>
      <c r="K499" s="2"/>
      <c r="L499" s="2"/>
      <c r="M499" s="3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</row>
    <row r="500" spans="1:32" ht="13">
      <c r="A500" s="2"/>
      <c r="B500" s="2"/>
      <c r="C500" s="2"/>
      <c r="D500" s="2"/>
      <c r="E500" s="2"/>
      <c r="F500" s="3"/>
      <c r="G500" s="2"/>
      <c r="H500" s="2"/>
      <c r="I500" s="2"/>
      <c r="J500" s="3"/>
      <c r="K500" s="2"/>
      <c r="L500" s="2"/>
      <c r="M500" s="3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</row>
    <row r="501" spans="1:32" ht="13">
      <c r="A501" s="2"/>
      <c r="B501" s="2"/>
      <c r="C501" s="2"/>
      <c r="D501" s="2"/>
      <c r="E501" s="2"/>
      <c r="F501" s="3"/>
      <c r="G501" s="2"/>
      <c r="H501" s="2"/>
      <c r="I501" s="2"/>
      <c r="J501" s="3"/>
      <c r="K501" s="2"/>
      <c r="L501" s="2"/>
      <c r="M501" s="3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</row>
    <row r="502" spans="1:32" ht="13">
      <c r="A502" s="2"/>
      <c r="B502" s="2"/>
      <c r="C502" s="2"/>
      <c r="D502" s="2"/>
      <c r="E502" s="2"/>
      <c r="F502" s="3"/>
      <c r="G502" s="2"/>
      <c r="H502" s="2"/>
      <c r="I502" s="2"/>
      <c r="J502" s="3"/>
      <c r="K502" s="2"/>
      <c r="L502" s="2"/>
      <c r="M502" s="3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</row>
    <row r="503" spans="1:32" ht="13">
      <c r="A503" s="2"/>
      <c r="B503" s="2"/>
      <c r="C503" s="2"/>
      <c r="D503" s="2"/>
      <c r="E503" s="2"/>
      <c r="F503" s="3"/>
      <c r="G503" s="2"/>
      <c r="H503" s="2"/>
      <c r="I503" s="2"/>
      <c r="J503" s="3"/>
      <c r="K503" s="2"/>
      <c r="L503" s="2"/>
      <c r="M503" s="3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</row>
    <row r="504" spans="1:32" ht="13">
      <c r="A504" s="2"/>
      <c r="B504" s="2"/>
      <c r="C504" s="2"/>
      <c r="D504" s="2"/>
      <c r="E504" s="2"/>
      <c r="F504" s="3"/>
      <c r="G504" s="2"/>
      <c r="H504" s="2"/>
      <c r="I504" s="2"/>
      <c r="J504" s="3"/>
      <c r="K504" s="2"/>
      <c r="L504" s="2"/>
      <c r="M504" s="3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</row>
    <row r="505" spans="1:32" ht="13">
      <c r="A505" s="2"/>
      <c r="B505" s="2"/>
      <c r="C505" s="2"/>
      <c r="D505" s="2"/>
      <c r="E505" s="2"/>
      <c r="F505" s="3"/>
      <c r="G505" s="2"/>
      <c r="H505" s="2"/>
      <c r="I505" s="2"/>
      <c r="J505" s="3"/>
      <c r="K505" s="2"/>
      <c r="L505" s="2"/>
      <c r="M505" s="3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</row>
    <row r="506" spans="1:32" ht="13">
      <c r="A506" s="2"/>
      <c r="B506" s="2"/>
      <c r="C506" s="2"/>
      <c r="D506" s="2"/>
      <c r="E506" s="2"/>
      <c r="F506" s="3"/>
      <c r="G506" s="2"/>
      <c r="H506" s="2"/>
      <c r="I506" s="2"/>
      <c r="J506" s="3"/>
      <c r="K506" s="2"/>
      <c r="L506" s="2"/>
      <c r="M506" s="3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</row>
    <row r="507" spans="1:32" ht="13">
      <c r="A507" s="2"/>
      <c r="B507" s="2"/>
      <c r="C507" s="2"/>
      <c r="D507" s="2"/>
      <c r="E507" s="2"/>
      <c r="F507" s="3"/>
      <c r="G507" s="2"/>
      <c r="H507" s="2"/>
      <c r="I507" s="2"/>
      <c r="J507" s="3"/>
      <c r="K507" s="2"/>
      <c r="L507" s="2"/>
      <c r="M507" s="3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</row>
    <row r="508" spans="1:32" ht="13">
      <c r="A508" s="2"/>
      <c r="B508" s="2"/>
      <c r="C508" s="2"/>
      <c r="D508" s="2"/>
      <c r="E508" s="2"/>
      <c r="F508" s="3"/>
      <c r="G508" s="2"/>
      <c r="H508" s="2"/>
      <c r="I508" s="2"/>
      <c r="J508" s="3"/>
      <c r="K508" s="2"/>
      <c r="L508" s="2"/>
      <c r="M508" s="3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</row>
    <row r="509" spans="1:32" ht="13">
      <c r="A509" s="2"/>
      <c r="B509" s="2"/>
      <c r="C509" s="2"/>
      <c r="D509" s="2"/>
      <c r="E509" s="2"/>
      <c r="F509" s="3"/>
      <c r="G509" s="2"/>
      <c r="H509" s="2"/>
      <c r="I509" s="2"/>
      <c r="J509" s="3"/>
      <c r="K509" s="2"/>
      <c r="L509" s="2"/>
      <c r="M509" s="3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</row>
    <row r="510" spans="1:32" ht="13">
      <c r="A510" s="2"/>
      <c r="B510" s="2"/>
      <c r="C510" s="2"/>
      <c r="D510" s="2"/>
      <c r="E510" s="2"/>
      <c r="F510" s="3"/>
      <c r="G510" s="2"/>
      <c r="H510" s="2"/>
      <c r="I510" s="2"/>
      <c r="J510" s="3"/>
      <c r="K510" s="2"/>
      <c r="L510" s="2"/>
      <c r="M510" s="3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</row>
    <row r="511" spans="1:32" ht="13">
      <c r="A511" s="2"/>
      <c r="B511" s="2"/>
      <c r="C511" s="2"/>
      <c r="D511" s="2"/>
      <c r="E511" s="2"/>
      <c r="F511" s="3"/>
      <c r="G511" s="2"/>
      <c r="H511" s="2"/>
      <c r="I511" s="2"/>
      <c r="J511" s="3"/>
      <c r="K511" s="2"/>
      <c r="L511" s="2"/>
      <c r="M511" s="3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</row>
    <row r="512" spans="1:32" ht="13">
      <c r="A512" s="2"/>
      <c r="B512" s="2"/>
      <c r="C512" s="2"/>
      <c r="D512" s="2"/>
      <c r="E512" s="2"/>
      <c r="F512" s="3"/>
      <c r="G512" s="2"/>
      <c r="H512" s="2"/>
      <c r="I512" s="2"/>
      <c r="J512" s="3"/>
      <c r="K512" s="2"/>
      <c r="L512" s="2"/>
      <c r="M512" s="3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</row>
    <row r="513" spans="1:32" ht="13">
      <c r="A513" s="2"/>
      <c r="B513" s="2"/>
      <c r="C513" s="2"/>
      <c r="D513" s="2"/>
      <c r="E513" s="2"/>
      <c r="F513" s="3"/>
      <c r="G513" s="2"/>
      <c r="H513" s="2"/>
      <c r="I513" s="2"/>
      <c r="J513" s="3"/>
      <c r="K513" s="2"/>
      <c r="L513" s="2"/>
      <c r="M513" s="3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</row>
    <row r="514" spans="1:32" ht="13">
      <c r="A514" s="2"/>
      <c r="B514" s="2"/>
      <c r="C514" s="2"/>
      <c r="D514" s="2"/>
      <c r="E514" s="2"/>
      <c r="F514" s="3"/>
      <c r="G514" s="2"/>
      <c r="H514" s="2"/>
      <c r="I514" s="2"/>
      <c r="J514" s="3"/>
      <c r="K514" s="2"/>
      <c r="L514" s="2"/>
      <c r="M514" s="3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</row>
    <row r="515" spans="1:32" ht="13">
      <c r="A515" s="2"/>
      <c r="B515" s="2"/>
      <c r="C515" s="2"/>
      <c r="D515" s="2"/>
      <c r="E515" s="2"/>
      <c r="F515" s="3"/>
      <c r="G515" s="2"/>
      <c r="H515" s="2"/>
      <c r="I515" s="2"/>
      <c r="J515" s="3"/>
      <c r="K515" s="2"/>
      <c r="L515" s="2"/>
      <c r="M515" s="3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</row>
    <row r="516" spans="1:32" ht="13">
      <c r="A516" s="2"/>
      <c r="B516" s="2"/>
      <c r="C516" s="2"/>
      <c r="D516" s="2"/>
      <c r="E516" s="2"/>
      <c r="F516" s="3"/>
      <c r="G516" s="2"/>
      <c r="H516" s="2"/>
      <c r="I516" s="2"/>
      <c r="J516" s="3"/>
      <c r="K516" s="2"/>
      <c r="L516" s="2"/>
      <c r="M516" s="3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</row>
    <row r="517" spans="1:32" ht="13">
      <c r="A517" s="2"/>
      <c r="B517" s="2"/>
      <c r="C517" s="2"/>
      <c r="D517" s="2"/>
      <c r="E517" s="2"/>
      <c r="F517" s="3"/>
      <c r="G517" s="2"/>
      <c r="H517" s="2"/>
      <c r="I517" s="2"/>
      <c r="J517" s="3"/>
      <c r="K517" s="2"/>
      <c r="L517" s="2"/>
      <c r="M517" s="3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</row>
    <row r="518" spans="1:32" ht="13">
      <c r="A518" s="2"/>
      <c r="B518" s="2"/>
      <c r="C518" s="2"/>
      <c r="D518" s="2"/>
      <c r="E518" s="2"/>
      <c r="F518" s="3"/>
      <c r="G518" s="2"/>
      <c r="H518" s="2"/>
      <c r="I518" s="2"/>
      <c r="J518" s="3"/>
      <c r="K518" s="2"/>
      <c r="L518" s="2"/>
      <c r="M518" s="3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</row>
    <row r="519" spans="1:32" ht="13">
      <c r="A519" s="2"/>
      <c r="B519" s="2"/>
      <c r="C519" s="2"/>
      <c r="D519" s="2"/>
      <c r="E519" s="2"/>
      <c r="F519" s="3"/>
      <c r="G519" s="2"/>
      <c r="H519" s="2"/>
      <c r="I519" s="2"/>
      <c r="J519" s="3"/>
      <c r="K519" s="2"/>
      <c r="L519" s="2"/>
      <c r="M519" s="3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</row>
    <row r="520" spans="1:32" ht="13">
      <c r="A520" s="2"/>
      <c r="B520" s="2"/>
      <c r="C520" s="2"/>
      <c r="D520" s="2"/>
      <c r="E520" s="2"/>
      <c r="F520" s="3"/>
      <c r="G520" s="2"/>
      <c r="H520" s="2"/>
      <c r="I520" s="2"/>
      <c r="J520" s="3"/>
      <c r="K520" s="2"/>
      <c r="L520" s="2"/>
      <c r="M520" s="3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</row>
    <row r="521" spans="1:32" ht="13">
      <c r="A521" s="2"/>
      <c r="B521" s="2"/>
      <c r="C521" s="2"/>
      <c r="D521" s="2"/>
      <c r="E521" s="2"/>
      <c r="F521" s="3"/>
      <c r="G521" s="2"/>
      <c r="H521" s="2"/>
      <c r="I521" s="2"/>
      <c r="J521" s="3"/>
      <c r="K521" s="2"/>
      <c r="L521" s="2"/>
      <c r="M521" s="3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</row>
    <row r="522" spans="1:32" ht="13">
      <c r="A522" s="2"/>
      <c r="B522" s="2"/>
      <c r="C522" s="2"/>
      <c r="D522" s="2"/>
      <c r="E522" s="2"/>
      <c r="F522" s="3"/>
      <c r="G522" s="2"/>
      <c r="H522" s="2"/>
      <c r="I522" s="2"/>
      <c r="J522" s="3"/>
      <c r="K522" s="2"/>
      <c r="L522" s="2"/>
      <c r="M522" s="3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</row>
    <row r="523" spans="1:32" ht="13">
      <c r="A523" s="2"/>
      <c r="B523" s="2"/>
      <c r="C523" s="2"/>
      <c r="D523" s="2"/>
      <c r="E523" s="2"/>
      <c r="F523" s="3"/>
      <c r="G523" s="2"/>
      <c r="H523" s="2"/>
      <c r="I523" s="2"/>
      <c r="J523" s="3"/>
      <c r="K523" s="2"/>
      <c r="L523" s="2"/>
      <c r="M523" s="3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</row>
    <row r="524" spans="1:32" ht="13">
      <c r="A524" s="2"/>
      <c r="B524" s="2"/>
      <c r="C524" s="2"/>
      <c r="D524" s="2"/>
      <c r="E524" s="2"/>
      <c r="F524" s="3"/>
      <c r="G524" s="2"/>
      <c r="H524" s="2"/>
      <c r="I524" s="2"/>
      <c r="J524" s="3"/>
      <c r="K524" s="2"/>
      <c r="L524" s="2"/>
      <c r="M524" s="3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</row>
    <row r="525" spans="1:32" ht="13">
      <c r="A525" s="2"/>
      <c r="B525" s="2"/>
      <c r="C525" s="2"/>
      <c r="D525" s="2"/>
      <c r="E525" s="2"/>
      <c r="F525" s="3"/>
      <c r="G525" s="2"/>
      <c r="H525" s="2"/>
      <c r="I525" s="2"/>
      <c r="J525" s="3"/>
      <c r="K525" s="2"/>
      <c r="L525" s="2"/>
      <c r="M525" s="3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</row>
    <row r="526" spans="1:32" ht="13">
      <c r="A526" s="2"/>
      <c r="B526" s="2"/>
      <c r="C526" s="2"/>
      <c r="D526" s="2"/>
      <c r="E526" s="2"/>
      <c r="F526" s="3"/>
      <c r="G526" s="2"/>
      <c r="H526" s="2"/>
      <c r="I526" s="2"/>
      <c r="J526" s="3"/>
      <c r="K526" s="2"/>
      <c r="L526" s="2"/>
      <c r="M526" s="3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</row>
    <row r="527" spans="1:32" ht="13">
      <c r="A527" s="2"/>
      <c r="B527" s="2"/>
      <c r="C527" s="2"/>
      <c r="D527" s="2"/>
      <c r="E527" s="2"/>
      <c r="F527" s="3"/>
      <c r="G527" s="2"/>
      <c r="H527" s="2"/>
      <c r="I527" s="2"/>
      <c r="J527" s="3"/>
      <c r="K527" s="2"/>
      <c r="L527" s="2"/>
      <c r="M527" s="3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</row>
    <row r="528" spans="1:32" ht="13">
      <c r="A528" s="2"/>
      <c r="B528" s="2"/>
      <c r="C528" s="2"/>
      <c r="D528" s="2"/>
      <c r="E528" s="2"/>
      <c r="F528" s="3"/>
      <c r="G528" s="2"/>
      <c r="H528" s="2"/>
      <c r="I528" s="2"/>
      <c r="J528" s="3"/>
      <c r="K528" s="2"/>
      <c r="L528" s="2"/>
      <c r="M528" s="3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</row>
    <row r="529" spans="1:32" ht="13">
      <c r="A529" s="2"/>
      <c r="B529" s="2"/>
      <c r="C529" s="2"/>
      <c r="D529" s="2"/>
      <c r="E529" s="2"/>
      <c r="F529" s="3"/>
      <c r="G529" s="2"/>
      <c r="H529" s="2"/>
      <c r="I529" s="2"/>
      <c r="J529" s="3"/>
      <c r="K529" s="2"/>
      <c r="L529" s="2"/>
      <c r="M529" s="3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</row>
    <row r="530" spans="1:32" ht="13">
      <c r="A530" s="2"/>
      <c r="B530" s="2"/>
      <c r="C530" s="2"/>
      <c r="D530" s="2"/>
      <c r="E530" s="2"/>
      <c r="F530" s="3"/>
      <c r="G530" s="2"/>
      <c r="H530" s="2"/>
      <c r="I530" s="2"/>
      <c r="J530" s="3"/>
      <c r="K530" s="2"/>
      <c r="L530" s="2"/>
      <c r="M530" s="3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</row>
    <row r="531" spans="1:32" ht="13">
      <c r="A531" s="2"/>
      <c r="B531" s="2"/>
      <c r="C531" s="2"/>
      <c r="D531" s="2"/>
      <c r="E531" s="2"/>
      <c r="F531" s="3"/>
      <c r="G531" s="2"/>
      <c r="H531" s="2"/>
      <c r="I531" s="2"/>
      <c r="J531" s="3"/>
      <c r="K531" s="2"/>
      <c r="L531" s="2"/>
      <c r="M531" s="3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</row>
    <row r="532" spans="1:32" ht="13">
      <c r="A532" s="2"/>
      <c r="B532" s="2"/>
      <c r="C532" s="2"/>
      <c r="D532" s="2"/>
      <c r="E532" s="2"/>
      <c r="F532" s="3"/>
      <c r="G532" s="2"/>
      <c r="H532" s="2"/>
      <c r="I532" s="2"/>
      <c r="J532" s="3"/>
      <c r="K532" s="2"/>
      <c r="L532" s="2"/>
      <c r="M532" s="3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</row>
    <row r="533" spans="1:32" ht="13">
      <c r="A533" s="2"/>
      <c r="B533" s="2"/>
      <c r="C533" s="2"/>
      <c r="D533" s="2"/>
      <c r="E533" s="2"/>
      <c r="F533" s="3"/>
      <c r="G533" s="2"/>
      <c r="H533" s="2"/>
      <c r="I533" s="2"/>
      <c r="J533" s="3"/>
      <c r="K533" s="2"/>
      <c r="L533" s="2"/>
      <c r="M533" s="3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</row>
    <row r="534" spans="1:32" ht="13">
      <c r="A534" s="2"/>
      <c r="B534" s="2"/>
      <c r="C534" s="2"/>
      <c r="D534" s="2"/>
      <c r="E534" s="2"/>
      <c r="F534" s="3"/>
      <c r="G534" s="2"/>
      <c r="H534" s="2"/>
      <c r="I534" s="2"/>
      <c r="J534" s="3"/>
      <c r="K534" s="2"/>
      <c r="L534" s="2"/>
      <c r="M534" s="3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</row>
    <row r="535" spans="1:32" ht="13">
      <c r="A535" s="2"/>
      <c r="B535" s="2"/>
      <c r="C535" s="2"/>
      <c r="D535" s="2"/>
      <c r="E535" s="2"/>
      <c r="F535" s="3"/>
      <c r="G535" s="2"/>
      <c r="H535" s="2"/>
      <c r="I535" s="2"/>
      <c r="J535" s="3"/>
      <c r="K535" s="2"/>
      <c r="L535" s="2"/>
      <c r="M535" s="3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</row>
    <row r="536" spans="1:32" ht="13">
      <c r="A536" s="2"/>
      <c r="B536" s="2"/>
      <c r="C536" s="2"/>
      <c r="D536" s="2"/>
      <c r="E536" s="2"/>
      <c r="F536" s="3"/>
      <c r="G536" s="2"/>
      <c r="H536" s="2"/>
      <c r="I536" s="2"/>
      <c r="J536" s="3"/>
      <c r="K536" s="2"/>
      <c r="L536" s="2"/>
      <c r="M536" s="3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</row>
    <row r="537" spans="1:32" ht="13">
      <c r="A537" s="2"/>
      <c r="B537" s="2"/>
      <c r="C537" s="2"/>
      <c r="D537" s="2"/>
      <c r="E537" s="2"/>
      <c r="F537" s="3"/>
      <c r="G537" s="2"/>
      <c r="H537" s="2"/>
      <c r="I537" s="2"/>
      <c r="J537" s="3"/>
      <c r="K537" s="2"/>
      <c r="L537" s="2"/>
      <c r="M537" s="3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</row>
    <row r="538" spans="1:32" ht="13">
      <c r="A538" s="2"/>
      <c r="B538" s="2"/>
      <c r="C538" s="2"/>
      <c r="D538" s="2"/>
      <c r="E538" s="2"/>
      <c r="F538" s="3"/>
      <c r="G538" s="2"/>
      <c r="H538" s="2"/>
      <c r="I538" s="2"/>
      <c r="J538" s="3"/>
      <c r="K538" s="2"/>
      <c r="L538" s="2"/>
      <c r="M538" s="3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</row>
    <row r="539" spans="1:32" ht="13">
      <c r="A539" s="2"/>
      <c r="B539" s="2"/>
      <c r="C539" s="2"/>
      <c r="D539" s="2"/>
      <c r="E539" s="2"/>
      <c r="F539" s="3"/>
      <c r="G539" s="2"/>
      <c r="H539" s="2"/>
      <c r="I539" s="2"/>
      <c r="J539" s="3"/>
      <c r="K539" s="2"/>
      <c r="L539" s="2"/>
      <c r="M539" s="3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</row>
    <row r="540" spans="1:32" ht="13">
      <c r="A540" s="2"/>
      <c r="B540" s="2"/>
      <c r="C540" s="2"/>
      <c r="D540" s="2"/>
      <c r="E540" s="2"/>
      <c r="F540" s="3"/>
      <c r="G540" s="2"/>
      <c r="H540" s="2"/>
      <c r="I540" s="2"/>
      <c r="J540" s="3"/>
      <c r="K540" s="2"/>
      <c r="L540" s="2"/>
      <c r="M540" s="3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</row>
    <row r="541" spans="1:32" ht="13">
      <c r="A541" s="2"/>
      <c r="B541" s="2"/>
      <c r="C541" s="2"/>
      <c r="D541" s="2"/>
      <c r="E541" s="2"/>
      <c r="F541" s="3"/>
      <c r="G541" s="2"/>
      <c r="H541" s="2"/>
      <c r="I541" s="2"/>
      <c r="J541" s="3"/>
      <c r="K541" s="2"/>
      <c r="L541" s="2"/>
      <c r="M541" s="3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</row>
    <row r="542" spans="1:32" ht="13">
      <c r="A542" s="2"/>
      <c r="B542" s="2"/>
      <c r="C542" s="2"/>
      <c r="D542" s="2"/>
      <c r="E542" s="2"/>
      <c r="F542" s="3"/>
      <c r="G542" s="2"/>
      <c r="H542" s="2"/>
      <c r="I542" s="2"/>
      <c r="J542" s="3"/>
      <c r="K542" s="2"/>
      <c r="L542" s="2"/>
      <c r="M542" s="3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</row>
    <row r="543" spans="1:32" ht="13">
      <c r="A543" s="2"/>
      <c r="B543" s="2"/>
      <c r="C543" s="2"/>
      <c r="D543" s="2"/>
      <c r="E543" s="2"/>
      <c r="F543" s="3"/>
      <c r="G543" s="2"/>
      <c r="H543" s="2"/>
      <c r="I543" s="2"/>
      <c r="J543" s="3"/>
      <c r="K543" s="2"/>
      <c r="L543" s="2"/>
      <c r="M543" s="3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</row>
    <row r="544" spans="1:32" ht="13">
      <c r="A544" s="2"/>
      <c r="B544" s="2"/>
      <c r="C544" s="2"/>
      <c r="D544" s="2"/>
      <c r="E544" s="2"/>
      <c r="F544" s="3"/>
      <c r="G544" s="2"/>
      <c r="H544" s="2"/>
      <c r="I544" s="2"/>
      <c r="J544" s="3"/>
      <c r="K544" s="2"/>
      <c r="L544" s="2"/>
      <c r="M544" s="3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</row>
    <row r="545" spans="1:32" ht="13">
      <c r="A545" s="2"/>
      <c r="B545" s="2"/>
      <c r="C545" s="2"/>
      <c r="D545" s="2"/>
      <c r="E545" s="2"/>
      <c r="F545" s="3"/>
      <c r="G545" s="2"/>
      <c r="H545" s="2"/>
      <c r="I545" s="2"/>
      <c r="J545" s="3"/>
      <c r="K545" s="2"/>
      <c r="L545" s="2"/>
      <c r="M545" s="3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</row>
    <row r="546" spans="1:32" ht="13">
      <c r="A546" s="2"/>
      <c r="B546" s="2"/>
      <c r="C546" s="2"/>
      <c r="D546" s="2"/>
      <c r="E546" s="2"/>
      <c r="F546" s="3"/>
      <c r="G546" s="2"/>
      <c r="H546" s="2"/>
      <c r="I546" s="2"/>
      <c r="J546" s="3"/>
      <c r="K546" s="2"/>
      <c r="L546" s="2"/>
      <c r="M546" s="3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</row>
    <row r="547" spans="1:32" ht="13">
      <c r="A547" s="2"/>
      <c r="B547" s="2"/>
      <c r="C547" s="2"/>
      <c r="D547" s="2"/>
      <c r="E547" s="2"/>
      <c r="F547" s="3"/>
      <c r="G547" s="2"/>
      <c r="H547" s="2"/>
      <c r="I547" s="2"/>
      <c r="J547" s="3"/>
      <c r="K547" s="2"/>
      <c r="L547" s="2"/>
      <c r="M547" s="3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</row>
    <row r="548" spans="1:32" ht="13">
      <c r="A548" s="2"/>
      <c r="B548" s="2"/>
      <c r="C548" s="2"/>
      <c r="D548" s="2"/>
      <c r="E548" s="2"/>
      <c r="F548" s="3"/>
      <c r="G548" s="2"/>
      <c r="H548" s="2"/>
      <c r="I548" s="2"/>
      <c r="J548" s="3"/>
      <c r="K548" s="2"/>
      <c r="L548" s="2"/>
      <c r="M548" s="3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</row>
    <row r="549" spans="1:32" ht="13">
      <c r="A549" s="2"/>
      <c r="B549" s="2"/>
      <c r="C549" s="2"/>
      <c r="D549" s="2"/>
      <c r="E549" s="2"/>
      <c r="F549" s="3"/>
      <c r="G549" s="2"/>
      <c r="H549" s="2"/>
      <c r="I549" s="2"/>
      <c r="J549" s="3"/>
      <c r="K549" s="2"/>
      <c r="L549" s="2"/>
      <c r="M549" s="3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</row>
    <row r="550" spans="1:32" ht="13">
      <c r="A550" s="2"/>
      <c r="B550" s="2"/>
      <c r="C550" s="2"/>
      <c r="D550" s="2"/>
      <c r="E550" s="2"/>
      <c r="F550" s="3"/>
      <c r="G550" s="2"/>
      <c r="H550" s="2"/>
      <c r="I550" s="2"/>
      <c r="J550" s="3"/>
      <c r="K550" s="2"/>
      <c r="L550" s="2"/>
      <c r="M550" s="3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</row>
    <row r="551" spans="1:32" ht="13">
      <c r="A551" s="2"/>
      <c r="B551" s="2"/>
      <c r="C551" s="2"/>
      <c r="D551" s="2"/>
      <c r="E551" s="2"/>
      <c r="F551" s="3"/>
      <c r="G551" s="2"/>
      <c r="H551" s="2"/>
      <c r="I551" s="2"/>
      <c r="J551" s="3"/>
      <c r="K551" s="2"/>
      <c r="L551" s="2"/>
      <c r="M551" s="3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</row>
    <row r="552" spans="1:32" ht="13">
      <c r="A552" s="2"/>
      <c r="B552" s="2"/>
      <c r="C552" s="2"/>
      <c r="D552" s="2"/>
      <c r="E552" s="2"/>
      <c r="F552" s="3"/>
      <c r="G552" s="2"/>
      <c r="H552" s="2"/>
      <c r="I552" s="2"/>
      <c r="J552" s="3"/>
      <c r="K552" s="2"/>
      <c r="L552" s="2"/>
      <c r="M552" s="3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</row>
    <row r="553" spans="1:32" ht="13">
      <c r="A553" s="2"/>
      <c r="B553" s="2"/>
      <c r="C553" s="2"/>
      <c r="D553" s="2"/>
      <c r="E553" s="2"/>
      <c r="F553" s="3"/>
      <c r="G553" s="2"/>
      <c r="H553" s="2"/>
      <c r="I553" s="2"/>
      <c r="J553" s="3"/>
      <c r="K553" s="2"/>
      <c r="L553" s="2"/>
      <c r="M553" s="3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</row>
    <row r="554" spans="1:32" ht="13">
      <c r="A554" s="2"/>
      <c r="B554" s="2"/>
      <c r="C554" s="2"/>
      <c r="D554" s="2"/>
      <c r="E554" s="2"/>
      <c r="F554" s="3"/>
      <c r="G554" s="2"/>
      <c r="H554" s="2"/>
      <c r="I554" s="2"/>
      <c r="J554" s="3"/>
      <c r="K554" s="2"/>
      <c r="L554" s="2"/>
      <c r="M554" s="3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</row>
    <row r="555" spans="1:32" ht="13">
      <c r="A555" s="2"/>
      <c r="B555" s="2"/>
      <c r="C555" s="2"/>
      <c r="D555" s="2"/>
      <c r="E555" s="2"/>
      <c r="F555" s="3"/>
      <c r="G555" s="2"/>
      <c r="H555" s="2"/>
      <c r="I555" s="2"/>
      <c r="J555" s="3"/>
      <c r="K555" s="2"/>
      <c r="L555" s="2"/>
      <c r="M555" s="3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</row>
    <row r="556" spans="1:32" ht="13">
      <c r="A556" s="2"/>
      <c r="B556" s="2"/>
      <c r="C556" s="2"/>
      <c r="D556" s="2"/>
      <c r="E556" s="2"/>
      <c r="F556" s="3"/>
      <c r="G556" s="2"/>
      <c r="H556" s="2"/>
      <c r="I556" s="2"/>
      <c r="J556" s="3"/>
      <c r="K556" s="2"/>
      <c r="L556" s="2"/>
      <c r="M556" s="3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</row>
    <row r="557" spans="1:32" ht="13">
      <c r="A557" s="2"/>
      <c r="B557" s="2"/>
      <c r="C557" s="2"/>
      <c r="D557" s="2"/>
      <c r="E557" s="2"/>
      <c r="F557" s="3"/>
      <c r="G557" s="2"/>
      <c r="H557" s="2"/>
      <c r="I557" s="2"/>
      <c r="J557" s="3"/>
      <c r="K557" s="2"/>
      <c r="L557" s="2"/>
      <c r="M557" s="3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</row>
    <row r="558" spans="1:32" ht="13">
      <c r="A558" s="2"/>
      <c r="B558" s="2"/>
      <c r="C558" s="2"/>
      <c r="D558" s="2"/>
      <c r="E558" s="2"/>
      <c r="F558" s="3"/>
      <c r="G558" s="2"/>
      <c r="H558" s="2"/>
      <c r="I558" s="2"/>
      <c r="J558" s="3"/>
      <c r="K558" s="2"/>
      <c r="L558" s="2"/>
      <c r="M558" s="3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</row>
    <row r="559" spans="1:32" ht="13">
      <c r="A559" s="2"/>
      <c r="B559" s="2"/>
      <c r="C559" s="2"/>
      <c r="D559" s="2"/>
      <c r="E559" s="2"/>
      <c r="F559" s="3"/>
      <c r="G559" s="2"/>
      <c r="H559" s="2"/>
      <c r="I559" s="2"/>
      <c r="J559" s="3"/>
      <c r="K559" s="2"/>
      <c r="L559" s="2"/>
      <c r="M559" s="3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</row>
    <row r="560" spans="1:32" ht="13">
      <c r="A560" s="2"/>
      <c r="B560" s="2"/>
      <c r="C560" s="2"/>
      <c r="D560" s="2"/>
      <c r="E560" s="2"/>
      <c r="F560" s="3"/>
      <c r="G560" s="2"/>
      <c r="H560" s="2"/>
      <c r="I560" s="2"/>
      <c r="J560" s="3"/>
      <c r="K560" s="2"/>
      <c r="L560" s="2"/>
      <c r="M560" s="3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</row>
    <row r="561" spans="1:32" ht="13">
      <c r="A561" s="2"/>
      <c r="B561" s="2"/>
      <c r="C561" s="2"/>
      <c r="D561" s="2"/>
      <c r="E561" s="2"/>
      <c r="F561" s="3"/>
      <c r="G561" s="2"/>
      <c r="H561" s="2"/>
      <c r="I561" s="2"/>
      <c r="J561" s="3"/>
      <c r="K561" s="2"/>
      <c r="L561" s="2"/>
      <c r="M561" s="3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</row>
    <row r="562" spans="1:32" ht="13">
      <c r="A562" s="2"/>
      <c r="B562" s="2"/>
      <c r="C562" s="2"/>
      <c r="D562" s="2"/>
      <c r="E562" s="2"/>
      <c r="F562" s="3"/>
      <c r="G562" s="2"/>
      <c r="H562" s="2"/>
      <c r="I562" s="2"/>
      <c r="J562" s="3"/>
      <c r="K562" s="2"/>
      <c r="L562" s="2"/>
      <c r="M562" s="3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</row>
    <row r="563" spans="1:32" ht="13">
      <c r="A563" s="2"/>
      <c r="B563" s="2"/>
      <c r="C563" s="2"/>
      <c r="D563" s="2"/>
      <c r="E563" s="2"/>
      <c r="F563" s="3"/>
      <c r="G563" s="2"/>
      <c r="H563" s="2"/>
      <c r="I563" s="2"/>
      <c r="J563" s="3"/>
      <c r="K563" s="2"/>
      <c r="L563" s="2"/>
      <c r="M563" s="3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</row>
    <row r="564" spans="1:32" ht="13">
      <c r="A564" s="2"/>
      <c r="B564" s="2"/>
      <c r="C564" s="2"/>
      <c r="D564" s="2"/>
      <c r="E564" s="2"/>
      <c r="F564" s="3"/>
      <c r="G564" s="2"/>
      <c r="H564" s="2"/>
      <c r="I564" s="2"/>
      <c r="J564" s="3"/>
      <c r="K564" s="2"/>
      <c r="L564" s="2"/>
      <c r="M564" s="3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</row>
    <row r="565" spans="1:32" ht="13">
      <c r="A565" s="2"/>
      <c r="B565" s="2"/>
      <c r="C565" s="2"/>
      <c r="D565" s="2"/>
      <c r="E565" s="2"/>
      <c r="F565" s="3"/>
      <c r="G565" s="2"/>
      <c r="H565" s="2"/>
      <c r="I565" s="2"/>
      <c r="J565" s="3"/>
      <c r="K565" s="2"/>
      <c r="L565" s="2"/>
      <c r="M565" s="3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</row>
    <row r="566" spans="1:32" ht="13">
      <c r="A566" s="2"/>
      <c r="B566" s="2"/>
      <c r="C566" s="2"/>
      <c r="D566" s="2"/>
      <c r="E566" s="2"/>
      <c r="F566" s="3"/>
      <c r="G566" s="2"/>
      <c r="H566" s="2"/>
      <c r="I566" s="2"/>
      <c r="J566" s="3"/>
      <c r="K566" s="2"/>
      <c r="L566" s="2"/>
      <c r="M566" s="3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</row>
    <row r="567" spans="1:32" ht="13">
      <c r="A567" s="2"/>
      <c r="B567" s="2"/>
      <c r="C567" s="2"/>
      <c r="D567" s="2"/>
      <c r="E567" s="2"/>
      <c r="F567" s="3"/>
      <c r="G567" s="2"/>
      <c r="H567" s="2"/>
      <c r="I567" s="2"/>
      <c r="J567" s="3"/>
      <c r="K567" s="2"/>
      <c r="L567" s="2"/>
      <c r="M567" s="3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</row>
    <row r="568" spans="1:32" ht="13">
      <c r="A568" s="2"/>
      <c r="B568" s="2"/>
      <c r="C568" s="2"/>
      <c r="D568" s="2"/>
      <c r="E568" s="2"/>
      <c r="F568" s="3"/>
      <c r="G568" s="2"/>
      <c r="H568" s="2"/>
      <c r="I568" s="2"/>
      <c r="J568" s="3"/>
      <c r="K568" s="2"/>
      <c r="L568" s="2"/>
      <c r="M568" s="3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</row>
    <row r="569" spans="1:32" ht="13">
      <c r="A569" s="2"/>
      <c r="B569" s="2"/>
      <c r="C569" s="2"/>
      <c r="D569" s="2"/>
      <c r="E569" s="2"/>
      <c r="F569" s="3"/>
      <c r="G569" s="2"/>
      <c r="H569" s="2"/>
      <c r="I569" s="2"/>
      <c r="J569" s="3"/>
      <c r="K569" s="2"/>
      <c r="L569" s="2"/>
      <c r="M569" s="3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</row>
    <row r="570" spans="1:32" ht="13">
      <c r="A570" s="2"/>
      <c r="B570" s="2"/>
      <c r="C570" s="2"/>
      <c r="D570" s="2"/>
      <c r="E570" s="2"/>
      <c r="F570" s="3"/>
      <c r="G570" s="2"/>
      <c r="H570" s="2"/>
      <c r="I570" s="2"/>
      <c r="J570" s="3"/>
      <c r="K570" s="2"/>
      <c r="L570" s="2"/>
      <c r="M570" s="3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</row>
    <row r="571" spans="1:32" ht="13">
      <c r="A571" s="2"/>
      <c r="B571" s="2"/>
      <c r="C571" s="2"/>
      <c r="D571" s="2"/>
      <c r="E571" s="2"/>
      <c r="F571" s="3"/>
      <c r="G571" s="2"/>
      <c r="H571" s="2"/>
      <c r="I571" s="2"/>
      <c r="J571" s="3"/>
      <c r="K571" s="2"/>
      <c r="L571" s="2"/>
      <c r="M571" s="3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</row>
    <row r="572" spans="1:32" ht="13">
      <c r="A572" s="2"/>
      <c r="B572" s="2"/>
      <c r="C572" s="2"/>
      <c r="D572" s="2"/>
      <c r="E572" s="2"/>
      <c r="F572" s="3"/>
      <c r="G572" s="2"/>
      <c r="H572" s="2"/>
      <c r="I572" s="2"/>
      <c r="J572" s="3"/>
      <c r="K572" s="2"/>
      <c r="L572" s="2"/>
      <c r="M572" s="3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</row>
    <row r="573" spans="1:32" ht="13">
      <c r="A573" s="2"/>
      <c r="B573" s="2"/>
      <c r="C573" s="2"/>
      <c r="D573" s="2"/>
      <c r="E573" s="2"/>
      <c r="F573" s="3"/>
      <c r="G573" s="2"/>
      <c r="H573" s="2"/>
      <c r="I573" s="2"/>
      <c r="J573" s="3"/>
      <c r="K573" s="2"/>
      <c r="L573" s="2"/>
      <c r="M573" s="3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</row>
    <row r="574" spans="1:32" ht="13">
      <c r="A574" s="2"/>
      <c r="B574" s="2"/>
      <c r="C574" s="2"/>
      <c r="D574" s="2"/>
      <c r="E574" s="2"/>
      <c r="F574" s="3"/>
      <c r="G574" s="2"/>
      <c r="H574" s="2"/>
      <c r="I574" s="2"/>
      <c r="J574" s="3"/>
      <c r="K574" s="2"/>
      <c r="L574" s="2"/>
      <c r="M574" s="3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</row>
    <row r="575" spans="1:32" ht="13">
      <c r="A575" s="2"/>
      <c r="B575" s="2"/>
      <c r="C575" s="2"/>
      <c r="D575" s="2"/>
      <c r="E575" s="2"/>
      <c r="F575" s="3"/>
      <c r="G575" s="2"/>
      <c r="H575" s="2"/>
      <c r="I575" s="2"/>
      <c r="J575" s="3"/>
      <c r="K575" s="2"/>
      <c r="L575" s="2"/>
      <c r="M575" s="3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</row>
    <row r="576" spans="1:32" ht="13">
      <c r="A576" s="2"/>
      <c r="B576" s="2"/>
      <c r="C576" s="2"/>
      <c r="D576" s="2"/>
      <c r="E576" s="2"/>
      <c r="F576" s="3"/>
      <c r="G576" s="2"/>
      <c r="H576" s="2"/>
      <c r="I576" s="2"/>
      <c r="J576" s="3"/>
      <c r="K576" s="2"/>
      <c r="L576" s="2"/>
      <c r="M576" s="3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</row>
    <row r="577" spans="1:32" ht="13">
      <c r="A577" s="2"/>
      <c r="B577" s="2"/>
      <c r="C577" s="2"/>
      <c r="D577" s="2"/>
      <c r="E577" s="2"/>
      <c r="F577" s="3"/>
      <c r="G577" s="2"/>
      <c r="H577" s="2"/>
      <c r="I577" s="2"/>
      <c r="J577" s="3"/>
      <c r="K577" s="2"/>
      <c r="L577" s="2"/>
      <c r="M577" s="3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</row>
    <row r="578" spans="1:32" ht="13">
      <c r="A578" s="2"/>
      <c r="B578" s="2"/>
      <c r="C578" s="2"/>
      <c r="D578" s="2"/>
      <c r="E578" s="2"/>
      <c r="F578" s="3"/>
      <c r="G578" s="2"/>
      <c r="H578" s="2"/>
      <c r="I578" s="2"/>
      <c r="J578" s="3"/>
      <c r="K578" s="2"/>
      <c r="L578" s="2"/>
      <c r="M578" s="3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</row>
    <row r="579" spans="1:32" ht="13">
      <c r="A579" s="2"/>
      <c r="B579" s="2"/>
      <c r="C579" s="2"/>
      <c r="D579" s="2"/>
      <c r="E579" s="2"/>
      <c r="F579" s="3"/>
      <c r="G579" s="2"/>
      <c r="H579" s="2"/>
      <c r="I579" s="2"/>
      <c r="J579" s="3"/>
      <c r="K579" s="2"/>
      <c r="L579" s="2"/>
      <c r="M579" s="3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</row>
    <row r="580" spans="1:32" ht="13">
      <c r="A580" s="2"/>
      <c r="B580" s="2"/>
      <c r="C580" s="2"/>
      <c r="D580" s="2"/>
      <c r="E580" s="2"/>
      <c r="F580" s="3"/>
      <c r="G580" s="2"/>
      <c r="H580" s="2"/>
      <c r="I580" s="2"/>
      <c r="J580" s="3"/>
      <c r="K580" s="2"/>
      <c r="L580" s="2"/>
      <c r="M580" s="3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</row>
    <row r="581" spans="1:32" ht="13">
      <c r="A581" s="2"/>
      <c r="B581" s="2"/>
      <c r="C581" s="2"/>
      <c r="D581" s="2"/>
      <c r="E581" s="2"/>
      <c r="F581" s="3"/>
      <c r="G581" s="2"/>
      <c r="H581" s="2"/>
      <c r="I581" s="2"/>
      <c r="J581" s="3"/>
      <c r="K581" s="2"/>
      <c r="L581" s="2"/>
      <c r="M581" s="3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</row>
    <row r="582" spans="1:32" ht="13">
      <c r="A582" s="2"/>
      <c r="B582" s="2"/>
      <c r="C582" s="2"/>
      <c r="D582" s="2"/>
      <c r="E582" s="2"/>
      <c r="F582" s="3"/>
      <c r="G582" s="2"/>
      <c r="H582" s="2"/>
      <c r="I582" s="2"/>
      <c r="J582" s="3"/>
      <c r="K582" s="2"/>
      <c r="L582" s="2"/>
      <c r="M582" s="3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</row>
    <row r="583" spans="1:32" ht="13">
      <c r="A583" s="2"/>
      <c r="B583" s="2"/>
      <c r="C583" s="2"/>
      <c r="D583" s="2"/>
      <c r="E583" s="2"/>
      <c r="F583" s="3"/>
      <c r="G583" s="2"/>
      <c r="H583" s="2"/>
      <c r="I583" s="2"/>
      <c r="J583" s="3"/>
      <c r="K583" s="2"/>
      <c r="L583" s="2"/>
      <c r="M583" s="3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</row>
    <row r="584" spans="1:32" ht="13">
      <c r="A584" s="2"/>
      <c r="B584" s="2"/>
      <c r="C584" s="2"/>
      <c r="D584" s="2"/>
      <c r="E584" s="2"/>
      <c r="F584" s="3"/>
      <c r="G584" s="2"/>
      <c r="H584" s="2"/>
      <c r="I584" s="2"/>
      <c r="J584" s="3"/>
      <c r="K584" s="2"/>
      <c r="L584" s="2"/>
      <c r="M584" s="3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</row>
    <row r="585" spans="1:32" ht="13">
      <c r="A585" s="2"/>
      <c r="B585" s="2"/>
      <c r="C585" s="2"/>
      <c r="D585" s="2"/>
      <c r="E585" s="2"/>
      <c r="F585" s="3"/>
      <c r="G585" s="2"/>
      <c r="H585" s="2"/>
      <c r="I585" s="2"/>
      <c r="J585" s="3"/>
      <c r="K585" s="2"/>
      <c r="L585" s="2"/>
      <c r="M585" s="3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</row>
    <row r="586" spans="1:32" ht="13">
      <c r="A586" s="2"/>
      <c r="B586" s="2"/>
      <c r="C586" s="2"/>
      <c r="D586" s="2"/>
      <c r="E586" s="2"/>
      <c r="F586" s="3"/>
      <c r="G586" s="2"/>
      <c r="H586" s="2"/>
      <c r="I586" s="2"/>
      <c r="J586" s="3"/>
      <c r="K586" s="2"/>
      <c r="L586" s="2"/>
      <c r="M586" s="3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</row>
    <row r="587" spans="1:32" ht="13">
      <c r="A587" s="2"/>
      <c r="B587" s="2"/>
      <c r="C587" s="2"/>
      <c r="D587" s="2"/>
      <c r="E587" s="2"/>
      <c r="F587" s="3"/>
      <c r="G587" s="2"/>
      <c r="H587" s="2"/>
      <c r="I587" s="2"/>
      <c r="J587" s="3"/>
      <c r="K587" s="2"/>
      <c r="L587" s="2"/>
      <c r="M587" s="3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</row>
    <row r="588" spans="1:32" ht="13">
      <c r="A588" s="2"/>
      <c r="B588" s="2"/>
      <c r="C588" s="2"/>
      <c r="D588" s="2"/>
      <c r="E588" s="2"/>
      <c r="F588" s="3"/>
      <c r="G588" s="2"/>
      <c r="H588" s="2"/>
      <c r="I588" s="2"/>
      <c r="J588" s="3"/>
      <c r="K588" s="2"/>
      <c r="L588" s="2"/>
      <c r="M588" s="3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</row>
    <row r="589" spans="1:32" ht="13">
      <c r="A589" s="2"/>
      <c r="B589" s="2"/>
      <c r="C589" s="2"/>
      <c r="D589" s="2"/>
      <c r="E589" s="2"/>
      <c r="F589" s="3"/>
      <c r="G589" s="2"/>
      <c r="H589" s="2"/>
      <c r="I589" s="2"/>
      <c r="J589" s="3"/>
      <c r="K589" s="2"/>
      <c r="L589" s="2"/>
      <c r="M589" s="3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</row>
    <row r="590" spans="1:32" ht="13">
      <c r="A590" s="2"/>
      <c r="B590" s="2"/>
      <c r="C590" s="2"/>
      <c r="D590" s="2"/>
      <c r="E590" s="2"/>
      <c r="F590" s="3"/>
      <c r="G590" s="2"/>
      <c r="H590" s="2"/>
      <c r="I590" s="2"/>
      <c r="J590" s="3"/>
      <c r="K590" s="2"/>
      <c r="L590" s="2"/>
      <c r="M590" s="3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</row>
    <row r="591" spans="1:32" ht="13">
      <c r="A591" s="2"/>
      <c r="B591" s="2"/>
      <c r="C591" s="2"/>
      <c r="D591" s="2"/>
      <c r="E591" s="2"/>
      <c r="F591" s="3"/>
      <c r="G591" s="2"/>
      <c r="H591" s="2"/>
      <c r="I591" s="2"/>
      <c r="J591" s="3"/>
      <c r="K591" s="2"/>
      <c r="L591" s="2"/>
      <c r="M591" s="3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</row>
    <row r="592" spans="1:32" ht="13">
      <c r="A592" s="2"/>
      <c r="B592" s="2"/>
      <c r="C592" s="2"/>
      <c r="D592" s="2"/>
      <c r="E592" s="2"/>
      <c r="F592" s="3"/>
      <c r="G592" s="2"/>
      <c r="H592" s="2"/>
      <c r="I592" s="2"/>
      <c r="J592" s="3"/>
      <c r="K592" s="2"/>
      <c r="L592" s="2"/>
      <c r="M592" s="3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</row>
    <row r="593" spans="1:32" ht="13">
      <c r="A593" s="2"/>
      <c r="B593" s="2"/>
      <c r="C593" s="2"/>
      <c r="D593" s="2"/>
      <c r="E593" s="2"/>
      <c r="F593" s="3"/>
      <c r="G593" s="2"/>
      <c r="H593" s="2"/>
      <c r="I593" s="2"/>
      <c r="J593" s="3"/>
      <c r="K593" s="2"/>
      <c r="L593" s="2"/>
      <c r="M593" s="3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</row>
    <row r="594" spans="1:32" ht="13">
      <c r="A594" s="2"/>
      <c r="B594" s="2"/>
      <c r="C594" s="2"/>
      <c r="D594" s="2"/>
      <c r="E594" s="2"/>
      <c r="F594" s="3"/>
      <c r="G594" s="2"/>
      <c r="H594" s="2"/>
      <c r="I594" s="2"/>
      <c r="J594" s="3"/>
      <c r="K594" s="2"/>
      <c r="L594" s="2"/>
      <c r="M594" s="3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</row>
    <row r="595" spans="1:32" ht="13">
      <c r="A595" s="2"/>
      <c r="B595" s="2"/>
      <c r="C595" s="2"/>
      <c r="D595" s="2"/>
      <c r="E595" s="2"/>
      <c r="F595" s="3"/>
      <c r="G595" s="2"/>
      <c r="H595" s="2"/>
      <c r="I595" s="2"/>
      <c r="J595" s="3"/>
      <c r="K595" s="2"/>
      <c r="L595" s="2"/>
      <c r="M595" s="3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</row>
    <row r="596" spans="1:32" ht="13">
      <c r="A596" s="2"/>
      <c r="B596" s="2"/>
      <c r="C596" s="2"/>
      <c r="D596" s="2"/>
      <c r="E596" s="2"/>
      <c r="F596" s="3"/>
      <c r="G596" s="2"/>
      <c r="H596" s="2"/>
      <c r="I596" s="2"/>
      <c r="J596" s="3"/>
      <c r="K596" s="2"/>
      <c r="L596" s="2"/>
      <c r="M596" s="3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</row>
    <row r="597" spans="1:32" ht="13">
      <c r="A597" s="2"/>
      <c r="B597" s="2"/>
      <c r="C597" s="2"/>
      <c r="D597" s="2"/>
      <c r="E597" s="2"/>
      <c r="F597" s="3"/>
      <c r="G597" s="2"/>
      <c r="H597" s="2"/>
      <c r="I597" s="2"/>
      <c r="J597" s="3"/>
      <c r="K597" s="2"/>
      <c r="L597" s="2"/>
      <c r="M597" s="3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</row>
    <row r="598" spans="1:32" ht="13">
      <c r="A598" s="2"/>
      <c r="B598" s="2"/>
      <c r="C598" s="2"/>
      <c r="D598" s="2"/>
      <c r="E598" s="2"/>
      <c r="F598" s="3"/>
      <c r="G598" s="2"/>
      <c r="H598" s="2"/>
      <c r="I598" s="2"/>
      <c r="J598" s="3"/>
      <c r="K598" s="2"/>
      <c r="L598" s="2"/>
      <c r="M598" s="3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</row>
    <row r="599" spans="1:32" ht="13">
      <c r="A599" s="2"/>
      <c r="B599" s="2"/>
      <c r="C599" s="2"/>
      <c r="D599" s="2"/>
      <c r="E599" s="2"/>
      <c r="F599" s="3"/>
      <c r="G599" s="2"/>
      <c r="H599" s="2"/>
      <c r="I599" s="2"/>
      <c r="J599" s="3"/>
      <c r="K599" s="2"/>
      <c r="L599" s="2"/>
      <c r="M599" s="3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</row>
    <row r="600" spans="1:32" ht="13">
      <c r="A600" s="2"/>
      <c r="B600" s="2"/>
      <c r="C600" s="2"/>
      <c r="D600" s="2"/>
      <c r="E600" s="2"/>
      <c r="F600" s="3"/>
      <c r="G600" s="2"/>
      <c r="H600" s="2"/>
      <c r="I600" s="2"/>
      <c r="J600" s="3"/>
      <c r="K600" s="2"/>
      <c r="L600" s="2"/>
      <c r="M600" s="3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</row>
    <row r="601" spans="1:32" ht="13">
      <c r="A601" s="2"/>
      <c r="B601" s="2"/>
      <c r="C601" s="2"/>
      <c r="D601" s="2"/>
      <c r="E601" s="2"/>
      <c r="F601" s="3"/>
      <c r="G601" s="2"/>
      <c r="H601" s="2"/>
      <c r="I601" s="2"/>
      <c r="J601" s="3"/>
      <c r="K601" s="2"/>
      <c r="L601" s="2"/>
      <c r="M601" s="3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</row>
    <row r="602" spans="1:32" ht="13">
      <c r="A602" s="2"/>
      <c r="B602" s="2"/>
      <c r="C602" s="2"/>
      <c r="D602" s="2"/>
      <c r="E602" s="2"/>
      <c r="F602" s="3"/>
      <c r="G602" s="2"/>
      <c r="H602" s="2"/>
      <c r="I602" s="2"/>
      <c r="J602" s="3"/>
      <c r="K602" s="2"/>
      <c r="L602" s="2"/>
      <c r="M602" s="3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</row>
    <row r="603" spans="1:32" ht="13">
      <c r="A603" s="2"/>
      <c r="B603" s="2"/>
      <c r="C603" s="2"/>
      <c r="D603" s="2"/>
      <c r="E603" s="2"/>
      <c r="F603" s="3"/>
      <c r="G603" s="2"/>
      <c r="H603" s="2"/>
      <c r="I603" s="2"/>
      <c r="J603" s="3"/>
      <c r="K603" s="2"/>
      <c r="L603" s="2"/>
      <c r="M603" s="3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</row>
    <row r="604" spans="1:32" ht="13">
      <c r="A604" s="2"/>
      <c r="B604" s="2"/>
      <c r="C604" s="2"/>
      <c r="D604" s="2"/>
      <c r="E604" s="2"/>
      <c r="F604" s="3"/>
      <c r="G604" s="2"/>
      <c r="H604" s="2"/>
      <c r="I604" s="2"/>
      <c r="J604" s="3"/>
      <c r="K604" s="2"/>
      <c r="L604" s="2"/>
      <c r="M604" s="3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</row>
    <row r="605" spans="1:32" ht="13">
      <c r="A605" s="2"/>
      <c r="B605" s="2"/>
      <c r="C605" s="2"/>
      <c r="D605" s="2"/>
      <c r="E605" s="2"/>
      <c r="F605" s="3"/>
      <c r="G605" s="2"/>
      <c r="H605" s="2"/>
      <c r="I605" s="2"/>
      <c r="J605" s="3"/>
      <c r="K605" s="2"/>
      <c r="L605" s="2"/>
      <c r="M605" s="3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</row>
    <row r="606" spans="1:32" ht="13">
      <c r="A606" s="2"/>
      <c r="B606" s="2"/>
      <c r="C606" s="2"/>
      <c r="D606" s="2"/>
      <c r="E606" s="2"/>
      <c r="F606" s="3"/>
      <c r="G606" s="2"/>
      <c r="H606" s="2"/>
      <c r="I606" s="2"/>
      <c r="J606" s="3"/>
      <c r="K606" s="2"/>
      <c r="L606" s="2"/>
      <c r="M606" s="3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</row>
    <row r="607" spans="1:32" ht="13">
      <c r="A607" s="2"/>
      <c r="B607" s="2"/>
      <c r="C607" s="2"/>
      <c r="D607" s="2"/>
      <c r="E607" s="2"/>
      <c r="F607" s="3"/>
      <c r="G607" s="2"/>
      <c r="H607" s="2"/>
      <c r="I607" s="2"/>
      <c r="J607" s="3"/>
      <c r="K607" s="2"/>
      <c r="L607" s="2"/>
      <c r="M607" s="3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</row>
    <row r="608" spans="1:32" ht="13">
      <c r="A608" s="2"/>
      <c r="B608" s="2"/>
      <c r="C608" s="2"/>
      <c r="D608" s="2"/>
      <c r="E608" s="2"/>
      <c r="F608" s="3"/>
      <c r="G608" s="2"/>
      <c r="H608" s="2"/>
      <c r="I608" s="2"/>
      <c r="J608" s="3"/>
      <c r="K608" s="2"/>
      <c r="L608" s="2"/>
      <c r="M608" s="3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</row>
    <row r="609" spans="1:32" ht="13">
      <c r="A609" s="2"/>
      <c r="B609" s="2"/>
      <c r="C609" s="2"/>
      <c r="D609" s="2"/>
      <c r="E609" s="2"/>
      <c r="F609" s="3"/>
      <c r="G609" s="2"/>
      <c r="H609" s="2"/>
      <c r="I609" s="2"/>
      <c r="J609" s="3"/>
      <c r="K609" s="2"/>
      <c r="L609" s="2"/>
      <c r="M609" s="3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</row>
    <row r="610" spans="1:32" ht="13">
      <c r="A610" s="2"/>
      <c r="B610" s="2"/>
      <c r="C610" s="2"/>
      <c r="D610" s="2"/>
      <c r="E610" s="2"/>
      <c r="F610" s="3"/>
      <c r="G610" s="2"/>
      <c r="H610" s="2"/>
      <c r="I610" s="2"/>
      <c r="J610" s="3"/>
      <c r="K610" s="2"/>
      <c r="L610" s="2"/>
      <c r="M610" s="3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</row>
    <row r="611" spans="1:32" ht="13">
      <c r="A611" s="2"/>
      <c r="B611" s="2"/>
      <c r="C611" s="2"/>
      <c r="D611" s="2"/>
      <c r="E611" s="2"/>
      <c r="F611" s="3"/>
      <c r="G611" s="2"/>
      <c r="H611" s="2"/>
      <c r="I611" s="2"/>
      <c r="J611" s="3"/>
      <c r="K611" s="2"/>
      <c r="L611" s="2"/>
      <c r="M611" s="3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</row>
    <row r="612" spans="1:32" ht="13">
      <c r="A612" s="2"/>
      <c r="B612" s="2"/>
      <c r="C612" s="2"/>
      <c r="D612" s="2"/>
      <c r="E612" s="2"/>
      <c r="F612" s="3"/>
      <c r="G612" s="2"/>
      <c r="H612" s="2"/>
      <c r="I612" s="2"/>
      <c r="J612" s="3"/>
      <c r="K612" s="2"/>
      <c r="L612" s="2"/>
      <c r="M612" s="3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</row>
    <row r="613" spans="1:32" ht="13">
      <c r="A613" s="2"/>
      <c r="B613" s="2"/>
      <c r="C613" s="2"/>
      <c r="D613" s="2"/>
      <c r="E613" s="2"/>
      <c r="F613" s="3"/>
      <c r="G613" s="2"/>
      <c r="H613" s="2"/>
      <c r="I613" s="2"/>
      <c r="J613" s="3"/>
      <c r="K613" s="2"/>
      <c r="L613" s="2"/>
      <c r="M613" s="3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</row>
    <row r="614" spans="1:32" ht="13">
      <c r="A614" s="2"/>
      <c r="B614" s="2"/>
      <c r="C614" s="2"/>
      <c r="D614" s="2"/>
      <c r="E614" s="2"/>
      <c r="F614" s="3"/>
      <c r="G614" s="2"/>
      <c r="H614" s="2"/>
      <c r="I614" s="2"/>
      <c r="J614" s="3"/>
      <c r="K614" s="2"/>
      <c r="L614" s="2"/>
      <c r="M614" s="3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</row>
    <row r="615" spans="1:32" ht="13">
      <c r="A615" s="2"/>
      <c r="B615" s="2"/>
      <c r="C615" s="2"/>
      <c r="D615" s="2"/>
      <c r="E615" s="2"/>
      <c r="F615" s="3"/>
      <c r="G615" s="2"/>
      <c r="H615" s="2"/>
      <c r="I615" s="2"/>
      <c r="J615" s="3"/>
      <c r="K615" s="2"/>
      <c r="L615" s="2"/>
      <c r="M615" s="3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</row>
    <row r="616" spans="1:32" ht="13">
      <c r="A616" s="2"/>
      <c r="B616" s="2"/>
      <c r="C616" s="2"/>
      <c r="D616" s="2"/>
      <c r="E616" s="2"/>
      <c r="F616" s="3"/>
      <c r="G616" s="2"/>
      <c r="H616" s="2"/>
      <c r="I616" s="2"/>
      <c r="J616" s="3"/>
      <c r="K616" s="2"/>
      <c r="L616" s="2"/>
      <c r="M616" s="3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</row>
    <row r="617" spans="1:32" ht="13">
      <c r="A617" s="2"/>
      <c r="B617" s="2"/>
      <c r="C617" s="2"/>
      <c r="D617" s="2"/>
      <c r="E617" s="2"/>
      <c r="F617" s="3"/>
      <c r="G617" s="2"/>
      <c r="H617" s="2"/>
      <c r="I617" s="2"/>
      <c r="J617" s="3"/>
      <c r="K617" s="2"/>
      <c r="L617" s="2"/>
      <c r="M617" s="3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</row>
    <row r="618" spans="1:32" ht="13">
      <c r="A618" s="2"/>
      <c r="B618" s="2"/>
      <c r="C618" s="2"/>
      <c r="D618" s="2"/>
      <c r="E618" s="2"/>
      <c r="F618" s="3"/>
      <c r="G618" s="2"/>
      <c r="H618" s="2"/>
      <c r="I618" s="2"/>
      <c r="J618" s="3"/>
      <c r="K618" s="2"/>
      <c r="L618" s="2"/>
      <c r="M618" s="3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</row>
    <row r="619" spans="1:32" ht="13">
      <c r="A619" s="2"/>
      <c r="B619" s="2"/>
      <c r="C619" s="2"/>
      <c r="D619" s="2"/>
      <c r="E619" s="2"/>
      <c r="F619" s="3"/>
      <c r="G619" s="2"/>
      <c r="H619" s="2"/>
      <c r="I619" s="2"/>
      <c r="J619" s="3"/>
      <c r="K619" s="2"/>
      <c r="L619" s="2"/>
      <c r="M619" s="3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</row>
    <row r="620" spans="1:32" ht="13">
      <c r="A620" s="2"/>
      <c r="B620" s="2"/>
      <c r="C620" s="2"/>
      <c r="D620" s="2"/>
      <c r="E620" s="2"/>
      <c r="F620" s="3"/>
      <c r="G620" s="2"/>
      <c r="H620" s="2"/>
      <c r="I620" s="2"/>
      <c r="J620" s="3"/>
      <c r="K620" s="2"/>
      <c r="L620" s="2"/>
      <c r="M620" s="3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</row>
    <row r="621" spans="1:32" ht="13">
      <c r="A621" s="2"/>
      <c r="B621" s="2"/>
      <c r="C621" s="2"/>
      <c r="D621" s="2"/>
      <c r="E621" s="2"/>
      <c r="F621" s="3"/>
      <c r="G621" s="2"/>
      <c r="H621" s="2"/>
      <c r="I621" s="2"/>
      <c r="J621" s="3"/>
      <c r="K621" s="2"/>
      <c r="L621" s="2"/>
      <c r="M621" s="3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</row>
    <row r="622" spans="1:32" ht="13">
      <c r="A622" s="2"/>
      <c r="B622" s="2"/>
      <c r="C622" s="2"/>
      <c r="D622" s="2"/>
      <c r="E622" s="2"/>
      <c r="F622" s="3"/>
      <c r="G622" s="2"/>
      <c r="H622" s="2"/>
      <c r="I622" s="2"/>
      <c r="J622" s="3"/>
      <c r="K622" s="2"/>
      <c r="L622" s="2"/>
      <c r="M622" s="3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</row>
    <row r="623" spans="1:32" ht="13">
      <c r="A623" s="2"/>
      <c r="B623" s="2"/>
      <c r="C623" s="2"/>
      <c r="D623" s="2"/>
      <c r="E623" s="2"/>
      <c r="F623" s="3"/>
      <c r="G623" s="2"/>
      <c r="H623" s="2"/>
      <c r="I623" s="2"/>
      <c r="J623" s="3"/>
      <c r="K623" s="2"/>
      <c r="L623" s="2"/>
      <c r="M623" s="3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</row>
    <row r="624" spans="1:32" ht="13">
      <c r="A624" s="2"/>
      <c r="B624" s="2"/>
      <c r="C624" s="2"/>
      <c r="D624" s="2"/>
      <c r="E624" s="2"/>
      <c r="F624" s="3"/>
      <c r="G624" s="2"/>
      <c r="H624" s="2"/>
      <c r="I624" s="2"/>
      <c r="J624" s="3"/>
      <c r="K624" s="2"/>
      <c r="L624" s="2"/>
      <c r="M624" s="3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</row>
    <row r="625" spans="1:32" ht="13">
      <c r="A625" s="2"/>
      <c r="B625" s="2"/>
      <c r="C625" s="2"/>
      <c r="D625" s="2"/>
      <c r="E625" s="2"/>
      <c r="F625" s="3"/>
      <c r="G625" s="2"/>
      <c r="H625" s="2"/>
      <c r="I625" s="2"/>
      <c r="J625" s="3"/>
      <c r="K625" s="2"/>
      <c r="L625" s="2"/>
      <c r="M625" s="3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</row>
    <row r="626" spans="1:32" ht="13">
      <c r="A626" s="2"/>
      <c r="B626" s="2"/>
      <c r="C626" s="2"/>
      <c r="D626" s="2"/>
      <c r="E626" s="2"/>
      <c r="F626" s="3"/>
      <c r="G626" s="2"/>
      <c r="H626" s="2"/>
      <c r="I626" s="2"/>
      <c r="J626" s="3"/>
      <c r="K626" s="2"/>
      <c r="L626" s="2"/>
      <c r="M626" s="3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</row>
    <row r="627" spans="1:32" ht="13">
      <c r="A627" s="2"/>
      <c r="B627" s="2"/>
      <c r="C627" s="2"/>
      <c r="D627" s="2"/>
      <c r="E627" s="2"/>
      <c r="F627" s="3"/>
      <c r="G627" s="2"/>
      <c r="H627" s="2"/>
      <c r="I627" s="2"/>
      <c r="J627" s="3"/>
      <c r="K627" s="2"/>
      <c r="L627" s="2"/>
      <c r="M627" s="3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</row>
    <row r="628" spans="1:32" ht="13">
      <c r="A628" s="2"/>
      <c r="B628" s="2"/>
      <c r="C628" s="2"/>
      <c r="D628" s="2"/>
      <c r="E628" s="2"/>
      <c r="F628" s="3"/>
      <c r="G628" s="2"/>
      <c r="H628" s="2"/>
      <c r="I628" s="2"/>
      <c r="J628" s="3"/>
      <c r="K628" s="2"/>
      <c r="L628" s="2"/>
      <c r="M628" s="3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</row>
    <row r="629" spans="1:32" ht="13">
      <c r="A629" s="2"/>
      <c r="B629" s="2"/>
      <c r="C629" s="2"/>
      <c r="D629" s="2"/>
      <c r="E629" s="2"/>
      <c r="F629" s="3"/>
      <c r="G629" s="2"/>
      <c r="H629" s="2"/>
      <c r="I629" s="2"/>
      <c r="J629" s="3"/>
      <c r="K629" s="2"/>
      <c r="L629" s="2"/>
      <c r="M629" s="3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</row>
    <row r="630" spans="1:32" ht="13">
      <c r="A630" s="2"/>
      <c r="B630" s="2"/>
      <c r="C630" s="2"/>
      <c r="D630" s="2"/>
      <c r="E630" s="2"/>
      <c r="F630" s="3"/>
      <c r="G630" s="2"/>
      <c r="H630" s="2"/>
      <c r="I630" s="2"/>
      <c r="J630" s="3"/>
      <c r="K630" s="2"/>
      <c r="L630" s="2"/>
      <c r="M630" s="3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</row>
    <row r="631" spans="1:32" ht="13">
      <c r="A631" s="2"/>
      <c r="B631" s="2"/>
      <c r="C631" s="2"/>
      <c r="D631" s="2"/>
      <c r="E631" s="2"/>
      <c r="F631" s="3"/>
      <c r="G631" s="2"/>
      <c r="H631" s="2"/>
      <c r="I631" s="2"/>
      <c r="J631" s="3"/>
      <c r="K631" s="2"/>
      <c r="L631" s="2"/>
      <c r="M631" s="3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</row>
    <row r="632" spans="1:32" ht="13">
      <c r="A632" s="2"/>
      <c r="B632" s="2"/>
      <c r="C632" s="2"/>
      <c r="D632" s="2"/>
      <c r="E632" s="2"/>
      <c r="F632" s="3"/>
      <c r="G632" s="2"/>
      <c r="H632" s="2"/>
      <c r="I632" s="2"/>
      <c r="J632" s="3"/>
      <c r="K632" s="2"/>
      <c r="L632" s="2"/>
      <c r="M632" s="3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</row>
    <row r="633" spans="1:32" ht="13">
      <c r="A633" s="2"/>
      <c r="B633" s="2"/>
      <c r="C633" s="2"/>
      <c r="D633" s="2"/>
      <c r="E633" s="2"/>
      <c r="F633" s="3"/>
      <c r="G633" s="2"/>
      <c r="H633" s="2"/>
      <c r="I633" s="2"/>
      <c r="J633" s="3"/>
      <c r="K633" s="2"/>
      <c r="L633" s="2"/>
      <c r="M633" s="3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</row>
    <row r="634" spans="1:32" ht="13">
      <c r="A634" s="2"/>
      <c r="B634" s="2"/>
      <c r="C634" s="2"/>
      <c r="D634" s="2"/>
      <c r="E634" s="2"/>
      <c r="F634" s="3"/>
      <c r="G634" s="2"/>
      <c r="H634" s="2"/>
      <c r="I634" s="2"/>
      <c r="J634" s="3"/>
      <c r="K634" s="2"/>
      <c r="L634" s="2"/>
      <c r="M634" s="3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</row>
    <row r="635" spans="1:32" ht="13">
      <c r="A635" s="2"/>
      <c r="B635" s="2"/>
      <c r="C635" s="2"/>
      <c r="D635" s="2"/>
      <c r="E635" s="2"/>
      <c r="F635" s="3"/>
      <c r="G635" s="2"/>
      <c r="H635" s="2"/>
      <c r="I635" s="2"/>
      <c r="J635" s="3"/>
      <c r="K635" s="2"/>
      <c r="L635" s="2"/>
      <c r="M635" s="3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</row>
    <row r="636" spans="1:32" ht="13">
      <c r="A636" s="2"/>
      <c r="B636" s="2"/>
      <c r="C636" s="2"/>
      <c r="D636" s="2"/>
      <c r="E636" s="2"/>
      <c r="F636" s="3"/>
      <c r="G636" s="2"/>
      <c r="H636" s="2"/>
      <c r="I636" s="2"/>
      <c r="J636" s="3"/>
      <c r="K636" s="2"/>
      <c r="L636" s="2"/>
      <c r="M636" s="3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</row>
    <row r="637" spans="1:32" ht="13">
      <c r="A637" s="2"/>
      <c r="B637" s="2"/>
      <c r="C637" s="2"/>
      <c r="D637" s="2"/>
      <c r="E637" s="2"/>
      <c r="F637" s="3"/>
      <c r="G637" s="2"/>
      <c r="H637" s="2"/>
      <c r="I637" s="2"/>
      <c r="J637" s="3"/>
      <c r="K637" s="2"/>
      <c r="L637" s="2"/>
      <c r="M637" s="3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</row>
    <row r="638" spans="1:32" ht="13">
      <c r="A638" s="2"/>
      <c r="B638" s="2"/>
      <c r="C638" s="2"/>
      <c r="D638" s="2"/>
      <c r="E638" s="2"/>
      <c r="F638" s="3"/>
      <c r="G638" s="2"/>
      <c r="H638" s="2"/>
      <c r="I638" s="2"/>
      <c r="J638" s="3"/>
      <c r="K638" s="2"/>
      <c r="L638" s="2"/>
      <c r="M638" s="3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</row>
    <row r="639" spans="1:32" ht="13">
      <c r="A639" s="2"/>
      <c r="B639" s="2"/>
      <c r="C639" s="2"/>
      <c r="D639" s="2"/>
      <c r="E639" s="2"/>
      <c r="F639" s="3"/>
      <c r="G639" s="2"/>
      <c r="H639" s="2"/>
      <c r="I639" s="2"/>
      <c r="J639" s="3"/>
      <c r="K639" s="2"/>
      <c r="L639" s="2"/>
      <c r="M639" s="3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</row>
    <row r="640" spans="1:32" ht="13">
      <c r="A640" s="2"/>
      <c r="B640" s="2"/>
      <c r="C640" s="2"/>
      <c r="D640" s="2"/>
      <c r="E640" s="2"/>
      <c r="F640" s="3"/>
      <c r="G640" s="2"/>
      <c r="H640" s="2"/>
      <c r="I640" s="2"/>
      <c r="J640" s="3"/>
      <c r="K640" s="2"/>
      <c r="L640" s="2"/>
      <c r="M640" s="3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</row>
    <row r="641" spans="1:32" ht="13">
      <c r="A641" s="2"/>
      <c r="B641" s="2"/>
      <c r="C641" s="2"/>
      <c r="D641" s="2"/>
      <c r="E641" s="2"/>
      <c r="F641" s="3"/>
      <c r="G641" s="2"/>
      <c r="H641" s="2"/>
      <c r="I641" s="2"/>
      <c r="J641" s="3"/>
      <c r="K641" s="2"/>
      <c r="L641" s="2"/>
      <c r="M641" s="3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</row>
    <row r="642" spans="1:32" ht="13">
      <c r="A642" s="2"/>
      <c r="B642" s="2"/>
      <c r="C642" s="2"/>
      <c r="D642" s="2"/>
      <c r="E642" s="2"/>
      <c r="F642" s="3"/>
      <c r="G642" s="2"/>
      <c r="H642" s="2"/>
      <c r="I642" s="2"/>
      <c r="J642" s="3"/>
      <c r="K642" s="2"/>
      <c r="L642" s="2"/>
      <c r="M642" s="3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</row>
    <row r="643" spans="1:32" ht="13">
      <c r="A643" s="2"/>
      <c r="B643" s="2"/>
      <c r="C643" s="2"/>
      <c r="D643" s="2"/>
      <c r="E643" s="2"/>
      <c r="F643" s="3"/>
      <c r="G643" s="2"/>
      <c r="H643" s="2"/>
      <c r="I643" s="2"/>
      <c r="J643" s="3"/>
      <c r="K643" s="2"/>
      <c r="L643" s="2"/>
      <c r="M643" s="3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</row>
    <row r="644" spans="1:32" ht="13">
      <c r="A644" s="2"/>
      <c r="B644" s="2"/>
      <c r="C644" s="2"/>
      <c r="D644" s="2"/>
      <c r="E644" s="2"/>
      <c r="F644" s="3"/>
      <c r="G644" s="2"/>
      <c r="H644" s="2"/>
      <c r="I644" s="2"/>
      <c r="J644" s="3"/>
      <c r="K644" s="2"/>
      <c r="L644" s="2"/>
      <c r="M644" s="3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</row>
    <row r="645" spans="1:32" ht="13">
      <c r="A645" s="2"/>
      <c r="B645" s="2"/>
      <c r="C645" s="2"/>
      <c r="D645" s="2"/>
      <c r="E645" s="2"/>
      <c r="F645" s="3"/>
      <c r="G645" s="2"/>
      <c r="H645" s="2"/>
      <c r="I645" s="2"/>
      <c r="J645" s="3"/>
      <c r="K645" s="2"/>
      <c r="L645" s="2"/>
      <c r="M645" s="3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</row>
    <row r="646" spans="1:32" ht="13">
      <c r="A646" s="2"/>
      <c r="B646" s="2"/>
      <c r="C646" s="2"/>
      <c r="D646" s="2"/>
      <c r="E646" s="2"/>
      <c r="F646" s="3"/>
      <c r="G646" s="2"/>
      <c r="H646" s="2"/>
      <c r="I646" s="2"/>
      <c r="J646" s="3"/>
      <c r="K646" s="2"/>
      <c r="L646" s="2"/>
      <c r="M646" s="3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</row>
    <row r="647" spans="1:32" ht="13">
      <c r="A647" s="2"/>
      <c r="B647" s="2"/>
      <c r="C647" s="2"/>
      <c r="D647" s="2"/>
      <c r="E647" s="2"/>
      <c r="F647" s="3"/>
      <c r="G647" s="2"/>
      <c r="H647" s="2"/>
      <c r="I647" s="2"/>
      <c r="J647" s="3"/>
      <c r="K647" s="2"/>
      <c r="L647" s="2"/>
      <c r="M647" s="3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</row>
    <row r="648" spans="1:32" ht="13">
      <c r="A648" s="2"/>
      <c r="B648" s="2"/>
      <c r="C648" s="2"/>
      <c r="D648" s="2"/>
      <c r="E648" s="2"/>
      <c r="F648" s="3"/>
      <c r="G648" s="2"/>
      <c r="H648" s="2"/>
      <c r="I648" s="2"/>
      <c r="J648" s="3"/>
      <c r="K648" s="2"/>
      <c r="L648" s="2"/>
      <c r="M648" s="3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</row>
    <row r="649" spans="1:32" ht="13">
      <c r="A649" s="2"/>
      <c r="B649" s="2"/>
      <c r="C649" s="2"/>
      <c r="D649" s="2"/>
      <c r="E649" s="2"/>
      <c r="F649" s="3"/>
      <c r="G649" s="2"/>
      <c r="H649" s="2"/>
      <c r="I649" s="2"/>
      <c r="J649" s="3"/>
      <c r="K649" s="2"/>
      <c r="L649" s="2"/>
      <c r="M649" s="3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</row>
    <row r="650" spans="1:32" ht="13">
      <c r="A650" s="2"/>
      <c r="B650" s="2"/>
      <c r="C650" s="2"/>
      <c r="D650" s="2"/>
      <c r="E650" s="2"/>
      <c r="F650" s="3"/>
      <c r="G650" s="2"/>
      <c r="H650" s="2"/>
      <c r="I650" s="2"/>
      <c r="J650" s="3"/>
      <c r="K650" s="2"/>
      <c r="L650" s="2"/>
      <c r="M650" s="3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</row>
    <row r="651" spans="1:32" ht="13">
      <c r="A651" s="2"/>
      <c r="B651" s="2"/>
      <c r="C651" s="2"/>
      <c r="D651" s="2"/>
      <c r="E651" s="2"/>
      <c r="F651" s="3"/>
      <c r="G651" s="2"/>
      <c r="H651" s="2"/>
      <c r="I651" s="2"/>
      <c r="J651" s="3"/>
      <c r="K651" s="2"/>
      <c r="L651" s="2"/>
      <c r="M651" s="3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</row>
    <row r="652" spans="1:32" ht="13">
      <c r="A652" s="2"/>
      <c r="B652" s="2"/>
      <c r="C652" s="2"/>
      <c r="D652" s="2"/>
      <c r="E652" s="2"/>
      <c r="F652" s="3"/>
      <c r="G652" s="2"/>
      <c r="H652" s="2"/>
      <c r="I652" s="2"/>
      <c r="J652" s="3"/>
      <c r="K652" s="2"/>
      <c r="L652" s="2"/>
      <c r="M652" s="3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</row>
    <row r="653" spans="1:32" ht="13">
      <c r="A653" s="2"/>
      <c r="B653" s="2"/>
      <c r="C653" s="2"/>
      <c r="D653" s="2"/>
      <c r="E653" s="2"/>
      <c r="F653" s="3"/>
      <c r="G653" s="2"/>
      <c r="H653" s="2"/>
      <c r="I653" s="2"/>
      <c r="J653" s="3"/>
      <c r="K653" s="2"/>
      <c r="L653" s="2"/>
      <c r="M653" s="3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</row>
    <row r="654" spans="1:32" ht="13">
      <c r="A654" s="2"/>
      <c r="B654" s="2"/>
      <c r="C654" s="2"/>
      <c r="D654" s="2"/>
      <c r="E654" s="2"/>
      <c r="F654" s="3"/>
      <c r="G654" s="2"/>
      <c r="H654" s="2"/>
      <c r="I654" s="2"/>
      <c r="J654" s="3"/>
      <c r="K654" s="2"/>
      <c r="L654" s="2"/>
      <c r="M654" s="3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</row>
    <row r="655" spans="1:32" ht="13">
      <c r="A655" s="2"/>
      <c r="B655" s="2"/>
      <c r="C655" s="2"/>
      <c r="D655" s="2"/>
      <c r="E655" s="2"/>
      <c r="F655" s="3"/>
      <c r="G655" s="2"/>
      <c r="H655" s="2"/>
      <c r="I655" s="2"/>
      <c r="J655" s="3"/>
      <c r="K655" s="2"/>
      <c r="L655" s="2"/>
      <c r="M655" s="3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</row>
    <row r="656" spans="1:32" ht="13">
      <c r="A656" s="2"/>
      <c r="B656" s="2"/>
      <c r="C656" s="2"/>
      <c r="D656" s="2"/>
      <c r="E656" s="2"/>
      <c r="F656" s="3"/>
      <c r="G656" s="2"/>
      <c r="H656" s="2"/>
      <c r="I656" s="2"/>
      <c r="J656" s="3"/>
      <c r="K656" s="2"/>
      <c r="L656" s="2"/>
      <c r="M656" s="3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</row>
    <row r="657" spans="1:32" ht="13">
      <c r="A657" s="2"/>
      <c r="B657" s="2"/>
      <c r="C657" s="2"/>
      <c r="D657" s="2"/>
      <c r="E657" s="2"/>
      <c r="F657" s="3"/>
      <c r="G657" s="2"/>
      <c r="H657" s="2"/>
      <c r="I657" s="2"/>
      <c r="J657" s="3"/>
      <c r="K657" s="2"/>
      <c r="L657" s="2"/>
      <c r="M657" s="3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</row>
    <row r="658" spans="1:32" ht="13">
      <c r="A658" s="2"/>
      <c r="B658" s="2"/>
      <c r="C658" s="2"/>
      <c r="D658" s="2"/>
      <c r="E658" s="2"/>
      <c r="F658" s="3"/>
      <c r="G658" s="2"/>
      <c r="H658" s="2"/>
      <c r="I658" s="2"/>
      <c r="J658" s="3"/>
      <c r="K658" s="2"/>
      <c r="L658" s="2"/>
      <c r="M658" s="3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</row>
    <row r="659" spans="1:32" ht="13">
      <c r="A659" s="2"/>
      <c r="B659" s="2"/>
      <c r="C659" s="2"/>
      <c r="D659" s="2"/>
      <c r="E659" s="2"/>
      <c r="F659" s="3"/>
      <c r="G659" s="2"/>
      <c r="H659" s="2"/>
      <c r="I659" s="2"/>
      <c r="J659" s="3"/>
      <c r="K659" s="2"/>
      <c r="L659" s="2"/>
      <c r="M659" s="3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</row>
    <row r="660" spans="1:32" ht="13">
      <c r="A660" s="2"/>
      <c r="B660" s="2"/>
      <c r="C660" s="2"/>
      <c r="D660" s="2"/>
      <c r="E660" s="2"/>
      <c r="F660" s="3"/>
      <c r="G660" s="2"/>
      <c r="H660" s="2"/>
      <c r="I660" s="2"/>
      <c r="J660" s="3"/>
      <c r="K660" s="2"/>
      <c r="L660" s="2"/>
      <c r="M660" s="3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</row>
    <row r="661" spans="1:32" ht="13">
      <c r="A661" s="2"/>
      <c r="B661" s="2"/>
      <c r="C661" s="2"/>
      <c r="D661" s="2"/>
      <c r="E661" s="2"/>
      <c r="F661" s="3"/>
      <c r="G661" s="2"/>
      <c r="H661" s="2"/>
      <c r="I661" s="2"/>
      <c r="J661" s="3"/>
      <c r="K661" s="2"/>
      <c r="L661" s="2"/>
      <c r="M661" s="3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</row>
    <row r="662" spans="1:32" ht="13">
      <c r="A662" s="2"/>
      <c r="B662" s="2"/>
      <c r="C662" s="2"/>
      <c r="D662" s="2"/>
      <c r="E662" s="2"/>
      <c r="F662" s="3"/>
      <c r="G662" s="2"/>
      <c r="H662" s="2"/>
      <c r="I662" s="2"/>
      <c r="J662" s="3"/>
      <c r="K662" s="2"/>
      <c r="L662" s="2"/>
      <c r="M662" s="3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</row>
    <row r="663" spans="1:32" ht="13">
      <c r="A663" s="2"/>
      <c r="B663" s="2"/>
      <c r="C663" s="2"/>
      <c r="D663" s="2"/>
      <c r="E663" s="2"/>
      <c r="F663" s="3"/>
      <c r="G663" s="2"/>
      <c r="H663" s="2"/>
      <c r="I663" s="2"/>
      <c r="J663" s="3"/>
      <c r="K663" s="2"/>
      <c r="L663" s="2"/>
      <c r="M663" s="3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</row>
    <row r="664" spans="1:32" ht="13">
      <c r="A664" s="2"/>
      <c r="B664" s="2"/>
      <c r="C664" s="2"/>
      <c r="D664" s="2"/>
      <c r="E664" s="2"/>
      <c r="F664" s="3"/>
      <c r="G664" s="2"/>
      <c r="H664" s="2"/>
      <c r="I664" s="2"/>
      <c r="J664" s="3"/>
      <c r="K664" s="2"/>
      <c r="L664" s="2"/>
      <c r="M664" s="3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</row>
    <row r="665" spans="1:32" ht="13">
      <c r="A665" s="2"/>
      <c r="B665" s="2"/>
      <c r="C665" s="2"/>
      <c r="D665" s="2"/>
      <c r="E665" s="2"/>
      <c r="F665" s="3"/>
      <c r="G665" s="2"/>
      <c r="H665" s="2"/>
      <c r="I665" s="2"/>
      <c r="J665" s="3"/>
      <c r="K665" s="2"/>
      <c r="L665" s="2"/>
      <c r="M665" s="3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</row>
    <row r="666" spans="1:32" ht="13">
      <c r="A666" s="2"/>
      <c r="B666" s="2"/>
      <c r="C666" s="2"/>
      <c r="D666" s="2"/>
      <c r="E666" s="2"/>
      <c r="F666" s="3"/>
      <c r="G666" s="2"/>
      <c r="H666" s="2"/>
      <c r="I666" s="2"/>
      <c r="J666" s="3"/>
      <c r="K666" s="2"/>
      <c r="L666" s="2"/>
      <c r="M666" s="3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</row>
    <row r="667" spans="1:32" ht="13">
      <c r="A667" s="2"/>
      <c r="B667" s="2"/>
      <c r="C667" s="2"/>
      <c r="D667" s="2"/>
      <c r="E667" s="2"/>
      <c r="F667" s="3"/>
      <c r="G667" s="2"/>
      <c r="H667" s="2"/>
      <c r="I667" s="2"/>
      <c r="J667" s="3"/>
      <c r="K667" s="2"/>
      <c r="L667" s="2"/>
      <c r="M667" s="3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</row>
    <row r="668" spans="1:32" ht="13">
      <c r="A668" s="2"/>
      <c r="B668" s="2"/>
      <c r="C668" s="2"/>
      <c r="D668" s="2"/>
      <c r="E668" s="2"/>
      <c r="F668" s="3"/>
      <c r="G668" s="2"/>
      <c r="H668" s="2"/>
      <c r="I668" s="2"/>
      <c r="J668" s="3"/>
      <c r="K668" s="2"/>
      <c r="L668" s="2"/>
      <c r="M668" s="3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</row>
    <row r="669" spans="1:32" ht="13">
      <c r="A669" s="2"/>
      <c r="B669" s="2"/>
      <c r="C669" s="2"/>
      <c r="D669" s="2"/>
      <c r="E669" s="2"/>
      <c r="F669" s="3"/>
      <c r="G669" s="2"/>
      <c r="H669" s="2"/>
      <c r="I669" s="2"/>
      <c r="J669" s="3"/>
      <c r="K669" s="2"/>
      <c r="L669" s="2"/>
      <c r="M669" s="3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</row>
    <row r="670" spans="1:32" ht="13">
      <c r="A670" s="2"/>
      <c r="B670" s="2"/>
      <c r="C670" s="2"/>
      <c r="D670" s="2"/>
      <c r="E670" s="2"/>
      <c r="F670" s="3"/>
      <c r="G670" s="2"/>
      <c r="H670" s="2"/>
      <c r="I670" s="2"/>
      <c r="J670" s="3"/>
      <c r="K670" s="2"/>
      <c r="L670" s="2"/>
      <c r="M670" s="3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</row>
    <row r="671" spans="1:32" ht="13">
      <c r="A671" s="2"/>
      <c r="B671" s="2"/>
      <c r="C671" s="2"/>
      <c r="D671" s="2"/>
      <c r="E671" s="2"/>
      <c r="F671" s="3"/>
      <c r="G671" s="2"/>
      <c r="H671" s="2"/>
      <c r="I671" s="2"/>
      <c r="J671" s="3"/>
      <c r="K671" s="2"/>
      <c r="L671" s="2"/>
      <c r="M671" s="3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</row>
    <row r="672" spans="1:32" ht="13">
      <c r="A672" s="2"/>
      <c r="B672" s="2"/>
      <c r="C672" s="2"/>
      <c r="D672" s="2"/>
      <c r="E672" s="2"/>
      <c r="F672" s="3"/>
      <c r="G672" s="2"/>
      <c r="H672" s="2"/>
      <c r="I672" s="2"/>
      <c r="J672" s="3"/>
      <c r="K672" s="2"/>
      <c r="L672" s="2"/>
      <c r="M672" s="3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</row>
    <row r="673" spans="1:32" ht="13">
      <c r="A673" s="2"/>
      <c r="B673" s="2"/>
      <c r="C673" s="2"/>
      <c r="D673" s="2"/>
      <c r="E673" s="2"/>
      <c r="F673" s="3"/>
      <c r="G673" s="2"/>
      <c r="H673" s="2"/>
      <c r="I673" s="2"/>
      <c r="J673" s="3"/>
      <c r="K673" s="2"/>
      <c r="L673" s="2"/>
      <c r="M673" s="3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</row>
    <row r="674" spans="1:32" ht="13">
      <c r="A674" s="2"/>
      <c r="B674" s="2"/>
      <c r="C674" s="2"/>
      <c r="D674" s="2"/>
      <c r="E674" s="2"/>
      <c r="F674" s="3"/>
      <c r="G674" s="2"/>
      <c r="H674" s="2"/>
      <c r="I674" s="2"/>
      <c r="J674" s="3"/>
      <c r="K674" s="2"/>
      <c r="L674" s="2"/>
      <c r="M674" s="3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</row>
    <row r="675" spans="1:32" ht="13">
      <c r="A675" s="2"/>
      <c r="B675" s="2"/>
      <c r="C675" s="2"/>
      <c r="D675" s="2"/>
      <c r="E675" s="2"/>
      <c r="F675" s="3"/>
      <c r="G675" s="2"/>
      <c r="H675" s="2"/>
      <c r="I675" s="2"/>
      <c r="J675" s="3"/>
      <c r="K675" s="2"/>
      <c r="L675" s="2"/>
      <c r="M675" s="3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</row>
    <row r="676" spans="1:32" ht="13">
      <c r="A676" s="2"/>
      <c r="B676" s="2"/>
      <c r="C676" s="2"/>
      <c r="D676" s="2"/>
      <c r="E676" s="2"/>
      <c r="F676" s="3"/>
      <c r="G676" s="2"/>
      <c r="H676" s="2"/>
      <c r="I676" s="2"/>
      <c r="J676" s="3"/>
      <c r="K676" s="2"/>
      <c r="L676" s="2"/>
      <c r="M676" s="3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</row>
    <row r="677" spans="1:32" ht="13">
      <c r="A677" s="2"/>
      <c r="B677" s="2"/>
      <c r="C677" s="2"/>
      <c r="D677" s="2"/>
      <c r="E677" s="2"/>
      <c r="F677" s="3"/>
      <c r="G677" s="2"/>
      <c r="H677" s="2"/>
      <c r="I677" s="2"/>
      <c r="J677" s="3"/>
      <c r="K677" s="2"/>
      <c r="L677" s="2"/>
      <c r="M677" s="3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</row>
    <row r="678" spans="1:32" ht="13">
      <c r="A678" s="2"/>
      <c r="B678" s="2"/>
      <c r="C678" s="2"/>
      <c r="D678" s="2"/>
      <c r="E678" s="2"/>
      <c r="F678" s="3"/>
      <c r="G678" s="2"/>
      <c r="H678" s="2"/>
      <c r="I678" s="2"/>
      <c r="J678" s="3"/>
      <c r="K678" s="2"/>
      <c r="L678" s="2"/>
      <c r="M678" s="3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</row>
    <row r="679" spans="1:32" ht="13">
      <c r="A679" s="2"/>
      <c r="B679" s="2"/>
      <c r="C679" s="2"/>
      <c r="D679" s="2"/>
      <c r="E679" s="2"/>
      <c r="F679" s="3"/>
      <c r="G679" s="2"/>
      <c r="H679" s="2"/>
      <c r="I679" s="2"/>
      <c r="J679" s="3"/>
      <c r="K679" s="2"/>
      <c r="L679" s="2"/>
      <c r="M679" s="3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</row>
    <row r="680" spans="1:32" ht="13">
      <c r="A680" s="2"/>
      <c r="B680" s="2"/>
      <c r="C680" s="2"/>
      <c r="D680" s="2"/>
      <c r="E680" s="2"/>
      <c r="F680" s="3"/>
      <c r="G680" s="2"/>
      <c r="H680" s="2"/>
      <c r="I680" s="2"/>
      <c r="J680" s="3"/>
      <c r="K680" s="2"/>
      <c r="L680" s="2"/>
      <c r="M680" s="3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</row>
    <row r="681" spans="1:32" ht="13">
      <c r="A681" s="2"/>
      <c r="B681" s="2"/>
      <c r="C681" s="2"/>
      <c r="D681" s="2"/>
      <c r="E681" s="2"/>
      <c r="F681" s="3"/>
      <c r="G681" s="2"/>
      <c r="H681" s="2"/>
      <c r="I681" s="2"/>
      <c r="J681" s="3"/>
      <c r="K681" s="2"/>
      <c r="L681" s="2"/>
      <c r="M681" s="3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</row>
    <row r="682" spans="1:32" ht="13">
      <c r="A682" s="2"/>
      <c r="B682" s="2"/>
      <c r="C682" s="2"/>
      <c r="D682" s="2"/>
      <c r="E682" s="2"/>
      <c r="F682" s="3"/>
      <c r="G682" s="2"/>
      <c r="H682" s="2"/>
      <c r="I682" s="2"/>
      <c r="J682" s="3"/>
      <c r="K682" s="2"/>
      <c r="L682" s="2"/>
      <c r="M682" s="3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</row>
    <row r="683" spans="1:32" ht="13">
      <c r="A683" s="2"/>
      <c r="B683" s="2"/>
      <c r="C683" s="2"/>
      <c r="D683" s="2"/>
      <c r="E683" s="2"/>
      <c r="F683" s="3"/>
      <c r="G683" s="2"/>
      <c r="H683" s="2"/>
      <c r="I683" s="2"/>
      <c r="J683" s="3"/>
      <c r="K683" s="2"/>
      <c r="L683" s="2"/>
      <c r="M683" s="3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</row>
    <row r="684" spans="1:32" ht="13">
      <c r="A684" s="2"/>
      <c r="B684" s="2"/>
      <c r="C684" s="2"/>
      <c r="D684" s="2"/>
      <c r="E684" s="2"/>
      <c r="F684" s="3"/>
      <c r="G684" s="2"/>
      <c r="H684" s="2"/>
      <c r="I684" s="2"/>
      <c r="J684" s="3"/>
      <c r="K684" s="2"/>
      <c r="L684" s="2"/>
      <c r="M684" s="3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</row>
    <row r="685" spans="1:32" ht="13">
      <c r="A685" s="2"/>
      <c r="B685" s="2"/>
      <c r="C685" s="2"/>
      <c r="D685" s="2"/>
      <c r="E685" s="2"/>
      <c r="F685" s="3"/>
      <c r="G685" s="2"/>
      <c r="H685" s="2"/>
      <c r="I685" s="2"/>
      <c r="J685" s="3"/>
      <c r="K685" s="2"/>
      <c r="L685" s="2"/>
      <c r="M685" s="3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</row>
    <row r="686" spans="1:32" ht="13">
      <c r="A686" s="2"/>
      <c r="B686" s="2"/>
      <c r="C686" s="2"/>
      <c r="D686" s="2"/>
      <c r="E686" s="2"/>
      <c r="F686" s="3"/>
      <c r="G686" s="2"/>
      <c r="H686" s="2"/>
      <c r="I686" s="2"/>
      <c r="J686" s="3"/>
      <c r="K686" s="2"/>
      <c r="L686" s="2"/>
      <c r="M686" s="3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</row>
    <row r="687" spans="1:32" ht="13">
      <c r="A687" s="2"/>
      <c r="B687" s="2"/>
      <c r="C687" s="2"/>
      <c r="D687" s="2"/>
      <c r="E687" s="2"/>
      <c r="F687" s="3"/>
      <c r="G687" s="2"/>
      <c r="H687" s="2"/>
      <c r="I687" s="2"/>
      <c r="J687" s="3"/>
      <c r="K687" s="2"/>
      <c r="L687" s="2"/>
      <c r="M687" s="3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</row>
    <row r="688" spans="1:32" ht="13">
      <c r="A688" s="2"/>
      <c r="B688" s="2"/>
      <c r="C688" s="2"/>
      <c r="D688" s="2"/>
      <c r="E688" s="2"/>
      <c r="F688" s="3"/>
      <c r="G688" s="2"/>
      <c r="H688" s="2"/>
      <c r="I688" s="2"/>
      <c r="J688" s="3"/>
      <c r="K688" s="2"/>
      <c r="L688" s="2"/>
      <c r="M688" s="3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</row>
    <row r="689" spans="1:32" ht="13">
      <c r="A689" s="2"/>
      <c r="B689" s="2"/>
      <c r="C689" s="2"/>
      <c r="D689" s="2"/>
      <c r="E689" s="2"/>
      <c r="F689" s="3"/>
      <c r="G689" s="2"/>
      <c r="H689" s="2"/>
      <c r="I689" s="2"/>
      <c r="J689" s="3"/>
      <c r="K689" s="2"/>
      <c r="L689" s="2"/>
      <c r="M689" s="3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</row>
    <row r="690" spans="1:32" ht="13">
      <c r="A690" s="2"/>
      <c r="B690" s="2"/>
      <c r="C690" s="2"/>
      <c r="D690" s="2"/>
      <c r="E690" s="2"/>
      <c r="F690" s="3"/>
      <c r="G690" s="2"/>
      <c r="H690" s="2"/>
      <c r="I690" s="2"/>
      <c r="J690" s="3"/>
      <c r="K690" s="2"/>
      <c r="L690" s="2"/>
      <c r="M690" s="3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</row>
    <row r="691" spans="1:32" ht="13">
      <c r="A691" s="2"/>
      <c r="B691" s="2"/>
      <c r="C691" s="2"/>
      <c r="D691" s="2"/>
      <c r="E691" s="2"/>
      <c r="F691" s="3"/>
      <c r="G691" s="2"/>
      <c r="H691" s="2"/>
      <c r="I691" s="2"/>
      <c r="J691" s="3"/>
      <c r="K691" s="2"/>
      <c r="L691" s="2"/>
      <c r="M691" s="3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</row>
    <row r="692" spans="1:32" ht="13">
      <c r="A692" s="2"/>
      <c r="B692" s="2"/>
      <c r="C692" s="2"/>
      <c r="D692" s="2"/>
      <c r="E692" s="2"/>
      <c r="F692" s="3"/>
      <c r="G692" s="2"/>
      <c r="H692" s="2"/>
      <c r="I692" s="2"/>
      <c r="J692" s="3"/>
      <c r="K692" s="2"/>
      <c r="L692" s="2"/>
      <c r="M692" s="3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</row>
    <row r="693" spans="1:32" ht="13">
      <c r="A693" s="2"/>
      <c r="B693" s="2"/>
      <c r="C693" s="2"/>
      <c r="D693" s="2"/>
      <c r="E693" s="2"/>
      <c r="F693" s="3"/>
      <c r="G693" s="2"/>
      <c r="H693" s="2"/>
      <c r="I693" s="2"/>
      <c r="J693" s="3"/>
      <c r="K693" s="2"/>
      <c r="L693" s="2"/>
      <c r="M693" s="3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</row>
    <row r="694" spans="1:32" ht="13">
      <c r="A694" s="2"/>
      <c r="B694" s="2"/>
      <c r="C694" s="2"/>
      <c r="D694" s="2"/>
      <c r="E694" s="2"/>
      <c r="F694" s="3"/>
      <c r="G694" s="2"/>
      <c r="H694" s="2"/>
      <c r="I694" s="2"/>
      <c r="J694" s="3"/>
      <c r="K694" s="2"/>
      <c r="L694" s="2"/>
      <c r="M694" s="3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</row>
    <row r="695" spans="1:32" ht="13">
      <c r="A695" s="2"/>
      <c r="B695" s="2"/>
      <c r="C695" s="2"/>
      <c r="D695" s="2"/>
      <c r="E695" s="2"/>
      <c r="F695" s="3"/>
      <c r="G695" s="2"/>
      <c r="H695" s="2"/>
      <c r="I695" s="2"/>
      <c r="J695" s="3"/>
      <c r="K695" s="2"/>
      <c r="L695" s="2"/>
      <c r="M695" s="3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</row>
    <row r="696" spans="1:32" ht="13">
      <c r="A696" s="2"/>
      <c r="B696" s="2"/>
      <c r="C696" s="2"/>
      <c r="D696" s="2"/>
      <c r="E696" s="2"/>
      <c r="F696" s="3"/>
      <c r="G696" s="2"/>
      <c r="H696" s="2"/>
      <c r="I696" s="2"/>
      <c r="J696" s="3"/>
      <c r="K696" s="2"/>
      <c r="L696" s="2"/>
      <c r="M696" s="3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</row>
    <row r="697" spans="1:32" ht="13">
      <c r="A697" s="2"/>
      <c r="B697" s="2"/>
      <c r="C697" s="2"/>
      <c r="D697" s="2"/>
      <c r="E697" s="2"/>
      <c r="F697" s="3"/>
      <c r="G697" s="2"/>
      <c r="H697" s="2"/>
      <c r="I697" s="2"/>
      <c r="J697" s="3"/>
      <c r="K697" s="2"/>
      <c r="L697" s="2"/>
      <c r="M697" s="3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</row>
    <row r="698" spans="1:32" ht="13">
      <c r="A698" s="2"/>
      <c r="B698" s="2"/>
      <c r="C698" s="2"/>
      <c r="D698" s="2"/>
      <c r="E698" s="2"/>
      <c r="F698" s="3"/>
      <c r="G698" s="2"/>
      <c r="H698" s="2"/>
      <c r="I698" s="2"/>
      <c r="J698" s="3"/>
      <c r="K698" s="2"/>
      <c r="L698" s="2"/>
      <c r="M698" s="3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</row>
    <row r="699" spans="1:32" ht="13">
      <c r="A699" s="2"/>
      <c r="B699" s="2"/>
      <c r="C699" s="2"/>
      <c r="D699" s="2"/>
      <c r="E699" s="2"/>
      <c r="F699" s="3"/>
      <c r="G699" s="2"/>
      <c r="H699" s="2"/>
      <c r="I699" s="2"/>
      <c r="J699" s="3"/>
      <c r="K699" s="2"/>
      <c r="L699" s="2"/>
      <c r="M699" s="3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</row>
    <row r="700" spans="1:32" ht="13">
      <c r="A700" s="2"/>
      <c r="B700" s="2"/>
      <c r="C700" s="2"/>
      <c r="D700" s="2"/>
      <c r="E700" s="2"/>
      <c r="F700" s="3"/>
      <c r="G700" s="2"/>
      <c r="H700" s="2"/>
      <c r="I700" s="2"/>
      <c r="J700" s="3"/>
      <c r="K700" s="2"/>
      <c r="L700" s="2"/>
      <c r="M700" s="3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</row>
    <row r="701" spans="1:32" ht="13">
      <c r="A701" s="2"/>
      <c r="B701" s="2"/>
      <c r="C701" s="2"/>
      <c r="D701" s="2"/>
      <c r="E701" s="2"/>
      <c r="F701" s="3"/>
      <c r="G701" s="2"/>
      <c r="H701" s="2"/>
      <c r="I701" s="2"/>
      <c r="J701" s="3"/>
      <c r="K701" s="2"/>
      <c r="L701" s="2"/>
      <c r="M701" s="3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</row>
    <row r="702" spans="1:32" ht="13">
      <c r="A702" s="2"/>
      <c r="B702" s="2"/>
      <c r="C702" s="2"/>
      <c r="D702" s="2"/>
      <c r="E702" s="2"/>
      <c r="F702" s="3"/>
      <c r="G702" s="2"/>
      <c r="H702" s="2"/>
      <c r="I702" s="2"/>
      <c r="J702" s="3"/>
      <c r="K702" s="2"/>
      <c r="L702" s="2"/>
      <c r="M702" s="3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</row>
    <row r="703" spans="1:32" ht="13">
      <c r="A703" s="2"/>
      <c r="B703" s="2"/>
      <c r="C703" s="2"/>
      <c r="D703" s="2"/>
      <c r="E703" s="2"/>
      <c r="F703" s="3"/>
      <c r="G703" s="2"/>
      <c r="H703" s="2"/>
      <c r="I703" s="2"/>
      <c r="J703" s="3"/>
      <c r="K703" s="2"/>
      <c r="L703" s="2"/>
      <c r="M703" s="3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</row>
    <row r="704" spans="1:32" ht="13">
      <c r="A704" s="2"/>
      <c r="B704" s="2"/>
      <c r="C704" s="2"/>
      <c r="D704" s="2"/>
      <c r="E704" s="2"/>
      <c r="F704" s="3"/>
      <c r="G704" s="2"/>
      <c r="H704" s="2"/>
      <c r="I704" s="2"/>
      <c r="J704" s="3"/>
      <c r="K704" s="2"/>
      <c r="L704" s="2"/>
      <c r="M704" s="3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</row>
    <row r="705" spans="1:32" ht="13">
      <c r="A705" s="2"/>
      <c r="B705" s="2"/>
      <c r="C705" s="2"/>
      <c r="D705" s="2"/>
      <c r="E705" s="2"/>
      <c r="F705" s="3"/>
      <c r="G705" s="2"/>
      <c r="H705" s="2"/>
      <c r="I705" s="2"/>
      <c r="J705" s="3"/>
      <c r="K705" s="2"/>
      <c r="L705" s="2"/>
      <c r="M705" s="3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</row>
    <row r="706" spans="1:32" ht="13">
      <c r="A706" s="2"/>
      <c r="B706" s="2"/>
      <c r="C706" s="2"/>
      <c r="D706" s="2"/>
      <c r="E706" s="2"/>
      <c r="F706" s="3"/>
      <c r="G706" s="2"/>
      <c r="H706" s="2"/>
      <c r="I706" s="2"/>
      <c r="J706" s="3"/>
      <c r="K706" s="2"/>
      <c r="L706" s="2"/>
      <c r="M706" s="3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</row>
    <row r="707" spans="1:32" ht="13">
      <c r="A707" s="2"/>
      <c r="B707" s="2"/>
      <c r="C707" s="2"/>
      <c r="D707" s="2"/>
      <c r="E707" s="2"/>
      <c r="F707" s="3"/>
      <c r="G707" s="2"/>
      <c r="H707" s="2"/>
      <c r="I707" s="2"/>
      <c r="J707" s="3"/>
      <c r="K707" s="2"/>
      <c r="L707" s="2"/>
      <c r="M707" s="3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</row>
    <row r="708" spans="1:32" ht="13">
      <c r="A708" s="2"/>
      <c r="B708" s="2"/>
      <c r="C708" s="2"/>
      <c r="D708" s="2"/>
      <c r="E708" s="2"/>
      <c r="F708" s="3"/>
      <c r="G708" s="2"/>
      <c r="H708" s="2"/>
      <c r="I708" s="2"/>
      <c r="J708" s="3"/>
      <c r="K708" s="2"/>
      <c r="L708" s="2"/>
      <c r="M708" s="3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</row>
    <row r="709" spans="1:32" ht="13">
      <c r="A709" s="2"/>
      <c r="B709" s="2"/>
      <c r="C709" s="2"/>
      <c r="D709" s="2"/>
      <c r="E709" s="2"/>
      <c r="F709" s="3"/>
      <c r="G709" s="2"/>
      <c r="H709" s="2"/>
      <c r="I709" s="2"/>
      <c r="J709" s="3"/>
      <c r="K709" s="2"/>
      <c r="L709" s="2"/>
      <c r="M709" s="3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</row>
    <row r="710" spans="1:32" ht="13">
      <c r="A710" s="2"/>
      <c r="B710" s="2"/>
      <c r="C710" s="2"/>
      <c r="D710" s="2"/>
      <c r="E710" s="2"/>
      <c r="F710" s="3"/>
      <c r="G710" s="2"/>
      <c r="H710" s="2"/>
      <c r="I710" s="2"/>
      <c r="J710" s="3"/>
      <c r="K710" s="2"/>
      <c r="L710" s="2"/>
      <c r="M710" s="3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</row>
    <row r="711" spans="1:32" ht="13">
      <c r="A711" s="2"/>
      <c r="B711" s="2"/>
      <c r="C711" s="2"/>
      <c r="D711" s="2"/>
      <c r="E711" s="2"/>
      <c r="F711" s="3"/>
      <c r="G711" s="2"/>
      <c r="H711" s="2"/>
      <c r="I711" s="2"/>
      <c r="J711" s="3"/>
      <c r="K711" s="2"/>
      <c r="L711" s="2"/>
      <c r="M711" s="3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</row>
    <row r="712" spans="1:32" ht="13">
      <c r="A712" s="2"/>
      <c r="B712" s="2"/>
      <c r="C712" s="2"/>
      <c r="D712" s="2"/>
      <c r="E712" s="2"/>
      <c r="F712" s="3"/>
      <c r="G712" s="2"/>
      <c r="H712" s="2"/>
      <c r="I712" s="2"/>
      <c r="J712" s="3"/>
      <c r="K712" s="2"/>
      <c r="L712" s="2"/>
      <c r="M712" s="3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</row>
    <row r="713" spans="1:32" ht="13">
      <c r="A713" s="2"/>
      <c r="B713" s="2"/>
      <c r="C713" s="2"/>
      <c r="D713" s="2"/>
      <c r="E713" s="2"/>
      <c r="F713" s="3"/>
      <c r="G713" s="2"/>
      <c r="H713" s="2"/>
      <c r="I713" s="2"/>
      <c r="J713" s="3"/>
      <c r="K713" s="2"/>
      <c r="L713" s="2"/>
      <c r="M713" s="3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</row>
    <row r="714" spans="1:32" ht="13">
      <c r="A714" s="2"/>
      <c r="B714" s="2"/>
      <c r="C714" s="2"/>
      <c r="D714" s="2"/>
      <c r="E714" s="2"/>
      <c r="F714" s="3"/>
      <c r="G714" s="2"/>
      <c r="H714" s="2"/>
      <c r="I714" s="2"/>
      <c r="J714" s="3"/>
      <c r="K714" s="2"/>
      <c r="L714" s="2"/>
      <c r="M714" s="3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</row>
    <row r="715" spans="1:32" ht="13">
      <c r="A715" s="2"/>
      <c r="B715" s="2"/>
      <c r="C715" s="2"/>
      <c r="D715" s="2"/>
      <c r="E715" s="2"/>
      <c r="F715" s="3"/>
      <c r="G715" s="2"/>
      <c r="H715" s="2"/>
      <c r="I715" s="2"/>
      <c r="J715" s="3"/>
      <c r="K715" s="2"/>
      <c r="L715" s="2"/>
      <c r="M715" s="3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</row>
    <row r="716" spans="1:32" ht="13">
      <c r="A716" s="2"/>
      <c r="B716" s="2"/>
      <c r="C716" s="2"/>
      <c r="D716" s="2"/>
      <c r="E716" s="2"/>
      <c r="F716" s="3"/>
      <c r="G716" s="2"/>
      <c r="H716" s="2"/>
      <c r="I716" s="2"/>
      <c r="J716" s="3"/>
      <c r="K716" s="2"/>
      <c r="L716" s="2"/>
      <c r="M716" s="3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</row>
    <row r="717" spans="1:32" ht="13">
      <c r="A717" s="2"/>
      <c r="B717" s="2"/>
      <c r="C717" s="2"/>
      <c r="D717" s="2"/>
      <c r="E717" s="2"/>
      <c r="F717" s="3"/>
      <c r="G717" s="2"/>
      <c r="H717" s="2"/>
      <c r="I717" s="2"/>
      <c r="J717" s="3"/>
      <c r="K717" s="2"/>
      <c r="L717" s="2"/>
      <c r="M717" s="3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</row>
    <row r="718" spans="1:32" ht="13">
      <c r="A718" s="2"/>
      <c r="B718" s="2"/>
      <c r="C718" s="2"/>
      <c r="D718" s="2"/>
      <c r="E718" s="2"/>
      <c r="F718" s="3"/>
      <c r="G718" s="2"/>
      <c r="H718" s="2"/>
      <c r="I718" s="2"/>
      <c r="J718" s="3"/>
      <c r="K718" s="2"/>
      <c r="L718" s="2"/>
      <c r="M718" s="3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</row>
    <row r="719" spans="1:32" ht="13">
      <c r="A719" s="2"/>
      <c r="B719" s="2"/>
      <c r="C719" s="2"/>
      <c r="D719" s="2"/>
      <c r="E719" s="2"/>
      <c r="F719" s="3"/>
      <c r="G719" s="2"/>
      <c r="H719" s="2"/>
      <c r="I719" s="2"/>
      <c r="J719" s="3"/>
      <c r="K719" s="2"/>
      <c r="L719" s="2"/>
      <c r="M719" s="3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</row>
    <row r="720" spans="1:32" ht="13">
      <c r="A720" s="2"/>
      <c r="B720" s="2"/>
      <c r="C720" s="2"/>
      <c r="D720" s="2"/>
      <c r="E720" s="2"/>
      <c r="F720" s="3"/>
      <c r="G720" s="2"/>
      <c r="H720" s="2"/>
      <c r="I720" s="2"/>
      <c r="J720" s="3"/>
      <c r="K720" s="2"/>
      <c r="L720" s="2"/>
      <c r="M720" s="3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</row>
    <row r="721" spans="1:32" ht="13">
      <c r="A721" s="2"/>
      <c r="B721" s="2"/>
      <c r="C721" s="2"/>
      <c r="D721" s="2"/>
      <c r="E721" s="2"/>
      <c r="F721" s="3"/>
      <c r="G721" s="2"/>
      <c r="H721" s="2"/>
      <c r="I721" s="2"/>
      <c r="J721" s="3"/>
      <c r="K721" s="2"/>
      <c r="L721" s="2"/>
      <c r="M721" s="3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</row>
    <row r="722" spans="1:32" ht="13">
      <c r="A722" s="2"/>
      <c r="B722" s="2"/>
      <c r="C722" s="2"/>
      <c r="D722" s="2"/>
      <c r="E722" s="2"/>
      <c r="F722" s="3"/>
      <c r="G722" s="2"/>
      <c r="H722" s="2"/>
      <c r="I722" s="2"/>
      <c r="J722" s="3"/>
      <c r="K722" s="2"/>
      <c r="L722" s="2"/>
      <c r="M722" s="3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</row>
    <row r="723" spans="1:32" ht="13">
      <c r="A723" s="2"/>
      <c r="B723" s="2"/>
      <c r="C723" s="2"/>
      <c r="D723" s="2"/>
      <c r="E723" s="2"/>
      <c r="F723" s="3"/>
      <c r="G723" s="2"/>
      <c r="H723" s="2"/>
      <c r="I723" s="2"/>
      <c r="J723" s="3"/>
      <c r="K723" s="2"/>
      <c r="L723" s="2"/>
      <c r="M723" s="3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</row>
    <row r="724" spans="1:32" ht="13">
      <c r="A724" s="2"/>
      <c r="B724" s="2"/>
      <c r="C724" s="2"/>
      <c r="D724" s="2"/>
      <c r="E724" s="2"/>
      <c r="F724" s="3"/>
      <c r="G724" s="2"/>
      <c r="H724" s="2"/>
      <c r="I724" s="2"/>
      <c r="J724" s="3"/>
      <c r="K724" s="2"/>
      <c r="L724" s="2"/>
      <c r="M724" s="3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</row>
    <row r="725" spans="1:32" ht="13">
      <c r="A725" s="2"/>
      <c r="B725" s="2"/>
      <c r="C725" s="2"/>
      <c r="D725" s="2"/>
      <c r="E725" s="2"/>
      <c r="F725" s="3"/>
      <c r="G725" s="2"/>
      <c r="H725" s="2"/>
      <c r="I725" s="2"/>
      <c r="J725" s="3"/>
      <c r="K725" s="2"/>
      <c r="L725" s="2"/>
      <c r="M725" s="3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</row>
    <row r="726" spans="1:32" ht="13">
      <c r="A726" s="2"/>
      <c r="B726" s="2"/>
      <c r="C726" s="2"/>
      <c r="D726" s="2"/>
      <c r="E726" s="2"/>
      <c r="F726" s="3"/>
      <c r="G726" s="2"/>
      <c r="H726" s="2"/>
      <c r="I726" s="2"/>
      <c r="J726" s="3"/>
      <c r="K726" s="2"/>
      <c r="L726" s="2"/>
      <c r="M726" s="3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</row>
    <row r="727" spans="1:32" ht="13">
      <c r="A727" s="2"/>
      <c r="B727" s="2"/>
      <c r="C727" s="2"/>
      <c r="D727" s="2"/>
      <c r="E727" s="2"/>
      <c r="F727" s="3"/>
      <c r="G727" s="2"/>
      <c r="H727" s="2"/>
      <c r="I727" s="2"/>
      <c r="J727" s="3"/>
      <c r="K727" s="2"/>
      <c r="L727" s="2"/>
      <c r="M727" s="3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</row>
    <row r="728" spans="1:32" ht="13">
      <c r="A728" s="2"/>
      <c r="B728" s="2"/>
      <c r="C728" s="2"/>
      <c r="D728" s="2"/>
      <c r="E728" s="2"/>
      <c r="F728" s="3"/>
      <c r="G728" s="2"/>
      <c r="H728" s="2"/>
      <c r="I728" s="2"/>
      <c r="J728" s="3"/>
      <c r="K728" s="2"/>
      <c r="L728" s="2"/>
      <c r="M728" s="3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</row>
    <row r="729" spans="1:32" ht="13">
      <c r="A729" s="2"/>
      <c r="B729" s="2"/>
      <c r="C729" s="2"/>
      <c r="D729" s="2"/>
      <c r="E729" s="2"/>
      <c r="F729" s="3"/>
      <c r="G729" s="2"/>
      <c r="H729" s="2"/>
      <c r="I729" s="2"/>
      <c r="J729" s="3"/>
      <c r="K729" s="2"/>
      <c r="L729" s="2"/>
      <c r="M729" s="3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</row>
    <row r="730" spans="1:32" ht="13">
      <c r="A730" s="2"/>
      <c r="B730" s="2"/>
      <c r="C730" s="2"/>
      <c r="D730" s="2"/>
      <c r="E730" s="2"/>
      <c r="F730" s="3"/>
      <c r="G730" s="2"/>
      <c r="H730" s="2"/>
      <c r="I730" s="2"/>
      <c r="J730" s="3"/>
      <c r="K730" s="2"/>
      <c r="L730" s="2"/>
      <c r="M730" s="3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</row>
    <row r="731" spans="1:32" ht="13">
      <c r="A731" s="2"/>
      <c r="B731" s="2"/>
      <c r="C731" s="2"/>
      <c r="D731" s="2"/>
      <c r="E731" s="2"/>
      <c r="F731" s="3"/>
      <c r="G731" s="2"/>
      <c r="H731" s="2"/>
      <c r="I731" s="2"/>
      <c r="J731" s="3"/>
      <c r="K731" s="2"/>
      <c r="L731" s="2"/>
      <c r="M731" s="3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</row>
    <row r="732" spans="1:32" ht="13">
      <c r="A732" s="2"/>
      <c r="B732" s="2"/>
      <c r="C732" s="2"/>
      <c r="D732" s="2"/>
      <c r="E732" s="2"/>
      <c r="F732" s="3"/>
      <c r="G732" s="2"/>
      <c r="H732" s="2"/>
      <c r="I732" s="2"/>
      <c r="J732" s="3"/>
      <c r="K732" s="2"/>
      <c r="L732" s="2"/>
      <c r="M732" s="3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</row>
    <row r="733" spans="1:32" ht="13">
      <c r="A733" s="2"/>
      <c r="B733" s="2"/>
      <c r="C733" s="2"/>
      <c r="D733" s="2"/>
      <c r="E733" s="2"/>
      <c r="F733" s="3"/>
      <c r="G733" s="2"/>
      <c r="H733" s="2"/>
      <c r="I733" s="2"/>
      <c r="J733" s="3"/>
      <c r="K733" s="2"/>
      <c r="L733" s="2"/>
      <c r="M733" s="3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</row>
    <row r="734" spans="1:32" ht="13">
      <c r="A734" s="2"/>
      <c r="B734" s="2"/>
      <c r="C734" s="2"/>
      <c r="D734" s="2"/>
      <c r="E734" s="2"/>
      <c r="F734" s="3"/>
      <c r="G734" s="2"/>
      <c r="H734" s="2"/>
      <c r="I734" s="2"/>
      <c r="J734" s="3"/>
      <c r="K734" s="2"/>
      <c r="L734" s="2"/>
      <c r="M734" s="3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</row>
    <row r="735" spans="1:32" ht="13">
      <c r="A735" s="2"/>
      <c r="B735" s="2"/>
      <c r="C735" s="2"/>
      <c r="D735" s="2"/>
      <c r="E735" s="2"/>
      <c r="F735" s="3"/>
      <c r="G735" s="2"/>
      <c r="H735" s="2"/>
      <c r="I735" s="2"/>
      <c r="J735" s="3"/>
      <c r="K735" s="2"/>
      <c r="L735" s="2"/>
      <c r="M735" s="3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</row>
    <row r="736" spans="1:32" ht="13">
      <c r="A736" s="2"/>
      <c r="B736" s="2"/>
      <c r="C736" s="2"/>
      <c r="D736" s="2"/>
      <c r="E736" s="2"/>
      <c r="F736" s="3"/>
      <c r="G736" s="2"/>
      <c r="H736" s="2"/>
      <c r="I736" s="2"/>
      <c r="J736" s="3"/>
      <c r="K736" s="2"/>
      <c r="L736" s="2"/>
      <c r="M736" s="3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</row>
    <row r="737" spans="1:32" ht="13">
      <c r="A737" s="2"/>
      <c r="B737" s="2"/>
      <c r="C737" s="2"/>
      <c r="D737" s="2"/>
      <c r="E737" s="2"/>
      <c r="F737" s="3"/>
      <c r="G737" s="2"/>
      <c r="H737" s="2"/>
      <c r="I737" s="2"/>
      <c r="J737" s="3"/>
      <c r="K737" s="2"/>
      <c r="L737" s="2"/>
      <c r="M737" s="3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</row>
    <row r="738" spans="1:32" ht="13">
      <c r="A738" s="2"/>
      <c r="B738" s="2"/>
      <c r="C738" s="2"/>
      <c r="D738" s="2"/>
      <c r="E738" s="2"/>
      <c r="F738" s="3"/>
      <c r="G738" s="2"/>
      <c r="H738" s="2"/>
      <c r="I738" s="2"/>
      <c r="J738" s="3"/>
      <c r="K738" s="2"/>
      <c r="L738" s="2"/>
      <c r="M738" s="3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</row>
    <row r="739" spans="1:32" ht="13">
      <c r="A739" s="2"/>
      <c r="B739" s="2"/>
      <c r="C739" s="2"/>
      <c r="D739" s="2"/>
      <c r="E739" s="2"/>
      <c r="F739" s="3"/>
      <c r="G739" s="2"/>
      <c r="H739" s="2"/>
      <c r="I739" s="2"/>
      <c r="J739" s="3"/>
      <c r="K739" s="2"/>
      <c r="L739" s="2"/>
      <c r="M739" s="3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</row>
    <row r="740" spans="1:32" ht="13">
      <c r="A740" s="2"/>
      <c r="B740" s="2"/>
      <c r="C740" s="2"/>
      <c r="D740" s="2"/>
      <c r="E740" s="2"/>
      <c r="F740" s="3"/>
      <c r="G740" s="2"/>
      <c r="H740" s="2"/>
      <c r="I740" s="2"/>
      <c r="J740" s="3"/>
      <c r="K740" s="2"/>
      <c r="L740" s="2"/>
      <c r="M740" s="3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</row>
    <row r="741" spans="1:32" ht="13">
      <c r="A741" s="2"/>
      <c r="B741" s="2"/>
      <c r="C741" s="2"/>
      <c r="D741" s="2"/>
      <c r="E741" s="2"/>
      <c r="F741" s="3"/>
      <c r="G741" s="2"/>
      <c r="H741" s="2"/>
      <c r="I741" s="2"/>
      <c r="J741" s="3"/>
      <c r="K741" s="2"/>
      <c r="L741" s="2"/>
      <c r="M741" s="3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</row>
    <row r="742" spans="1:32" ht="13">
      <c r="A742" s="2"/>
      <c r="B742" s="2"/>
      <c r="C742" s="2"/>
      <c r="D742" s="2"/>
      <c r="E742" s="2"/>
      <c r="F742" s="3"/>
      <c r="G742" s="2"/>
      <c r="H742" s="2"/>
      <c r="I742" s="2"/>
      <c r="J742" s="3"/>
      <c r="K742" s="2"/>
      <c r="L742" s="2"/>
      <c r="M742" s="3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</row>
    <row r="743" spans="1:32" ht="13">
      <c r="A743" s="2"/>
      <c r="B743" s="2"/>
      <c r="C743" s="2"/>
      <c r="D743" s="2"/>
      <c r="E743" s="2"/>
      <c r="F743" s="3"/>
      <c r="G743" s="2"/>
      <c r="H743" s="2"/>
      <c r="I743" s="2"/>
      <c r="J743" s="3"/>
      <c r="K743" s="2"/>
      <c r="L743" s="2"/>
      <c r="M743" s="3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</row>
    <row r="744" spans="1:32" ht="13">
      <c r="A744" s="2"/>
      <c r="B744" s="2"/>
      <c r="C744" s="2"/>
      <c r="D744" s="2"/>
      <c r="E744" s="2"/>
      <c r="F744" s="3"/>
      <c r="G744" s="2"/>
      <c r="H744" s="2"/>
      <c r="I744" s="2"/>
      <c r="J744" s="3"/>
      <c r="K744" s="2"/>
      <c r="L744" s="2"/>
      <c r="M744" s="3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</row>
    <row r="745" spans="1:32" ht="13">
      <c r="A745" s="2"/>
      <c r="B745" s="2"/>
      <c r="C745" s="2"/>
      <c r="D745" s="2"/>
      <c r="E745" s="2"/>
      <c r="F745" s="3"/>
      <c r="G745" s="2"/>
      <c r="H745" s="2"/>
      <c r="I745" s="2"/>
      <c r="J745" s="3"/>
      <c r="K745" s="2"/>
      <c r="L745" s="2"/>
      <c r="M745" s="3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</row>
    <row r="746" spans="1:32" ht="13">
      <c r="A746" s="2"/>
      <c r="B746" s="2"/>
      <c r="C746" s="2"/>
      <c r="D746" s="2"/>
      <c r="E746" s="2"/>
      <c r="F746" s="3"/>
      <c r="G746" s="2"/>
      <c r="H746" s="2"/>
      <c r="I746" s="2"/>
      <c r="J746" s="3"/>
      <c r="K746" s="2"/>
      <c r="L746" s="2"/>
      <c r="M746" s="3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</row>
    <row r="747" spans="1:32" ht="13">
      <c r="A747" s="2"/>
      <c r="B747" s="2"/>
      <c r="C747" s="2"/>
      <c r="D747" s="2"/>
      <c r="E747" s="2"/>
      <c r="F747" s="3"/>
      <c r="G747" s="2"/>
      <c r="H747" s="2"/>
      <c r="I747" s="2"/>
      <c r="J747" s="3"/>
      <c r="K747" s="2"/>
      <c r="L747" s="2"/>
      <c r="M747" s="3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</row>
    <row r="748" spans="1:32" ht="13">
      <c r="A748" s="2"/>
      <c r="B748" s="2"/>
      <c r="C748" s="2"/>
      <c r="D748" s="2"/>
      <c r="E748" s="2"/>
      <c r="F748" s="3"/>
      <c r="G748" s="2"/>
      <c r="H748" s="2"/>
      <c r="I748" s="2"/>
      <c r="J748" s="3"/>
      <c r="K748" s="2"/>
      <c r="L748" s="2"/>
      <c r="M748" s="3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</row>
    <row r="749" spans="1:32" ht="13">
      <c r="A749" s="2"/>
      <c r="B749" s="2"/>
      <c r="C749" s="2"/>
      <c r="D749" s="2"/>
      <c r="E749" s="2"/>
      <c r="F749" s="3"/>
      <c r="G749" s="2"/>
      <c r="H749" s="2"/>
      <c r="I749" s="2"/>
      <c r="J749" s="3"/>
      <c r="K749" s="2"/>
      <c r="L749" s="2"/>
      <c r="M749" s="3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</row>
    <row r="750" spans="1:32" ht="13">
      <c r="A750" s="2"/>
      <c r="B750" s="2"/>
      <c r="C750" s="2"/>
      <c r="D750" s="2"/>
      <c r="E750" s="2"/>
      <c r="F750" s="3"/>
      <c r="G750" s="2"/>
      <c r="H750" s="2"/>
      <c r="I750" s="2"/>
      <c r="J750" s="3"/>
      <c r="K750" s="2"/>
      <c r="L750" s="2"/>
      <c r="M750" s="3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</row>
    <row r="751" spans="1:32" ht="13">
      <c r="A751" s="2"/>
      <c r="B751" s="2"/>
      <c r="C751" s="2"/>
      <c r="D751" s="2"/>
      <c r="E751" s="2"/>
      <c r="F751" s="3"/>
      <c r="G751" s="2"/>
      <c r="H751" s="2"/>
      <c r="I751" s="2"/>
      <c r="J751" s="3"/>
      <c r="K751" s="2"/>
      <c r="L751" s="2"/>
      <c r="M751" s="3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</row>
    <row r="752" spans="1:32" ht="13">
      <c r="A752" s="2"/>
      <c r="B752" s="2"/>
      <c r="C752" s="2"/>
      <c r="D752" s="2"/>
      <c r="E752" s="2"/>
      <c r="F752" s="3"/>
      <c r="G752" s="2"/>
      <c r="H752" s="2"/>
      <c r="I752" s="2"/>
      <c r="J752" s="3"/>
      <c r="K752" s="2"/>
      <c r="L752" s="2"/>
      <c r="M752" s="3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</row>
    <row r="753" spans="1:32" ht="13">
      <c r="A753" s="2"/>
      <c r="B753" s="2"/>
      <c r="C753" s="2"/>
      <c r="D753" s="2"/>
      <c r="E753" s="2"/>
      <c r="F753" s="3"/>
      <c r="G753" s="2"/>
      <c r="H753" s="2"/>
      <c r="I753" s="2"/>
      <c r="J753" s="3"/>
      <c r="K753" s="2"/>
      <c r="L753" s="2"/>
      <c r="M753" s="3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</row>
    <row r="754" spans="1:32" ht="13">
      <c r="A754" s="2"/>
      <c r="B754" s="2"/>
      <c r="C754" s="2"/>
      <c r="D754" s="2"/>
      <c r="E754" s="2"/>
      <c r="F754" s="3"/>
      <c r="G754" s="2"/>
      <c r="H754" s="2"/>
      <c r="I754" s="2"/>
      <c r="J754" s="3"/>
      <c r="K754" s="2"/>
      <c r="L754" s="2"/>
      <c r="M754" s="3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</row>
    <row r="755" spans="1:32" ht="13">
      <c r="A755" s="2"/>
      <c r="B755" s="2"/>
      <c r="C755" s="2"/>
      <c r="D755" s="2"/>
      <c r="E755" s="2"/>
      <c r="F755" s="3"/>
      <c r="G755" s="2"/>
      <c r="H755" s="2"/>
      <c r="I755" s="2"/>
      <c r="J755" s="3"/>
      <c r="K755" s="2"/>
      <c r="L755" s="2"/>
      <c r="M755" s="3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</row>
    <row r="756" spans="1:32" ht="13">
      <c r="A756" s="2"/>
      <c r="B756" s="2"/>
      <c r="C756" s="2"/>
      <c r="D756" s="2"/>
      <c r="E756" s="2"/>
      <c r="F756" s="3"/>
      <c r="G756" s="2"/>
      <c r="H756" s="2"/>
      <c r="I756" s="2"/>
      <c r="J756" s="3"/>
      <c r="K756" s="2"/>
      <c r="L756" s="2"/>
      <c r="M756" s="3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</row>
    <row r="757" spans="1:32" ht="13">
      <c r="A757" s="2"/>
      <c r="B757" s="2"/>
      <c r="C757" s="2"/>
      <c r="D757" s="2"/>
      <c r="E757" s="2"/>
      <c r="F757" s="3"/>
      <c r="G757" s="2"/>
      <c r="H757" s="2"/>
      <c r="I757" s="2"/>
      <c r="J757" s="3"/>
      <c r="K757" s="2"/>
      <c r="L757" s="2"/>
      <c r="M757" s="3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</row>
    <row r="758" spans="1:32" ht="13">
      <c r="A758" s="2"/>
      <c r="B758" s="2"/>
      <c r="C758" s="2"/>
      <c r="D758" s="2"/>
      <c r="E758" s="2"/>
      <c r="F758" s="3"/>
      <c r="G758" s="2"/>
      <c r="H758" s="2"/>
      <c r="I758" s="2"/>
      <c r="J758" s="3"/>
      <c r="K758" s="2"/>
      <c r="L758" s="2"/>
      <c r="M758" s="3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</row>
    <row r="759" spans="1:32" ht="13">
      <c r="A759" s="2"/>
      <c r="B759" s="2"/>
      <c r="C759" s="2"/>
      <c r="D759" s="2"/>
      <c r="E759" s="2"/>
      <c r="F759" s="3"/>
      <c r="G759" s="2"/>
      <c r="H759" s="2"/>
      <c r="I759" s="2"/>
      <c r="J759" s="3"/>
      <c r="K759" s="2"/>
      <c r="L759" s="2"/>
      <c r="M759" s="3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</row>
    <row r="760" spans="1:32" ht="13">
      <c r="A760" s="2"/>
      <c r="B760" s="2"/>
      <c r="C760" s="2"/>
      <c r="D760" s="2"/>
      <c r="E760" s="2"/>
      <c r="F760" s="3"/>
      <c r="G760" s="2"/>
      <c r="H760" s="2"/>
      <c r="I760" s="2"/>
      <c r="J760" s="3"/>
      <c r="K760" s="2"/>
      <c r="L760" s="2"/>
      <c r="M760" s="3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</row>
    <row r="761" spans="1:32" ht="13">
      <c r="A761" s="2"/>
      <c r="B761" s="2"/>
      <c r="C761" s="2"/>
      <c r="D761" s="2"/>
      <c r="E761" s="2"/>
      <c r="F761" s="3"/>
      <c r="G761" s="2"/>
      <c r="H761" s="2"/>
      <c r="I761" s="2"/>
      <c r="J761" s="3"/>
      <c r="K761" s="2"/>
      <c r="L761" s="2"/>
      <c r="M761" s="3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</row>
    <row r="762" spans="1:32" ht="13">
      <c r="A762" s="2"/>
      <c r="B762" s="2"/>
      <c r="C762" s="2"/>
      <c r="D762" s="2"/>
      <c r="E762" s="2"/>
      <c r="F762" s="3"/>
      <c r="G762" s="2"/>
      <c r="H762" s="2"/>
      <c r="I762" s="2"/>
      <c r="J762" s="3"/>
      <c r="K762" s="2"/>
      <c r="L762" s="2"/>
      <c r="M762" s="3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</row>
    <row r="763" spans="1:32" ht="13">
      <c r="A763" s="2"/>
      <c r="B763" s="2"/>
      <c r="C763" s="2"/>
      <c r="D763" s="2"/>
      <c r="E763" s="2"/>
      <c r="F763" s="3"/>
      <c r="G763" s="2"/>
      <c r="H763" s="2"/>
      <c r="I763" s="2"/>
      <c r="J763" s="3"/>
      <c r="K763" s="2"/>
      <c r="L763" s="2"/>
      <c r="M763" s="3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</row>
    <row r="764" spans="1:32" ht="13">
      <c r="A764" s="2"/>
      <c r="B764" s="2"/>
      <c r="C764" s="2"/>
      <c r="D764" s="2"/>
      <c r="E764" s="2"/>
      <c r="F764" s="3"/>
      <c r="G764" s="2"/>
      <c r="H764" s="2"/>
      <c r="I764" s="2"/>
      <c r="J764" s="3"/>
      <c r="K764" s="2"/>
      <c r="L764" s="2"/>
      <c r="M764" s="3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</row>
    <row r="765" spans="1:32" ht="13">
      <c r="A765" s="2"/>
      <c r="B765" s="2"/>
      <c r="C765" s="2"/>
      <c r="D765" s="2"/>
      <c r="E765" s="2"/>
      <c r="F765" s="3"/>
      <c r="G765" s="2"/>
      <c r="H765" s="2"/>
      <c r="I765" s="2"/>
      <c r="J765" s="3"/>
      <c r="K765" s="2"/>
      <c r="L765" s="2"/>
      <c r="M765" s="3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</row>
    <row r="766" spans="1:32" ht="13">
      <c r="A766" s="2"/>
      <c r="B766" s="2"/>
      <c r="C766" s="2"/>
      <c r="D766" s="2"/>
      <c r="E766" s="2"/>
      <c r="F766" s="3"/>
      <c r="G766" s="2"/>
      <c r="H766" s="2"/>
      <c r="I766" s="2"/>
      <c r="J766" s="3"/>
      <c r="K766" s="2"/>
      <c r="L766" s="2"/>
      <c r="M766" s="3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</row>
    <row r="767" spans="1:32" ht="13">
      <c r="A767" s="2"/>
      <c r="B767" s="2"/>
      <c r="C767" s="2"/>
      <c r="D767" s="2"/>
      <c r="E767" s="2"/>
      <c r="F767" s="3"/>
      <c r="G767" s="2"/>
      <c r="H767" s="2"/>
      <c r="I767" s="2"/>
      <c r="J767" s="3"/>
      <c r="K767" s="2"/>
      <c r="L767" s="2"/>
      <c r="M767" s="3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</row>
    <row r="768" spans="1:32" ht="13">
      <c r="A768" s="2"/>
      <c r="B768" s="2"/>
      <c r="C768" s="2"/>
      <c r="D768" s="2"/>
      <c r="E768" s="2"/>
      <c r="F768" s="3"/>
      <c r="G768" s="2"/>
      <c r="H768" s="2"/>
      <c r="I768" s="2"/>
      <c r="J768" s="3"/>
      <c r="K768" s="2"/>
      <c r="L768" s="2"/>
      <c r="M768" s="3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</row>
    <row r="769" spans="1:32" ht="13">
      <c r="A769" s="2"/>
      <c r="B769" s="2"/>
      <c r="C769" s="2"/>
      <c r="D769" s="2"/>
      <c r="E769" s="2"/>
      <c r="F769" s="3"/>
      <c r="G769" s="2"/>
      <c r="H769" s="2"/>
      <c r="I769" s="2"/>
      <c r="J769" s="3"/>
      <c r="K769" s="2"/>
      <c r="L769" s="2"/>
      <c r="M769" s="3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</row>
    <row r="770" spans="1:32" ht="13">
      <c r="A770" s="2"/>
      <c r="B770" s="2"/>
      <c r="C770" s="2"/>
      <c r="D770" s="2"/>
      <c r="E770" s="2"/>
      <c r="F770" s="3"/>
      <c r="G770" s="2"/>
      <c r="H770" s="2"/>
      <c r="I770" s="2"/>
      <c r="J770" s="3"/>
      <c r="K770" s="2"/>
      <c r="L770" s="2"/>
      <c r="M770" s="3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</row>
    <row r="771" spans="1:32" ht="13">
      <c r="A771" s="2"/>
      <c r="B771" s="2"/>
      <c r="C771" s="2"/>
      <c r="D771" s="2"/>
      <c r="E771" s="2"/>
      <c r="F771" s="3"/>
      <c r="G771" s="2"/>
      <c r="H771" s="2"/>
      <c r="I771" s="2"/>
      <c r="J771" s="3"/>
      <c r="K771" s="2"/>
      <c r="L771" s="2"/>
      <c r="M771" s="3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</row>
    <row r="772" spans="1:32" ht="13">
      <c r="A772" s="2"/>
      <c r="B772" s="2"/>
      <c r="C772" s="2"/>
      <c r="D772" s="2"/>
      <c r="E772" s="2"/>
      <c r="F772" s="3"/>
      <c r="G772" s="2"/>
      <c r="H772" s="2"/>
      <c r="I772" s="2"/>
      <c r="J772" s="3"/>
      <c r="K772" s="2"/>
      <c r="L772" s="2"/>
      <c r="M772" s="3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</row>
    <row r="773" spans="1:32" ht="13">
      <c r="A773" s="2"/>
      <c r="B773" s="2"/>
      <c r="C773" s="2"/>
      <c r="D773" s="2"/>
      <c r="E773" s="2"/>
      <c r="F773" s="3"/>
      <c r="G773" s="2"/>
      <c r="H773" s="2"/>
      <c r="I773" s="2"/>
      <c r="J773" s="3"/>
      <c r="K773" s="2"/>
      <c r="L773" s="2"/>
      <c r="M773" s="3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</row>
    <row r="774" spans="1:32" ht="13">
      <c r="A774" s="2"/>
      <c r="B774" s="2"/>
      <c r="C774" s="2"/>
      <c r="D774" s="2"/>
      <c r="E774" s="2"/>
      <c r="F774" s="3"/>
      <c r="G774" s="2"/>
      <c r="H774" s="2"/>
      <c r="I774" s="2"/>
      <c r="J774" s="3"/>
      <c r="K774" s="2"/>
      <c r="L774" s="2"/>
      <c r="M774" s="3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</row>
    <row r="775" spans="1:32" ht="13">
      <c r="A775" s="2"/>
      <c r="B775" s="2"/>
      <c r="C775" s="2"/>
      <c r="D775" s="2"/>
      <c r="E775" s="2"/>
      <c r="F775" s="3"/>
      <c r="G775" s="2"/>
      <c r="H775" s="2"/>
      <c r="I775" s="2"/>
      <c r="J775" s="3"/>
      <c r="K775" s="2"/>
      <c r="L775" s="2"/>
      <c r="M775" s="3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</row>
    <row r="776" spans="1:32" ht="13">
      <c r="A776" s="2"/>
      <c r="B776" s="2"/>
      <c r="C776" s="2"/>
      <c r="D776" s="2"/>
      <c r="E776" s="2"/>
      <c r="F776" s="3"/>
      <c r="G776" s="2"/>
      <c r="H776" s="2"/>
      <c r="I776" s="2"/>
      <c r="J776" s="3"/>
      <c r="K776" s="2"/>
      <c r="L776" s="2"/>
      <c r="M776" s="3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</row>
    <row r="777" spans="1:32" ht="13">
      <c r="A777" s="2"/>
      <c r="B777" s="2"/>
      <c r="C777" s="2"/>
      <c r="D777" s="2"/>
      <c r="E777" s="2"/>
      <c r="F777" s="3"/>
      <c r="G777" s="2"/>
      <c r="H777" s="2"/>
      <c r="I777" s="2"/>
      <c r="J777" s="3"/>
      <c r="K777" s="2"/>
      <c r="L777" s="2"/>
      <c r="M777" s="3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</row>
    <row r="778" spans="1:32" ht="13">
      <c r="A778" s="2"/>
      <c r="B778" s="2"/>
      <c r="C778" s="2"/>
      <c r="D778" s="2"/>
      <c r="E778" s="2"/>
      <c r="F778" s="3"/>
      <c r="G778" s="2"/>
      <c r="H778" s="2"/>
      <c r="I778" s="2"/>
      <c r="J778" s="3"/>
      <c r="K778" s="2"/>
      <c r="L778" s="2"/>
      <c r="M778" s="3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</row>
    <row r="779" spans="1:32" ht="13">
      <c r="A779" s="2"/>
      <c r="B779" s="2"/>
      <c r="C779" s="2"/>
      <c r="D779" s="2"/>
      <c r="E779" s="2"/>
      <c r="F779" s="3"/>
      <c r="G779" s="2"/>
      <c r="H779" s="2"/>
      <c r="I779" s="2"/>
      <c r="J779" s="3"/>
      <c r="K779" s="2"/>
      <c r="L779" s="2"/>
      <c r="M779" s="3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</row>
    <row r="780" spans="1:32" ht="13">
      <c r="A780" s="2"/>
      <c r="B780" s="2"/>
      <c r="C780" s="2"/>
      <c r="D780" s="2"/>
      <c r="E780" s="2"/>
      <c r="F780" s="3"/>
      <c r="G780" s="2"/>
      <c r="H780" s="2"/>
      <c r="I780" s="2"/>
      <c r="J780" s="3"/>
      <c r="K780" s="2"/>
      <c r="L780" s="2"/>
      <c r="M780" s="3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</row>
    <row r="781" spans="1:32" ht="13">
      <c r="A781" s="2"/>
      <c r="B781" s="2"/>
      <c r="C781" s="2"/>
      <c r="D781" s="2"/>
      <c r="E781" s="2"/>
      <c r="F781" s="3"/>
      <c r="G781" s="2"/>
      <c r="H781" s="2"/>
      <c r="I781" s="2"/>
      <c r="J781" s="3"/>
      <c r="K781" s="2"/>
      <c r="L781" s="2"/>
      <c r="M781" s="3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</row>
    <row r="782" spans="1:32" ht="13">
      <c r="A782" s="2"/>
      <c r="B782" s="2"/>
      <c r="C782" s="2"/>
      <c r="D782" s="2"/>
      <c r="E782" s="2"/>
      <c r="F782" s="3"/>
      <c r="G782" s="2"/>
      <c r="H782" s="2"/>
      <c r="I782" s="2"/>
      <c r="J782" s="3"/>
      <c r="K782" s="2"/>
      <c r="L782" s="2"/>
      <c r="M782" s="3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</row>
    <row r="783" spans="1:32" ht="13">
      <c r="A783" s="2"/>
      <c r="B783" s="2"/>
      <c r="C783" s="2"/>
      <c r="D783" s="2"/>
      <c r="E783" s="2"/>
      <c r="F783" s="3"/>
      <c r="G783" s="2"/>
      <c r="H783" s="2"/>
      <c r="I783" s="2"/>
      <c r="J783" s="3"/>
      <c r="K783" s="2"/>
      <c r="L783" s="2"/>
      <c r="M783" s="3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</row>
    <row r="784" spans="1:32" ht="13">
      <c r="A784" s="2"/>
      <c r="B784" s="2"/>
      <c r="C784" s="2"/>
      <c r="D784" s="2"/>
      <c r="E784" s="2"/>
      <c r="F784" s="3"/>
      <c r="G784" s="2"/>
      <c r="H784" s="2"/>
      <c r="I784" s="2"/>
      <c r="J784" s="3"/>
      <c r="K784" s="2"/>
      <c r="L784" s="2"/>
      <c r="M784" s="3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</row>
    <row r="785" spans="1:32" ht="13">
      <c r="A785" s="2"/>
      <c r="B785" s="2"/>
      <c r="C785" s="2"/>
      <c r="D785" s="2"/>
      <c r="E785" s="2"/>
      <c r="F785" s="3"/>
      <c r="G785" s="2"/>
      <c r="H785" s="2"/>
      <c r="I785" s="2"/>
      <c r="J785" s="3"/>
      <c r="K785" s="2"/>
      <c r="L785" s="2"/>
      <c r="M785" s="3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</row>
    <row r="786" spans="1:32" ht="13">
      <c r="A786" s="2"/>
      <c r="B786" s="2"/>
      <c r="C786" s="2"/>
      <c r="D786" s="2"/>
      <c r="E786" s="2"/>
      <c r="F786" s="3"/>
      <c r="G786" s="2"/>
      <c r="H786" s="2"/>
      <c r="I786" s="2"/>
      <c r="J786" s="3"/>
      <c r="K786" s="2"/>
      <c r="L786" s="2"/>
      <c r="M786" s="3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</row>
    <row r="787" spans="1:32" ht="13">
      <c r="A787" s="2"/>
      <c r="B787" s="2"/>
      <c r="C787" s="2"/>
      <c r="D787" s="2"/>
      <c r="E787" s="2"/>
      <c r="F787" s="3"/>
      <c r="G787" s="2"/>
      <c r="H787" s="2"/>
      <c r="I787" s="2"/>
      <c r="J787" s="3"/>
      <c r="K787" s="2"/>
      <c r="L787" s="2"/>
      <c r="M787" s="3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</row>
    <row r="788" spans="1:32" ht="13">
      <c r="A788" s="2"/>
      <c r="B788" s="2"/>
      <c r="C788" s="2"/>
      <c r="D788" s="2"/>
      <c r="E788" s="2"/>
      <c r="F788" s="3"/>
      <c r="G788" s="2"/>
      <c r="H788" s="2"/>
      <c r="I788" s="2"/>
      <c r="J788" s="3"/>
      <c r="K788" s="2"/>
      <c r="L788" s="2"/>
      <c r="M788" s="3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</row>
    <row r="789" spans="1:32" ht="13">
      <c r="A789" s="2"/>
      <c r="B789" s="2"/>
      <c r="C789" s="2"/>
      <c r="D789" s="2"/>
      <c r="E789" s="2"/>
      <c r="F789" s="3"/>
      <c r="G789" s="2"/>
      <c r="H789" s="2"/>
      <c r="I789" s="2"/>
      <c r="J789" s="3"/>
      <c r="K789" s="2"/>
      <c r="L789" s="2"/>
      <c r="M789" s="3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</row>
    <row r="790" spans="1:32" ht="13">
      <c r="A790" s="2"/>
      <c r="B790" s="2"/>
      <c r="C790" s="2"/>
      <c r="D790" s="2"/>
      <c r="E790" s="2"/>
      <c r="F790" s="3"/>
      <c r="G790" s="2"/>
      <c r="H790" s="2"/>
      <c r="I790" s="2"/>
      <c r="J790" s="3"/>
      <c r="K790" s="2"/>
      <c r="L790" s="2"/>
      <c r="M790" s="3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</row>
    <row r="791" spans="1:32" ht="13">
      <c r="A791" s="2"/>
      <c r="B791" s="2"/>
      <c r="C791" s="2"/>
      <c r="D791" s="2"/>
      <c r="E791" s="2"/>
      <c r="F791" s="3"/>
      <c r="G791" s="2"/>
      <c r="H791" s="2"/>
      <c r="I791" s="2"/>
      <c r="J791" s="3"/>
      <c r="K791" s="2"/>
      <c r="L791" s="2"/>
      <c r="M791" s="3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</row>
    <row r="792" spans="1:32" ht="13">
      <c r="A792" s="2"/>
      <c r="B792" s="2"/>
      <c r="C792" s="2"/>
      <c r="D792" s="2"/>
      <c r="E792" s="2"/>
      <c r="F792" s="3"/>
      <c r="G792" s="2"/>
      <c r="H792" s="2"/>
      <c r="I792" s="2"/>
      <c r="J792" s="3"/>
      <c r="K792" s="2"/>
      <c r="L792" s="2"/>
      <c r="M792" s="3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</row>
    <row r="793" spans="1:32" ht="13">
      <c r="A793" s="2"/>
      <c r="B793" s="2"/>
      <c r="C793" s="2"/>
      <c r="D793" s="2"/>
      <c r="E793" s="2"/>
      <c r="F793" s="3"/>
      <c r="G793" s="2"/>
      <c r="H793" s="2"/>
      <c r="I793" s="2"/>
      <c r="J793" s="3"/>
      <c r="K793" s="2"/>
      <c r="L793" s="2"/>
      <c r="M793" s="3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</row>
    <row r="794" spans="1:32" ht="13">
      <c r="A794" s="2"/>
      <c r="B794" s="2"/>
      <c r="C794" s="2"/>
      <c r="D794" s="2"/>
      <c r="E794" s="2"/>
      <c r="F794" s="3"/>
      <c r="G794" s="2"/>
      <c r="H794" s="2"/>
      <c r="I794" s="2"/>
      <c r="J794" s="3"/>
      <c r="K794" s="2"/>
      <c r="L794" s="2"/>
      <c r="M794" s="3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</row>
    <row r="795" spans="1:32" ht="13">
      <c r="A795" s="2"/>
      <c r="B795" s="2"/>
      <c r="C795" s="2"/>
      <c r="D795" s="2"/>
      <c r="E795" s="2"/>
      <c r="F795" s="3"/>
      <c r="G795" s="2"/>
      <c r="H795" s="2"/>
      <c r="I795" s="2"/>
      <c r="J795" s="3"/>
      <c r="K795" s="2"/>
      <c r="L795" s="2"/>
      <c r="M795" s="3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</row>
    <row r="796" spans="1:32" ht="13">
      <c r="A796" s="2"/>
      <c r="B796" s="2"/>
      <c r="C796" s="2"/>
      <c r="D796" s="2"/>
      <c r="E796" s="2"/>
      <c r="F796" s="3"/>
      <c r="G796" s="2"/>
      <c r="H796" s="2"/>
      <c r="I796" s="2"/>
      <c r="J796" s="3"/>
      <c r="K796" s="2"/>
      <c r="L796" s="2"/>
      <c r="M796" s="3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</row>
    <row r="797" spans="1:32" ht="13">
      <c r="A797" s="2"/>
      <c r="B797" s="2"/>
      <c r="C797" s="2"/>
      <c r="D797" s="2"/>
      <c r="E797" s="2"/>
      <c r="F797" s="3"/>
      <c r="G797" s="2"/>
      <c r="H797" s="2"/>
      <c r="I797" s="2"/>
      <c r="J797" s="3"/>
      <c r="K797" s="2"/>
      <c r="L797" s="2"/>
      <c r="M797" s="3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</row>
    <row r="798" spans="1:32" ht="13">
      <c r="A798" s="2"/>
      <c r="B798" s="2"/>
      <c r="C798" s="2"/>
      <c r="D798" s="2"/>
      <c r="E798" s="2"/>
      <c r="F798" s="3"/>
      <c r="G798" s="2"/>
      <c r="H798" s="2"/>
      <c r="I798" s="2"/>
      <c r="J798" s="3"/>
      <c r="K798" s="2"/>
      <c r="L798" s="2"/>
      <c r="M798" s="3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</row>
    <row r="799" spans="1:32" ht="13">
      <c r="A799" s="2"/>
      <c r="B799" s="2"/>
      <c r="C799" s="2"/>
      <c r="D799" s="2"/>
      <c r="E799" s="2"/>
      <c r="F799" s="3"/>
      <c r="G799" s="2"/>
      <c r="H799" s="2"/>
      <c r="I799" s="2"/>
      <c r="J799" s="3"/>
      <c r="K799" s="2"/>
      <c r="L799" s="2"/>
      <c r="M799" s="3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</row>
    <row r="800" spans="1:32" ht="13">
      <c r="A800" s="2"/>
      <c r="B800" s="2"/>
      <c r="C800" s="2"/>
      <c r="D800" s="2"/>
      <c r="E800" s="2"/>
      <c r="F800" s="3"/>
      <c r="G800" s="2"/>
      <c r="H800" s="2"/>
      <c r="I800" s="2"/>
      <c r="J800" s="3"/>
      <c r="K800" s="2"/>
      <c r="L800" s="2"/>
      <c r="M800" s="3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</row>
    <row r="801" spans="1:32" ht="13">
      <c r="A801" s="2"/>
      <c r="B801" s="2"/>
      <c r="C801" s="2"/>
      <c r="D801" s="2"/>
      <c r="E801" s="2"/>
      <c r="F801" s="3"/>
      <c r="G801" s="2"/>
      <c r="H801" s="2"/>
      <c r="I801" s="2"/>
      <c r="J801" s="3"/>
      <c r="K801" s="2"/>
      <c r="L801" s="2"/>
      <c r="M801" s="3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</row>
    <row r="802" spans="1:32" ht="13">
      <c r="A802" s="2"/>
      <c r="B802" s="2"/>
      <c r="C802" s="2"/>
      <c r="D802" s="2"/>
      <c r="E802" s="2"/>
      <c r="F802" s="3"/>
      <c r="G802" s="2"/>
      <c r="H802" s="2"/>
      <c r="I802" s="2"/>
      <c r="J802" s="3"/>
      <c r="K802" s="2"/>
      <c r="L802" s="2"/>
      <c r="M802" s="3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</row>
    <row r="803" spans="1:32" ht="13">
      <c r="A803" s="2"/>
      <c r="B803" s="2"/>
      <c r="C803" s="2"/>
      <c r="D803" s="2"/>
      <c r="E803" s="2"/>
      <c r="F803" s="3"/>
      <c r="G803" s="2"/>
      <c r="H803" s="2"/>
      <c r="I803" s="2"/>
      <c r="J803" s="3"/>
      <c r="K803" s="2"/>
      <c r="L803" s="2"/>
      <c r="M803" s="3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</row>
    <row r="804" spans="1:32" ht="13">
      <c r="A804" s="2"/>
      <c r="B804" s="2"/>
      <c r="C804" s="2"/>
      <c r="D804" s="2"/>
      <c r="E804" s="2"/>
      <c r="F804" s="3"/>
      <c r="G804" s="2"/>
      <c r="H804" s="2"/>
      <c r="I804" s="2"/>
      <c r="J804" s="3"/>
      <c r="K804" s="2"/>
      <c r="L804" s="2"/>
      <c r="M804" s="3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</row>
    <row r="805" spans="1:32" ht="13">
      <c r="A805" s="2"/>
      <c r="B805" s="2"/>
      <c r="C805" s="2"/>
      <c r="D805" s="2"/>
      <c r="E805" s="2"/>
      <c r="F805" s="3"/>
      <c r="G805" s="2"/>
      <c r="H805" s="2"/>
      <c r="I805" s="2"/>
      <c r="J805" s="3"/>
      <c r="K805" s="2"/>
      <c r="L805" s="2"/>
      <c r="M805" s="3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</row>
    <row r="806" spans="1:32" ht="13">
      <c r="A806" s="2"/>
      <c r="B806" s="2"/>
      <c r="C806" s="2"/>
      <c r="D806" s="2"/>
      <c r="E806" s="2"/>
      <c r="F806" s="3"/>
      <c r="G806" s="2"/>
      <c r="H806" s="2"/>
      <c r="I806" s="2"/>
      <c r="J806" s="3"/>
      <c r="K806" s="2"/>
      <c r="L806" s="2"/>
      <c r="M806" s="3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</row>
    <row r="807" spans="1:32" ht="13">
      <c r="A807" s="2"/>
      <c r="B807" s="2"/>
      <c r="C807" s="2"/>
      <c r="D807" s="2"/>
      <c r="E807" s="2"/>
      <c r="F807" s="3"/>
      <c r="G807" s="2"/>
      <c r="H807" s="2"/>
      <c r="I807" s="2"/>
      <c r="J807" s="3"/>
      <c r="K807" s="2"/>
      <c r="L807" s="2"/>
      <c r="M807" s="3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</row>
    <row r="808" spans="1:32" ht="13">
      <c r="A808" s="2"/>
      <c r="B808" s="2"/>
      <c r="C808" s="2"/>
      <c r="D808" s="2"/>
      <c r="E808" s="2"/>
      <c r="F808" s="3"/>
      <c r="G808" s="2"/>
      <c r="H808" s="2"/>
      <c r="I808" s="2"/>
      <c r="J808" s="3"/>
      <c r="K808" s="2"/>
      <c r="L808" s="2"/>
      <c r="M808" s="3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</row>
    <row r="809" spans="1:32" ht="13">
      <c r="A809" s="2"/>
      <c r="B809" s="2"/>
      <c r="C809" s="2"/>
      <c r="D809" s="2"/>
      <c r="E809" s="2"/>
      <c r="F809" s="3"/>
      <c r="G809" s="2"/>
      <c r="H809" s="2"/>
      <c r="I809" s="2"/>
      <c r="J809" s="3"/>
      <c r="K809" s="2"/>
      <c r="L809" s="2"/>
      <c r="M809" s="3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</row>
    <row r="810" spans="1:32" ht="13">
      <c r="A810" s="2"/>
      <c r="B810" s="2"/>
      <c r="C810" s="2"/>
      <c r="D810" s="2"/>
      <c r="E810" s="2"/>
      <c r="F810" s="3"/>
      <c r="G810" s="2"/>
      <c r="H810" s="2"/>
      <c r="I810" s="2"/>
      <c r="J810" s="3"/>
      <c r="K810" s="2"/>
      <c r="L810" s="2"/>
      <c r="M810" s="3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</row>
    <row r="811" spans="1:32" ht="13">
      <c r="A811" s="2"/>
      <c r="B811" s="2"/>
      <c r="C811" s="2"/>
      <c r="D811" s="2"/>
      <c r="E811" s="2"/>
      <c r="F811" s="3"/>
      <c r="G811" s="2"/>
      <c r="H811" s="2"/>
      <c r="I811" s="2"/>
      <c r="J811" s="3"/>
      <c r="K811" s="2"/>
      <c r="L811" s="2"/>
      <c r="M811" s="3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</row>
    <row r="812" spans="1:32" ht="13">
      <c r="A812" s="2"/>
      <c r="B812" s="2"/>
      <c r="C812" s="2"/>
      <c r="D812" s="2"/>
      <c r="E812" s="2"/>
      <c r="F812" s="3"/>
      <c r="G812" s="2"/>
      <c r="H812" s="2"/>
      <c r="I812" s="2"/>
      <c r="J812" s="3"/>
      <c r="K812" s="2"/>
      <c r="L812" s="2"/>
      <c r="M812" s="3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</row>
    <row r="813" spans="1:32" ht="13">
      <c r="A813" s="2"/>
      <c r="B813" s="2"/>
      <c r="C813" s="2"/>
      <c r="D813" s="2"/>
      <c r="E813" s="2"/>
      <c r="F813" s="3"/>
      <c r="G813" s="2"/>
      <c r="H813" s="2"/>
      <c r="I813" s="2"/>
      <c r="J813" s="3"/>
      <c r="K813" s="2"/>
      <c r="L813" s="2"/>
      <c r="M813" s="3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</row>
    <row r="814" spans="1:32" ht="13">
      <c r="A814" s="2"/>
      <c r="B814" s="2"/>
      <c r="C814" s="2"/>
      <c r="D814" s="2"/>
      <c r="E814" s="2"/>
      <c r="F814" s="3"/>
      <c r="G814" s="2"/>
      <c r="H814" s="2"/>
      <c r="I814" s="2"/>
      <c r="J814" s="3"/>
      <c r="K814" s="2"/>
      <c r="L814" s="2"/>
      <c r="M814" s="3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</row>
    <row r="815" spans="1:32" ht="13">
      <c r="A815" s="2"/>
      <c r="B815" s="2"/>
      <c r="C815" s="2"/>
      <c r="D815" s="2"/>
      <c r="E815" s="2"/>
      <c r="F815" s="3"/>
      <c r="G815" s="2"/>
      <c r="H815" s="2"/>
      <c r="I815" s="2"/>
      <c r="J815" s="3"/>
      <c r="K815" s="2"/>
      <c r="L815" s="2"/>
      <c r="M815" s="3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</row>
    <row r="816" spans="1:32" ht="13">
      <c r="A816" s="2"/>
      <c r="B816" s="2"/>
      <c r="C816" s="2"/>
      <c r="D816" s="2"/>
      <c r="E816" s="2"/>
      <c r="F816" s="3"/>
      <c r="G816" s="2"/>
      <c r="H816" s="2"/>
      <c r="I816" s="2"/>
      <c r="J816" s="3"/>
      <c r="K816" s="2"/>
      <c r="L816" s="2"/>
      <c r="M816" s="3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</row>
    <row r="817" spans="1:32" ht="13">
      <c r="A817" s="2"/>
      <c r="B817" s="2"/>
      <c r="C817" s="2"/>
      <c r="D817" s="2"/>
      <c r="E817" s="2"/>
      <c r="F817" s="3"/>
      <c r="G817" s="2"/>
      <c r="H817" s="2"/>
      <c r="I817" s="2"/>
      <c r="J817" s="3"/>
      <c r="K817" s="2"/>
      <c r="L817" s="2"/>
      <c r="M817" s="3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</row>
    <row r="818" spans="1:32" ht="13">
      <c r="A818" s="2"/>
      <c r="B818" s="2"/>
      <c r="C818" s="2"/>
      <c r="D818" s="2"/>
      <c r="E818" s="2"/>
      <c r="F818" s="3"/>
      <c r="G818" s="2"/>
      <c r="H818" s="2"/>
      <c r="I818" s="2"/>
      <c r="J818" s="3"/>
      <c r="K818" s="2"/>
      <c r="L818" s="2"/>
      <c r="M818" s="3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</row>
    <row r="819" spans="1:32" ht="13">
      <c r="A819" s="2"/>
      <c r="B819" s="2"/>
      <c r="C819" s="2"/>
      <c r="D819" s="2"/>
      <c r="E819" s="2"/>
      <c r="F819" s="3"/>
      <c r="G819" s="2"/>
      <c r="H819" s="2"/>
      <c r="I819" s="2"/>
      <c r="J819" s="3"/>
      <c r="K819" s="2"/>
      <c r="L819" s="2"/>
      <c r="M819" s="3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</row>
    <row r="820" spans="1:32" ht="13">
      <c r="A820" s="2"/>
      <c r="B820" s="2"/>
      <c r="C820" s="2"/>
      <c r="D820" s="2"/>
      <c r="E820" s="2"/>
      <c r="F820" s="3"/>
      <c r="G820" s="2"/>
      <c r="H820" s="2"/>
      <c r="I820" s="2"/>
      <c r="J820" s="3"/>
      <c r="K820" s="2"/>
      <c r="L820" s="2"/>
      <c r="M820" s="3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</row>
    <row r="821" spans="1:32" ht="13">
      <c r="A821" s="2"/>
      <c r="B821" s="2"/>
      <c r="C821" s="2"/>
      <c r="D821" s="2"/>
      <c r="E821" s="2"/>
      <c r="F821" s="3"/>
      <c r="G821" s="2"/>
      <c r="H821" s="2"/>
      <c r="I821" s="2"/>
      <c r="J821" s="3"/>
      <c r="K821" s="2"/>
      <c r="L821" s="2"/>
      <c r="M821" s="3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</row>
    <row r="822" spans="1:32" ht="13">
      <c r="A822" s="2"/>
      <c r="B822" s="2"/>
      <c r="C822" s="2"/>
      <c r="D822" s="2"/>
      <c r="E822" s="2"/>
      <c r="F822" s="3"/>
      <c r="G822" s="2"/>
      <c r="H822" s="2"/>
      <c r="I822" s="2"/>
      <c r="J822" s="3"/>
      <c r="K822" s="2"/>
      <c r="L822" s="2"/>
      <c r="M822" s="3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</row>
    <row r="823" spans="1:32" ht="13">
      <c r="A823" s="2"/>
      <c r="B823" s="2"/>
      <c r="C823" s="2"/>
      <c r="D823" s="2"/>
      <c r="E823" s="2"/>
      <c r="F823" s="3"/>
      <c r="G823" s="2"/>
      <c r="H823" s="2"/>
      <c r="I823" s="2"/>
      <c r="J823" s="3"/>
      <c r="K823" s="2"/>
      <c r="L823" s="2"/>
      <c r="M823" s="3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</row>
    <row r="824" spans="1:32" ht="13">
      <c r="A824" s="2"/>
      <c r="B824" s="2"/>
      <c r="C824" s="2"/>
      <c r="D824" s="2"/>
      <c r="E824" s="2"/>
      <c r="F824" s="3"/>
      <c r="G824" s="2"/>
      <c r="H824" s="2"/>
      <c r="I824" s="2"/>
      <c r="J824" s="3"/>
      <c r="K824" s="2"/>
      <c r="L824" s="2"/>
      <c r="M824" s="3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</row>
    <row r="825" spans="1:32" ht="13">
      <c r="A825" s="2"/>
      <c r="B825" s="2"/>
      <c r="C825" s="2"/>
      <c r="D825" s="2"/>
      <c r="E825" s="2"/>
      <c r="F825" s="3"/>
      <c r="G825" s="2"/>
      <c r="H825" s="2"/>
      <c r="I825" s="2"/>
      <c r="J825" s="3"/>
      <c r="K825" s="2"/>
      <c r="L825" s="2"/>
      <c r="M825" s="3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</row>
    <row r="826" spans="1:32" ht="13">
      <c r="A826" s="2"/>
      <c r="B826" s="2"/>
      <c r="C826" s="2"/>
      <c r="D826" s="2"/>
      <c r="E826" s="2"/>
      <c r="F826" s="3"/>
      <c r="G826" s="2"/>
      <c r="H826" s="2"/>
      <c r="I826" s="2"/>
      <c r="J826" s="3"/>
      <c r="K826" s="2"/>
      <c r="L826" s="2"/>
      <c r="M826" s="3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</row>
    <row r="827" spans="1:32" ht="13">
      <c r="A827" s="2"/>
      <c r="B827" s="2"/>
      <c r="C827" s="2"/>
      <c r="D827" s="2"/>
      <c r="E827" s="2"/>
      <c r="F827" s="3"/>
      <c r="G827" s="2"/>
      <c r="H827" s="2"/>
      <c r="I827" s="2"/>
      <c r="J827" s="3"/>
      <c r="K827" s="2"/>
      <c r="L827" s="2"/>
      <c r="M827" s="3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</row>
    <row r="828" spans="1:32" ht="13">
      <c r="A828" s="2"/>
      <c r="B828" s="2"/>
      <c r="C828" s="2"/>
      <c r="D828" s="2"/>
      <c r="E828" s="2"/>
      <c r="F828" s="3"/>
      <c r="G828" s="2"/>
      <c r="H828" s="2"/>
      <c r="I828" s="2"/>
      <c r="J828" s="3"/>
      <c r="K828" s="2"/>
      <c r="L828" s="2"/>
      <c r="M828" s="3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</row>
    <row r="829" spans="1:32" ht="13">
      <c r="A829" s="2"/>
      <c r="B829" s="2"/>
      <c r="C829" s="2"/>
      <c r="D829" s="2"/>
      <c r="E829" s="2"/>
      <c r="F829" s="3"/>
      <c r="G829" s="2"/>
      <c r="H829" s="2"/>
      <c r="I829" s="2"/>
      <c r="J829" s="3"/>
      <c r="K829" s="2"/>
      <c r="L829" s="2"/>
      <c r="M829" s="3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</row>
    <row r="830" spans="1:32" ht="13">
      <c r="A830" s="2"/>
      <c r="B830" s="2"/>
      <c r="C830" s="2"/>
      <c r="D830" s="2"/>
      <c r="E830" s="2"/>
      <c r="F830" s="3"/>
      <c r="G830" s="2"/>
      <c r="H830" s="2"/>
      <c r="I830" s="2"/>
      <c r="J830" s="3"/>
      <c r="K830" s="2"/>
      <c r="L830" s="2"/>
      <c r="M830" s="3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</row>
    <row r="831" spans="1:32" ht="13">
      <c r="A831" s="2"/>
      <c r="B831" s="2"/>
      <c r="C831" s="2"/>
      <c r="D831" s="2"/>
      <c r="E831" s="2"/>
      <c r="F831" s="3"/>
      <c r="G831" s="2"/>
      <c r="H831" s="2"/>
      <c r="I831" s="2"/>
      <c r="J831" s="3"/>
      <c r="K831" s="2"/>
      <c r="L831" s="2"/>
      <c r="M831" s="3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</row>
    <row r="832" spans="1:32" ht="13">
      <c r="A832" s="2"/>
      <c r="B832" s="2"/>
      <c r="C832" s="2"/>
      <c r="D832" s="2"/>
      <c r="E832" s="2"/>
      <c r="F832" s="3"/>
      <c r="G832" s="2"/>
      <c r="H832" s="2"/>
      <c r="I832" s="2"/>
      <c r="J832" s="3"/>
      <c r="K832" s="2"/>
      <c r="L832" s="2"/>
      <c r="M832" s="3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</row>
    <row r="833" spans="1:32" ht="13">
      <c r="A833" s="2"/>
      <c r="B833" s="2"/>
      <c r="C833" s="2"/>
      <c r="D833" s="2"/>
      <c r="E833" s="2"/>
      <c r="F833" s="3"/>
      <c r="G833" s="2"/>
      <c r="H833" s="2"/>
      <c r="I833" s="2"/>
      <c r="J833" s="3"/>
      <c r="K833" s="2"/>
      <c r="L833" s="2"/>
      <c r="M833" s="3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</row>
    <row r="834" spans="1:32" ht="13">
      <c r="A834" s="2"/>
      <c r="B834" s="2"/>
      <c r="C834" s="2"/>
      <c r="D834" s="2"/>
      <c r="E834" s="2"/>
      <c r="F834" s="3"/>
      <c r="G834" s="2"/>
      <c r="H834" s="2"/>
      <c r="I834" s="2"/>
      <c r="J834" s="3"/>
      <c r="K834" s="2"/>
      <c r="L834" s="2"/>
      <c r="M834" s="3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</row>
    <row r="835" spans="1:32" ht="13">
      <c r="A835" s="2"/>
      <c r="B835" s="2"/>
      <c r="C835" s="2"/>
      <c r="D835" s="2"/>
      <c r="E835" s="2"/>
      <c r="F835" s="3"/>
      <c r="G835" s="2"/>
      <c r="H835" s="2"/>
      <c r="I835" s="2"/>
      <c r="J835" s="3"/>
      <c r="K835" s="2"/>
      <c r="L835" s="2"/>
      <c r="M835" s="3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</row>
    <row r="836" spans="1:32" ht="13">
      <c r="A836" s="2"/>
      <c r="B836" s="2"/>
      <c r="C836" s="2"/>
      <c r="D836" s="2"/>
      <c r="E836" s="2"/>
      <c r="F836" s="3"/>
      <c r="G836" s="2"/>
      <c r="H836" s="2"/>
      <c r="I836" s="2"/>
      <c r="J836" s="3"/>
      <c r="K836" s="2"/>
      <c r="L836" s="2"/>
      <c r="M836" s="3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</row>
    <row r="837" spans="1:32" ht="13">
      <c r="A837" s="2"/>
      <c r="B837" s="2"/>
      <c r="C837" s="2"/>
      <c r="D837" s="2"/>
      <c r="E837" s="2"/>
      <c r="F837" s="3"/>
      <c r="G837" s="2"/>
      <c r="H837" s="2"/>
      <c r="I837" s="2"/>
      <c r="J837" s="3"/>
      <c r="K837" s="2"/>
      <c r="L837" s="2"/>
      <c r="M837" s="3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</row>
    <row r="838" spans="1:32" ht="13">
      <c r="A838" s="2"/>
      <c r="B838" s="2"/>
      <c r="C838" s="2"/>
      <c r="D838" s="2"/>
      <c r="E838" s="2"/>
      <c r="F838" s="3"/>
      <c r="G838" s="2"/>
      <c r="H838" s="2"/>
      <c r="I838" s="2"/>
      <c r="J838" s="3"/>
      <c r="K838" s="2"/>
      <c r="L838" s="2"/>
      <c r="M838" s="3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</row>
    <row r="839" spans="1:32" ht="13">
      <c r="A839" s="2"/>
      <c r="B839" s="2"/>
      <c r="C839" s="2"/>
      <c r="D839" s="2"/>
      <c r="E839" s="2"/>
      <c r="F839" s="3"/>
      <c r="G839" s="2"/>
      <c r="H839" s="2"/>
      <c r="I839" s="2"/>
      <c r="J839" s="3"/>
      <c r="K839" s="2"/>
      <c r="L839" s="2"/>
      <c r="M839" s="3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</row>
    <row r="840" spans="1:32" ht="13">
      <c r="A840" s="2"/>
      <c r="B840" s="2"/>
      <c r="C840" s="2"/>
      <c r="D840" s="2"/>
      <c r="E840" s="2"/>
      <c r="F840" s="3"/>
      <c r="G840" s="2"/>
      <c r="H840" s="2"/>
      <c r="I840" s="2"/>
      <c r="J840" s="3"/>
      <c r="K840" s="2"/>
      <c r="L840" s="2"/>
      <c r="M840" s="3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</row>
    <row r="841" spans="1:32" ht="13">
      <c r="A841" s="2"/>
      <c r="B841" s="2"/>
      <c r="C841" s="2"/>
      <c r="D841" s="2"/>
      <c r="E841" s="2"/>
      <c r="F841" s="3"/>
      <c r="G841" s="2"/>
      <c r="H841" s="2"/>
      <c r="I841" s="2"/>
      <c r="J841" s="3"/>
      <c r="K841" s="2"/>
      <c r="L841" s="2"/>
      <c r="M841" s="3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</row>
    <row r="842" spans="1:32" ht="13">
      <c r="A842" s="2"/>
      <c r="B842" s="2"/>
      <c r="C842" s="2"/>
      <c r="D842" s="2"/>
      <c r="E842" s="2"/>
      <c r="F842" s="3"/>
      <c r="G842" s="2"/>
      <c r="H842" s="2"/>
      <c r="I842" s="2"/>
      <c r="J842" s="3"/>
      <c r="K842" s="2"/>
      <c r="L842" s="2"/>
      <c r="M842" s="3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</row>
    <row r="843" spans="1:32" ht="13">
      <c r="A843" s="2"/>
      <c r="B843" s="2"/>
      <c r="C843" s="2"/>
      <c r="D843" s="2"/>
      <c r="E843" s="2"/>
      <c r="F843" s="3"/>
      <c r="G843" s="2"/>
      <c r="H843" s="2"/>
      <c r="I843" s="2"/>
      <c r="J843" s="3"/>
      <c r="K843" s="2"/>
      <c r="L843" s="2"/>
      <c r="M843" s="3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</row>
    <row r="844" spans="1:32" ht="13">
      <c r="A844" s="2"/>
      <c r="B844" s="2"/>
      <c r="C844" s="2"/>
      <c r="D844" s="2"/>
      <c r="E844" s="2"/>
      <c r="F844" s="3"/>
      <c r="G844" s="2"/>
      <c r="H844" s="2"/>
      <c r="I844" s="2"/>
      <c r="J844" s="3"/>
      <c r="K844" s="2"/>
      <c r="L844" s="2"/>
      <c r="M844" s="3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</row>
    <row r="845" spans="1:32" ht="13">
      <c r="A845" s="2"/>
      <c r="B845" s="2"/>
      <c r="C845" s="2"/>
      <c r="D845" s="2"/>
      <c r="E845" s="2"/>
      <c r="F845" s="3"/>
      <c r="G845" s="2"/>
      <c r="H845" s="2"/>
      <c r="I845" s="2"/>
      <c r="J845" s="3"/>
      <c r="K845" s="2"/>
      <c r="L845" s="2"/>
      <c r="M845" s="3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</row>
    <row r="846" spans="1:32" ht="13">
      <c r="A846" s="2"/>
      <c r="B846" s="2"/>
      <c r="C846" s="2"/>
      <c r="D846" s="2"/>
      <c r="E846" s="2"/>
      <c r="F846" s="3"/>
      <c r="G846" s="2"/>
      <c r="H846" s="2"/>
      <c r="I846" s="2"/>
      <c r="J846" s="3"/>
      <c r="K846" s="2"/>
      <c r="L846" s="2"/>
      <c r="M846" s="3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</row>
    <row r="847" spans="1:32" ht="13">
      <c r="A847" s="2"/>
      <c r="B847" s="2"/>
      <c r="C847" s="2"/>
      <c r="D847" s="2"/>
      <c r="E847" s="2"/>
      <c r="F847" s="3"/>
      <c r="G847" s="2"/>
      <c r="H847" s="2"/>
      <c r="I847" s="2"/>
      <c r="J847" s="3"/>
      <c r="K847" s="2"/>
      <c r="L847" s="2"/>
      <c r="M847" s="3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</row>
    <row r="848" spans="1:32" ht="13">
      <c r="A848" s="2"/>
      <c r="B848" s="2"/>
      <c r="C848" s="2"/>
      <c r="D848" s="2"/>
      <c r="E848" s="2"/>
      <c r="F848" s="3"/>
      <c r="G848" s="2"/>
      <c r="H848" s="2"/>
      <c r="I848" s="2"/>
      <c r="J848" s="3"/>
      <c r="K848" s="2"/>
      <c r="L848" s="2"/>
      <c r="M848" s="3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</row>
    <row r="849" spans="1:32" ht="13">
      <c r="A849" s="2"/>
      <c r="B849" s="2"/>
      <c r="C849" s="2"/>
      <c r="D849" s="2"/>
      <c r="E849" s="2"/>
      <c r="F849" s="3"/>
      <c r="G849" s="2"/>
      <c r="H849" s="2"/>
      <c r="I849" s="2"/>
      <c r="J849" s="3"/>
      <c r="K849" s="2"/>
      <c r="L849" s="2"/>
      <c r="M849" s="3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</row>
    <row r="850" spans="1:32" ht="13">
      <c r="A850" s="2"/>
      <c r="B850" s="2"/>
      <c r="C850" s="2"/>
      <c r="D850" s="2"/>
      <c r="E850" s="2"/>
      <c r="F850" s="3"/>
      <c r="G850" s="2"/>
      <c r="H850" s="2"/>
      <c r="I850" s="2"/>
      <c r="J850" s="3"/>
      <c r="K850" s="2"/>
      <c r="L850" s="2"/>
      <c r="M850" s="3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</row>
    <row r="851" spans="1:32" ht="13">
      <c r="A851" s="2"/>
      <c r="B851" s="2"/>
      <c r="C851" s="2"/>
      <c r="D851" s="2"/>
      <c r="E851" s="2"/>
      <c r="F851" s="3"/>
      <c r="G851" s="2"/>
      <c r="H851" s="2"/>
      <c r="I851" s="2"/>
      <c r="J851" s="3"/>
      <c r="K851" s="2"/>
      <c r="L851" s="2"/>
      <c r="M851" s="3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</row>
    <row r="852" spans="1:32" ht="13">
      <c r="A852" s="2"/>
      <c r="B852" s="2"/>
      <c r="C852" s="2"/>
      <c r="D852" s="2"/>
      <c r="E852" s="2"/>
      <c r="F852" s="3"/>
      <c r="G852" s="2"/>
      <c r="H852" s="2"/>
      <c r="I852" s="2"/>
      <c r="J852" s="3"/>
      <c r="K852" s="2"/>
      <c r="L852" s="2"/>
      <c r="M852" s="3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</row>
    <row r="853" spans="1:32" ht="13">
      <c r="A853" s="2"/>
      <c r="B853" s="2"/>
      <c r="C853" s="2"/>
      <c r="D853" s="2"/>
      <c r="E853" s="2"/>
      <c r="F853" s="3"/>
      <c r="G853" s="2"/>
      <c r="H853" s="2"/>
      <c r="I853" s="2"/>
      <c r="J853" s="3"/>
      <c r="K853" s="2"/>
      <c r="L853" s="2"/>
      <c r="M853" s="3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</row>
    <row r="854" spans="1:32" ht="13">
      <c r="A854" s="2"/>
      <c r="B854" s="2"/>
      <c r="C854" s="2"/>
      <c r="D854" s="2"/>
      <c r="E854" s="2"/>
      <c r="F854" s="3"/>
      <c r="G854" s="2"/>
      <c r="H854" s="2"/>
      <c r="I854" s="2"/>
      <c r="J854" s="3"/>
      <c r="K854" s="2"/>
      <c r="L854" s="2"/>
      <c r="M854" s="3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</row>
    <row r="855" spans="1:32" ht="13">
      <c r="A855" s="2"/>
      <c r="B855" s="2"/>
      <c r="C855" s="2"/>
      <c r="D855" s="2"/>
      <c r="E855" s="2"/>
      <c r="F855" s="3"/>
      <c r="G855" s="2"/>
      <c r="H855" s="2"/>
      <c r="I855" s="2"/>
      <c r="J855" s="3"/>
      <c r="K855" s="2"/>
      <c r="L855" s="2"/>
      <c r="M855" s="3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</row>
    <row r="856" spans="1:32" ht="13">
      <c r="A856" s="2"/>
      <c r="B856" s="2"/>
      <c r="C856" s="2"/>
      <c r="D856" s="2"/>
      <c r="E856" s="2"/>
      <c r="F856" s="3"/>
      <c r="G856" s="2"/>
      <c r="H856" s="2"/>
      <c r="I856" s="2"/>
      <c r="J856" s="3"/>
      <c r="K856" s="2"/>
      <c r="L856" s="2"/>
      <c r="M856" s="3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</row>
    <row r="857" spans="1:32" ht="13">
      <c r="A857" s="2"/>
      <c r="B857" s="2"/>
      <c r="C857" s="2"/>
      <c r="D857" s="2"/>
      <c r="E857" s="2"/>
      <c r="F857" s="3"/>
      <c r="G857" s="2"/>
      <c r="H857" s="2"/>
      <c r="I857" s="2"/>
      <c r="J857" s="3"/>
      <c r="K857" s="2"/>
      <c r="L857" s="2"/>
      <c r="M857" s="3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</row>
    <row r="858" spans="1:32" ht="13">
      <c r="A858" s="2"/>
      <c r="B858" s="2"/>
      <c r="C858" s="2"/>
      <c r="D858" s="2"/>
      <c r="E858" s="2"/>
      <c r="F858" s="3"/>
      <c r="G858" s="2"/>
      <c r="H858" s="2"/>
      <c r="I858" s="2"/>
      <c r="J858" s="3"/>
      <c r="K858" s="2"/>
      <c r="L858" s="2"/>
      <c r="M858" s="3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</row>
    <row r="859" spans="1:32" ht="13">
      <c r="A859" s="2"/>
      <c r="B859" s="2"/>
      <c r="C859" s="2"/>
      <c r="D859" s="2"/>
      <c r="E859" s="2"/>
      <c r="F859" s="3"/>
      <c r="G859" s="2"/>
      <c r="H859" s="2"/>
      <c r="I859" s="2"/>
      <c r="J859" s="3"/>
      <c r="K859" s="2"/>
      <c r="L859" s="2"/>
      <c r="M859" s="3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</row>
    <row r="860" spans="1:32" ht="13">
      <c r="A860" s="2"/>
      <c r="B860" s="2"/>
      <c r="C860" s="2"/>
      <c r="D860" s="2"/>
      <c r="E860" s="2"/>
      <c r="F860" s="3"/>
      <c r="G860" s="2"/>
      <c r="H860" s="2"/>
      <c r="I860" s="2"/>
      <c r="J860" s="3"/>
      <c r="K860" s="2"/>
      <c r="L860" s="2"/>
      <c r="M860" s="3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</row>
    <row r="861" spans="1:32" ht="13">
      <c r="A861" s="2"/>
      <c r="B861" s="2"/>
      <c r="C861" s="2"/>
      <c r="D861" s="2"/>
      <c r="E861" s="2"/>
      <c r="F861" s="3"/>
      <c r="G861" s="2"/>
      <c r="H861" s="2"/>
      <c r="I861" s="2"/>
      <c r="J861" s="3"/>
      <c r="K861" s="2"/>
      <c r="L861" s="2"/>
      <c r="M861" s="3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</row>
    <row r="862" spans="1:32" ht="13">
      <c r="A862" s="2"/>
      <c r="B862" s="2"/>
      <c r="C862" s="2"/>
      <c r="D862" s="2"/>
      <c r="E862" s="2"/>
      <c r="F862" s="3"/>
      <c r="G862" s="2"/>
      <c r="H862" s="2"/>
      <c r="I862" s="2"/>
      <c r="J862" s="3"/>
      <c r="K862" s="2"/>
      <c r="L862" s="2"/>
      <c r="M862" s="3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</row>
    <row r="863" spans="1:32" ht="13">
      <c r="A863" s="2"/>
      <c r="B863" s="2"/>
      <c r="C863" s="2"/>
      <c r="D863" s="2"/>
      <c r="E863" s="2"/>
      <c r="F863" s="3"/>
      <c r="G863" s="2"/>
      <c r="H863" s="2"/>
      <c r="I863" s="2"/>
      <c r="J863" s="3"/>
      <c r="K863" s="2"/>
      <c r="L863" s="2"/>
      <c r="M863" s="3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</row>
    <row r="864" spans="1:32" ht="13">
      <c r="A864" s="2"/>
      <c r="B864" s="2"/>
      <c r="C864" s="2"/>
      <c r="D864" s="2"/>
      <c r="E864" s="2"/>
      <c r="F864" s="3"/>
      <c r="G864" s="2"/>
      <c r="H864" s="2"/>
      <c r="I864" s="2"/>
      <c r="J864" s="3"/>
      <c r="K864" s="2"/>
      <c r="L864" s="2"/>
      <c r="M864" s="3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</row>
    <row r="865" spans="1:32" ht="13">
      <c r="A865" s="2"/>
      <c r="B865" s="2"/>
      <c r="C865" s="2"/>
      <c r="D865" s="2"/>
      <c r="E865" s="2"/>
      <c r="F865" s="3"/>
      <c r="G865" s="2"/>
      <c r="H865" s="2"/>
      <c r="I865" s="2"/>
      <c r="J865" s="3"/>
      <c r="K865" s="2"/>
      <c r="L865" s="2"/>
      <c r="M865" s="3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</row>
    <row r="866" spans="1:32" ht="13">
      <c r="A866" s="2"/>
      <c r="B866" s="2"/>
      <c r="C866" s="2"/>
      <c r="D866" s="2"/>
      <c r="E866" s="2"/>
      <c r="F866" s="3"/>
      <c r="G866" s="2"/>
      <c r="H866" s="2"/>
      <c r="I866" s="2"/>
      <c r="J866" s="3"/>
      <c r="K866" s="2"/>
      <c r="L866" s="2"/>
      <c r="M866" s="3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</row>
    <row r="867" spans="1:32" ht="13">
      <c r="A867" s="2"/>
      <c r="B867" s="2"/>
      <c r="C867" s="2"/>
      <c r="D867" s="2"/>
      <c r="E867" s="2"/>
      <c r="F867" s="3"/>
      <c r="G867" s="2"/>
      <c r="H867" s="2"/>
      <c r="I867" s="2"/>
      <c r="J867" s="3"/>
      <c r="K867" s="2"/>
      <c r="L867" s="2"/>
      <c r="M867" s="3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</row>
    <row r="868" spans="1:32" ht="13">
      <c r="A868" s="2"/>
      <c r="B868" s="2"/>
      <c r="C868" s="2"/>
      <c r="D868" s="2"/>
      <c r="E868" s="2"/>
      <c r="F868" s="3"/>
      <c r="G868" s="2"/>
      <c r="H868" s="2"/>
      <c r="I868" s="2"/>
      <c r="J868" s="3"/>
      <c r="K868" s="2"/>
      <c r="L868" s="2"/>
      <c r="M868" s="3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</row>
    <row r="869" spans="1:32" ht="13">
      <c r="A869" s="2"/>
      <c r="B869" s="2"/>
      <c r="C869" s="2"/>
      <c r="D869" s="2"/>
      <c r="E869" s="2"/>
      <c r="F869" s="3"/>
      <c r="G869" s="2"/>
      <c r="H869" s="2"/>
      <c r="I869" s="2"/>
      <c r="J869" s="3"/>
      <c r="K869" s="2"/>
      <c r="L869" s="2"/>
      <c r="M869" s="3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</row>
    <row r="870" spans="1:32" ht="13">
      <c r="A870" s="2"/>
      <c r="B870" s="2"/>
      <c r="C870" s="2"/>
      <c r="D870" s="2"/>
      <c r="E870" s="2"/>
      <c r="F870" s="3"/>
      <c r="G870" s="2"/>
      <c r="H870" s="2"/>
      <c r="I870" s="2"/>
      <c r="J870" s="3"/>
      <c r="K870" s="2"/>
      <c r="L870" s="2"/>
      <c r="M870" s="3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</row>
    <row r="871" spans="1:32" ht="13">
      <c r="A871" s="2"/>
      <c r="B871" s="2"/>
      <c r="C871" s="2"/>
      <c r="D871" s="2"/>
      <c r="E871" s="2"/>
      <c r="F871" s="3"/>
      <c r="G871" s="2"/>
      <c r="H871" s="2"/>
      <c r="I871" s="2"/>
      <c r="J871" s="3"/>
      <c r="K871" s="2"/>
      <c r="L871" s="2"/>
      <c r="M871" s="3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</row>
    <row r="872" spans="1:32" ht="13">
      <c r="A872" s="2"/>
      <c r="B872" s="2"/>
      <c r="C872" s="2"/>
      <c r="D872" s="2"/>
      <c r="E872" s="2"/>
      <c r="F872" s="3"/>
      <c r="G872" s="2"/>
      <c r="H872" s="2"/>
      <c r="I872" s="2"/>
      <c r="J872" s="3"/>
      <c r="K872" s="2"/>
      <c r="L872" s="2"/>
      <c r="M872" s="3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</row>
    <row r="873" spans="1:32" ht="13">
      <c r="A873" s="2"/>
      <c r="B873" s="2"/>
      <c r="C873" s="2"/>
      <c r="D873" s="2"/>
      <c r="E873" s="2"/>
      <c r="F873" s="3"/>
      <c r="G873" s="2"/>
      <c r="H873" s="2"/>
      <c r="I873" s="2"/>
      <c r="J873" s="3"/>
      <c r="K873" s="2"/>
      <c r="L873" s="2"/>
      <c r="M873" s="3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</row>
    <row r="874" spans="1:32" ht="13">
      <c r="A874" s="2"/>
      <c r="B874" s="2"/>
      <c r="C874" s="2"/>
      <c r="D874" s="2"/>
      <c r="E874" s="2"/>
      <c r="F874" s="3"/>
      <c r="G874" s="2"/>
      <c r="H874" s="2"/>
      <c r="I874" s="2"/>
      <c r="J874" s="3"/>
      <c r="K874" s="2"/>
      <c r="L874" s="2"/>
      <c r="M874" s="3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</row>
    <row r="875" spans="1:32" ht="13">
      <c r="A875" s="2"/>
      <c r="B875" s="2"/>
      <c r="C875" s="2"/>
      <c r="D875" s="2"/>
      <c r="E875" s="2"/>
      <c r="F875" s="3"/>
      <c r="G875" s="2"/>
      <c r="H875" s="2"/>
      <c r="I875" s="2"/>
      <c r="J875" s="3"/>
      <c r="K875" s="2"/>
      <c r="L875" s="2"/>
      <c r="M875" s="3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</row>
    <row r="876" spans="1:32" ht="13">
      <c r="A876" s="2"/>
      <c r="B876" s="2"/>
      <c r="C876" s="2"/>
      <c r="D876" s="2"/>
      <c r="E876" s="2"/>
      <c r="F876" s="3"/>
      <c r="G876" s="2"/>
      <c r="H876" s="2"/>
      <c r="I876" s="2"/>
      <c r="J876" s="3"/>
      <c r="K876" s="2"/>
      <c r="L876" s="2"/>
      <c r="M876" s="3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</row>
    <row r="877" spans="1:32" ht="13">
      <c r="A877" s="2"/>
      <c r="B877" s="2"/>
      <c r="C877" s="2"/>
      <c r="D877" s="2"/>
      <c r="E877" s="2"/>
      <c r="F877" s="3"/>
      <c r="G877" s="2"/>
      <c r="H877" s="2"/>
      <c r="I877" s="2"/>
      <c r="J877" s="3"/>
      <c r="K877" s="2"/>
      <c r="L877" s="2"/>
      <c r="M877" s="3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</row>
    <row r="878" spans="1:32" ht="13">
      <c r="A878" s="2"/>
      <c r="B878" s="2"/>
      <c r="C878" s="2"/>
      <c r="D878" s="2"/>
      <c r="E878" s="2"/>
      <c r="F878" s="3"/>
      <c r="G878" s="2"/>
      <c r="H878" s="2"/>
      <c r="I878" s="2"/>
      <c r="J878" s="3"/>
      <c r="K878" s="2"/>
      <c r="L878" s="2"/>
      <c r="M878" s="3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</row>
    <row r="879" spans="1:32" ht="13">
      <c r="A879" s="2"/>
      <c r="B879" s="2"/>
      <c r="C879" s="2"/>
      <c r="D879" s="2"/>
      <c r="E879" s="2"/>
      <c r="F879" s="3"/>
      <c r="G879" s="2"/>
      <c r="H879" s="2"/>
      <c r="I879" s="2"/>
      <c r="J879" s="3"/>
      <c r="K879" s="2"/>
      <c r="L879" s="2"/>
      <c r="M879" s="3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</row>
    <row r="880" spans="1:32" ht="13">
      <c r="A880" s="2"/>
      <c r="B880" s="2"/>
      <c r="C880" s="2"/>
      <c r="D880" s="2"/>
      <c r="E880" s="2"/>
      <c r="F880" s="3"/>
      <c r="G880" s="2"/>
      <c r="H880" s="2"/>
      <c r="I880" s="2"/>
      <c r="J880" s="3"/>
      <c r="K880" s="2"/>
      <c r="L880" s="2"/>
      <c r="M880" s="3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</row>
    <row r="881" spans="1:32" ht="13">
      <c r="A881" s="2"/>
      <c r="B881" s="2"/>
      <c r="C881" s="2"/>
      <c r="D881" s="2"/>
      <c r="E881" s="2"/>
      <c r="F881" s="3"/>
      <c r="G881" s="2"/>
      <c r="H881" s="2"/>
      <c r="I881" s="2"/>
      <c r="J881" s="3"/>
      <c r="K881" s="2"/>
      <c r="L881" s="2"/>
      <c r="M881" s="3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</row>
    <row r="882" spans="1:32" ht="13">
      <c r="A882" s="2"/>
      <c r="B882" s="2"/>
      <c r="C882" s="2"/>
      <c r="D882" s="2"/>
      <c r="E882" s="2"/>
      <c r="F882" s="3"/>
      <c r="G882" s="2"/>
      <c r="H882" s="2"/>
      <c r="I882" s="2"/>
      <c r="J882" s="3"/>
      <c r="K882" s="2"/>
      <c r="L882" s="2"/>
      <c r="M882" s="3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</row>
    <row r="883" spans="1:32" ht="13">
      <c r="A883" s="2"/>
      <c r="B883" s="2"/>
      <c r="C883" s="2"/>
      <c r="D883" s="2"/>
      <c r="E883" s="2"/>
      <c r="F883" s="3"/>
      <c r="G883" s="2"/>
      <c r="H883" s="2"/>
      <c r="I883" s="2"/>
      <c r="J883" s="3"/>
      <c r="K883" s="2"/>
      <c r="L883" s="2"/>
      <c r="M883" s="3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</row>
    <row r="884" spans="1:32" ht="13">
      <c r="A884" s="2"/>
      <c r="B884" s="2"/>
      <c r="C884" s="2"/>
      <c r="D884" s="2"/>
      <c r="E884" s="2"/>
      <c r="F884" s="3"/>
      <c r="G884" s="2"/>
      <c r="H884" s="2"/>
      <c r="I884" s="2"/>
      <c r="J884" s="3"/>
      <c r="K884" s="2"/>
      <c r="L884" s="2"/>
      <c r="M884" s="3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</row>
    <row r="885" spans="1:32" ht="13">
      <c r="A885" s="2"/>
      <c r="B885" s="2"/>
      <c r="C885" s="2"/>
      <c r="D885" s="2"/>
      <c r="E885" s="2"/>
      <c r="F885" s="3"/>
      <c r="G885" s="2"/>
      <c r="H885" s="2"/>
      <c r="I885" s="2"/>
      <c r="J885" s="3"/>
      <c r="K885" s="2"/>
      <c r="L885" s="2"/>
      <c r="M885" s="3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</row>
    <row r="886" spans="1:32" ht="13">
      <c r="A886" s="2"/>
      <c r="B886" s="2"/>
      <c r="C886" s="2"/>
      <c r="D886" s="2"/>
      <c r="E886" s="2"/>
      <c r="F886" s="3"/>
      <c r="G886" s="2"/>
      <c r="H886" s="2"/>
      <c r="I886" s="2"/>
      <c r="J886" s="3"/>
      <c r="K886" s="2"/>
      <c r="L886" s="2"/>
      <c r="M886" s="3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</row>
    <row r="887" spans="1:32" ht="13">
      <c r="A887" s="2"/>
      <c r="B887" s="2"/>
      <c r="C887" s="2"/>
      <c r="D887" s="2"/>
      <c r="E887" s="2"/>
      <c r="F887" s="3"/>
      <c r="G887" s="2"/>
      <c r="H887" s="2"/>
      <c r="I887" s="2"/>
      <c r="J887" s="3"/>
      <c r="K887" s="2"/>
      <c r="L887" s="2"/>
      <c r="M887" s="3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</row>
    <row r="888" spans="1:32" ht="13">
      <c r="A888" s="2"/>
      <c r="B888" s="2"/>
      <c r="C888" s="2"/>
      <c r="D888" s="2"/>
      <c r="E888" s="2"/>
      <c r="F888" s="3"/>
      <c r="G888" s="2"/>
      <c r="H888" s="2"/>
      <c r="I888" s="2"/>
      <c r="J888" s="3"/>
      <c r="K888" s="2"/>
      <c r="L888" s="2"/>
      <c r="M888" s="3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</row>
    <row r="889" spans="1:32" ht="13">
      <c r="A889" s="2"/>
      <c r="B889" s="2"/>
      <c r="C889" s="2"/>
      <c r="D889" s="2"/>
      <c r="E889" s="2"/>
      <c r="F889" s="3"/>
      <c r="G889" s="2"/>
      <c r="H889" s="2"/>
      <c r="I889" s="2"/>
      <c r="J889" s="3"/>
      <c r="K889" s="2"/>
      <c r="L889" s="2"/>
      <c r="M889" s="3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</row>
    <row r="890" spans="1:32" ht="13">
      <c r="A890" s="2"/>
      <c r="B890" s="2"/>
      <c r="C890" s="2"/>
      <c r="D890" s="2"/>
      <c r="E890" s="2"/>
      <c r="F890" s="3"/>
      <c r="G890" s="2"/>
      <c r="H890" s="2"/>
      <c r="I890" s="2"/>
      <c r="J890" s="3"/>
      <c r="K890" s="2"/>
      <c r="L890" s="2"/>
      <c r="M890" s="3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</row>
    <row r="891" spans="1:32" ht="13">
      <c r="A891" s="2"/>
      <c r="B891" s="2"/>
      <c r="C891" s="2"/>
      <c r="D891" s="2"/>
      <c r="E891" s="2"/>
      <c r="F891" s="3"/>
      <c r="G891" s="2"/>
      <c r="H891" s="2"/>
      <c r="I891" s="2"/>
      <c r="J891" s="3"/>
      <c r="K891" s="2"/>
      <c r="L891" s="2"/>
      <c r="M891" s="3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</row>
    <row r="892" spans="1:32" ht="13">
      <c r="A892" s="2"/>
      <c r="B892" s="2"/>
      <c r="C892" s="2"/>
      <c r="D892" s="2"/>
      <c r="E892" s="2"/>
      <c r="F892" s="3"/>
      <c r="G892" s="2"/>
      <c r="H892" s="2"/>
      <c r="I892" s="2"/>
      <c r="J892" s="3"/>
      <c r="K892" s="2"/>
      <c r="L892" s="2"/>
      <c r="M892" s="3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</row>
    <row r="893" spans="1:32" ht="13">
      <c r="A893" s="2"/>
      <c r="B893" s="2"/>
      <c r="C893" s="2"/>
      <c r="D893" s="2"/>
      <c r="E893" s="2"/>
      <c r="F893" s="3"/>
      <c r="G893" s="2"/>
      <c r="H893" s="2"/>
      <c r="I893" s="2"/>
      <c r="J893" s="3"/>
      <c r="K893" s="2"/>
      <c r="L893" s="2"/>
      <c r="M893" s="3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</row>
    <row r="894" spans="1:32" ht="13">
      <c r="A894" s="2"/>
      <c r="B894" s="2"/>
      <c r="C894" s="2"/>
      <c r="D894" s="2"/>
      <c r="E894" s="2"/>
      <c r="F894" s="3"/>
      <c r="G894" s="2"/>
      <c r="H894" s="2"/>
      <c r="I894" s="2"/>
      <c r="J894" s="3"/>
      <c r="K894" s="2"/>
      <c r="L894" s="2"/>
      <c r="M894" s="3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</row>
    <row r="895" spans="1:32" ht="13">
      <c r="A895" s="2"/>
      <c r="B895" s="2"/>
      <c r="C895" s="2"/>
      <c r="D895" s="2"/>
      <c r="E895" s="2"/>
      <c r="F895" s="3"/>
      <c r="G895" s="2"/>
      <c r="H895" s="2"/>
      <c r="I895" s="2"/>
      <c r="J895" s="3"/>
      <c r="K895" s="2"/>
      <c r="L895" s="2"/>
      <c r="M895" s="3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</row>
    <row r="896" spans="1:32" ht="13">
      <c r="A896" s="2"/>
      <c r="B896" s="2"/>
      <c r="C896" s="2"/>
      <c r="D896" s="2"/>
      <c r="E896" s="2"/>
      <c r="F896" s="3"/>
      <c r="G896" s="2"/>
      <c r="H896" s="2"/>
      <c r="I896" s="2"/>
      <c r="J896" s="3"/>
      <c r="K896" s="2"/>
      <c r="L896" s="2"/>
      <c r="M896" s="3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</row>
    <row r="897" spans="1:32" ht="13">
      <c r="A897" s="2"/>
      <c r="B897" s="2"/>
      <c r="C897" s="2"/>
      <c r="D897" s="2"/>
      <c r="E897" s="2"/>
      <c r="F897" s="3"/>
      <c r="G897" s="2"/>
      <c r="H897" s="2"/>
      <c r="I897" s="2"/>
      <c r="J897" s="3"/>
      <c r="K897" s="2"/>
      <c r="L897" s="2"/>
      <c r="M897" s="3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</row>
    <row r="898" spans="1:32" ht="13">
      <c r="A898" s="2"/>
      <c r="B898" s="2"/>
      <c r="C898" s="2"/>
      <c r="D898" s="2"/>
      <c r="E898" s="2"/>
      <c r="F898" s="3"/>
      <c r="G898" s="2"/>
      <c r="H898" s="2"/>
      <c r="I898" s="2"/>
      <c r="J898" s="3"/>
      <c r="K898" s="2"/>
      <c r="L898" s="2"/>
      <c r="M898" s="3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</row>
    <row r="899" spans="1:32" ht="13">
      <c r="A899" s="2"/>
      <c r="B899" s="2"/>
      <c r="C899" s="2"/>
      <c r="D899" s="2"/>
      <c r="E899" s="2"/>
      <c r="F899" s="3"/>
      <c r="G899" s="2"/>
      <c r="H899" s="2"/>
      <c r="I899" s="2"/>
      <c r="J899" s="3"/>
      <c r="K899" s="2"/>
      <c r="L899" s="2"/>
      <c r="M899" s="3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</row>
    <row r="900" spans="1:32" ht="13">
      <c r="A900" s="2"/>
      <c r="B900" s="2"/>
      <c r="C900" s="2"/>
      <c r="D900" s="2"/>
      <c r="E900" s="2"/>
      <c r="F900" s="3"/>
      <c r="G900" s="2"/>
      <c r="H900" s="2"/>
      <c r="I900" s="2"/>
      <c r="J900" s="3"/>
      <c r="K900" s="2"/>
      <c r="L900" s="2"/>
      <c r="M900" s="3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</row>
    <row r="901" spans="1:32" ht="13">
      <c r="A901" s="2"/>
      <c r="B901" s="2"/>
      <c r="C901" s="2"/>
      <c r="D901" s="2"/>
      <c r="E901" s="2"/>
      <c r="F901" s="3"/>
      <c r="G901" s="2"/>
      <c r="H901" s="2"/>
      <c r="I901" s="2"/>
      <c r="J901" s="3"/>
      <c r="K901" s="2"/>
      <c r="L901" s="2"/>
      <c r="M901" s="3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</row>
    <row r="902" spans="1:32" ht="13">
      <c r="A902" s="2"/>
      <c r="B902" s="2"/>
      <c r="C902" s="2"/>
      <c r="D902" s="2"/>
      <c r="E902" s="2"/>
      <c r="F902" s="3"/>
      <c r="G902" s="2"/>
      <c r="H902" s="2"/>
      <c r="I902" s="2"/>
      <c r="J902" s="3"/>
      <c r="K902" s="2"/>
      <c r="L902" s="2"/>
      <c r="M902" s="3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</row>
    <row r="903" spans="1:32" ht="13">
      <c r="A903" s="2"/>
      <c r="B903" s="2"/>
      <c r="C903" s="2"/>
      <c r="D903" s="2"/>
      <c r="E903" s="2"/>
      <c r="F903" s="3"/>
      <c r="G903" s="2"/>
      <c r="H903" s="2"/>
      <c r="I903" s="2"/>
      <c r="J903" s="3"/>
      <c r="K903" s="2"/>
      <c r="L903" s="2"/>
      <c r="M903" s="3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</row>
    <row r="904" spans="1:32" ht="13">
      <c r="A904" s="2"/>
      <c r="B904" s="2"/>
      <c r="C904" s="2"/>
      <c r="D904" s="2"/>
      <c r="E904" s="2"/>
      <c r="F904" s="3"/>
      <c r="G904" s="2"/>
      <c r="H904" s="2"/>
      <c r="I904" s="2"/>
      <c r="J904" s="3"/>
      <c r="K904" s="2"/>
      <c r="L904" s="2"/>
      <c r="M904" s="3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</row>
    <row r="905" spans="1:32" ht="13">
      <c r="A905" s="2"/>
      <c r="B905" s="2"/>
      <c r="C905" s="2"/>
      <c r="D905" s="2"/>
      <c r="E905" s="2"/>
      <c r="F905" s="3"/>
      <c r="G905" s="2"/>
      <c r="H905" s="2"/>
      <c r="I905" s="2"/>
      <c r="J905" s="3"/>
      <c r="K905" s="2"/>
      <c r="L905" s="2"/>
      <c r="M905" s="3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</row>
    <row r="906" spans="1:32" ht="13">
      <c r="A906" s="2"/>
      <c r="B906" s="2"/>
      <c r="C906" s="2"/>
      <c r="D906" s="2"/>
      <c r="E906" s="2"/>
      <c r="F906" s="3"/>
      <c r="G906" s="2"/>
      <c r="H906" s="2"/>
      <c r="I906" s="2"/>
      <c r="J906" s="3"/>
      <c r="K906" s="2"/>
      <c r="L906" s="2"/>
      <c r="M906" s="3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</row>
    <row r="907" spans="1:32" ht="13">
      <c r="A907" s="2"/>
      <c r="B907" s="2"/>
      <c r="C907" s="2"/>
      <c r="D907" s="2"/>
      <c r="E907" s="2"/>
      <c r="F907" s="3"/>
      <c r="G907" s="2"/>
      <c r="H907" s="2"/>
      <c r="I907" s="2"/>
      <c r="J907" s="3"/>
      <c r="K907" s="2"/>
      <c r="L907" s="2"/>
      <c r="M907" s="3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</row>
    <row r="908" spans="1:32" ht="13">
      <c r="A908" s="2"/>
      <c r="B908" s="2"/>
      <c r="C908" s="2"/>
      <c r="D908" s="2"/>
      <c r="E908" s="2"/>
      <c r="F908" s="3"/>
      <c r="G908" s="2"/>
      <c r="H908" s="2"/>
      <c r="I908" s="2"/>
      <c r="J908" s="3"/>
      <c r="K908" s="2"/>
      <c r="L908" s="2"/>
      <c r="M908" s="3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</row>
    <row r="909" spans="1:32" ht="13">
      <c r="A909" s="2"/>
      <c r="B909" s="2"/>
      <c r="C909" s="2"/>
      <c r="D909" s="2"/>
      <c r="E909" s="2"/>
      <c r="F909" s="3"/>
      <c r="G909" s="2"/>
      <c r="H909" s="2"/>
      <c r="I909" s="2"/>
      <c r="J909" s="3"/>
      <c r="K909" s="2"/>
      <c r="L909" s="2"/>
      <c r="M909" s="3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</row>
    <row r="910" spans="1:32" ht="13">
      <c r="A910" s="2"/>
      <c r="B910" s="2"/>
      <c r="C910" s="2"/>
      <c r="D910" s="2"/>
      <c r="E910" s="2"/>
      <c r="F910" s="3"/>
      <c r="G910" s="2"/>
      <c r="H910" s="2"/>
      <c r="I910" s="2"/>
      <c r="J910" s="3"/>
      <c r="K910" s="2"/>
      <c r="L910" s="2"/>
      <c r="M910" s="3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</row>
    <row r="911" spans="1:32" ht="13">
      <c r="A911" s="2"/>
      <c r="B911" s="2"/>
      <c r="C911" s="2"/>
      <c r="D911" s="2"/>
      <c r="E911" s="2"/>
      <c r="F911" s="3"/>
      <c r="G911" s="2"/>
      <c r="H911" s="2"/>
      <c r="I911" s="2"/>
      <c r="J911" s="3"/>
      <c r="K911" s="2"/>
      <c r="L911" s="2"/>
      <c r="M911" s="3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</row>
    <row r="912" spans="1:32" ht="13">
      <c r="A912" s="2"/>
      <c r="B912" s="2"/>
      <c r="C912" s="2"/>
      <c r="D912" s="2"/>
      <c r="E912" s="2"/>
      <c r="F912" s="3"/>
      <c r="G912" s="2"/>
      <c r="H912" s="2"/>
      <c r="I912" s="2"/>
      <c r="J912" s="3"/>
      <c r="K912" s="2"/>
      <c r="L912" s="2"/>
      <c r="M912" s="3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</row>
    <row r="913" spans="1:32" ht="13">
      <c r="A913" s="2"/>
      <c r="B913" s="2"/>
      <c r="C913" s="2"/>
      <c r="D913" s="2"/>
      <c r="E913" s="2"/>
      <c r="F913" s="3"/>
      <c r="G913" s="2"/>
      <c r="H913" s="2"/>
      <c r="I913" s="2"/>
      <c r="J913" s="3"/>
      <c r="K913" s="2"/>
      <c r="L913" s="2"/>
      <c r="M913" s="3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</row>
    <row r="914" spans="1:32" ht="13">
      <c r="A914" s="2"/>
      <c r="B914" s="2"/>
      <c r="C914" s="2"/>
      <c r="D914" s="2"/>
      <c r="E914" s="2"/>
      <c r="F914" s="3"/>
      <c r="G914" s="2"/>
      <c r="H914" s="2"/>
      <c r="I914" s="2"/>
      <c r="J914" s="3"/>
      <c r="K914" s="2"/>
      <c r="L914" s="2"/>
      <c r="M914" s="3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</row>
    <row r="915" spans="1:32" ht="13">
      <c r="A915" s="2"/>
      <c r="B915" s="2"/>
      <c r="C915" s="2"/>
      <c r="D915" s="2"/>
      <c r="E915" s="2"/>
      <c r="F915" s="3"/>
      <c r="G915" s="2"/>
      <c r="H915" s="2"/>
      <c r="I915" s="2"/>
      <c r="J915" s="3"/>
      <c r="K915" s="2"/>
      <c r="L915" s="2"/>
      <c r="M915" s="3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</row>
    <row r="916" spans="1:32" ht="13">
      <c r="A916" s="2"/>
      <c r="B916" s="2"/>
      <c r="C916" s="2"/>
      <c r="D916" s="2"/>
      <c r="E916" s="2"/>
      <c r="F916" s="3"/>
      <c r="G916" s="2"/>
      <c r="H916" s="2"/>
      <c r="I916" s="2"/>
      <c r="J916" s="3"/>
      <c r="K916" s="2"/>
      <c r="L916" s="2"/>
      <c r="M916" s="3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</row>
    <row r="917" spans="1:32" ht="13">
      <c r="A917" s="2"/>
      <c r="B917" s="2"/>
      <c r="C917" s="2"/>
      <c r="D917" s="2"/>
      <c r="E917" s="2"/>
      <c r="F917" s="3"/>
      <c r="G917" s="2"/>
      <c r="H917" s="2"/>
      <c r="I917" s="2"/>
      <c r="J917" s="3"/>
      <c r="K917" s="2"/>
      <c r="L917" s="2"/>
      <c r="M917" s="3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</row>
    <row r="918" spans="1:32" ht="13">
      <c r="A918" s="2"/>
      <c r="B918" s="2"/>
      <c r="C918" s="2"/>
      <c r="D918" s="2"/>
      <c r="E918" s="2"/>
      <c r="F918" s="3"/>
      <c r="G918" s="2"/>
      <c r="H918" s="2"/>
      <c r="I918" s="2"/>
      <c r="J918" s="3"/>
      <c r="K918" s="2"/>
      <c r="L918" s="2"/>
      <c r="M918" s="3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</row>
    <row r="919" spans="1:32" ht="13">
      <c r="A919" s="2"/>
      <c r="B919" s="2"/>
      <c r="C919" s="2"/>
      <c r="D919" s="2"/>
      <c r="E919" s="2"/>
      <c r="F919" s="3"/>
      <c r="G919" s="2"/>
      <c r="H919" s="2"/>
      <c r="I919" s="2"/>
      <c r="J919" s="3"/>
      <c r="K919" s="2"/>
      <c r="L919" s="2"/>
      <c r="M919" s="3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</row>
    <row r="920" spans="1:32" ht="13">
      <c r="A920" s="2"/>
      <c r="B920" s="2"/>
      <c r="C920" s="2"/>
      <c r="D920" s="2"/>
      <c r="E920" s="2"/>
      <c r="F920" s="3"/>
      <c r="G920" s="2"/>
      <c r="H920" s="2"/>
      <c r="I920" s="2"/>
      <c r="J920" s="3"/>
      <c r="K920" s="2"/>
      <c r="L920" s="2"/>
      <c r="M920" s="3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</row>
    <row r="921" spans="1:32" ht="13">
      <c r="A921" s="2"/>
      <c r="B921" s="2"/>
      <c r="C921" s="2"/>
      <c r="D921" s="2"/>
      <c r="E921" s="2"/>
      <c r="F921" s="3"/>
      <c r="G921" s="2"/>
      <c r="H921" s="2"/>
      <c r="I921" s="2"/>
      <c r="J921" s="3"/>
      <c r="K921" s="2"/>
      <c r="L921" s="2"/>
      <c r="M921" s="3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</row>
    <row r="922" spans="1:32" ht="13">
      <c r="A922" s="2"/>
      <c r="B922" s="2"/>
      <c r="C922" s="2"/>
      <c r="D922" s="2"/>
      <c r="E922" s="2"/>
      <c r="F922" s="3"/>
      <c r="G922" s="2"/>
      <c r="H922" s="2"/>
      <c r="I922" s="2"/>
      <c r="J922" s="3"/>
      <c r="K922" s="2"/>
      <c r="L922" s="2"/>
      <c r="M922" s="3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</row>
    <row r="923" spans="1:32" ht="13">
      <c r="A923" s="2"/>
      <c r="B923" s="2"/>
      <c r="C923" s="2"/>
      <c r="D923" s="2"/>
      <c r="E923" s="2"/>
      <c r="F923" s="3"/>
      <c r="G923" s="2"/>
      <c r="H923" s="2"/>
      <c r="I923" s="2"/>
      <c r="J923" s="3"/>
      <c r="K923" s="2"/>
      <c r="L923" s="2"/>
      <c r="M923" s="3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</row>
    <row r="924" spans="1:32" ht="13">
      <c r="A924" s="2"/>
      <c r="B924" s="2"/>
      <c r="C924" s="2"/>
      <c r="D924" s="2"/>
      <c r="E924" s="2"/>
      <c r="F924" s="3"/>
      <c r="G924" s="2"/>
      <c r="H924" s="2"/>
      <c r="I924" s="2"/>
      <c r="J924" s="3"/>
      <c r="K924" s="2"/>
      <c r="L924" s="2"/>
      <c r="M924" s="3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</row>
    <row r="925" spans="1:32" ht="13">
      <c r="A925" s="2"/>
      <c r="B925" s="2"/>
      <c r="C925" s="2"/>
      <c r="D925" s="2"/>
      <c r="E925" s="2"/>
      <c r="F925" s="3"/>
      <c r="G925" s="2"/>
      <c r="H925" s="2"/>
      <c r="I925" s="2"/>
      <c r="J925" s="3"/>
      <c r="K925" s="2"/>
      <c r="L925" s="2"/>
      <c r="M925" s="3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</row>
    <row r="926" spans="1:32" ht="13">
      <c r="A926" s="2"/>
      <c r="B926" s="2"/>
      <c r="C926" s="2"/>
      <c r="D926" s="2"/>
      <c r="E926" s="2"/>
      <c r="F926" s="3"/>
      <c r="G926" s="2"/>
      <c r="H926" s="2"/>
      <c r="I926" s="2"/>
      <c r="J926" s="3"/>
      <c r="K926" s="2"/>
      <c r="L926" s="2"/>
      <c r="M926" s="3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</row>
    <row r="927" spans="1:32" ht="13">
      <c r="A927" s="2"/>
      <c r="B927" s="2"/>
      <c r="C927" s="2"/>
      <c r="D927" s="2"/>
      <c r="E927" s="2"/>
      <c r="F927" s="3"/>
      <c r="G927" s="2"/>
      <c r="H927" s="2"/>
      <c r="I927" s="2"/>
      <c r="J927" s="3"/>
      <c r="K927" s="2"/>
      <c r="L927" s="2"/>
      <c r="M927" s="3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</row>
    <row r="928" spans="1:32" ht="13">
      <c r="A928" s="2"/>
      <c r="B928" s="2"/>
      <c r="C928" s="2"/>
      <c r="D928" s="2"/>
      <c r="E928" s="2"/>
      <c r="F928" s="3"/>
      <c r="G928" s="2"/>
      <c r="H928" s="2"/>
      <c r="I928" s="2"/>
      <c r="J928" s="3"/>
      <c r="K928" s="2"/>
      <c r="L928" s="2"/>
      <c r="M928" s="3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</row>
    <row r="929" spans="1:32" ht="13">
      <c r="A929" s="2"/>
      <c r="B929" s="2"/>
      <c r="C929" s="2"/>
      <c r="D929" s="2"/>
      <c r="E929" s="2"/>
      <c r="F929" s="3"/>
      <c r="G929" s="2"/>
      <c r="H929" s="2"/>
      <c r="I929" s="2"/>
      <c r="J929" s="3"/>
      <c r="K929" s="2"/>
      <c r="L929" s="2"/>
      <c r="M929" s="3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</row>
    <row r="930" spans="1:32" ht="13">
      <c r="A930" s="2"/>
      <c r="B930" s="2"/>
      <c r="C930" s="2"/>
      <c r="D930" s="2"/>
      <c r="E930" s="2"/>
      <c r="F930" s="3"/>
      <c r="G930" s="2"/>
      <c r="H930" s="2"/>
      <c r="I930" s="2"/>
      <c r="J930" s="3"/>
      <c r="K930" s="2"/>
      <c r="L930" s="2"/>
      <c r="M930" s="3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</row>
    <row r="931" spans="1:32" ht="13">
      <c r="A931" s="2"/>
      <c r="B931" s="2"/>
      <c r="C931" s="2"/>
      <c r="D931" s="2"/>
      <c r="E931" s="2"/>
      <c r="F931" s="3"/>
      <c r="G931" s="2"/>
      <c r="H931" s="2"/>
      <c r="I931" s="2"/>
      <c r="J931" s="3"/>
      <c r="K931" s="2"/>
      <c r="L931" s="2"/>
      <c r="M931" s="3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</row>
    <row r="932" spans="1:32" ht="13">
      <c r="A932" s="2"/>
      <c r="B932" s="2"/>
      <c r="C932" s="2"/>
      <c r="D932" s="2"/>
      <c r="E932" s="2"/>
      <c r="F932" s="3"/>
      <c r="G932" s="2"/>
      <c r="H932" s="2"/>
      <c r="I932" s="2"/>
      <c r="J932" s="3"/>
      <c r="K932" s="2"/>
      <c r="L932" s="2"/>
      <c r="M932" s="3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</row>
    <row r="933" spans="1:32" ht="13">
      <c r="A933" s="2"/>
      <c r="B933" s="2"/>
      <c r="C933" s="2"/>
      <c r="D933" s="2"/>
      <c r="E933" s="2"/>
      <c r="F933" s="3"/>
      <c r="G933" s="2"/>
      <c r="H933" s="2"/>
      <c r="I933" s="2"/>
      <c r="J933" s="3"/>
      <c r="K933" s="2"/>
      <c r="L933" s="2"/>
      <c r="M933" s="3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</row>
    <row r="934" spans="1:32" ht="13">
      <c r="A934" s="2"/>
      <c r="B934" s="2"/>
      <c r="C934" s="2"/>
      <c r="D934" s="2"/>
      <c r="E934" s="2"/>
      <c r="F934" s="3"/>
      <c r="G934" s="2"/>
      <c r="H934" s="2"/>
      <c r="I934" s="2"/>
      <c r="J934" s="3"/>
      <c r="K934" s="2"/>
      <c r="L934" s="2"/>
      <c r="M934" s="3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</row>
    <row r="935" spans="1:32" ht="13">
      <c r="A935" s="2"/>
      <c r="B935" s="2"/>
      <c r="C935" s="2"/>
      <c r="D935" s="2"/>
      <c r="E935" s="2"/>
      <c r="F935" s="3"/>
      <c r="G935" s="2"/>
      <c r="H935" s="2"/>
      <c r="I935" s="2"/>
      <c r="J935" s="3"/>
      <c r="K935" s="2"/>
      <c r="L935" s="2"/>
      <c r="M935" s="3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</row>
    <row r="936" spans="1:32" ht="13">
      <c r="A936" s="2"/>
      <c r="B936" s="2"/>
      <c r="C936" s="2"/>
      <c r="D936" s="2"/>
      <c r="E936" s="2"/>
      <c r="F936" s="3"/>
      <c r="G936" s="2"/>
      <c r="H936" s="2"/>
      <c r="I936" s="2"/>
      <c r="J936" s="3"/>
      <c r="K936" s="2"/>
      <c r="L936" s="2"/>
      <c r="M936" s="3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</row>
    <row r="937" spans="1:32" ht="13">
      <c r="A937" s="2"/>
      <c r="B937" s="2"/>
      <c r="C937" s="2"/>
      <c r="D937" s="2"/>
      <c r="E937" s="2"/>
      <c r="F937" s="3"/>
      <c r="G937" s="2"/>
      <c r="H937" s="2"/>
      <c r="I937" s="2"/>
      <c r="J937" s="3"/>
      <c r="K937" s="2"/>
      <c r="L937" s="2"/>
      <c r="M937" s="3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</row>
    <row r="938" spans="1:32" ht="13">
      <c r="A938" s="2"/>
      <c r="B938" s="2"/>
      <c r="C938" s="2"/>
      <c r="D938" s="2"/>
      <c r="E938" s="2"/>
      <c r="F938" s="3"/>
      <c r="G938" s="2"/>
      <c r="H938" s="2"/>
      <c r="I938" s="2"/>
      <c r="J938" s="3"/>
      <c r="K938" s="2"/>
      <c r="L938" s="2"/>
      <c r="M938" s="3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</row>
    <row r="939" spans="1:32" ht="13">
      <c r="A939" s="2"/>
      <c r="B939" s="2"/>
      <c r="C939" s="2"/>
      <c r="D939" s="2"/>
      <c r="E939" s="2"/>
      <c r="F939" s="3"/>
      <c r="G939" s="2"/>
      <c r="H939" s="2"/>
      <c r="I939" s="2"/>
      <c r="J939" s="3"/>
      <c r="K939" s="2"/>
      <c r="L939" s="2"/>
      <c r="M939" s="3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</row>
    <row r="940" spans="1:32" ht="13">
      <c r="A940" s="2"/>
      <c r="B940" s="2"/>
      <c r="C940" s="2"/>
      <c r="D940" s="2"/>
      <c r="E940" s="2"/>
      <c r="F940" s="3"/>
      <c r="G940" s="2"/>
      <c r="H940" s="2"/>
      <c r="I940" s="2"/>
      <c r="J940" s="3"/>
      <c r="K940" s="2"/>
      <c r="L940" s="2"/>
      <c r="M940" s="3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</row>
    <row r="941" spans="1:32" ht="13">
      <c r="A941" s="2"/>
      <c r="B941" s="2"/>
      <c r="C941" s="2"/>
      <c r="D941" s="2"/>
      <c r="E941" s="2"/>
      <c r="F941" s="3"/>
      <c r="G941" s="2"/>
      <c r="H941" s="2"/>
      <c r="I941" s="2"/>
      <c r="J941" s="3"/>
      <c r="K941" s="2"/>
      <c r="L941" s="2"/>
      <c r="M941" s="3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</row>
    <row r="942" spans="1:32" ht="13">
      <c r="A942" s="2"/>
      <c r="B942" s="2"/>
      <c r="C942" s="2"/>
      <c r="D942" s="2"/>
      <c r="E942" s="2"/>
      <c r="F942" s="3"/>
      <c r="G942" s="2"/>
      <c r="H942" s="2"/>
      <c r="I942" s="2"/>
      <c r="J942" s="3"/>
      <c r="K942" s="2"/>
      <c r="L942" s="2"/>
      <c r="M942" s="3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</row>
    <row r="943" spans="1:32" ht="13">
      <c r="A943" s="2"/>
      <c r="B943" s="2"/>
      <c r="C943" s="2"/>
      <c r="D943" s="2"/>
      <c r="E943" s="2"/>
      <c r="F943" s="3"/>
      <c r="G943" s="2"/>
      <c r="H943" s="2"/>
      <c r="I943" s="2"/>
      <c r="J943" s="3"/>
      <c r="K943" s="2"/>
      <c r="L943" s="2"/>
      <c r="M943" s="3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</row>
    <row r="944" spans="1:32" ht="13">
      <c r="A944" s="2"/>
      <c r="B944" s="2"/>
      <c r="C944" s="2"/>
      <c r="D944" s="2"/>
      <c r="E944" s="2"/>
      <c r="F944" s="3"/>
      <c r="G944" s="2"/>
      <c r="H944" s="2"/>
      <c r="I944" s="2"/>
      <c r="J944" s="3"/>
      <c r="K944" s="2"/>
      <c r="L944" s="2"/>
      <c r="M944" s="3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</row>
    <row r="945" spans="1:32" ht="13">
      <c r="A945" s="2"/>
      <c r="B945" s="2"/>
      <c r="C945" s="2"/>
      <c r="D945" s="2"/>
      <c r="E945" s="2"/>
      <c r="F945" s="3"/>
      <c r="G945" s="2"/>
      <c r="H945" s="2"/>
      <c r="I945" s="2"/>
      <c r="J945" s="3"/>
      <c r="K945" s="2"/>
      <c r="L945" s="2"/>
      <c r="M945" s="3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</row>
    <row r="946" spans="1:32" ht="13">
      <c r="A946" s="2"/>
      <c r="B946" s="2"/>
      <c r="C946" s="2"/>
      <c r="D946" s="2"/>
      <c r="E946" s="2"/>
      <c r="F946" s="3"/>
      <c r="G946" s="2"/>
      <c r="H946" s="2"/>
      <c r="I946" s="2"/>
      <c r="J946" s="3"/>
      <c r="K946" s="2"/>
      <c r="L946" s="2"/>
      <c r="M946" s="3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</row>
    <row r="947" spans="1:32" ht="13">
      <c r="A947" s="2"/>
      <c r="B947" s="2"/>
      <c r="C947" s="2"/>
      <c r="D947" s="2"/>
      <c r="E947" s="2"/>
      <c r="F947" s="3"/>
      <c r="G947" s="2"/>
      <c r="H947" s="2"/>
      <c r="I947" s="2"/>
      <c r="J947" s="3"/>
      <c r="K947" s="2"/>
      <c r="L947" s="2"/>
      <c r="M947" s="3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</row>
    <row r="948" spans="1:32" ht="13">
      <c r="A948" s="2"/>
      <c r="B948" s="2"/>
      <c r="C948" s="2"/>
      <c r="D948" s="2"/>
      <c r="E948" s="2"/>
      <c r="F948" s="3"/>
      <c r="G948" s="2"/>
      <c r="H948" s="2"/>
      <c r="I948" s="2"/>
      <c r="J948" s="3"/>
      <c r="K948" s="2"/>
      <c r="L948" s="2"/>
      <c r="M948" s="3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</row>
    <row r="949" spans="1:32" ht="13">
      <c r="A949" s="2"/>
      <c r="B949" s="2"/>
      <c r="C949" s="2"/>
      <c r="D949" s="2"/>
      <c r="E949" s="2"/>
      <c r="F949" s="3"/>
      <c r="G949" s="2"/>
      <c r="H949" s="2"/>
      <c r="I949" s="2"/>
      <c r="J949" s="3"/>
      <c r="K949" s="2"/>
      <c r="L949" s="2"/>
      <c r="M949" s="3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</row>
    <row r="950" spans="1:32" ht="13">
      <c r="A950" s="2"/>
      <c r="B950" s="2"/>
      <c r="C950" s="2"/>
      <c r="D950" s="2"/>
      <c r="E950" s="2"/>
      <c r="F950" s="3"/>
      <c r="G950" s="2"/>
      <c r="H950" s="2"/>
      <c r="I950" s="2"/>
      <c r="J950" s="3"/>
      <c r="K950" s="2"/>
      <c r="L950" s="2"/>
      <c r="M950" s="3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</row>
    <row r="951" spans="1:32" ht="13">
      <c r="A951" s="2"/>
      <c r="B951" s="2"/>
      <c r="C951" s="2"/>
      <c r="D951" s="2"/>
      <c r="E951" s="2"/>
      <c r="F951" s="3"/>
      <c r="G951" s="2"/>
      <c r="H951" s="2"/>
      <c r="I951" s="2"/>
      <c r="J951" s="3"/>
      <c r="K951" s="2"/>
      <c r="L951" s="2"/>
      <c r="M951" s="3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</row>
    <row r="952" spans="1:32" ht="13">
      <c r="A952" s="2"/>
      <c r="B952" s="2"/>
      <c r="C952" s="2"/>
      <c r="D952" s="2"/>
      <c r="E952" s="2"/>
      <c r="F952" s="3"/>
      <c r="G952" s="2"/>
      <c r="H952" s="2"/>
      <c r="I952" s="2"/>
      <c r="J952" s="3"/>
      <c r="K952" s="2"/>
      <c r="L952" s="2"/>
      <c r="M952" s="3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</row>
    <row r="953" spans="1:32" ht="13">
      <c r="A953" s="2"/>
      <c r="B953" s="2"/>
      <c r="C953" s="2"/>
      <c r="D953" s="2"/>
      <c r="E953" s="2"/>
      <c r="F953" s="3"/>
      <c r="G953" s="2"/>
      <c r="H953" s="2"/>
      <c r="I953" s="2"/>
      <c r="J953" s="3"/>
      <c r="K953" s="2"/>
      <c r="L953" s="2"/>
      <c r="M953" s="3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</row>
    <row r="954" spans="1:32" ht="13">
      <c r="A954" s="2"/>
      <c r="B954" s="2"/>
      <c r="C954" s="2"/>
      <c r="D954" s="2"/>
      <c r="E954" s="2"/>
      <c r="F954" s="3"/>
      <c r="G954" s="2"/>
      <c r="H954" s="2"/>
      <c r="I954" s="2"/>
      <c r="J954" s="3"/>
      <c r="K954" s="2"/>
      <c r="L954" s="2"/>
      <c r="M954" s="3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</row>
    <row r="955" spans="1:32" ht="13">
      <c r="A955" s="2"/>
      <c r="B955" s="2"/>
      <c r="C955" s="2"/>
      <c r="D955" s="2"/>
      <c r="E955" s="2"/>
      <c r="F955" s="3"/>
      <c r="G955" s="2"/>
      <c r="H955" s="2"/>
      <c r="I955" s="2"/>
      <c r="J955" s="3"/>
      <c r="K955" s="2"/>
      <c r="L955" s="2"/>
      <c r="M955" s="3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</row>
    <row r="956" spans="1:32" ht="13">
      <c r="A956" s="2"/>
      <c r="B956" s="2"/>
      <c r="C956" s="2"/>
      <c r="D956" s="2"/>
      <c r="E956" s="2"/>
      <c r="F956" s="3"/>
      <c r="G956" s="2"/>
      <c r="H956" s="2"/>
      <c r="I956" s="2"/>
      <c r="J956" s="3"/>
      <c r="K956" s="2"/>
      <c r="L956" s="2"/>
      <c r="M956" s="3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</row>
    <row r="957" spans="1:32" ht="13">
      <c r="A957" s="2"/>
      <c r="B957" s="2"/>
      <c r="C957" s="2"/>
      <c r="D957" s="2"/>
      <c r="E957" s="2"/>
      <c r="F957" s="3"/>
      <c r="G957" s="2"/>
      <c r="H957" s="2"/>
      <c r="I957" s="2"/>
      <c r="J957" s="3"/>
      <c r="K957" s="2"/>
      <c r="L957" s="2"/>
      <c r="M957" s="3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</row>
    <row r="958" spans="1:32" ht="13">
      <c r="A958" s="2"/>
      <c r="B958" s="2"/>
      <c r="C958" s="2"/>
      <c r="D958" s="2"/>
      <c r="E958" s="2"/>
      <c r="F958" s="3"/>
      <c r="G958" s="2"/>
      <c r="H958" s="2"/>
      <c r="I958" s="2"/>
      <c r="J958" s="3"/>
      <c r="K958" s="2"/>
      <c r="L958" s="2"/>
      <c r="M958" s="3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</row>
    <row r="959" spans="1:32" ht="13">
      <c r="A959" s="2"/>
      <c r="B959" s="2"/>
      <c r="C959" s="2"/>
      <c r="D959" s="2"/>
      <c r="E959" s="2"/>
      <c r="F959" s="3"/>
      <c r="G959" s="2"/>
      <c r="H959" s="2"/>
      <c r="I959" s="2"/>
      <c r="J959" s="3"/>
      <c r="K959" s="2"/>
      <c r="L959" s="2"/>
      <c r="M959" s="3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</row>
    <row r="960" spans="1:32" ht="13">
      <c r="A960" s="2"/>
      <c r="B960" s="2"/>
      <c r="C960" s="2"/>
      <c r="D960" s="2"/>
      <c r="E960" s="2"/>
      <c r="F960" s="3"/>
      <c r="G960" s="2"/>
      <c r="H960" s="2"/>
      <c r="I960" s="2"/>
      <c r="J960" s="3"/>
      <c r="K960" s="2"/>
      <c r="L960" s="2"/>
      <c r="M960" s="3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</row>
    <row r="961" spans="1:32" ht="13">
      <c r="A961" s="2"/>
      <c r="B961" s="2"/>
      <c r="C961" s="2"/>
      <c r="D961" s="2"/>
      <c r="E961" s="2"/>
      <c r="F961" s="3"/>
      <c r="G961" s="2"/>
      <c r="H961" s="2"/>
      <c r="I961" s="2"/>
      <c r="J961" s="3"/>
      <c r="K961" s="2"/>
      <c r="L961" s="2"/>
      <c r="M961" s="3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</row>
    <row r="962" spans="1:32" ht="13">
      <c r="A962" s="2"/>
      <c r="B962" s="2"/>
      <c r="C962" s="2"/>
      <c r="D962" s="2"/>
      <c r="E962" s="2"/>
      <c r="F962" s="3"/>
      <c r="G962" s="2"/>
      <c r="H962" s="2"/>
      <c r="I962" s="2"/>
      <c r="J962" s="3"/>
      <c r="K962" s="2"/>
      <c r="L962" s="2"/>
      <c r="M962" s="3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</row>
    <row r="963" spans="1:32" ht="13">
      <c r="A963" s="2"/>
      <c r="B963" s="2"/>
      <c r="C963" s="2"/>
      <c r="D963" s="2"/>
      <c r="E963" s="2"/>
      <c r="F963" s="3"/>
      <c r="G963" s="2"/>
      <c r="H963" s="2"/>
      <c r="I963" s="2"/>
      <c r="J963" s="3"/>
      <c r="K963" s="2"/>
      <c r="L963" s="2"/>
      <c r="M963" s="3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</row>
    <row r="964" spans="1:32" ht="13">
      <c r="A964" s="2"/>
      <c r="B964" s="2"/>
      <c r="C964" s="2"/>
      <c r="D964" s="2"/>
      <c r="E964" s="2"/>
      <c r="F964" s="3"/>
      <c r="G964" s="2"/>
      <c r="H964" s="2"/>
      <c r="I964" s="2"/>
      <c r="J964" s="3"/>
      <c r="K964" s="2"/>
      <c r="L964" s="2"/>
      <c r="M964" s="3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</row>
    <row r="965" spans="1:32" ht="13">
      <c r="A965" s="2"/>
      <c r="B965" s="2"/>
      <c r="C965" s="2"/>
      <c r="D965" s="2"/>
      <c r="E965" s="2"/>
      <c r="F965" s="3"/>
      <c r="G965" s="2"/>
      <c r="H965" s="2"/>
      <c r="I965" s="2"/>
      <c r="J965" s="3"/>
      <c r="K965" s="2"/>
      <c r="L965" s="2"/>
      <c r="M965" s="3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</row>
    <row r="966" spans="1:32" ht="13">
      <c r="A966" s="2"/>
      <c r="B966" s="2"/>
      <c r="C966" s="2"/>
      <c r="D966" s="2"/>
      <c r="E966" s="2"/>
      <c r="F966" s="3"/>
      <c r="G966" s="2"/>
      <c r="H966" s="2"/>
      <c r="I966" s="2"/>
      <c r="J966" s="3"/>
      <c r="K966" s="2"/>
      <c r="L966" s="2"/>
      <c r="M966" s="3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</row>
    <row r="967" spans="1:32" ht="13">
      <c r="A967" s="2"/>
      <c r="B967" s="2"/>
      <c r="C967" s="2"/>
      <c r="D967" s="2"/>
      <c r="E967" s="2"/>
      <c r="F967" s="3"/>
      <c r="G967" s="2"/>
      <c r="H967" s="2"/>
      <c r="I967" s="2"/>
      <c r="J967" s="3"/>
      <c r="K967" s="2"/>
      <c r="L967" s="2"/>
      <c r="M967" s="3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</row>
    <row r="968" spans="1:32" ht="13">
      <c r="A968" s="2"/>
      <c r="B968" s="2"/>
      <c r="C968" s="2"/>
      <c r="D968" s="2"/>
      <c r="E968" s="2"/>
      <c r="F968" s="3"/>
      <c r="G968" s="2"/>
      <c r="H968" s="2"/>
      <c r="I968" s="2"/>
      <c r="J968" s="3"/>
      <c r="K968" s="2"/>
      <c r="L968" s="2"/>
      <c r="M968" s="3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</row>
    <row r="969" spans="1:32" ht="13">
      <c r="A969" s="2"/>
      <c r="B969" s="2"/>
      <c r="C969" s="2"/>
      <c r="D969" s="2"/>
      <c r="E969" s="2"/>
      <c r="F969" s="3"/>
      <c r="G969" s="2"/>
      <c r="H969" s="2"/>
      <c r="I969" s="2"/>
      <c r="J969" s="3"/>
      <c r="K969" s="2"/>
      <c r="L969" s="2"/>
      <c r="M969" s="3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</row>
    <row r="970" spans="1:32" ht="13">
      <c r="A970" s="2"/>
      <c r="B970" s="2"/>
      <c r="C970" s="2"/>
      <c r="D970" s="2"/>
      <c r="E970" s="2"/>
      <c r="F970" s="3"/>
      <c r="G970" s="2"/>
      <c r="H970" s="2"/>
      <c r="I970" s="2"/>
      <c r="J970" s="3"/>
      <c r="K970" s="2"/>
      <c r="L970" s="2"/>
      <c r="M970" s="3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</row>
    <row r="971" spans="1:32" ht="13">
      <c r="A971" s="2"/>
      <c r="B971" s="2"/>
      <c r="C971" s="2"/>
      <c r="D971" s="2"/>
      <c r="E971" s="2"/>
      <c r="F971" s="3"/>
      <c r="G971" s="2"/>
      <c r="H971" s="2"/>
      <c r="I971" s="2"/>
      <c r="J971" s="3"/>
      <c r="K971" s="2"/>
      <c r="L971" s="2"/>
      <c r="M971" s="3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</row>
    <row r="972" spans="1:32" ht="13">
      <c r="A972" s="2"/>
      <c r="B972" s="2"/>
      <c r="C972" s="2"/>
      <c r="D972" s="2"/>
      <c r="E972" s="2"/>
      <c r="F972" s="3"/>
      <c r="G972" s="2"/>
      <c r="H972" s="2"/>
      <c r="I972" s="2"/>
      <c r="J972" s="3"/>
      <c r="K972" s="2"/>
      <c r="L972" s="2"/>
      <c r="M972" s="3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</row>
    <row r="973" spans="1:32" ht="13">
      <c r="A973" s="2"/>
      <c r="B973" s="2"/>
      <c r="C973" s="2"/>
      <c r="D973" s="2"/>
      <c r="E973" s="2"/>
      <c r="F973" s="3"/>
      <c r="G973" s="2"/>
      <c r="H973" s="2"/>
      <c r="I973" s="2"/>
      <c r="J973" s="3"/>
      <c r="K973" s="2"/>
      <c r="L973" s="2"/>
      <c r="M973" s="3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</row>
    <row r="974" spans="1:32" ht="13">
      <c r="A974" s="2"/>
      <c r="B974" s="2"/>
      <c r="C974" s="2"/>
      <c r="D974" s="2"/>
      <c r="E974" s="2"/>
      <c r="F974" s="3"/>
      <c r="G974" s="2"/>
      <c r="H974" s="2"/>
      <c r="I974" s="2"/>
      <c r="J974" s="3"/>
      <c r="K974" s="2"/>
      <c r="L974" s="2"/>
      <c r="M974" s="3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</row>
    <row r="975" spans="1:32" ht="13">
      <c r="A975" s="2"/>
      <c r="B975" s="2"/>
      <c r="C975" s="2"/>
      <c r="D975" s="2"/>
      <c r="E975" s="2"/>
      <c r="F975" s="3"/>
      <c r="G975" s="2"/>
      <c r="H975" s="2"/>
      <c r="I975" s="2"/>
      <c r="J975" s="3"/>
      <c r="K975" s="2"/>
      <c r="L975" s="2"/>
      <c r="M975" s="3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</row>
    <row r="976" spans="1:32" ht="13">
      <c r="A976" s="2"/>
      <c r="B976" s="2"/>
      <c r="C976" s="2"/>
      <c r="D976" s="2"/>
      <c r="E976" s="2"/>
      <c r="F976" s="3"/>
      <c r="G976" s="2"/>
      <c r="H976" s="2"/>
      <c r="I976" s="2"/>
      <c r="J976" s="3"/>
      <c r="K976" s="2"/>
      <c r="L976" s="2"/>
      <c r="M976" s="3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</row>
    <row r="977" spans="1:32" ht="13">
      <c r="A977" s="2"/>
      <c r="B977" s="2"/>
      <c r="C977" s="2"/>
      <c r="D977" s="2"/>
      <c r="E977" s="2"/>
      <c r="F977" s="3"/>
      <c r="G977" s="2"/>
      <c r="H977" s="2"/>
      <c r="I977" s="2"/>
      <c r="J977" s="3"/>
      <c r="K977" s="2"/>
      <c r="L977" s="2"/>
      <c r="M977" s="3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</row>
    <row r="978" spans="1:32" ht="13">
      <c r="A978" s="2"/>
      <c r="B978" s="2"/>
      <c r="C978" s="2"/>
      <c r="D978" s="2"/>
      <c r="E978" s="2"/>
      <c r="F978" s="3"/>
      <c r="G978" s="2"/>
      <c r="H978" s="2"/>
      <c r="I978" s="2"/>
      <c r="J978" s="3"/>
      <c r="K978" s="2"/>
      <c r="L978" s="2"/>
      <c r="M978" s="3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</row>
    <row r="979" spans="1:32" ht="13">
      <c r="A979" s="2"/>
      <c r="B979" s="2"/>
      <c r="C979" s="2"/>
      <c r="D979" s="2"/>
      <c r="E979" s="2"/>
      <c r="F979" s="3"/>
      <c r="G979" s="2"/>
      <c r="H979" s="2"/>
      <c r="I979" s="2"/>
      <c r="J979" s="3"/>
      <c r="K979" s="2"/>
      <c r="L979" s="2"/>
      <c r="M979" s="3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</row>
    <row r="980" spans="1:32" ht="13">
      <c r="A980" s="2"/>
      <c r="B980" s="2"/>
      <c r="C980" s="2"/>
      <c r="D980" s="2"/>
      <c r="E980" s="2"/>
      <c r="F980" s="3"/>
      <c r="G980" s="2"/>
      <c r="H980" s="2"/>
      <c r="I980" s="2"/>
      <c r="J980" s="3"/>
      <c r="K980" s="2"/>
      <c r="L980" s="2"/>
      <c r="M980" s="3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</row>
    <row r="981" spans="1:32" ht="13">
      <c r="A981" s="4"/>
      <c r="B981" s="4"/>
      <c r="C981" s="4"/>
      <c r="D981" s="4"/>
      <c r="E981" s="4"/>
      <c r="F981" s="1036"/>
      <c r="G981" s="4"/>
      <c r="H981" s="4"/>
      <c r="I981" s="4"/>
      <c r="J981" s="1036"/>
      <c r="K981" s="4"/>
      <c r="L981" s="4"/>
      <c r="M981" s="1036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</row>
    <row r="982" spans="1:32" ht="13">
      <c r="A982" s="4"/>
      <c r="B982" s="4"/>
      <c r="C982" s="4"/>
      <c r="D982" s="4"/>
      <c r="E982" s="4"/>
      <c r="F982" s="1036"/>
      <c r="G982" s="4"/>
      <c r="H982" s="4"/>
      <c r="I982" s="4"/>
      <c r="J982" s="1036"/>
      <c r="K982" s="4"/>
      <c r="L982" s="4"/>
      <c r="M982" s="1036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</row>
    <row r="983" spans="1:32" ht="13">
      <c r="A983" s="4"/>
      <c r="B983" s="4"/>
      <c r="C983" s="4"/>
      <c r="D983" s="4"/>
      <c r="E983" s="4"/>
      <c r="F983" s="1036"/>
      <c r="G983" s="4"/>
      <c r="H983" s="4"/>
      <c r="I983" s="4"/>
      <c r="J983" s="1036"/>
      <c r="K983" s="4"/>
      <c r="L983" s="4"/>
      <c r="M983" s="1036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</row>
    <row r="984" spans="1:32" ht="13">
      <c r="A984" s="4"/>
      <c r="B984" s="4"/>
      <c r="C984" s="4"/>
      <c r="D984" s="4"/>
      <c r="E984" s="4"/>
      <c r="F984" s="1036"/>
      <c r="G984" s="4"/>
      <c r="H984" s="4"/>
      <c r="I984" s="4"/>
      <c r="J984" s="1036"/>
      <c r="K984" s="4"/>
      <c r="L984" s="4"/>
      <c r="M984" s="1036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</row>
    <row r="985" spans="1:32" ht="13">
      <c r="A985" s="4"/>
      <c r="B985" s="4"/>
      <c r="C985" s="4"/>
      <c r="D985" s="4"/>
      <c r="E985" s="4"/>
      <c r="F985" s="1036"/>
      <c r="G985" s="4"/>
      <c r="H985" s="4"/>
      <c r="I985" s="4"/>
      <c r="J985" s="1036"/>
      <c r="K985" s="4"/>
      <c r="L985" s="4"/>
      <c r="M985" s="1036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</row>
    <row r="986" spans="1:32" ht="13">
      <c r="A986" s="4"/>
      <c r="B986" s="4"/>
      <c r="C986" s="4"/>
      <c r="D986" s="4"/>
      <c r="E986" s="4"/>
      <c r="F986" s="1036"/>
      <c r="G986" s="4"/>
      <c r="H986" s="4"/>
      <c r="I986" s="4"/>
      <c r="J986" s="1036"/>
      <c r="K986" s="4"/>
      <c r="L986" s="4"/>
      <c r="M986" s="1036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</row>
    <row r="987" spans="1:32" ht="13">
      <c r="A987" s="4"/>
      <c r="B987" s="4"/>
      <c r="C987" s="4"/>
      <c r="D987" s="4"/>
      <c r="E987" s="4"/>
      <c r="F987" s="1036"/>
      <c r="G987" s="4"/>
      <c r="H987" s="4"/>
      <c r="I987" s="4"/>
      <c r="J987" s="1036"/>
      <c r="K987" s="4"/>
      <c r="L987" s="4"/>
      <c r="M987" s="1036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</row>
    <row r="988" spans="1:32" ht="13">
      <c r="A988" s="4"/>
      <c r="B988" s="4"/>
      <c r="C988" s="4"/>
      <c r="D988" s="4"/>
      <c r="E988" s="4"/>
      <c r="F988" s="1036"/>
      <c r="G988" s="4"/>
      <c r="H988" s="4"/>
      <c r="I988" s="4"/>
      <c r="J988" s="1036"/>
      <c r="K988" s="4"/>
      <c r="L988" s="4"/>
      <c r="M988" s="1036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</row>
    <row r="989" spans="1:32" ht="13">
      <c r="A989" s="4"/>
      <c r="B989" s="4"/>
      <c r="C989" s="4"/>
      <c r="D989" s="4"/>
      <c r="E989" s="4"/>
      <c r="F989" s="1036"/>
      <c r="G989" s="4"/>
      <c r="H989" s="4"/>
      <c r="I989" s="4"/>
      <c r="J989" s="1036"/>
      <c r="K989" s="4"/>
      <c r="L989" s="4"/>
      <c r="M989" s="1036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</row>
    <row r="990" spans="1:32" ht="13">
      <c r="A990" s="4"/>
      <c r="B990" s="4"/>
      <c r="C990" s="4"/>
      <c r="D990" s="4"/>
      <c r="E990" s="4"/>
      <c r="F990" s="1036"/>
      <c r="G990" s="4"/>
      <c r="H990" s="4"/>
      <c r="I990" s="4"/>
      <c r="J990" s="1036"/>
      <c r="K990" s="4"/>
      <c r="L990" s="4"/>
      <c r="M990" s="1036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</row>
    <row r="991" spans="1:32" ht="13">
      <c r="A991" s="4"/>
      <c r="B991" s="4"/>
      <c r="C991" s="4"/>
      <c r="D991" s="4"/>
      <c r="E991" s="4"/>
      <c r="F991" s="1036"/>
      <c r="G991" s="4"/>
      <c r="H991" s="4"/>
      <c r="I991" s="4"/>
      <c r="J991" s="1036"/>
      <c r="K991" s="4"/>
      <c r="L991" s="4"/>
      <c r="M991" s="1036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</row>
    <row r="992" spans="1:32" ht="13">
      <c r="A992" s="4"/>
      <c r="B992" s="4"/>
      <c r="C992" s="4"/>
      <c r="D992" s="4"/>
      <c r="E992" s="4"/>
      <c r="F992" s="1036"/>
      <c r="G992" s="4"/>
      <c r="H992" s="4"/>
      <c r="I992" s="4"/>
      <c r="J992" s="1036"/>
      <c r="K992" s="4"/>
      <c r="L992" s="4"/>
      <c r="M992" s="1036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</row>
    <row r="993" spans="1:32" ht="13">
      <c r="A993" s="4"/>
      <c r="B993" s="4"/>
      <c r="C993" s="4"/>
      <c r="D993" s="4"/>
      <c r="E993" s="4"/>
      <c r="F993" s="1036"/>
      <c r="G993" s="4"/>
      <c r="H993" s="4"/>
      <c r="I993" s="4"/>
      <c r="J993" s="1036"/>
      <c r="K993" s="4"/>
      <c r="L993" s="4"/>
      <c r="M993" s="1036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</row>
    <row r="994" spans="1:32" ht="13">
      <c r="A994" s="4"/>
      <c r="B994" s="4"/>
      <c r="C994" s="4"/>
      <c r="D994" s="4"/>
      <c r="E994" s="4"/>
      <c r="F994" s="1036"/>
      <c r="G994" s="4"/>
      <c r="H994" s="4"/>
      <c r="I994" s="4"/>
      <c r="J994" s="1036"/>
      <c r="K994" s="4"/>
      <c r="L994" s="4"/>
      <c r="M994" s="1036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</row>
    <row r="995" spans="1:32" ht="13">
      <c r="A995" s="4"/>
      <c r="B995" s="4"/>
      <c r="C995" s="4"/>
      <c r="D995" s="4"/>
      <c r="E995" s="4"/>
      <c r="F995" s="1036"/>
      <c r="G995" s="4"/>
      <c r="H995" s="4"/>
      <c r="I995" s="4"/>
      <c r="J995" s="1036"/>
      <c r="K995" s="4"/>
      <c r="L995" s="4"/>
      <c r="M995" s="1036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</row>
    <row r="996" spans="1:32" ht="13">
      <c r="A996" s="4"/>
      <c r="B996" s="4"/>
      <c r="C996" s="4"/>
      <c r="D996" s="4"/>
      <c r="E996" s="4"/>
      <c r="F996" s="1036"/>
      <c r="G996" s="4"/>
      <c r="H996" s="4"/>
      <c r="I996" s="4"/>
      <c r="J996" s="1036"/>
      <c r="K996" s="4"/>
      <c r="L996" s="4"/>
      <c r="M996" s="1036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</row>
    <row r="997" spans="1:32" ht="13">
      <c r="A997" s="4"/>
      <c r="B997" s="4"/>
      <c r="C997" s="4"/>
      <c r="D997" s="4"/>
      <c r="E997" s="4"/>
      <c r="F997" s="1036"/>
      <c r="G997" s="4"/>
      <c r="H997" s="4"/>
      <c r="I997" s="4"/>
      <c r="J997" s="1036"/>
      <c r="K997" s="4"/>
      <c r="L997" s="4"/>
      <c r="M997" s="1036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</row>
    <row r="998" spans="1:32" ht="13">
      <c r="A998" s="4"/>
      <c r="B998" s="4"/>
      <c r="C998" s="4"/>
      <c r="D998" s="4"/>
      <c r="E998" s="4"/>
      <c r="F998" s="1036"/>
      <c r="G998" s="4"/>
      <c r="H998" s="4"/>
      <c r="I998" s="4"/>
      <c r="J998" s="1036"/>
      <c r="K998" s="4"/>
      <c r="L998" s="4"/>
      <c r="M998" s="1036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</row>
    <row r="999" spans="1:32" ht="13">
      <c r="A999" s="4"/>
      <c r="B999" s="4"/>
      <c r="C999" s="4"/>
      <c r="D999" s="4"/>
      <c r="E999" s="4"/>
      <c r="F999" s="1036"/>
      <c r="G999" s="4"/>
      <c r="H999" s="4"/>
      <c r="I999" s="4"/>
      <c r="J999" s="1036"/>
      <c r="K999" s="4"/>
      <c r="L999" s="4"/>
      <c r="M999" s="1036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</row>
    <row r="1000" spans="1:32" ht="13">
      <c r="A1000" s="4"/>
      <c r="B1000" s="4"/>
      <c r="C1000" s="4"/>
      <c r="D1000" s="4"/>
      <c r="E1000" s="4"/>
      <c r="F1000" s="1036"/>
      <c r="G1000" s="4"/>
      <c r="H1000" s="4"/>
      <c r="I1000" s="4"/>
      <c r="J1000" s="1036"/>
      <c r="K1000" s="4"/>
      <c r="L1000" s="4"/>
      <c r="M1000" s="1036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</row>
  </sheetData>
  <mergeCells count="24">
    <mergeCell ref="J6:J8"/>
    <mergeCell ref="K6:K8"/>
    <mergeCell ref="L6:L8"/>
    <mergeCell ref="O6:O8"/>
    <mergeCell ref="P6:P8"/>
    <mergeCell ref="A6:A8"/>
    <mergeCell ref="D6:D8"/>
    <mergeCell ref="E6:E8"/>
    <mergeCell ref="F6:F8"/>
    <mergeCell ref="G6:G8"/>
    <mergeCell ref="H6:H8"/>
    <mergeCell ref="I6:I8"/>
    <mergeCell ref="B24:B43"/>
    <mergeCell ref="B45:B48"/>
    <mergeCell ref="B49:B51"/>
    <mergeCell ref="C45:C48"/>
    <mergeCell ref="C49:C51"/>
    <mergeCell ref="B12:B13"/>
    <mergeCell ref="C12:C13"/>
    <mergeCell ref="B14:B18"/>
    <mergeCell ref="C14:C18"/>
    <mergeCell ref="B21:B23"/>
    <mergeCell ref="C21:C23"/>
    <mergeCell ref="C24:C43"/>
  </mergeCells>
  <phoneticPr fontId="179" type="noConversion"/>
  <hyperlinks>
    <hyperlink ref="B4" location="null!A1" display="HX-PR-14513" xr:uid="{00000000-0004-0000-0C00-000000000000}"/>
    <hyperlink ref="B12" location="null!A1" display="HX-PR-13842" xr:uid="{00000000-0004-0000-0C00-000001000000}"/>
    <hyperlink ref="F87" r:id="rId1" display="https://drive.google.com/file/d/1DSYYAH5SCK2g-W6JeRbPsNSie2lvPp2V/view?usp=drive_link" xr:uid="{00000000-0004-0000-0C00-000002000000}"/>
    <hyperlink ref="F88" r:id="rId2" display="https://drive.google.com/file/d/1oVaT0a90Ebq9ZVGKKA7Wfn3I2ooQ4chz/view?usp=drive_link" xr:uid="{00000000-0004-0000-0C00-000003000000}"/>
    <hyperlink ref="F89" r:id="rId3" display="https://drive.google.com/file/d/1LjUEtN5TtNGRwvqyn0vtkQ4weJ85_gpB/view?usp=drive_link" xr:uid="{00000000-0004-0000-0C00-000004000000}"/>
    <hyperlink ref="F90" r:id="rId4" display="https://drive.google.com/file/d/1sTd9Of7x9icyz2R96MPOypguPM9VQUjK/view?usp=drive_link" xr:uid="{00000000-0004-0000-0C00-000005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3:I12"/>
  <sheetViews>
    <sheetView workbookViewId="0"/>
  </sheetViews>
  <sheetFormatPr baseColWidth="10" defaultColWidth="12.5" defaultRowHeight="15.75" customHeight="1"/>
  <cols>
    <col min="5" max="5" width="4" customWidth="1"/>
    <col min="8" max="8" width="16.83203125" customWidth="1"/>
  </cols>
  <sheetData>
    <row r="3" spans="1:9" ht="15.75" customHeight="1">
      <c r="A3" s="1037" t="s">
        <v>7</v>
      </c>
      <c r="B3" s="1037" t="s">
        <v>15286</v>
      </c>
      <c r="C3" s="1286" t="s">
        <v>15287</v>
      </c>
      <c r="D3" s="1065"/>
      <c r="F3" s="1038" t="s">
        <v>7</v>
      </c>
      <c r="G3" s="1039" t="s">
        <v>280</v>
      </c>
      <c r="H3" s="1039" t="s">
        <v>15251</v>
      </c>
      <c r="I3" s="1039" t="s">
        <v>15252</v>
      </c>
    </row>
    <row r="4" spans="1:9" ht="15.75" customHeight="1">
      <c r="A4" s="136" t="s">
        <v>15288</v>
      </c>
      <c r="B4" s="136" t="s">
        <v>15289</v>
      </c>
      <c r="C4" s="1287" t="s">
        <v>15290</v>
      </c>
      <c r="D4" s="1065"/>
      <c r="F4" s="1288" t="s">
        <v>15291</v>
      </c>
      <c r="G4" s="1040" t="s">
        <v>15292</v>
      </c>
      <c r="H4" s="1041" t="s">
        <v>15293</v>
      </c>
      <c r="I4" s="1040" t="s">
        <v>15258</v>
      </c>
    </row>
    <row r="5" spans="1:9" ht="15.75" customHeight="1">
      <c r="A5" s="136" t="s">
        <v>15294</v>
      </c>
      <c r="B5" s="1092" t="s">
        <v>15289</v>
      </c>
      <c r="C5" s="1289" t="s">
        <v>1046</v>
      </c>
      <c r="D5" s="1290"/>
      <c r="F5" s="1051"/>
      <c r="G5" s="1040" t="s">
        <v>1604</v>
      </c>
      <c r="H5" s="1041" t="s">
        <v>15253</v>
      </c>
      <c r="I5" s="1040" t="s">
        <v>15254</v>
      </c>
    </row>
    <row r="6" spans="1:9" ht="15.75" customHeight="1">
      <c r="A6" s="136" t="s">
        <v>15295</v>
      </c>
      <c r="B6" s="1052"/>
      <c r="C6" s="1082"/>
      <c r="D6" s="1096"/>
      <c r="F6" s="1051"/>
      <c r="G6" s="1042" t="s">
        <v>1458</v>
      </c>
      <c r="H6" s="1043" t="s">
        <v>15257</v>
      </c>
      <c r="I6" s="1042" t="s">
        <v>15258</v>
      </c>
    </row>
    <row r="7" spans="1:9" ht="15.75" customHeight="1">
      <c r="F7" s="1051"/>
      <c r="G7" s="1042" t="s">
        <v>1298</v>
      </c>
      <c r="H7" s="1043" t="s">
        <v>15259</v>
      </c>
      <c r="I7" s="1043" t="s">
        <v>15260</v>
      </c>
    </row>
    <row r="8" spans="1:9" ht="15.75" customHeight="1">
      <c r="F8" s="1051"/>
      <c r="G8" s="1042" t="s">
        <v>2142</v>
      </c>
      <c r="H8" s="1043" t="s">
        <v>15263</v>
      </c>
      <c r="I8" s="1042" t="s">
        <v>15264</v>
      </c>
    </row>
    <row r="9" spans="1:9" ht="15.75" customHeight="1">
      <c r="F9" s="1051"/>
      <c r="G9" s="1042" t="s">
        <v>297</v>
      </c>
      <c r="H9" s="1044" t="s">
        <v>351</v>
      </c>
      <c r="I9" s="1042" t="s">
        <v>15296</v>
      </c>
    </row>
    <row r="10" spans="1:9" ht="15.75" customHeight="1">
      <c r="F10" s="1051"/>
      <c r="G10" s="1042" t="s">
        <v>291</v>
      </c>
      <c r="H10" s="1043" t="s">
        <v>15266</v>
      </c>
      <c r="I10" s="1042" t="s">
        <v>15267</v>
      </c>
    </row>
    <row r="11" spans="1:9" ht="15.75" customHeight="1">
      <c r="F11" s="1051"/>
      <c r="G11" s="1042" t="s">
        <v>1128</v>
      </c>
      <c r="H11" s="1043" t="s">
        <v>346</v>
      </c>
      <c r="I11" s="1042" t="s">
        <v>15271</v>
      </c>
    </row>
    <row r="12" spans="1:9" ht="15.75" customHeight="1">
      <c r="F12" s="1052"/>
      <c r="G12" s="1045" t="s">
        <v>1032</v>
      </c>
      <c r="H12" s="1046" t="s">
        <v>15268</v>
      </c>
      <c r="I12" s="1045" t="s">
        <v>15258</v>
      </c>
    </row>
  </sheetData>
  <mergeCells count="5">
    <mergeCell ref="C3:D3"/>
    <mergeCell ref="C4:D4"/>
    <mergeCell ref="F4:F12"/>
    <mergeCell ref="B5:B6"/>
    <mergeCell ref="C5:D6"/>
  </mergeCells>
  <phoneticPr fontId="179" type="noConversion"/>
  <hyperlinks>
    <hyperlink ref="H4" r:id="rId1" xr:uid="{00000000-0004-0000-0D00-000000000000}"/>
    <hyperlink ref="H5" r:id="rId2" xr:uid="{00000000-0004-0000-0D00-000001000000}"/>
    <hyperlink ref="H6" r:id="rId3" xr:uid="{00000000-0004-0000-0D00-000002000000}"/>
    <hyperlink ref="H7" r:id="rId4" xr:uid="{00000000-0004-0000-0D00-000003000000}"/>
    <hyperlink ref="I7" r:id="rId5" xr:uid="{00000000-0004-0000-0D00-000004000000}"/>
    <hyperlink ref="H8" r:id="rId6" xr:uid="{00000000-0004-0000-0D00-000005000000}"/>
    <hyperlink ref="H9" r:id="rId7" xr:uid="{00000000-0004-0000-0D00-000006000000}"/>
    <hyperlink ref="H10" r:id="rId8" xr:uid="{00000000-0004-0000-0D00-000007000000}"/>
    <hyperlink ref="H12" r:id="rId9" xr:uid="{00000000-0004-0000-0D00-000008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15</vt:i4>
      </vt:variant>
    </vt:vector>
  </HeadingPairs>
  <TitlesOfParts>
    <vt:vector size="15" baseType="lpstr">
      <vt:lpstr>★AR종합</vt:lpstr>
      <vt:lpstr>담당자</vt:lpstr>
      <vt:lpstr>(AR)항공사업팀</vt:lpstr>
      <vt:lpstr>(ARAP)항공영업팀</vt:lpstr>
      <vt:lpstr>(ARAP)항공판매</vt:lpstr>
      <vt:lpstr>(ARAP)물류영업판매</vt:lpstr>
      <vt:lpstr>(AR)물류사업부</vt:lpstr>
      <vt:lpstr>(AR)인프라사업팀</vt:lpstr>
      <vt:lpstr>(AR)파트너사업부</vt:lpstr>
      <vt:lpstr>(참고)PJT목록</vt:lpstr>
      <vt:lpstr>★AP종합</vt:lpstr>
      <vt:lpstr>(AP)항공사업부</vt:lpstr>
      <vt:lpstr>(AP)물류사업부</vt:lpstr>
      <vt:lpstr>(AP)파트너사업부</vt:lpstr>
      <vt:lpstr>기타사항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JongMin Kil</cp:lastModifiedBy>
  <dcterms:modified xsi:type="dcterms:W3CDTF">2024-12-15T04:36:36Z</dcterms:modified>
</cp:coreProperties>
</file>